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media/image1.bin" ContentType="image/unknown"/>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codeName="ThisWorkbook"/>
  <mc:AlternateContent xmlns:mc="http://schemas.openxmlformats.org/markup-compatibility/2006">
    <mc:Choice Requires="x15">
      <x15ac:absPath xmlns:x15ac="http://schemas.microsoft.com/office/spreadsheetml/2010/11/ac" url="N:\JPG\Investor Reporting\Paragon Finance\PM14\"/>
    </mc:Choice>
  </mc:AlternateContent>
  <xr:revisionPtr revIDLastSave="0" documentId="13_ncr:1_{D0C6F391-EC64-48AF-AFD9-DBBCD3C6100F}" xr6:coauthVersionLast="45" xr6:coauthVersionMax="45" xr10:uidLastSave="{00000000-0000-0000-0000-000000000000}"/>
  <bookViews>
    <workbookView xWindow="-108" yWindow="-108" windowWidth="20376" windowHeight="12216" firstSheet="46" activeTab="55" xr2:uid="{00000000-000D-0000-FFFF-FFFF00000000}"/>
  </bookViews>
  <sheets>
    <sheet name="Aug 07" sheetId="1" r:id="rId1"/>
    <sheet name="Nov 07" sheetId="3" r:id="rId2"/>
    <sheet name="Feb 08" sheetId="4" r:id="rId3"/>
    <sheet name="May 08" sheetId="5" r:id="rId4"/>
    <sheet name="Aug 08" sheetId="6" r:id="rId5"/>
    <sheet name="Nov 08" sheetId="7" r:id="rId6"/>
    <sheet name="Feb 09" sheetId="8" r:id="rId7"/>
    <sheet name="May 09" sheetId="9" r:id="rId8"/>
    <sheet name="Aug 09" sheetId="10" r:id="rId9"/>
    <sheet name="Nov 09" sheetId="11" r:id="rId10"/>
    <sheet name="Feb 10" sheetId="12" r:id="rId11"/>
    <sheet name="May 10" sheetId="13" r:id="rId12"/>
    <sheet name="Aug 10" sheetId="14" r:id="rId13"/>
    <sheet name="Nov 10" sheetId="15" r:id="rId14"/>
    <sheet name="Feb 11" sheetId="16" r:id="rId15"/>
    <sheet name="May 11" sheetId="17" r:id="rId16"/>
    <sheet name="Aug 11" sheetId="18" r:id="rId17"/>
    <sheet name="Nov 11" sheetId="19" r:id="rId18"/>
    <sheet name="Feb 12" sheetId="20" r:id="rId19"/>
    <sheet name="May 12" sheetId="21" r:id="rId20"/>
    <sheet name="Aug 12" sheetId="22" r:id="rId21"/>
    <sheet name="Nov 12" sheetId="23" r:id="rId22"/>
    <sheet name="Feb 13" sheetId="24" r:id="rId23"/>
    <sheet name="May 13" sheetId="25" r:id="rId24"/>
    <sheet name="Aug 13" sheetId="26" r:id="rId25"/>
    <sheet name="Nov 13" sheetId="27" r:id="rId26"/>
    <sheet name="Feb 14" sheetId="28" r:id="rId27"/>
    <sheet name="May 14" sheetId="29" r:id="rId28"/>
    <sheet name="Aug 14" sheetId="30" r:id="rId29"/>
    <sheet name="Nov 14" sheetId="31" r:id="rId30"/>
    <sheet name="Feb 15" sheetId="32" r:id="rId31"/>
    <sheet name="May 15" sheetId="33" r:id="rId32"/>
    <sheet name="Aug 15" sheetId="34" r:id="rId33"/>
    <sheet name="Nov 15" sheetId="35" r:id="rId34"/>
    <sheet name="Feb 16" sheetId="36" r:id="rId35"/>
    <sheet name="May 16" sheetId="37" r:id="rId36"/>
    <sheet name="Aug 16" sheetId="38" r:id="rId37"/>
    <sheet name="Nov 16" sheetId="39" r:id="rId38"/>
    <sheet name="Feb 17" sheetId="40" r:id="rId39"/>
    <sheet name="May 17" sheetId="41" r:id="rId40"/>
    <sheet name="Aug 17" sheetId="42" r:id="rId41"/>
    <sheet name="Nov 17" sheetId="43" r:id="rId42"/>
    <sheet name="Feb 18" sheetId="44" r:id="rId43"/>
    <sheet name="May 18" sheetId="45" r:id="rId44"/>
    <sheet name="Aug 18" sheetId="46" r:id="rId45"/>
    <sheet name="Nov 18" sheetId="47" r:id="rId46"/>
    <sheet name="Feb 19" sheetId="48" r:id="rId47"/>
    <sheet name="May 19" sheetId="49" r:id="rId48"/>
    <sheet name="Aug 19" sheetId="50" r:id="rId49"/>
    <sheet name="Nov 19" sheetId="51" r:id="rId50"/>
    <sheet name="Feb 20" sheetId="52" r:id="rId51"/>
    <sheet name="May 20" sheetId="53" r:id="rId52"/>
    <sheet name="Aug 20" sheetId="54" r:id="rId53"/>
    <sheet name="Nov 20" sheetId="55" r:id="rId54"/>
    <sheet name="Feb 21" sheetId="56" r:id="rId55"/>
    <sheet name="May 21" sheetId="57" r:id="rId56"/>
  </sheets>
  <definedNames>
    <definedName name="_100PAGE_4" localSheetId="13">'Nov 10'!$A$205:$W$300</definedName>
    <definedName name="_101PAGE_4" localSheetId="17">'Nov 11'!$A$205:$W$300</definedName>
    <definedName name="_102PAGE_4" localSheetId="21">'Nov 12'!$A$205:$W$300</definedName>
    <definedName name="_103PAGE_4" localSheetId="28">'Aug 14'!$A$205:$W$300</definedName>
    <definedName name="_103PAGE_4" localSheetId="32">'Aug 15'!$A$205:$W$300</definedName>
    <definedName name="_103PAGE_4" localSheetId="36">'Aug 16'!$A$205:$W$300</definedName>
    <definedName name="_103PAGE_4" localSheetId="40">'Aug 17'!$A$204:$W$303</definedName>
    <definedName name="_103PAGE_4" localSheetId="44">'Aug 18'!$A$204:$W$303</definedName>
    <definedName name="_103PAGE_4" localSheetId="48">'Aug 19'!$A$207:$W$306</definedName>
    <definedName name="_103PAGE_4" localSheetId="52">'Aug 20'!$A$207:$W$333</definedName>
    <definedName name="_103PAGE_4" localSheetId="26">'Feb 14'!$A$205:$W$300</definedName>
    <definedName name="_103PAGE_4" localSheetId="30">'Feb 15'!$A$205:$W$300</definedName>
    <definedName name="_103PAGE_4" localSheetId="34">'Feb 16'!$A$205:$W$300</definedName>
    <definedName name="_103PAGE_4" localSheetId="38">'Feb 17'!$A$204:$W$303</definedName>
    <definedName name="_103PAGE_4" localSheetId="42">'Feb 18'!$A$204:$W$303</definedName>
    <definedName name="_103PAGE_4" localSheetId="46">'Feb 19'!$A$204:$W$303</definedName>
    <definedName name="_103PAGE_4" localSheetId="50">'Feb 20'!$A$207:$W$306</definedName>
    <definedName name="_103PAGE_4" localSheetId="54">'Feb 21'!$A$207:$W$333</definedName>
    <definedName name="_103PAGE_4" localSheetId="27">'May 14'!$A$205:$W$300</definedName>
    <definedName name="_103PAGE_4" localSheetId="31">'May 15'!$A$205:$W$300</definedName>
    <definedName name="_103PAGE_4" localSheetId="35">'May 16'!$A$205:$W$300</definedName>
    <definedName name="_103PAGE_4" localSheetId="39">'May 17'!$A$204:$W$303</definedName>
    <definedName name="_103PAGE_4" localSheetId="43">'May 18'!$A$204:$W$303</definedName>
    <definedName name="_103PAGE_4" localSheetId="47">'May 19'!$A$204:$W$303</definedName>
    <definedName name="_103PAGE_4" localSheetId="51">'May 20'!$A$207:$W$331</definedName>
    <definedName name="_103PAGE_4" localSheetId="55">'May 21'!$A$208:$W$334</definedName>
    <definedName name="_103PAGE_4" localSheetId="25">'Nov 13'!$A$205:$W$300</definedName>
    <definedName name="_103PAGE_4" localSheetId="29">'Nov 14'!$A$205:$W$300</definedName>
    <definedName name="_103PAGE_4" localSheetId="33">'Nov 15'!$A$205:$W$300</definedName>
    <definedName name="_103PAGE_4" localSheetId="37">'Nov 16'!$A$205:$W$300</definedName>
    <definedName name="_103PAGE_4" localSheetId="41">'Nov 17'!$A$204:$W$303</definedName>
    <definedName name="_103PAGE_4" localSheetId="45">'Nov 18'!$A$204:$W$303</definedName>
    <definedName name="_103PAGE_4" localSheetId="49">'Nov 19'!$A$207:$W$306</definedName>
    <definedName name="_103PAGE_4" localSheetId="53">'Nov 20'!$A$207:$W$333</definedName>
    <definedName name="_104PAGE_4">'Aug 07'!$A$204:$W$287</definedName>
    <definedName name="_10PAGE_1" localSheetId="14">'Feb 11'!$A$1:$W$64</definedName>
    <definedName name="_11PAGE_1" localSheetId="18">'Feb 12'!$A$1:$W$64</definedName>
    <definedName name="_12PAGE_1" localSheetId="22">'Feb 13'!$A$1:$W$64</definedName>
    <definedName name="_13PAGE_1" localSheetId="3">'May 08'!$A$1:$W$64</definedName>
    <definedName name="_14PAGE_1" localSheetId="7">'May 09'!$A$1:$W$64</definedName>
    <definedName name="_15PAGE_1" localSheetId="11">'May 10'!$A$1:$W$64</definedName>
    <definedName name="_16PAGE_1" localSheetId="15">'May 11'!$A$1:$W$64</definedName>
    <definedName name="_17PAGE_1" localSheetId="19">'May 12'!$A$1:$W$64</definedName>
    <definedName name="_18PAGE_1" localSheetId="23">'May 13'!$A$1:$W$64</definedName>
    <definedName name="_19PAGE_1" localSheetId="1">'Nov 07'!$A$1:$W$64</definedName>
    <definedName name="_1PAGE_1" localSheetId="4">'Aug 08'!$A$1:$W$64</definedName>
    <definedName name="_20PAGE_1" localSheetId="5">'Nov 08'!$A$1:$W$64</definedName>
    <definedName name="_21PAGE_1" localSheetId="9">'Nov 09'!$A$1:$W$64</definedName>
    <definedName name="_22PAGE_1" localSheetId="13">'Nov 10'!$A$1:$W$64</definedName>
    <definedName name="_23PAGE_1" localSheetId="17">'Nov 11'!$A$1:$W$64</definedName>
    <definedName name="_24PAGE_1" localSheetId="21">'Nov 12'!$A$1:$W$64</definedName>
    <definedName name="_25PAGE_1" localSheetId="28">'Aug 14'!$A$1:$W$64</definedName>
    <definedName name="_25PAGE_1" localSheetId="32">'Aug 15'!$A$1:$W$64</definedName>
    <definedName name="_25PAGE_1" localSheetId="36">'Aug 16'!$A$1:$W$64</definedName>
    <definedName name="_25PAGE_1" localSheetId="40">'Aug 17'!$A$1:$W$63</definedName>
    <definedName name="_25PAGE_1" localSheetId="44">'Aug 18'!$A$1:$W$63</definedName>
    <definedName name="_25PAGE_1" localSheetId="48">'Aug 19'!$A$1:$W$63</definedName>
    <definedName name="_25PAGE_1" localSheetId="52">'Aug 20'!$A$1:$W$63</definedName>
    <definedName name="_25PAGE_1" localSheetId="26">'Feb 14'!$A$1:$W$64</definedName>
    <definedName name="_25PAGE_1" localSheetId="30">'Feb 15'!$A$1:$W$64</definedName>
    <definedName name="_25PAGE_1" localSheetId="34">'Feb 16'!$A$1:$W$64</definedName>
    <definedName name="_25PAGE_1" localSheetId="38">'Feb 17'!$A$1:$W$63</definedName>
    <definedName name="_25PAGE_1" localSheetId="42">'Feb 18'!$A$1:$W$63</definedName>
    <definedName name="_25PAGE_1" localSheetId="46">'Feb 19'!$A$1:$W$63</definedName>
    <definedName name="_25PAGE_1" localSheetId="50">'Feb 20'!$A$1:$W$63</definedName>
    <definedName name="_25PAGE_1" localSheetId="54">'Feb 21'!$A$1:$W$63</definedName>
    <definedName name="_25PAGE_1" localSheetId="27">'May 14'!$A$1:$W$64</definedName>
    <definedName name="_25PAGE_1" localSheetId="31">'May 15'!$A$1:$W$64</definedName>
    <definedName name="_25PAGE_1" localSheetId="35">'May 16'!$A$1:$W$64</definedName>
    <definedName name="_25PAGE_1" localSheetId="39">'May 17'!$A$1:$W$63</definedName>
    <definedName name="_25PAGE_1" localSheetId="43">'May 18'!$A$1:$W$63</definedName>
    <definedName name="_25PAGE_1" localSheetId="47">'May 19'!$A$1:$W$63</definedName>
    <definedName name="_25PAGE_1" localSheetId="51">'May 20'!$A$1:$W$63</definedName>
    <definedName name="_25PAGE_1" localSheetId="55">'May 21'!$A$1:$W$63</definedName>
    <definedName name="_25PAGE_1" localSheetId="25">'Nov 13'!$A$1:$W$64</definedName>
    <definedName name="_25PAGE_1" localSheetId="29">'Nov 14'!$A$1:$W$64</definedName>
    <definedName name="_25PAGE_1" localSheetId="33">'Nov 15'!$A$1:$W$64</definedName>
    <definedName name="_25PAGE_1" localSheetId="37">'Nov 16'!$A$1:$W$64</definedName>
    <definedName name="_25PAGE_1" localSheetId="41">'Nov 17'!$A$1:$W$63</definedName>
    <definedName name="_25PAGE_1" localSheetId="45">'Nov 18'!$A$1:$W$63</definedName>
    <definedName name="_25PAGE_1" localSheetId="49">'Nov 19'!$A$1:$W$63</definedName>
    <definedName name="_25PAGE_1" localSheetId="53">'Nov 20'!$A$1:$W$63</definedName>
    <definedName name="_26PAGE_1">'Aug 07'!$A$1:$W$64</definedName>
    <definedName name="_27PAGE_2" localSheetId="4">'Aug 08'!$A$65:$W$139</definedName>
    <definedName name="_28PAGE_2" localSheetId="8">'Aug 09'!$A$65:$W$139</definedName>
    <definedName name="_29PAGE_2" localSheetId="12">'Aug 10'!$A$65:$W$138</definedName>
    <definedName name="_2PAGE_1" localSheetId="8">'Aug 09'!$A$1:$W$64</definedName>
    <definedName name="_30PAGE_2" localSheetId="16">'Aug 11'!$A$65:$W$138</definedName>
    <definedName name="_31PAGE_2" localSheetId="20">'Aug 12'!$A$65:$W$138</definedName>
    <definedName name="_32PAGE_2" localSheetId="24">'Aug 13'!$A$65:$W$138</definedName>
    <definedName name="_33PAGE_2" localSheetId="2">'Feb 08'!$A$65:$W$139</definedName>
    <definedName name="_34PAGE_2" localSheetId="6">'Feb 09'!$A$65:$W$139</definedName>
    <definedName name="_35PAGE_2" localSheetId="10">'Feb 10'!$A$65:$W$139</definedName>
    <definedName name="_36PAGE_2" localSheetId="14">'Feb 11'!$A$65:$W$138</definedName>
    <definedName name="_37PAGE_2" localSheetId="18">'Feb 12'!$A$65:$W$138</definedName>
    <definedName name="_38PAGE_2" localSheetId="22">'Feb 13'!$A$65:$W$138</definedName>
    <definedName name="_39PAGE_2" localSheetId="3">'May 08'!$A$65:$W$139</definedName>
    <definedName name="_3PAGE_1" localSheetId="12">'Aug 10'!$A$1:$W$64</definedName>
    <definedName name="_40PAGE_2" localSheetId="7">'May 09'!$A$65:$W$139</definedName>
    <definedName name="_41PAGE_2" localSheetId="11">'May 10'!$A$65:$W$138</definedName>
    <definedName name="_42PAGE_2" localSheetId="15">'May 11'!$A$65:$W$138</definedName>
    <definedName name="_43PAGE_2" localSheetId="19">'May 12'!$A$65:$W$138</definedName>
    <definedName name="_44PAGE_2" localSheetId="23">'May 13'!$A$65:$W$138</definedName>
    <definedName name="_45PAGE_2" localSheetId="1">'Nov 07'!$A$65:$W$139</definedName>
    <definedName name="_46PAGE_2" localSheetId="5">'Nov 08'!$A$65:$W$139</definedName>
    <definedName name="_47PAGE_2" localSheetId="9">'Nov 09'!$A$65:$W$139</definedName>
    <definedName name="_48PAGE_2" localSheetId="13">'Nov 10'!$A$65:$W$138</definedName>
    <definedName name="_49PAGE_2" localSheetId="17">'Nov 11'!$A$65:$W$138</definedName>
    <definedName name="_4PAGE_1" localSheetId="16">'Aug 11'!$A$1:$W$64</definedName>
    <definedName name="_50PAGE_2" localSheetId="21">'Nov 12'!$A$65:$W$138</definedName>
    <definedName name="_51PAGE_2" localSheetId="28">'Aug 14'!$A$65:$W$138</definedName>
    <definedName name="_51PAGE_2" localSheetId="32">'Aug 15'!$A$65:$W$138</definedName>
    <definedName name="_51PAGE_2" localSheetId="36">'Aug 16'!$A$65:$W$138</definedName>
    <definedName name="_51PAGE_2" localSheetId="40">'Aug 17'!$A$64:$W$137</definedName>
    <definedName name="_51PAGE_2" localSheetId="44">'Aug 18'!$A$64:$W$137</definedName>
    <definedName name="_51PAGE_2" localSheetId="48">'Aug 19'!$A$64:$W$140</definedName>
    <definedName name="_51PAGE_2" localSheetId="52">'Aug 20'!$A$64:$W$140</definedName>
    <definedName name="_51PAGE_2" localSheetId="26">'Feb 14'!$A$65:$W$138</definedName>
    <definedName name="_51PAGE_2" localSheetId="30">'Feb 15'!$A$65:$W$138</definedName>
    <definedName name="_51PAGE_2" localSheetId="34">'Feb 16'!$A$65:$W$138</definedName>
    <definedName name="_51PAGE_2" localSheetId="38">'Feb 17'!$A$64:$W$137</definedName>
    <definedName name="_51PAGE_2" localSheetId="42">'Feb 18'!$A$64:$W$137</definedName>
    <definedName name="_51PAGE_2" localSheetId="46">'Feb 19'!$A$64:$W$137</definedName>
    <definedName name="_51PAGE_2" localSheetId="50">'Feb 20'!$A$64:$W$140</definedName>
    <definedName name="_51PAGE_2" localSheetId="54">'Feb 21'!$A$64:$W$140</definedName>
    <definedName name="_51PAGE_2" localSheetId="27">'May 14'!$A$65:$W$138</definedName>
    <definedName name="_51PAGE_2" localSheetId="31">'May 15'!$A$65:$W$138</definedName>
    <definedName name="_51PAGE_2" localSheetId="35">'May 16'!$A$65:$W$138</definedName>
    <definedName name="_51PAGE_2" localSheetId="39">'May 17'!$A$64:$W$137</definedName>
    <definedName name="_51PAGE_2" localSheetId="43">'May 18'!$A$64:$W$137</definedName>
    <definedName name="_51PAGE_2" localSheetId="47">'May 19'!$A$64:$W$137</definedName>
    <definedName name="_51PAGE_2" localSheetId="51">'May 20'!$A$64:$W$140</definedName>
    <definedName name="_51PAGE_2" localSheetId="55">'May 21'!$A$64:$W$141</definedName>
    <definedName name="_51PAGE_2" localSheetId="25">'Nov 13'!$A$65:$W$138</definedName>
    <definedName name="_51PAGE_2" localSheetId="29">'Nov 14'!$A$65:$W$138</definedName>
    <definedName name="_51PAGE_2" localSheetId="33">'Nov 15'!$A$65:$W$138</definedName>
    <definedName name="_51PAGE_2" localSheetId="37">'Nov 16'!$A$65:$W$138</definedName>
    <definedName name="_51PAGE_2" localSheetId="41">'Nov 17'!$A$64:$W$137</definedName>
    <definedName name="_51PAGE_2" localSheetId="45">'Nov 18'!$A$64:$W$137</definedName>
    <definedName name="_51PAGE_2" localSheetId="49">'Nov 19'!$A$64:$W$140</definedName>
    <definedName name="_51PAGE_2" localSheetId="53">'Nov 20'!$A$64:$W$140</definedName>
    <definedName name="_52PAGE_2">'Aug 07'!$A$65:$W$138</definedName>
    <definedName name="_53PAGE_3" localSheetId="4">'Aug 08'!$A$140:$W$204</definedName>
    <definedName name="_54PAGE_3" localSheetId="8">'Aug 09'!$A$140:$W$204</definedName>
    <definedName name="_55PAGE_3" localSheetId="12">'Aug 10'!$A$139:$W$204</definedName>
    <definedName name="_56PAGE_3" localSheetId="16">'Aug 11'!$A$139:$W$204</definedName>
    <definedName name="_57PAGE_3" localSheetId="20">'Aug 12'!$A$139:$W$204</definedName>
    <definedName name="_58PAGE_3" localSheetId="24">'Aug 13'!$A$139:$W$204</definedName>
    <definedName name="_59PAGE_3" localSheetId="2">'Feb 08'!$A$140:$W$204</definedName>
    <definedName name="_5PAGE_1" localSheetId="20">'Aug 12'!$A$1:$W$64</definedName>
    <definedName name="_60PAGE_3" localSheetId="6">'Feb 09'!$A$140:$W$204</definedName>
    <definedName name="_61PAGE_3" localSheetId="10">'Feb 10'!$A$140:$W$205</definedName>
    <definedName name="_62PAGE_3" localSheetId="14">'Feb 11'!$A$139:$W$204</definedName>
    <definedName name="_63PAGE_3" localSheetId="18">'Feb 12'!$A$139:$W$204</definedName>
    <definedName name="_64PAGE_3" localSheetId="22">'Feb 13'!$A$139:$W$204</definedName>
    <definedName name="_65PAGE_3" localSheetId="3">'May 08'!$A$140:$W$204</definedName>
    <definedName name="_66PAGE_3" localSheetId="7">'May 09'!$A$140:$W$204</definedName>
    <definedName name="_67PAGE_3" localSheetId="11">'May 10'!$A$139:$W$204</definedName>
    <definedName name="_68PAGE_3" localSheetId="15">'May 11'!$A$139:$W$204</definedName>
    <definedName name="_69PAGE_3" localSheetId="19">'May 12'!$A$139:$W$204</definedName>
    <definedName name="_6PAGE_1" localSheetId="24">'Aug 13'!$A$1:$W$64</definedName>
    <definedName name="_70PAGE_3" localSheetId="23">'May 13'!$A$139:$W$204</definedName>
    <definedName name="_71PAGE_3" localSheetId="1">'Nov 07'!$A$140:$W$204</definedName>
    <definedName name="_72PAGE_3" localSheetId="5">'Nov 08'!$A$140:$W$204</definedName>
    <definedName name="_73PAGE_3" localSheetId="9">'Nov 09'!$A$140:$W$205</definedName>
    <definedName name="_74PAGE_3" localSheetId="13">'Nov 10'!$A$139:$W$204</definedName>
    <definedName name="_75PAGE_3" localSheetId="17">'Nov 11'!$A$139:$W$204</definedName>
    <definedName name="_76PAGE_3" localSheetId="21">'Nov 12'!$A$139:$W$204</definedName>
    <definedName name="_77PAGE_3" localSheetId="28">'Aug 14'!$A$139:$W$204</definedName>
    <definedName name="_77PAGE_3" localSheetId="32">'Aug 15'!$A$139:$W$204</definedName>
    <definedName name="_77PAGE_3" localSheetId="36">'Aug 16'!$A$139:$W$204</definedName>
    <definedName name="_77PAGE_3" localSheetId="40">'Aug 17'!$A$138:$W$203</definedName>
    <definedName name="_77PAGE_3" localSheetId="44">'Aug 18'!$A$138:$W$203</definedName>
    <definedName name="_77PAGE_3" localSheetId="48">'Aug 19'!$A$141:$W$206</definedName>
    <definedName name="_77PAGE_3" localSheetId="52">'Aug 20'!$A$141:$W$206</definedName>
    <definedName name="_77PAGE_3" localSheetId="26">'Feb 14'!$A$139:$W$204</definedName>
    <definedName name="_77PAGE_3" localSheetId="30">'Feb 15'!$A$139:$W$204</definedName>
    <definedName name="_77PAGE_3" localSheetId="34">'Feb 16'!$A$139:$W$204</definedName>
    <definedName name="_77PAGE_3" localSheetId="38">'Feb 17'!$A$138:$W$203</definedName>
    <definedName name="_77PAGE_3" localSheetId="42">'Feb 18'!$A$138:$W$203</definedName>
    <definedName name="_77PAGE_3" localSheetId="46">'Feb 19'!$A$138:$W$203</definedName>
    <definedName name="_77PAGE_3" localSheetId="50">'Feb 20'!$A$141:$W$206</definedName>
    <definedName name="_77PAGE_3" localSheetId="54">'Feb 21'!$A$141:$W$206</definedName>
    <definedName name="_77PAGE_3" localSheetId="27">'May 14'!$A$139:$W$204</definedName>
    <definedName name="_77PAGE_3" localSheetId="31">'May 15'!$A$139:$W$204</definedName>
    <definedName name="_77PAGE_3" localSheetId="35">'May 16'!$A$139:$W$204</definedName>
    <definedName name="_77PAGE_3" localSheetId="39">'May 17'!$A$138:$W$203</definedName>
    <definedName name="_77PAGE_3" localSheetId="43">'May 18'!$A$138:$W$203</definedName>
    <definedName name="_77PAGE_3" localSheetId="47">'May 19'!$A$138:$W$203</definedName>
    <definedName name="_77PAGE_3" localSheetId="51">'May 20'!$A$141:$W$206</definedName>
    <definedName name="_77PAGE_3" localSheetId="55">'May 21'!$A$142:$W$207</definedName>
    <definedName name="_77PAGE_3" localSheetId="25">'Nov 13'!$A$139:$W$204</definedName>
    <definedName name="_77PAGE_3" localSheetId="29">'Nov 14'!$A$139:$W$204</definedName>
    <definedName name="_77PAGE_3" localSheetId="33">'Nov 15'!$A$139:$W$204</definedName>
    <definedName name="_77PAGE_3" localSheetId="37">'Nov 16'!$A$139:$W$204</definedName>
    <definedName name="_77PAGE_3" localSheetId="41">'Nov 17'!$A$138:$W$203</definedName>
    <definedName name="_77PAGE_3" localSheetId="45">'Nov 18'!$A$138:$W$203</definedName>
    <definedName name="_77PAGE_3" localSheetId="49">'Nov 19'!$A$141:$W$206</definedName>
    <definedName name="_77PAGE_3" localSheetId="53">'Nov 20'!$A$141:$W$206</definedName>
    <definedName name="_78PAGE_3">'Aug 07'!$A$139:$W$203</definedName>
    <definedName name="_79PAGE_4" localSheetId="4">'Aug 08'!$A$205:$W$288</definedName>
    <definedName name="_7PAGE_1" localSheetId="2">'Feb 08'!$A$1:$W$64</definedName>
    <definedName name="_80PAGE_4" localSheetId="8">'Aug 09'!$A$205:$W$288</definedName>
    <definedName name="_81PAGE_4" localSheetId="12">'Aug 10'!$A$205:$W$300</definedName>
    <definedName name="_82PAGE_4" localSheetId="16">'Aug 11'!$A$205:$W$300</definedName>
    <definedName name="_83PAGE_4" localSheetId="20">'Aug 12'!$A$205:$W$300</definedName>
    <definedName name="_84PAGE_4" localSheetId="24">'Aug 13'!$A$205:$W$300</definedName>
    <definedName name="_85PAGE_4" localSheetId="2">'Feb 08'!$A$205:$W$288</definedName>
    <definedName name="_86PAGE_4" localSheetId="6">'Feb 09'!$A$205:$W$288</definedName>
    <definedName name="_87PAGE_4" localSheetId="10">'Feb 10'!$A$206:$W$289</definedName>
    <definedName name="_88PAGE_4" localSheetId="14">'Feb 11'!$A$205:$W$300</definedName>
    <definedName name="_89PAGE_4" localSheetId="18">'Feb 12'!$A$205:$W$300</definedName>
    <definedName name="_8PAGE_1" localSheetId="6">'Feb 09'!$A$1:$W$64</definedName>
    <definedName name="_90PAGE_4" localSheetId="22">'Feb 13'!$A$205:$W$300</definedName>
    <definedName name="_91PAGE_4" localSheetId="3">'May 08'!$A$205:$W$288</definedName>
    <definedName name="_92PAGE_4" localSheetId="7">'May 09'!$A$205:$W$288</definedName>
    <definedName name="_93PAGE_4" localSheetId="11">'May 10'!$A$205:$W$288</definedName>
    <definedName name="_94PAGE_4" localSheetId="15">'May 11'!$A$205:$W$300</definedName>
    <definedName name="_95PAGE_4" localSheetId="19">'May 12'!$A$205:$W$300</definedName>
    <definedName name="_96PAGE_4" localSheetId="23">'May 13'!$A$205:$W$300</definedName>
    <definedName name="_97PAGE_4" localSheetId="1">'Nov 07'!$A$205:$W$288</definedName>
    <definedName name="_98PAGE_4" localSheetId="5">'Nov 08'!$A$205:$W$288</definedName>
    <definedName name="_99PAGE_4" localSheetId="9">'Nov 09'!$A$206:$W$289</definedName>
    <definedName name="_9PAGE_1" localSheetId="10">'Feb 10'!$A$1:$W$64</definedName>
    <definedName name="_xlnm.Print_Area" localSheetId="0">'Aug 07'!$A$1:$X$288</definedName>
    <definedName name="_xlnm.Print_Area" localSheetId="4">'Aug 08'!$A$1:$X$289</definedName>
    <definedName name="_xlnm.Print_Area" localSheetId="8">'Aug 09'!$A$1:$X$289</definedName>
    <definedName name="_xlnm.Print_Area" localSheetId="12">'Aug 10'!$A$1:$X$301</definedName>
    <definedName name="_xlnm.Print_Area" localSheetId="16">'Aug 11'!$A$1:$X$301</definedName>
    <definedName name="_xlnm.Print_Area" localSheetId="20">'Aug 12'!$A$1:$X$301</definedName>
    <definedName name="_xlnm.Print_Area" localSheetId="24">'Aug 13'!$A$1:$X$301</definedName>
    <definedName name="_xlnm.Print_Area" localSheetId="28">'Aug 14'!$A$1:$X$301</definedName>
    <definedName name="_xlnm.Print_Area" localSheetId="32">'Aug 15'!$A$1:$X$301</definedName>
    <definedName name="_xlnm.Print_Area" localSheetId="36">'Aug 16'!$A$1:$X$301</definedName>
    <definedName name="_xlnm.Print_Area" localSheetId="40">'Aug 17'!$A$1:$X$304</definedName>
    <definedName name="_xlnm.Print_Area" localSheetId="44">'Aug 18'!$A$1:$X$304</definedName>
    <definedName name="_xlnm.Print_Area" localSheetId="48">'Aug 19'!$A$1:$X$307</definedName>
    <definedName name="_xlnm.Print_Area" localSheetId="52">'Aug 20'!$A$1:$X$334</definedName>
    <definedName name="_xlnm.Print_Area" localSheetId="2">'Feb 08'!$A$1:$X$289</definedName>
    <definedName name="_xlnm.Print_Area" localSheetId="6">'Feb 09'!$A$1:$X$289</definedName>
    <definedName name="_xlnm.Print_Area" localSheetId="10">'Feb 10'!$A$1:$X$290</definedName>
    <definedName name="_xlnm.Print_Area" localSheetId="14">'Feb 11'!$A$1:$X$301</definedName>
    <definedName name="_xlnm.Print_Area" localSheetId="18">'Feb 12'!$A$1:$X$301</definedName>
    <definedName name="_xlnm.Print_Area" localSheetId="22">'Feb 13'!$A$1:$X$301</definedName>
    <definedName name="_xlnm.Print_Area" localSheetId="26">'Feb 14'!$A$1:$X$301</definedName>
    <definedName name="_xlnm.Print_Area" localSheetId="30">'Feb 15'!$A$1:$X$301</definedName>
    <definedName name="_xlnm.Print_Area" localSheetId="34">'Feb 16'!$A$1:$X$301</definedName>
    <definedName name="_xlnm.Print_Area" localSheetId="38">'Feb 17'!$A$1:$X$304</definedName>
    <definedName name="_xlnm.Print_Area" localSheetId="42">'Feb 18'!$A$1:$X$304</definedName>
    <definedName name="_xlnm.Print_Area" localSheetId="46">'Feb 19'!$A$1:$X$304</definedName>
    <definedName name="_xlnm.Print_Area" localSheetId="50">'Feb 20'!$A$1:$X$307</definedName>
    <definedName name="_xlnm.Print_Area" localSheetId="54">'Feb 21'!$A$1:$X$334</definedName>
    <definedName name="_xlnm.Print_Area" localSheetId="3">'May 08'!$A$1:$X$289</definedName>
    <definedName name="_xlnm.Print_Area" localSheetId="7">'May 09'!$A$1:$X$289</definedName>
    <definedName name="_xlnm.Print_Area" localSheetId="11">'May 10'!$A$1:$X$289</definedName>
    <definedName name="_xlnm.Print_Area" localSheetId="15">'May 11'!$A$1:$X$301</definedName>
    <definedName name="_xlnm.Print_Area" localSheetId="19">'May 12'!$A$1:$X$301</definedName>
    <definedName name="_xlnm.Print_Area" localSheetId="23">'May 13'!$A$1:$X$301</definedName>
    <definedName name="_xlnm.Print_Area" localSheetId="27">'May 14'!$A$1:$X$301</definedName>
    <definedName name="_xlnm.Print_Area" localSheetId="31">'May 15'!$A$1:$X$301</definedName>
    <definedName name="_xlnm.Print_Area" localSheetId="35">'May 16'!$A$1:$X$301</definedName>
    <definedName name="_xlnm.Print_Area" localSheetId="39">'May 17'!$A$1:$X$304</definedName>
    <definedName name="_xlnm.Print_Area" localSheetId="43">'May 18'!$A$1:$X$304</definedName>
    <definedName name="_xlnm.Print_Area" localSheetId="47">'May 19'!$A$1:$X$304</definedName>
    <definedName name="_xlnm.Print_Area" localSheetId="51">'May 20'!$A$1:$X$332</definedName>
    <definedName name="_xlnm.Print_Area" localSheetId="55">'May 21'!$A$1:$X$335</definedName>
    <definedName name="_xlnm.Print_Area" localSheetId="1">'Nov 07'!$A$1:$X$289</definedName>
    <definedName name="_xlnm.Print_Area" localSheetId="5">'Nov 08'!$A$1:$X$289</definedName>
    <definedName name="_xlnm.Print_Area" localSheetId="9">'Nov 09'!$A$1:$X$290</definedName>
    <definedName name="_xlnm.Print_Area" localSheetId="13">'Nov 10'!$A$1:$X$301</definedName>
    <definedName name="_xlnm.Print_Area" localSheetId="17">'Nov 11'!$A$1:$X$301</definedName>
    <definedName name="_xlnm.Print_Area" localSheetId="21">'Nov 12'!$A$1:$X$301</definedName>
    <definedName name="_xlnm.Print_Area" localSheetId="25">'Nov 13'!$A$1:$X$301</definedName>
    <definedName name="_xlnm.Print_Area" localSheetId="29">'Nov 14'!$A$1:$X$301</definedName>
    <definedName name="_xlnm.Print_Area" localSheetId="33">'Nov 15'!$A$1:$X$301</definedName>
    <definedName name="_xlnm.Print_Area" localSheetId="37">'Nov 16'!$A$1:$X$301</definedName>
    <definedName name="_xlnm.Print_Area" localSheetId="41">'Nov 17'!$A$1:$X$304</definedName>
    <definedName name="_xlnm.Print_Area" localSheetId="45">'Nov 18'!$A$1:$X$304</definedName>
    <definedName name="_xlnm.Print_Area" localSheetId="49">'Nov 19'!$A$1:$X$307</definedName>
    <definedName name="_xlnm.Print_Area" localSheetId="53">'Nov 20'!$A$1:$X$334</definedName>
    <definedName name="_xlnm.Print_Area">'Aug 07'!$A$1:$W$64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137" i="57" l="1"/>
  <c r="V35" i="57" l="1"/>
  <c r="V105" i="57" l="1"/>
  <c r="V90" i="57"/>
  <c r="V89" i="57"/>
  <c r="T88" i="57"/>
  <c r="V36" i="57" l="1"/>
  <c r="P44" i="57" l="1"/>
  <c r="L44" i="57"/>
  <c r="F44" i="57"/>
  <c r="D44" i="57"/>
  <c r="V97" i="57" l="1"/>
  <c r="T191" i="57" l="1"/>
  <c r="T193" i="57" s="1"/>
  <c r="S191" i="57"/>
  <c r="T315" i="57"/>
  <c r="R315" i="57"/>
  <c r="S315" i="57"/>
  <c r="U301" i="57"/>
  <c r="T301" i="57"/>
  <c r="S301" i="57"/>
  <c r="R301" i="57"/>
  <c r="T289" i="57"/>
  <c r="R289" i="57"/>
  <c r="T279" i="57"/>
  <c r="R279" i="57"/>
  <c r="T267" i="57"/>
  <c r="R267" i="57"/>
  <c r="T253" i="57"/>
  <c r="R253" i="57"/>
  <c r="T252" i="57"/>
  <c r="R252" i="57"/>
  <c r="T251" i="57"/>
  <c r="R251" i="57"/>
  <c r="T250" i="57"/>
  <c r="R250" i="57"/>
  <c r="T249" i="57"/>
  <c r="R249" i="57"/>
  <c r="T248" i="57"/>
  <c r="R248" i="57"/>
  <c r="T247" i="57"/>
  <c r="R247" i="57"/>
  <c r="T246" i="57"/>
  <c r="R246" i="57"/>
  <c r="T232" i="57"/>
  <c r="T233" i="57" s="1"/>
  <c r="T230" i="57"/>
  <c r="T228" i="57"/>
  <c r="S228" i="57"/>
  <c r="T212" i="57"/>
  <c r="V192" i="57"/>
  <c r="S193" i="57"/>
  <c r="V180" i="57"/>
  <c r="V179" i="57"/>
  <c r="V178" i="57"/>
  <c r="V172" i="57"/>
  <c r="V171" i="57"/>
  <c r="V154" i="57"/>
  <c r="B141" i="57"/>
  <c r="B207" i="57" s="1"/>
  <c r="B334" i="57" s="1"/>
  <c r="T137" i="57"/>
  <c r="T128" i="57"/>
  <c r="T126" i="57"/>
  <c r="A116" i="57"/>
  <c r="A117" i="57" s="1"/>
  <c r="A118" i="57" s="1"/>
  <c r="A119" i="57" s="1"/>
  <c r="A120" i="57" s="1"/>
  <c r="A121" i="57" s="1"/>
  <c r="A122" i="57" s="1"/>
  <c r="A123" i="57" s="1"/>
  <c r="A124" i="57" s="1"/>
  <c r="T115" i="57"/>
  <c r="A115" i="57"/>
  <c r="A105" i="57"/>
  <c r="A104" i="57"/>
  <c r="T99" i="57"/>
  <c r="T98" i="57"/>
  <c r="T97" i="57"/>
  <c r="T101" i="57" s="1"/>
  <c r="V101" i="57"/>
  <c r="N86" i="57"/>
  <c r="V81" i="57"/>
  <c r="V80" i="57"/>
  <c r="T70" i="57"/>
  <c r="R70" i="57"/>
  <c r="P70" i="57"/>
  <c r="N70" i="57"/>
  <c r="N83" i="57" s="1"/>
  <c r="L70" i="57"/>
  <c r="L83" i="57" s="1"/>
  <c r="V67" i="57"/>
  <c r="V70" i="57" s="1"/>
  <c r="R57" i="57"/>
  <c r="R56" i="57"/>
  <c r="V50" i="57"/>
  <c r="P43" i="57"/>
  <c r="L43" i="57"/>
  <c r="F43" i="57"/>
  <c r="D43" i="57"/>
  <c r="R36" i="57"/>
  <c r="P36" i="57"/>
  <c r="N36" i="57"/>
  <c r="L36" i="57"/>
  <c r="J36" i="57"/>
  <c r="H36" i="57"/>
  <c r="F36" i="57"/>
  <c r="D36" i="57"/>
  <c r="R35" i="57"/>
  <c r="P35" i="57"/>
  <c r="N35" i="57"/>
  <c r="L35" i="57"/>
  <c r="J35" i="57"/>
  <c r="H35" i="57"/>
  <c r="F35" i="57"/>
  <c r="D35" i="57"/>
  <c r="V34" i="57"/>
  <c r="S190" i="57" s="1"/>
  <c r="R33" i="57"/>
  <c r="P33" i="57"/>
  <c r="N33" i="57"/>
  <c r="L33" i="57"/>
  <c r="J33" i="57"/>
  <c r="H33" i="57"/>
  <c r="F33" i="57"/>
  <c r="D33" i="57"/>
  <c r="R32" i="57"/>
  <c r="P32" i="57"/>
  <c r="N32" i="57"/>
  <c r="L32" i="57"/>
  <c r="J32" i="57"/>
  <c r="H32" i="57"/>
  <c r="F32" i="57"/>
  <c r="D32" i="57"/>
  <c r="V173" i="57" l="1"/>
  <c r="T138" i="57"/>
  <c r="V43" i="57"/>
  <c r="T215" i="57" s="1"/>
  <c r="T303" i="57"/>
  <c r="T227" i="57"/>
  <c r="S227" i="57"/>
  <c r="R255" i="57"/>
  <c r="R303" i="57"/>
  <c r="S194" i="57"/>
  <c r="V124" i="57"/>
  <c r="V138" i="57" s="1"/>
  <c r="V83" i="57"/>
  <c r="V186" i="57" s="1"/>
  <c r="V185" i="57"/>
  <c r="V193" i="57"/>
  <c r="V191" i="57"/>
  <c r="T255" i="57"/>
  <c r="V145" i="57"/>
  <c r="T137" i="56"/>
  <c r="T136" i="56"/>
  <c r="U267" i="57" l="1"/>
  <c r="U279" i="57"/>
  <c r="U289" i="57"/>
  <c r="S289" i="57"/>
  <c r="U315" i="57"/>
  <c r="S267" i="57"/>
  <c r="S279" i="57"/>
  <c r="T88" i="56"/>
  <c r="U255" i="57" l="1"/>
  <c r="S255" i="57"/>
  <c r="V36" i="56"/>
  <c r="V104" i="56" l="1"/>
  <c r="V90" i="56"/>
  <c r="V89" i="56"/>
  <c r="P44" i="56" l="1"/>
  <c r="L44" i="56"/>
  <c r="F44" i="56"/>
  <c r="D44" i="56"/>
  <c r="U316" i="56" l="1"/>
  <c r="T232" i="56" l="1"/>
  <c r="T190" i="56"/>
  <c r="T192" i="56" s="1"/>
  <c r="S190" i="56"/>
  <c r="S192" i="56" s="1"/>
  <c r="U317" i="56"/>
  <c r="T314" i="56"/>
  <c r="R314" i="56"/>
  <c r="S316" i="56" s="1"/>
  <c r="U312" i="56"/>
  <c r="U311" i="56"/>
  <c r="U310" i="56"/>
  <c r="U309" i="56"/>
  <c r="U308" i="56"/>
  <c r="U307" i="56"/>
  <c r="U306" i="56"/>
  <c r="U305" i="56"/>
  <c r="S305" i="56"/>
  <c r="U300" i="56"/>
  <c r="T300" i="56"/>
  <c r="S300" i="56"/>
  <c r="R300" i="56"/>
  <c r="T288" i="56"/>
  <c r="U284" i="56" s="1"/>
  <c r="R288" i="56"/>
  <c r="S286" i="56" s="1"/>
  <c r="S285" i="56"/>
  <c r="S282" i="56"/>
  <c r="T278" i="56"/>
  <c r="U275" i="56" s="1"/>
  <c r="R278" i="56"/>
  <c r="S276" i="56" s="1"/>
  <c r="U276" i="56"/>
  <c r="T266" i="56"/>
  <c r="R266" i="56"/>
  <c r="S258" i="56" s="1"/>
  <c r="T252" i="56"/>
  <c r="R252" i="56"/>
  <c r="T251" i="56"/>
  <c r="R251" i="56"/>
  <c r="T250" i="56"/>
  <c r="R250" i="56"/>
  <c r="T249" i="56"/>
  <c r="R249" i="56"/>
  <c r="T248" i="56"/>
  <c r="R248" i="56"/>
  <c r="T247" i="56"/>
  <c r="R247" i="56"/>
  <c r="T246" i="56"/>
  <c r="R246" i="56"/>
  <c r="T245" i="56"/>
  <c r="R245" i="56"/>
  <c r="T231" i="56"/>
  <c r="T229" i="56"/>
  <c r="T227" i="56"/>
  <c r="S227" i="56"/>
  <c r="T226" i="56"/>
  <c r="T221" i="56"/>
  <c r="T211" i="56"/>
  <c r="V191" i="56"/>
  <c r="V178" i="56"/>
  <c r="V179" i="56" s="1"/>
  <c r="V177" i="56"/>
  <c r="V171" i="56"/>
  <c r="V170" i="56"/>
  <c r="V172" i="56" s="1"/>
  <c r="V153" i="56"/>
  <c r="B140" i="56"/>
  <c r="B206" i="56" s="1"/>
  <c r="B333" i="56" s="1"/>
  <c r="T127" i="56"/>
  <c r="T125" i="56"/>
  <c r="A116" i="56"/>
  <c r="A117" i="56" s="1"/>
  <c r="A118" i="56" s="1"/>
  <c r="A119" i="56" s="1"/>
  <c r="A120" i="56" s="1"/>
  <c r="A121" i="56" s="1"/>
  <c r="A122" i="56" s="1"/>
  <c r="A123" i="56" s="1"/>
  <c r="A115" i="56"/>
  <c r="T114" i="56"/>
  <c r="A114" i="56"/>
  <c r="A103" i="56"/>
  <c r="A104" i="56" s="1"/>
  <c r="T98" i="56"/>
  <c r="T97" i="56"/>
  <c r="T96" i="56"/>
  <c r="T100" i="56" s="1"/>
  <c r="V96" i="56"/>
  <c r="V100" i="56" s="1"/>
  <c r="N86" i="56"/>
  <c r="V81" i="56"/>
  <c r="V80" i="56"/>
  <c r="T70" i="56"/>
  <c r="R70" i="56"/>
  <c r="P70" i="56"/>
  <c r="N70" i="56"/>
  <c r="N83" i="56" s="1"/>
  <c r="L70" i="56"/>
  <c r="L83" i="56" s="1"/>
  <c r="V67" i="56"/>
  <c r="V70" i="56" s="1"/>
  <c r="R57" i="56"/>
  <c r="R56" i="56"/>
  <c r="V50" i="56"/>
  <c r="P43" i="56"/>
  <c r="L43" i="56"/>
  <c r="F43" i="56"/>
  <c r="D43" i="56"/>
  <c r="R36" i="56"/>
  <c r="P36" i="56"/>
  <c r="N36" i="56"/>
  <c r="L36" i="56"/>
  <c r="J36" i="56"/>
  <c r="H36" i="56"/>
  <c r="F36" i="56"/>
  <c r="D36" i="56"/>
  <c r="R35" i="56"/>
  <c r="P35" i="56"/>
  <c r="N35" i="56"/>
  <c r="L35" i="56"/>
  <c r="J35" i="56"/>
  <c r="H35" i="56"/>
  <c r="F35" i="56"/>
  <c r="D35" i="56"/>
  <c r="V35" i="56" s="1"/>
  <c r="V34" i="56"/>
  <c r="S189" i="56" s="1"/>
  <c r="R33" i="56"/>
  <c r="P33" i="56"/>
  <c r="N33" i="56"/>
  <c r="L33" i="56"/>
  <c r="J33" i="56"/>
  <c r="H33" i="56"/>
  <c r="F33" i="56"/>
  <c r="D33" i="56"/>
  <c r="R32" i="56"/>
  <c r="P32" i="56"/>
  <c r="N32" i="56"/>
  <c r="L32" i="56"/>
  <c r="J32" i="56"/>
  <c r="H32" i="56"/>
  <c r="F32" i="56"/>
  <c r="D32" i="56"/>
  <c r="V43" i="56" l="1"/>
  <c r="T213" i="56" s="1"/>
  <c r="T214" i="56" s="1"/>
  <c r="V51" i="56"/>
  <c r="U282" i="56"/>
  <c r="U285" i="56"/>
  <c r="U283" i="56"/>
  <c r="U286" i="56"/>
  <c r="U281" i="56"/>
  <c r="S283" i="56"/>
  <c r="S281" i="56"/>
  <c r="S288" i="56" s="1"/>
  <c r="S284" i="56"/>
  <c r="U314" i="56"/>
  <c r="S307" i="56"/>
  <c r="S311" i="56"/>
  <c r="S306" i="56"/>
  <c r="S314" i="56" s="1"/>
  <c r="S308" i="56"/>
  <c r="S312" i="56"/>
  <c r="S309" i="56"/>
  <c r="S310" i="56"/>
  <c r="U269" i="56"/>
  <c r="U272" i="56"/>
  <c r="U270" i="56"/>
  <c r="T302" i="56"/>
  <c r="U315" i="56" s="1"/>
  <c r="U274" i="56"/>
  <c r="U273" i="56"/>
  <c r="U271" i="56"/>
  <c r="S226" i="56"/>
  <c r="S271" i="56"/>
  <c r="S269" i="56"/>
  <c r="S275" i="56"/>
  <c r="S273" i="56"/>
  <c r="S270" i="56"/>
  <c r="S272" i="56"/>
  <c r="S274" i="56"/>
  <c r="U257" i="56"/>
  <c r="U260" i="56"/>
  <c r="U262" i="56"/>
  <c r="U264" i="56"/>
  <c r="T254" i="56"/>
  <c r="U249" i="56" s="1"/>
  <c r="U258" i="56"/>
  <c r="U259" i="56"/>
  <c r="U261" i="56"/>
  <c r="U263" i="56"/>
  <c r="R254" i="56"/>
  <c r="S249" i="56" s="1"/>
  <c r="S257" i="56"/>
  <c r="S259" i="56"/>
  <c r="S263" i="56"/>
  <c r="S261" i="56"/>
  <c r="S260" i="56"/>
  <c r="S262" i="56"/>
  <c r="S264" i="56"/>
  <c r="R302" i="56"/>
  <c r="S315" i="56" s="1"/>
  <c r="S193" i="56"/>
  <c r="V197" i="56"/>
  <c r="T215" i="56"/>
  <c r="V201" i="56"/>
  <c r="V199" i="56"/>
  <c r="V123" i="56"/>
  <c r="V136" i="56" s="1"/>
  <c r="V137" i="56" s="1"/>
  <c r="V192" i="56"/>
  <c r="V83" i="56"/>
  <c r="V185" i="56" s="1"/>
  <c r="V184" i="56"/>
  <c r="V144" i="56"/>
  <c r="V190" i="56"/>
  <c r="S317" i="56"/>
  <c r="V107" i="55"/>
  <c r="V106" i="55"/>
  <c r="V104" i="55"/>
  <c r="V90" i="55"/>
  <c r="V89" i="55"/>
  <c r="T88" i="55"/>
  <c r="U288" i="56" l="1"/>
  <c r="U278" i="56"/>
  <c r="S248" i="56"/>
  <c r="S246" i="56"/>
  <c r="S251" i="56"/>
  <c r="S278" i="56"/>
  <c r="S252" i="56"/>
  <c r="U250" i="56"/>
  <c r="U251" i="56"/>
  <c r="U246" i="56"/>
  <c r="U247" i="56"/>
  <c r="U248" i="56"/>
  <c r="U252" i="56"/>
  <c r="U245" i="56"/>
  <c r="U266" i="56"/>
  <c r="S247" i="56"/>
  <c r="S250" i="56"/>
  <c r="S245" i="56"/>
  <c r="S266" i="56"/>
  <c r="P44" i="55"/>
  <c r="L44" i="55"/>
  <c r="F44" i="55"/>
  <c r="D44" i="55"/>
  <c r="U254" i="56" l="1"/>
  <c r="S254" i="56"/>
  <c r="T190" i="55"/>
  <c r="T192" i="55" s="1"/>
  <c r="S190" i="55"/>
  <c r="S192" i="55" s="1"/>
  <c r="U316" i="55"/>
  <c r="T314" i="55"/>
  <c r="U317" i="55" s="1"/>
  <c r="R314" i="55"/>
  <c r="S316" i="55" s="1"/>
  <c r="U312" i="55"/>
  <c r="U309" i="55"/>
  <c r="U308" i="55"/>
  <c r="U307" i="55"/>
  <c r="U306" i="55"/>
  <c r="U305" i="55"/>
  <c r="U300" i="55"/>
  <c r="T300" i="55"/>
  <c r="T227" i="55" s="1"/>
  <c r="S300" i="55"/>
  <c r="R300" i="55"/>
  <c r="T288" i="55"/>
  <c r="U286" i="55" s="1"/>
  <c r="R288" i="55"/>
  <c r="S286" i="55" s="1"/>
  <c r="T278" i="55"/>
  <c r="U274" i="55" s="1"/>
  <c r="R278" i="55"/>
  <c r="S276" i="55" s="1"/>
  <c r="T266" i="55"/>
  <c r="U263" i="55" s="1"/>
  <c r="R266" i="55"/>
  <c r="S264" i="55" s="1"/>
  <c r="T252" i="55"/>
  <c r="R252" i="55"/>
  <c r="T251" i="55"/>
  <c r="R251" i="55"/>
  <c r="T250" i="55"/>
  <c r="R250" i="55"/>
  <c r="T249" i="55"/>
  <c r="R249" i="55"/>
  <c r="T248" i="55"/>
  <c r="R248" i="55"/>
  <c r="T247" i="55"/>
  <c r="R247" i="55"/>
  <c r="T246" i="55"/>
  <c r="R246" i="55"/>
  <c r="T245" i="55"/>
  <c r="R245" i="55"/>
  <c r="T231" i="55"/>
  <c r="T232" i="55" s="1"/>
  <c r="T229" i="55"/>
  <c r="S227" i="55"/>
  <c r="T221" i="55"/>
  <c r="T211" i="55"/>
  <c r="V191" i="55"/>
  <c r="V178" i="55"/>
  <c r="V177" i="55"/>
  <c r="V179" i="55" s="1"/>
  <c r="V171" i="55"/>
  <c r="V170" i="55"/>
  <c r="V153" i="55"/>
  <c r="B140" i="55"/>
  <c r="B206" i="55" s="1"/>
  <c r="B333" i="55" s="1"/>
  <c r="T127" i="55"/>
  <c r="T125" i="55"/>
  <c r="T136" i="55" s="1"/>
  <c r="A116" i="55"/>
  <c r="A117" i="55" s="1"/>
  <c r="A118" i="55" s="1"/>
  <c r="A119" i="55" s="1"/>
  <c r="A120" i="55" s="1"/>
  <c r="A121" i="55" s="1"/>
  <c r="A122" i="55" s="1"/>
  <c r="A123" i="55" s="1"/>
  <c r="A115" i="55"/>
  <c r="T114" i="55"/>
  <c r="A114" i="55"/>
  <c r="A103" i="55"/>
  <c r="A104" i="55" s="1"/>
  <c r="T98" i="55"/>
  <c r="T97" i="55"/>
  <c r="T96" i="55"/>
  <c r="V96" i="55"/>
  <c r="V100" i="55" s="1"/>
  <c r="N86" i="55"/>
  <c r="V81" i="55"/>
  <c r="V80" i="55"/>
  <c r="T70" i="55"/>
  <c r="R70" i="55"/>
  <c r="P70" i="55"/>
  <c r="N70" i="55"/>
  <c r="N83" i="55" s="1"/>
  <c r="L70" i="55"/>
  <c r="L83" i="55" s="1"/>
  <c r="V67" i="55"/>
  <c r="V70" i="55" s="1"/>
  <c r="R57" i="55"/>
  <c r="R56" i="55"/>
  <c r="V50" i="55"/>
  <c r="P43" i="55"/>
  <c r="L43" i="55"/>
  <c r="F43" i="55"/>
  <c r="D43" i="55"/>
  <c r="R36" i="55"/>
  <c r="P36" i="55"/>
  <c r="N36" i="55"/>
  <c r="L36" i="55"/>
  <c r="J36" i="55"/>
  <c r="H36" i="55"/>
  <c r="F36" i="55"/>
  <c r="D36" i="55"/>
  <c r="R35" i="55"/>
  <c r="P35" i="55"/>
  <c r="N35" i="55"/>
  <c r="L35" i="55"/>
  <c r="J35" i="55"/>
  <c r="H35" i="55"/>
  <c r="F35" i="55"/>
  <c r="D35" i="55"/>
  <c r="V34" i="55"/>
  <c r="S189" i="55" s="1"/>
  <c r="R33" i="55"/>
  <c r="P33" i="55"/>
  <c r="N33" i="55"/>
  <c r="L33" i="55"/>
  <c r="J33" i="55"/>
  <c r="H33" i="55"/>
  <c r="F33" i="55"/>
  <c r="D33" i="55"/>
  <c r="R32" i="55"/>
  <c r="P32" i="55"/>
  <c r="N32" i="55"/>
  <c r="L32" i="55"/>
  <c r="J32" i="55"/>
  <c r="H32" i="55"/>
  <c r="F32" i="55"/>
  <c r="D32" i="55"/>
  <c r="V35" i="55" l="1"/>
  <c r="T100" i="55"/>
  <c r="T137" i="55" s="1"/>
  <c r="S271" i="55"/>
  <c r="V172" i="55"/>
  <c r="V43" i="55"/>
  <c r="T213" i="55" s="1"/>
  <c r="T214" i="55" s="1"/>
  <c r="V36" i="55"/>
  <c r="V51" i="55"/>
  <c r="U264" i="55"/>
  <c r="U258" i="55"/>
  <c r="U259" i="55"/>
  <c r="U261" i="55"/>
  <c r="U262" i="55"/>
  <c r="U260" i="55"/>
  <c r="U257" i="55"/>
  <c r="S259" i="55"/>
  <c r="S262" i="55"/>
  <c r="S257" i="55"/>
  <c r="S260" i="55"/>
  <c r="S263" i="55"/>
  <c r="S258" i="55"/>
  <c r="S261" i="55"/>
  <c r="U281" i="55"/>
  <c r="U282" i="55"/>
  <c r="U284" i="55"/>
  <c r="U283" i="55"/>
  <c r="U285" i="55"/>
  <c r="S281" i="55"/>
  <c r="S284" i="55"/>
  <c r="S285" i="55"/>
  <c r="S282" i="55"/>
  <c r="S283" i="55"/>
  <c r="U276" i="55"/>
  <c r="U270" i="55"/>
  <c r="U271" i="55"/>
  <c r="U272" i="55"/>
  <c r="T226" i="55"/>
  <c r="U275" i="55"/>
  <c r="T302" i="55"/>
  <c r="U315" i="55" s="1"/>
  <c r="U273" i="55"/>
  <c r="U269" i="55"/>
  <c r="R254" i="55"/>
  <c r="S252" i="55" s="1"/>
  <c r="S274" i="55"/>
  <c r="S269" i="55"/>
  <c r="S272" i="55"/>
  <c r="S275" i="55"/>
  <c r="S226" i="55"/>
  <c r="S270" i="55"/>
  <c r="S273" i="55"/>
  <c r="R302" i="55"/>
  <c r="S315" i="55" s="1"/>
  <c r="U310" i="55"/>
  <c r="S307" i="55"/>
  <c r="S311" i="55"/>
  <c r="S308" i="55"/>
  <c r="S305" i="55"/>
  <c r="S306" i="55"/>
  <c r="S309" i="55"/>
  <c r="S310" i="55"/>
  <c r="S312" i="55"/>
  <c r="V197" i="55"/>
  <c r="T215" i="55"/>
  <c r="V199" i="55"/>
  <c r="V123" i="55"/>
  <c r="V136" i="55" s="1"/>
  <c r="V137" i="55" s="1"/>
  <c r="V201" i="55"/>
  <c r="S193" i="55"/>
  <c r="V83" i="55"/>
  <c r="V185" i="55" s="1"/>
  <c r="V184" i="55"/>
  <c r="V192" i="55"/>
  <c r="V144" i="55"/>
  <c r="V190" i="55"/>
  <c r="T254" i="55"/>
  <c r="U245" i="55" s="1"/>
  <c r="S317" i="55"/>
  <c r="U311" i="55"/>
  <c r="U314" i="55" s="1"/>
  <c r="V104" i="54"/>
  <c r="V90" i="54"/>
  <c r="V89" i="54"/>
  <c r="T88" i="54"/>
  <c r="U266" i="55" l="1"/>
  <c r="S246" i="55"/>
  <c r="S245" i="55"/>
  <c r="S248" i="55"/>
  <c r="S247" i="55"/>
  <c r="S249" i="55"/>
  <c r="S266" i="55"/>
  <c r="S251" i="55"/>
  <c r="U288" i="55"/>
  <c r="S288" i="55"/>
  <c r="U252" i="55"/>
  <c r="U278" i="55"/>
  <c r="U251" i="55"/>
  <c r="S250" i="55"/>
  <c r="S278" i="55"/>
  <c r="S314" i="55"/>
  <c r="U249" i="55"/>
  <c r="U248" i="55"/>
  <c r="U247" i="55"/>
  <c r="U250" i="55"/>
  <c r="U246" i="55"/>
  <c r="P44" i="54"/>
  <c r="L44" i="54"/>
  <c r="F44" i="54"/>
  <c r="D44" i="54"/>
  <c r="S254" i="55" l="1"/>
  <c r="U254" i="55"/>
  <c r="S315" i="54"/>
  <c r="S316" i="54" l="1"/>
  <c r="U317" i="54"/>
  <c r="S317" i="54"/>
  <c r="U316" i="54"/>
  <c r="T314" i="54" l="1"/>
  <c r="U312" i="54" s="1"/>
  <c r="R314" i="54"/>
  <c r="S312" i="54" s="1"/>
  <c r="U300" i="54"/>
  <c r="T300" i="54"/>
  <c r="T227" i="54" s="1"/>
  <c r="S300" i="54"/>
  <c r="R300" i="54"/>
  <c r="S227" i="54" s="1"/>
  <c r="T288" i="54"/>
  <c r="U285" i="54" s="1"/>
  <c r="R288" i="54"/>
  <c r="S286" i="54" s="1"/>
  <c r="T278" i="54"/>
  <c r="U271" i="54" s="1"/>
  <c r="R278" i="54"/>
  <c r="S276" i="54" s="1"/>
  <c r="T266" i="54"/>
  <c r="U262" i="54" s="1"/>
  <c r="R266" i="54"/>
  <c r="S264" i="54" s="1"/>
  <c r="T252" i="54"/>
  <c r="R252" i="54"/>
  <c r="T251" i="54"/>
  <c r="R251" i="54"/>
  <c r="T250" i="54"/>
  <c r="R250" i="54"/>
  <c r="T249" i="54"/>
  <c r="R249" i="54"/>
  <c r="T248" i="54"/>
  <c r="R248" i="54"/>
  <c r="T247" i="54"/>
  <c r="R247" i="54"/>
  <c r="T246" i="54"/>
  <c r="R246" i="54"/>
  <c r="T245" i="54"/>
  <c r="R245" i="54"/>
  <c r="T231" i="54"/>
  <c r="T229" i="54"/>
  <c r="T221" i="54"/>
  <c r="T211" i="54"/>
  <c r="V191" i="54"/>
  <c r="V178" i="54"/>
  <c r="V171" i="54"/>
  <c r="V170" i="54"/>
  <c r="V153" i="54"/>
  <c r="B140" i="54"/>
  <c r="B206" i="54" s="1"/>
  <c r="B333" i="54" s="1"/>
  <c r="T136" i="54"/>
  <c r="T127" i="54"/>
  <c r="T125" i="54"/>
  <c r="A115" i="54"/>
  <c r="A116" i="54" s="1"/>
  <c r="A117" i="54" s="1"/>
  <c r="A118" i="54" s="1"/>
  <c r="A119" i="54" s="1"/>
  <c r="A120" i="54" s="1"/>
  <c r="A121" i="54" s="1"/>
  <c r="A122" i="54" s="1"/>
  <c r="A123" i="54" s="1"/>
  <c r="T114" i="54"/>
  <c r="A114" i="54"/>
  <c r="A104" i="54"/>
  <c r="A103" i="54"/>
  <c r="T98" i="54"/>
  <c r="T97" i="54"/>
  <c r="T96" i="54"/>
  <c r="T100" i="54" s="1"/>
  <c r="V96" i="54"/>
  <c r="V100" i="54" s="1"/>
  <c r="N86" i="54"/>
  <c r="V81" i="54"/>
  <c r="V80" i="54"/>
  <c r="T70" i="54"/>
  <c r="R70" i="54"/>
  <c r="P70" i="54"/>
  <c r="N70" i="54"/>
  <c r="N83" i="54" s="1"/>
  <c r="L70" i="54"/>
  <c r="L83" i="54" s="1"/>
  <c r="V67" i="54"/>
  <c r="V70" i="54" s="1"/>
  <c r="R57" i="54"/>
  <c r="R56" i="54"/>
  <c r="V50" i="54"/>
  <c r="P43" i="54"/>
  <c r="L43" i="54"/>
  <c r="F43" i="54"/>
  <c r="D43" i="54"/>
  <c r="R36" i="54"/>
  <c r="P36" i="54"/>
  <c r="N36" i="54"/>
  <c r="L36" i="54"/>
  <c r="J36" i="54"/>
  <c r="H36" i="54"/>
  <c r="F36" i="54"/>
  <c r="D36" i="54"/>
  <c r="R35" i="54"/>
  <c r="P35" i="54"/>
  <c r="N35" i="54"/>
  <c r="L35" i="54"/>
  <c r="J35" i="54"/>
  <c r="H35" i="54"/>
  <c r="F35" i="54"/>
  <c r="D35" i="54"/>
  <c r="V34" i="54"/>
  <c r="S189" i="54" s="1"/>
  <c r="R33" i="54"/>
  <c r="P33" i="54"/>
  <c r="N33" i="54"/>
  <c r="L33" i="54"/>
  <c r="J33" i="54"/>
  <c r="H33" i="54"/>
  <c r="F33" i="54"/>
  <c r="D33" i="54"/>
  <c r="R32" i="54"/>
  <c r="P32" i="54"/>
  <c r="N32" i="54"/>
  <c r="L32" i="54"/>
  <c r="J32" i="54"/>
  <c r="H32" i="54"/>
  <c r="F32" i="54"/>
  <c r="D32" i="54"/>
  <c r="T226" i="54" l="1"/>
  <c r="V172" i="54"/>
  <c r="T137" i="54"/>
  <c r="U282" i="54"/>
  <c r="S281" i="54"/>
  <c r="S283" i="54"/>
  <c r="S285" i="54"/>
  <c r="S307" i="54"/>
  <c r="S311" i="54"/>
  <c r="S305" i="54"/>
  <c r="S309" i="54"/>
  <c r="S308" i="54"/>
  <c r="S306" i="54"/>
  <c r="S310" i="54"/>
  <c r="U270" i="54"/>
  <c r="U272" i="54"/>
  <c r="U274" i="54"/>
  <c r="U269" i="54"/>
  <c r="U275" i="54"/>
  <c r="U257" i="54"/>
  <c r="U260" i="54"/>
  <c r="U261" i="54"/>
  <c r="U258" i="54"/>
  <c r="U264" i="54"/>
  <c r="U259" i="54"/>
  <c r="T302" i="54"/>
  <c r="U315" i="54" s="1"/>
  <c r="S263" i="54"/>
  <c r="S260" i="54"/>
  <c r="S258" i="54"/>
  <c r="S273" i="54"/>
  <c r="U283" i="54"/>
  <c r="U286" i="54"/>
  <c r="R254" i="54"/>
  <c r="S252" i="54" s="1"/>
  <c r="S257" i="54"/>
  <c r="S259" i="54"/>
  <c r="S261" i="54"/>
  <c r="U263" i="54"/>
  <c r="S269" i="54"/>
  <c r="S271" i="54"/>
  <c r="U273" i="54"/>
  <c r="U276" i="54"/>
  <c r="U281" i="54"/>
  <c r="U284" i="54"/>
  <c r="U305" i="54"/>
  <c r="U307" i="54"/>
  <c r="U309" i="54"/>
  <c r="V35" i="54"/>
  <c r="V43" i="54" s="1"/>
  <c r="T213" i="54" s="1"/>
  <c r="T214" i="54" s="1"/>
  <c r="V36" i="54"/>
  <c r="V51" i="54"/>
  <c r="S226" i="54"/>
  <c r="S270" i="54"/>
  <c r="S275" i="54"/>
  <c r="R302" i="54"/>
  <c r="U306" i="54"/>
  <c r="U308" i="54"/>
  <c r="U310" i="54"/>
  <c r="V197" i="54"/>
  <c r="T215" i="54"/>
  <c r="V123" i="54"/>
  <c r="V136" i="54" s="1"/>
  <c r="V137" i="54" s="1"/>
  <c r="V201" i="54"/>
  <c r="V199" i="54"/>
  <c r="V83" i="54"/>
  <c r="V185" i="54" s="1"/>
  <c r="V184" i="54"/>
  <c r="T254" i="54"/>
  <c r="U247" i="54" s="1"/>
  <c r="S262" i="54"/>
  <c r="S272" i="54"/>
  <c r="S274" i="54"/>
  <c r="S282" i="54"/>
  <c r="S284" i="54"/>
  <c r="V144" i="54"/>
  <c r="U311" i="54"/>
  <c r="U314" i="54" l="1"/>
  <c r="S314" i="54"/>
  <c r="U278" i="54"/>
  <c r="U266" i="54"/>
  <c r="S246" i="54"/>
  <c r="S251" i="54"/>
  <c r="S245" i="54"/>
  <c r="S247" i="54"/>
  <c r="S248" i="54"/>
  <c r="S249" i="54"/>
  <c r="S250" i="54"/>
  <c r="U246" i="54"/>
  <c r="U288" i="54"/>
  <c r="S278" i="54"/>
  <c r="U252" i="54"/>
  <c r="U249" i="54"/>
  <c r="S266" i="54"/>
  <c r="U250" i="54"/>
  <c r="U251" i="54"/>
  <c r="S288" i="54"/>
  <c r="U248" i="54"/>
  <c r="U245" i="54"/>
  <c r="S254" i="54" l="1"/>
  <c r="U254" i="54"/>
  <c r="V104" i="53"/>
  <c r="V90" i="53"/>
  <c r="V89" i="53"/>
  <c r="T88" i="53"/>
  <c r="P44" i="53"/>
  <c r="L44" i="53"/>
  <c r="F44" i="53"/>
  <c r="D44" i="53"/>
  <c r="T288" i="53" l="1"/>
  <c r="U286" i="53" s="1"/>
  <c r="R288" i="53"/>
  <c r="S283" i="53" s="1"/>
  <c r="U283" i="53" l="1"/>
  <c r="U284" i="53"/>
  <c r="S281" i="53"/>
  <c r="U281" i="53"/>
  <c r="U285" i="53"/>
  <c r="U282" i="53"/>
  <c r="S285" i="53"/>
  <c r="S282" i="53"/>
  <c r="S284" i="53"/>
  <c r="S286" i="53"/>
  <c r="T314" i="53"/>
  <c r="R314" i="53"/>
  <c r="U300" i="53"/>
  <c r="T300" i="53"/>
  <c r="T227" i="53" s="1"/>
  <c r="S300" i="53"/>
  <c r="R300" i="53"/>
  <c r="T278" i="53"/>
  <c r="U276" i="53" s="1"/>
  <c r="R278" i="53"/>
  <c r="S276" i="53" s="1"/>
  <c r="T266" i="53"/>
  <c r="U263" i="53" s="1"/>
  <c r="R266" i="53"/>
  <c r="S264" i="53" s="1"/>
  <c r="T252" i="53"/>
  <c r="R252" i="53"/>
  <c r="T251" i="53"/>
  <c r="R251" i="53"/>
  <c r="T250" i="53"/>
  <c r="R250" i="53"/>
  <c r="T249" i="53"/>
  <c r="R249" i="53"/>
  <c r="T248" i="53"/>
  <c r="R248" i="53"/>
  <c r="T247" i="53"/>
  <c r="R247" i="53"/>
  <c r="T246" i="53"/>
  <c r="R246" i="53"/>
  <c r="T245" i="53"/>
  <c r="R245" i="53"/>
  <c r="T231" i="53"/>
  <c r="T229" i="53"/>
  <c r="T221" i="53"/>
  <c r="T211" i="53"/>
  <c r="V191" i="53"/>
  <c r="V178" i="53"/>
  <c r="V171" i="53"/>
  <c r="V170" i="53"/>
  <c r="V153" i="53"/>
  <c r="B140" i="53"/>
  <c r="B206" i="53" s="1"/>
  <c r="B331" i="53" s="1"/>
  <c r="T127" i="53"/>
  <c r="T125" i="53"/>
  <c r="T136" i="53" s="1"/>
  <c r="T114" i="53"/>
  <c r="A114" i="53"/>
  <c r="A115" i="53" s="1"/>
  <c r="A116" i="53" s="1"/>
  <c r="A117" i="53" s="1"/>
  <c r="A118" i="53" s="1"/>
  <c r="A119" i="53" s="1"/>
  <c r="A120" i="53" s="1"/>
  <c r="A121" i="53" s="1"/>
  <c r="A122" i="53" s="1"/>
  <c r="A123" i="53" s="1"/>
  <c r="A103" i="53"/>
  <c r="A104" i="53" s="1"/>
  <c r="T98" i="53"/>
  <c r="T97" i="53"/>
  <c r="V96" i="53"/>
  <c r="V100" i="53" s="1"/>
  <c r="V123" i="53" s="1"/>
  <c r="T96" i="53"/>
  <c r="N86" i="53"/>
  <c r="V81" i="53"/>
  <c r="V80" i="53"/>
  <c r="T70" i="53"/>
  <c r="R70" i="53"/>
  <c r="P70" i="53"/>
  <c r="N70" i="53"/>
  <c r="N83" i="53" s="1"/>
  <c r="L70" i="53"/>
  <c r="L83" i="53" s="1"/>
  <c r="V67" i="53"/>
  <c r="V70" i="53" s="1"/>
  <c r="R57" i="53"/>
  <c r="R56" i="53"/>
  <c r="V50" i="53"/>
  <c r="P43" i="53"/>
  <c r="L43" i="53"/>
  <c r="F43" i="53"/>
  <c r="D43" i="53"/>
  <c r="R36" i="53"/>
  <c r="P36" i="53"/>
  <c r="N36" i="53"/>
  <c r="L36" i="53"/>
  <c r="J36" i="53"/>
  <c r="H36" i="53"/>
  <c r="F36" i="53"/>
  <c r="D36" i="53"/>
  <c r="R35" i="53"/>
  <c r="P35" i="53"/>
  <c r="N35" i="53"/>
  <c r="L35" i="53"/>
  <c r="J35" i="53"/>
  <c r="H35" i="53"/>
  <c r="F35" i="53"/>
  <c r="D35" i="53"/>
  <c r="V34" i="53"/>
  <c r="V144" i="53" s="1"/>
  <c r="R33" i="53"/>
  <c r="P33" i="53"/>
  <c r="N33" i="53"/>
  <c r="L33" i="53"/>
  <c r="J33" i="53"/>
  <c r="H33" i="53"/>
  <c r="F33" i="53"/>
  <c r="D33" i="53"/>
  <c r="R32" i="53"/>
  <c r="P32" i="53"/>
  <c r="N32" i="53"/>
  <c r="L32" i="53"/>
  <c r="J32" i="53"/>
  <c r="H32" i="53"/>
  <c r="F32" i="53"/>
  <c r="D32" i="53"/>
  <c r="T100" i="53" l="1"/>
  <c r="T137" i="53" s="1"/>
  <c r="S288" i="53"/>
  <c r="U288" i="53"/>
  <c r="U312" i="53"/>
  <c r="U308" i="53"/>
  <c r="U311" i="53"/>
  <c r="U307" i="53"/>
  <c r="U309" i="53"/>
  <c r="U305" i="53"/>
  <c r="U310" i="53"/>
  <c r="U306" i="53"/>
  <c r="S312" i="53"/>
  <c r="S308" i="53"/>
  <c r="S311" i="53"/>
  <c r="S307" i="53"/>
  <c r="S310" i="53"/>
  <c r="S306" i="53"/>
  <c r="S309" i="53"/>
  <c r="S305" i="53"/>
  <c r="U273" i="53"/>
  <c r="U275" i="53"/>
  <c r="U271" i="53"/>
  <c r="U269" i="53"/>
  <c r="S269" i="53"/>
  <c r="U258" i="53"/>
  <c r="U260" i="53"/>
  <c r="U259" i="53"/>
  <c r="U257" i="53"/>
  <c r="U262" i="53"/>
  <c r="S260" i="53"/>
  <c r="S258" i="53"/>
  <c r="S262" i="53"/>
  <c r="S274" i="53"/>
  <c r="S226" i="53"/>
  <c r="U264" i="53"/>
  <c r="S272" i="53"/>
  <c r="S275" i="53"/>
  <c r="S270" i="53"/>
  <c r="S273" i="53"/>
  <c r="S271" i="53"/>
  <c r="T254" i="53"/>
  <c r="U246" i="53" s="1"/>
  <c r="V51" i="53"/>
  <c r="V172" i="53"/>
  <c r="S189" i="53"/>
  <c r="R302" i="53"/>
  <c r="R315" i="53" s="1"/>
  <c r="V36" i="53"/>
  <c r="T226" i="53"/>
  <c r="S263" i="53"/>
  <c r="U270" i="53"/>
  <c r="U272" i="53"/>
  <c r="U274" i="53"/>
  <c r="V35" i="53"/>
  <c r="S227" i="53"/>
  <c r="S257" i="53"/>
  <c r="S259" i="53"/>
  <c r="S261" i="53"/>
  <c r="T302" i="53"/>
  <c r="T315" i="53" s="1"/>
  <c r="V184" i="53"/>
  <c r="V83" i="53"/>
  <c r="V185" i="53" s="1"/>
  <c r="V201" i="53"/>
  <c r="V199" i="53"/>
  <c r="T215" i="53"/>
  <c r="V197" i="53"/>
  <c r="V136" i="53"/>
  <c r="V137" i="53" s="1"/>
  <c r="R254" i="53"/>
  <c r="S246" i="53" s="1"/>
  <c r="U261" i="53"/>
  <c r="V43" i="53" l="1"/>
  <c r="T213" i="53" s="1"/>
  <c r="T214" i="53" s="1"/>
  <c r="U314" i="53"/>
  <c r="S278" i="53"/>
  <c r="U251" i="53"/>
  <c r="U245" i="53"/>
  <c r="U249" i="53"/>
  <c r="U247" i="53"/>
  <c r="U248" i="53"/>
  <c r="U250" i="53"/>
  <c r="U252" i="53"/>
  <c r="U266" i="53"/>
  <c r="U278" i="53"/>
  <c r="S314" i="53"/>
  <c r="S247" i="53"/>
  <c r="S266" i="53"/>
  <c r="S250" i="53"/>
  <c r="S252" i="53"/>
  <c r="S245" i="53"/>
  <c r="S251" i="53"/>
  <c r="S248" i="53"/>
  <c r="S249" i="53"/>
  <c r="V107" i="52"/>
  <c r="V106" i="52"/>
  <c r="V104" i="52"/>
  <c r="V90" i="52"/>
  <c r="V89" i="52"/>
  <c r="T88" i="52"/>
  <c r="U254" i="53" l="1"/>
  <c r="S254" i="53"/>
  <c r="P44" i="52"/>
  <c r="L44" i="52"/>
  <c r="F44" i="52"/>
  <c r="D44" i="52"/>
  <c r="U290" i="52" l="1"/>
  <c r="T290" i="52"/>
  <c r="S290" i="52"/>
  <c r="R290" i="52"/>
  <c r="S227" i="52" s="1"/>
  <c r="T278" i="52"/>
  <c r="U275" i="52" s="1"/>
  <c r="R278" i="52"/>
  <c r="S276" i="52" s="1"/>
  <c r="T266" i="52"/>
  <c r="U263" i="52" s="1"/>
  <c r="R266" i="52"/>
  <c r="S263" i="52" s="1"/>
  <c r="T252" i="52"/>
  <c r="R252" i="52"/>
  <c r="T251" i="52"/>
  <c r="R251" i="52"/>
  <c r="T250" i="52"/>
  <c r="R250" i="52"/>
  <c r="T249" i="52"/>
  <c r="R249" i="52"/>
  <c r="T248" i="52"/>
  <c r="R248" i="52"/>
  <c r="T247" i="52"/>
  <c r="R247" i="52"/>
  <c r="T246" i="52"/>
  <c r="R246" i="52"/>
  <c r="T245" i="52"/>
  <c r="R245" i="52"/>
  <c r="T231" i="52"/>
  <c r="T229" i="52"/>
  <c r="T221" i="52"/>
  <c r="T211" i="52"/>
  <c r="V191" i="52"/>
  <c r="V178" i="52"/>
  <c r="V173" i="52"/>
  <c r="V171" i="52"/>
  <c r="V170" i="52"/>
  <c r="V172" i="52" s="1"/>
  <c r="V153" i="52"/>
  <c r="B140" i="52"/>
  <c r="B206" i="52" s="1"/>
  <c r="B306" i="52" s="1"/>
  <c r="T127" i="52"/>
  <c r="T125" i="52"/>
  <c r="A115" i="52"/>
  <c r="A116" i="52" s="1"/>
  <c r="A117" i="52" s="1"/>
  <c r="A118" i="52" s="1"/>
  <c r="A119" i="52" s="1"/>
  <c r="A120" i="52" s="1"/>
  <c r="A121" i="52" s="1"/>
  <c r="A122" i="52" s="1"/>
  <c r="A123" i="52" s="1"/>
  <c r="T114" i="52"/>
  <c r="A114" i="52"/>
  <c r="A103" i="52"/>
  <c r="A104" i="52" s="1"/>
  <c r="T98" i="52"/>
  <c r="T97" i="52"/>
  <c r="V96" i="52"/>
  <c r="V100" i="52" s="1"/>
  <c r="T96" i="52"/>
  <c r="N86" i="52"/>
  <c r="V81" i="52"/>
  <c r="V80" i="52"/>
  <c r="T70" i="52"/>
  <c r="R70" i="52"/>
  <c r="P70" i="52"/>
  <c r="N70" i="52"/>
  <c r="N83" i="52" s="1"/>
  <c r="L70" i="52"/>
  <c r="L83" i="52" s="1"/>
  <c r="V67" i="52"/>
  <c r="V70" i="52" s="1"/>
  <c r="R57" i="52"/>
  <c r="R56" i="52"/>
  <c r="V50" i="52"/>
  <c r="P43" i="52"/>
  <c r="L43" i="52"/>
  <c r="F43" i="52"/>
  <c r="D43" i="52"/>
  <c r="R36" i="52"/>
  <c r="P36" i="52"/>
  <c r="N36" i="52"/>
  <c r="L36" i="52"/>
  <c r="J36" i="52"/>
  <c r="H36" i="52"/>
  <c r="F36" i="52"/>
  <c r="D36" i="52"/>
  <c r="R35" i="52"/>
  <c r="P35" i="52"/>
  <c r="N35" i="52"/>
  <c r="L35" i="52"/>
  <c r="J35" i="52"/>
  <c r="H35" i="52"/>
  <c r="F35" i="52"/>
  <c r="D35" i="52"/>
  <c r="V34" i="52"/>
  <c r="V144" i="52" s="1"/>
  <c r="R33" i="52"/>
  <c r="P33" i="52"/>
  <c r="N33" i="52"/>
  <c r="L33" i="52"/>
  <c r="J33" i="52"/>
  <c r="H33" i="52"/>
  <c r="F33" i="52"/>
  <c r="D33" i="52"/>
  <c r="R32" i="52"/>
  <c r="P32" i="52"/>
  <c r="N32" i="52"/>
  <c r="L32" i="52"/>
  <c r="J32" i="52"/>
  <c r="H32" i="52"/>
  <c r="F32" i="52"/>
  <c r="D32" i="52"/>
  <c r="T215" i="52" l="1"/>
  <c r="T136" i="52"/>
  <c r="T100" i="52"/>
  <c r="T137" i="52"/>
  <c r="V36" i="52"/>
  <c r="V51" i="52"/>
  <c r="V35" i="52"/>
  <c r="V43" i="52" s="1"/>
  <c r="T213" i="52" s="1"/>
  <c r="T214" i="52" s="1"/>
  <c r="T226" i="52"/>
  <c r="S272" i="52"/>
  <c r="S275" i="52"/>
  <c r="S271" i="52"/>
  <c r="S269" i="52"/>
  <c r="S273" i="52"/>
  <c r="S226" i="52"/>
  <c r="S270" i="52"/>
  <c r="S274" i="52"/>
  <c r="T292" i="52"/>
  <c r="S264" i="52"/>
  <c r="S260" i="52"/>
  <c r="S257" i="52"/>
  <c r="S261" i="52"/>
  <c r="R292" i="52"/>
  <c r="S258" i="52"/>
  <c r="S262" i="52"/>
  <c r="S259" i="52"/>
  <c r="V184" i="52"/>
  <c r="V83" i="52"/>
  <c r="V185" i="52" s="1"/>
  <c r="V199" i="52"/>
  <c r="V201" i="52"/>
  <c r="V197" i="52"/>
  <c r="V123" i="52"/>
  <c r="V136" i="52" s="1"/>
  <c r="V137" i="52" s="1"/>
  <c r="T254" i="52"/>
  <c r="U249" i="52" s="1"/>
  <c r="S189" i="52"/>
  <c r="U260" i="52"/>
  <c r="U262" i="52"/>
  <c r="U264" i="52"/>
  <c r="U270" i="52"/>
  <c r="U272" i="52"/>
  <c r="U274" i="52"/>
  <c r="U276" i="52"/>
  <c r="T227" i="52"/>
  <c r="R254" i="52"/>
  <c r="S245" i="52" s="1"/>
  <c r="U258" i="52"/>
  <c r="U257" i="52"/>
  <c r="U259" i="52"/>
  <c r="U261" i="52"/>
  <c r="U269" i="52"/>
  <c r="U271" i="52"/>
  <c r="U273" i="52"/>
  <c r="V173" i="51"/>
  <c r="V107" i="51"/>
  <c r="V106" i="51"/>
  <c r="V104" i="51"/>
  <c r="V90" i="51"/>
  <c r="V89" i="51"/>
  <c r="T88" i="51"/>
  <c r="S278" i="52" l="1"/>
  <c r="U248" i="52"/>
  <c r="U247" i="52"/>
  <c r="U250" i="52"/>
  <c r="S266" i="52"/>
  <c r="S251" i="52"/>
  <c r="S248" i="52"/>
  <c r="U245" i="52"/>
  <c r="S249" i="52"/>
  <c r="S250" i="52"/>
  <c r="U266" i="52"/>
  <c r="U246" i="52"/>
  <c r="S246" i="52"/>
  <c r="U251" i="52"/>
  <c r="S247" i="52"/>
  <c r="U278" i="52"/>
  <c r="U252" i="52"/>
  <c r="S252" i="52"/>
  <c r="P44" i="51"/>
  <c r="L44" i="51"/>
  <c r="F44" i="51"/>
  <c r="D44" i="51"/>
  <c r="S254" i="52" l="1"/>
  <c r="U254" i="52"/>
  <c r="U290" i="51"/>
  <c r="T290" i="51"/>
  <c r="S290" i="51"/>
  <c r="R290" i="51"/>
  <c r="S227" i="51" s="1"/>
  <c r="T278" i="51"/>
  <c r="U273" i="51" s="1"/>
  <c r="R278" i="51"/>
  <c r="S276" i="51" s="1"/>
  <c r="T266" i="51"/>
  <c r="U261" i="51" s="1"/>
  <c r="R266" i="51"/>
  <c r="S264" i="51" s="1"/>
  <c r="T252" i="51"/>
  <c r="R252" i="51"/>
  <c r="T251" i="51"/>
  <c r="R251" i="51"/>
  <c r="T250" i="51"/>
  <c r="R250" i="51"/>
  <c r="T249" i="51"/>
  <c r="R249" i="51"/>
  <c r="T248" i="51"/>
  <c r="R248" i="51"/>
  <c r="T247" i="51"/>
  <c r="R247" i="51"/>
  <c r="T246" i="51"/>
  <c r="R246" i="51"/>
  <c r="T245" i="51"/>
  <c r="R245" i="51"/>
  <c r="T231" i="51"/>
  <c r="T229" i="51"/>
  <c r="T227" i="51"/>
  <c r="T221" i="51"/>
  <c r="T211" i="51"/>
  <c r="V191" i="51"/>
  <c r="S189" i="51"/>
  <c r="V178" i="51"/>
  <c r="V171" i="51"/>
  <c r="V170" i="51"/>
  <c r="V153" i="51"/>
  <c r="B140" i="51"/>
  <c r="B206" i="51" s="1"/>
  <c r="B306" i="51" s="1"/>
  <c r="T136" i="51"/>
  <c r="T127" i="51"/>
  <c r="T125" i="51"/>
  <c r="A115" i="51"/>
  <c r="A116" i="51" s="1"/>
  <c r="A117" i="51" s="1"/>
  <c r="A118" i="51" s="1"/>
  <c r="A119" i="51" s="1"/>
  <c r="A120" i="51" s="1"/>
  <c r="A121" i="51" s="1"/>
  <c r="A122" i="51" s="1"/>
  <c r="A123" i="51" s="1"/>
  <c r="T114" i="51"/>
  <c r="A114" i="51"/>
  <c r="A103" i="51"/>
  <c r="A104" i="51" s="1"/>
  <c r="T98" i="51"/>
  <c r="T97" i="51"/>
  <c r="V96" i="51"/>
  <c r="V100" i="51" s="1"/>
  <c r="T96" i="51"/>
  <c r="N86" i="51"/>
  <c r="V81" i="51"/>
  <c r="V80" i="51"/>
  <c r="T70" i="51"/>
  <c r="R70" i="51"/>
  <c r="N70" i="51"/>
  <c r="N83" i="51" s="1"/>
  <c r="L70" i="51"/>
  <c r="L83" i="51" s="1"/>
  <c r="V67" i="51"/>
  <c r="V70" i="51" s="1"/>
  <c r="V184" i="51" s="1"/>
  <c r="P70" i="51"/>
  <c r="R57" i="51"/>
  <c r="R56" i="51"/>
  <c r="V50" i="51"/>
  <c r="P43" i="51"/>
  <c r="L43" i="51"/>
  <c r="F43" i="51"/>
  <c r="D43" i="51"/>
  <c r="R36" i="51"/>
  <c r="P36" i="51"/>
  <c r="N36" i="51"/>
  <c r="L36" i="51"/>
  <c r="J36" i="51"/>
  <c r="H36" i="51"/>
  <c r="F36" i="51"/>
  <c r="D36" i="51"/>
  <c r="R35" i="51"/>
  <c r="P35" i="51"/>
  <c r="N35" i="51"/>
  <c r="L35" i="51"/>
  <c r="J35" i="51"/>
  <c r="H35" i="51"/>
  <c r="F35" i="51"/>
  <c r="D35" i="51"/>
  <c r="V34" i="51"/>
  <c r="V144" i="51" s="1"/>
  <c r="R33" i="51"/>
  <c r="P33" i="51"/>
  <c r="N33" i="51"/>
  <c r="L33" i="51"/>
  <c r="J33" i="51"/>
  <c r="H33" i="51"/>
  <c r="F33" i="51"/>
  <c r="D33" i="51"/>
  <c r="R32" i="51"/>
  <c r="P32" i="51"/>
  <c r="N32" i="51"/>
  <c r="L32" i="51"/>
  <c r="J32" i="51"/>
  <c r="H32" i="51"/>
  <c r="F32" i="51"/>
  <c r="D32" i="51"/>
  <c r="V172" i="51" l="1"/>
  <c r="V35" i="51"/>
  <c r="V43" i="51" s="1"/>
  <c r="T213" i="51" s="1"/>
  <c r="T214" i="51" s="1"/>
  <c r="V36" i="51"/>
  <c r="T100" i="51"/>
  <c r="T137" i="51" s="1"/>
  <c r="V51" i="51"/>
  <c r="U271" i="51"/>
  <c r="U275" i="51"/>
  <c r="U270" i="51"/>
  <c r="U272" i="51"/>
  <c r="U276" i="51"/>
  <c r="T226" i="51"/>
  <c r="U274" i="51"/>
  <c r="U269" i="51"/>
  <c r="S275" i="51"/>
  <c r="S269" i="51"/>
  <c r="S273" i="51"/>
  <c r="S271" i="51"/>
  <c r="U258" i="51"/>
  <c r="T254" i="51"/>
  <c r="U251" i="51" s="1"/>
  <c r="U262" i="51"/>
  <c r="U259" i="51"/>
  <c r="U263" i="51"/>
  <c r="T292" i="51"/>
  <c r="U260" i="51"/>
  <c r="U264" i="51"/>
  <c r="U257" i="51"/>
  <c r="S259" i="51"/>
  <c r="S257" i="51"/>
  <c r="R292" i="51"/>
  <c r="S263" i="51"/>
  <c r="S261" i="51"/>
  <c r="V201" i="51"/>
  <c r="V197" i="51"/>
  <c r="V123" i="51"/>
  <c r="V136" i="51" s="1"/>
  <c r="V137" i="51" s="1"/>
  <c r="T215" i="51"/>
  <c r="V199" i="51"/>
  <c r="R254" i="51"/>
  <c r="S249" i="51" s="1"/>
  <c r="V83" i="51"/>
  <c r="V185" i="51" s="1"/>
  <c r="S226" i="51"/>
  <c r="S258" i="51"/>
  <c r="S260" i="51"/>
  <c r="S262" i="51"/>
  <c r="S270" i="51"/>
  <c r="S272" i="51"/>
  <c r="S274" i="51"/>
  <c r="U278" i="51" l="1"/>
  <c r="S278" i="51"/>
  <c r="U245" i="51"/>
  <c r="U248" i="51"/>
  <c r="U252" i="51"/>
  <c r="U247" i="51"/>
  <c r="U249" i="51"/>
  <c r="U250" i="51"/>
  <c r="U266" i="51"/>
  <c r="U246" i="51"/>
  <c r="S266" i="51"/>
  <c r="S247" i="51"/>
  <c r="S252" i="51"/>
  <c r="S245" i="51"/>
  <c r="S246" i="51"/>
  <c r="S250" i="51"/>
  <c r="S251" i="51"/>
  <c r="S248" i="51"/>
  <c r="U254" i="51" l="1"/>
  <c r="S254" i="51"/>
  <c r="V107" i="50" l="1"/>
  <c r="V106" i="50"/>
  <c r="V104" i="50"/>
  <c r="V90" i="50"/>
  <c r="V89" i="50"/>
  <c r="T88" i="50"/>
  <c r="P67" i="50"/>
  <c r="P44" i="50" l="1"/>
  <c r="L44" i="50"/>
  <c r="F44" i="50"/>
  <c r="D44" i="50"/>
  <c r="U290" i="50" l="1"/>
  <c r="T290" i="50"/>
  <c r="S290" i="50"/>
  <c r="R290" i="50"/>
  <c r="T278" i="50"/>
  <c r="R278" i="50"/>
  <c r="S276" i="50" s="1"/>
  <c r="T266" i="50"/>
  <c r="U263" i="50" s="1"/>
  <c r="R266" i="50"/>
  <c r="S264" i="50" s="1"/>
  <c r="T252" i="50"/>
  <c r="R252" i="50"/>
  <c r="T251" i="50"/>
  <c r="R251" i="50"/>
  <c r="T250" i="50"/>
  <c r="R250" i="50"/>
  <c r="T249" i="50"/>
  <c r="R249" i="50"/>
  <c r="T248" i="50"/>
  <c r="R248" i="50"/>
  <c r="T247" i="50"/>
  <c r="R247" i="50"/>
  <c r="T246" i="50"/>
  <c r="R246" i="50"/>
  <c r="T245" i="50"/>
  <c r="R245" i="50"/>
  <c r="T231" i="50"/>
  <c r="T229" i="50"/>
  <c r="T227" i="50"/>
  <c r="S227" i="50"/>
  <c r="T211" i="50"/>
  <c r="V191" i="50"/>
  <c r="V178" i="50"/>
  <c r="V173" i="50"/>
  <c r="V171" i="50"/>
  <c r="V170" i="50"/>
  <c r="V153" i="50"/>
  <c r="B140" i="50"/>
  <c r="B206" i="50" s="1"/>
  <c r="B306" i="50" s="1"/>
  <c r="T127" i="50"/>
  <c r="T125" i="50"/>
  <c r="T136" i="50" s="1"/>
  <c r="T114" i="50"/>
  <c r="A114" i="50"/>
  <c r="A115" i="50" s="1"/>
  <c r="A116" i="50" s="1"/>
  <c r="A117" i="50" s="1"/>
  <c r="A118" i="50" s="1"/>
  <c r="A119" i="50" s="1"/>
  <c r="A120" i="50" s="1"/>
  <c r="A121" i="50" s="1"/>
  <c r="A122" i="50" s="1"/>
  <c r="A123" i="50" s="1"/>
  <c r="A103" i="50"/>
  <c r="A104" i="50" s="1"/>
  <c r="T98" i="50"/>
  <c r="T97" i="50"/>
  <c r="T96" i="50"/>
  <c r="V96" i="50"/>
  <c r="V100" i="50" s="1"/>
  <c r="V123" i="50" s="1"/>
  <c r="V136" i="50" s="1"/>
  <c r="N86" i="50"/>
  <c r="V81" i="50"/>
  <c r="V80" i="50"/>
  <c r="T70" i="50"/>
  <c r="R70" i="50"/>
  <c r="N70" i="50"/>
  <c r="N83" i="50" s="1"/>
  <c r="L70" i="50"/>
  <c r="L83" i="50" s="1"/>
  <c r="T221" i="50"/>
  <c r="R57" i="50"/>
  <c r="R56" i="50"/>
  <c r="V50" i="50"/>
  <c r="P43" i="50"/>
  <c r="L43" i="50"/>
  <c r="F43" i="50"/>
  <c r="D43" i="50"/>
  <c r="R36" i="50"/>
  <c r="P36" i="50"/>
  <c r="N36" i="50"/>
  <c r="L36" i="50"/>
  <c r="J36" i="50"/>
  <c r="H36" i="50"/>
  <c r="F36" i="50"/>
  <c r="D36" i="50"/>
  <c r="R35" i="50"/>
  <c r="P35" i="50"/>
  <c r="N35" i="50"/>
  <c r="L35" i="50"/>
  <c r="J35" i="50"/>
  <c r="H35" i="50"/>
  <c r="F35" i="50"/>
  <c r="D35" i="50"/>
  <c r="V34" i="50"/>
  <c r="V144" i="50" s="1"/>
  <c r="R33" i="50"/>
  <c r="P33" i="50"/>
  <c r="N33" i="50"/>
  <c r="L33" i="50"/>
  <c r="J33" i="50"/>
  <c r="H33" i="50"/>
  <c r="F33" i="50"/>
  <c r="D33" i="50"/>
  <c r="R32" i="50"/>
  <c r="P32" i="50"/>
  <c r="N32" i="50"/>
  <c r="L32" i="50"/>
  <c r="J32" i="50"/>
  <c r="H32" i="50"/>
  <c r="F32" i="50"/>
  <c r="D32" i="50"/>
  <c r="V35" i="50" l="1"/>
  <c r="T100" i="50"/>
  <c r="U273" i="50"/>
  <c r="T292" i="50"/>
  <c r="V172" i="50"/>
  <c r="T137" i="50"/>
  <c r="V43" i="50"/>
  <c r="T213" i="50" s="1"/>
  <c r="T214" i="50" s="1"/>
  <c r="V36" i="50"/>
  <c r="V51" i="50"/>
  <c r="U271" i="50"/>
  <c r="U275" i="50"/>
  <c r="U270" i="50"/>
  <c r="U272" i="50"/>
  <c r="U276" i="50"/>
  <c r="T226" i="50"/>
  <c r="U274" i="50"/>
  <c r="U269" i="50"/>
  <c r="S269" i="50"/>
  <c r="S275" i="50"/>
  <c r="S273" i="50"/>
  <c r="S271" i="50"/>
  <c r="U262" i="50"/>
  <c r="U258" i="50"/>
  <c r="T254" i="50"/>
  <c r="U248" i="50" s="1"/>
  <c r="U259" i="50"/>
  <c r="U260" i="50"/>
  <c r="U264" i="50"/>
  <c r="U257" i="50"/>
  <c r="U261" i="50"/>
  <c r="S257" i="50"/>
  <c r="S259" i="50"/>
  <c r="R292" i="50"/>
  <c r="S263" i="50"/>
  <c r="S261" i="50"/>
  <c r="V201" i="50"/>
  <c r="V197" i="50"/>
  <c r="V199" i="50"/>
  <c r="V137" i="50"/>
  <c r="T215" i="50"/>
  <c r="S189" i="50"/>
  <c r="R254" i="50"/>
  <c r="S245" i="50" s="1"/>
  <c r="S226" i="50"/>
  <c r="P70" i="50"/>
  <c r="V67" i="50"/>
  <c r="V70" i="50" s="1"/>
  <c r="S258" i="50"/>
  <c r="S260" i="50"/>
  <c r="S262" i="50"/>
  <c r="S270" i="50"/>
  <c r="S272" i="50"/>
  <c r="S274" i="50"/>
  <c r="V109" i="49"/>
  <c r="V106" i="49"/>
  <c r="V104" i="49"/>
  <c r="V90" i="49"/>
  <c r="V89" i="49"/>
  <c r="T88" i="49"/>
  <c r="P67" i="49"/>
  <c r="U278" i="50" l="1"/>
  <c r="S278" i="50"/>
  <c r="U252" i="50"/>
  <c r="U245" i="50"/>
  <c r="U251" i="50"/>
  <c r="U250" i="50"/>
  <c r="U247" i="50"/>
  <c r="U246" i="50"/>
  <c r="U249" i="50"/>
  <c r="U266" i="50"/>
  <c r="S266" i="50"/>
  <c r="S252" i="50"/>
  <c r="V83" i="50"/>
  <c r="V185" i="50" s="1"/>
  <c r="V184" i="50"/>
  <c r="S251" i="50"/>
  <c r="S248" i="50"/>
  <c r="S247" i="50"/>
  <c r="S250" i="50"/>
  <c r="S249" i="50"/>
  <c r="S246" i="50"/>
  <c r="P44" i="49"/>
  <c r="L44" i="49"/>
  <c r="F44" i="49"/>
  <c r="D44" i="49"/>
  <c r="U254" i="50" l="1"/>
  <c r="S254" i="50"/>
  <c r="V170" i="49"/>
  <c r="U287" i="49" l="1"/>
  <c r="T287" i="49"/>
  <c r="S287" i="49"/>
  <c r="R287" i="49"/>
  <c r="S224" i="49" s="1"/>
  <c r="T275" i="49"/>
  <c r="U270" i="49" s="1"/>
  <c r="R275" i="49"/>
  <c r="S271" i="49" s="1"/>
  <c r="S267" i="49"/>
  <c r="T263" i="49"/>
  <c r="U258" i="49" s="1"/>
  <c r="R263" i="49"/>
  <c r="S259" i="49" s="1"/>
  <c r="T249" i="49"/>
  <c r="R249" i="49"/>
  <c r="T248" i="49"/>
  <c r="R248" i="49"/>
  <c r="T247" i="49"/>
  <c r="R247" i="49"/>
  <c r="T246" i="49"/>
  <c r="R246" i="49"/>
  <c r="T245" i="49"/>
  <c r="R245" i="49"/>
  <c r="T244" i="49"/>
  <c r="R244" i="49"/>
  <c r="T243" i="49"/>
  <c r="R243" i="49"/>
  <c r="T242" i="49"/>
  <c r="R242" i="49"/>
  <c r="T228" i="49"/>
  <c r="T226" i="49"/>
  <c r="T224" i="49"/>
  <c r="T208" i="49"/>
  <c r="V188" i="49"/>
  <c r="S186" i="49"/>
  <c r="V175" i="49"/>
  <c r="V168" i="49"/>
  <c r="V167" i="49"/>
  <c r="V169" i="49" s="1"/>
  <c r="V150" i="49"/>
  <c r="B137" i="49"/>
  <c r="B203" i="49" s="1"/>
  <c r="B303" i="49" s="1"/>
  <c r="T124" i="49"/>
  <c r="T122" i="49"/>
  <c r="A115" i="49"/>
  <c r="A116" i="49" s="1"/>
  <c r="A117" i="49" s="1"/>
  <c r="A118" i="49" s="1"/>
  <c r="A119" i="49" s="1"/>
  <c r="A120" i="49" s="1"/>
  <c r="T114" i="49"/>
  <c r="A114" i="49"/>
  <c r="A103" i="49"/>
  <c r="A104" i="49" s="1"/>
  <c r="T98" i="49"/>
  <c r="T97" i="49"/>
  <c r="V96" i="49"/>
  <c r="V100" i="49" s="1"/>
  <c r="T96" i="49"/>
  <c r="N86" i="49"/>
  <c r="V81" i="49"/>
  <c r="V80" i="49"/>
  <c r="T70" i="49"/>
  <c r="R70" i="49"/>
  <c r="N70" i="49"/>
  <c r="N83" i="49" s="1"/>
  <c r="L70" i="49"/>
  <c r="L83" i="49" s="1"/>
  <c r="V67" i="49"/>
  <c r="V70" i="49" s="1"/>
  <c r="R57" i="49"/>
  <c r="R56" i="49"/>
  <c r="V50" i="49"/>
  <c r="P43" i="49"/>
  <c r="L43" i="49"/>
  <c r="F43" i="49"/>
  <c r="D43" i="49"/>
  <c r="R36" i="49"/>
  <c r="P36" i="49"/>
  <c r="N36" i="49"/>
  <c r="L36" i="49"/>
  <c r="J36" i="49"/>
  <c r="H36" i="49"/>
  <c r="F36" i="49"/>
  <c r="D36" i="49"/>
  <c r="R35" i="49"/>
  <c r="P35" i="49"/>
  <c r="N35" i="49"/>
  <c r="L35" i="49"/>
  <c r="J35" i="49"/>
  <c r="H35" i="49"/>
  <c r="F35" i="49"/>
  <c r="D35" i="49"/>
  <c r="V34" i="49"/>
  <c r="V141" i="49" s="1"/>
  <c r="R33" i="49"/>
  <c r="P33" i="49"/>
  <c r="N33" i="49"/>
  <c r="L33" i="49"/>
  <c r="J33" i="49"/>
  <c r="H33" i="49"/>
  <c r="F33" i="49"/>
  <c r="D33" i="49"/>
  <c r="R32" i="49"/>
  <c r="P32" i="49"/>
  <c r="N32" i="49"/>
  <c r="L32" i="49"/>
  <c r="J32" i="49"/>
  <c r="H32" i="49"/>
  <c r="F32" i="49"/>
  <c r="D32" i="49"/>
  <c r="V36" i="49" l="1"/>
  <c r="V51" i="49"/>
  <c r="V35" i="49"/>
  <c r="V43" i="49" s="1"/>
  <c r="T210" i="49" s="1"/>
  <c r="T211" i="49" s="1"/>
  <c r="T133" i="49"/>
  <c r="T100" i="49"/>
  <c r="T223" i="49"/>
  <c r="U267" i="49"/>
  <c r="U271" i="49"/>
  <c r="U268" i="49"/>
  <c r="U272" i="49"/>
  <c r="U266" i="49"/>
  <c r="U269" i="49"/>
  <c r="U273" i="49"/>
  <c r="S223" i="49"/>
  <c r="S272" i="49"/>
  <c r="S270" i="49"/>
  <c r="S266" i="49"/>
  <c r="S268" i="49"/>
  <c r="S269" i="49"/>
  <c r="S273" i="49"/>
  <c r="T251" i="49"/>
  <c r="U248" i="49" s="1"/>
  <c r="U255" i="49"/>
  <c r="U259" i="49"/>
  <c r="T289" i="49"/>
  <c r="U256" i="49"/>
  <c r="U260" i="49"/>
  <c r="U257" i="49"/>
  <c r="U261" i="49"/>
  <c r="U254" i="49"/>
  <c r="S256" i="49"/>
  <c r="S254" i="49"/>
  <c r="S260" i="49"/>
  <c r="S255" i="49"/>
  <c r="R251" i="49"/>
  <c r="S248" i="49" s="1"/>
  <c r="S258" i="49"/>
  <c r="S261" i="49"/>
  <c r="S257" i="49"/>
  <c r="R289" i="49"/>
  <c r="V198" i="49"/>
  <c r="T212" i="49"/>
  <c r="V196" i="49"/>
  <c r="V120" i="49"/>
  <c r="V133" i="49" s="1"/>
  <c r="V134" i="49" s="1"/>
  <c r="V194" i="49"/>
  <c r="V181" i="49"/>
  <c r="V83" i="49"/>
  <c r="V182" i="49" s="1"/>
  <c r="T218" i="49"/>
  <c r="P70" i="49"/>
  <c r="V107" i="48"/>
  <c r="V106" i="48"/>
  <c r="V104" i="48"/>
  <c r="V90" i="48"/>
  <c r="V89" i="48"/>
  <c r="T88" i="48"/>
  <c r="P67" i="48"/>
  <c r="P44" i="48"/>
  <c r="L44" i="48"/>
  <c r="F44" i="48"/>
  <c r="D44" i="48"/>
  <c r="T134" i="49" l="1"/>
  <c r="U242" i="49"/>
  <c r="U249" i="49"/>
  <c r="U243" i="49"/>
  <c r="U245" i="49"/>
  <c r="U247" i="49"/>
  <c r="U244" i="49"/>
  <c r="U246" i="49"/>
  <c r="U275" i="49"/>
  <c r="S247" i="49"/>
  <c r="S275" i="49"/>
  <c r="S249" i="49"/>
  <c r="U263" i="49"/>
  <c r="S263" i="49"/>
  <c r="S243" i="49"/>
  <c r="S245" i="49"/>
  <c r="S242" i="49"/>
  <c r="S246" i="49"/>
  <c r="S244" i="49"/>
  <c r="U287" i="48"/>
  <c r="T287" i="48"/>
  <c r="T224" i="48" s="1"/>
  <c r="S287" i="48"/>
  <c r="R287" i="48"/>
  <c r="S224" i="48" s="1"/>
  <c r="T275" i="48"/>
  <c r="T223" i="48" s="1"/>
  <c r="R275" i="48"/>
  <c r="S273" i="48" s="1"/>
  <c r="S272" i="48"/>
  <c r="S270" i="48"/>
  <c r="S268" i="48"/>
  <c r="S266" i="48"/>
  <c r="T263" i="48"/>
  <c r="U260" i="48" s="1"/>
  <c r="R263" i="48"/>
  <c r="S261" i="48" s="1"/>
  <c r="T249" i="48"/>
  <c r="R249" i="48"/>
  <c r="T248" i="48"/>
  <c r="R248" i="48"/>
  <c r="T247" i="48"/>
  <c r="R247" i="48"/>
  <c r="T246" i="48"/>
  <c r="R246" i="48"/>
  <c r="T245" i="48"/>
  <c r="R245" i="48"/>
  <c r="T244" i="48"/>
  <c r="R244" i="48"/>
  <c r="T243" i="48"/>
  <c r="R243" i="48"/>
  <c r="T242" i="48"/>
  <c r="R242" i="48"/>
  <c r="T228" i="48"/>
  <c r="T226" i="48"/>
  <c r="S223" i="48"/>
  <c r="T208" i="48"/>
  <c r="V188" i="48"/>
  <c r="V175" i="48"/>
  <c r="V168" i="48"/>
  <c r="V167" i="48"/>
  <c r="V150" i="48"/>
  <c r="B137" i="48"/>
  <c r="B203" i="48" s="1"/>
  <c r="B303" i="48" s="1"/>
  <c r="T124" i="48"/>
  <c r="T122" i="48"/>
  <c r="T114" i="48"/>
  <c r="A114" i="48"/>
  <c r="A115" i="48" s="1"/>
  <c r="A116" i="48" s="1"/>
  <c r="A117" i="48" s="1"/>
  <c r="A118" i="48" s="1"/>
  <c r="A119" i="48" s="1"/>
  <c r="A120" i="48" s="1"/>
  <c r="A103" i="48"/>
  <c r="A104" i="48" s="1"/>
  <c r="T98" i="48"/>
  <c r="T97" i="48"/>
  <c r="T96" i="48"/>
  <c r="V96" i="48"/>
  <c r="V100" i="48" s="1"/>
  <c r="N86" i="48"/>
  <c r="V81" i="48"/>
  <c r="V80" i="48"/>
  <c r="T70" i="48"/>
  <c r="R70" i="48"/>
  <c r="N70" i="48"/>
  <c r="N83" i="48" s="1"/>
  <c r="L70" i="48"/>
  <c r="L83" i="48" s="1"/>
  <c r="V67" i="48"/>
  <c r="V70" i="48" s="1"/>
  <c r="T218" i="48"/>
  <c r="R57" i="48"/>
  <c r="R56" i="48"/>
  <c r="V50" i="48"/>
  <c r="P43" i="48"/>
  <c r="L43" i="48"/>
  <c r="F43" i="48"/>
  <c r="D43" i="48"/>
  <c r="R36" i="48"/>
  <c r="P36" i="48"/>
  <c r="N36" i="48"/>
  <c r="L36" i="48"/>
  <c r="J36" i="48"/>
  <c r="H36" i="48"/>
  <c r="F36" i="48"/>
  <c r="D36" i="48"/>
  <c r="R35" i="48"/>
  <c r="P35" i="48"/>
  <c r="N35" i="48"/>
  <c r="L35" i="48"/>
  <c r="J35" i="48"/>
  <c r="H35" i="48"/>
  <c r="F35" i="48"/>
  <c r="D35" i="48"/>
  <c r="V34" i="48"/>
  <c r="V141" i="48" s="1"/>
  <c r="R33" i="48"/>
  <c r="P33" i="48"/>
  <c r="N33" i="48"/>
  <c r="L33" i="48"/>
  <c r="J33" i="48"/>
  <c r="H33" i="48"/>
  <c r="F33" i="48"/>
  <c r="D33" i="48"/>
  <c r="R32" i="48"/>
  <c r="P32" i="48"/>
  <c r="N32" i="48"/>
  <c r="L32" i="48"/>
  <c r="J32" i="48"/>
  <c r="H32" i="48"/>
  <c r="F32" i="48"/>
  <c r="D32" i="48"/>
  <c r="T100" i="48" l="1"/>
  <c r="U261" i="48"/>
  <c r="U266" i="48"/>
  <c r="U270" i="48"/>
  <c r="U268" i="48"/>
  <c r="U272" i="48"/>
  <c r="U251" i="49"/>
  <c r="S251" i="49"/>
  <c r="T251" i="48"/>
  <c r="U249" i="48" s="1"/>
  <c r="S267" i="48"/>
  <c r="S269" i="48"/>
  <c r="S271" i="48"/>
  <c r="T133" i="48"/>
  <c r="T134" i="48" s="1"/>
  <c r="V169" i="48"/>
  <c r="S186" i="48"/>
  <c r="U267" i="48"/>
  <c r="U269" i="48"/>
  <c r="U271" i="48"/>
  <c r="U273" i="48"/>
  <c r="V36" i="48"/>
  <c r="V51" i="48"/>
  <c r="V35" i="48"/>
  <c r="V43" i="48" s="1"/>
  <c r="T210" i="48" s="1"/>
  <c r="T211" i="48" s="1"/>
  <c r="U257" i="48"/>
  <c r="U255" i="48"/>
  <c r="U259" i="48"/>
  <c r="T289" i="48"/>
  <c r="U254" i="48"/>
  <c r="U256" i="48"/>
  <c r="U258" i="48"/>
  <c r="S254" i="48"/>
  <c r="S255" i="48"/>
  <c r="S256" i="48"/>
  <c r="S257" i="48"/>
  <c r="S258" i="48"/>
  <c r="S259" i="48"/>
  <c r="S260" i="48"/>
  <c r="R251" i="48"/>
  <c r="S248" i="48" s="1"/>
  <c r="R289" i="48"/>
  <c r="V83" i="48"/>
  <c r="V182" i="48" s="1"/>
  <c r="V181" i="48"/>
  <c r="U246" i="48"/>
  <c r="V198" i="48"/>
  <c r="V194" i="48"/>
  <c r="V120" i="48"/>
  <c r="V133" i="48" s="1"/>
  <c r="V134" i="48" s="1"/>
  <c r="T212" i="48"/>
  <c r="V196" i="48"/>
  <c r="P70" i="48"/>
  <c r="V107" i="47"/>
  <c r="V106" i="47"/>
  <c r="V104" i="47"/>
  <c r="V90" i="47"/>
  <c r="V89" i="47"/>
  <c r="T88" i="47"/>
  <c r="P67" i="47"/>
  <c r="S275" i="48" l="1"/>
  <c r="U242" i="48"/>
  <c r="S243" i="48"/>
  <c r="U275" i="48"/>
  <c r="U243" i="48"/>
  <c r="U247" i="48"/>
  <c r="U244" i="48"/>
  <c r="U248" i="48"/>
  <c r="U245" i="48"/>
  <c r="U263" i="48"/>
  <c r="S247" i="48"/>
  <c r="S263" i="48"/>
  <c r="S245" i="48"/>
  <c r="S249" i="48"/>
  <c r="S242" i="48"/>
  <c r="S244" i="48"/>
  <c r="S246" i="48"/>
  <c r="P44" i="47"/>
  <c r="L44" i="47"/>
  <c r="F44" i="47"/>
  <c r="D44" i="47"/>
  <c r="S251" i="48" l="1"/>
  <c r="U251" i="48"/>
  <c r="U287" i="47"/>
  <c r="T287" i="47"/>
  <c r="T224" i="47" s="1"/>
  <c r="S287" i="47"/>
  <c r="R287" i="47"/>
  <c r="S224" i="47" s="1"/>
  <c r="T275" i="47"/>
  <c r="U273" i="47" s="1"/>
  <c r="R275" i="47"/>
  <c r="S273" i="47" s="1"/>
  <c r="U268" i="47"/>
  <c r="T263" i="47"/>
  <c r="U261" i="47" s="1"/>
  <c r="R263" i="47"/>
  <c r="S259" i="47" s="1"/>
  <c r="S260" i="47"/>
  <c r="S258" i="47"/>
  <c r="S256" i="47"/>
  <c r="U254" i="47"/>
  <c r="S254" i="47"/>
  <c r="T249" i="47"/>
  <c r="R249" i="47"/>
  <c r="T248" i="47"/>
  <c r="R248" i="47"/>
  <c r="T247" i="47"/>
  <c r="R247" i="47"/>
  <c r="T246" i="47"/>
  <c r="R246" i="47"/>
  <c r="T245" i="47"/>
  <c r="R245" i="47"/>
  <c r="T244" i="47"/>
  <c r="R244" i="47"/>
  <c r="T243" i="47"/>
  <c r="R243" i="47"/>
  <c r="T242" i="47"/>
  <c r="R242" i="47"/>
  <c r="T228" i="47"/>
  <c r="T226" i="47"/>
  <c r="T208" i="47"/>
  <c r="V188" i="47"/>
  <c r="V175" i="47"/>
  <c r="V170" i="47"/>
  <c r="V168" i="47"/>
  <c r="V167" i="47"/>
  <c r="V150" i="47"/>
  <c r="B137" i="47"/>
  <c r="B203" i="47" s="1"/>
  <c r="B303" i="47" s="1"/>
  <c r="T124" i="47"/>
  <c r="T122" i="47"/>
  <c r="T114" i="47"/>
  <c r="A114" i="47"/>
  <c r="A115" i="47" s="1"/>
  <c r="A116" i="47" s="1"/>
  <c r="A117" i="47" s="1"/>
  <c r="A118" i="47" s="1"/>
  <c r="A119" i="47" s="1"/>
  <c r="A120" i="47" s="1"/>
  <c r="A103" i="47"/>
  <c r="A104" i="47" s="1"/>
  <c r="T98" i="47"/>
  <c r="T97" i="47"/>
  <c r="T96" i="47"/>
  <c r="N86" i="47"/>
  <c r="V81" i="47"/>
  <c r="V80" i="47"/>
  <c r="T70" i="47"/>
  <c r="N70" i="47"/>
  <c r="N83" i="47" s="1"/>
  <c r="L70" i="47"/>
  <c r="L83" i="47" s="1"/>
  <c r="R70" i="47"/>
  <c r="T218" i="47"/>
  <c r="R57" i="47"/>
  <c r="R56" i="47"/>
  <c r="V50" i="47"/>
  <c r="P43" i="47"/>
  <c r="L43" i="47"/>
  <c r="F43" i="47"/>
  <c r="D43" i="47"/>
  <c r="R36" i="47"/>
  <c r="P36" i="47"/>
  <c r="N36" i="47"/>
  <c r="L36" i="47"/>
  <c r="J36" i="47"/>
  <c r="H36" i="47"/>
  <c r="F36" i="47"/>
  <c r="D36" i="47"/>
  <c r="R35" i="47"/>
  <c r="P35" i="47"/>
  <c r="N35" i="47"/>
  <c r="L35" i="47"/>
  <c r="J35" i="47"/>
  <c r="H35" i="47"/>
  <c r="F35" i="47"/>
  <c r="D35" i="47"/>
  <c r="V34" i="47"/>
  <c r="V141" i="47" s="1"/>
  <c r="R33" i="47"/>
  <c r="P33" i="47"/>
  <c r="N33" i="47"/>
  <c r="L33" i="47"/>
  <c r="J33" i="47"/>
  <c r="H33" i="47"/>
  <c r="F33" i="47"/>
  <c r="D33" i="47"/>
  <c r="R32" i="47"/>
  <c r="P32" i="47"/>
  <c r="N32" i="47"/>
  <c r="L32" i="47"/>
  <c r="J32" i="47"/>
  <c r="H32" i="47"/>
  <c r="F32" i="47"/>
  <c r="D32" i="47"/>
  <c r="U258" i="47" l="1"/>
  <c r="S266" i="47"/>
  <c r="S270" i="47"/>
  <c r="U256" i="47"/>
  <c r="U260" i="47"/>
  <c r="U266" i="47"/>
  <c r="U270" i="47"/>
  <c r="T133" i="47"/>
  <c r="S268" i="47"/>
  <c r="S272" i="47"/>
  <c r="U272" i="47"/>
  <c r="S223" i="47"/>
  <c r="S267" i="47"/>
  <c r="S269" i="47"/>
  <c r="S271" i="47"/>
  <c r="T223" i="47"/>
  <c r="U267" i="47"/>
  <c r="U269" i="47"/>
  <c r="U271" i="47"/>
  <c r="S261" i="47"/>
  <c r="S255" i="47"/>
  <c r="S263" i="47" s="1"/>
  <c r="S257" i="47"/>
  <c r="T100" i="47"/>
  <c r="T134" i="47" s="1"/>
  <c r="U255" i="47"/>
  <c r="U257" i="47"/>
  <c r="U259" i="47"/>
  <c r="V169" i="47"/>
  <c r="V36" i="47"/>
  <c r="V35" i="47"/>
  <c r="V43" i="47" s="1"/>
  <c r="T210" i="47" s="1"/>
  <c r="T211" i="47" s="1"/>
  <c r="T251" i="47"/>
  <c r="U243" i="47" s="1"/>
  <c r="R251" i="47"/>
  <c r="S243" i="47" s="1"/>
  <c r="V51" i="47"/>
  <c r="V96" i="47"/>
  <c r="V100" i="47" s="1"/>
  <c r="V194" i="47" s="1"/>
  <c r="R289" i="47"/>
  <c r="T289" i="47"/>
  <c r="V67" i="47"/>
  <c r="V70" i="47" s="1"/>
  <c r="S186" i="47"/>
  <c r="P70" i="47"/>
  <c r="V170" i="46"/>
  <c r="U245" i="47" l="1"/>
  <c r="U263" i="47"/>
  <c r="U275" i="47"/>
  <c r="S275" i="47"/>
  <c r="S247" i="47"/>
  <c r="S246" i="47"/>
  <c r="U242" i="47"/>
  <c r="U249" i="47"/>
  <c r="S249" i="47"/>
  <c r="S245" i="47"/>
  <c r="S242" i="47"/>
  <c r="U247" i="47"/>
  <c r="S248" i="47"/>
  <c r="S244" i="47"/>
  <c r="U248" i="47"/>
  <c r="U246" i="47"/>
  <c r="U244" i="47"/>
  <c r="V198" i="47"/>
  <c r="V196" i="47"/>
  <c r="V120" i="47"/>
  <c r="V133" i="47" s="1"/>
  <c r="V134" i="47" s="1"/>
  <c r="T212" i="47"/>
  <c r="V83" i="47"/>
  <c r="V182" i="47" s="1"/>
  <c r="V181" i="47"/>
  <c r="V107" i="46"/>
  <c r="V106" i="46"/>
  <c r="V104" i="46"/>
  <c r="V90" i="46"/>
  <c r="V89" i="46"/>
  <c r="T88" i="46"/>
  <c r="P67" i="46"/>
  <c r="R67" i="46"/>
  <c r="P44" i="46"/>
  <c r="L44" i="46"/>
  <c r="F44" i="46"/>
  <c r="D44" i="46"/>
  <c r="S251" i="47" l="1"/>
  <c r="U251" i="47"/>
  <c r="U287" i="46"/>
  <c r="T287" i="46"/>
  <c r="T224" i="46" s="1"/>
  <c r="S287" i="46"/>
  <c r="R287" i="46"/>
  <c r="T275" i="46"/>
  <c r="T223" i="46" s="1"/>
  <c r="R275" i="46"/>
  <c r="S273" i="46" s="1"/>
  <c r="U269" i="46"/>
  <c r="U266" i="46"/>
  <c r="T263" i="46"/>
  <c r="R263" i="46"/>
  <c r="S261" i="46" s="1"/>
  <c r="S260" i="46"/>
  <c r="S258" i="46"/>
  <c r="S254" i="46"/>
  <c r="T249" i="46"/>
  <c r="R249" i="46"/>
  <c r="T248" i="46"/>
  <c r="R248" i="46"/>
  <c r="T247" i="46"/>
  <c r="R247" i="46"/>
  <c r="T246" i="46"/>
  <c r="R246" i="46"/>
  <c r="T245" i="46"/>
  <c r="R245" i="46"/>
  <c r="T244" i="46"/>
  <c r="R244" i="46"/>
  <c r="T243" i="46"/>
  <c r="R243" i="46"/>
  <c r="T242" i="46"/>
  <c r="R242" i="46"/>
  <c r="T228" i="46"/>
  <c r="T226" i="46"/>
  <c r="S224" i="46"/>
  <c r="T208" i="46"/>
  <c r="V188" i="46"/>
  <c r="V175" i="46"/>
  <c r="V168" i="46"/>
  <c r="V167" i="46"/>
  <c r="V150" i="46"/>
  <c r="B137" i="46"/>
  <c r="B203" i="46" s="1"/>
  <c r="B303" i="46" s="1"/>
  <c r="T124" i="46"/>
  <c r="T122" i="46"/>
  <c r="T114" i="46"/>
  <c r="A114" i="46"/>
  <c r="A115" i="46" s="1"/>
  <c r="A116" i="46" s="1"/>
  <c r="A117" i="46" s="1"/>
  <c r="A118" i="46" s="1"/>
  <c r="A119" i="46" s="1"/>
  <c r="A120" i="46" s="1"/>
  <c r="A103" i="46"/>
  <c r="A104" i="46" s="1"/>
  <c r="T98" i="46"/>
  <c r="T97" i="46"/>
  <c r="V96" i="46"/>
  <c r="V100" i="46" s="1"/>
  <c r="T96" i="46"/>
  <c r="N86" i="46"/>
  <c r="V81" i="46"/>
  <c r="V80" i="46"/>
  <c r="T70" i="46"/>
  <c r="R70" i="46"/>
  <c r="N70" i="46"/>
  <c r="N83" i="46" s="1"/>
  <c r="L70" i="46"/>
  <c r="L83" i="46" s="1"/>
  <c r="T218" i="46"/>
  <c r="R57" i="46"/>
  <c r="R56" i="46"/>
  <c r="V50" i="46"/>
  <c r="P43" i="46"/>
  <c r="L43" i="46"/>
  <c r="F43" i="46"/>
  <c r="D43" i="46"/>
  <c r="R36" i="46"/>
  <c r="P36" i="46"/>
  <c r="N36" i="46"/>
  <c r="L36" i="46"/>
  <c r="J36" i="46"/>
  <c r="H36" i="46"/>
  <c r="F36" i="46"/>
  <c r="D36" i="46"/>
  <c r="R35" i="46"/>
  <c r="P35" i="46"/>
  <c r="N35" i="46"/>
  <c r="L35" i="46"/>
  <c r="J35" i="46"/>
  <c r="H35" i="46"/>
  <c r="F35" i="46"/>
  <c r="D35" i="46"/>
  <c r="V34" i="46"/>
  <c r="S186" i="46" s="1"/>
  <c r="R33" i="46"/>
  <c r="P33" i="46"/>
  <c r="N33" i="46"/>
  <c r="L33" i="46"/>
  <c r="J33" i="46"/>
  <c r="H33" i="46"/>
  <c r="F33" i="46"/>
  <c r="D33" i="46"/>
  <c r="R32" i="46"/>
  <c r="P32" i="46"/>
  <c r="N32" i="46"/>
  <c r="L32" i="46"/>
  <c r="J32" i="46"/>
  <c r="H32" i="46"/>
  <c r="F32" i="46"/>
  <c r="D32" i="46"/>
  <c r="U270" i="46" l="1"/>
  <c r="S266" i="46"/>
  <c r="S268" i="46"/>
  <c r="U271" i="46"/>
  <c r="S256" i="46"/>
  <c r="U268" i="46"/>
  <c r="U273" i="46"/>
  <c r="S272" i="46"/>
  <c r="U267" i="46"/>
  <c r="S270" i="46"/>
  <c r="U272" i="46"/>
  <c r="V35" i="46"/>
  <c r="V43" i="46" s="1"/>
  <c r="T210" i="46" s="1"/>
  <c r="T211" i="46" s="1"/>
  <c r="V36" i="46"/>
  <c r="S223" i="46"/>
  <c r="S267" i="46"/>
  <c r="S269" i="46"/>
  <c r="S271" i="46"/>
  <c r="S255" i="46"/>
  <c r="S257" i="46"/>
  <c r="S259" i="46"/>
  <c r="T289" i="46"/>
  <c r="V51" i="46"/>
  <c r="T100" i="46"/>
  <c r="T133" i="46"/>
  <c r="V169" i="46"/>
  <c r="T251" i="46"/>
  <c r="U248" i="46" s="1"/>
  <c r="U254" i="46"/>
  <c r="U255" i="46"/>
  <c r="U256" i="46"/>
  <c r="U257" i="46"/>
  <c r="U258" i="46"/>
  <c r="U259" i="46"/>
  <c r="U260" i="46"/>
  <c r="U261" i="46"/>
  <c r="R251" i="46"/>
  <c r="S248" i="46" s="1"/>
  <c r="R289" i="46"/>
  <c r="V198" i="46"/>
  <c r="V194" i="46"/>
  <c r="T212" i="46"/>
  <c r="V196" i="46"/>
  <c r="V120" i="46"/>
  <c r="V133" i="46" s="1"/>
  <c r="V134" i="46" s="1"/>
  <c r="S249" i="46"/>
  <c r="P70" i="46"/>
  <c r="V141" i="46"/>
  <c r="V67" i="46"/>
  <c r="V70" i="46" s="1"/>
  <c r="T88" i="45"/>
  <c r="S275" i="46" l="1"/>
  <c r="U275" i="46"/>
  <c r="U249" i="46"/>
  <c r="S244" i="46"/>
  <c r="S246" i="46"/>
  <c r="S242" i="46"/>
  <c r="T134" i="46"/>
  <c r="S263" i="46"/>
  <c r="S243" i="46"/>
  <c r="S245" i="46"/>
  <c r="S247" i="46"/>
  <c r="U243" i="46"/>
  <c r="U245" i="46"/>
  <c r="U242" i="46"/>
  <c r="U244" i="46"/>
  <c r="U246" i="46"/>
  <c r="U247" i="46"/>
  <c r="U263" i="46"/>
  <c r="V181" i="46"/>
  <c r="V83" i="46"/>
  <c r="V182" i="46" s="1"/>
  <c r="V107" i="45"/>
  <c r="V106" i="45"/>
  <c r="V104" i="45"/>
  <c r="V90" i="45"/>
  <c r="V89" i="45"/>
  <c r="P67" i="45"/>
  <c r="S251" i="46" l="1"/>
  <c r="U251" i="46"/>
  <c r="P44" i="45"/>
  <c r="L44" i="45"/>
  <c r="F44" i="45"/>
  <c r="D44" i="45"/>
  <c r="U287" i="45" l="1"/>
  <c r="T287" i="45"/>
  <c r="S287" i="45"/>
  <c r="R287" i="45"/>
  <c r="S224" i="45" s="1"/>
  <c r="T275" i="45"/>
  <c r="T223" i="45" s="1"/>
  <c r="R275" i="45"/>
  <c r="U273" i="45"/>
  <c r="S273" i="45"/>
  <c r="U272" i="45"/>
  <c r="S272" i="45"/>
  <c r="U271" i="45"/>
  <c r="S271" i="45"/>
  <c r="U270" i="45"/>
  <c r="S270" i="45"/>
  <c r="U269" i="45"/>
  <c r="S269" i="45"/>
  <c r="U268" i="45"/>
  <c r="S268" i="45"/>
  <c r="U267" i="45"/>
  <c r="S267" i="45"/>
  <c r="U266" i="45"/>
  <c r="S266" i="45"/>
  <c r="T263" i="45"/>
  <c r="U260" i="45" s="1"/>
  <c r="R263" i="45"/>
  <c r="S261" i="45" s="1"/>
  <c r="T249" i="45"/>
  <c r="R249" i="45"/>
  <c r="T248" i="45"/>
  <c r="R248" i="45"/>
  <c r="T247" i="45"/>
  <c r="R247" i="45"/>
  <c r="T246" i="45"/>
  <c r="R246" i="45"/>
  <c r="T245" i="45"/>
  <c r="R245" i="45"/>
  <c r="T244" i="45"/>
  <c r="R244" i="45"/>
  <c r="T243" i="45"/>
  <c r="R243" i="45"/>
  <c r="T242" i="45"/>
  <c r="R242" i="45"/>
  <c r="T228" i="45"/>
  <c r="T226" i="45"/>
  <c r="T224" i="45"/>
  <c r="S223" i="45"/>
  <c r="T208" i="45"/>
  <c r="V188" i="45"/>
  <c r="V175" i="45"/>
  <c r="V168" i="45"/>
  <c r="V167" i="45"/>
  <c r="V150" i="45"/>
  <c r="B137" i="45"/>
  <c r="B203" i="45" s="1"/>
  <c r="B303" i="45" s="1"/>
  <c r="T124" i="45"/>
  <c r="T122" i="45"/>
  <c r="T114" i="45"/>
  <c r="A114" i="45"/>
  <c r="A115" i="45" s="1"/>
  <c r="A116" i="45" s="1"/>
  <c r="A117" i="45" s="1"/>
  <c r="A118" i="45" s="1"/>
  <c r="A119" i="45" s="1"/>
  <c r="A120" i="45" s="1"/>
  <c r="A103" i="45"/>
  <c r="A104" i="45" s="1"/>
  <c r="T98" i="45"/>
  <c r="T97" i="45"/>
  <c r="V96" i="45"/>
  <c r="V100" i="45" s="1"/>
  <c r="T96" i="45"/>
  <c r="N86" i="45"/>
  <c r="V81" i="45"/>
  <c r="V80" i="45"/>
  <c r="T70" i="45"/>
  <c r="P70" i="45"/>
  <c r="N70" i="45"/>
  <c r="N83" i="45" s="1"/>
  <c r="L70" i="45"/>
  <c r="L83" i="45" s="1"/>
  <c r="R70" i="45"/>
  <c r="T218" i="45"/>
  <c r="R57" i="45"/>
  <c r="R56" i="45"/>
  <c r="V50" i="45"/>
  <c r="P43" i="45"/>
  <c r="L43" i="45"/>
  <c r="F43" i="45"/>
  <c r="D43" i="45"/>
  <c r="R36" i="45"/>
  <c r="P36" i="45"/>
  <c r="N36" i="45"/>
  <c r="L36" i="45"/>
  <c r="J36" i="45"/>
  <c r="H36" i="45"/>
  <c r="F36" i="45"/>
  <c r="D36" i="45"/>
  <c r="R35" i="45"/>
  <c r="P35" i="45"/>
  <c r="N35" i="45"/>
  <c r="L35" i="45"/>
  <c r="J35" i="45"/>
  <c r="H35" i="45"/>
  <c r="F35" i="45"/>
  <c r="D35" i="45"/>
  <c r="V34" i="45"/>
  <c r="S186" i="45" s="1"/>
  <c r="R33" i="45"/>
  <c r="P33" i="45"/>
  <c r="N33" i="45"/>
  <c r="L33" i="45"/>
  <c r="J33" i="45"/>
  <c r="H33" i="45"/>
  <c r="F33" i="45"/>
  <c r="D33" i="45"/>
  <c r="R32" i="45"/>
  <c r="P32" i="45"/>
  <c r="N32" i="45"/>
  <c r="L32" i="45"/>
  <c r="J32" i="45"/>
  <c r="H32" i="45"/>
  <c r="F32" i="45"/>
  <c r="D32" i="45"/>
  <c r="V169" i="45" l="1"/>
  <c r="S255" i="45"/>
  <c r="S275" i="45"/>
  <c r="S257" i="45"/>
  <c r="U275" i="45"/>
  <c r="S254" i="45"/>
  <c r="S256" i="45"/>
  <c r="S258" i="45"/>
  <c r="V141" i="45"/>
  <c r="V35" i="45"/>
  <c r="V43" i="45" s="1"/>
  <c r="T210" i="45" s="1"/>
  <c r="T211" i="45" s="1"/>
  <c r="T100" i="45"/>
  <c r="U261" i="45"/>
  <c r="T251" i="45"/>
  <c r="U249" i="45" s="1"/>
  <c r="U259" i="45"/>
  <c r="T289" i="45"/>
  <c r="U254" i="45"/>
  <c r="U255" i="45"/>
  <c r="U256" i="45"/>
  <c r="U257" i="45"/>
  <c r="U258" i="45"/>
  <c r="S259" i="45"/>
  <c r="S260" i="45"/>
  <c r="R251" i="45"/>
  <c r="S248" i="45" s="1"/>
  <c r="R289" i="45"/>
  <c r="T133" i="45"/>
  <c r="V36" i="45"/>
  <c r="V51" i="45"/>
  <c r="U243" i="45"/>
  <c r="V198" i="45"/>
  <c r="V194" i="45"/>
  <c r="T212" i="45"/>
  <c r="V196" i="45"/>
  <c r="V120" i="45"/>
  <c r="V133" i="45" s="1"/>
  <c r="V134" i="45" s="1"/>
  <c r="V67" i="45"/>
  <c r="V70" i="45" s="1"/>
  <c r="V170" i="44"/>
  <c r="S242" i="45" l="1"/>
  <c r="U245" i="45"/>
  <c r="S263" i="45"/>
  <c r="S249" i="45"/>
  <c r="U242" i="45"/>
  <c r="U244" i="45"/>
  <c r="T134" i="45"/>
  <c r="U246" i="45"/>
  <c r="U247" i="45"/>
  <c r="U248" i="45"/>
  <c r="S243" i="45"/>
  <c r="S244" i="45"/>
  <c r="S246" i="45"/>
  <c r="S245" i="45"/>
  <c r="S247" i="45"/>
  <c r="U263" i="45"/>
  <c r="V181" i="45"/>
  <c r="V83" i="45"/>
  <c r="V182" i="45" s="1"/>
  <c r="V107" i="44"/>
  <c r="V106" i="44"/>
  <c r="V104" i="44"/>
  <c r="V90" i="44"/>
  <c r="V89" i="44"/>
  <c r="S188" i="44"/>
  <c r="T88" i="44"/>
  <c r="P67" i="44"/>
  <c r="R67" i="44"/>
  <c r="U251" i="45" l="1"/>
  <c r="S251" i="45"/>
  <c r="P44" i="44"/>
  <c r="L44" i="44"/>
  <c r="F44" i="44"/>
  <c r="D44" i="44"/>
  <c r="U287" i="44" l="1"/>
  <c r="T287" i="44"/>
  <c r="T224" i="44" s="1"/>
  <c r="S287" i="44"/>
  <c r="R287" i="44"/>
  <c r="S224" i="44" s="1"/>
  <c r="T275" i="44"/>
  <c r="R275" i="44"/>
  <c r="U273" i="44"/>
  <c r="S273" i="44"/>
  <c r="U272" i="44"/>
  <c r="S272" i="44"/>
  <c r="U271" i="44"/>
  <c r="S271" i="44"/>
  <c r="U270" i="44"/>
  <c r="S270" i="44"/>
  <c r="U269" i="44"/>
  <c r="S269" i="44"/>
  <c r="U268" i="44"/>
  <c r="S268" i="44"/>
  <c r="U267" i="44"/>
  <c r="S267" i="44"/>
  <c r="U266" i="44"/>
  <c r="S266" i="44"/>
  <c r="T263" i="44"/>
  <c r="U261" i="44" s="1"/>
  <c r="R263" i="44"/>
  <c r="S261" i="44" s="1"/>
  <c r="T249" i="44"/>
  <c r="R249" i="44"/>
  <c r="T248" i="44"/>
  <c r="R248" i="44"/>
  <c r="T247" i="44"/>
  <c r="R247" i="44"/>
  <c r="T246" i="44"/>
  <c r="R246" i="44"/>
  <c r="T245" i="44"/>
  <c r="R245" i="44"/>
  <c r="T244" i="44"/>
  <c r="R244" i="44"/>
  <c r="T243" i="44"/>
  <c r="R243" i="44"/>
  <c r="T242" i="44"/>
  <c r="R242" i="44"/>
  <c r="T228" i="44"/>
  <c r="T226" i="44"/>
  <c r="T223" i="44"/>
  <c r="S223" i="44"/>
  <c r="T208" i="44"/>
  <c r="V188" i="44"/>
  <c r="V175" i="44"/>
  <c r="V168" i="44"/>
  <c r="V167" i="44"/>
  <c r="V150" i="44"/>
  <c r="B137" i="44"/>
  <c r="B203" i="44" s="1"/>
  <c r="B303" i="44" s="1"/>
  <c r="T124" i="44"/>
  <c r="T122" i="44"/>
  <c r="T114" i="44"/>
  <c r="A114" i="44"/>
  <c r="A115" i="44" s="1"/>
  <c r="A116" i="44" s="1"/>
  <c r="A117" i="44" s="1"/>
  <c r="A118" i="44" s="1"/>
  <c r="A119" i="44" s="1"/>
  <c r="A120" i="44" s="1"/>
  <c r="A103" i="44"/>
  <c r="A104" i="44" s="1"/>
  <c r="T98" i="44"/>
  <c r="T97" i="44"/>
  <c r="T96" i="44"/>
  <c r="V96" i="44"/>
  <c r="V100" i="44" s="1"/>
  <c r="N86" i="44"/>
  <c r="V81" i="44"/>
  <c r="V80" i="44"/>
  <c r="T70" i="44"/>
  <c r="R70" i="44"/>
  <c r="N70" i="44"/>
  <c r="N83" i="44" s="1"/>
  <c r="L70" i="44"/>
  <c r="L83" i="44" s="1"/>
  <c r="T218" i="44"/>
  <c r="R57" i="44"/>
  <c r="R56" i="44"/>
  <c r="V50" i="44"/>
  <c r="P43" i="44"/>
  <c r="L43" i="44"/>
  <c r="F43" i="44"/>
  <c r="D43" i="44"/>
  <c r="R36" i="44"/>
  <c r="P36" i="44"/>
  <c r="N36" i="44"/>
  <c r="L36" i="44"/>
  <c r="J36" i="44"/>
  <c r="H36" i="44"/>
  <c r="F36" i="44"/>
  <c r="D36" i="44"/>
  <c r="R35" i="44"/>
  <c r="P35" i="44"/>
  <c r="N35" i="44"/>
  <c r="L35" i="44"/>
  <c r="J35" i="44"/>
  <c r="H35" i="44"/>
  <c r="F35" i="44"/>
  <c r="D35" i="44"/>
  <c r="V34" i="44"/>
  <c r="S186" i="44" s="1"/>
  <c r="R33" i="44"/>
  <c r="P33" i="44"/>
  <c r="N33" i="44"/>
  <c r="L33" i="44"/>
  <c r="J33" i="44"/>
  <c r="H33" i="44"/>
  <c r="F33" i="44"/>
  <c r="D33" i="44"/>
  <c r="R32" i="44"/>
  <c r="P32" i="44"/>
  <c r="N32" i="44"/>
  <c r="L32" i="44"/>
  <c r="J32" i="44"/>
  <c r="H32" i="44"/>
  <c r="F32" i="44"/>
  <c r="D32" i="44"/>
  <c r="S254" i="44" l="1"/>
  <c r="S258" i="44"/>
  <c r="S256" i="44"/>
  <c r="S260" i="44"/>
  <c r="U275" i="44"/>
  <c r="S255" i="44"/>
  <c r="S257" i="44"/>
  <c r="S259" i="44"/>
  <c r="V35" i="44"/>
  <c r="V43" i="44" s="1"/>
  <c r="T210" i="44" s="1"/>
  <c r="T211" i="44" s="1"/>
  <c r="T100" i="44"/>
  <c r="T133" i="44"/>
  <c r="T134" i="44" s="1"/>
  <c r="V169" i="44"/>
  <c r="V51" i="44"/>
  <c r="V36" i="44"/>
  <c r="S275" i="44"/>
  <c r="T251" i="44"/>
  <c r="U248" i="44" s="1"/>
  <c r="T289" i="44"/>
  <c r="U254" i="44"/>
  <c r="U255" i="44"/>
  <c r="U256" i="44"/>
  <c r="U257" i="44"/>
  <c r="U258" i="44"/>
  <c r="U259" i="44"/>
  <c r="U260" i="44"/>
  <c r="R251" i="44"/>
  <c r="S248" i="44" s="1"/>
  <c r="R289" i="44"/>
  <c r="V198" i="44"/>
  <c r="V194" i="44"/>
  <c r="V120" i="44"/>
  <c r="V133" i="44" s="1"/>
  <c r="V134" i="44" s="1"/>
  <c r="T212" i="44"/>
  <c r="V196" i="44"/>
  <c r="S245" i="44"/>
  <c r="V67" i="44"/>
  <c r="V70" i="44" s="1"/>
  <c r="P70" i="44"/>
  <c r="V141" i="44"/>
  <c r="V107" i="43"/>
  <c r="V106" i="43"/>
  <c r="V104" i="43"/>
  <c r="V90" i="43"/>
  <c r="V89" i="43"/>
  <c r="S188" i="43"/>
  <c r="T88" i="43"/>
  <c r="P67" i="43"/>
  <c r="R67" i="43"/>
  <c r="P44" i="43"/>
  <c r="L44" i="43"/>
  <c r="F44" i="43"/>
  <c r="D44" i="43"/>
  <c r="U245" i="44" l="1"/>
  <c r="U247" i="44"/>
  <c r="S263" i="44"/>
  <c r="U243" i="44"/>
  <c r="U242" i="44"/>
  <c r="U244" i="44"/>
  <c r="U246" i="44"/>
  <c r="U249" i="44"/>
  <c r="S243" i="44"/>
  <c r="S247" i="44"/>
  <c r="S242" i="44"/>
  <c r="S244" i="44"/>
  <c r="S246" i="44"/>
  <c r="S249" i="44"/>
  <c r="U263" i="44"/>
  <c r="V181" i="44"/>
  <c r="V83" i="44"/>
  <c r="V182" i="44" s="1"/>
  <c r="U287" i="43"/>
  <c r="T287" i="43"/>
  <c r="T224" i="43" s="1"/>
  <c r="S287" i="43"/>
  <c r="R287" i="43"/>
  <c r="S224" i="43" s="1"/>
  <c r="T275" i="43"/>
  <c r="U272" i="43" s="1"/>
  <c r="R275" i="43"/>
  <c r="S223" i="43" s="1"/>
  <c r="U273" i="43"/>
  <c r="U268" i="43"/>
  <c r="U267" i="43"/>
  <c r="T263" i="43"/>
  <c r="U260" i="43" s="1"/>
  <c r="R263" i="43"/>
  <c r="S261" i="43" s="1"/>
  <c r="T249" i="43"/>
  <c r="R249" i="43"/>
  <c r="T248" i="43"/>
  <c r="R248" i="43"/>
  <c r="T247" i="43"/>
  <c r="R247" i="43"/>
  <c r="T246" i="43"/>
  <c r="R246" i="43"/>
  <c r="T245" i="43"/>
  <c r="R245" i="43"/>
  <c r="T244" i="43"/>
  <c r="R244" i="43"/>
  <c r="T243" i="43"/>
  <c r="R243" i="43"/>
  <c r="T242" i="43"/>
  <c r="R242" i="43"/>
  <c r="T228" i="43"/>
  <c r="T226" i="43"/>
  <c r="T223" i="43"/>
  <c r="T208" i="43"/>
  <c r="V188" i="43"/>
  <c r="V175" i="43"/>
  <c r="V168" i="43"/>
  <c r="V167" i="43"/>
  <c r="V169" i="43" s="1"/>
  <c r="V150" i="43"/>
  <c r="B137" i="43"/>
  <c r="B203" i="43" s="1"/>
  <c r="B303" i="43" s="1"/>
  <c r="T124" i="43"/>
  <c r="T122" i="43"/>
  <c r="T133" i="43" s="1"/>
  <c r="T114" i="43"/>
  <c r="A114" i="43"/>
  <c r="A115" i="43" s="1"/>
  <c r="A116" i="43" s="1"/>
  <c r="A117" i="43" s="1"/>
  <c r="A118" i="43" s="1"/>
  <c r="A119" i="43" s="1"/>
  <c r="A120" i="43" s="1"/>
  <c r="A103" i="43"/>
  <c r="A104" i="43" s="1"/>
  <c r="T98" i="43"/>
  <c r="T97" i="43"/>
  <c r="T96" i="43"/>
  <c r="V96" i="43"/>
  <c r="V100" i="43" s="1"/>
  <c r="V198" i="43" s="1"/>
  <c r="N86" i="43"/>
  <c r="V81" i="43"/>
  <c r="V80" i="43"/>
  <c r="T70" i="43"/>
  <c r="R70" i="43"/>
  <c r="N70" i="43"/>
  <c r="N83" i="43" s="1"/>
  <c r="L70" i="43"/>
  <c r="L83" i="43" s="1"/>
  <c r="V67" i="43"/>
  <c r="V70" i="43" s="1"/>
  <c r="T218" i="43"/>
  <c r="R57" i="43"/>
  <c r="R56" i="43"/>
  <c r="V50" i="43"/>
  <c r="P43" i="43"/>
  <c r="L43" i="43"/>
  <c r="F43" i="43"/>
  <c r="D43" i="43"/>
  <c r="R36" i="43"/>
  <c r="P36" i="43"/>
  <c r="N36" i="43"/>
  <c r="L36" i="43"/>
  <c r="J36" i="43"/>
  <c r="H36" i="43"/>
  <c r="F36" i="43"/>
  <c r="D36" i="43"/>
  <c r="R35" i="43"/>
  <c r="P35" i="43"/>
  <c r="N35" i="43"/>
  <c r="L35" i="43"/>
  <c r="J35" i="43"/>
  <c r="H35" i="43"/>
  <c r="F35" i="43"/>
  <c r="D35" i="43"/>
  <c r="V34" i="43"/>
  <c r="S186" i="43" s="1"/>
  <c r="R33" i="43"/>
  <c r="P33" i="43"/>
  <c r="N33" i="43"/>
  <c r="L33" i="43"/>
  <c r="J33" i="43"/>
  <c r="H33" i="43"/>
  <c r="F33" i="43"/>
  <c r="D33" i="43"/>
  <c r="R32" i="43"/>
  <c r="P32" i="43"/>
  <c r="N32" i="43"/>
  <c r="L32" i="43"/>
  <c r="J32" i="43"/>
  <c r="H32" i="43"/>
  <c r="F32" i="43"/>
  <c r="D32" i="43"/>
  <c r="S270" i="43" l="1"/>
  <c r="U270" i="43"/>
  <c r="S268" i="43"/>
  <c r="U271" i="43"/>
  <c r="S266" i="43"/>
  <c r="U266" i="43"/>
  <c r="U269" i="43"/>
  <c r="U251" i="44"/>
  <c r="S272" i="43"/>
  <c r="U261" i="43"/>
  <c r="T100" i="43"/>
  <c r="T134" i="43" s="1"/>
  <c r="S267" i="43"/>
  <c r="S269" i="43"/>
  <c r="S271" i="43"/>
  <c r="S273" i="43"/>
  <c r="V35" i="43"/>
  <c r="V43" i="43" s="1"/>
  <c r="T210" i="43" s="1"/>
  <c r="T211" i="43" s="1"/>
  <c r="S251" i="44"/>
  <c r="V36" i="43"/>
  <c r="V51" i="43"/>
  <c r="U257" i="43"/>
  <c r="T251" i="43"/>
  <c r="U243" i="43" s="1"/>
  <c r="U255" i="43"/>
  <c r="U259" i="43"/>
  <c r="U254" i="43"/>
  <c r="U256" i="43"/>
  <c r="U258" i="43"/>
  <c r="T289" i="43"/>
  <c r="R251" i="43"/>
  <c r="S243" i="43" s="1"/>
  <c r="S254" i="43"/>
  <c r="S255" i="43"/>
  <c r="S256" i="43"/>
  <c r="S257" i="43"/>
  <c r="S258" i="43"/>
  <c r="S259" i="43"/>
  <c r="S260" i="43"/>
  <c r="R289" i="43"/>
  <c r="V194" i="43"/>
  <c r="T212" i="43"/>
  <c r="V196" i="43"/>
  <c r="V120" i="43"/>
  <c r="V133" i="43" s="1"/>
  <c r="V134" i="43" s="1"/>
  <c r="V181" i="43"/>
  <c r="V83" i="43"/>
  <c r="V182" i="43" s="1"/>
  <c r="P70" i="43"/>
  <c r="V141" i="43"/>
  <c r="U275" i="43" l="1"/>
  <c r="U247" i="43"/>
  <c r="S275" i="43"/>
  <c r="U246" i="43"/>
  <c r="U242" i="43"/>
  <c r="U249" i="43"/>
  <c r="U245" i="43"/>
  <c r="S242" i="43"/>
  <c r="U248" i="43"/>
  <c r="U244" i="43"/>
  <c r="S249" i="43"/>
  <c r="S248" i="43"/>
  <c r="S247" i="43"/>
  <c r="S246" i="43"/>
  <c r="S245" i="43"/>
  <c r="S244" i="43"/>
  <c r="U263" i="43"/>
  <c r="S263" i="43"/>
  <c r="S251" i="43" l="1"/>
  <c r="U251" i="43"/>
  <c r="V107" i="42"/>
  <c r="V106" i="42"/>
  <c r="V104" i="42"/>
  <c r="V90" i="42"/>
  <c r="V89" i="42"/>
  <c r="T88" i="42"/>
  <c r="P67" i="42"/>
  <c r="P44" i="42"/>
  <c r="L44" i="42"/>
  <c r="F44" i="42"/>
  <c r="D44" i="42"/>
  <c r="U287" i="42" l="1"/>
  <c r="T287" i="42"/>
  <c r="T224" i="42" s="1"/>
  <c r="S287" i="42"/>
  <c r="R287" i="42"/>
  <c r="T275" i="42"/>
  <c r="U272" i="42" s="1"/>
  <c r="R275" i="42"/>
  <c r="S273" i="42" s="1"/>
  <c r="U273" i="42"/>
  <c r="T263" i="42"/>
  <c r="U260" i="42" s="1"/>
  <c r="R263" i="42"/>
  <c r="S261" i="42" s="1"/>
  <c r="T249" i="42"/>
  <c r="R249" i="42"/>
  <c r="T248" i="42"/>
  <c r="R248" i="42"/>
  <c r="T247" i="42"/>
  <c r="R247" i="42"/>
  <c r="T246" i="42"/>
  <c r="R246" i="42"/>
  <c r="T245" i="42"/>
  <c r="R245" i="42"/>
  <c r="T244" i="42"/>
  <c r="R244" i="42"/>
  <c r="T243" i="42"/>
  <c r="R243" i="42"/>
  <c r="T242" i="42"/>
  <c r="R242" i="42"/>
  <c r="T228" i="42"/>
  <c r="T226" i="42"/>
  <c r="T223" i="42"/>
  <c r="T208" i="42"/>
  <c r="V188" i="42"/>
  <c r="V175" i="42"/>
  <c r="V168" i="42"/>
  <c r="V167" i="42"/>
  <c r="V150" i="42"/>
  <c r="B137" i="42"/>
  <c r="B203" i="42" s="1"/>
  <c r="B303" i="42" s="1"/>
  <c r="T124" i="42"/>
  <c r="T122" i="42"/>
  <c r="T114" i="42"/>
  <c r="A114" i="42"/>
  <c r="A115" i="42" s="1"/>
  <c r="A116" i="42" s="1"/>
  <c r="A117" i="42" s="1"/>
  <c r="A118" i="42" s="1"/>
  <c r="A119" i="42" s="1"/>
  <c r="A120" i="42" s="1"/>
  <c r="A103" i="42"/>
  <c r="A104" i="42" s="1"/>
  <c r="T98" i="42"/>
  <c r="T97" i="42"/>
  <c r="V96" i="42"/>
  <c r="V100" i="42" s="1"/>
  <c r="T96" i="42"/>
  <c r="N86" i="42"/>
  <c r="V81" i="42"/>
  <c r="V80" i="42"/>
  <c r="T70" i="42"/>
  <c r="R70" i="42"/>
  <c r="N70" i="42"/>
  <c r="N83" i="42" s="1"/>
  <c r="L70" i="42"/>
  <c r="L83" i="42" s="1"/>
  <c r="V67" i="42"/>
  <c r="V70" i="42" s="1"/>
  <c r="R57" i="42"/>
  <c r="R56" i="42"/>
  <c r="V50" i="42"/>
  <c r="P43" i="42"/>
  <c r="L43" i="42"/>
  <c r="F43" i="42"/>
  <c r="D43" i="42"/>
  <c r="R36" i="42"/>
  <c r="P36" i="42"/>
  <c r="N36" i="42"/>
  <c r="L36" i="42"/>
  <c r="J36" i="42"/>
  <c r="H36" i="42"/>
  <c r="F36" i="42"/>
  <c r="D36" i="42"/>
  <c r="R35" i="42"/>
  <c r="P35" i="42"/>
  <c r="N35" i="42"/>
  <c r="L35" i="42"/>
  <c r="J35" i="42"/>
  <c r="H35" i="42"/>
  <c r="F35" i="42"/>
  <c r="D35" i="42"/>
  <c r="V34" i="42"/>
  <c r="V141" i="42" s="1"/>
  <c r="R33" i="42"/>
  <c r="P33" i="42"/>
  <c r="N33" i="42"/>
  <c r="L33" i="42"/>
  <c r="J33" i="42"/>
  <c r="H33" i="42"/>
  <c r="F33" i="42"/>
  <c r="D33" i="42"/>
  <c r="R32" i="42"/>
  <c r="P32" i="42"/>
  <c r="N32" i="42"/>
  <c r="L32" i="42"/>
  <c r="J32" i="42"/>
  <c r="H32" i="42"/>
  <c r="F32" i="42"/>
  <c r="D32" i="42"/>
  <c r="T133" i="42" l="1"/>
  <c r="R251" i="42"/>
  <c r="S249" i="42" s="1"/>
  <c r="U261" i="42"/>
  <c r="T251" i="42"/>
  <c r="U248" i="42" s="1"/>
  <c r="T100" i="42"/>
  <c r="T134" i="42" s="1"/>
  <c r="V35" i="42"/>
  <c r="V43" i="42" s="1"/>
  <c r="T210" i="42" s="1"/>
  <c r="T211" i="42" s="1"/>
  <c r="U269" i="42"/>
  <c r="U267" i="42"/>
  <c r="U271" i="42"/>
  <c r="U266" i="42"/>
  <c r="U268" i="42"/>
  <c r="U270" i="42"/>
  <c r="S268" i="42"/>
  <c r="S266" i="42"/>
  <c r="S270" i="42"/>
  <c r="U257" i="42"/>
  <c r="U255" i="42"/>
  <c r="U259" i="42"/>
  <c r="T289" i="42"/>
  <c r="U254" i="42"/>
  <c r="U256" i="42"/>
  <c r="U258" i="42"/>
  <c r="S254" i="42"/>
  <c r="S256" i="42"/>
  <c r="S258" i="42"/>
  <c r="S243" i="42"/>
  <c r="S247" i="42"/>
  <c r="R289" i="42"/>
  <c r="V169" i="42"/>
  <c r="V36" i="42"/>
  <c r="V51" i="42"/>
  <c r="V181" i="42"/>
  <c r="V83" i="42"/>
  <c r="V182" i="42" s="1"/>
  <c r="S244" i="42"/>
  <c r="S248" i="42"/>
  <c r="V198" i="42"/>
  <c r="V196" i="42"/>
  <c r="V194" i="42"/>
  <c r="V120" i="42"/>
  <c r="V133" i="42" s="1"/>
  <c r="V134" i="42" s="1"/>
  <c r="T212" i="42"/>
  <c r="S186" i="42"/>
  <c r="S224" i="42"/>
  <c r="P70" i="42"/>
  <c r="T218" i="42"/>
  <c r="S260" i="42"/>
  <c r="S223" i="42"/>
  <c r="S242" i="42"/>
  <c r="S272" i="42"/>
  <c r="S255" i="42"/>
  <c r="S257" i="42"/>
  <c r="S259" i="42"/>
  <c r="S267" i="42"/>
  <c r="S269" i="42"/>
  <c r="S271" i="42"/>
  <c r="S245" i="42" l="1"/>
  <c r="U249" i="42"/>
  <c r="U242" i="42"/>
  <c r="U245" i="42"/>
  <c r="U246" i="42"/>
  <c r="S246" i="42"/>
  <c r="S251" i="42" s="1"/>
  <c r="U243" i="42"/>
  <c r="U247" i="42"/>
  <c r="U244" i="42"/>
  <c r="U275" i="42"/>
  <c r="S275" i="42"/>
  <c r="U263" i="42"/>
  <c r="S263" i="42"/>
  <c r="U251" i="42" l="1"/>
  <c r="V106" i="41"/>
  <c r="V107" i="41"/>
  <c r="V104" i="41"/>
  <c r="V90" i="41"/>
  <c r="V89" i="41"/>
  <c r="T88" i="41"/>
  <c r="P67" i="41"/>
  <c r="P44" i="41"/>
  <c r="L44" i="41"/>
  <c r="F44" i="41"/>
  <c r="D44" i="41"/>
  <c r="V170" i="41" l="1"/>
  <c r="U287" i="41" l="1"/>
  <c r="T287" i="41"/>
  <c r="T224" i="41" s="1"/>
  <c r="S287" i="41"/>
  <c r="R287" i="41"/>
  <c r="S224" i="41" s="1"/>
  <c r="T275" i="41"/>
  <c r="R275" i="41"/>
  <c r="S223" i="41" s="1"/>
  <c r="U273" i="41"/>
  <c r="S273" i="41"/>
  <c r="U272" i="41"/>
  <c r="S272" i="41"/>
  <c r="U271" i="41"/>
  <c r="S271" i="41"/>
  <c r="U270" i="41"/>
  <c r="S270" i="41"/>
  <c r="U269" i="41"/>
  <c r="S269" i="41"/>
  <c r="U268" i="41"/>
  <c r="S268" i="41"/>
  <c r="U267" i="41"/>
  <c r="S267" i="41"/>
  <c r="U266" i="41"/>
  <c r="S266" i="41"/>
  <c r="T263" i="41"/>
  <c r="U260" i="41" s="1"/>
  <c r="R263" i="41"/>
  <c r="S261" i="41" s="1"/>
  <c r="T249" i="41"/>
  <c r="R249" i="41"/>
  <c r="T248" i="41"/>
  <c r="R248" i="41"/>
  <c r="T247" i="41"/>
  <c r="R247" i="41"/>
  <c r="T246" i="41"/>
  <c r="R246" i="41"/>
  <c r="T245" i="41"/>
  <c r="R245" i="41"/>
  <c r="T244" i="41"/>
  <c r="R244" i="41"/>
  <c r="T243" i="41"/>
  <c r="R243" i="41"/>
  <c r="T242" i="41"/>
  <c r="T251" i="41" s="1"/>
  <c r="R242" i="41"/>
  <c r="T228" i="41"/>
  <c r="T226" i="41"/>
  <c r="T223" i="41"/>
  <c r="T208" i="41"/>
  <c r="V188" i="41"/>
  <c r="V175" i="41"/>
  <c r="V168" i="41"/>
  <c r="V167" i="41"/>
  <c r="V150" i="41"/>
  <c r="B137" i="41"/>
  <c r="B203" i="41" s="1"/>
  <c r="B303" i="41" s="1"/>
  <c r="T124" i="41"/>
  <c r="T122" i="41"/>
  <c r="T114" i="41"/>
  <c r="A114" i="41"/>
  <c r="A115" i="41" s="1"/>
  <c r="A116" i="41" s="1"/>
  <c r="A117" i="41" s="1"/>
  <c r="A118" i="41" s="1"/>
  <c r="A119" i="41" s="1"/>
  <c r="A120" i="41" s="1"/>
  <c r="A103" i="41"/>
  <c r="A104" i="41" s="1"/>
  <c r="T98" i="41"/>
  <c r="T97" i="41"/>
  <c r="T96" i="41"/>
  <c r="V96" i="41"/>
  <c r="V100" i="41" s="1"/>
  <c r="N86" i="41"/>
  <c r="V81" i="41"/>
  <c r="V80" i="41"/>
  <c r="T70" i="41"/>
  <c r="R70" i="41"/>
  <c r="N70" i="41"/>
  <c r="N83" i="41" s="1"/>
  <c r="L70" i="41"/>
  <c r="L83" i="41" s="1"/>
  <c r="T218" i="41"/>
  <c r="R57" i="41"/>
  <c r="R56" i="41"/>
  <c r="V50" i="41"/>
  <c r="P43" i="41"/>
  <c r="L43" i="41"/>
  <c r="F43" i="41"/>
  <c r="D43" i="41"/>
  <c r="R36" i="41"/>
  <c r="P36" i="41"/>
  <c r="N36" i="41"/>
  <c r="L36" i="41"/>
  <c r="J36" i="41"/>
  <c r="H36" i="41"/>
  <c r="F36" i="41"/>
  <c r="D36" i="41"/>
  <c r="R35" i="41"/>
  <c r="P35" i="41"/>
  <c r="N35" i="41"/>
  <c r="L35" i="41"/>
  <c r="J35" i="41"/>
  <c r="H35" i="41"/>
  <c r="F35" i="41"/>
  <c r="D35" i="41"/>
  <c r="V34" i="41"/>
  <c r="S186" i="41" s="1"/>
  <c r="R33" i="41"/>
  <c r="P33" i="41"/>
  <c r="N33" i="41"/>
  <c r="L33" i="41"/>
  <c r="J33" i="41"/>
  <c r="H33" i="41"/>
  <c r="F33" i="41"/>
  <c r="D33" i="41"/>
  <c r="R32" i="41"/>
  <c r="P32" i="41"/>
  <c r="N32" i="41"/>
  <c r="L32" i="41"/>
  <c r="J32" i="41"/>
  <c r="H32" i="41"/>
  <c r="F32" i="41"/>
  <c r="D32" i="41"/>
  <c r="T100" i="41" l="1"/>
  <c r="S275" i="41"/>
  <c r="T133" i="41"/>
  <c r="V169" i="41"/>
  <c r="U261" i="41"/>
  <c r="U275" i="41"/>
  <c r="V51" i="41"/>
  <c r="V36" i="41"/>
  <c r="V35" i="41"/>
  <c r="V43" i="41" s="1"/>
  <c r="T210" i="41" s="1"/>
  <c r="T211" i="41" s="1"/>
  <c r="U257" i="41"/>
  <c r="U255" i="41"/>
  <c r="U259" i="41"/>
  <c r="U254" i="41"/>
  <c r="U256" i="41"/>
  <c r="U258" i="41"/>
  <c r="T289" i="41"/>
  <c r="R251" i="41"/>
  <c r="S244" i="41" s="1"/>
  <c r="S254" i="41"/>
  <c r="S255" i="41"/>
  <c r="S256" i="41"/>
  <c r="S257" i="41"/>
  <c r="S258" i="41"/>
  <c r="S259" i="41"/>
  <c r="S260" i="41"/>
  <c r="R289" i="41"/>
  <c r="V198" i="41"/>
  <c r="V194" i="41"/>
  <c r="V120" i="41"/>
  <c r="V133" i="41" s="1"/>
  <c r="V134" i="41" s="1"/>
  <c r="T212" i="41"/>
  <c r="V196" i="41"/>
  <c r="T134" i="41"/>
  <c r="U243" i="41"/>
  <c r="U244" i="41"/>
  <c r="U245" i="41"/>
  <c r="U246" i="41"/>
  <c r="U247" i="41"/>
  <c r="U248" i="41"/>
  <c r="U249" i="41"/>
  <c r="V67" i="41"/>
  <c r="V70" i="41" s="1"/>
  <c r="U242" i="41"/>
  <c r="P70" i="41"/>
  <c r="V141" i="41"/>
  <c r="V107" i="40"/>
  <c r="V106" i="40"/>
  <c r="S249" i="41" l="1"/>
  <c r="S248" i="41"/>
  <c r="S247" i="41"/>
  <c r="S242" i="41"/>
  <c r="S243" i="41"/>
  <c r="S246" i="41"/>
  <c r="S245" i="41"/>
  <c r="U251" i="41"/>
  <c r="U263" i="41"/>
  <c r="S263" i="41"/>
  <c r="V181" i="41"/>
  <c r="V83" i="41"/>
  <c r="V182" i="41" s="1"/>
  <c r="S251" i="41" l="1"/>
  <c r="D33" i="40"/>
  <c r="D32" i="40"/>
  <c r="V104" i="40" l="1"/>
  <c r="V90" i="40"/>
  <c r="V89" i="40"/>
  <c r="T88" i="40"/>
  <c r="S188" i="40"/>
  <c r="R67" i="40"/>
  <c r="P67" i="40"/>
  <c r="D43" i="40"/>
  <c r="P44" i="40"/>
  <c r="L44" i="40"/>
  <c r="F44" i="40"/>
  <c r="U287" i="40" l="1"/>
  <c r="T287" i="40"/>
  <c r="T224" i="40" s="1"/>
  <c r="S287" i="40"/>
  <c r="R287" i="40"/>
  <c r="T275" i="40"/>
  <c r="U272" i="40" s="1"/>
  <c r="R275" i="40"/>
  <c r="S271" i="40" s="1"/>
  <c r="U273" i="40"/>
  <c r="S269" i="40"/>
  <c r="U267" i="40"/>
  <c r="S266" i="40"/>
  <c r="T263" i="40"/>
  <c r="U260" i="40" s="1"/>
  <c r="R263" i="40"/>
  <c r="S261" i="40" s="1"/>
  <c r="T249" i="40"/>
  <c r="R249" i="40"/>
  <c r="T248" i="40"/>
  <c r="R248" i="40"/>
  <c r="T247" i="40"/>
  <c r="R247" i="40"/>
  <c r="T246" i="40"/>
  <c r="R246" i="40"/>
  <c r="T245" i="40"/>
  <c r="R245" i="40"/>
  <c r="T244" i="40"/>
  <c r="R244" i="40"/>
  <c r="T243" i="40"/>
  <c r="R243" i="40"/>
  <c r="T242" i="40"/>
  <c r="R242" i="40"/>
  <c r="T228" i="40"/>
  <c r="T226" i="40"/>
  <c r="T223" i="40"/>
  <c r="T208" i="40"/>
  <c r="V188" i="40"/>
  <c r="V175" i="40"/>
  <c r="V168" i="40"/>
  <c r="V167" i="40"/>
  <c r="V150" i="40"/>
  <c r="B137" i="40"/>
  <c r="B203" i="40" s="1"/>
  <c r="B303" i="40" s="1"/>
  <c r="T124" i="40"/>
  <c r="T122" i="40"/>
  <c r="T114" i="40"/>
  <c r="A114" i="40"/>
  <c r="A115" i="40" s="1"/>
  <c r="A116" i="40" s="1"/>
  <c r="A117" i="40" s="1"/>
  <c r="A118" i="40" s="1"/>
  <c r="A119" i="40" s="1"/>
  <c r="A120" i="40" s="1"/>
  <c r="A103" i="40"/>
  <c r="A104" i="40" s="1"/>
  <c r="T98" i="40"/>
  <c r="T97" i="40"/>
  <c r="T96" i="40"/>
  <c r="N86" i="40"/>
  <c r="V81" i="40"/>
  <c r="V80" i="40"/>
  <c r="T70" i="40"/>
  <c r="N70" i="40"/>
  <c r="N83" i="40" s="1"/>
  <c r="L70" i="40"/>
  <c r="L83" i="40" s="1"/>
  <c r="R70" i="40"/>
  <c r="T218" i="40"/>
  <c r="R57" i="40"/>
  <c r="R56" i="40"/>
  <c r="V50" i="40"/>
  <c r="P43" i="40"/>
  <c r="L43" i="40"/>
  <c r="F43" i="40"/>
  <c r="R36" i="40"/>
  <c r="P36" i="40"/>
  <c r="N36" i="40"/>
  <c r="L36" i="40"/>
  <c r="J36" i="40"/>
  <c r="H36" i="40"/>
  <c r="F36" i="40"/>
  <c r="D36" i="40"/>
  <c r="R35" i="40"/>
  <c r="P35" i="40"/>
  <c r="N35" i="40"/>
  <c r="L35" i="40"/>
  <c r="J35" i="40"/>
  <c r="H35" i="40"/>
  <c r="F35" i="40"/>
  <c r="D35" i="40"/>
  <c r="V34" i="40"/>
  <c r="S186" i="40" s="1"/>
  <c r="R33" i="40"/>
  <c r="P33" i="40"/>
  <c r="N33" i="40"/>
  <c r="L33" i="40"/>
  <c r="J33" i="40"/>
  <c r="H33" i="40"/>
  <c r="F33" i="40"/>
  <c r="R32" i="40"/>
  <c r="P32" i="40"/>
  <c r="N32" i="40"/>
  <c r="L32" i="40"/>
  <c r="J32" i="40"/>
  <c r="H32" i="40"/>
  <c r="F32" i="40"/>
  <c r="T133" i="40" l="1"/>
  <c r="V169" i="40"/>
  <c r="V51" i="40"/>
  <c r="U269" i="40"/>
  <c r="U271" i="40"/>
  <c r="T251" i="40"/>
  <c r="U249" i="40" s="1"/>
  <c r="S256" i="40"/>
  <c r="S254" i="40"/>
  <c r="S259" i="40"/>
  <c r="S255" i="40"/>
  <c r="S258" i="40"/>
  <c r="S260" i="40"/>
  <c r="S223" i="40"/>
  <c r="S257" i="40"/>
  <c r="S267" i="40"/>
  <c r="S272" i="40"/>
  <c r="S270" i="40"/>
  <c r="S273" i="40"/>
  <c r="R289" i="40"/>
  <c r="S268" i="40"/>
  <c r="T289" i="40"/>
  <c r="T100" i="40"/>
  <c r="T134" i="40" s="1"/>
  <c r="U255" i="40"/>
  <c r="U257" i="40"/>
  <c r="U259" i="40"/>
  <c r="U261" i="40"/>
  <c r="P70" i="40"/>
  <c r="S224" i="40"/>
  <c r="R251" i="40"/>
  <c r="S247" i="40" s="1"/>
  <c r="U266" i="40"/>
  <c r="U268" i="40"/>
  <c r="U270" i="40"/>
  <c r="V35" i="40"/>
  <c r="V36" i="40"/>
  <c r="V96" i="40"/>
  <c r="V100" i="40" s="1"/>
  <c r="V194" i="40" s="1"/>
  <c r="U254" i="40"/>
  <c r="U256" i="40"/>
  <c r="U258" i="40"/>
  <c r="U248" i="40"/>
  <c r="U246" i="40"/>
  <c r="V67" i="40"/>
  <c r="V70" i="40" s="1"/>
  <c r="V141" i="40"/>
  <c r="T89" i="39"/>
  <c r="U242" i="40" l="1"/>
  <c r="U244" i="40"/>
  <c r="U243" i="40"/>
  <c r="U245" i="40"/>
  <c r="U247" i="40"/>
  <c r="S263" i="40"/>
  <c r="V43" i="40"/>
  <c r="T210" i="40" s="1"/>
  <c r="T211" i="40" s="1"/>
  <c r="T212" i="40"/>
  <c r="S275" i="40"/>
  <c r="S248" i="40"/>
  <c r="S244" i="40"/>
  <c r="S245" i="40"/>
  <c r="S249" i="40"/>
  <c r="S242" i="40"/>
  <c r="S246" i="40"/>
  <c r="S243" i="40"/>
  <c r="V198" i="40"/>
  <c r="V120" i="40"/>
  <c r="V133" i="40" s="1"/>
  <c r="V134" i="40" s="1"/>
  <c r="U275" i="40"/>
  <c r="V196" i="40"/>
  <c r="U263" i="40"/>
  <c r="V181" i="40"/>
  <c r="V83" i="40"/>
  <c r="V182" i="40" s="1"/>
  <c r="V107" i="39"/>
  <c r="V105" i="39"/>
  <c r="V91" i="39"/>
  <c r="V90" i="39"/>
  <c r="S189" i="39"/>
  <c r="P68" i="39"/>
  <c r="R68" i="39"/>
  <c r="P44" i="39"/>
  <c r="L44" i="39"/>
  <c r="F44" i="39"/>
  <c r="U251" i="40" l="1"/>
  <c r="S251" i="40"/>
  <c r="U288" i="39"/>
  <c r="T288" i="39"/>
  <c r="T225" i="39" s="1"/>
  <c r="S288" i="39"/>
  <c r="R288" i="39"/>
  <c r="S225" i="39" s="1"/>
  <c r="T276" i="39"/>
  <c r="T224" i="39" s="1"/>
  <c r="R276" i="39"/>
  <c r="S274" i="39" s="1"/>
  <c r="U267" i="39"/>
  <c r="T264" i="39"/>
  <c r="U262" i="39" s="1"/>
  <c r="R264" i="39"/>
  <c r="S261" i="39" s="1"/>
  <c r="U259" i="39"/>
  <c r="S259" i="39"/>
  <c r="S256" i="39"/>
  <c r="T250" i="39"/>
  <c r="R250" i="39"/>
  <c r="T249" i="39"/>
  <c r="R249" i="39"/>
  <c r="T248" i="39"/>
  <c r="R248" i="39"/>
  <c r="T247" i="39"/>
  <c r="R247" i="39"/>
  <c r="T246" i="39"/>
  <c r="R246" i="39"/>
  <c r="T245" i="39"/>
  <c r="R245" i="39"/>
  <c r="T244" i="39"/>
  <c r="R244" i="39"/>
  <c r="T243" i="39"/>
  <c r="R243" i="39"/>
  <c r="T229" i="39"/>
  <c r="T227" i="39"/>
  <c r="T209" i="39"/>
  <c r="V189" i="39"/>
  <c r="V176" i="39"/>
  <c r="V169" i="39"/>
  <c r="V168" i="39"/>
  <c r="V151" i="39"/>
  <c r="B138" i="39"/>
  <c r="B204" i="39" s="1"/>
  <c r="B300" i="39" s="1"/>
  <c r="T125" i="39"/>
  <c r="T123" i="39"/>
  <c r="T115" i="39"/>
  <c r="A115" i="39"/>
  <c r="A116" i="39" s="1"/>
  <c r="A117" i="39" s="1"/>
  <c r="A118" i="39" s="1"/>
  <c r="A119" i="39" s="1"/>
  <c r="A120" i="39" s="1"/>
  <c r="A121" i="39" s="1"/>
  <c r="A104" i="39"/>
  <c r="A105" i="39" s="1"/>
  <c r="T99" i="39"/>
  <c r="T98" i="39"/>
  <c r="V97" i="39"/>
  <c r="V101" i="39" s="1"/>
  <c r="T97" i="39"/>
  <c r="N87" i="39"/>
  <c r="V82" i="39"/>
  <c r="V81" i="39"/>
  <c r="T71" i="39"/>
  <c r="P71" i="39"/>
  <c r="N71" i="39"/>
  <c r="N84" i="39" s="1"/>
  <c r="L71" i="39"/>
  <c r="L84" i="39" s="1"/>
  <c r="R71" i="39"/>
  <c r="T219" i="39"/>
  <c r="R58" i="39"/>
  <c r="R57" i="39"/>
  <c r="V50" i="39"/>
  <c r="P43" i="39"/>
  <c r="L43" i="39"/>
  <c r="F43" i="39"/>
  <c r="R36" i="39"/>
  <c r="P36" i="39"/>
  <c r="N36" i="39"/>
  <c r="L36" i="39"/>
  <c r="J36" i="39"/>
  <c r="H36" i="39"/>
  <c r="F36" i="39"/>
  <c r="D36" i="39"/>
  <c r="R35" i="39"/>
  <c r="P35" i="39"/>
  <c r="N35" i="39"/>
  <c r="L35" i="39"/>
  <c r="J35" i="39"/>
  <c r="H35" i="39"/>
  <c r="F35" i="39"/>
  <c r="D35" i="39"/>
  <c r="V34" i="39"/>
  <c r="S187" i="39" s="1"/>
  <c r="R33" i="39"/>
  <c r="P33" i="39"/>
  <c r="N33" i="39"/>
  <c r="L33" i="39"/>
  <c r="J33" i="39"/>
  <c r="H33" i="39"/>
  <c r="F33" i="39"/>
  <c r="D33" i="39"/>
  <c r="R32" i="39"/>
  <c r="P32" i="39"/>
  <c r="N32" i="39"/>
  <c r="L32" i="39"/>
  <c r="J32" i="39"/>
  <c r="H32" i="39"/>
  <c r="F32" i="39"/>
  <c r="D32" i="39"/>
  <c r="U255" i="39" l="1"/>
  <c r="S262" i="39"/>
  <c r="U269" i="39"/>
  <c r="S257" i="39"/>
  <c r="S260" i="39"/>
  <c r="U270" i="39"/>
  <c r="S255" i="39"/>
  <c r="U257" i="39"/>
  <c r="U261" i="39"/>
  <c r="S267" i="39"/>
  <c r="U272" i="39"/>
  <c r="S273" i="39"/>
  <c r="U268" i="39"/>
  <c r="S271" i="39"/>
  <c r="U273" i="39"/>
  <c r="S258" i="39"/>
  <c r="S269" i="39"/>
  <c r="U271" i="39"/>
  <c r="U274" i="39"/>
  <c r="U256" i="39"/>
  <c r="U264" i="39" s="1"/>
  <c r="U258" i="39"/>
  <c r="U260" i="39"/>
  <c r="S224" i="39"/>
  <c r="S268" i="39"/>
  <c r="S270" i="39"/>
  <c r="S272" i="39"/>
  <c r="V142" i="39"/>
  <c r="V170" i="39"/>
  <c r="T101" i="39"/>
  <c r="T134" i="39"/>
  <c r="T290" i="39"/>
  <c r="V51" i="39"/>
  <c r="V36" i="39"/>
  <c r="V35" i="39"/>
  <c r="V43" i="39" s="1"/>
  <c r="T211" i="39" s="1"/>
  <c r="T212" i="39" s="1"/>
  <c r="T252" i="39"/>
  <c r="U249" i="39" s="1"/>
  <c r="R252" i="39"/>
  <c r="S249" i="39" s="1"/>
  <c r="R290" i="39"/>
  <c r="V199" i="39"/>
  <c r="V195" i="39"/>
  <c r="T213" i="39"/>
  <c r="V197" i="39"/>
  <c r="V121" i="39"/>
  <c r="V134" i="39" s="1"/>
  <c r="V135" i="39" s="1"/>
  <c r="V68" i="39"/>
  <c r="V71" i="39" s="1"/>
  <c r="V90" i="38"/>
  <c r="V120" i="38"/>
  <c r="V107" i="38"/>
  <c r="V105" i="38"/>
  <c r="V91" i="38"/>
  <c r="S189" i="38"/>
  <c r="T89" i="38"/>
  <c r="P68" i="38"/>
  <c r="R68" i="38"/>
  <c r="S264" i="39" l="1"/>
  <c r="T135" i="39"/>
  <c r="S276" i="39"/>
  <c r="U276" i="39"/>
  <c r="S243" i="39"/>
  <c r="S244" i="39"/>
  <c r="U250" i="39"/>
  <c r="U243" i="39"/>
  <c r="U244" i="39"/>
  <c r="S245" i="39"/>
  <c r="S246" i="39"/>
  <c r="S247" i="39"/>
  <c r="S250" i="39"/>
  <c r="U246" i="39"/>
  <c r="U245" i="39"/>
  <c r="U247" i="39"/>
  <c r="U248" i="39"/>
  <c r="S248" i="39"/>
  <c r="V182" i="39"/>
  <c r="V84" i="39"/>
  <c r="V183" i="39" s="1"/>
  <c r="P44" i="38"/>
  <c r="L44" i="38"/>
  <c r="F44" i="38"/>
  <c r="S252" i="39" l="1"/>
  <c r="U252" i="39"/>
  <c r="V171" i="38"/>
  <c r="U288" i="38" l="1"/>
  <c r="T288" i="38"/>
  <c r="T225" i="38" s="1"/>
  <c r="S288" i="38"/>
  <c r="R288" i="38"/>
  <c r="S225" i="38" s="1"/>
  <c r="T276" i="38"/>
  <c r="R276" i="38"/>
  <c r="S224" i="38" s="1"/>
  <c r="U274" i="38"/>
  <c r="S274" i="38"/>
  <c r="U273" i="38"/>
  <c r="S273" i="38"/>
  <c r="U272" i="38"/>
  <c r="S272" i="38"/>
  <c r="U271" i="38"/>
  <c r="S271" i="38"/>
  <c r="U270" i="38"/>
  <c r="S270" i="38"/>
  <c r="U269" i="38"/>
  <c r="S269" i="38"/>
  <c r="U268" i="38"/>
  <c r="S268" i="38"/>
  <c r="U267" i="38"/>
  <c r="S267" i="38"/>
  <c r="T264" i="38"/>
  <c r="U262" i="38" s="1"/>
  <c r="R264" i="38"/>
  <c r="S262" i="38" s="1"/>
  <c r="T250" i="38"/>
  <c r="R250" i="38"/>
  <c r="T249" i="38"/>
  <c r="R249" i="38"/>
  <c r="T248" i="38"/>
  <c r="R248" i="38"/>
  <c r="T247" i="38"/>
  <c r="R247" i="38"/>
  <c r="T246" i="38"/>
  <c r="R246" i="38"/>
  <c r="T245" i="38"/>
  <c r="R245" i="38"/>
  <c r="T244" i="38"/>
  <c r="R244" i="38"/>
  <c r="T243" i="38"/>
  <c r="R243" i="38"/>
  <c r="T229" i="38"/>
  <c r="T227" i="38"/>
  <c r="T224" i="38"/>
  <c r="T209" i="38"/>
  <c r="V189" i="38"/>
  <c r="V176" i="38"/>
  <c r="V169" i="38"/>
  <c r="V168" i="38"/>
  <c r="V151" i="38"/>
  <c r="B138" i="38"/>
  <c r="B204" i="38" s="1"/>
  <c r="B300" i="38" s="1"/>
  <c r="T125" i="38"/>
  <c r="T123" i="38"/>
  <c r="T115" i="38"/>
  <c r="A115" i="38"/>
  <c r="A116" i="38" s="1"/>
  <c r="A117" i="38" s="1"/>
  <c r="A118" i="38" s="1"/>
  <c r="A119" i="38" s="1"/>
  <c r="A120" i="38" s="1"/>
  <c r="A121" i="38" s="1"/>
  <c r="A104" i="38"/>
  <c r="A105" i="38" s="1"/>
  <c r="T99" i="38"/>
  <c r="T98" i="38"/>
  <c r="T97" i="38"/>
  <c r="V97" i="38"/>
  <c r="V101" i="38" s="1"/>
  <c r="N87" i="38"/>
  <c r="V82" i="38"/>
  <c r="V81" i="38"/>
  <c r="T71" i="38"/>
  <c r="R71" i="38"/>
  <c r="N71" i="38"/>
  <c r="N84" i="38" s="1"/>
  <c r="L71" i="38"/>
  <c r="L84" i="38" s="1"/>
  <c r="T219" i="38"/>
  <c r="R58" i="38"/>
  <c r="R57" i="38"/>
  <c r="V50" i="38"/>
  <c r="P43" i="38"/>
  <c r="L43" i="38"/>
  <c r="F43" i="38"/>
  <c r="R36" i="38"/>
  <c r="P36" i="38"/>
  <c r="N36" i="38"/>
  <c r="L36" i="38"/>
  <c r="J36" i="38"/>
  <c r="H36" i="38"/>
  <c r="F36" i="38"/>
  <c r="D36" i="38"/>
  <c r="R35" i="38"/>
  <c r="P35" i="38"/>
  <c r="N35" i="38"/>
  <c r="L35" i="38"/>
  <c r="J35" i="38"/>
  <c r="H35" i="38"/>
  <c r="F35" i="38"/>
  <c r="D35" i="38"/>
  <c r="V34" i="38"/>
  <c r="S187" i="38" s="1"/>
  <c r="R33" i="38"/>
  <c r="P33" i="38"/>
  <c r="N33" i="38"/>
  <c r="L33" i="38"/>
  <c r="J33" i="38"/>
  <c r="H33" i="38"/>
  <c r="F33" i="38"/>
  <c r="D33" i="38"/>
  <c r="R32" i="38"/>
  <c r="P32" i="38"/>
  <c r="N32" i="38"/>
  <c r="L32" i="38"/>
  <c r="J32" i="38"/>
  <c r="H32" i="38"/>
  <c r="F32" i="38"/>
  <c r="D32" i="38"/>
  <c r="U257" i="38" l="1"/>
  <c r="S255" i="38"/>
  <c r="S259" i="38"/>
  <c r="T252" i="38"/>
  <c r="U243" i="38" s="1"/>
  <c r="U255" i="38"/>
  <c r="U259" i="38"/>
  <c r="S257" i="38"/>
  <c r="S261" i="38"/>
  <c r="S256" i="38"/>
  <c r="S258" i="38"/>
  <c r="S260" i="38"/>
  <c r="S276" i="38"/>
  <c r="U261" i="38"/>
  <c r="U256" i="38"/>
  <c r="U258" i="38"/>
  <c r="U260" i="38"/>
  <c r="U276" i="38"/>
  <c r="V35" i="38"/>
  <c r="V43" i="38" s="1"/>
  <c r="T211" i="38" s="1"/>
  <c r="T212" i="38" s="1"/>
  <c r="V36" i="38"/>
  <c r="V51" i="38"/>
  <c r="T101" i="38"/>
  <c r="T134" i="38"/>
  <c r="T290" i="38"/>
  <c r="V170" i="38"/>
  <c r="R252" i="38"/>
  <c r="S249" i="38" s="1"/>
  <c r="R290" i="38"/>
  <c r="V199" i="38"/>
  <c r="V195" i="38"/>
  <c r="V121" i="38"/>
  <c r="V134" i="38" s="1"/>
  <c r="V135" i="38" s="1"/>
  <c r="T213" i="38"/>
  <c r="V197" i="38"/>
  <c r="V68" i="38"/>
  <c r="V71" i="38" s="1"/>
  <c r="P71" i="38"/>
  <c r="V142" i="38"/>
  <c r="U244" i="38" l="1"/>
  <c r="U245" i="38"/>
  <c r="U248" i="38"/>
  <c r="U249" i="38"/>
  <c r="S248" i="38"/>
  <c r="U250" i="38"/>
  <c r="U246" i="38"/>
  <c r="U247" i="38"/>
  <c r="U264" i="38"/>
  <c r="S264" i="38"/>
  <c r="S250" i="38"/>
  <c r="T135" i="38"/>
  <c r="S244" i="38"/>
  <c r="S246" i="38"/>
  <c r="S243" i="38"/>
  <c r="S245" i="38"/>
  <c r="S247" i="38"/>
  <c r="V182" i="38"/>
  <c r="V84" i="38"/>
  <c r="V183" i="38" s="1"/>
  <c r="V114" i="37"/>
  <c r="S252" i="38" l="1"/>
  <c r="U252" i="38"/>
  <c r="V107" i="37"/>
  <c r="V105" i="37"/>
  <c r="V91" i="37"/>
  <c r="V90" i="37"/>
  <c r="S189" i="37"/>
  <c r="T89" i="37"/>
  <c r="R68" i="37"/>
  <c r="P68" i="37"/>
  <c r="P44" i="37"/>
  <c r="L44" i="37"/>
  <c r="F44" i="37"/>
  <c r="U288" i="37" l="1"/>
  <c r="T288" i="37"/>
  <c r="T225" i="37" s="1"/>
  <c r="S288" i="37"/>
  <c r="R288" i="37"/>
  <c r="S225" i="37" s="1"/>
  <c r="T276" i="37"/>
  <c r="R276" i="37"/>
  <c r="S224" i="37" s="1"/>
  <c r="U274" i="37"/>
  <c r="S274" i="37"/>
  <c r="U273" i="37"/>
  <c r="S273" i="37"/>
  <c r="U272" i="37"/>
  <c r="S272" i="37"/>
  <c r="U271" i="37"/>
  <c r="S271" i="37"/>
  <c r="U270" i="37"/>
  <c r="S270" i="37"/>
  <c r="U269" i="37"/>
  <c r="S269" i="37"/>
  <c r="U268" i="37"/>
  <c r="S268" i="37"/>
  <c r="U267" i="37"/>
  <c r="S267" i="37"/>
  <c r="T264" i="37"/>
  <c r="U262" i="37" s="1"/>
  <c r="R264" i="37"/>
  <c r="S262" i="37" s="1"/>
  <c r="T250" i="37"/>
  <c r="R250" i="37"/>
  <c r="T249" i="37"/>
  <c r="R249" i="37"/>
  <c r="T248" i="37"/>
  <c r="R248" i="37"/>
  <c r="T247" i="37"/>
  <c r="R247" i="37"/>
  <c r="T246" i="37"/>
  <c r="R246" i="37"/>
  <c r="T245" i="37"/>
  <c r="R245" i="37"/>
  <c r="T244" i="37"/>
  <c r="R244" i="37"/>
  <c r="T243" i="37"/>
  <c r="T252" i="37" s="1"/>
  <c r="R243" i="37"/>
  <c r="T229" i="37"/>
  <c r="T227" i="37"/>
  <c r="T224" i="37"/>
  <c r="T209" i="37"/>
  <c r="V189" i="37"/>
  <c r="V176" i="37"/>
  <c r="V169" i="37"/>
  <c r="V168" i="37"/>
  <c r="V151" i="37"/>
  <c r="B138" i="37"/>
  <c r="B204" i="37" s="1"/>
  <c r="B300" i="37" s="1"/>
  <c r="T125" i="37"/>
  <c r="T123" i="37"/>
  <c r="T115" i="37"/>
  <c r="A115" i="37"/>
  <c r="A116" i="37" s="1"/>
  <c r="A117" i="37" s="1"/>
  <c r="A118" i="37" s="1"/>
  <c r="A119" i="37" s="1"/>
  <c r="A120" i="37" s="1"/>
  <c r="A121" i="37" s="1"/>
  <c r="A104" i="37"/>
  <c r="A105" i="37" s="1"/>
  <c r="T99" i="37"/>
  <c r="T98" i="37"/>
  <c r="V97" i="37"/>
  <c r="V101" i="37" s="1"/>
  <c r="T97" i="37"/>
  <c r="N87" i="37"/>
  <c r="V82" i="37"/>
  <c r="V81" i="37"/>
  <c r="T71" i="37"/>
  <c r="P71" i="37"/>
  <c r="N71" i="37"/>
  <c r="N84" i="37" s="1"/>
  <c r="L71" i="37"/>
  <c r="L84" i="37" s="1"/>
  <c r="R71" i="37"/>
  <c r="T219" i="37"/>
  <c r="R58" i="37"/>
  <c r="R57" i="37"/>
  <c r="V50" i="37"/>
  <c r="P43" i="37"/>
  <c r="L43" i="37"/>
  <c r="F43" i="37"/>
  <c r="R36" i="37"/>
  <c r="P36" i="37"/>
  <c r="N36" i="37"/>
  <c r="L36" i="37"/>
  <c r="J36" i="37"/>
  <c r="H36" i="37"/>
  <c r="F36" i="37"/>
  <c r="D36" i="37"/>
  <c r="R35" i="37"/>
  <c r="P35" i="37"/>
  <c r="N35" i="37"/>
  <c r="L35" i="37"/>
  <c r="J35" i="37"/>
  <c r="H35" i="37"/>
  <c r="F35" i="37"/>
  <c r="D35" i="37"/>
  <c r="V34" i="37"/>
  <c r="S187" i="37" s="1"/>
  <c r="R33" i="37"/>
  <c r="P33" i="37"/>
  <c r="N33" i="37"/>
  <c r="L33" i="37"/>
  <c r="J33" i="37"/>
  <c r="H33" i="37"/>
  <c r="F33" i="37"/>
  <c r="D33" i="37"/>
  <c r="R32" i="37"/>
  <c r="P32" i="37"/>
  <c r="N32" i="37"/>
  <c r="L32" i="37"/>
  <c r="J32" i="37"/>
  <c r="H32" i="37"/>
  <c r="F32" i="37"/>
  <c r="D32" i="37"/>
  <c r="U255" i="37" l="1"/>
  <c r="S257" i="37"/>
  <c r="U257" i="37"/>
  <c r="R252" i="37"/>
  <c r="S249" i="37" s="1"/>
  <c r="S255" i="37"/>
  <c r="U259" i="37"/>
  <c r="S259" i="37"/>
  <c r="S261" i="37"/>
  <c r="S256" i="37"/>
  <c r="S258" i="37"/>
  <c r="S260" i="37"/>
  <c r="S276" i="37"/>
  <c r="U261" i="37"/>
  <c r="U256" i="37"/>
  <c r="U258" i="37"/>
  <c r="U260" i="37"/>
  <c r="U276" i="37"/>
  <c r="V35" i="37"/>
  <c r="V43" i="37" s="1"/>
  <c r="T211" i="37" s="1"/>
  <c r="T212" i="37" s="1"/>
  <c r="T290" i="37"/>
  <c r="T101" i="37"/>
  <c r="T134" i="37"/>
  <c r="R290" i="37"/>
  <c r="V170" i="37"/>
  <c r="V36" i="37"/>
  <c r="V51" i="37"/>
  <c r="U250" i="37"/>
  <c r="U249" i="37"/>
  <c r="U248" i="37"/>
  <c r="U247" i="37"/>
  <c r="U246" i="37"/>
  <c r="U245" i="37"/>
  <c r="U244" i="37"/>
  <c r="U243" i="37"/>
  <c r="V199" i="37"/>
  <c r="V195" i="37"/>
  <c r="V121" i="37"/>
  <c r="T213" i="37"/>
  <c r="V197" i="37"/>
  <c r="S250" i="37"/>
  <c r="S247" i="37"/>
  <c r="S246" i="37"/>
  <c r="S243" i="37"/>
  <c r="V68" i="37"/>
  <c r="V71" i="37" s="1"/>
  <c r="V142" i="37"/>
  <c r="S264" i="37" l="1"/>
  <c r="T135" i="37"/>
  <c r="U264" i="37"/>
  <c r="S244" i="37"/>
  <c r="S248" i="37"/>
  <c r="S245" i="37"/>
  <c r="V134" i="37"/>
  <c r="V135" i="37" s="1"/>
  <c r="V182" i="37"/>
  <c r="V84" i="37"/>
  <c r="V183" i="37" s="1"/>
  <c r="U252" i="37"/>
  <c r="V107" i="36"/>
  <c r="V105" i="36"/>
  <c r="V91" i="36"/>
  <c r="V90" i="36"/>
  <c r="S189" i="36"/>
  <c r="T89" i="36"/>
  <c r="P68" i="36"/>
  <c r="R68" i="36"/>
  <c r="P44" i="36"/>
  <c r="L44" i="36"/>
  <c r="F44" i="36"/>
  <c r="S252" i="37" l="1"/>
  <c r="U288" i="36"/>
  <c r="T288" i="36"/>
  <c r="T225" i="36" s="1"/>
  <c r="S288" i="36"/>
  <c r="R288" i="36"/>
  <c r="S225" i="36" s="1"/>
  <c r="T276" i="36"/>
  <c r="U274" i="36" s="1"/>
  <c r="R276" i="36"/>
  <c r="S274" i="36" s="1"/>
  <c r="T264" i="36"/>
  <c r="U262" i="36" s="1"/>
  <c r="R264" i="36"/>
  <c r="S262" i="36" s="1"/>
  <c r="U257" i="36"/>
  <c r="T250" i="36"/>
  <c r="R250" i="36"/>
  <c r="T249" i="36"/>
  <c r="R249" i="36"/>
  <c r="T248" i="36"/>
  <c r="R248" i="36"/>
  <c r="T247" i="36"/>
  <c r="R247" i="36"/>
  <c r="T246" i="36"/>
  <c r="R246" i="36"/>
  <c r="T245" i="36"/>
  <c r="R245" i="36"/>
  <c r="T244" i="36"/>
  <c r="R244" i="36"/>
  <c r="T243" i="36"/>
  <c r="R243" i="36"/>
  <c r="T229" i="36"/>
  <c r="T227" i="36"/>
  <c r="T209" i="36"/>
  <c r="V189" i="36"/>
  <c r="V176" i="36"/>
  <c r="V169" i="36"/>
  <c r="V168" i="36"/>
  <c r="V151" i="36"/>
  <c r="B138" i="36"/>
  <c r="B204" i="36" s="1"/>
  <c r="B300" i="36" s="1"/>
  <c r="T125" i="36"/>
  <c r="T123" i="36"/>
  <c r="T115" i="36"/>
  <c r="A115" i="36"/>
  <c r="A116" i="36" s="1"/>
  <c r="A117" i="36" s="1"/>
  <c r="A118" i="36" s="1"/>
  <c r="A119" i="36" s="1"/>
  <c r="A120" i="36" s="1"/>
  <c r="A121" i="36" s="1"/>
  <c r="A104" i="36"/>
  <c r="A105" i="36" s="1"/>
  <c r="T99" i="36"/>
  <c r="T98" i="36"/>
  <c r="T97" i="36"/>
  <c r="V97" i="36"/>
  <c r="V101" i="36" s="1"/>
  <c r="N87" i="36"/>
  <c r="V82" i="36"/>
  <c r="V81" i="36"/>
  <c r="T71" i="36"/>
  <c r="R71" i="36"/>
  <c r="N71" i="36"/>
  <c r="N84" i="36" s="1"/>
  <c r="L71" i="36"/>
  <c r="L84" i="36" s="1"/>
  <c r="T219" i="36"/>
  <c r="R58" i="36"/>
  <c r="R57" i="36"/>
  <c r="V50" i="36"/>
  <c r="P43" i="36"/>
  <c r="L43" i="36"/>
  <c r="F43" i="36"/>
  <c r="R36" i="36"/>
  <c r="P36" i="36"/>
  <c r="N36" i="36"/>
  <c r="L36" i="36"/>
  <c r="J36" i="36"/>
  <c r="H36" i="36"/>
  <c r="F36" i="36"/>
  <c r="D36" i="36"/>
  <c r="R35" i="36"/>
  <c r="P35" i="36"/>
  <c r="N35" i="36"/>
  <c r="L35" i="36"/>
  <c r="J35" i="36"/>
  <c r="H35" i="36"/>
  <c r="F35" i="36"/>
  <c r="D35" i="36"/>
  <c r="V34" i="36"/>
  <c r="S187" i="36" s="1"/>
  <c r="R33" i="36"/>
  <c r="P33" i="36"/>
  <c r="N33" i="36"/>
  <c r="L33" i="36"/>
  <c r="J33" i="36"/>
  <c r="H33" i="36"/>
  <c r="F33" i="36"/>
  <c r="D33" i="36"/>
  <c r="R32" i="36"/>
  <c r="P32" i="36"/>
  <c r="N32" i="36"/>
  <c r="L32" i="36"/>
  <c r="J32" i="36"/>
  <c r="H32" i="36"/>
  <c r="F32" i="36"/>
  <c r="D32" i="36"/>
  <c r="U267" i="36" l="1"/>
  <c r="U255" i="36"/>
  <c r="S273" i="36"/>
  <c r="U259" i="36"/>
  <c r="R252" i="36"/>
  <c r="S250" i="36" s="1"/>
  <c r="S255" i="36"/>
  <c r="U261" i="36"/>
  <c r="S271" i="36"/>
  <c r="S259" i="36"/>
  <c r="S257" i="36"/>
  <c r="S261" i="36"/>
  <c r="S256" i="36"/>
  <c r="S258" i="36"/>
  <c r="S260" i="36"/>
  <c r="U256" i="36"/>
  <c r="U258" i="36"/>
  <c r="U260" i="36"/>
  <c r="S269" i="36"/>
  <c r="V36" i="36"/>
  <c r="S224" i="36"/>
  <c r="S267" i="36"/>
  <c r="S268" i="36"/>
  <c r="S270" i="36"/>
  <c r="S272" i="36"/>
  <c r="T101" i="36"/>
  <c r="T134" i="36"/>
  <c r="U269" i="36"/>
  <c r="U273" i="36"/>
  <c r="T252" i="36"/>
  <c r="U249" i="36" s="1"/>
  <c r="U271" i="36"/>
  <c r="T224" i="36"/>
  <c r="U268" i="36"/>
  <c r="U270" i="36"/>
  <c r="U272" i="36"/>
  <c r="V170" i="36"/>
  <c r="V51" i="36"/>
  <c r="V35" i="36"/>
  <c r="V43" i="36" s="1"/>
  <c r="T211" i="36" s="1"/>
  <c r="T212" i="36" s="1"/>
  <c r="T290" i="36"/>
  <c r="R290" i="36"/>
  <c r="V199" i="36"/>
  <c r="V195" i="36"/>
  <c r="T213" i="36"/>
  <c r="V197" i="36"/>
  <c r="V121" i="36"/>
  <c r="U250" i="36"/>
  <c r="S247" i="36"/>
  <c r="S243" i="36"/>
  <c r="V68" i="36"/>
  <c r="V71" i="36" s="1"/>
  <c r="V142" i="36"/>
  <c r="P71" i="36"/>
  <c r="V107" i="35"/>
  <c r="V105" i="35"/>
  <c r="V91" i="35"/>
  <c r="V90" i="35"/>
  <c r="S189" i="35"/>
  <c r="T89" i="35"/>
  <c r="R68" i="35"/>
  <c r="P68" i="35"/>
  <c r="P44" i="35"/>
  <c r="L44" i="35"/>
  <c r="F44" i="35"/>
  <c r="S248" i="36" l="1"/>
  <c r="S264" i="36"/>
  <c r="S244" i="36"/>
  <c r="S252" i="36" s="1"/>
  <c r="S245" i="36"/>
  <c r="S249" i="36"/>
  <c r="S246" i="36"/>
  <c r="U264" i="36"/>
  <c r="U244" i="36"/>
  <c r="U246" i="36"/>
  <c r="U248" i="36"/>
  <c r="S276" i="36"/>
  <c r="U243" i="36"/>
  <c r="U245" i="36"/>
  <c r="U247" i="36"/>
  <c r="T135" i="36"/>
  <c r="V134" i="36"/>
  <c r="V135" i="36" s="1"/>
  <c r="U276" i="36"/>
  <c r="V182" i="36"/>
  <c r="V84" i="36"/>
  <c r="V183" i="36" s="1"/>
  <c r="U288" i="35"/>
  <c r="T288" i="35"/>
  <c r="T225" i="35" s="1"/>
  <c r="S288" i="35"/>
  <c r="R288" i="35"/>
  <c r="S225" i="35" s="1"/>
  <c r="T276" i="35"/>
  <c r="U271" i="35" s="1"/>
  <c r="R276" i="35"/>
  <c r="S274" i="35" s="1"/>
  <c r="T264" i="35"/>
  <c r="U259" i="35" s="1"/>
  <c r="R264" i="35"/>
  <c r="S262" i="35" s="1"/>
  <c r="T250" i="35"/>
  <c r="R250" i="35"/>
  <c r="T249" i="35"/>
  <c r="R249" i="35"/>
  <c r="T248" i="35"/>
  <c r="R248" i="35"/>
  <c r="T247" i="35"/>
  <c r="R247" i="35"/>
  <c r="T246" i="35"/>
  <c r="R246" i="35"/>
  <c r="T245" i="35"/>
  <c r="R245" i="35"/>
  <c r="T244" i="35"/>
  <c r="R244" i="35"/>
  <c r="T243" i="35"/>
  <c r="R243" i="35"/>
  <c r="T229" i="35"/>
  <c r="T227" i="35"/>
  <c r="T209" i="35"/>
  <c r="V189" i="35"/>
  <c r="V176" i="35"/>
  <c r="V171" i="35"/>
  <c r="V169" i="35"/>
  <c r="V168" i="35"/>
  <c r="V151" i="35"/>
  <c r="B138" i="35"/>
  <c r="B204" i="35" s="1"/>
  <c r="B300" i="35" s="1"/>
  <c r="T125" i="35"/>
  <c r="T123" i="35"/>
  <c r="T115" i="35"/>
  <c r="A115" i="35"/>
  <c r="A116" i="35" s="1"/>
  <c r="A117" i="35" s="1"/>
  <c r="A118" i="35" s="1"/>
  <c r="A119" i="35" s="1"/>
  <c r="A120" i="35" s="1"/>
  <c r="A121" i="35" s="1"/>
  <c r="A104" i="35"/>
  <c r="A105" i="35" s="1"/>
  <c r="T99" i="35"/>
  <c r="T98" i="35"/>
  <c r="V97" i="35"/>
  <c r="V101" i="35" s="1"/>
  <c r="T97" i="35"/>
  <c r="N87" i="35"/>
  <c r="V82" i="35"/>
  <c r="V81" i="35"/>
  <c r="T71" i="35"/>
  <c r="N71" i="35"/>
  <c r="N84" i="35" s="1"/>
  <c r="L71" i="35"/>
  <c r="L84" i="35" s="1"/>
  <c r="R71" i="35"/>
  <c r="T219" i="35"/>
  <c r="R58" i="35"/>
  <c r="R57" i="35"/>
  <c r="V50" i="35"/>
  <c r="P43" i="35"/>
  <c r="L43" i="35"/>
  <c r="F43" i="35"/>
  <c r="R36" i="35"/>
  <c r="P36" i="35"/>
  <c r="N36" i="35"/>
  <c r="L36" i="35"/>
  <c r="J36" i="35"/>
  <c r="H36" i="35"/>
  <c r="F36" i="35"/>
  <c r="D36" i="35"/>
  <c r="R35" i="35"/>
  <c r="P35" i="35"/>
  <c r="N35" i="35"/>
  <c r="L35" i="35"/>
  <c r="J35" i="35"/>
  <c r="H35" i="35"/>
  <c r="F35" i="35"/>
  <c r="D35" i="35"/>
  <c r="V34" i="35"/>
  <c r="S187" i="35" s="1"/>
  <c r="R33" i="35"/>
  <c r="P33" i="35"/>
  <c r="N33" i="35"/>
  <c r="L33" i="35"/>
  <c r="J33" i="35"/>
  <c r="H33" i="35"/>
  <c r="F33" i="35"/>
  <c r="D33" i="35"/>
  <c r="R32" i="35"/>
  <c r="P32" i="35"/>
  <c r="N32" i="35"/>
  <c r="L32" i="35"/>
  <c r="J32" i="35"/>
  <c r="H32" i="35"/>
  <c r="F32" i="35"/>
  <c r="D32" i="35"/>
  <c r="U252" i="36" l="1"/>
  <c r="T134" i="35"/>
  <c r="V35" i="35"/>
  <c r="V43" i="35" s="1"/>
  <c r="T211" i="35" s="1"/>
  <c r="T212" i="35" s="1"/>
  <c r="T101" i="35"/>
  <c r="T135" i="35" s="1"/>
  <c r="V142" i="35"/>
  <c r="V170" i="35"/>
  <c r="V36" i="35"/>
  <c r="V51" i="35"/>
  <c r="S269" i="35"/>
  <c r="U269" i="35"/>
  <c r="U273" i="35"/>
  <c r="U267" i="35"/>
  <c r="U270" i="35"/>
  <c r="U274" i="35"/>
  <c r="U272" i="35"/>
  <c r="T224" i="35"/>
  <c r="U268" i="35"/>
  <c r="S267" i="35"/>
  <c r="S271" i="35"/>
  <c r="U257" i="35"/>
  <c r="T252" i="35"/>
  <c r="U247" i="35" s="1"/>
  <c r="U260" i="35"/>
  <c r="U261" i="35"/>
  <c r="U256" i="35"/>
  <c r="U258" i="35"/>
  <c r="U262" i="35"/>
  <c r="U255" i="35"/>
  <c r="T290" i="35"/>
  <c r="R252" i="35"/>
  <c r="S248" i="35" s="1"/>
  <c r="S259" i="35"/>
  <c r="R290" i="35"/>
  <c r="S257" i="35"/>
  <c r="S255" i="35"/>
  <c r="V199" i="35"/>
  <c r="T213" i="35"/>
  <c r="V121" i="35"/>
  <c r="V134" i="35" s="1"/>
  <c r="V135" i="35" s="1"/>
  <c r="V197" i="35"/>
  <c r="V195" i="35"/>
  <c r="P71" i="35"/>
  <c r="S261" i="35"/>
  <c r="S273" i="35"/>
  <c r="V68" i="35"/>
  <c r="V71" i="35" s="1"/>
  <c r="S224" i="35"/>
  <c r="S256" i="35"/>
  <c r="S258" i="35"/>
  <c r="S260" i="35"/>
  <c r="S268" i="35"/>
  <c r="S270" i="35"/>
  <c r="S272" i="35"/>
  <c r="U276" i="35" l="1"/>
  <c r="U244" i="35"/>
  <c r="U245" i="35"/>
  <c r="U246" i="35"/>
  <c r="U248" i="35"/>
  <c r="U249" i="35"/>
  <c r="U243" i="35"/>
  <c r="U250" i="35"/>
  <c r="S276" i="35"/>
  <c r="S244" i="35"/>
  <c r="S247" i="35"/>
  <c r="S243" i="35"/>
  <c r="S246" i="35"/>
  <c r="S249" i="35"/>
  <c r="U264" i="35"/>
  <c r="S245" i="35"/>
  <c r="S250" i="35"/>
  <c r="S264" i="35"/>
  <c r="V84" i="35"/>
  <c r="V183" i="35" s="1"/>
  <c r="V182" i="35"/>
  <c r="V107" i="34"/>
  <c r="V105" i="34"/>
  <c r="V91" i="34"/>
  <c r="V90" i="34"/>
  <c r="S189" i="34"/>
  <c r="T89" i="34"/>
  <c r="R68" i="34"/>
  <c r="P68" i="34"/>
  <c r="P44" i="34"/>
  <c r="L44" i="34"/>
  <c r="F44" i="34"/>
  <c r="U252" i="35" l="1"/>
  <c r="S252" i="35"/>
  <c r="V171" i="34"/>
  <c r="T288" i="34" l="1"/>
  <c r="R288" i="34"/>
  <c r="T276" i="34"/>
  <c r="U274" i="34" s="1"/>
  <c r="R276" i="34"/>
  <c r="S274" i="34" s="1"/>
  <c r="T264" i="34"/>
  <c r="U262" i="34" s="1"/>
  <c r="R264" i="34"/>
  <c r="S259" i="34" s="1"/>
  <c r="T250" i="34"/>
  <c r="R250" i="34"/>
  <c r="T249" i="34"/>
  <c r="R249" i="34"/>
  <c r="T248" i="34"/>
  <c r="R248" i="34"/>
  <c r="T247" i="34"/>
  <c r="R247" i="34"/>
  <c r="T246" i="34"/>
  <c r="R246" i="34"/>
  <c r="T245" i="34"/>
  <c r="R245" i="34"/>
  <c r="T244" i="34"/>
  <c r="R244" i="34"/>
  <c r="T243" i="34"/>
  <c r="R243" i="34"/>
  <c r="T229" i="34"/>
  <c r="T227" i="34"/>
  <c r="T209" i="34"/>
  <c r="V189" i="34"/>
  <c r="V176" i="34"/>
  <c r="V169" i="34"/>
  <c r="V168" i="34"/>
  <c r="V151" i="34"/>
  <c r="B138" i="34"/>
  <c r="B204" i="34" s="1"/>
  <c r="B300" i="34" s="1"/>
  <c r="T125" i="34"/>
  <c r="T123" i="34"/>
  <c r="T115" i="34"/>
  <c r="A115" i="34"/>
  <c r="A116" i="34" s="1"/>
  <c r="A117" i="34" s="1"/>
  <c r="A118" i="34" s="1"/>
  <c r="A119" i="34" s="1"/>
  <c r="A120" i="34" s="1"/>
  <c r="A121" i="34" s="1"/>
  <c r="A104" i="34"/>
  <c r="A105" i="34" s="1"/>
  <c r="T99" i="34"/>
  <c r="T98" i="34"/>
  <c r="T97" i="34"/>
  <c r="V97" i="34"/>
  <c r="V101" i="34" s="1"/>
  <c r="N87" i="34"/>
  <c r="V82" i="34"/>
  <c r="V81" i="34"/>
  <c r="T71" i="34"/>
  <c r="P71" i="34"/>
  <c r="L71" i="34"/>
  <c r="L84" i="34" s="1"/>
  <c r="R71" i="34"/>
  <c r="T219" i="34"/>
  <c r="N71" i="34"/>
  <c r="N84" i="34" s="1"/>
  <c r="R58" i="34"/>
  <c r="R57" i="34"/>
  <c r="V50" i="34"/>
  <c r="P43" i="34"/>
  <c r="L43" i="34"/>
  <c r="F43" i="34"/>
  <c r="R36" i="34"/>
  <c r="P36" i="34"/>
  <c r="N36" i="34"/>
  <c r="L36" i="34"/>
  <c r="J36" i="34"/>
  <c r="H36" i="34"/>
  <c r="F36" i="34"/>
  <c r="D36" i="34"/>
  <c r="R35" i="34"/>
  <c r="P35" i="34"/>
  <c r="N35" i="34"/>
  <c r="L35" i="34"/>
  <c r="J35" i="34"/>
  <c r="H35" i="34"/>
  <c r="F35" i="34"/>
  <c r="D35" i="34"/>
  <c r="V34" i="34"/>
  <c r="V142" i="34" s="1"/>
  <c r="R33" i="34"/>
  <c r="P33" i="34"/>
  <c r="N33" i="34"/>
  <c r="L33" i="34"/>
  <c r="J33" i="34"/>
  <c r="H33" i="34"/>
  <c r="F33" i="34"/>
  <c r="D33" i="34"/>
  <c r="R32" i="34"/>
  <c r="P32" i="34"/>
  <c r="N32" i="34"/>
  <c r="L32" i="34"/>
  <c r="J32" i="34"/>
  <c r="H32" i="34"/>
  <c r="F32" i="34"/>
  <c r="D32" i="34"/>
  <c r="U273" i="34" l="1"/>
  <c r="V35" i="34"/>
  <c r="V43" i="34" s="1"/>
  <c r="T211" i="34" s="1"/>
  <c r="T212" i="34" s="1"/>
  <c r="T101" i="34"/>
  <c r="T134" i="34"/>
  <c r="V170" i="34"/>
  <c r="T290" i="34"/>
  <c r="V51" i="34"/>
  <c r="V36" i="34"/>
  <c r="T225" i="34"/>
  <c r="U288" i="34"/>
  <c r="U269" i="34"/>
  <c r="U267" i="34"/>
  <c r="T224" i="34"/>
  <c r="U271" i="34"/>
  <c r="S272" i="34"/>
  <c r="S224" i="34"/>
  <c r="S270" i="34"/>
  <c r="S273" i="34"/>
  <c r="S268" i="34"/>
  <c r="S271" i="34"/>
  <c r="S267" i="34"/>
  <c r="S269" i="34"/>
  <c r="U257" i="34"/>
  <c r="U259" i="34"/>
  <c r="U261" i="34"/>
  <c r="U255" i="34"/>
  <c r="S255" i="34"/>
  <c r="R252" i="34"/>
  <c r="S249" i="34" s="1"/>
  <c r="S258" i="34"/>
  <c r="S262" i="34"/>
  <c r="S257" i="34"/>
  <c r="S260" i="34"/>
  <c r="S261" i="34"/>
  <c r="S256" i="34"/>
  <c r="V195" i="34"/>
  <c r="V121" i="34"/>
  <c r="V134" i="34" s="1"/>
  <c r="V135" i="34" s="1"/>
  <c r="V199" i="34"/>
  <c r="T213" i="34"/>
  <c r="V197" i="34"/>
  <c r="T252" i="34"/>
  <c r="U243" i="34" s="1"/>
  <c r="R290" i="34"/>
  <c r="S225" i="34"/>
  <c r="U256" i="34"/>
  <c r="U258" i="34"/>
  <c r="U260" i="34"/>
  <c r="U268" i="34"/>
  <c r="U270" i="34"/>
  <c r="U272" i="34"/>
  <c r="V68" i="34"/>
  <c r="V71" i="34" s="1"/>
  <c r="S187" i="34"/>
  <c r="S288" i="34"/>
  <c r="T89" i="33"/>
  <c r="N68" i="33"/>
  <c r="P68" i="33"/>
  <c r="U276" i="34" l="1"/>
  <c r="T135" i="34"/>
  <c r="S247" i="34"/>
  <c r="S244" i="34"/>
  <c r="S243" i="34"/>
  <c r="S245" i="34"/>
  <c r="S246" i="34"/>
  <c r="S250" i="34"/>
  <c r="S248" i="34"/>
  <c r="S276" i="34"/>
  <c r="U246" i="34"/>
  <c r="U264" i="34"/>
  <c r="U249" i="34"/>
  <c r="S264" i="34"/>
  <c r="U244" i="34"/>
  <c r="U250" i="34"/>
  <c r="U245" i="34"/>
  <c r="V182" i="34"/>
  <c r="V84" i="34"/>
  <c r="V183" i="34" s="1"/>
  <c r="U247" i="34"/>
  <c r="U248" i="34"/>
  <c r="V107" i="33"/>
  <c r="V105" i="33"/>
  <c r="V91" i="33"/>
  <c r="V90" i="33"/>
  <c r="S189" i="33"/>
  <c r="R68" i="33"/>
  <c r="P44" i="33"/>
  <c r="L44" i="33"/>
  <c r="F44" i="33"/>
  <c r="S252" i="34" l="1"/>
  <c r="U252" i="34"/>
  <c r="T288" i="33"/>
  <c r="U286" i="33" s="1"/>
  <c r="R288" i="33"/>
  <c r="S285" i="33" s="1"/>
  <c r="T276" i="33"/>
  <c r="U274" i="33" s="1"/>
  <c r="R276" i="33"/>
  <c r="S274" i="33" s="1"/>
  <c r="T264" i="33"/>
  <c r="U259" i="33" s="1"/>
  <c r="R264" i="33"/>
  <c r="S262" i="33" s="1"/>
  <c r="T250" i="33"/>
  <c r="R250" i="33"/>
  <c r="T249" i="33"/>
  <c r="R249" i="33"/>
  <c r="T248" i="33"/>
  <c r="R248" i="33"/>
  <c r="T247" i="33"/>
  <c r="R247" i="33"/>
  <c r="T246" i="33"/>
  <c r="R246" i="33"/>
  <c r="T245" i="33"/>
  <c r="R245" i="33"/>
  <c r="T244" i="33"/>
  <c r="R244" i="33"/>
  <c r="T243" i="33"/>
  <c r="R243" i="33"/>
  <c r="T229" i="33"/>
  <c r="T227" i="33"/>
  <c r="T225" i="33"/>
  <c r="T209" i="33"/>
  <c r="V189" i="33"/>
  <c r="V176" i="33"/>
  <c r="V169" i="33"/>
  <c r="V168" i="33"/>
  <c r="V151" i="33"/>
  <c r="B138" i="33"/>
  <c r="B204" i="33" s="1"/>
  <c r="B300" i="33" s="1"/>
  <c r="T125" i="33"/>
  <c r="T123" i="33"/>
  <c r="T115" i="33"/>
  <c r="A115" i="33"/>
  <c r="A116" i="33" s="1"/>
  <c r="A117" i="33" s="1"/>
  <c r="A118" i="33" s="1"/>
  <c r="A119" i="33" s="1"/>
  <c r="A120" i="33" s="1"/>
  <c r="A121" i="33" s="1"/>
  <c r="A104" i="33"/>
  <c r="A105" i="33" s="1"/>
  <c r="T99" i="33"/>
  <c r="T98" i="33"/>
  <c r="V97" i="33"/>
  <c r="V101" i="33" s="1"/>
  <c r="T97" i="33"/>
  <c r="N87" i="33"/>
  <c r="V82" i="33"/>
  <c r="V81" i="33"/>
  <c r="T71" i="33"/>
  <c r="P71" i="33"/>
  <c r="N71" i="33"/>
  <c r="N84" i="33" s="1"/>
  <c r="L71" i="33"/>
  <c r="L84" i="33" s="1"/>
  <c r="R71" i="33"/>
  <c r="T219" i="33"/>
  <c r="R58" i="33"/>
  <c r="R57" i="33"/>
  <c r="V50" i="33"/>
  <c r="P43" i="33"/>
  <c r="L43" i="33"/>
  <c r="F43" i="33"/>
  <c r="R36" i="33"/>
  <c r="P36" i="33"/>
  <c r="N36" i="33"/>
  <c r="L36" i="33"/>
  <c r="J36" i="33"/>
  <c r="H36" i="33"/>
  <c r="F36" i="33"/>
  <c r="D36" i="33"/>
  <c r="R35" i="33"/>
  <c r="P35" i="33"/>
  <c r="N35" i="33"/>
  <c r="L35" i="33"/>
  <c r="J35" i="33"/>
  <c r="H35" i="33"/>
  <c r="F35" i="33"/>
  <c r="D35" i="33"/>
  <c r="V34" i="33"/>
  <c r="V142" i="33" s="1"/>
  <c r="R33" i="33"/>
  <c r="P33" i="33"/>
  <c r="N33" i="33"/>
  <c r="L33" i="33"/>
  <c r="J33" i="33"/>
  <c r="H33" i="33"/>
  <c r="F33" i="33"/>
  <c r="D33" i="33"/>
  <c r="R32" i="33"/>
  <c r="P32" i="33"/>
  <c r="N32" i="33"/>
  <c r="L32" i="33"/>
  <c r="J32" i="33"/>
  <c r="H32" i="33"/>
  <c r="F32" i="33"/>
  <c r="D32" i="33"/>
  <c r="U282" i="33" l="1"/>
  <c r="S286" i="33"/>
  <c r="V35" i="33"/>
  <c r="V43" i="33" s="1"/>
  <c r="T211" i="33" s="1"/>
  <c r="T212" i="33" s="1"/>
  <c r="T134" i="33"/>
  <c r="V170" i="33"/>
  <c r="S225" i="33"/>
  <c r="S282" i="33"/>
  <c r="S288" i="33" s="1"/>
  <c r="V36" i="33"/>
  <c r="T101" i="33"/>
  <c r="V51" i="33"/>
  <c r="U267" i="33"/>
  <c r="U270" i="33"/>
  <c r="U271" i="33"/>
  <c r="T224" i="33"/>
  <c r="U268" i="33"/>
  <c r="U272" i="33"/>
  <c r="U269" i="33"/>
  <c r="U273" i="33"/>
  <c r="S224" i="33"/>
  <c r="S267" i="33"/>
  <c r="S269" i="33"/>
  <c r="S273" i="33"/>
  <c r="S271" i="33"/>
  <c r="U256" i="33"/>
  <c r="T290" i="33"/>
  <c r="U257" i="33"/>
  <c r="U261" i="33"/>
  <c r="U258" i="33"/>
  <c r="U262" i="33"/>
  <c r="U260" i="33"/>
  <c r="U255" i="33"/>
  <c r="R252" i="33"/>
  <c r="S248" i="33" s="1"/>
  <c r="S261" i="33"/>
  <c r="S259" i="33"/>
  <c r="S257" i="33"/>
  <c r="S255" i="33"/>
  <c r="R290" i="33"/>
  <c r="V195" i="33"/>
  <c r="V121" i="33"/>
  <c r="V134" i="33" s="1"/>
  <c r="V135" i="33" s="1"/>
  <c r="T213" i="33"/>
  <c r="V199" i="33"/>
  <c r="V197" i="33"/>
  <c r="V68" i="33"/>
  <c r="V71" i="33" s="1"/>
  <c r="S187" i="33"/>
  <c r="T252" i="33"/>
  <c r="U244" i="33" s="1"/>
  <c r="S256" i="33"/>
  <c r="S258" i="33"/>
  <c r="S260" i="33"/>
  <c r="S268" i="33"/>
  <c r="S270" i="33"/>
  <c r="S272" i="33"/>
  <c r="U285" i="33"/>
  <c r="U288" i="33" s="1"/>
  <c r="T89" i="32"/>
  <c r="P68" i="32"/>
  <c r="T135" i="33" l="1"/>
  <c r="S247" i="33"/>
  <c r="U264" i="33"/>
  <c r="S243" i="33"/>
  <c r="U276" i="33"/>
  <c r="S249" i="33"/>
  <c r="S245" i="33"/>
  <c r="S246" i="33"/>
  <c r="S276" i="33"/>
  <c r="S250" i="33"/>
  <c r="S244" i="33"/>
  <c r="U245" i="33"/>
  <c r="U248" i="33"/>
  <c r="V182" i="33"/>
  <c r="V84" i="33"/>
  <c r="V183" i="33" s="1"/>
  <c r="U243" i="33"/>
  <c r="U246" i="33"/>
  <c r="U247" i="33"/>
  <c r="U250" i="33"/>
  <c r="S264" i="33"/>
  <c r="U249" i="33"/>
  <c r="V107" i="32"/>
  <c r="V105" i="32"/>
  <c r="V91" i="32"/>
  <c r="V90" i="32"/>
  <c r="S189" i="32"/>
  <c r="R68" i="32"/>
  <c r="P44" i="32"/>
  <c r="L44" i="32"/>
  <c r="F44" i="32"/>
  <c r="S252" i="33" l="1"/>
  <c r="U252" i="33"/>
  <c r="T288" i="32"/>
  <c r="R288" i="32"/>
  <c r="S286" i="32" s="1"/>
  <c r="T276" i="32"/>
  <c r="U274" i="32" s="1"/>
  <c r="R276" i="32"/>
  <c r="S274" i="32" s="1"/>
  <c r="T264" i="32"/>
  <c r="U262" i="32" s="1"/>
  <c r="R264" i="32"/>
  <c r="S262" i="32" s="1"/>
  <c r="T250" i="32"/>
  <c r="R250" i="32"/>
  <c r="T249" i="32"/>
  <c r="R249" i="32"/>
  <c r="T248" i="32"/>
  <c r="R248" i="32"/>
  <c r="T247" i="32"/>
  <c r="R247" i="32"/>
  <c r="T246" i="32"/>
  <c r="R246" i="32"/>
  <c r="T245" i="32"/>
  <c r="R245" i="32"/>
  <c r="T244" i="32"/>
  <c r="R244" i="32"/>
  <c r="T243" i="32"/>
  <c r="R243" i="32"/>
  <c r="T229" i="32"/>
  <c r="T227" i="32"/>
  <c r="T225" i="32"/>
  <c r="T224" i="32"/>
  <c r="T209" i="32"/>
  <c r="V176" i="32"/>
  <c r="V169" i="32"/>
  <c r="V168" i="32"/>
  <c r="V151" i="32"/>
  <c r="B138" i="32"/>
  <c r="B204" i="32" s="1"/>
  <c r="B300" i="32" s="1"/>
  <c r="T123" i="32"/>
  <c r="T115" i="32"/>
  <c r="A115" i="32"/>
  <c r="A116" i="32" s="1"/>
  <c r="A117" i="32" s="1"/>
  <c r="A118" i="32" s="1"/>
  <c r="A119" i="32" s="1"/>
  <c r="A120" i="32" s="1"/>
  <c r="A121" i="32" s="1"/>
  <c r="A104" i="32"/>
  <c r="A105" i="32" s="1"/>
  <c r="T99" i="32"/>
  <c r="T98" i="32"/>
  <c r="V97" i="32"/>
  <c r="V101" i="32" s="1"/>
  <c r="T97" i="32"/>
  <c r="N87" i="32"/>
  <c r="V82" i="32"/>
  <c r="V81" i="32"/>
  <c r="T71" i="32"/>
  <c r="P71" i="32"/>
  <c r="N71" i="32"/>
  <c r="N84" i="32" s="1"/>
  <c r="L71" i="32"/>
  <c r="L84" i="32" s="1"/>
  <c r="R71" i="32"/>
  <c r="T219" i="32"/>
  <c r="R58" i="32"/>
  <c r="R57" i="32"/>
  <c r="V50" i="32"/>
  <c r="P43" i="32"/>
  <c r="L43" i="32"/>
  <c r="F43" i="32"/>
  <c r="R36" i="32"/>
  <c r="P36" i="32"/>
  <c r="N36" i="32"/>
  <c r="L36" i="32"/>
  <c r="J36" i="32"/>
  <c r="H36" i="32"/>
  <c r="F36" i="32"/>
  <c r="D36" i="32"/>
  <c r="R35" i="32"/>
  <c r="P35" i="32"/>
  <c r="N35" i="32"/>
  <c r="L35" i="32"/>
  <c r="J35" i="32"/>
  <c r="H35" i="32"/>
  <c r="F35" i="32"/>
  <c r="D35" i="32"/>
  <c r="V34" i="32"/>
  <c r="S187" i="32" s="1"/>
  <c r="R33" i="32"/>
  <c r="P33" i="32"/>
  <c r="N33" i="32"/>
  <c r="L33" i="32"/>
  <c r="J33" i="32"/>
  <c r="H33" i="32"/>
  <c r="F33" i="32"/>
  <c r="D33" i="32"/>
  <c r="R32" i="32"/>
  <c r="P32" i="32"/>
  <c r="N32" i="32"/>
  <c r="L32" i="32"/>
  <c r="J32" i="32"/>
  <c r="H32" i="32"/>
  <c r="F32" i="32"/>
  <c r="D32" i="32"/>
  <c r="V36" i="32" l="1"/>
  <c r="S224" i="32"/>
  <c r="T101" i="32"/>
  <c r="S225" i="32"/>
  <c r="S285" i="32"/>
  <c r="S282" i="32"/>
  <c r="S267" i="32"/>
  <c r="S271" i="32"/>
  <c r="S269" i="32"/>
  <c r="S273" i="32"/>
  <c r="S268" i="32"/>
  <c r="S270" i="32"/>
  <c r="S272" i="32"/>
  <c r="T252" i="32"/>
  <c r="U244" i="32" s="1"/>
  <c r="T290" i="32"/>
  <c r="S255" i="32"/>
  <c r="R252" i="32"/>
  <c r="S244" i="32" s="1"/>
  <c r="S259" i="32"/>
  <c r="S257" i="32"/>
  <c r="S261" i="32"/>
  <c r="S256" i="32"/>
  <c r="S258" i="32"/>
  <c r="S260" i="32"/>
  <c r="R290" i="32"/>
  <c r="V170" i="32"/>
  <c r="V51" i="32"/>
  <c r="V35" i="32"/>
  <c r="V43" i="32" s="1"/>
  <c r="T211" i="32" s="1"/>
  <c r="T212" i="32" s="1"/>
  <c r="V199" i="32"/>
  <c r="V195" i="32"/>
  <c r="T213" i="32"/>
  <c r="V197" i="32"/>
  <c r="V121" i="32"/>
  <c r="V134" i="32" s="1"/>
  <c r="V135" i="32" s="1"/>
  <c r="S248" i="32"/>
  <c r="V68" i="32"/>
  <c r="V71" i="32" s="1"/>
  <c r="T125" i="32"/>
  <c r="T134" i="32" s="1"/>
  <c r="T135" i="32" s="1"/>
  <c r="V142" i="32"/>
  <c r="V189" i="32"/>
  <c r="U255" i="32"/>
  <c r="U256" i="32"/>
  <c r="U257" i="32"/>
  <c r="U258" i="32"/>
  <c r="U259" i="32"/>
  <c r="U260" i="32"/>
  <c r="U261" i="32"/>
  <c r="U267" i="32"/>
  <c r="U268" i="32"/>
  <c r="U269" i="32"/>
  <c r="U270" i="32"/>
  <c r="U271" i="32"/>
  <c r="U272" i="32"/>
  <c r="U273" i="32"/>
  <c r="U282" i="32"/>
  <c r="U285" i="32"/>
  <c r="U286" i="32"/>
  <c r="U288" i="32" l="1"/>
  <c r="S288" i="32"/>
  <c r="S250" i="32"/>
  <c r="S246" i="32"/>
  <c r="U249" i="32"/>
  <c r="U243" i="32"/>
  <c r="U247" i="32"/>
  <c r="S243" i="32"/>
  <c r="S249" i="32"/>
  <c r="S247" i="32"/>
  <c r="S245" i="32"/>
  <c r="S276" i="32"/>
  <c r="U245" i="32"/>
  <c r="U250" i="32"/>
  <c r="U248" i="32"/>
  <c r="U246" i="32"/>
  <c r="S264" i="32"/>
  <c r="U276" i="32"/>
  <c r="U264" i="32"/>
  <c r="V182" i="32"/>
  <c r="V84" i="32"/>
  <c r="V183" i="32" s="1"/>
  <c r="S252" i="32" l="1"/>
  <c r="U252" i="32"/>
  <c r="V107" i="31"/>
  <c r="V105" i="31"/>
  <c r="V91" i="31"/>
  <c r="V90" i="31"/>
  <c r="S189" i="31"/>
  <c r="T89" i="31"/>
  <c r="P68" i="31"/>
  <c r="R68" i="31"/>
  <c r="P44" i="31"/>
  <c r="L44" i="31"/>
  <c r="F44" i="31"/>
  <c r="T288" i="31" l="1"/>
  <c r="R288" i="31"/>
  <c r="T276" i="31"/>
  <c r="U274" i="31" s="1"/>
  <c r="R276" i="31"/>
  <c r="S224" i="31" s="1"/>
  <c r="T264" i="31"/>
  <c r="U262" i="31" s="1"/>
  <c r="R264" i="31"/>
  <c r="S262" i="31" s="1"/>
  <c r="T250" i="31"/>
  <c r="R250" i="31"/>
  <c r="T249" i="31"/>
  <c r="R249" i="31"/>
  <c r="T248" i="31"/>
  <c r="R248" i="31"/>
  <c r="T247" i="31"/>
  <c r="R247" i="31"/>
  <c r="T246" i="31"/>
  <c r="R246" i="31"/>
  <c r="T245" i="31"/>
  <c r="R245" i="31"/>
  <c r="T244" i="31"/>
  <c r="R244" i="31"/>
  <c r="T243" i="31"/>
  <c r="R243" i="31"/>
  <c r="T229" i="31"/>
  <c r="T227" i="31"/>
  <c r="T219" i="31"/>
  <c r="T209" i="31"/>
  <c r="V189" i="31"/>
  <c r="V176" i="31"/>
  <c r="V171" i="31"/>
  <c r="V169" i="31"/>
  <c r="V168" i="31"/>
  <c r="V151" i="31"/>
  <c r="B138" i="31"/>
  <c r="B204" i="31" s="1"/>
  <c r="B300" i="31" s="1"/>
  <c r="T125" i="31"/>
  <c r="T123" i="31"/>
  <c r="T115" i="31"/>
  <c r="A115" i="31"/>
  <c r="A116" i="31" s="1"/>
  <c r="A117" i="31" s="1"/>
  <c r="A118" i="31" s="1"/>
  <c r="A119" i="31" s="1"/>
  <c r="A120" i="31" s="1"/>
  <c r="A121" i="31" s="1"/>
  <c r="A104" i="31"/>
  <c r="A105" i="31" s="1"/>
  <c r="T99" i="31"/>
  <c r="T98" i="31"/>
  <c r="T97" i="31"/>
  <c r="V97" i="31"/>
  <c r="V101" i="31" s="1"/>
  <c r="N87" i="31"/>
  <c r="V82" i="31"/>
  <c r="V81" i="31"/>
  <c r="T71" i="31"/>
  <c r="R71" i="31"/>
  <c r="N71" i="31"/>
  <c r="N84" i="31" s="1"/>
  <c r="L71" i="31"/>
  <c r="L84" i="31" s="1"/>
  <c r="V68" i="31"/>
  <c r="V71" i="31" s="1"/>
  <c r="P71" i="31"/>
  <c r="R58" i="31"/>
  <c r="R57" i="31"/>
  <c r="V50" i="31"/>
  <c r="P43" i="31"/>
  <c r="L43" i="31"/>
  <c r="F43" i="31"/>
  <c r="R36" i="31"/>
  <c r="P36" i="31"/>
  <c r="N36" i="31"/>
  <c r="L36" i="31"/>
  <c r="J36" i="31"/>
  <c r="H36" i="31"/>
  <c r="F36" i="31"/>
  <c r="D36" i="31"/>
  <c r="R35" i="31"/>
  <c r="P35" i="31"/>
  <c r="N35" i="31"/>
  <c r="L35" i="31"/>
  <c r="J35" i="31"/>
  <c r="H35" i="31"/>
  <c r="F35" i="31"/>
  <c r="D35" i="31"/>
  <c r="V34" i="31"/>
  <c r="S187" i="31" s="1"/>
  <c r="R33" i="31"/>
  <c r="P33" i="31"/>
  <c r="N33" i="31"/>
  <c r="L33" i="31"/>
  <c r="J33" i="31"/>
  <c r="H33" i="31"/>
  <c r="F33" i="31"/>
  <c r="D33" i="31"/>
  <c r="R32" i="31"/>
  <c r="P32" i="31"/>
  <c r="N32" i="31"/>
  <c r="L32" i="31"/>
  <c r="J32" i="31"/>
  <c r="H32" i="31"/>
  <c r="F32" i="31"/>
  <c r="D32" i="31"/>
  <c r="T101" i="31" l="1"/>
  <c r="T225" i="31"/>
  <c r="U286" i="31"/>
  <c r="V36" i="31"/>
  <c r="V142" i="31"/>
  <c r="V35" i="31"/>
  <c r="T134" i="31"/>
  <c r="T135" i="31" s="1"/>
  <c r="S225" i="31"/>
  <c r="S286" i="31"/>
  <c r="V170" i="31"/>
  <c r="V51" i="31"/>
  <c r="S282" i="31"/>
  <c r="S285" i="31"/>
  <c r="T224" i="31"/>
  <c r="S267" i="31"/>
  <c r="S271" i="31"/>
  <c r="S269" i="31"/>
  <c r="S273" i="31"/>
  <c r="S268" i="31"/>
  <c r="S270" i="31"/>
  <c r="S272" i="31"/>
  <c r="S274" i="31"/>
  <c r="T290" i="31"/>
  <c r="S255" i="31"/>
  <c r="S259" i="31"/>
  <c r="S257" i="31"/>
  <c r="S261" i="31"/>
  <c r="S256" i="31"/>
  <c r="S258" i="31"/>
  <c r="S260" i="31"/>
  <c r="V182" i="31"/>
  <c r="V84" i="31"/>
  <c r="V183" i="31" s="1"/>
  <c r="T213" i="31"/>
  <c r="V197" i="31"/>
  <c r="V199" i="31"/>
  <c r="V195" i="31"/>
  <c r="V121" i="31"/>
  <c r="V134" i="31" s="1"/>
  <c r="V135" i="31" s="1"/>
  <c r="R252" i="31"/>
  <c r="S243" i="31" s="1"/>
  <c r="T252" i="31"/>
  <c r="U244" i="31" s="1"/>
  <c r="R290" i="31"/>
  <c r="U255" i="31"/>
  <c r="U256" i="31"/>
  <c r="U257" i="31"/>
  <c r="U258" i="31"/>
  <c r="U259" i="31"/>
  <c r="U260" i="31"/>
  <c r="U261" i="31"/>
  <c r="U267" i="31"/>
  <c r="U268" i="31"/>
  <c r="U269" i="31"/>
  <c r="U270" i="31"/>
  <c r="U271" i="31"/>
  <c r="U272" i="31"/>
  <c r="U273" i="31"/>
  <c r="U282" i="31"/>
  <c r="U285" i="31"/>
  <c r="S288" i="31" l="1"/>
  <c r="V43" i="31"/>
  <c r="T211" i="31" s="1"/>
  <c r="T212" i="31" s="1"/>
  <c r="S276" i="31"/>
  <c r="U247" i="31"/>
  <c r="U243" i="31"/>
  <c r="U249" i="31"/>
  <c r="U245" i="31"/>
  <c r="S264" i="31"/>
  <c r="U276" i="31"/>
  <c r="S250" i="31"/>
  <c r="S248" i="31"/>
  <c r="S246" i="31"/>
  <c r="S244" i="31"/>
  <c r="U288" i="31"/>
  <c r="U264" i="31"/>
  <c r="S249" i="31"/>
  <c r="S247" i="31"/>
  <c r="S245" i="31"/>
  <c r="U250" i="31"/>
  <c r="U248" i="31"/>
  <c r="U246" i="31"/>
  <c r="V107" i="30"/>
  <c r="V105" i="30"/>
  <c r="V91" i="30"/>
  <c r="V90" i="30"/>
  <c r="T89" i="30"/>
  <c r="P68" i="30"/>
  <c r="P44" i="30"/>
  <c r="L44" i="30"/>
  <c r="F44" i="30"/>
  <c r="U252" i="31" l="1"/>
  <c r="S252" i="31"/>
  <c r="T288" i="30"/>
  <c r="R288" i="30"/>
  <c r="T276" i="30"/>
  <c r="T224" i="30" s="1"/>
  <c r="R276" i="30"/>
  <c r="S224" i="30" s="1"/>
  <c r="U274" i="30"/>
  <c r="S274" i="30"/>
  <c r="U273" i="30"/>
  <c r="S273" i="30"/>
  <c r="U272" i="30"/>
  <c r="S272" i="30"/>
  <c r="U271" i="30"/>
  <c r="S271" i="30"/>
  <c r="U270" i="30"/>
  <c r="S270" i="30"/>
  <c r="U269" i="30"/>
  <c r="S269" i="30"/>
  <c r="U268" i="30"/>
  <c r="S268" i="30"/>
  <c r="U267" i="30"/>
  <c r="S267" i="30"/>
  <c r="T264" i="30"/>
  <c r="U261" i="30" s="1"/>
  <c r="R264" i="30"/>
  <c r="S262" i="30" s="1"/>
  <c r="T250" i="30"/>
  <c r="R250" i="30"/>
  <c r="T249" i="30"/>
  <c r="R249" i="30"/>
  <c r="T248" i="30"/>
  <c r="R248" i="30"/>
  <c r="T247" i="30"/>
  <c r="R247" i="30"/>
  <c r="T246" i="30"/>
  <c r="R246" i="30"/>
  <c r="T245" i="30"/>
  <c r="R245" i="30"/>
  <c r="T244" i="30"/>
  <c r="R244" i="30"/>
  <c r="T243" i="30"/>
  <c r="R243" i="30"/>
  <c r="T229" i="30"/>
  <c r="T227" i="30"/>
  <c r="T225" i="30"/>
  <c r="T209" i="30"/>
  <c r="V189" i="30"/>
  <c r="V176" i="30"/>
  <c r="V171" i="30"/>
  <c r="V169" i="30"/>
  <c r="V168" i="30"/>
  <c r="V151" i="30"/>
  <c r="B138" i="30"/>
  <c r="B204" i="30" s="1"/>
  <c r="B300" i="30" s="1"/>
  <c r="T125" i="30"/>
  <c r="T123" i="30"/>
  <c r="T115" i="30"/>
  <c r="A115" i="30"/>
  <c r="A116" i="30" s="1"/>
  <c r="A117" i="30" s="1"/>
  <c r="A118" i="30" s="1"/>
  <c r="A119" i="30" s="1"/>
  <c r="A120" i="30" s="1"/>
  <c r="A121" i="30" s="1"/>
  <c r="A104" i="30"/>
  <c r="A105" i="30" s="1"/>
  <c r="T99" i="30"/>
  <c r="T98" i="30"/>
  <c r="V97" i="30"/>
  <c r="V101" i="30" s="1"/>
  <c r="T97" i="30"/>
  <c r="N87" i="30"/>
  <c r="V82" i="30"/>
  <c r="V81" i="30"/>
  <c r="T71" i="30"/>
  <c r="R71" i="30"/>
  <c r="N71" i="30"/>
  <c r="N84" i="30" s="1"/>
  <c r="L71" i="30"/>
  <c r="L84" i="30" s="1"/>
  <c r="T219" i="30"/>
  <c r="R58" i="30"/>
  <c r="R57" i="30"/>
  <c r="V50" i="30"/>
  <c r="P43" i="30"/>
  <c r="L43" i="30"/>
  <c r="F43" i="30"/>
  <c r="R36" i="30"/>
  <c r="P36" i="30"/>
  <c r="N36" i="30"/>
  <c r="L36" i="30"/>
  <c r="J36" i="30"/>
  <c r="H36" i="30"/>
  <c r="F36" i="30"/>
  <c r="D36" i="30"/>
  <c r="R35" i="30"/>
  <c r="P35" i="30"/>
  <c r="N35" i="30"/>
  <c r="L35" i="30"/>
  <c r="J35" i="30"/>
  <c r="H35" i="30"/>
  <c r="F35" i="30"/>
  <c r="D35" i="30"/>
  <c r="V34" i="30"/>
  <c r="V142" i="30" s="1"/>
  <c r="R33" i="30"/>
  <c r="P33" i="30"/>
  <c r="N33" i="30"/>
  <c r="L33" i="30"/>
  <c r="J33" i="30"/>
  <c r="H33" i="30"/>
  <c r="F33" i="30"/>
  <c r="D33" i="30"/>
  <c r="R32" i="30"/>
  <c r="P32" i="30"/>
  <c r="N32" i="30"/>
  <c r="L32" i="30"/>
  <c r="J32" i="30"/>
  <c r="H32" i="30"/>
  <c r="F32" i="30"/>
  <c r="D32" i="30"/>
  <c r="S276" i="30" l="1"/>
  <c r="U282" i="30"/>
  <c r="U285" i="30"/>
  <c r="S225" i="30"/>
  <c r="S282" i="30"/>
  <c r="S285" i="30"/>
  <c r="V35" i="30"/>
  <c r="V43" i="30" s="1"/>
  <c r="T211" i="30" s="1"/>
  <c r="T212" i="30" s="1"/>
  <c r="T101" i="30"/>
  <c r="T134" i="30"/>
  <c r="V170" i="30"/>
  <c r="U262" i="30"/>
  <c r="V36" i="30"/>
  <c r="V51" i="30"/>
  <c r="U276" i="30"/>
  <c r="T252" i="30"/>
  <c r="U244" i="30" s="1"/>
  <c r="U255" i="30"/>
  <c r="U258" i="30"/>
  <c r="U256" i="30"/>
  <c r="U260" i="30"/>
  <c r="U257" i="30"/>
  <c r="U259" i="30"/>
  <c r="T290" i="30"/>
  <c r="R252" i="30"/>
  <c r="S244" i="30" s="1"/>
  <c r="S255" i="30"/>
  <c r="S256" i="30"/>
  <c r="S257" i="30"/>
  <c r="S258" i="30"/>
  <c r="S259" i="30"/>
  <c r="S260" i="30"/>
  <c r="S261" i="30"/>
  <c r="R290" i="30"/>
  <c r="V199" i="30"/>
  <c r="V195" i="30"/>
  <c r="V121" i="30"/>
  <c r="V134" i="30" s="1"/>
  <c r="V135" i="30" s="1"/>
  <c r="T213" i="30"/>
  <c r="V197" i="30"/>
  <c r="P71" i="30"/>
  <c r="S187" i="30"/>
  <c r="V68" i="30"/>
  <c r="V71" i="30" s="1"/>
  <c r="T135" i="30" l="1"/>
  <c r="S243" i="30"/>
  <c r="U288" i="30"/>
  <c r="S288" i="30"/>
  <c r="U243" i="30"/>
  <c r="U250" i="30"/>
  <c r="S247" i="30"/>
  <c r="U249" i="30"/>
  <c r="U248" i="30"/>
  <c r="U247" i="30"/>
  <c r="U246" i="30"/>
  <c r="U245" i="30"/>
  <c r="S249" i="30"/>
  <c r="S245" i="30"/>
  <c r="U264" i="30"/>
  <c r="S250" i="30"/>
  <c r="S248" i="30"/>
  <c r="S246" i="30"/>
  <c r="S264" i="30"/>
  <c r="V182" i="30"/>
  <c r="V84" i="30"/>
  <c r="V183" i="30" s="1"/>
  <c r="V107" i="29"/>
  <c r="V105" i="29"/>
  <c r="V91" i="29"/>
  <c r="V90" i="29"/>
  <c r="T89" i="29"/>
  <c r="P68" i="29"/>
  <c r="P44" i="29"/>
  <c r="L44" i="29"/>
  <c r="F44" i="29"/>
  <c r="U252" i="30" l="1"/>
  <c r="S252" i="30"/>
  <c r="V171" i="29"/>
  <c r="U288" i="29" l="1"/>
  <c r="T288" i="29"/>
  <c r="T225" i="29" s="1"/>
  <c r="S288" i="29"/>
  <c r="R288" i="29"/>
  <c r="S225" i="29" s="1"/>
  <c r="T276" i="29"/>
  <c r="U274" i="29" s="1"/>
  <c r="R276" i="29"/>
  <c r="S224" i="29" s="1"/>
  <c r="U272" i="29"/>
  <c r="U271" i="29"/>
  <c r="U268" i="29"/>
  <c r="U267" i="29"/>
  <c r="T264" i="29"/>
  <c r="U261" i="29" s="1"/>
  <c r="R264" i="29"/>
  <c r="S262" i="29" s="1"/>
  <c r="T250" i="29"/>
  <c r="R250" i="29"/>
  <c r="T249" i="29"/>
  <c r="R249" i="29"/>
  <c r="T248" i="29"/>
  <c r="R248" i="29"/>
  <c r="T247" i="29"/>
  <c r="R247" i="29"/>
  <c r="T246" i="29"/>
  <c r="R246" i="29"/>
  <c r="T245" i="29"/>
  <c r="R245" i="29"/>
  <c r="T244" i="29"/>
  <c r="R244" i="29"/>
  <c r="T243" i="29"/>
  <c r="R243" i="29"/>
  <c r="T229" i="29"/>
  <c r="T227" i="29"/>
  <c r="T224" i="29"/>
  <c r="T209" i="29"/>
  <c r="V189" i="29"/>
  <c r="V176" i="29"/>
  <c r="V169" i="29"/>
  <c r="V168" i="29"/>
  <c r="V151" i="29"/>
  <c r="B138" i="29"/>
  <c r="B204" i="29" s="1"/>
  <c r="B300" i="29" s="1"/>
  <c r="T125" i="29"/>
  <c r="T123" i="29"/>
  <c r="T134" i="29" s="1"/>
  <c r="T115" i="29"/>
  <c r="A115" i="29"/>
  <c r="A116" i="29" s="1"/>
  <c r="A117" i="29" s="1"/>
  <c r="A118" i="29" s="1"/>
  <c r="A119" i="29" s="1"/>
  <c r="A120" i="29" s="1"/>
  <c r="A121" i="29" s="1"/>
  <c r="A104" i="29"/>
  <c r="A105" i="29" s="1"/>
  <c r="T99" i="29"/>
  <c r="T98" i="29"/>
  <c r="V97" i="29"/>
  <c r="V101" i="29" s="1"/>
  <c r="T97" i="29"/>
  <c r="N87" i="29"/>
  <c r="V82" i="29"/>
  <c r="V81" i="29"/>
  <c r="T71" i="29"/>
  <c r="P71" i="29"/>
  <c r="N71" i="29"/>
  <c r="N84" i="29" s="1"/>
  <c r="L71" i="29"/>
  <c r="L84" i="29" s="1"/>
  <c r="R71" i="29"/>
  <c r="T219" i="29"/>
  <c r="R58" i="29"/>
  <c r="R57" i="29"/>
  <c r="V50" i="29"/>
  <c r="P43" i="29"/>
  <c r="L43" i="29"/>
  <c r="F43" i="29"/>
  <c r="R36" i="29"/>
  <c r="P36" i="29"/>
  <c r="N36" i="29"/>
  <c r="L36" i="29"/>
  <c r="J36" i="29"/>
  <c r="H36" i="29"/>
  <c r="F36" i="29"/>
  <c r="D36" i="29"/>
  <c r="R35" i="29"/>
  <c r="P35" i="29"/>
  <c r="N35" i="29"/>
  <c r="L35" i="29"/>
  <c r="J35" i="29"/>
  <c r="H35" i="29"/>
  <c r="F35" i="29"/>
  <c r="D35" i="29"/>
  <c r="V34" i="29"/>
  <c r="S187" i="29" s="1"/>
  <c r="R33" i="29"/>
  <c r="P33" i="29"/>
  <c r="N33" i="29"/>
  <c r="L33" i="29"/>
  <c r="J33" i="29"/>
  <c r="H33" i="29"/>
  <c r="F33" i="29"/>
  <c r="D33" i="29"/>
  <c r="R32" i="29"/>
  <c r="P32" i="29"/>
  <c r="N32" i="29"/>
  <c r="L32" i="29"/>
  <c r="J32" i="29"/>
  <c r="H32" i="29"/>
  <c r="F32" i="29"/>
  <c r="D32" i="29"/>
  <c r="U269" i="29" l="1"/>
  <c r="U273" i="29"/>
  <c r="U270" i="29"/>
  <c r="T101" i="29"/>
  <c r="U262" i="29"/>
  <c r="S267" i="29"/>
  <c r="S269" i="29"/>
  <c r="S271" i="29"/>
  <c r="V35" i="29"/>
  <c r="V43" i="29" s="1"/>
  <c r="T211" i="29" s="1"/>
  <c r="T212" i="29" s="1"/>
  <c r="V36" i="29"/>
  <c r="U276" i="29"/>
  <c r="S273" i="29"/>
  <c r="T252" i="29"/>
  <c r="U246" i="29" s="1"/>
  <c r="S268" i="29"/>
  <c r="S270" i="29"/>
  <c r="S272" i="29"/>
  <c r="S274" i="29"/>
  <c r="V170" i="29"/>
  <c r="V51" i="29"/>
  <c r="U256" i="29"/>
  <c r="U258" i="29"/>
  <c r="U255" i="29"/>
  <c r="U257" i="29"/>
  <c r="U260" i="29"/>
  <c r="U259" i="29"/>
  <c r="T290" i="29"/>
  <c r="R252" i="29"/>
  <c r="S244" i="29" s="1"/>
  <c r="S255" i="29"/>
  <c r="S256" i="29"/>
  <c r="S257" i="29"/>
  <c r="S258" i="29"/>
  <c r="S259" i="29"/>
  <c r="S260" i="29"/>
  <c r="S261" i="29"/>
  <c r="R290" i="29"/>
  <c r="T135" i="29"/>
  <c r="V199" i="29"/>
  <c r="V195" i="29"/>
  <c r="V121" i="29"/>
  <c r="V134" i="29" s="1"/>
  <c r="V135" i="29" s="1"/>
  <c r="T213" i="29"/>
  <c r="V197" i="29"/>
  <c r="U245" i="29"/>
  <c r="U248" i="29"/>
  <c r="V68" i="29"/>
  <c r="V71" i="29" s="1"/>
  <c r="V142" i="29"/>
  <c r="U243" i="29" l="1"/>
  <c r="U249" i="29"/>
  <c r="U247" i="29"/>
  <c r="U244" i="29"/>
  <c r="U252" i="29" s="1"/>
  <c r="U250" i="29"/>
  <c r="S276" i="29"/>
  <c r="S243" i="29"/>
  <c r="S247" i="29"/>
  <c r="S249" i="29"/>
  <c r="S245" i="29"/>
  <c r="S250" i="29"/>
  <c r="S248" i="29"/>
  <c r="S246" i="29"/>
  <c r="U264" i="29"/>
  <c r="S264" i="29"/>
  <c r="V182" i="29"/>
  <c r="V84" i="29"/>
  <c r="V183" i="29" s="1"/>
  <c r="T89" i="28"/>
  <c r="P68" i="28"/>
  <c r="S252" i="29" l="1"/>
  <c r="V107" i="28"/>
  <c r="V105" i="28"/>
  <c r="V91" i="28"/>
  <c r="V90" i="28"/>
  <c r="S189" i="28"/>
  <c r="R68" i="28"/>
  <c r="P44" i="28"/>
  <c r="L44" i="28"/>
  <c r="F44" i="28"/>
  <c r="U288" i="28" l="1"/>
  <c r="T288" i="28"/>
  <c r="T225" i="28" s="1"/>
  <c r="S288" i="28"/>
  <c r="R288" i="28"/>
  <c r="S225" i="28" s="1"/>
  <c r="T276" i="28"/>
  <c r="U274" i="28" s="1"/>
  <c r="R276" i="28"/>
  <c r="S274" i="28" s="1"/>
  <c r="U273" i="28"/>
  <c r="S272" i="28"/>
  <c r="U271" i="28"/>
  <c r="S271" i="28"/>
  <c r="U269" i="28"/>
  <c r="S268" i="28"/>
  <c r="U267" i="28"/>
  <c r="S267" i="28"/>
  <c r="T264" i="28"/>
  <c r="U261" i="28" s="1"/>
  <c r="R264" i="28"/>
  <c r="S262" i="28" s="1"/>
  <c r="T250" i="28"/>
  <c r="R250" i="28"/>
  <c r="T249" i="28"/>
  <c r="R249" i="28"/>
  <c r="T248" i="28"/>
  <c r="R248" i="28"/>
  <c r="T247" i="28"/>
  <c r="R247" i="28"/>
  <c r="T246" i="28"/>
  <c r="R246" i="28"/>
  <c r="T245" i="28"/>
  <c r="R245" i="28"/>
  <c r="T244" i="28"/>
  <c r="R244" i="28"/>
  <c r="T243" i="28"/>
  <c r="T252" i="28" s="1"/>
  <c r="R243" i="28"/>
  <c r="T229" i="28"/>
  <c r="T227" i="28"/>
  <c r="T209" i="28"/>
  <c r="V189" i="28"/>
  <c r="V176" i="28"/>
  <c r="V169" i="28"/>
  <c r="V168" i="28"/>
  <c r="V151" i="28"/>
  <c r="B138" i="28"/>
  <c r="B204" i="28" s="1"/>
  <c r="B300" i="28" s="1"/>
  <c r="T125" i="28"/>
  <c r="T123" i="28"/>
  <c r="T115" i="28"/>
  <c r="A115" i="28"/>
  <c r="A116" i="28" s="1"/>
  <c r="A117" i="28" s="1"/>
  <c r="A118" i="28" s="1"/>
  <c r="A119" i="28" s="1"/>
  <c r="A120" i="28" s="1"/>
  <c r="A121" i="28" s="1"/>
  <c r="A104" i="28"/>
  <c r="A105" i="28" s="1"/>
  <c r="T99" i="28"/>
  <c r="T98" i="28"/>
  <c r="V97" i="28"/>
  <c r="V101" i="28" s="1"/>
  <c r="T97" i="28"/>
  <c r="N87" i="28"/>
  <c r="V82" i="28"/>
  <c r="V81" i="28"/>
  <c r="T71" i="28"/>
  <c r="R71" i="28"/>
  <c r="N71" i="28"/>
  <c r="N84" i="28" s="1"/>
  <c r="L71" i="28"/>
  <c r="L84" i="28" s="1"/>
  <c r="T219" i="28"/>
  <c r="R58" i="28"/>
  <c r="R57" i="28"/>
  <c r="V50" i="28"/>
  <c r="P43" i="28"/>
  <c r="L43" i="28"/>
  <c r="F43" i="28"/>
  <c r="R36" i="28"/>
  <c r="P36" i="28"/>
  <c r="N36" i="28"/>
  <c r="L36" i="28"/>
  <c r="J36" i="28"/>
  <c r="H36" i="28"/>
  <c r="F36" i="28"/>
  <c r="D36" i="28"/>
  <c r="R35" i="28"/>
  <c r="P35" i="28"/>
  <c r="N35" i="28"/>
  <c r="L35" i="28"/>
  <c r="J35" i="28"/>
  <c r="H35" i="28"/>
  <c r="F35" i="28"/>
  <c r="D35" i="28"/>
  <c r="V34" i="28"/>
  <c r="S187" i="28" s="1"/>
  <c r="R33" i="28"/>
  <c r="P33" i="28"/>
  <c r="N33" i="28"/>
  <c r="L33" i="28"/>
  <c r="J33" i="28"/>
  <c r="H33" i="28"/>
  <c r="F33" i="28"/>
  <c r="D33" i="28"/>
  <c r="R32" i="28"/>
  <c r="P32" i="28"/>
  <c r="N32" i="28"/>
  <c r="L32" i="28"/>
  <c r="J32" i="28"/>
  <c r="H32" i="28"/>
  <c r="F32" i="28"/>
  <c r="D32" i="28"/>
  <c r="T134" i="28" l="1"/>
  <c r="S257" i="28"/>
  <c r="V170" i="28"/>
  <c r="S224" i="28"/>
  <c r="S258" i="28"/>
  <c r="S269" i="28"/>
  <c r="S270" i="28"/>
  <c r="S273" i="28"/>
  <c r="S259" i="28"/>
  <c r="S255" i="28"/>
  <c r="U262" i="28"/>
  <c r="T224" i="28"/>
  <c r="V35" i="28"/>
  <c r="V43" i="28" s="1"/>
  <c r="T211" i="28" s="1"/>
  <c r="T212" i="28" s="1"/>
  <c r="V36" i="28"/>
  <c r="U268" i="28"/>
  <c r="U270" i="28"/>
  <c r="U272" i="28"/>
  <c r="S256" i="28"/>
  <c r="S260" i="28"/>
  <c r="T101" i="28"/>
  <c r="T135" i="28" s="1"/>
  <c r="V51" i="28"/>
  <c r="U255" i="28"/>
  <c r="U256" i="28"/>
  <c r="U257" i="28"/>
  <c r="U258" i="28"/>
  <c r="U259" i="28"/>
  <c r="U260" i="28"/>
  <c r="T290" i="28"/>
  <c r="R252" i="28"/>
  <c r="S245" i="28" s="1"/>
  <c r="S261" i="28"/>
  <c r="R290" i="28"/>
  <c r="V199" i="28"/>
  <c r="V195" i="28"/>
  <c r="T213" i="28"/>
  <c r="V197" i="28"/>
  <c r="V121" i="28"/>
  <c r="V134" i="28" s="1"/>
  <c r="V135" i="28" s="1"/>
  <c r="U244" i="28"/>
  <c r="U245" i="28"/>
  <c r="U246" i="28"/>
  <c r="U247" i="28"/>
  <c r="U248" i="28"/>
  <c r="U249" i="28"/>
  <c r="U250" i="28"/>
  <c r="V68" i="28"/>
  <c r="V71" i="28" s="1"/>
  <c r="V142" i="28"/>
  <c r="U243" i="28"/>
  <c r="P71" i="28"/>
  <c r="V90" i="27"/>
  <c r="V107" i="27"/>
  <c r="V105" i="27"/>
  <c r="V91" i="27"/>
  <c r="T89" i="27"/>
  <c r="T97" i="27" s="1"/>
  <c r="P68" i="27"/>
  <c r="T219" i="27" s="1"/>
  <c r="P44" i="27"/>
  <c r="L44" i="27"/>
  <c r="F44" i="27"/>
  <c r="U288" i="27"/>
  <c r="T288" i="27"/>
  <c r="S288" i="27"/>
  <c r="R288" i="27"/>
  <c r="S225" i="27" s="1"/>
  <c r="T276" i="27"/>
  <c r="U274" i="27" s="1"/>
  <c r="R276" i="27"/>
  <c r="S267" i="27" s="1"/>
  <c r="S274" i="27"/>
  <c r="S272" i="27"/>
  <c r="S270" i="27"/>
  <c r="S268" i="27"/>
  <c r="T264" i="27"/>
  <c r="R264" i="27"/>
  <c r="T250" i="27"/>
  <c r="R250" i="27"/>
  <c r="T249" i="27"/>
  <c r="R249" i="27"/>
  <c r="T248" i="27"/>
  <c r="R248" i="27"/>
  <c r="T247" i="27"/>
  <c r="R247" i="27"/>
  <c r="T246" i="27"/>
  <c r="R246" i="27"/>
  <c r="T245" i="27"/>
  <c r="R245" i="27"/>
  <c r="T244" i="27"/>
  <c r="R244" i="27"/>
  <c r="T243" i="27"/>
  <c r="R243" i="27"/>
  <c r="T229" i="27"/>
  <c r="T227" i="27"/>
  <c r="T225" i="27"/>
  <c r="S224" i="27"/>
  <c r="T209" i="27"/>
  <c r="V189" i="27"/>
  <c r="V176" i="27"/>
  <c r="V169" i="27"/>
  <c r="V170" i="27" s="1"/>
  <c r="V168" i="27"/>
  <c r="V151" i="27"/>
  <c r="B138" i="27"/>
  <c r="B204" i="27" s="1"/>
  <c r="B300" i="27" s="1"/>
  <c r="T125" i="27"/>
  <c r="T123" i="27"/>
  <c r="T115" i="27"/>
  <c r="A115" i="27"/>
  <c r="A116" i="27" s="1"/>
  <c r="A117" i="27" s="1"/>
  <c r="A118" i="27" s="1"/>
  <c r="A119" i="27" s="1"/>
  <c r="A120" i="27" s="1"/>
  <c r="A121" i="27" s="1"/>
  <c r="A104" i="27"/>
  <c r="A105" i="27" s="1"/>
  <c r="T99" i="27"/>
  <c r="T98" i="27"/>
  <c r="N87" i="27"/>
  <c r="V82" i="27"/>
  <c r="V81" i="27"/>
  <c r="T71" i="27"/>
  <c r="N71" i="27"/>
  <c r="N84" i="27" s="1"/>
  <c r="L71" i="27"/>
  <c r="L84" i="27" s="1"/>
  <c r="R71" i="27"/>
  <c r="R58" i="27"/>
  <c r="R57" i="27"/>
  <c r="V50" i="27"/>
  <c r="P43" i="27"/>
  <c r="L43" i="27"/>
  <c r="F43" i="27"/>
  <c r="R36" i="27"/>
  <c r="V51" i="27" s="1"/>
  <c r="P36" i="27"/>
  <c r="N36" i="27"/>
  <c r="L36" i="27"/>
  <c r="J36" i="27"/>
  <c r="H36" i="27"/>
  <c r="F36" i="27"/>
  <c r="D36" i="27"/>
  <c r="R35" i="27"/>
  <c r="P35" i="27"/>
  <c r="N35" i="27"/>
  <c r="L35" i="27"/>
  <c r="J35" i="27"/>
  <c r="H35" i="27"/>
  <c r="F35" i="27"/>
  <c r="D35" i="27"/>
  <c r="V34" i="27"/>
  <c r="S187" i="27" s="1"/>
  <c r="R33" i="27"/>
  <c r="P33" i="27"/>
  <c r="N33" i="27"/>
  <c r="L33" i="27"/>
  <c r="J33" i="27"/>
  <c r="H33" i="27"/>
  <c r="F33" i="27"/>
  <c r="D33" i="27"/>
  <c r="R32" i="27"/>
  <c r="P32" i="27"/>
  <c r="N32" i="27"/>
  <c r="L32" i="27"/>
  <c r="J32" i="27"/>
  <c r="H32" i="27"/>
  <c r="F32" i="27"/>
  <c r="D32" i="27"/>
  <c r="V107" i="26"/>
  <c r="V105" i="26"/>
  <c r="V91" i="26"/>
  <c r="V90" i="26"/>
  <c r="V97" i="26" s="1"/>
  <c r="V101" i="26" s="1"/>
  <c r="V199" i="26" s="1"/>
  <c r="S189" i="26"/>
  <c r="T89" i="26"/>
  <c r="T97" i="26" s="1"/>
  <c r="R68" i="26"/>
  <c r="P68" i="26"/>
  <c r="T219" i="26" s="1"/>
  <c r="P44" i="26"/>
  <c r="L44" i="26"/>
  <c r="F44" i="26"/>
  <c r="V171" i="26"/>
  <c r="U288" i="26"/>
  <c r="T288" i="26"/>
  <c r="T225" i="26" s="1"/>
  <c r="S288" i="26"/>
  <c r="R288" i="26"/>
  <c r="S225" i="26" s="1"/>
  <c r="T276" i="26"/>
  <c r="T224" i="26" s="1"/>
  <c r="R276" i="26"/>
  <c r="S271" i="26" s="1"/>
  <c r="T264" i="26"/>
  <c r="U259" i="26" s="1"/>
  <c r="R264" i="26"/>
  <c r="R290" i="26" s="1"/>
  <c r="T250" i="26"/>
  <c r="R250" i="26"/>
  <c r="T249" i="26"/>
  <c r="R249" i="26"/>
  <c r="T248" i="26"/>
  <c r="R248" i="26"/>
  <c r="T247" i="26"/>
  <c r="R247" i="26"/>
  <c r="T246" i="26"/>
  <c r="R246" i="26"/>
  <c r="T245" i="26"/>
  <c r="R245" i="26"/>
  <c r="T244" i="26"/>
  <c r="R244" i="26"/>
  <c r="T243" i="26"/>
  <c r="T252" i="26" s="1"/>
  <c r="U246" i="26" s="1"/>
  <c r="R243" i="26"/>
  <c r="T229" i="26"/>
  <c r="T227" i="26"/>
  <c r="T209" i="26"/>
  <c r="V176" i="26"/>
  <c r="V169" i="26"/>
  <c r="V168" i="26"/>
  <c r="V151" i="26"/>
  <c r="B138" i="26"/>
  <c r="B204" i="26" s="1"/>
  <c r="B300" i="26" s="1"/>
  <c r="T123" i="26"/>
  <c r="T115" i="26"/>
  <c r="A115" i="26"/>
  <c r="A116" i="26" s="1"/>
  <c r="A117" i="26" s="1"/>
  <c r="A118" i="26" s="1"/>
  <c r="A119" i="26" s="1"/>
  <c r="A120" i="26" s="1"/>
  <c r="A121" i="26" s="1"/>
  <c r="A104" i="26"/>
  <c r="A105" i="26" s="1"/>
  <c r="T99" i="26"/>
  <c r="T98" i="26"/>
  <c r="N87" i="26"/>
  <c r="V82" i="26"/>
  <c r="V81" i="26"/>
  <c r="T71" i="26"/>
  <c r="R71" i="26"/>
  <c r="N71" i="26"/>
  <c r="N84" i="26" s="1"/>
  <c r="L71" i="26"/>
  <c r="L84" i="26" s="1"/>
  <c r="R58" i="26"/>
  <c r="R57" i="26"/>
  <c r="V50" i="26"/>
  <c r="P43" i="26"/>
  <c r="L43" i="26"/>
  <c r="F43" i="26"/>
  <c r="R36" i="26"/>
  <c r="P36" i="26"/>
  <c r="N36" i="26"/>
  <c r="L36" i="26"/>
  <c r="J36" i="26"/>
  <c r="H36" i="26"/>
  <c r="F36" i="26"/>
  <c r="D36" i="26"/>
  <c r="R35" i="26"/>
  <c r="P35" i="26"/>
  <c r="N35" i="26"/>
  <c r="L35" i="26"/>
  <c r="J35" i="26"/>
  <c r="H35" i="26"/>
  <c r="F35" i="26"/>
  <c r="D35" i="26"/>
  <c r="V34" i="26"/>
  <c r="S187" i="26" s="1"/>
  <c r="R33" i="26"/>
  <c r="P33" i="26"/>
  <c r="N33" i="26"/>
  <c r="L33" i="26"/>
  <c r="J33" i="26"/>
  <c r="H33" i="26"/>
  <c r="F33" i="26"/>
  <c r="D33" i="26"/>
  <c r="R32" i="26"/>
  <c r="P32" i="26"/>
  <c r="N32" i="26"/>
  <c r="L32" i="26"/>
  <c r="J32" i="26"/>
  <c r="H32" i="26"/>
  <c r="F32" i="26"/>
  <c r="D32" i="26"/>
  <c r="V107" i="25"/>
  <c r="V105" i="25"/>
  <c r="V91" i="25"/>
  <c r="V90" i="25"/>
  <c r="V97" i="25" s="1"/>
  <c r="V101" i="25" s="1"/>
  <c r="V121" i="25" s="1"/>
  <c r="V134" i="25" s="1"/>
  <c r="V135" i="25" s="1"/>
  <c r="T89" i="25"/>
  <c r="P68" i="25"/>
  <c r="P44" i="25"/>
  <c r="L44" i="25"/>
  <c r="F44" i="25"/>
  <c r="U288" i="25"/>
  <c r="T288" i="25"/>
  <c r="T225" i="25" s="1"/>
  <c r="S288" i="25"/>
  <c r="R288" i="25"/>
  <c r="T276" i="25"/>
  <c r="T224" i="25" s="1"/>
  <c r="R276" i="25"/>
  <c r="S267" i="25" s="1"/>
  <c r="S274" i="25"/>
  <c r="T264" i="25"/>
  <c r="R264" i="25"/>
  <c r="T250" i="25"/>
  <c r="R250" i="25"/>
  <c r="T249" i="25"/>
  <c r="R249" i="25"/>
  <c r="T248" i="25"/>
  <c r="R248" i="25"/>
  <c r="T247" i="25"/>
  <c r="R247" i="25"/>
  <c r="T246" i="25"/>
  <c r="R246" i="25"/>
  <c r="T245" i="25"/>
  <c r="R245" i="25"/>
  <c r="T244" i="25"/>
  <c r="R244" i="25"/>
  <c r="T243" i="25"/>
  <c r="R243" i="25"/>
  <c r="T229" i="25"/>
  <c r="T227" i="25"/>
  <c r="S225" i="25"/>
  <c r="T209" i="25"/>
  <c r="V189" i="25"/>
  <c r="V176" i="25"/>
  <c r="V169" i="25"/>
  <c r="V168" i="25"/>
  <c r="V151" i="25"/>
  <c r="B138" i="25"/>
  <c r="B204" i="25" s="1"/>
  <c r="B300" i="25" s="1"/>
  <c r="T125" i="25"/>
  <c r="T123" i="25"/>
  <c r="T115" i="25"/>
  <c r="A115" i="25"/>
  <c r="A116" i="25" s="1"/>
  <c r="A117" i="25" s="1"/>
  <c r="A118" i="25" s="1"/>
  <c r="A119" i="25" s="1"/>
  <c r="A120" i="25" s="1"/>
  <c r="A121" i="25" s="1"/>
  <c r="A104" i="25"/>
  <c r="A105" i="25" s="1"/>
  <c r="T99" i="25"/>
  <c r="T98" i="25"/>
  <c r="T97" i="25"/>
  <c r="N87" i="25"/>
  <c r="V82" i="25"/>
  <c r="V81" i="25"/>
  <c r="T71" i="25"/>
  <c r="R71" i="25"/>
  <c r="N71" i="25"/>
  <c r="N84" i="25" s="1"/>
  <c r="L71" i="25"/>
  <c r="L84" i="25" s="1"/>
  <c r="R58" i="25"/>
  <c r="R57" i="25"/>
  <c r="V50" i="25"/>
  <c r="P43" i="25"/>
  <c r="L43" i="25"/>
  <c r="F43" i="25"/>
  <c r="R36" i="25"/>
  <c r="P36" i="25"/>
  <c r="N36" i="25"/>
  <c r="L36" i="25"/>
  <c r="J36" i="25"/>
  <c r="H36" i="25"/>
  <c r="F36" i="25"/>
  <c r="V36" i="25" s="1"/>
  <c r="D36" i="25"/>
  <c r="R35" i="25"/>
  <c r="P35" i="25"/>
  <c r="N35" i="25"/>
  <c r="L35" i="25"/>
  <c r="J35" i="25"/>
  <c r="H35" i="25"/>
  <c r="F35" i="25"/>
  <c r="D35" i="25"/>
  <c r="V34" i="25"/>
  <c r="V142" i="25" s="1"/>
  <c r="R33" i="25"/>
  <c r="P33" i="25"/>
  <c r="N33" i="25"/>
  <c r="L33" i="25"/>
  <c r="J33" i="25"/>
  <c r="H33" i="25"/>
  <c r="F33" i="25"/>
  <c r="D33" i="25"/>
  <c r="R32" i="25"/>
  <c r="P32" i="25"/>
  <c r="N32" i="25"/>
  <c r="L32" i="25"/>
  <c r="J32" i="25"/>
  <c r="H32" i="25"/>
  <c r="F32" i="25"/>
  <c r="D32" i="25"/>
  <c r="V107" i="24"/>
  <c r="V105" i="24"/>
  <c r="V199" i="24" s="1"/>
  <c r="V91" i="24"/>
  <c r="V90" i="24"/>
  <c r="V97" i="24" s="1"/>
  <c r="V101" i="24" s="1"/>
  <c r="T89" i="24"/>
  <c r="T97" i="24" s="1"/>
  <c r="P68" i="24"/>
  <c r="V68" i="24" s="1"/>
  <c r="V71" i="24" s="1"/>
  <c r="V182" i="24" s="1"/>
  <c r="P44" i="24"/>
  <c r="L44" i="24"/>
  <c r="F44" i="24"/>
  <c r="B138" i="24"/>
  <c r="B204" i="24" s="1"/>
  <c r="B300" i="24" s="1"/>
  <c r="T288" i="24"/>
  <c r="T225" i="24" s="1"/>
  <c r="T276" i="24"/>
  <c r="T264" i="24"/>
  <c r="U256" i="24" s="1"/>
  <c r="R288" i="24"/>
  <c r="S225" i="24" s="1"/>
  <c r="R276" i="24"/>
  <c r="S267" i="24" s="1"/>
  <c r="R264" i="24"/>
  <c r="U288" i="24"/>
  <c r="S288" i="24"/>
  <c r="T243" i="24"/>
  <c r="T244" i="24"/>
  <c r="T245" i="24"/>
  <c r="T246" i="24"/>
  <c r="T247" i="24"/>
  <c r="T248" i="24"/>
  <c r="T249" i="24"/>
  <c r="T250" i="24"/>
  <c r="R243" i="24"/>
  <c r="R244" i="24"/>
  <c r="R245" i="24"/>
  <c r="R246" i="24"/>
  <c r="R247" i="24"/>
  <c r="R248" i="24"/>
  <c r="R249" i="24"/>
  <c r="R250" i="24"/>
  <c r="T229" i="24"/>
  <c r="T227" i="24"/>
  <c r="N71" i="24"/>
  <c r="N84" i="24" s="1"/>
  <c r="F43" i="24"/>
  <c r="L43" i="24"/>
  <c r="P43" i="24"/>
  <c r="D35" i="24"/>
  <c r="F35" i="24"/>
  <c r="H35" i="24"/>
  <c r="J35" i="24"/>
  <c r="L35" i="24"/>
  <c r="N35" i="24"/>
  <c r="P35" i="24"/>
  <c r="R35" i="24"/>
  <c r="T209" i="24"/>
  <c r="V34" i="24"/>
  <c r="S187" i="24" s="1"/>
  <c r="V189" i="24"/>
  <c r="V81" i="24"/>
  <c r="V82" i="24"/>
  <c r="V176" i="24"/>
  <c r="V171" i="24"/>
  <c r="V168" i="24"/>
  <c r="V169" i="24"/>
  <c r="V151" i="24"/>
  <c r="T99" i="24"/>
  <c r="T98" i="24"/>
  <c r="T123" i="24"/>
  <c r="T125" i="24"/>
  <c r="T115" i="24"/>
  <c r="A115" i="24"/>
  <c r="A116" i="24" s="1"/>
  <c r="A117" i="24" s="1"/>
  <c r="A118" i="24" s="1"/>
  <c r="A119" i="24" s="1"/>
  <c r="A120" i="24" s="1"/>
  <c r="A121" i="24" s="1"/>
  <c r="A104" i="24"/>
  <c r="A105" i="24" s="1"/>
  <c r="N87" i="24"/>
  <c r="L71" i="24"/>
  <c r="L84" i="24" s="1"/>
  <c r="T71" i="24"/>
  <c r="R71" i="24"/>
  <c r="R58" i="24"/>
  <c r="R57" i="24"/>
  <c r="L36" i="24"/>
  <c r="N36" i="24"/>
  <c r="P36" i="24"/>
  <c r="V51" i="24" s="1"/>
  <c r="R36" i="24"/>
  <c r="D36" i="24"/>
  <c r="F36" i="24"/>
  <c r="H36" i="24"/>
  <c r="J36" i="24"/>
  <c r="V50" i="24"/>
  <c r="R33" i="24"/>
  <c r="P33" i="24"/>
  <c r="N33" i="24"/>
  <c r="L33" i="24"/>
  <c r="J33" i="24"/>
  <c r="H33" i="24"/>
  <c r="F33" i="24"/>
  <c r="D33" i="24"/>
  <c r="R32" i="24"/>
  <c r="P32" i="24"/>
  <c r="N32" i="24"/>
  <c r="L32" i="24"/>
  <c r="J32" i="24"/>
  <c r="H32" i="24"/>
  <c r="F32" i="24"/>
  <c r="D32" i="24"/>
  <c r="V171" i="23"/>
  <c r="V107" i="23"/>
  <c r="V105" i="23"/>
  <c r="V91" i="23"/>
  <c r="V90" i="23"/>
  <c r="T89" i="23"/>
  <c r="T97" i="23" s="1"/>
  <c r="P68" i="23"/>
  <c r="P44" i="23"/>
  <c r="L44" i="23"/>
  <c r="F44" i="23"/>
  <c r="U288" i="23"/>
  <c r="T288" i="23"/>
  <c r="S288" i="23"/>
  <c r="R288" i="23"/>
  <c r="S225" i="23" s="1"/>
  <c r="T276" i="23"/>
  <c r="U271" i="23" s="1"/>
  <c r="R276" i="23"/>
  <c r="S268" i="23"/>
  <c r="T264" i="23"/>
  <c r="U262" i="23" s="1"/>
  <c r="R264" i="23"/>
  <c r="S262" i="23" s="1"/>
  <c r="S256" i="23"/>
  <c r="T250" i="23"/>
  <c r="R250" i="23"/>
  <c r="T249" i="23"/>
  <c r="R249" i="23"/>
  <c r="T248" i="23"/>
  <c r="R248" i="23"/>
  <c r="T247" i="23"/>
  <c r="R247" i="23"/>
  <c r="T246" i="23"/>
  <c r="R246" i="23"/>
  <c r="T245" i="23"/>
  <c r="R245" i="23"/>
  <c r="T244" i="23"/>
  <c r="R244" i="23"/>
  <c r="T243" i="23"/>
  <c r="R243" i="23"/>
  <c r="T229" i="23"/>
  <c r="T227" i="23"/>
  <c r="T225" i="23"/>
  <c r="T209" i="23"/>
  <c r="V189" i="23"/>
  <c r="V176" i="23"/>
  <c r="V169" i="23"/>
  <c r="V168" i="23"/>
  <c r="V151" i="23"/>
  <c r="B138" i="23"/>
  <c r="B204" i="23" s="1"/>
  <c r="B300" i="23" s="1"/>
  <c r="T125" i="23"/>
  <c r="T123" i="23"/>
  <c r="T115" i="23"/>
  <c r="A115" i="23"/>
  <c r="A116" i="23" s="1"/>
  <c r="A117" i="23" s="1"/>
  <c r="A118" i="23" s="1"/>
  <c r="A119" i="23" s="1"/>
  <c r="A120" i="23" s="1"/>
  <c r="A121" i="23" s="1"/>
  <c r="A104" i="23"/>
  <c r="A105" i="23" s="1"/>
  <c r="T99" i="23"/>
  <c r="T98" i="23"/>
  <c r="N87" i="23"/>
  <c r="V82" i="23"/>
  <c r="V81" i="23"/>
  <c r="T71" i="23"/>
  <c r="N71" i="23"/>
  <c r="N84" i="23" s="1"/>
  <c r="L71" i="23"/>
  <c r="L84" i="23" s="1"/>
  <c r="R71" i="23"/>
  <c r="R58" i="23"/>
  <c r="R57" i="23"/>
  <c r="V50" i="23"/>
  <c r="P43" i="23"/>
  <c r="L43" i="23"/>
  <c r="F43" i="23"/>
  <c r="R36" i="23"/>
  <c r="P36" i="23"/>
  <c r="N36" i="23"/>
  <c r="V51" i="23" s="1"/>
  <c r="L36" i="23"/>
  <c r="J36" i="23"/>
  <c r="H36" i="23"/>
  <c r="F36" i="23"/>
  <c r="D36" i="23"/>
  <c r="R35" i="23"/>
  <c r="P35" i="23"/>
  <c r="N35" i="23"/>
  <c r="L35" i="23"/>
  <c r="J35" i="23"/>
  <c r="H35" i="23"/>
  <c r="F35" i="23"/>
  <c r="D35" i="23"/>
  <c r="V34" i="23"/>
  <c r="S187" i="23" s="1"/>
  <c r="R33" i="23"/>
  <c r="P33" i="23"/>
  <c r="N33" i="23"/>
  <c r="L33" i="23"/>
  <c r="J33" i="23"/>
  <c r="H33" i="23"/>
  <c r="F33" i="23"/>
  <c r="D33" i="23"/>
  <c r="R32" i="23"/>
  <c r="P32" i="23"/>
  <c r="N32" i="23"/>
  <c r="L32" i="23"/>
  <c r="J32" i="23"/>
  <c r="H32" i="23"/>
  <c r="F32" i="23"/>
  <c r="D32" i="23"/>
  <c r="V107" i="22"/>
  <c r="V105" i="22"/>
  <c r="V91" i="22"/>
  <c r="V90" i="22"/>
  <c r="T89" i="22"/>
  <c r="T97" i="22" s="1"/>
  <c r="R68" i="22"/>
  <c r="R71" i="22" s="1"/>
  <c r="P68" i="22"/>
  <c r="T219" i="22" s="1"/>
  <c r="P44" i="22"/>
  <c r="L44" i="22"/>
  <c r="F44" i="22"/>
  <c r="U288" i="22"/>
  <c r="T288" i="22"/>
  <c r="T225" i="22" s="1"/>
  <c r="S288" i="22"/>
  <c r="R288" i="22"/>
  <c r="S225" i="22" s="1"/>
  <c r="T276" i="22"/>
  <c r="U271" i="22" s="1"/>
  <c r="R276" i="22"/>
  <c r="T264" i="22"/>
  <c r="R264" i="22"/>
  <c r="S262" i="22" s="1"/>
  <c r="T250" i="22"/>
  <c r="R250" i="22"/>
  <c r="T249" i="22"/>
  <c r="R249" i="22"/>
  <c r="T248" i="22"/>
  <c r="R248" i="22"/>
  <c r="T247" i="22"/>
  <c r="R247" i="22"/>
  <c r="T246" i="22"/>
  <c r="R246" i="22"/>
  <c r="T245" i="22"/>
  <c r="R245" i="22"/>
  <c r="T244" i="22"/>
  <c r="R244" i="22"/>
  <c r="T243" i="22"/>
  <c r="R243" i="22"/>
  <c r="T229" i="22"/>
  <c r="T227" i="22"/>
  <c r="T209" i="22"/>
  <c r="V189" i="22"/>
  <c r="V176" i="22"/>
  <c r="V169" i="22"/>
  <c r="V168" i="22"/>
  <c r="V151" i="22"/>
  <c r="B138" i="22"/>
  <c r="B204" i="22" s="1"/>
  <c r="B300" i="22" s="1"/>
  <c r="T125" i="22"/>
  <c r="T123" i="22"/>
  <c r="T115" i="22"/>
  <c r="A115" i="22"/>
  <c r="A116" i="22" s="1"/>
  <c r="A117" i="22" s="1"/>
  <c r="A118" i="22" s="1"/>
  <c r="A119" i="22" s="1"/>
  <c r="A120" i="22" s="1"/>
  <c r="A121" i="22" s="1"/>
  <c r="A104" i="22"/>
  <c r="A105" i="22" s="1"/>
  <c r="T99" i="22"/>
  <c r="T98" i="22"/>
  <c r="N87" i="22"/>
  <c r="V82" i="22"/>
  <c r="V81" i="22"/>
  <c r="T71" i="22"/>
  <c r="N71" i="22"/>
  <c r="N84" i="22"/>
  <c r="L71" i="22"/>
  <c r="L84" i="22" s="1"/>
  <c r="R58" i="22"/>
  <c r="R57" i="22"/>
  <c r="V50" i="22"/>
  <c r="P43" i="22"/>
  <c r="L43" i="22"/>
  <c r="F43" i="22"/>
  <c r="R36" i="22"/>
  <c r="P36" i="22"/>
  <c r="N36" i="22"/>
  <c r="L36" i="22"/>
  <c r="J36" i="22"/>
  <c r="H36" i="22"/>
  <c r="F36" i="22"/>
  <c r="D36" i="22"/>
  <c r="R35" i="22"/>
  <c r="P35" i="22"/>
  <c r="N35" i="22"/>
  <c r="L35" i="22"/>
  <c r="J35" i="22"/>
  <c r="H35" i="22"/>
  <c r="F35" i="22"/>
  <c r="D35" i="22"/>
  <c r="V34" i="22"/>
  <c r="V142" i="22" s="1"/>
  <c r="R33" i="22"/>
  <c r="P33" i="22"/>
  <c r="N33" i="22"/>
  <c r="L33" i="22"/>
  <c r="J33" i="22"/>
  <c r="H33" i="22"/>
  <c r="F33" i="22"/>
  <c r="D33" i="22"/>
  <c r="R32" i="22"/>
  <c r="P32" i="22"/>
  <c r="N32" i="22"/>
  <c r="L32" i="22"/>
  <c r="J32" i="22"/>
  <c r="H32" i="22"/>
  <c r="F32" i="22"/>
  <c r="D32" i="22"/>
  <c r="V171" i="21"/>
  <c r="V107" i="21"/>
  <c r="V105" i="21"/>
  <c r="V91" i="21"/>
  <c r="V90" i="21"/>
  <c r="T89" i="21"/>
  <c r="P68" i="21"/>
  <c r="T219" i="21" s="1"/>
  <c r="P44" i="21"/>
  <c r="L44" i="21"/>
  <c r="F44" i="21"/>
  <c r="U288" i="21"/>
  <c r="T288" i="21"/>
  <c r="T225" i="21" s="1"/>
  <c r="S288" i="21"/>
  <c r="R288" i="21"/>
  <c r="T276" i="21"/>
  <c r="U271" i="21" s="1"/>
  <c r="R276" i="21"/>
  <c r="S224" i="21" s="1"/>
  <c r="T264" i="21"/>
  <c r="U259" i="21" s="1"/>
  <c r="R264" i="21"/>
  <c r="S257" i="21" s="1"/>
  <c r="T250" i="21"/>
  <c r="R250" i="21"/>
  <c r="T249" i="21"/>
  <c r="R249" i="21"/>
  <c r="T248" i="21"/>
  <c r="R248" i="21"/>
  <c r="T247" i="21"/>
  <c r="R247" i="21"/>
  <c r="T246" i="21"/>
  <c r="R246" i="21"/>
  <c r="T245" i="21"/>
  <c r="R245" i="21"/>
  <c r="T244" i="21"/>
  <c r="R244" i="21"/>
  <c r="T243" i="21"/>
  <c r="R243" i="21"/>
  <c r="T229" i="21"/>
  <c r="T227" i="21"/>
  <c r="S225" i="21"/>
  <c r="T209" i="21"/>
  <c r="V189" i="21"/>
  <c r="V176" i="21"/>
  <c r="V169" i="21"/>
  <c r="V168" i="21"/>
  <c r="V151" i="21"/>
  <c r="B138" i="21"/>
  <c r="B204" i="21" s="1"/>
  <c r="B300" i="21" s="1"/>
  <c r="T125" i="21"/>
  <c r="T123" i="21"/>
  <c r="T115" i="21"/>
  <c r="A115" i="21"/>
  <c r="A116" i="21" s="1"/>
  <c r="A117" i="21" s="1"/>
  <c r="A118" i="21" s="1"/>
  <c r="A119" i="21" s="1"/>
  <c r="A120" i="21" s="1"/>
  <c r="A121" i="21" s="1"/>
  <c r="A104" i="21"/>
  <c r="A105" i="21" s="1"/>
  <c r="T99" i="21"/>
  <c r="T98" i="21"/>
  <c r="T97" i="21"/>
  <c r="N87" i="21"/>
  <c r="V82" i="21"/>
  <c r="V81" i="21"/>
  <c r="T71" i="21"/>
  <c r="R71" i="21"/>
  <c r="N71" i="21"/>
  <c r="N84" i="21" s="1"/>
  <c r="L71" i="21"/>
  <c r="L84" i="21" s="1"/>
  <c r="R58" i="21"/>
  <c r="R57" i="21"/>
  <c r="V50" i="21"/>
  <c r="P43" i="21"/>
  <c r="L43" i="21"/>
  <c r="F43" i="21"/>
  <c r="R36" i="21"/>
  <c r="P36" i="21"/>
  <c r="N36" i="21"/>
  <c r="L36" i="21"/>
  <c r="V51" i="21" s="1"/>
  <c r="J36" i="21"/>
  <c r="H36" i="21"/>
  <c r="F36" i="21"/>
  <c r="D36" i="21"/>
  <c r="R35" i="21"/>
  <c r="P35" i="21"/>
  <c r="N35" i="21"/>
  <c r="L35" i="21"/>
  <c r="J35" i="21"/>
  <c r="H35" i="21"/>
  <c r="F35" i="21"/>
  <c r="D35" i="21"/>
  <c r="V34" i="21"/>
  <c r="S187" i="21" s="1"/>
  <c r="R33" i="21"/>
  <c r="P33" i="21"/>
  <c r="N33" i="21"/>
  <c r="L33" i="21"/>
  <c r="J33" i="21"/>
  <c r="H33" i="21"/>
  <c r="F33" i="21"/>
  <c r="D33" i="21"/>
  <c r="R32" i="21"/>
  <c r="P32" i="21"/>
  <c r="N32" i="21"/>
  <c r="L32" i="21"/>
  <c r="J32" i="21"/>
  <c r="H32" i="21"/>
  <c r="F32" i="21"/>
  <c r="D32" i="21"/>
  <c r="T89" i="20"/>
  <c r="T97" i="20" s="1"/>
  <c r="P68" i="20"/>
  <c r="V90" i="20"/>
  <c r="V97" i="20" s="1"/>
  <c r="V101" i="20" s="1"/>
  <c r="V195" i="20" s="1"/>
  <c r="V107" i="20"/>
  <c r="V108" i="20"/>
  <c r="V105" i="20"/>
  <c r="V91" i="20"/>
  <c r="T98" i="20"/>
  <c r="P44" i="20"/>
  <c r="L44" i="20"/>
  <c r="F44" i="20"/>
  <c r="U288" i="20"/>
  <c r="T288" i="20"/>
  <c r="S288" i="20"/>
  <c r="R288" i="20"/>
  <c r="T276" i="20"/>
  <c r="R276" i="20"/>
  <c r="S273" i="20" s="1"/>
  <c r="S270" i="20"/>
  <c r="T264" i="20"/>
  <c r="U258" i="20" s="1"/>
  <c r="R264" i="20"/>
  <c r="T250" i="20"/>
  <c r="R250" i="20"/>
  <c r="T249" i="20"/>
  <c r="R249" i="20"/>
  <c r="T248" i="20"/>
  <c r="R248" i="20"/>
  <c r="T247" i="20"/>
  <c r="R247" i="20"/>
  <c r="T246" i="20"/>
  <c r="R246" i="20"/>
  <c r="T245" i="20"/>
  <c r="R245" i="20"/>
  <c r="T244" i="20"/>
  <c r="R244" i="20"/>
  <c r="T243" i="20"/>
  <c r="R243" i="20"/>
  <c r="T229" i="20"/>
  <c r="T227" i="20"/>
  <c r="T225" i="20"/>
  <c r="T209" i="20"/>
  <c r="V189" i="20"/>
  <c r="V176" i="20"/>
  <c r="V169" i="20"/>
  <c r="V168" i="20"/>
  <c r="V151" i="20"/>
  <c r="B138" i="20"/>
  <c r="B204" i="20" s="1"/>
  <c r="B300" i="20" s="1"/>
  <c r="T125" i="20"/>
  <c r="T123" i="20"/>
  <c r="T115" i="20"/>
  <c r="A115" i="20"/>
  <c r="A116" i="20" s="1"/>
  <c r="A117" i="20" s="1"/>
  <c r="A118" i="20" s="1"/>
  <c r="A119" i="20" s="1"/>
  <c r="A120" i="20" s="1"/>
  <c r="A121" i="20" s="1"/>
  <c r="A104" i="20"/>
  <c r="A105" i="20" s="1"/>
  <c r="T99" i="20"/>
  <c r="N87" i="20"/>
  <c r="V82" i="20"/>
  <c r="V81" i="20"/>
  <c r="T71" i="20"/>
  <c r="N71" i="20"/>
  <c r="N84" i="20" s="1"/>
  <c r="L71" i="20"/>
  <c r="L84" i="20" s="1"/>
  <c r="R71" i="20"/>
  <c r="R58" i="20"/>
  <c r="R57" i="20"/>
  <c r="V50" i="20"/>
  <c r="P43" i="20"/>
  <c r="L43" i="20"/>
  <c r="F43" i="20"/>
  <c r="R36" i="20"/>
  <c r="P36" i="20"/>
  <c r="N36" i="20"/>
  <c r="L36" i="20"/>
  <c r="J36" i="20"/>
  <c r="H36" i="20"/>
  <c r="F36" i="20"/>
  <c r="D36" i="20"/>
  <c r="R35" i="20"/>
  <c r="P35" i="20"/>
  <c r="N35" i="20"/>
  <c r="L35" i="20"/>
  <c r="J35" i="20"/>
  <c r="H35" i="20"/>
  <c r="F35" i="20"/>
  <c r="D35" i="20"/>
  <c r="V34" i="20"/>
  <c r="S187" i="20" s="1"/>
  <c r="R33" i="20"/>
  <c r="P33" i="20"/>
  <c r="N33" i="20"/>
  <c r="L33" i="20"/>
  <c r="J33" i="20"/>
  <c r="H33" i="20"/>
  <c r="F33" i="20"/>
  <c r="D33" i="20"/>
  <c r="R32" i="20"/>
  <c r="P32" i="20"/>
  <c r="N32" i="20"/>
  <c r="L32" i="20"/>
  <c r="J32" i="20"/>
  <c r="H32" i="20"/>
  <c r="F32" i="20"/>
  <c r="D32" i="20"/>
  <c r="V107" i="19"/>
  <c r="V105" i="19"/>
  <c r="V91" i="19"/>
  <c r="V90" i="19"/>
  <c r="T89" i="19"/>
  <c r="T97" i="19" s="1"/>
  <c r="R68" i="19"/>
  <c r="R71" i="19" s="1"/>
  <c r="P68" i="19"/>
  <c r="P44" i="19"/>
  <c r="L44" i="19"/>
  <c r="F44" i="19"/>
  <c r="D32" i="19"/>
  <c r="F32" i="19"/>
  <c r="H32" i="19"/>
  <c r="J32" i="19"/>
  <c r="L32" i="19"/>
  <c r="N32" i="19"/>
  <c r="P32" i="19"/>
  <c r="R32" i="19"/>
  <c r="D33" i="19"/>
  <c r="F33" i="19"/>
  <c r="H33" i="19"/>
  <c r="J33" i="19"/>
  <c r="L33" i="19"/>
  <c r="N33" i="19"/>
  <c r="P33" i="19"/>
  <c r="R33" i="19"/>
  <c r="V34" i="19"/>
  <c r="D35" i="19"/>
  <c r="F35" i="19"/>
  <c r="H35" i="19"/>
  <c r="J35" i="19"/>
  <c r="L35" i="19"/>
  <c r="N35" i="19"/>
  <c r="P35" i="19"/>
  <c r="R35" i="19"/>
  <c r="D36" i="19"/>
  <c r="F36" i="19"/>
  <c r="H36" i="19"/>
  <c r="J36" i="19"/>
  <c r="L36" i="19"/>
  <c r="N36" i="19"/>
  <c r="P36" i="19"/>
  <c r="R36" i="19"/>
  <c r="F43" i="19"/>
  <c r="L43" i="19"/>
  <c r="P43" i="19"/>
  <c r="V50" i="19"/>
  <c r="R57" i="19"/>
  <c r="R58" i="19"/>
  <c r="L71" i="19"/>
  <c r="L84" i="19" s="1"/>
  <c r="N71" i="19"/>
  <c r="N84" i="19" s="1"/>
  <c r="T71" i="19"/>
  <c r="V81" i="19"/>
  <c r="V82" i="19"/>
  <c r="N87" i="19"/>
  <c r="T98" i="19"/>
  <c r="T99" i="19"/>
  <c r="A104" i="19"/>
  <c r="A105" i="19" s="1"/>
  <c r="A115" i="19"/>
  <c r="A116" i="19" s="1"/>
  <c r="A117" i="19" s="1"/>
  <c r="A118" i="19" s="1"/>
  <c r="A119" i="19" s="1"/>
  <c r="A120" i="19" s="1"/>
  <c r="A121" i="19" s="1"/>
  <c r="T115" i="19"/>
  <c r="T123" i="19"/>
  <c r="T125" i="19"/>
  <c r="B138" i="19"/>
  <c r="B204" i="19" s="1"/>
  <c r="B300" i="19" s="1"/>
  <c r="V151" i="19"/>
  <c r="V168" i="19"/>
  <c r="V169" i="19"/>
  <c r="V176" i="19"/>
  <c r="V189" i="19"/>
  <c r="T209" i="19"/>
  <c r="R276" i="19"/>
  <c r="S267" i="19" s="1"/>
  <c r="T276" i="19"/>
  <c r="T224" i="19" s="1"/>
  <c r="R288" i="19"/>
  <c r="S225" i="19" s="1"/>
  <c r="T288" i="19"/>
  <c r="T227" i="19"/>
  <c r="T229" i="19"/>
  <c r="R243" i="19"/>
  <c r="R244" i="19"/>
  <c r="R245" i="19"/>
  <c r="R246" i="19"/>
  <c r="R247" i="19"/>
  <c r="R248" i="19"/>
  <c r="R249" i="19"/>
  <c r="R250" i="19"/>
  <c r="T243" i="19"/>
  <c r="T244" i="19"/>
  <c r="T245" i="19"/>
  <c r="T246" i="19"/>
  <c r="T247" i="19"/>
  <c r="T248" i="19"/>
  <c r="T249" i="19"/>
  <c r="T250" i="19"/>
  <c r="R264" i="19"/>
  <c r="S257" i="19" s="1"/>
  <c r="T264" i="19"/>
  <c r="S288" i="19"/>
  <c r="U288" i="19"/>
  <c r="V107" i="18"/>
  <c r="V105" i="18"/>
  <c r="V91" i="18"/>
  <c r="V90" i="18"/>
  <c r="V97" i="18" s="1"/>
  <c r="V101" i="18" s="1"/>
  <c r="T89" i="18"/>
  <c r="T97" i="18" s="1"/>
  <c r="R68" i="18"/>
  <c r="R71" i="18" s="1"/>
  <c r="P68" i="18"/>
  <c r="P44" i="18"/>
  <c r="L44" i="18"/>
  <c r="F44" i="18"/>
  <c r="T90" i="5"/>
  <c r="V91" i="5"/>
  <c r="T90" i="3"/>
  <c r="T98" i="3" s="1"/>
  <c r="V91" i="3"/>
  <c r="D32" i="18"/>
  <c r="F32" i="18"/>
  <c r="H32" i="18"/>
  <c r="J32" i="18"/>
  <c r="L32" i="18"/>
  <c r="N32" i="18"/>
  <c r="P32" i="18"/>
  <c r="R32" i="18"/>
  <c r="D33" i="18"/>
  <c r="F33" i="18"/>
  <c r="H33" i="18"/>
  <c r="J33" i="18"/>
  <c r="L33" i="18"/>
  <c r="N33" i="18"/>
  <c r="P33" i="18"/>
  <c r="R33" i="18"/>
  <c r="V34" i="18"/>
  <c r="D35" i="18"/>
  <c r="F35" i="18"/>
  <c r="H35" i="18"/>
  <c r="J35" i="18"/>
  <c r="L35" i="18"/>
  <c r="N35" i="18"/>
  <c r="P35" i="18"/>
  <c r="R35" i="18"/>
  <c r="D36" i="18"/>
  <c r="F36" i="18"/>
  <c r="H36" i="18"/>
  <c r="J36" i="18"/>
  <c r="L36" i="18"/>
  <c r="N36" i="18"/>
  <c r="P36" i="18"/>
  <c r="R36" i="18"/>
  <c r="F43" i="18"/>
  <c r="L43" i="18"/>
  <c r="P43" i="18"/>
  <c r="V50" i="18"/>
  <c r="R57" i="18"/>
  <c r="R58" i="18"/>
  <c r="L71" i="18"/>
  <c r="L84" i="18" s="1"/>
  <c r="N71" i="18"/>
  <c r="N84" i="18" s="1"/>
  <c r="T71" i="18"/>
  <c r="V81" i="18"/>
  <c r="V82" i="18"/>
  <c r="N87" i="18"/>
  <c r="T98" i="18"/>
  <c r="T99" i="18"/>
  <c r="A104" i="18"/>
  <c r="A105" i="18" s="1"/>
  <c r="A115" i="18"/>
  <c r="A116" i="18" s="1"/>
  <c r="A117" i="18" s="1"/>
  <c r="A118" i="18" s="1"/>
  <c r="A119" i="18" s="1"/>
  <c r="A120" i="18" s="1"/>
  <c r="A121" i="18" s="1"/>
  <c r="T115" i="18"/>
  <c r="T123" i="18"/>
  <c r="T125" i="18"/>
  <c r="B138" i="18"/>
  <c r="B204" i="18" s="1"/>
  <c r="B300" i="18" s="1"/>
  <c r="V151" i="18"/>
  <c r="V168" i="18"/>
  <c r="V169" i="18"/>
  <c r="V176" i="18"/>
  <c r="V189" i="18"/>
  <c r="T209" i="18"/>
  <c r="R276" i="18"/>
  <c r="S269" i="18" s="1"/>
  <c r="T276" i="18"/>
  <c r="R288" i="18"/>
  <c r="R290" i="18" s="1"/>
  <c r="T288" i="18"/>
  <c r="T225" i="18" s="1"/>
  <c r="T227" i="18"/>
  <c r="T229" i="18"/>
  <c r="R243" i="18"/>
  <c r="R244" i="18"/>
  <c r="R245" i="18"/>
  <c r="R246" i="18"/>
  <c r="R249" i="18"/>
  <c r="R250" i="18"/>
  <c r="R247" i="18"/>
  <c r="R248" i="18"/>
  <c r="T243" i="18"/>
  <c r="T244" i="18"/>
  <c r="T245" i="18"/>
  <c r="T246" i="18"/>
  <c r="T249" i="18"/>
  <c r="T247" i="18"/>
  <c r="T248" i="18"/>
  <c r="T250" i="18"/>
  <c r="R264" i="18"/>
  <c r="S257" i="18" s="1"/>
  <c r="T264" i="18"/>
  <c r="U258" i="18" s="1"/>
  <c r="U270" i="18"/>
  <c r="S288" i="18"/>
  <c r="U288" i="18"/>
  <c r="V171" i="17"/>
  <c r="V113" i="17"/>
  <c r="V111" i="17"/>
  <c r="V107" i="17"/>
  <c r="V105" i="17"/>
  <c r="V91" i="17"/>
  <c r="V90" i="17"/>
  <c r="T89" i="17"/>
  <c r="T97" i="17" s="1"/>
  <c r="R68" i="17"/>
  <c r="R71" i="17" s="1"/>
  <c r="P68" i="17"/>
  <c r="P71" i="17" s="1"/>
  <c r="P44" i="17"/>
  <c r="L44" i="17"/>
  <c r="F44" i="17"/>
  <c r="D32" i="17"/>
  <c r="F32" i="17"/>
  <c r="H32" i="17"/>
  <c r="J32" i="17"/>
  <c r="L32" i="17"/>
  <c r="N32" i="17"/>
  <c r="P32" i="17"/>
  <c r="R32" i="17"/>
  <c r="D33" i="17"/>
  <c r="F33" i="17"/>
  <c r="H33" i="17"/>
  <c r="J33" i="17"/>
  <c r="L33" i="17"/>
  <c r="N33" i="17"/>
  <c r="P33" i="17"/>
  <c r="R33" i="17"/>
  <c r="V34" i="17"/>
  <c r="V142" i="17" s="1"/>
  <c r="D35" i="17"/>
  <c r="F35" i="17"/>
  <c r="H35" i="17"/>
  <c r="J35" i="17"/>
  <c r="L35" i="17"/>
  <c r="N35" i="17"/>
  <c r="P35" i="17"/>
  <c r="R35" i="17"/>
  <c r="D36" i="17"/>
  <c r="F36" i="17"/>
  <c r="H36" i="17"/>
  <c r="J36" i="17"/>
  <c r="L36" i="17"/>
  <c r="N36" i="17"/>
  <c r="P36" i="17"/>
  <c r="R36" i="17"/>
  <c r="F43" i="17"/>
  <c r="L43" i="17"/>
  <c r="P43" i="17"/>
  <c r="V50" i="17"/>
  <c r="R57" i="17"/>
  <c r="R58" i="17"/>
  <c r="L71" i="17"/>
  <c r="L84" i="17" s="1"/>
  <c r="N71" i="17"/>
  <c r="N84" i="17" s="1"/>
  <c r="T71" i="17"/>
  <c r="V81" i="17"/>
  <c r="V82" i="17"/>
  <c r="N87" i="17"/>
  <c r="T98" i="17"/>
  <c r="T99" i="17"/>
  <c r="A104" i="17"/>
  <c r="A105" i="17" s="1"/>
  <c r="A115" i="17"/>
  <c r="A116" i="17" s="1"/>
  <c r="A117" i="17" s="1"/>
  <c r="A118" i="17" s="1"/>
  <c r="A119" i="17" s="1"/>
  <c r="A120" i="17" s="1"/>
  <c r="A121" i="17" s="1"/>
  <c r="T115" i="17"/>
  <c r="T123" i="17"/>
  <c r="T125" i="17"/>
  <c r="T134" i="17" s="1"/>
  <c r="B138" i="17"/>
  <c r="B204" i="17" s="1"/>
  <c r="B300" i="17" s="1"/>
  <c r="V151" i="17"/>
  <c r="V168" i="17"/>
  <c r="V169" i="17"/>
  <c r="V170" i="17" s="1"/>
  <c r="V176" i="17"/>
  <c r="V189" i="17"/>
  <c r="T209" i="17"/>
  <c r="R276" i="17"/>
  <c r="S268" i="17" s="1"/>
  <c r="T276" i="17"/>
  <c r="U268" i="17" s="1"/>
  <c r="R288" i="17"/>
  <c r="S225" i="17" s="1"/>
  <c r="T288" i="17"/>
  <c r="T227" i="17"/>
  <c r="T229" i="17"/>
  <c r="R243" i="17"/>
  <c r="R244" i="17"/>
  <c r="R245" i="17"/>
  <c r="R246" i="17"/>
  <c r="R247" i="17"/>
  <c r="R249" i="17"/>
  <c r="R250" i="17"/>
  <c r="R248" i="17"/>
  <c r="T243" i="17"/>
  <c r="T244" i="17"/>
  <c r="T245" i="17"/>
  <c r="T246" i="17"/>
  <c r="T247" i="17"/>
  <c r="T248" i="17"/>
  <c r="T249" i="17"/>
  <c r="T250" i="17"/>
  <c r="R264" i="17"/>
  <c r="T264" i="17"/>
  <c r="U255" i="17" s="1"/>
  <c r="S271" i="17"/>
  <c r="S288" i="17"/>
  <c r="U288" i="17"/>
  <c r="V105" i="16"/>
  <c r="V91" i="16"/>
  <c r="V90" i="16"/>
  <c r="T89" i="16"/>
  <c r="R68" i="16"/>
  <c r="R71" i="16" s="1"/>
  <c r="P68" i="16"/>
  <c r="T219" i="16" s="1"/>
  <c r="P44" i="16"/>
  <c r="L44" i="16"/>
  <c r="F44" i="16"/>
  <c r="D32" i="16"/>
  <c r="F32" i="16"/>
  <c r="H32" i="16"/>
  <c r="J32" i="16"/>
  <c r="L32" i="16"/>
  <c r="N32" i="16"/>
  <c r="P32" i="16"/>
  <c r="R32" i="16"/>
  <c r="D33" i="16"/>
  <c r="F33" i="16"/>
  <c r="H33" i="16"/>
  <c r="J33" i="16"/>
  <c r="L33" i="16"/>
  <c r="N33" i="16"/>
  <c r="P33" i="16"/>
  <c r="R33" i="16"/>
  <c r="V34" i="16"/>
  <c r="V142" i="16" s="1"/>
  <c r="D35" i="16"/>
  <c r="F35" i="16"/>
  <c r="H35" i="16"/>
  <c r="J35" i="16"/>
  <c r="L35" i="16"/>
  <c r="N35" i="16"/>
  <c r="P35" i="16"/>
  <c r="R35" i="16"/>
  <c r="D36" i="16"/>
  <c r="F36" i="16"/>
  <c r="H36" i="16"/>
  <c r="J36" i="16"/>
  <c r="L36" i="16"/>
  <c r="N36" i="16"/>
  <c r="P36" i="16"/>
  <c r="R36" i="16"/>
  <c r="F43" i="16"/>
  <c r="L43" i="16"/>
  <c r="P43" i="16"/>
  <c r="V50" i="16"/>
  <c r="R57" i="16"/>
  <c r="R58" i="16"/>
  <c r="L71" i="16"/>
  <c r="L84" i="16" s="1"/>
  <c r="N71" i="16"/>
  <c r="N84" i="16" s="1"/>
  <c r="T71" i="16"/>
  <c r="V81" i="16"/>
  <c r="V82" i="16"/>
  <c r="N87" i="16"/>
  <c r="T97" i="16"/>
  <c r="T98" i="16"/>
  <c r="T99" i="16"/>
  <c r="A104" i="16"/>
  <c r="A105" i="16" s="1"/>
  <c r="A115" i="16"/>
  <c r="A116" i="16" s="1"/>
  <c r="A117" i="16" s="1"/>
  <c r="A118" i="16" s="1"/>
  <c r="A119" i="16" s="1"/>
  <c r="A120" i="16" s="1"/>
  <c r="A121" i="16" s="1"/>
  <c r="T115" i="16"/>
  <c r="T123" i="16"/>
  <c r="T134" i="16" s="1"/>
  <c r="T125" i="16"/>
  <c r="B138" i="16"/>
  <c r="B204" i="16" s="1"/>
  <c r="B300" i="16" s="1"/>
  <c r="V151" i="16"/>
  <c r="V168" i="16"/>
  <c r="V169" i="16"/>
  <c r="V176" i="16"/>
  <c r="V189" i="16"/>
  <c r="T209" i="16"/>
  <c r="R276" i="16"/>
  <c r="T276" i="16"/>
  <c r="U269" i="16" s="1"/>
  <c r="R288" i="16"/>
  <c r="S225" i="16" s="1"/>
  <c r="T288" i="16"/>
  <c r="T225" i="16" s="1"/>
  <c r="T227" i="16"/>
  <c r="T229" i="16"/>
  <c r="R243" i="16"/>
  <c r="R244" i="16"/>
  <c r="R245" i="16"/>
  <c r="R246" i="16"/>
  <c r="R247" i="16"/>
  <c r="R248" i="16"/>
  <c r="R249" i="16"/>
  <c r="R250" i="16"/>
  <c r="T243" i="16"/>
  <c r="T244" i="16"/>
  <c r="T245" i="16"/>
  <c r="T246" i="16"/>
  <c r="T247" i="16"/>
  <c r="T248" i="16"/>
  <c r="T249" i="16"/>
  <c r="T250" i="16"/>
  <c r="R264" i="16"/>
  <c r="S257" i="16" s="1"/>
  <c r="T264" i="16"/>
  <c r="U257" i="16" s="1"/>
  <c r="S269" i="16"/>
  <c r="S288" i="16"/>
  <c r="U288" i="16"/>
  <c r="V107" i="15"/>
  <c r="V105" i="15"/>
  <c r="V91" i="15"/>
  <c r="V90" i="15"/>
  <c r="S189" i="15"/>
  <c r="T125" i="15" s="1"/>
  <c r="T89" i="15"/>
  <c r="T97" i="15" s="1"/>
  <c r="R68" i="15"/>
  <c r="R71" i="15" s="1"/>
  <c r="P68" i="15"/>
  <c r="P44" i="15"/>
  <c r="L44" i="15"/>
  <c r="F44" i="15"/>
  <c r="T229" i="15"/>
  <c r="D32" i="15"/>
  <c r="F32" i="15"/>
  <c r="H32" i="15"/>
  <c r="J32" i="15"/>
  <c r="L32" i="15"/>
  <c r="N32" i="15"/>
  <c r="P32" i="15"/>
  <c r="R32" i="15"/>
  <c r="D33" i="15"/>
  <c r="F33" i="15"/>
  <c r="H33" i="15"/>
  <c r="J33" i="15"/>
  <c r="L33" i="15"/>
  <c r="N33" i="15"/>
  <c r="P33" i="15"/>
  <c r="R33" i="15"/>
  <c r="V34" i="15"/>
  <c r="D35" i="15"/>
  <c r="F35" i="15"/>
  <c r="H35" i="15"/>
  <c r="J35" i="15"/>
  <c r="L35" i="15"/>
  <c r="N35" i="15"/>
  <c r="P35" i="15"/>
  <c r="R35" i="15"/>
  <c r="F43" i="15"/>
  <c r="L43" i="15"/>
  <c r="P43" i="15"/>
  <c r="D36" i="15"/>
  <c r="V36" i="15" s="1"/>
  <c r="F36" i="15"/>
  <c r="H36" i="15"/>
  <c r="J36" i="15"/>
  <c r="L36" i="15"/>
  <c r="N36" i="15"/>
  <c r="P36" i="15"/>
  <c r="R36" i="15"/>
  <c r="V50" i="15"/>
  <c r="R57" i="15"/>
  <c r="R58" i="15"/>
  <c r="L71" i="15"/>
  <c r="L84" i="15" s="1"/>
  <c r="N71" i="15"/>
  <c r="N84" i="15" s="1"/>
  <c r="T71" i="15"/>
  <c r="V81" i="15"/>
  <c r="V82" i="15"/>
  <c r="N87" i="15"/>
  <c r="T98" i="15"/>
  <c r="T99" i="15"/>
  <c r="T123" i="15"/>
  <c r="T115" i="15"/>
  <c r="A104" i="15"/>
  <c r="A105" i="15" s="1"/>
  <c r="A115" i="15"/>
  <c r="A116" i="15" s="1"/>
  <c r="A117" i="15" s="1"/>
  <c r="A118" i="15" s="1"/>
  <c r="A119" i="15" s="1"/>
  <c r="A120" i="15" s="1"/>
  <c r="A121" i="15" s="1"/>
  <c r="B138" i="15"/>
  <c r="B204" i="15" s="1"/>
  <c r="B300" i="15" s="1"/>
  <c r="V151" i="15"/>
  <c r="V168" i="15"/>
  <c r="V169" i="15"/>
  <c r="V171" i="15"/>
  <c r="V176" i="15"/>
  <c r="T209" i="15"/>
  <c r="R276" i="15"/>
  <c r="S268" i="15" s="1"/>
  <c r="T276" i="15"/>
  <c r="U267" i="15" s="1"/>
  <c r="R288" i="15"/>
  <c r="T288" i="15"/>
  <c r="T225" i="15" s="1"/>
  <c r="T227" i="15"/>
  <c r="R243" i="15"/>
  <c r="R244" i="15"/>
  <c r="R245" i="15"/>
  <c r="R246" i="15"/>
  <c r="R247" i="15"/>
  <c r="R248" i="15"/>
  <c r="R249" i="15"/>
  <c r="R250" i="15"/>
  <c r="T243" i="15"/>
  <c r="T244" i="15"/>
  <c r="T245" i="15"/>
  <c r="T246" i="15"/>
  <c r="T247" i="15"/>
  <c r="T248" i="15"/>
  <c r="T249" i="15"/>
  <c r="T250" i="15"/>
  <c r="R264" i="15"/>
  <c r="S256" i="15" s="1"/>
  <c r="T264" i="15"/>
  <c r="U259" i="15" s="1"/>
  <c r="S269" i="15"/>
  <c r="S271" i="15"/>
  <c r="U271" i="15"/>
  <c r="S272" i="15"/>
  <c r="S273" i="15"/>
  <c r="S274" i="15"/>
  <c r="S288" i="15"/>
  <c r="U288" i="15"/>
  <c r="T243" i="14"/>
  <c r="T244" i="14"/>
  <c r="T245" i="14"/>
  <c r="T246" i="14"/>
  <c r="T247" i="14"/>
  <c r="T250" i="14"/>
  <c r="T248" i="14"/>
  <c r="T249" i="14"/>
  <c r="R243" i="14"/>
  <c r="R244" i="14"/>
  <c r="R245" i="14"/>
  <c r="R252" i="14" s="1"/>
  <c r="S249" i="14" s="1"/>
  <c r="R246" i="14"/>
  <c r="R247" i="14"/>
  <c r="R250" i="14"/>
  <c r="R249" i="14"/>
  <c r="R248" i="14"/>
  <c r="V171" i="14"/>
  <c r="V107" i="14"/>
  <c r="V105" i="14"/>
  <c r="V91" i="14"/>
  <c r="V90" i="14"/>
  <c r="T89" i="14"/>
  <c r="T97" i="14" s="1"/>
  <c r="R68" i="14"/>
  <c r="R71" i="14" s="1"/>
  <c r="P68" i="14"/>
  <c r="T219" i="14" s="1"/>
  <c r="P44" i="14"/>
  <c r="L44" i="14"/>
  <c r="F44" i="14"/>
  <c r="T229" i="14"/>
  <c r="D32" i="14"/>
  <c r="F32" i="14"/>
  <c r="H32" i="14"/>
  <c r="J32" i="14"/>
  <c r="L32" i="14"/>
  <c r="N32" i="14"/>
  <c r="P32" i="14"/>
  <c r="R32" i="14"/>
  <c r="D33" i="14"/>
  <c r="F33" i="14"/>
  <c r="H33" i="14"/>
  <c r="J33" i="14"/>
  <c r="L33" i="14"/>
  <c r="N33" i="14"/>
  <c r="P33" i="14"/>
  <c r="R33" i="14"/>
  <c r="V34" i="14"/>
  <c r="D35" i="14"/>
  <c r="F35" i="14"/>
  <c r="H35" i="14"/>
  <c r="J35" i="14"/>
  <c r="L35" i="14"/>
  <c r="N35" i="14"/>
  <c r="P35" i="14"/>
  <c r="R35" i="14"/>
  <c r="D36" i="14"/>
  <c r="F36" i="14"/>
  <c r="H36" i="14"/>
  <c r="J36" i="14"/>
  <c r="L36" i="14"/>
  <c r="N36" i="14"/>
  <c r="P36" i="14"/>
  <c r="R36" i="14"/>
  <c r="F43" i="14"/>
  <c r="L43" i="14"/>
  <c r="P43" i="14"/>
  <c r="V50" i="14"/>
  <c r="R57" i="14"/>
  <c r="R58" i="14"/>
  <c r="L71" i="14"/>
  <c r="L84" i="14" s="1"/>
  <c r="N71" i="14"/>
  <c r="N84" i="14" s="1"/>
  <c r="T71" i="14"/>
  <c r="V81" i="14"/>
  <c r="V82" i="14"/>
  <c r="N87" i="14"/>
  <c r="T98" i="14"/>
  <c r="T99" i="14"/>
  <c r="A104" i="14"/>
  <c r="A105" i="14" s="1"/>
  <c r="A115" i="14"/>
  <c r="A116" i="14" s="1"/>
  <c r="A117" i="14" s="1"/>
  <c r="A118" i="14" s="1"/>
  <c r="A119" i="14" s="1"/>
  <c r="A120" i="14" s="1"/>
  <c r="A121" i="14" s="1"/>
  <c r="T115" i="14"/>
  <c r="T123" i="14"/>
  <c r="T125" i="14"/>
  <c r="B138" i="14"/>
  <c r="B204" i="14" s="1"/>
  <c r="B300" i="14" s="1"/>
  <c r="V151" i="14"/>
  <c r="V168" i="14"/>
  <c r="V169" i="14"/>
  <c r="V176" i="14"/>
  <c r="V189" i="14"/>
  <c r="T209" i="14"/>
  <c r="R276" i="14"/>
  <c r="S271" i="14" s="1"/>
  <c r="T276" i="14"/>
  <c r="U268" i="14" s="1"/>
  <c r="R288" i="14"/>
  <c r="T288" i="14"/>
  <c r="T227" i="14"/>
  <c r="R264" i="14"/>
  <c r="S255" i="14" s="1"/>
  <c r="T264" i="14"/>
  <c r="U261" i="14" s="1"/>
  <c r="S288" i="14"/>
  <c r="U288" i="14"/>
  <c r="V107" i="13"/>
  <c r="V105" i="13"/>
  <c r="V91" i="13"/>
  <c r="V90" i="13"/>
  <c r="S189" i="13"/>
  <c r="V189" i="13" s="1"/>
  <c r="T89" i="13"/>
  <c r="T97" i="13" s="1"/>
  <c r="R68" i="13"/>
  <c r="P68" i="13"/>
  <c r="T219" i="13" s="1"/>
  <c r="P44" i="13"/>
  <c r="L44" i="13"/>
  <c r="F44" i="13"/>
  <c r="T229" i="13"/>
  <c r="D32" i="13"/>
  <c r="F32" i="13"/>
  <c r="H32" i="13"/>
  <c r="J32" i="13"/>
  <c r="L32" i="13"/>
  <c r="N32" i="13"/>
  <c r="P32" i="13"/>
  <c r="R32" i="13"/>
  <c r="D33" i="13"/>
  <c r="F33" i="13"/>
  <c r="H33" i="13"/>
  <c r="J33" i="13"/>
  <c r="L33" i="13"/>
  <c r="N33" i="13"/>
  <c r="P33" i="13"/>
  <c r="R33" i="13"/>
  <c r="V34" i="13"/>
  <c r="D35" i="13"/>
  <c r="F35" i="13"/>
  <c r="H35" i="13"/>
  <c r="J35" i="13"/>
  <c r="L35" i="13"/>
  <c r="N35" i="13"/>
  <c r="P35" i="13"/>
  <c r="R35" i="13"/>
  <c r="F43" i="13"/>
  <c r="L43" i="13"/>
  <c r="P43" i="13"/>
  <c r="D36" i="13"/>
  <c r="F36" i="13"/>
  <c r="H36" i="13"/>
  <c r="J36" i="13"/>
  <c r="L36" i="13"/>
  <c r="N36" i="13"/>
  <c r="P36" i="13"/>
  <c r="R36" i="13"/>
  <c r="V50" i="13"/>
  <c r="R57" i="13"/>
  <c r="R58" i="13"/>
  <c r="L71" i="13"/>
  <c r="L84" i="13" s="1"/>
  <c r="N71" i="13"/>
  <c r="T71" i="13"/>
  <c r="V81" i="13"/>
  <c r="V82" i="13"/>
  <c r="N84" i="13"/>
  <c r="N87" i="13"/>
  <c r="T98" i="13"/>
  <c r="T99" i="13"/>
  <c r="T123" i="13"/>
  <c r="T125" i="13"/>
  <c r="T134" i="13" s="1"/>
  <c r="T115" i="13"/>
  <c r="A104" i="13"/>
  <c r="A105" i="13" s="1"/>
  <c r="A115" i="13"/>
  <c r="A116" i="13" s="1"/>
  <c r="A117" i="13" s="1"/>
  <c r="A118" i="13" s="1"/>
  <c r="A119" i="13" s="1"/>
  <c r="A120" i="13" s="1"/>
  <c r="A121" i="13" s="1"/>
  <c r="B138" i="13"/>
  <c r="B204" i="13" s="1"/>
  <c r="B288" i="13" s="1"/>
  <c r="V151" i="13"/>
  <c r="V168" i="13"/>
  <c r="V169" i="13"/>
  <c r="V176" i="13"/>
  <c r="T209" i="13"/>
  <c r="R264" i="13"/>
  <c r="T264" i="13"/>
  <c r="U262" i="13" s="1"/>
  <c r="R276" i="13"/>
  <c r="S225" i="13" s="1"/>
  <c r="T276" i="13"/>
  <c r="T227" i="13"/>
  <c r="R252" i="13"/>
  <c r="S249" i="13" s="1"/>
  <c r="T252" i="13"/>
  <c r="U250" i="13" s="1"/>
  <c r="S259" i="13"/>
  <c r="S276" i="13"/>
  <c r="U276" i="13"/>
  <c r="V108" i="12"/>
  <c r="V106" i="12"/>
  <c r="V92" i="12"/>
  <c r="V91" i="12"/>
  <c r="S190" i="12"/>
  <c r="V190" i="12" s="1"/>
  <c r="T90" i="12"/>
  <c r="T98" i="12" s="1"/>
  <c r="R69" i="12"/>
  <c r="P69" i="12"/>
  <c r="T220" i="12" s="1"/>
  <c r="P44" i="12"/>
  <c r="L44" i="12"/>
  <c r="F44" i="12"/>
  <c r="T230" i="12"/>
  <c r="D32" i="12"/>
  <c r="F32" i="12"/>
  <c r="H32" i="12"/>
  <c r="J32" i="12"/>
  <c r="L32" i="12"/>
  <c r="N32" i="12"/>
  <c r="P32" i="12"/>
  <c r="R32" i="12"/>
  <c r="D33" i="12"/>
  <c r="F33" i="12"/>
  <c r="H33" i="12"/>
  <c r="J33" i="12"/>
  <c r="L33" i="12"/>
  <c r="N33" i="12"/>
  <c r="P33" i="12"/>
  <c r="R33" i="12"/>
  <c r="V34" i="12"/>
  <c r="V143" i="12" s="1"/>
  <c r="D35" i="12"/>
  <c r="F35" i="12"/>
  <c r="H35" i="12"/>
  <c r="J35" i="12"/>
  <c r="L35" i="12"/>
  <c r="N35" i="12"/>
  <c r="P35" i="12"/>
  <c r="R35" i="12"/>
  <c r="F43" i="12"/>
  <c r="L43" i="12"/>
  <c r="P43" i="12"/>
  <c r="D36" i="12"/>
  <c r="F36" i="12"/>
  <c r="H36" i="12"/>
  <c r="J36" i="12"/>
  <c r="L36" i="12"/>
  <c r="N36" i="12"/>
  <c r="P36" i="12"/>
  <c r="R36" i="12"/>
  <c r="V50" i="12"/>
  <c r="R57" i="12"/>
  <c r="R58" i="12"/>
  <c r="L72" i="12"/>
  <c r="L85" i="12" s="1"/>
  <c r="N72" i="12"/>
  <c r="N85" i="12" s="1"/>
  <c r="T72" i="12"/>
  <c r="V82" i="12"/>
  <c r="V83" i="12"/>
  <c r="N88" i="12"/>
  <c r="T99" i="12"/>
  <c r="T100" i="12"/>
  <c r="T124" i="12"/>
  <c r="T116" i="12"/>
  <c r="A105" i="12"/>
  <c r="A106" i="12" s="1"/>
  <c r="A116" i="12"/>
  <c r="A117" i="12" s="1"/>
  <c r="A118" i="12" s="1"/>
  <c r="A119" i="12" s="1"/>
  <c r="A120" i="12" s="1"/>
  <c r="A121" i="12" s="1"/>
  <c r="A122" i="12" s="1"/>
  <c r="B139" i="12"/>
  <c r="B205" i="12" s="1"/>
  <c r="B289" i="12" s="1"/>
  <c r="V152" i="12"/>
  <c r="V169" i="12"/>
  <c r="V170" i="12"/>
  <c r="V172" i="12"/>
  <c r="V177" i="12"/>
  <c r="T210" i="12"/>
  <c r="R265" i="12"/>
  <c r="T265" i="12"/>
  <c r="T279" i="12" s="1"/>
  <c r="R277" i="12"/>
  <c r="S226" i="12" s="1"/>
  <c r="T277" i="12"/>
  <c r="T226" i="12" s="1"/>
  <c r="T228" i="12"/>
  <c r="R253" i="12"/>
  <c r="S248" i="12" s="1"/>
  <c r="T253" i="12"/>
  <c r="U247" i="12" s="1"/>
  <c r="S277" i="12"/>
  <c r="U277" i="12"/>
  <c r="V107" i="11"/>
  <c r="V108" i="11"/>
  <c r="V106" i="11"/>
  <c r="V92" i="11"/>
  <c r="V91" i="11"/>
  <c r="S190" i="11"/>
  <c r="T90" i="11"/>
  <c r="T98" i="11" s="1"/>
  <c r="R69" i="11"/>
  <c r="P69" i="11"/>
  <c r="T220" i="11" s="1"/>
  <c r="P44" i="11"/>
  <c r="L44" i="11"/>
  <c r="F44" i="11"/>
  <c r="V172" i="11"/>
  <c r="D32" i="11"/>
  <c r="F32" i="11"/>
  <c r="H32" i="11"/>
  <c r="J32" i="11"/>
  <c r="L32" i="11"/>
  <c r="N32" i="11"/>
  <c r="P32" i="11"/>
  <c r="R32" i="11"/>
  <c r="D33" i="11"/>
  <c r="F33" i="11"/>
  <c r="H33" i="11"/>
  <c r="J33" i="11"/>
  <c r="L33" i="11"/>
  <c r="N33" i="11"/>
  <c r="P33" i="11"/>
  <c r="R33" i="11"/>
  <c r="V34" i="11"/>
  <c r="D35" i="11"/>
  <c r="F35" i="11"/>
  <c r="H35" i="11"/>
  <c r="J35" i="11"/>
  <c r="L35" i="11"/>
  <c r="N35" i="11"/>
  <c r="P35" i="11"/>
  <c r="R35" i="11"/>
  <c r="F43" i="11"/>
  <c r="L43" i="11"/>
  <c r="P43" i="11"/>
  <c r="D36" i="11"/>
  <c r="F36" i="11"/>
  <c r="H36" i="11"/>
  <c r="J36" i="11"/>
  <c r="L36" i="11"/>
  <c r="N36" i="11"/>
  <c r="P36" i="11"/>
  <c r="R36" i="11"/>
  <c r="V50" i="11"/>
  <c r="R57" i="11"/>
  <c r="R58" i="11"/>
  <c r="L72" i="11"/>
  <c r="L85" i="11" s="1"/>
  <c r="N72" i="11"/>
  <c r="N85" i="11" s="1"/>
  <c r="T72" i="11"/>
  <c r="V82" i="11"/>
  <c r="V83" i="11"/>
  <c r="N88" i="11"/>
  <c r="T99" i="11"/>
  <c r="T100" i="11"/>
  <c r="A105" i="11"/>
  <c r="A106" i="11" s="1"/>
  <c r="A116" i="11"/>
  <c r="A117" i="11" s="1"/>
  <c r="A118" i="11" s="1"/>
  <c r="A119" i="11" s="1"/>
  <c r="A120" i="11" s="1"/>
  <c r="A121" i="11" s="1"/>
  <c r="A122" i="11" s="1"/>
  <c r="T116" i="11"/>
  <c r="T124" i="11"/>
  <c r="B139" i="11"/>
  <c r="B205" i="11" s="1"/>
  <c r="B289" i="11" s="1"/>
  <c r="V152" i="11"/>
  <c r="V169" i="11"/>
  <c r="V170" i="11"/>
  <c r="V177" i="11"/>
  <c r="T210" i="11"/>
  <c r="R265" i="11"/>
  <c r="S263" i="11" s="1"/>
  <c r="T265" i="11"/>
  <c r="R277" i="11"/>
  <c r="T277" i="11"/>
  <c r="T226" i="11" s="1"/>
  <c r="T228" i="11"/>
  <c r="T230" i="11"/>
  <c r="R253" i="11"/>
  <c r="S246" i="11" s="1"/>
  <c r="T253" i="11"/>
  <c r="U244" i="11" s="1"/>
  <c r="U258" i="11"/>
  <c r="S277" i="11"/>
  <c r="U277" i="11"/>
  <c r="V114" i="10"/>
  <c r="V112" i="10"/>
  <c r="V108" i="10"/>
  <c r="V106" i="10"/>
  <c r="V92" i="10"/>
  <c r="V91" i="10"/>
  <c r="S189" i="10"/>
  <c r="V189" i="10" s="1"/>
  <c r="T90" i="10"/>
  <c r="T98" i="10" s="1"/>
  <c r="R69" i="10"/>
  <c r="P69" i="10"/>
  <c r="P72" i="10" s="1"/>
  <c r="P44" i="10"/>
  <c r="L44" i="10"/>
  <c r="F44" i="10"/>
  <c r="T229" i="10"/>
  <c r="D32" i="10"/>
  <c r="F32" i="10"/>
  <c r="H32" i="10"/>
  <c r="J32" i="10"/>
  <c r="L32" i="10"/>
  <c r="N32" i="10"/>
  <c r="P32" i="10"/>
  <c r="R32" i="10"/>
  <c r="D33" i="10"/>
  <c r="F33" i="10"/>
  <c r="H33" i="10"/>
  <c r="J33" i="10"/>
  <c r="L33" i="10"/>
  <c r="N33" i="10"/>
  <c r="P33" i="10"/>
  <c r="R33" i="10"/>
  <c r="V34" i="10"/>
  <c r="D35" i="10"/>
  <c r="F35" i="10"/>
  <c r="H35" i="10"/>
  <c r="J35" i="10"/>
  <c r="L35" i="10"/>
  <c r="N35" i="10"/>
  <c r="P35" i="10"/>
  <c r="R35" i="10"/>
  <c r="F43" i="10"/>
  <c r="L43" i="10"/>
  <c r="P43" i="10"/>
  <c r="D36" i="10"/>
  <c r="F36" i="10"/>
  <c r="H36" i="10"/>
  <c r="J36" i="10"/>
  <c r="L36" i="10"/>
  <c r="N36" i="10"/>
  <c r="P36" i="10"/>
  <c r="R36" i="10"/>
  <c r="V50" i="10"/>
  <c r="R57" i="10"/>
  <c r="R58" i="10"/>
  <c r="L72" i="10"/>
  <c r="L85" i="10" s="1"/>
  <c r="N72" i="10"/>
  <c r="N85" i="10" s="1"/>
  <c r="T72" i="10"/>
  <c r="V82" i="10"/>
  <c r="V83" i="10"/>
  <c r="N88" i="10"/>
  <c r="T99" i="10"/>
  <c r="T100" i="10"/>
  <c r="A105" i="10"/>
  <c r="A106" i="10" s="1"/>
  <c r="A116" i="10"/>
  <c r="A117" i="10" s="1"/>
  <c r="A118" i="10" s="1"/>
  <c r="A119" i="10" s="1"/>
  <c r="A120" i="10" s="1"/>
  <c r="A121" i="10" s="1"/>
  <c r="A122" i="10" s="1"/>
  <c r="T116" i="10"/>
  <c r="T124" i="10"/>
  <c r="B139" i="10"/>
  <c r="B204" i="10" s="1"/>
  <c r="B288" i="10" s="1"/>
  <c r="V152" i="10"/>
  <c r="V169" i="10"/>
  <c r="V170" i="10"/>
  <c r="V176" i="1"/>
  <c r="V175" i="3" s="1"/>
  <c r="V176" i="3"/>
  <c r="V176" i="4"/>
  <c r="V176" i="5"/>
  <c r="V176" i="6"/>
  <c r="V176" i="10"/>
  <c r="S188" i="1"/>
  <c r="S189" i="1" s="1"/>
  <c r="S189" i="6"/>
  <c r="S189" i="7"/>
  <c r="T189" i="1"/>
  <c r="T188" i="3" s="1"/>
  <c r="T190" i="3" s="1"/>
  <c r="T188" i="4" s="1"/>
  <c r="T190" i="4" s="1"/>
  <c r="T188" i="5" s="1"/>
  <c r="T190" i="5" s="1"/>
  <c r="T188" i="6" s="1"/>
  <c r="T190" i="6" s="1"/>
  <c r="T188" i="7" s="1"/>
  <c r="T190" i="7" s="1"/>
  <c r="T188" i="8" s="1"/>
  <c r="T190" i="8" s="1"/>
  <c r="T188" i="9" s="1"/>
  <c r="T190" i="9" s="1"/>
  <c r="T188" i="10" s="1"/>
  <c r="T190" i="10" s="1"/>
  <c r="T189" i="11" s="1"/>
  <c r="T191" i="11" s="1"/>
  <c r="T189" i="12" s="1"/>
  <c r="T191" i="12" s="1"/>
  <c r="T188" i="13" s="1"/>
  <c r="T190" i="13" s="1"/>
  <c r="T188" i="14" s="1"/>
  <c r="T190" i="14" s="1"/>
  <c r="T188" i="15" s="1"/>
  <c r="T190" i="15" s="1"/>
  <c r="T188" i="16" s="1"/>
  <c r="T190" i="16" s="1"/>
  <c r="T188" i="17" s="1"/>
  <c r="T190" i="17" s="1"/>
  <c r="T188" i="18" s="1"/>
  <c r="T190" i="18" s="1"/>
  <c r="T188" i="19" s="1"/>
  <c r="T190" i="19" s="1"/>
  <c r="T188" i="20" s="1"/>
  <c r="T190" i="20" s="1"/>
  <c r="T188" i="21" s="1"/>
  <c r="T190" i="21" s="1"/>
  <c r="T188" i="22" s="1"/>
  <c r="T190" i="22" s="1"/>
  <c r="T188" i="23" s="1"/>
  <c r="T190" i="23" s="1"/>
  <c r="T188" i="24" s="1"/>
  <c r="T190" i="24" s="1"/>
  <c r="T188" i="25" s="1"/>
  <c r="T190" i="25" s="1"/>
  <c r="T188" i="26" s="1"/>
  <c r="T190" i="26" s="1"/>
  <c r="T188" i="27" s="1"/>
  <c r="T190" i="27" s="1"/>
  <c r="T188" i="28" s="1"/>
  <c r="T190" i="28" s="1"/>
  <c r="T188" i="29" s="1"/>
  <c r="T190" i="29" s="1"/>
  <c r="T188" i="30" s="1"/>
  <c r="T190" i="30" s="1"/>
  <c r="T188" i="31" s="1"/>
  <c r="T190" i="31" s="1"/>
  <c r="T188" i="32" s="1"/>
  <c r="T190" i="32" s="1"/>
  <c r="T188" i="33" s="1"/>
  <c r="T190" i="33" s="1"/>
  <c r="T188" i="34" s="1"/>
  <c r="T190" i="34" s="1"/>
  <c r="T188" i="35" s="1"/>
  <c r="T190" i="35" s="1"/>
  <c r="T188" i="36" s="1"/>
  <c r="T190" i="36" s="1"/>
  <c r="T188" i="37" s="1"/>
  <c r="T190" i="37" s="1"/>
  <c r="T188" i="38" s="1"/>
  <c r="T190" i="38" s="1"/>
  <c r="T188" i="39" s="1"/>
  <c r="T190" i="39" s="1"/>
  <c r="T187" i="40" s="1"/>
  <c r="T189" i="40" s="1"/>
  <c r="T187" i="41" s="1"/>
  <c r="T189" i="41" s="1"/>
  <c r="T187" i="42" s="1"/>
  <c r="T189" i="42" s="1"/>
  <c r="T187" i="43" s="1"/>
  <c r="T189" i="43" s="1"/>
  <c r="T187" i="44" s="1"/>
  <c r="T189" i="44" s="1"/>
  <c r="T187" i="45" s="1"/>
  <c r="T189" i="45" s="1"/>
  <c r="T187" i="46" s="1"/>
  <c r="T189" i="46" s="1"/>
  <c r="T187" i="47" s="1"/>
  <c r="T189" i="47" s="1"/>
  <c r="T187" i="48" s="1"/>
  <c r="T189" i="48" s="1"/>
  <c r="T187" i="49" s="1"/>
  <c r="T189" i="49" s="1"/>
  <c r="T190" i="50" s="1"/>
  <c r="T192" i="50" s="1"/>
  <c r="T190" i="51" s="1"/>
  <c r="T192" i="51" s="1"/>
  <c r="T190" i="52" s="1"/>
  <c r="T209" i="10"/>
  <c r="R264" i="10"/>
  <c r="S262" i="10" s="1"/>
  <c r="T264" i="10"/>
  <c r="U262" i="10" s="1"/>
  <c r="R276" i="10"/>
  <c r="S225" i="10" s="1"/>
  <c r="T276" i="10"/>
  <c r="T225" i="10" s="1"/>
  <c r="T227" i="10"/>
  <c r="T229" i="8"/>
  <c r="T229" i="7"/>
  <c r="T229" i="6"/>
  <c r="T229" i="4"/>
  <c r="T228" i="1"/>
  <c r="T229" i="1" s="1"/>
  <c r="T229" i="9"/>
  <c r="R252" i="10"/>
  <c r="S247" i="10" s="1"/>
  <c r="T252" i="10"/>
  <c r="U249" i="10" s="1"/>
  <c r="U257" i="10"/>
  <c r="U259" i="10"/>
  <c r="S276" i="10"/>
  <c r="U276" i="10"/>
  <c r="T276" i="9"/>
  <c r="U270" i="9" s="1"/>
  <c r="R276" i="9"/>
  <c r="S270" i="9" s="1"/>
  <c r="P69" i="9"/>
  <c r="V113" i="9"/>
  <c r="V111" i="9"/>
  <c r="V108" i="9"/>
  <c r="V106" i="9"/>
  <c r="V92" i="9"/>
  <c r="V91" i="9"/>
  <c r="S189" i="9"/>
  <c r="V189" i="9" s="1"/>
  <c r="T90" i="9"/>
  <c r="T98" i="9" s="1"/>
  <c r="R69" i="9"/>
  <c r="R72" i="9" s="1"/>
  <c r="P44" i="9"/>
  <c r="P43" i="9"/>
  <c r="L44" i="9"/>
  <c r="L43" i="9"/>
  <c r="F44" i="9"/>
  <c r="D32" i="9"/>
  <c r="F32" i="9"/>
  <c r="H32" i="9"/>
  <c r="J32" i="9"/>
  <c r="L32" i="9"/>
  <c r="N32" i="9"/>
  <c r="P32" i="9"/>
  <c r="R32" i="9"/>
  <c r="D33" i="9"/>
  <c r="F33" i="9"/>
  <c r="H33" i="9"/>
  <c r="J33" i="9"/>
  <c r="L33" i="9"/>
  <c r="N33" i="9"/>
  <c r="P33" i="9"/>
  <c r="R33" i="9"/>
  <c r="V34" i="9"/>
  <c r="V143" i="9" s="1"/>
  <c r="D35" i="9"/>
  <c r="F35" i="9"/>
  <c r="V35" i="9" s="1"/>
  <c r="V43" i="9" s="1"/>
  <c r="T211" i="9" s="1"/>
  <c r="T212" i="9" s="1"/>
  <c r="H35" i="9"/>
  <c r="J35" i="9"/>
  <c r="L35" i="9"/>
  <c r="N35" i="9"/>
  <c r="P35" i="9"/>
  <c r="R35" i="9"/>
  <c r="F43" i="9"/>
  <c r="D36" i="9"/>
  <c r="F36" i="9"/>
  <c r="H36" i="9"/>
  <c r="J36" i="9"/>
  <c r="L36" i="9"/>
  <c r="N36" i="9"/>
  <c r="P36" i="9"/>
  <c r="R36" i="9"/>
  <c r="V50" i="9"/>
  <c r="R57" i="9"/>
  <c r="R58" i="9"/>
  <c r="L72" i="9"/>
  <c r="L85" i="9" s="1"/>
  <c r="N72" i="9"/>
  <c r="N85" i="9" s="1"/>
  <c r="T72" i="9"/>
  <c r="V82" i="9"/>
  <c r="V83" i="9"/>
  <c r="N88" i="9"/>
  <c r="T99" i="9"/>
  <c r="T100" i="9"/>
  <c r="T124" i="9"/>
  <c r="T116" i="9"/>
  <c r="A105" i="9"/>
  <c r="A106" i="9" s="1"/>
  <c r="A116" i="9"/>
  <c r="A117" i="9" s="1"/>
  <c r="A118" i="9" s="1"/>
  <c r="A119" i="9" s="1"/>
  <c r="A120" i="9" s="1"/>
  <c r="A121" i="9" s="1"/>
  <c r="A122" i="9" s="1"/>
  <c r="B139" i="9"/>
  <c r="B204" i="9" s="1"/>
  <c r="B288" i="9" s="1"/>
  <c r="V152" i="9"/>
  <c r="V169" i="9"/>
  <c r="V170" i="9"/>
  <c r="V176" i="9"/>
  <c r="T209" i="9"/>
  <c r="R264" i="9"/>
  <c r="T264" i="9"/>
  <c r="U257" i="9" s="1"/>
  <c r="T227" i="9"/>
  <c r="R252" i="9"/>
  <c r="S243" i="9" s="1"/>
  <c r="T252" i="9"/>
  <c r="F43" i="8"/>
  <c r="F44" i="8"/>
  <c r="D32" i="8"/>
  <c r="F32" i="8"/>
  <c r="H32" i="8"/>
  <c r="J32" i="8"/>
  <c r="L32" i="8"/>
  <c r="N32" i="8"/>
  <c r="P32" i="8"/>
  <c r="R32" i="8"/>
  <c r="D33" i="8"/>
  <c r="F33" i="8"/>
  <c r="H33" i="8"/>
  <c r="J33" i="8"/>
  <c r="L33" i="8"/>
  <c r="N33" i="8"/>
  <c r="P33" i="8"/>
  <c r="R33" i="8"/>
  <c r="V34" i="8"/>
  <c r="V143" i="8" s="1"/>
  <c r="D35" i="8"/>
  <c r="F35" i="8"/>
  <c r="H35" i="8"/>
  <c r="J35" i="8"/>
  <c r="L35" i="8"/>
  <c r="N35" i="8"/>
  <c r="P35" i="8"/>
  <c r="R35" i="8"/>
  <c r="D36" i="8"/>
  <c r="F36" i="8"/>
  <c r="H36" i="8"/>
  <c r="J36" i="8"/>
  <c r="L36" i="8"/>
  <c r="N36" i="8"/>
  <c r="P36" i="8"/>
  <c r="R36" i="8"/>
  <c r="V50" i="8"/>
  <c r="R57" i="8"/>
  <c r="R58" i="8"/>
  <c r="V69" i="8"/>
  <c r="V72" i="8" s="1"/>
  <c r="L72" i="8"/>
  <c r="L85" i="8" s="1"/>
  <c r="N72" i="8"/>
  <c r="N85" i="8" s="1"/>
  <c r="P72" i="8"/>
  <c r="R72" i="8"/>
  <c r="T72" i="8"/>
  <c r="V82" i="8"/>
  <c r="V83" i="8"/>
  <c r="N88" i="8"/>
  <c r="T98" i="8"/>
  <c r="V98" i="8"/>
  <c r="V102" i="8" s="1"/>
  <c r="V122" i="8" s="1"/>
  <c r="V135" i="8" s="1"/>
  <c r="V136" i="8" s="1"/>
  <c r="T99" i="8"/>
  <c r="T100" i="8"/>
  <c r="A105" i="8"/>
  <c r="A106" i="8" s="1"/>
  <c r="A116" i="8"/>
  <c r="A117" i="8" s="1"/>
  <c r="A118" i="8" s="1"/>
  <c r="A119" i="8" s="1"/>
  <c r="A120" i="8" s="1"/>
  <c r="A121" i="8" s="1"/>
  <c r="A122" i="8" s="1"/>
  <c r="T116" i="8"/>
  <c r="T124" i="8"/>
  <c r="T126" i="8"/>
  <c r="T135" i="8" s="1"/>
  <c r="B139" i="8"/>
  <c r="B204" i="8" s="1"/>
  <c r="B288" i="8" s="1"/>
  <c r="V152" i="8"/>
  <c r="V169" i="8"/>
  <c r="V170" i="8"/>
  <c r="V176" i="8"/>
  <c r="V189" i="8"/>
  <c r="T209" i="8"/>
  <c r="T219" i="8"/>
  <c r="R264" i="8"/>
  <c r="T264" i="8"/>
  <c r="U260" i="8" s="1"/>
  <c r="T227" i="8"/>
  <c r="R252" i="8"/>
  <c r="S249" i="8" s="1"/>
  <c r="T252" i="8"/>
  <c r="U246" i="8" s="1"/>
  <c r="R276" i="8"/>
  <c r="S276" i="8"/>
  <c r="T276" i="8"/>
  <c r="U276" i="8"/>
  <c r="P69" i="7"/>
  <c r="P72" i="7" s="1"/>
  <c r="V114" i="7"/>
  <c r="V112" i="7"/>
  <c r="V108" i="7"/>
  <c r="V106" i="7"/>
  <c r="V92" i="7"/>
  <c r="V91" i="7"/>
  <c r="T90" i="7"/>
  <c r="T98" i="7" s="1"/>
  <c r="R69" i="7"/>
  <c r="P44" i="7"/>
  <c r="L44" i="7"/>
  <c r="F44" i="7"/>
  <c r="D35" i="7"/>
  <c r="F35" i="7"/>
  <c r="H35" i="7"/>
  <c r="J35" i="7"/>
  <c r="L35" i="7"/>
  <c r="N35" i="7"/>
  <c r="P35" i="7"/>
  <c r="R35" i="7"/>
  <c r="F43" i="7"/>
  <c r="D32" i="7"/>
  <c r="F32" i="7"/>
  <c r="H32" i="7"/>
  <c r="J32" i="7"/>
  <c r="L32" i="7"/>
  <c r="N32" i="7"/>
  <c r="P32" i="7"/>
  <c r="R32" i="7"/>
  <c r="D33" i="7"/>
  <c r="F33" i="7"/>
  <c r="H33" i="7"/>
  <c r="J33" i="7"/>
  <c r="L33" i="7"/>
  <c r="N33" i="7"/>
  <c r="P33" i="7"/>
  <c r="R33" i="7"/>
  <c r="V34" i="7"/>
  <c r="V143" i="7" s="1"/>
  <c r="D36" i="7"/>
  <c r="F36" i="7"/>
  <c r="H36" i="7"/>
  <c r="J36" i="7"/>
  <c r="L36" i="7"/>
  <c r="N36" i="7"/>
  <c r="P36" i="7"/>
  <c r="R36" i="7"/>
  <c r="V50" i="7"/>
  <c r="R57" i="7"/>
  <c r="R58" i="7"/>
  <c r="L72" i="7"/>
  <c r="L85" i="7" s="1"/>
  <c r="N72" i="7"/>
  <c r="R72" i="7"/>
  <c r="T72" i="7"/>
  <c r="V82" i="7"/>
  <c r="V83" i="7"/>
  <c r="N88" i="7"/>
  <c r="T99" i="7"/>
  <c r="T100" i="7"/>
  <c r="A105" i="7"/>
  <c r="A106" i="7" s="1"/>
  <c r="A116" i="7"/>
  <c r="A117" i="7" s="1"/>
  <c r="A118" i="7" s="1"/>
  <c r="A119" i="7" s="1"/>
  <c r="A120" i="7" s="1"/>
  <c r="A121" i="7" s="1"/>
  <c r="A122" i="7" s="1"/>
  <c r="T116" i="7"/>
  <c r="T124" i="7"/>
  <c r="B139" i="7"/>
  <c r="B204" i="7" s="1"/>
  <c r="B288" i="7" s="1"/>
  <c r="V152" i="7"/>
  <c r="V169" i="7"/>
  <c r="V170" i="7"/>
  <c r="V176" i="7"/>
  <c r="T209" i="7"/>
  <c r="R264" i="7"/>
  <c r="T264" i="7"/>
  <c r="T224" i="7" s="1"/>
  <c r="T227" i="7"/>
  <c r="R252" i="7"/>
  <c r="S248" i="7" s="1"/>
  <c r="T252" i="7"/>
  <c r="U255" i="7"/>
  <c r="R276" i="7"/>
  <c r="S276" i="7"/>
  <c r="T276" i="7"/>
  <c r="U276" i="7"/>
  <c r="V91" i="6"/>
  <c r="V114" i="6"/>
  <c r="V112" i="6"/>
  <c r="V108" i="6"/>
  <c r="V106" i="6"/>
  <c r="V94" i="6"/>
  <c r="V92" i="6"/>
  <c r="T90" i="6"/>
  <c r="T98" i="6" s="1"/>
  <c r="R69" i="6"/>
  <c r="R72" i="6" s="1"/>
  <c r="P69" i="6"/>
  <c r="P44" i="6"/>
  <c r="L44" i="6"/>
  <c r="F44" i="6"/>
  <c r="D35" i="6"/>
  <c r="F35" i="6"/>
  <c r="H35" i="6"/>
  <c r="J35" i="6"/>
  <c r="L35" i="6"/>
  <c r="N35" i="6"/>
  <c r="P35" i="6"/>
  <c r="R35" i="6"/>
  <c r="F43" i="6"/>
  <c r="L43" i="6"/>
  <c r="P43" i="6"/>
  <c r="D36" i="6"/>
  <c r="F36" i="6"/>
  <c r="H36" i="6"/>
  <c r="J36" i="6"/>
  <c r="L36" i="6"/>
  <c r="N36" i="6"/>
  <c r="P36" i="6"/>
  <c r="R36" i="6"/>
  <c r="D32" i="6"/>
  <c r="F32" i="6"/>
  <c r="H32" i="6"/>
  <c r="J32" i="6"/>
  <c r="L32" i="6"/>
  <c r="N32" i="6"/>
  <c r="P32" i="6"/>
  <c r="R32" i="6"/>
  <c r="D33" i="6"/>
  <c r="F33" i="6"/>
  <c r="H33" i="6"/>
  <c r="J33" i="6"/>
  <c r="L33" i="6"/>
  <c r="N33" i="6"/>
  <c r="P33" i="6"/>
  <c r="R33" i="6"/>
  <c r="V34" i="6"/>
  <c r="V50" i="6"/>
  <c r="R57" i="6"/>
  <c r="R58" i="6"/>
  <c r="L72" i="6"/>
  <c r="L85" i="6" s="1"/>
  <c r="N72" i="6"/>
  <c r="N85" i="6" s="1"/>
  <c r="T72" i="6"/>
  <c r="V82" i="6"/>
  <c r="V83" i="6"/>
  <c r="N88" i="6"/>
  <c r="T99" i="6"/>
  <c r="T100" i="6"/>
  <c r="T124" i="6"/>
  <c r="T116" i="6"/>
  <c r="A105" i="6"/>
  <c r="A106" i="6" s="1"/>
  <c r="A116" i="6"/>
  <c r="A117" i="6" s="1"/>
  <c r="A118" i="6" s="1"/>
  <c r="A119" i="6" s="1"/>
  <c r="A120" i="6" s="1"/>
  <c r="A121" i="6" s="1"/>
  <c r="A122" i="6" s="1"/>
  <c r="B139" i="6"/>
  <c r="B204" i="6" s="1"/>
  <c r="B288" i="6" s="1"/>
  <c r="V152" i="6"/>
  <c r="V169" i="6"/>
  <c r="V170" i="6"/>
  <c r="T209" i="6"/>
  <c r="R264" i="6"/>
  <c r="T264" i="6"/>
  <c r="T227" i="6"/>
  <c r="R252" i="6"/>
  <c r="S243" i="6" s="1"/>
  <c r="T252" i="6"/>
  <c r="U246" i="6" s="1"/>
  <c r="R276" i="6"/>
  <c r="T276" i="6"/>
  <c r="S276" i="6"/>
  <c r="U276" i="6"/>
  <c r="V106" i="5"/>
  <c r="D36" i="5"/>
  <c r="F36" i="5"/>
  <c r="H36" i="5"/>
  <c r="J36" i="5"/>
  <c r="L36" i="5"/>
  <c r="N36" i="5"/>
  <c r="P36" i="5"/>
  <c r="R36" i="5"/>
  <c r="P69" i="5"/>
  <c r="T219" i="5" s="1"/>
  <c r="V94" i="5"/>
  <c r="V92" i="5"/>
  <c r="V98" i="5" s="1"/>
  <c r="V102" i="5" s="1"/>
  <c r="R69" i="5"/>
  <c r="P44" i="5"/>
  <c r="L44" i="5"/>
  <c r="F44" i="5"/>
  <c r="D32" i="5"/>
  <c r="F32" i="5"/>
  <c r="H32" i="5"/>
  <c r="J32" i="5"/>
  <c r="L32" i="5"/>
  <c r="N32" i="5"/>
  <c r="P32" i="5"/>
  <c r="R32" i="5"/>
  <c r="D33" i="5"/>
  <c r="F33" i="5"/>
  <c r="H33" i="5"/>
  <c r="J33" i="5"/>
  <c r="L33" i="5"/>
  <c r="N33" i="5"/>
  <c r="P33" i="5"/>
  <c r="R33" i="5"/>
  <c r="V34" i="5"/>
  <c r="D35" i="5"/>
  <c r="F35" i="5"/>
  <c r="H35" i="5"/>
  <c r="J35" i="5"/>
  <c r="L35" i="5"/>
  <c r="N35" i="5"/>
  <c r="P35" i="5"/>
  <c r="R35" i="5"/>
  <c r="F43" i="5"/>
  <c r="L43" i="5"/>
  <c r="P43" i="5"/>
  <c r="V50" i="5"/>
  <c r="R57" i="5"/>
  <c r="R58" i="5"/>
  <c r="L72" i="5"/>
  <c r="L85" i="5" s="1"/>
  <c r="N72" i="5"/>
  <c r="N85" i="5" s="1"/>
  <c r="R72" i="5"/>
  <c r="T72" i="5"/>
  <c r="V82" i="5"/>
  <c r="V83" i="5"/>
  <c r="N88" i="5"/>
  <c r="T98" i="5"/>
  <c r="T99" i="5"/>
  <c r="T100" i="5"/>
  <c r="T124" i="5"/>
  <c r="T126" i="5"/>
  <c r="T116" i="5"/>
  <c r="V168" i="5" s="1"/>
  <c r="V169" i="5" s="1"/>
  <c r="A105" i="5"/>
  <c r="A106" i="5" s="1"/>
  <c r="A116" i="5"/>
  <c r="A117" i="5" s="1"/>
  <c r="A118" i="5" s="1"/>
  <c r="A119" i="5" s="1"/>
  <c r="A120" i="5" s="1"/>
  <c r="A121" i="5" s="1"/>
  <c r="A122" i="5" s="1"/>
  <c r="B139" i="5"/>
  <c r="B204" i="5" s="1"/>
  <c r="B288" i="5" s="1"/>
  <c r="V143" i="5"/>
  <c r="V152" i="5"/>
  <c r="V170" i="5"/>
  <c r="S187" i="5"/>
  <c r="V189" i="5"/>
  <c r="T209" i="5"/>
  <c r="R264" i="5"/>
  <c r="T264" i="5"/>
  <c r="U257" i="5" s="1"/>
  <c r="T227" i="5"/>
  <c r="R252" i="5"/>
  <c r="T252" i="5"/>
  <c r="U248" i="5" s="1"/>
  <c r="R276" i="5"/>
  <c r="S269" i="5" s="1"/>
  <c r="T276" i="5"/>
  <c r="D35" i="4"/>
  <c r="F35" i="4"/>
  <c r="H35" i="4"/>
  <c r="J35" i="4"/>
  <c r="L35" i="4"/>
  <c r="N35" i="4"/>
  <c r="P35" i="4"/>
  <c r="R35" i="4"/>
  <c r="F43" i="4"/>
  <c r="L43" i="4"/>
  <c r="P43" i="4"/>
  <c r="D36" i="4"/>
  <c r="F36" i="4"/>
  <c r="H36" i="4"/>
  <c r="J36" i="4"/>
  <c r="L36" i="4"/>
  <c r="N36" i="4"/>
  <c r="P36" i="4"/>
  <c r="R36" i="4"/>
  <c r="V106" i="4"/>
  <c r="V94" i="4"/>
  <c r="V92" i="4"/>
  <c r="V91" i="4"/>
  <c r="T90" i="4"/>
  <c r="T98" i="4" s="1"/>
  <c r="R69" i="4"/>
  <c r="P69" i="4"/>
  <c r="P44" i="4"/>
  <c r="L44" i="4"/>
  <c r="F44" i="4"/>
  <c r="D32" i="4"/>
  <c r="F32" i="4"/>
  <c r="H32" i="4"/>
  <c r="J32" i="4"/>
  <c r="L32" i="4"/>
  <c r="N32" i="4"/>
  <c r="P32" i="4"/>
  <c r="R32" i="4"/>
  <c r="D33" i="4"/>
  <c r="F33" i="4"/>
  <c r="H33" i="4"/>
  <c r="J33" i="4"/>
  <c r="L33" i="4"/>
  <c r="N33" i="4"/>
  <c r="P33" i="4"/>
  <c r="R33" i="4"/>
  <c r="V34" i="4"/>
  <c r="S187" i="4" s="1"/>
  <c r="V50" i="4"/>
  <c r="R57" i="4"/>
  <c r="R58" i="4"/>
  <c r="L72" i="4"/>
  <c r="L85" i="4" s="1"/>
  <c r="N72" i="4"/>
  <c r="N85" i="4" s="1"/>
  <c r="R72" i="4"/>
  <c r="T72" i="4"/>
  <c r="V82" i="4"/>
  <c r="V83" i="4"/>
  <c r="N88" i="4"/>
  <c r="T99" i="4"/>
  <c r="T100" i="4"/>
  <c r="T124" i="4"/>
  <c r="T126" i="4"/>
  <c r="T116" i="4"/>
  <c r="A105" i="4"/>
  <c r="A106" i="4" s="1"/>
  <c r="A116" i="4"/>
  <c r="A117" i="4" s="1"/>
  <c r="A118" i="4" s="1"/>
  <c r="A119" i="4" s="1"/>
  <c r="A120" i="4" s="1"/>
  <c r="A121" i="4" s="1"/>
  <c r="A122" i="4" s="1"/>
  <c r="B139" i="4"/>
  <c r="B204" i="4" s="1"/>
  <c r="B288" i="4" s="1"/>
  <c r="V152" i="4"/>
  <c r="V169" i="4"/>
  <c r="V170" i="4"/>
  <c r="V189" i="4"/>
  <c r="T209" i="4"/>
  <c r="R264" i="4"/>
  <c r="S256" i="4" s="1"/>
  <c r="T264" i="4"/>
  <c r="U261" i="4" s="1"/>
  <c r="T227" i="4"/>
  <c r="R252" i="4"/>
  <c r="T252" i="4"/>
  <c r="U244" i="4" s="1"/>
  <c r="R276" i="4"/>
  <c r="S273" i="4" s="1"/>
  <c r="T276" i="4"/>
  <c r="U271" i="4" s="1"/>
  <c r="P69" i="3"/>
  <c r="V92" i="3"/>
  <c r="V94" i="3"/>
  <c r="N72" i="3"/>
  <c r="N85" i="3" s="1"/>
  <c r="V152" i="3"/>
  <c r="D36" i="3"/>
  <c r="F36" i="3"/>
  <c r="H36" i="3"/>
  <c r="J36" i="3"/>
  <c r="L36" i="3"/>
  <c r="N36" i="3"/>
  <c r="P36" i="3"/>
  <c r="R36" i="3"/>
  <c r="F43" i="3"/>
  <c r="L43" i="3"/>
  <c r="P43" i="3"/>
  <c r="D35" i="3"/>
  <c r="F35" i="3"/>
  <c r="H35" i="3"/>
  <c r="J35" i="3"/>
  <c r="L35" i="3"/>
  <c r="N35" i="3"/>
  <c r="P35" i="3"/>
  <c r="R35" i="3"/>
  <c r="V106" i="3"/>
  <c r="R69" i="3"/>
  <c r="R57" i="3"/>
  <c r="P44" i="3"/>
  <c r="L44" i="3"/>
  <c r="F44" i="3"/>
  <c r="R32" i="3"/>
  <c r="P32" i="3"/>
  <c r="N32" i="3"/>
  <c r="L32" i="3"/>
  <c r="J32" i="3"/>
  <c r="H32" i="3"/>
  <c r="F32" i="3"/>
  <c r="D32" i="3"/>
  <c r="T276" i="3"/>
  <c r="U268" i="3" s="1"/>
  <c r="R276" i="3"/>
  <c r="T264" i="3"/>
  <c r="U259" i="3" s="1"/>
  <c r="R264" i="3"/>
  <c r="D33" i="3"/>
  <c r="F33" i="3"/>
  <c r="H33" i="3"/>
  <c r="J33" i="3"/>
  <c r="L33" i="3"/>
  <c r="N33" i="3"/>
  <c r="P33" i="3"/>
  <c r="R33" i="3"/>
  <c r="V34" i="3"/>
  <c r="V50" i="3"/>
  <c r="R58" i="3"/>
  <c r="L72" i="3"/>
  <c r="L85" i="3" s="1"/>
  <c r="T72" i="3"/>
  <c r="V82" i="3"/>
  <c r="V83" i="3"/>
  <c r="N88" i="3"/>
  <c r="T99" i="3"/>
  <c r="T100" i="3"/>
  <c r="A105" i="3"/>
  <c r="A106" i="3" s="1"/>
  <c r="A116" i="3"/>
  <c r="A117" i="3" s="1"/>
  <c r="A118" i="3" s="1"/>
  <c r="A119" i="3" s="1"/>
  <c r="A120" i="3" s="1"/>
  <c r="A121" i="3" s="1"/>
  <c r="A122" i="3" s="1"/>
  <c r="T116" i="3"/>
  <c r="V168" i="3" s="1"/>
  <c r="T124" i="3"/>
  <c r="T126" i="3"/>
  <c r="B139" i="3"/>
  <c r="B204" i="3" s="1"/>
  <c r="B288" i="3" s="1"/>
  <c r="V170" i="3"/>
  <c r="V189" i="3"/>
  <c r="T209" i="3"/>
  <c r="T227" i="3"/>
  <c r="R252" i="3"/>
  <c r="S248" i="3" s="1"/>
  <c r="T252" i="3"/>
  <c r="U243" i="3" s="1"/>
  <c r="U255" i="3"/>
  <c r="T98" i="1"/>
  <c r="T100" i="1"/>
  <c r="T99" i="1"/>
  <c r="T123" i="1"/>
  <c r="T115" i="1"/>
  <c r="F43" i="1"/>
  <c r="L43" i="1"/>
  <c r="P43" i="1"/>
  <c r="V34" i="1"/>
  <c r="V142" i="1" s="1"/>
  <c r="V151" i="1" s="1"/>
  <c r="D36" i="1"/>
  <c r="F36" i="1"/>
  <c r="H36" i="1"/>
  <c r="J36" i="1"/>
  <c r="L36" i="1"/>
  <c r="N36" i="1"/>
  <c r="P36" i="1"/>
  <c r="R36" i="1"/>
  <c r="V91" i="1"/>
  <c r="V92" i="1"/>
  <c r="V95" i="1"/>
  <c r="V103" i="1"/>
  <c r="V105" i="1"/>
  <c r="V50" i="1"/>
  <c r="V169" i="1"/>
  <c r="P69" i="1"/>
  <c r="P72" i="1" s="1"/>
  <c r="R69" i="1"/>
  <c r="V70" i="1"/>
  <c r="D33" i="1"/>
  <c r="T226" i="1"/>
  <c r="S186" i="1"/>
  <c r="V82" i="1"/>
  <c r="L72" i="1"/>
  <c r="L85" i="1" s="1"/>
  <c r="A115" i="1"/>
  <c r="A116" i="1" s="1"/>
  <c r="A117" i="1" s="1"/>
  <c r="A118" i="1" s="1"/>
  <c r="A119" i="1" s="1"/>
  <c r="A120" i="1" s="1"/>
  <c r="A121" i="1" s="1"/>
  <c r="P33" i="1"/>
  <c r="R33" i="1"/>
  <c r="J33" i="1"/>
  <c r="F33" i="1"/>
  <c r="T275" i="1"/>
  <c r="T263" i="1"/>
  <c r="T251" i="1"/>
  <c r="U245" i="1" s="1"/>
  <c r="R275" i="1"/>
  <c r="R263" i="1"/>
  <c r="S223" i="1" s="1"/>
  <c r="R251" i="1"/>
  <c r="S247" i="1" s="1"/>
  <c r="V35" i="1"/>
  <c r="V83" i="1"/>
  <c r="N33" i="1"/>
  <c r="L33" i="1"/>
  <c r="H33" i="1"/>
  <c r="N88" i="1"/>
  <c r="U275" i="1"/>
  <c r="S275" i="1"/>
  <c r="N72" i="1"/>
  <c r="N85" i="1"/>
  <c r="S254" i="1"/>
  <c r="U258" i="1"/>
  <c r="U242" i="1"/>
  <c r="U243" i="1"/>
  <c r="U244" i="1"/>
  <c r="U247" i="1"/>
  <c r="U248" i="1"/>
  <c r="A104" i="1"/>
  <c r="A105" i="1" s="1"/>
  <c r="R58" i="1"/>
  <c r="V187" i="1"/>
  <c r="T72" i="1"/>
  <c r="B138" i="1"/>
  <c r="B203" i="1" s="1"/>
  <c r="B287" i="1" s="1"/>
  <c r="V168" i="1"/>
  <c r="S261" i="4"/>
  <c r="S260" i="4"/>
  <c r="S257" i="4"/>
  <c r="U273" i="16"/>
  <c r="U261" i="16"/>
  <c r="U250" i="3"/>
  <c r="U247" i="3"/>
  <c r="U246" i="3"/>
  <c r="S269" i="4"/>
  <c r="U248" i="4"/>
  <c r="S250" i="13"/>
  <c r="S248" i="13"/>
  <c r="S246" i="13"/>
  <c r="S244" i="13"/>
  <c r="S262" i="14"/>
  <c r="S260" i="14"/>
  <c r="S258" i="14"/>
  <c r="S256" i="14"/>
  <c r="S260" i="16"/>
  <c r="S258" i="16"/>
  <c r="T101" i="17"/>
  <c r="S247" i="9"/>
  <c r="S246" i="9"/>
  <c r="S244" i="9"/>
  <c r="U271" i="9"/>
  <c r="S259" i="12"/>
  <c r="S258" i="12"/>
  <c r="S257" i="12"/>
  <c r="S256" i="12"/>
  <c r="S259" i="14"/>
  <c r="S250" i="4"/>
  <c r="U262" i="17"/>
  <c r="U261" i="17"/>
  <c r="U259" i="17"/>
  <c r="U258" i="17"/>
  <c r="U257" i="17"/>
  <c r="T126" i="9"/>
  <c r="P72" i="12"/>
  <c r="V188" i="1"/>
  <c r="U247" i="11"/>
  <c r="S243" i="5"/>
  <c r="S246" i="5"/>
  <c r="V142" i="13"/>
  <c r="S187" i="13"/>
  <c r="S255" i="17"/>
  <c r="S259" i="17"/>
  <c r="S262" i="17"/>
  <c r="U255" i="13"/>
  <c r="U257" i="13"/>
  <c r="U259" i="13"/>
  <c r="U261" i="13"/>
  <c r="U258" i="13"/>
  <c r="T224" i="13"/>
  <c r="U260" i="13"/>
  <c r="U244" i="7"/>
  <c r="V69" i="7"/>
  <c r="V72" i="7" s="1"/>
  <c r="T125" i="1"/>
  <c r="T134" i="1" s="1"/>
  <c r="T278" i="7"/>
  <c r="T224" i="8"/>
  <c r="S187" i="9"/>
  <c r="T126" i="10"/>
  <c r="U256" i="13"/>
  <c r="U255" i="1"/>
  <c r="T224" i="3"/>
  <c r="U256" i="3"/>
  <c r="U258" i="3"/>
  <c r="U260" i="3"/>
  <c r="U262" i="3"/>
  <c r="S244" i="6"/>
  <c r="S225" i="9"/>
  <c r="T126" i="7"/>
  <c r="T135" i="7" s="1"/>
  <c r="V189" i="7"/>
  <c r="S262" i="11"/>
  <c r="T225" i="13"/>
  <c r="S187" i="16"/>
  <c r="T225" i="17"/>
  <c r="T290" i="17"/>
  <c r="S259" i="18"/>
  <c r="S258" i="18"/>
  <c r="S260" i="18"/>
  <c r="S262" i="18"/>
  <c r="T213" i="18"/>
  <c r="V195" i="18"/>
  <c r="U261" i="3"/>
  <c r="U257" i="3"/>
  <c r="P72" i="5"/>
  <c r="S249" i="6"/>
  <c r="S274" i="9"/>
  <c r="S258" i="10"/>
  <c r="S257" i="11"/>
  <c r="S261" i="12"/>
  <c r="S263" i="12"/>
  <c r="T225" i="14"/>
  <c r="T224" i="15"/>
  <c r="U272" i="15"/>
  <c r="U274" i="15"/>
  <c r="S249" i="9"/>
  <c r="S262" i="12"/>
  <c r="S225" i="12"/>
  <c r="U267" i="14"/>
  <c r="U269" i="14"/>
  <c r="U271" i="14"/>
  <c r="U273" i="14"/>
  <c r="T224" i="14"/>
  <c r="S225" i="18"/>
  <c r="T224" i="17"/>
  <c r="U267" i="17"/>
  <c r="U269" i="17"/>
  <c r="U271" i="17"/>
  <c r="U273" i="17"/>
  <c r="S224" i="18"/>
  <c r="S268" i="18"/>
  <c r="S270" i="18"/>
  <c r="S272" i="18"/>
  <c r="S274" i="18"/>
  <c r="S268" i="16"/>
  <c r="S272" i="16"/>
  <c r="S267" i="16"/>
  <c r="S271" i="16"/>
  <c r="S188" i="3"/>
  <c r="S190" i="3" s="1"/>
  <c r="S250" i="6"/>
  <c r="U261" i="12"/>
  <c r="U256" i="12"/>
  <c r="S224" i="13"/>
  <c r="S255" i="13"/>
  <c r="S257" i="13"/>
  <c r="U261" i="5"/>
  <c r="S243" i="13"/>
  <c r="S247" i="13"/>
  <c r="S261" i="14"/>
  <c r="R290" i="16"/>
  <c r="S273" i="16"/>
  <c r="U274" i="17"/>
  <c r="S187" i="17"/>
  <c r="U256" i="18"/>
  <c r="S267" i="18"/>
  <c r="S271" i="18"/>
  <c r="U274" i="19"/>
  <c r="U273" i="19"/>
  <c r="U272" i="19"/>
  <c r="U271" i="19"/>
  <c r="U270" i="19"/>
  <c r="U269" i="19"/>
  <c r="U268" i="19"/>
  <c r="U267" i="19"/>
  <c r="U262" i="19"/>
  <c r="U261" i="19"/>
  <c r="U260" i="19"/>
  <c r="U258" i="19"/>
  <c r="U257" i="19"/>
  <c r="U256" i="19"/>
  <c r="S273" i="19"/>
  <c r="S269" i="19"/>
  <c r="S271" i="19"/>
  <c r="U261" i="6"/>
  <c r="U260" i="6"/>
  <c r="S259" i="6"/>
  <c r="U257" i="6"/>
  <c r="U256" i="6"/>
  <c r="U262" i="7"/>
  <c r="U260" i="7"/>
  <c r="U258" i="7"/>
  <c r="S248" i="9"/>
  <c r="U261" i="10"/>
  <c r="U260" i="10"/>
  <c r="U258" i="10"/>
  <c r="U255" i="10"/>
  <c r="R72" i="10"/>
  <c r="U261" i="11"/>
  <c r="U260" i="11"/>
  <c r="U257" i="11"/>
  <c r="P72" i="11"/>
  <c r="U257" i="12"/>
  <c r="S188" i="12"/>
  <c r="U274" i="14"/>
  <c r="U272" i="14"/>
  <c r="U270" i="14"/>
  <c r="U269" i="15"/>
  <c r="S255" i="15"/>
  <c r="S257" i="15"/>
  <c r="S224" i="15"/>
  <c r="S267" i="15"/>
  <c r="S255" i="16"/>
  <c r="S224" i="19"/>
  <c r="S268" i="19"/>
  <c r="S270" i="19"/>
  <c r="S272" i="19"/>
  <c r="S274" i="19"/>
  <c r="U270" i="17"/>
  <c r="U272" i="17"/>
  <c r="S255" i="18"/>
  <c r="S256" i="18"/>
  <c r="T290" i="18"/>
  <c r="V68" i="20"/>
  <c r="V71" i="20" s="1"/>
  <c r="T290" i="20"/>
  <c r="U259" i="20"/>
  <c r="S261" i="20"/>
  <c r="S255" i="20"/>
  <c r="S256" i="20"/>
  <c r="S257" i="20"/>
  <c r="S258" i="20"/>
  <c r="S259" i="20"/>
  <c r="S260" i="20"/>
  <c r="S262" i="20"/>
  <c r="P71" i="21"/>
  <c r="V142" i="21"/>
  <c r="U257" i="21"/>
  <c r="S255" i="21"/>
  <c r="S258" i="21"/>
  <c r="S259" i="21"/>
  <c r="S260" i="21"/>
  <c r="S261" i="21"/>
  <c r="S262" i="21"/>
  <c r="P71" i="22"/>
  <c r="S187" i="22"/>
  <c r="V170" i="22"/>
  <c r="T290" i="22"/>
  <c r="V68" i="23"/>
  <c r="V71" i="23" s="1"/>
  <c r="V84" i="23" s="1"/>
  <c r="V183" i="23" s="1"/>
  <c r="V142" i="23"/>
  <c r="U271" i="24"/>
  <c r="U273" i="24"/>
  <c r="U269" i="24"/>
  <c r="U272" i="24"/>
  <c r="U270" i="24"/>
  <c r="U268" i="24"/>
  <c r="S272" i="24"/>
  <c r="S273" i="24"/>
  <c r="S271" i="24"/>
  <c r="S270" i="24"/>
  <c r="S269" i="24"/>
  <c r="S268" i="24"/>
  <c r="R290" i="24"/>
  <c r="U261" i="24"/>
  <c r="U259" i="24"/>
  <c r="U262" i="24"/>
  <c r="U260" i="24"/>
  <c r="U258" i="24"/>
  <c r="U257" i="24"/>
  <c r="U255" i="24"/>
  <c r="S260" i="24"/>
  <c r="S261" i="24"/>
  <c r="S259" i="24"/>
  <c r="S257" i="24"/>
  <c r="V195" i="24"/>
  <c r="T213" i="24"/>
  <c r="V197" i="24"/>
  <c r="P71" i="25"/>
  <c r="S187" i="25"/>
  <c r="T290" i="25"/>
  <c r="U256" i="25"/>
  <c r="U255" i="25"/>
  <c r="U257" i="25"/>
  <c r="U259" i="25"/>
  <c r="U262" i="25"/>
  <c r="S255" i="25"/>
  <c r="S256" i="25"/>
  <c r="S258" i="25"/>
  <c r="S260" i="25"/>
  <c r="S262" i="25"/>
  <c r="V170" i="25"/>
  <c r="V51" i="25"/>
  <c r="T290" i="26"/>
  <c r="U244" i="26"/>
  <c r="U243" i="26"/>
  <c r="V68" i="27"/>
  <c r="V71" i="27" s="1"/>
  <c r="V142" i="27"/>
  <c r="P71" i="27"/>
  <c r="T290" i="27"/>
  <c r="T102" i="3" l="1"/>
  <c r="U257" i="20"/>
  <c r="S260" i="19"/>
  <c r="S269" i="14"/>
  <c r="S256" i="10"/>
  <c r="S272" i="14"/>
  <c r="T134" i="15"/>
  <c r="T278" i="10"/>
  <c r="U249" i="11"/>
  <c r="U260" i="9"/>
  <c r="V195" i="26"/>
  <c r="V197" i="25"/>
  <c r="V121" i="24"/>
  <c r="V134" i="24" s="1"/>
  <c r="V135" i="24" s="1"/>
  <c r="U255" i="21"/>
  <c r="U263" i="12"/>
  <c r="U250" i="12"/>
  <c r="U270" i="15"/>
  <c r="T135" i="9"/>
  <c r="S262" i="16"/>
  <c r="U246" i="13"/>
  <c r="T192" i="52"/>
  <c r="T190" i="53" s="1"/>
  <c r="T192" i="53" s="1"/>
  <c r="T190" i="54" s="1"/>
  <c r="T192" i="54" s="1"/>
  <c r="V51" i="15"/>
  <c r="S258" i="23"/>
  <c r="T101" i="23"/>
  <c r="V68" i="22"/>
  <c r="V71" i="22" s="1"/>
  <c r="U256" i="21"/>
  <c r="U261" i="20"/>
  <c r="V189" i="15"/>
  <c r="U255" i="18"/>
  <c r="U255" i="15"/>
  <c r="P71" i="26"/>
  <c r="R290" i="23"/>
  <c r="S255" i="22"/>
  <c r="U262" i="21"/>
  <c r="U256" i="20"/>
  <c r="U264" i="20" s="1"/>
  <c r="U260" i="20"/>
  <c r="U261" i="15"/>
  <c r="U262" i="12"/>
  <c r="U262" i="18"/>
  <c r="S245" i="8"/>
  <c r="S224" i="10"/>
  <c r="P71" i="16"/>
  <c r="U248" i="11"/>
  <c r="S244" i="7"/>
  <c r="S249" i="11"/>
  <c r="V68" i="16"/>
  <c r="V71" i="16" s="1"/>
  <c r="U245" i="11"/>
  <c r="V142" i="26"/>
  <c r="V195" i="25"/>
  <c r="T290" i="23"/>
  <c r="U262" i="20"/>
  <c r="U255" i="20"/>
  <c r="S259" i="16"/>
  <c r="U273" i="15"/>
  <c r="R278" i="13"/>
  <c r="U268" i="15"/>
  <c r="T126" i="12"/>
  <c r="T135" i="12" s="1"/>
  <c r="S261" i="18"/>
  <c r="V68" i="14"/>
  <c r="V71" i="14" s="1"/>
  <c r="V84" i="14" s="1"/>
  <c r="V183" i="14" s="1"/>
  <c r="U250" i="11"/>
  <c r="U246" i="11"/>
  <c r="U251" i="11"/>
  <c r="U256" i="17"/>
  <c r="U264" i="17" s="1"/>
  <c r="U260" i="17"/>
  <c r="S256" i="16"/>
  <c r="U246" i="1"/>
  <c r="V97" i="16"/>
  <c r="V101" i="16" s="1"/>
  <c r="V199" i="16" s="1"/>
  <c r="V121" i="18"/>
  <c r="V134" i="18" s="1"/>
  <c r="V135" i="18" s="1"/>
  <c r="S259" i="22"/>
  <c r="S257" i="14"/>
  <c r="V170" i="18"/>
  <c r="T134" i="18"/>
  <c r="T252" i="24"/>
  <c r="T252" i="27"/>
  <c r="S260" i="1"/>
  <c r="T229" i="5"/>
  <c r="U273" i="4"/>
  <c r="V171" i="4"/>
  <c r="U259" i="7"/>
  <c r="S187" i="7"/>
  <c r="T101" i="16"/>
  <c r="V51" i="16"/>
  <c r="S268" i="20"/>
  <c r="S256" i="22"/>
  <c r="S260" i="23"/>
  <c r="S224" i="24"/>
  <c r="T252" i="25"/>
  <c r="U249" i="25" s="1"/>
  <c r="S256" i="1"/>
  <c r="S244" i="3"/>
  <c r="V36" i="14"/>
  <c r="S249" i="15"/>
  <c r="R252" i="15"/>
  <c r="S243" i="15" s="1"/>
  <c r="S273" i="18"/>
  <c r="V199" i="20"/>
  <c r="S269" i="20"/>
  <c r="S258" i="22"/>
  <c r="U267" i="22"/>
  <c r="S268" i="25"/>
  <c r="S243" i="4"/>
  <c r="S246" i="4"/>
  <c r="S249" i="4"/>
  <c r="S244" i="4"/>
  <c r="R252" i="24"/>
  <c r="S250" i="24" s="1"/>
  <c r="T290" i="21"/>
  <c r="V121" i="20"/>
  <c r="V134" i="20" s="1"/>
  <c r="V135" i="20" s="1"/>
  <c r="S247" i="4"/>
  <c r="V69" i="1"/>
  <c r="V72" i="1" s="1"/>
  <c r="V85" i="1" s="1"/>
  <c r="V182" i="1" s="1"/>
  <c r="R72" i="1"/>
  <c r="S267" i="3"/>
  <c r="S269" i="3"/>
  <c r="U274" i="4"/>
  <c r="U269" i="4"/>
  <c r="U268" i="4"/>
  <c r="U272" i="4"/>
  <c r="U267" i="4"/>
  <c r="U267" i="5"/>
  <c r="U274" i="5"/>
  <c r="S262" i="6"/>
  <c r="S260" i="6"/>
  <c r="T225" i="12"/>
  <c r="U258" i="12"/>
  <c r="U260" i="12"/>
  <c r="U255" i="19"/>
  <c r="U264" i="19" s="1"/>
  <c r="U259" i="19"/>
  <c r="T225" i="19"/>
  <c r="T290" i="19"/>
  <c r="T252" i="21"/>
  <c r="U243" i="21" s="1"/>
  <c r="U260" i="21"/>
  <c r="U258" i="21"/>
  <c r="U261" i="21"/>
  <c r="U261" i="22"/>
  <c r="U260" i="22"/>
  <c r="S274" i="23"/>
  <c r="S224" i="23"/>
  <c r="S271" i="23"/>
  <c r="S269" i="23"/>
  <c r="U260" i="25"/>
  <c r="U258" i="25"/>
  <c r="U261" i="25"/>
  <c r="U245" i="26"/>
  <c r="U247" i="26"/>
  <c r="U249" i="26"/>
  <c r="T213" i="20"/>
  <c r="S245" i="4"/>
  <c r="U271" i="3"/>
  <c r="U270" i="3"/>
  <c r="U272" i="3"/>
  <c r="T278" i="3"/>
  <c r="U259" i="18"/>
  <c r="U261" i="18"/>
  <c r="U264" i="18" s="1"/>
  <c r="U260" i="18"/>
  <c r="V68" i="21"/>
  <c r="V71" i="21" s="1"/>
  <c r="T252" i="15"/>
  <c r="U274" i="21"/>
  <c r="U269" i="21"/>
  <c r="T224" i="21"/>
  <c r="U273" i="21"/>
  <c r="U268" i="21"/>
  <c r="U276" i="21" s="1"/>
  <c r="U272" i="21"/>
  <c r="U267" i="21"/>
  <c r="V51" i="22"/>
  <c r="V121" i="26"/>
  <c r="V134" i="26" s="1"/>
  <c r="V135" i="26" s="1"/>
  <c r="V68" i="26"/>
  <c r="V71" i="26" s="1"/>
  <c r="V84" i="26" s="1"/>
  <c r="V183" i="26" s="1"/>
  <c r="V197" i="20"/>
  <c r="S243" i="3"/>
  <c r="U270" i="4"/>
  <c r="S274" i="3"/>
  <c r="S248" i="4"/>
  <c r="S224" i="4"/>
  <c r="S259" i="4"/>
  <c r="S255" i="4"/>
  <c r="S262" i="4"/>
  <c r="S258" i="4"/>
  <c r="S256" i="8"/>
  <c r="S262" i="8"/>
  <c r="S255" i="10"/>
  <c r="S260" i="10"/>
  <c r="T126" i="6"/>
  <c r="T135" i="6" s="1"/>
  <c r="V189" i="6"/>
  <c r="V35" i="15"/>
  <c r="V43" i="15" s="1"/>
  <c r="T211" i="15" s="1"/>
  <c r="T212" i="15" s="1"/>
  <c r="V35" i="16"/>
  <c r="V43" i="16" s="1"/>
  <c r="T211" i="16" s="1"/>
  <c r="T212" i="16" s="1"/>
  <c r="S257" i="17"/>
  <c r="S264" i="17" s="1"/>
  <c r="S256" i="17"/>
  <c r="S261" i="17"/>
  <c r="S260" i="17"/>
  <c r="S258" i="17"/>
  <c r="T224" i="20"/>
  <c r="U269" i="20"/>
  <c r="U267" i="20"/>
  <c r="U273" i="20"/>
  <c r="U271" i="20"/>
  <c r="U268" i="20"/>
  <c r="S255" i="24"/>
  <c r="S258" i="24"/>
  <c r="S256" i="24"/>
  <c r="S262" i="24"/>
  <c r="U267" i="24"/>
  <c r="T224" i="24"/>
  <c r="U274" i="24"/>
  <c r="T290" i="24"/>
  <c r="V171" i="9"/>
  <c r="T101" i="18"/>
  <c r="T135" i="18" s="1"/>
  <c r="T252" i="19"/>
  <c r="T101" i="19"/>
  <c r="V51" i="19"/>
  <c r="V51" i="20"/>
  <c r="V36" i="3"/>
  <c r="T135" i="5"/>
  <c r="U249" i="12"/>
  <c r="V35" i="13"/>
  <c r="V43" i="13" s="1"/>
  <c r="T211" i="13" s="1"/>
  <c r="T212" i="13" s="1"/>
  <c r="T252" i="17"/>
  <c r="U243" i="17" s="1"/>
  <c r="V51" i="17"/>
  <c r="T252" i="22"/>
  <c r="S257" i="22"/>
  <c r="S261" i="22"/>
  <c r="S224" i="25"/>
  <c r="S270" i="25"/>
  <c r="V36" i="26"/>
  <c r="U256" i="7"/>
  <c r="U249" i="1"/>
  <c r="U251" i="1" s="1"/>
  <c r="T135" i="4"/>
  <c r="T101" i="13"/>
  <c r="T135" i="13" s="1"/>
  <c r="P71" i="14"/>
  <c r="V97" i="15"/>
  <c r="V101" i="15" s="1"/>
  <c r="V199" i="15" s="1"/>
  <c r="V51" i="18"/>
  <c r="R252" i="23"/>
  <c r="R252" i="25"/>
  <c r="R290" i="25"/>
  <c r="S271" i="25"/>
  <c r="U250" i="24"/>
  <c r="U245" i="24"/>
  <c r="U249" i="19"/>
  <c r="U244" i="19"/>
  <c r="U248" i="17"/>
  <c r="U246" i="17"/>
  <c r="U245" i="17"/>
  <c r="V35" i="3"/>
  <c r="V43" i="3" s="1"/>
  <c r="T211" i="3" s="1"/>
  <c r="T212" i="3" s="1"/>
  <c r="U256" i="4"/>
  <c r="U262" i="4"/>
  <c r="U257" i="4"/>
  <c r="T224" i="4"/>
  <c r="U259" i="4"/>
  <c r="U255" i="4"/>
  <c r="U260" i="4"/>
  <c r="S274" i="17"/>
  <c r="R290" i="17"/>
  <c r="S273" i="17"/>
  <c r="S272" i="17"/>
  <c r="U250" i="26"/>
  <c r="S243" i="24"/>
  <c r="R290" i="19"/>
  <c r="S258" i="19"/>
  <c r="S270" i="17"/>
  <c r="P71" i="13"/>
  <c r="S269" i="17"/>
  <c r="U258" i="4"/>
  <c r="U256" i="1"/>
  <c r="T277" i="1"/>
  <c r="T225" i="11"/>
  <c r="U259" i="11"/>
  <c r="U256" i="11"/>
  <c r="U262" i="11"/>
  <c r="T279" i="11"/>
  <c r="U263" i="11"/>
  <c r="V35" i="11"/>
  <c r="V43" i="11" s="1"/>
  <c r="T212" i="11" s="1"/>
  <c r="T213" i="11" s="1"/>
  <c r="T252" i="18"/>
  <c r="U249" i="18" s="1"/>
  <c r="T224" i="18"/>
  <c r="U267" i="18"/>
  <c r="U271" i="18"/>
  <c r="U274" i="18"/>
  <c r="U268" i="18"/>
  <c r="U272" i="18"/>
  <c r="U269" i="18"/>
  <c r="V199" i="18"/>
  <c r="V197" i="18"/>
  <c r="T252" i="20"/>
  <c r="U274" i="23"/>
  <c r="U270" i="23"/>
  <c r="S256" i="3"/>
  <c r="R278" i="3"/>
  <c r="S260" i="3"/>
  <c r="S255" i="3"/>
  <c r="S224" i="5"/>
  <c r="S258" i="5"/>
  <c r="S256" i="5"/>
  <c r="S260" i="5"/>
  <c r="S262" i="5"/>
  <c r="S255" i="5"/>
  <c r="S257" i="5"/>
  <c r="V142" i="20"/>
  <c r="S261" i="19"/>
  <c r="T290" i="14"/>
  <c r="S261" i="5"/>
  <c r="U257" i="14"/>
  <c r="U273" i="5"/>
  <c r="U271" i="5"/>
  <c r="U268" i="5"/>
  <c r="U269" i="5"/>
  <c r="U272" i="5"/>
  <c r="U270" i="5"/>
  <c r="S224" i="6"/>
  <c r="S261" i="6"/>
  <c r="S256" i="6"/>
  <c r="R278" i="6"/>
  <c r="S258" i="6"/>
  <c r="S255" i="6"/>
  <c r="S224" i="8"/>
  <c r="S259" i="8"/>
  <c r="S255" i="8"/>
  <c r="S260" i="8"/>
  <c r="S258" i="8"/>
  <c r="S257" i="8"/>
  <c r="T219" i="10"/>
  <c r="V69" i="10"/>
  <c r="V72" i="10" s="1"/>
  <c r="V85" i="10" s="1"/>
  <c r="V183" i="10" s="1"/>
  <c r="U243" i="13"/>
  <c r="U249" i="13"/>
  <c r="U245" i="13"/>
  <c r="T278" i="13"/>
  <c r="U248" i="13"/>
  <c r="U244" i="13"/>
  <c r="U247" i="13"/>
  <c r="V142" i="14"/>
  <c r="S187" i="14"/>
  <c r="T252" i="16"/>
  <c r="U249" i="16" s="1"/>
  <c r="T224" i="16"/>
  <c r="U272" i="16"/>
  <c r="U268" i="16"/>
  <c r="U271" i="16"/>
  <c r="U267" i="16"/>
  <c r="U274" i="16"/>
  <c r="U270" i="16"/>
  <c r="V36" i="16"/>
  <c r="V35" i="18"/>
  <c r="V43" i="18" s="1"/>
  <c r="T211" i="18" s="1"/>
  <c r="T212" i="18" s="1"/>
  <c r="T219" i="18"/>
  <c r="V68" i="18"/>
  <c r="V71" i="18" s="1"/>
  <c r="V182" i="18" s="1"/>
  <c r="P71" i="18"/>
  <c r="U247" i="5"/>
  <c r="U246" i="5"/>
  <c r="U245" i="5"/>
  <c r="U250" i="5"/>
  <c r="U244" i="5"/>
  <c r="T135" i="17"/>
  <c r="U248" i="26"/>
  <c r="S256" i="19"/>
  <c r="S267" i="17"/>
  <c r="S262" i="19"/>
  <c r="S255" i="19"/>
  <c r="S224" i="17"/>
  <c r="S259" i="19"/>
  <c r="S246" i="15"/>
  <c r="S259" i="5"/>
  <c r="V35" i="4"/>
  <c r="V43" i="4" s="1"/>
  <c r="T211" i="4" s="1"/>
  <c r="T212" i="4" s="1"/>
  <c r="S255" i="9"/>
  <c r="S260" i="9"/>
  <c r="S224" i="9"/>
  <c r="S244" i="10"/>
  <c r="R278" i="10"/>
  <c r="V189" i="1"/>
  <c r="S190" i="1"/>
  <c r="R72" i="12"/>
  <c r="V69" i="12"/>
  <c r="V72" i="12" s="1"/>
  <c r="U258" i="15"/>
  <c r="U257" i="15"/>
  <c r="U260" i="15"/>
  <c r="U256" i="15"/>
  <c r="T290" i="15"/>
  <c r="U262" i="15"/>
  <c r="S225" i="15"/>
  <c r="R290" i="15"/>
  <c r="V121" i="16"/>
  <c r="V134" i="16" s="1"/>
  <c r="V135" i="16" s="1"/>
  <c r="U273" i="18"/>
  <c r="U274" i="22"/>
  <c r="U270" i="22"/>
  <c r="U273" i="22"/>
  <c r="U269" i="22"/>
  <c r="U272" i="22"/>
  <c r="U268" i="22"/>
  <c r="V98" i="10"/>
  <c r="V102" i="10" s="1"/>
  <c r="V195" i="10" s="1"/>
  <c r="V98" i="12"/>
  <c r="V102" i="12" s="1"/>
  <c r="V51" i="14"/>
  <c r="V97" i="14"/>
  <c r="V101" i="14" s="1"/>
  <c r="T213" i="14" s="1"/>
  <c r="S270" i="15"/>
  <c r="S276" i="15" s="1"/>
  <c r="S261" i="16"/>
  <c r="U257" i="18"/>
  <c r="V36" i="19"/>
  <c r="S257" i="23"/>
  <c r="S273" i="23"/>
  <c r="T134" i="24"/>
  <c r="V142" i="24"/>
  <c r="S272" i="25"/>
  <c r="S276" i="28"/>
  <c r="S268" i="5"/>
  <c r="U244" i="3"/>
  <c r="U248" i="3"/>
  <c r="V199" i="25"/>
  <c r="S224" i="26"/>
  <c r="S269" i="26"/>
  <c r="V171" i="5"/>
  <c r="U245" i="3"/>
  <c r="U249" i="3"/>
  <c r="T102" i="4"/>
  <c r="V51" i="5"/>
  <c r="S250" i="9"/>
  <c r="U259" i="12"/>
  <c r="U265" i="12" s="1"/>
  <c r="V170" i="13"/>
  <c r="T134" i="19"/>
  <c r="U270" i="21"/>
  <c r="V97" i="22"/>
  <c r="V101" i="22" s="1"/>
  <c r="V199" i="22" s="1"/>
  <c r="S259" i="23"/>
  <c r="V84" i="16"/>
  <c r="V183" i="16" s="1"/>
  <c r="V182" i="16"/>
  <c r="U248" i="24"/>
  <c r="U247" i="24"/>
  <c r="U246" i="24"/>
  <c r="U250" i="15"/>
  <c r="U246" i="15"/>
  <c r="T135" i="16"/>
  <c r="V98" i="3"/>
  <c r="V102" i="3" s="1"/>
  <c r="S257" i="6"/>
  <c r="S261" i="10"/>
  <c r="V36" i="20"/>
  <c r="S269" i="27"/>
  <c r="S271" i="27"/>
  <c r="S273" i="27"/>
  <c r="V97" i="27"/>
  <c r="V101" i="27" s="1"/>
  <c r="S244" i="28"/>
  <c r="V51" i="4"/>
  <c r="V36" i="10"/>
  <c r="V35" i="10"/>
  <c r="V43" i="10" s="1"/>
  <c r="T211" i="10" s="1"/>
  <c r="T212" i="10" s="1"/>
  <c r="V97" i="13"/>
  <c r="V101" i="13" s="1"/>
  <c r="V197" i="13" s="1"/>
  <c r="U248" i="16"/>
  <c r="R252" i="16"/>
  <c r="S250" i="16" s="1"/>
  <c r="T213" i="26"/>
  <c r="S249" i="25"/>
  <c r="S246" i="25"/>
  <c r="S248" i="25"/>
  <c r="S247" i="25"/>
  <c r="S250" i="25"/>
  <c r="U250" i="16"/>
  <c r="U247" i="16"/>
  <c r="T219" i="3"/>
  <c r="P72" i="3"/>
  <c r="S267" i="4"/>
  <c r="S274" i="4"/>
  <c r="S272" i="4"/>
  <c r="S270" i="4"/>
  <c r="S268" i="4"/>
  <c r="U243" i="4"/>
  <c r="U249" i="4"/>
  <c r="U247" i="4"/>
  <c r="U245" i="4"/>
  <c r="S267" i="5"/>
  <c r="S274" i="5"/>
  <c r="S270" i="5"/>
  <c r="R278" i="5"/>
  <c r="S273" i="5"/>
  <c r="S244" i="5"/>
  <c r="S247" i="5"/>
  <c r="S248" i="5"/>
  <c r="S245" i="5"/>
  <c r="T224" i="5"/>
  <c r="U258" i="5"/>
  <c r="U256" i="5"/>
  <c r="U259" i="5"/>
  <c r="V36" i="5"/>
  <c r="U248" i="6"/>
  <c r="U249" i="6"/>
  <c r="U245" i="6"/>
  <c r="P72" i="6"/>
  <c r="V69" i="6"/>
  <c r="V72" i="6" s="1"/>
  <c r="V182" i="6" s="1"/>
  <c r="U243" i="7"/>
  <c r="U249" i="7"/>
  <c r="U248" i="7"/>
  <c r="U247" i="7"/>
  <c r="U250" i="7"/>
  <c r="S255" i="7"/>
  <c r="S224" i="7"/>
  <c r="V35" i="7"/>
  <c r="V43" i="7" s="1"/>
  <c r="T211" i="7" s="1"/>
  <c r="T212" i="7" s="1"/>
  <c r="T213" i="8"/>
  <c r="V195" i="8"/>
  <c r="V35" i="8"/>
  <c r="V43" i="8" s="1"/>
  <c r="T211" i="8" s="1"/>
  <c r="T212" i="8" s="1"/>
  <c r="U243" i="9"/>
  <c r="U245" i="9"/>
  <c r="U246" i="9"/>
  <c r="U250" i="9"/>
  <c r="U249" i="9"/>
  <c r="S258" i="9"/>
  <c r="S257" i="9"/>
  <c r="S261" i="9"/>
  <c r="S256" i="9"/>
  <c r="S262" i="9"/>
  <c r="S268" i="9"/>
  <c r="S273" i="9"/>
  <c r="S272" i="9"/>
  <c r="S271" i="9"/>
  <c r="S267" i="9"/>
  <c r="U247" i="10"/>
  <c r="U244" i="10"/>
  <c r="U246" i="10"/>
  <c r="U245" i="10"/>
  <c r="U248" i="10"/>
  <c r="V51" i="10"/>
  <c r="V143" i="10"/>
  <c r="S187" i="10"/>
  <c r="T102" i="10"/>
  <c r="S244" i="11"/>
  <c r="S250" i="11"/>
  <c r="S247" i="11"/>
  <c r="S226" i="11"/>
  <c r="R279" i="11"/>
  <c r="S225" i="11"/>
  <c r="S256" i="11"/>
  <c r="S260" i="11"/>
  <c r="V199" i="13"/>
  <c r="U255" i="14"/>
  <c r="U262" i="14"/>
  <c r="U260" i="14"/>
  <c r="U258" i="14"/>
  <c r="U256" i="14"/>
  <c r="S225" i="14"/>
  <c r="R290" i="14"/>
  <c r="P71" i="15"/>
  <c r="T219" i="15"/>
  <c r="V197" i="15"/>
  <c r="U255" i="16"/>
  <c r="U262" i="16"/>
  <c r="U260" i="16"/>
  <c r="U258" i="16"/>
  <c r="U256" i="16"/>
  <c r="U246" i="16"/>
  <c r="V36" i="17"/>
  <c r="R290" i="27"/>
  <c r="S260" i="27"/>
  <c r="S256" i="27"/>
  <c r="S258" i="27"/>
  <c r="S255" i="27"/>
  <c r="V197" i="26"/>
  <c r="T213" i="25"/>
  <c r="S261" i="25"/>
  <c r="S259" i="25"/>
  <c r="S257" i="25"/>
  <c r="U249" i="15"/>
  <c r="U243" i="15"/>
  <c r="S259" i="11"/>
  <c r="U250" i="6"/>
  <c r="T278" i="5"/>
  <c r="U247" i="9"/>
  <c r="U247" i="6"/>
  <c r="U249" i="17"/>
  <c r="U244" i="17"/>
  <c r="V68" i="15"/>
  <c r="V71" i="15" s="1"/>
  <c r="V182" i="15" s="1"/>
  <c r="S273" i="14"/>
  <c r="S244" i="14"/>
  <c r="S243" i="14"/>
  <c r="S247" i="14"/>
  <c r="S248" i="11"/>
  <c r="T213" i="15"/>
  <c r="S248" i="15"/>
  <c r="S244" i="15"/>
  <c r="S247" i="15"/>
  <c r="S250" i="15"/>
  <c r="U248" i="9"/>
  <c r="V69" i="5"/>
  <c r="V72" i="5" s="1"/>
  <c r="V85" i="5" s="1"/>
  <c r="V183" i="5" s="1"/>
  <c r="S258" i="11"/>
  <c r="U250" i="10"/>
  <c r="S269" i="9"/>
  <c r="R278" i="7"/>
  <c r="U264" i="13"/>
  <c r="R278" i="9"/>
  <c r="S259" i="9"/>
  <c r="S250" i="5"/>
  <c r="U246" i="7"/>
  <c r="U245" i="7"/>
  <c r="S249" i="5"/>
  <c r="U245" i="16"/>
  <c r="U255" i="5"/>
  <c r="S271" i="5"/>
  <c r="S245" i="11"/>
  <c r="S251" i="11"/>
  <c r="U250" i="8"/>
  <c r="S272" i="5"/>
  <c r="U246" i="4"/>
  <c r="U250" i="4"/>
  <c r="S271" i="4"/>
  <c r="U244" i="9"/>
  <c r="S259" i="7"/>
  <c r="U259" i="16"/>
  <c r="T290" i="16"/>
  <c r="U259" i="14"/>
  <c r="R278" i="4"/>
  <c r="T223" i="1"/>
  <c r="U259" i="1"/>
  <c r="U261" i="1"/>
  <c r="S250" i="3"/>
  <c r="S246" i="3"/>
  <c r="S249" i="3"/>
  <c r="S247" i="3"/>
  <c r="S245" i="3"/>
  <c r="S257" i="3"/>
  <c r="S261" i="3"/>
  <c r="S224" i="3"/>
  <c r="S258" i="3"/>
  <c r="S262" i="3"/>
  <c r="S259" i="3"/>
  <c r="S272" i="3"/>
  <c r="S273" i="3"/>
  <c r="S268" i="3"/>
  <c r="S270" i="3"/>
  <c r="S271" i="3"/>
  <c r="S246" i="6"/>
  <c r="S245" i="6"/>
  <c r="S248" i="6"/>
  <c r="S247" i="6"/>
  <c r="T219" i="6"/>
  <c r="T102" i="6"/>
  <c r="S246" i="8"/>
  <c r="S244" i="8"/>
  <c r="S247" i="8"/>
  <c r="V197" i="8"/>
  <c r="S187" i="8"/>
  <c r="V142" i="19"/>
  <c r="S187" i="19"/>
  <c r="P71" i="19"/>
  <c r="V68" i="19"/>
  <c r="V71" i="19" s="1"/>
  <c r="V182" i="19" s="1"/>
  <c r="T219" i="19"/>
  <c r="S274" i="20"/>
  <c r="S272" i="20"/>
  <c r="S271" i="20"/>
  <c r="S224" i="20"/>
  <c r="U261" i="23"/>
  <c r="U260" i="23"/>
  <c r="U259" i="23"/>
  <c r="U258" i="23"/>
  <c r="U257" i="23"/>
  <c r="U256" i="23"/>
  <c r="U255" i="23"/>
  <c r="V36" i="24"/>
  <c r="U262" i="26"/>
  <c r="U257" i="26"/>
  <c r="U256" i="26"/>
  <c r="S264" i="14"/>
  <c r="T135" i="10"/>
  <c r="T135" i="3"/>
  <c r="T278" i="4"/>
  <c r="V98" i="4"/>
  <c r="V102" i="4" s="1"/>
  <c r="T213" i="4" s="1"/>
  <c r="T102" i="5"/>
  <c r="V51" i="6"/>
  <c r="V171" i="7"/>
  <c r="V98" i="7"/>
  <c r="V102" i="7" s="1"/>
  <c r="V122" i="7" s="1"/>
  <c r="R278" i="8"/>
  <c r="T102" i="8"/>
  <c r="T136" i="8" s="1"/>
  <c r="V51" i="8"/>
  <c r="T224" i="10"/>
  <c r="U256" i="10"/>
  <c r="U264" i="10" s="1"/>
  <c r="V190" i="11"/>
  <c r="T126" i="11"/>
  <c r="T135" i="11" s="1"/>
  <c r="U246" i="12"/>
  <c r="U244" i="12"/>
  <c r="U248" i="12"/>
  <c r="S260" i="13"/>
  <c r="S256" i="13"/>
  <c r="S261" i="13"/>
  <c r="V142" i="15"/>
  <c r="S187" i="15"/>
  <c r="T219" i="20"/>
  <c r="P71" i="20"/>
  <c r="S274" i="21"/>
  <c r="S273" i="21"/>
  <c r="S272" i="21"/>
  <c r="S271" i="21"/>
  <c r="S270" i="21"/>
  <c r="S269" i="21"/>
  <c r="S268" i="21"/>
  <c r="U262" i="22"/>
  <c r="U259" i="22"/>
  <c r="U258" i="22"/>
  <c r="U257" i="22"/>
  <c r="U256" i="22"/>
  <c r="U255" i="22"/>
  <c r="T224" i="23"/>
  <c r="U273" i="23"/>
  <c r="U272" i="23"/>
  <c r="U269" i="23"/>
  <c r="U268" i="23"/>
  <c r="U267" i="23"/>
  <c r="P71" i="23"/>
  <c r="T219" i="23"/>
  <c r="V170" i="24"/>
  <c r="S267" i="26"/>
  <c r="S272" i="26"/>
  <c r="S270" i="26"/>
  <c r="S268" i="26"/>
  <c r="U272" i="27"/>
  <c r="U270" i="27"/>
  <c r="S264" i="28"/>
  <c r="V98" i="11"/>
  <c r="V102" i="11" s="1"/>
  <c r="V170" i="14"/>
  <c r="T134" i="14"/>
  <c r="V97" i="17"/>
  <c r="V101" i="17" s="1"/>
  <c r="V97" i="19"/>
  <c r="V101" i="19" s="1"/>
  <c r="R252" i="20"/>
  <c r="V35" i="21"/>
  <c r="V43" i="21" s="1"/>
  <c r="T211" i="21" s="1"/>
  <c r="T212" i="21" s="1"/>
  <c r="V97" i="21"/>
  <c r="V101" i="21" s="1"/>
  <c r="T134" i="22"/>
  <c r="V36" i="23"/>
  <c r="T134" i="23"/>
  <c r="T135" i="23" s="1"/>
  <c r="V170" i="23"/>
  <c r="V97" i="23"/>
  <c r="V101" i="23" s="1"/>
  <c r="T134" i="25"/>
  <c r="V85" i="8"/>
  <c r="V183" i="8" s="1"/>
  <c r="V182" i="8"/>
  <c r="S264" i="18"/>
  <c r="U250" i="17"/>
  <c r="R277" i="1"/>
  <c r="V43" i="1"/>
  <c r="T101" i="1"/>
  <c r="T135" i="1" s="1"/>
  <c r="V51" i="3"/>
  <c r="V51" i="11"/>
  <c r="T102" i="12"/>
  <c r="T136" i="12" s="1"/>
  <c r="V170" i="19"/>
  <c r="T101" i="21"/>
  <c r="V170" i="21"/>
  <c r="R252" i="21"/>
  <c r="R252" i="27"/>
  <c r="T136" i="3"/>
  <c r="V98" i="1"/>
  <c r="V101" i="1" s="1"/>
  <c r="V196" i="1" s="1"/>
  <c r="U267" i="3"/>
  <c r="U261" i="7"/>
  <c r="U257" i="7"/>
  <c r="T102" i="7"/>
  <c r="T136" i="7" s="1"/>
  <c r="V199" i="8"/>
  <c r="V36" i="8"/>
  <c r="V51" i="9"/>
  <c r="V98" i="9"/>
  <c r="V102" i="9" s="1"/>
  <c r="V199" i="9" s="1"/>
  <c r="S257" i="10"/>
  <c r="V171" i="11"/>
  <c r="T102" i="11"/>
  <c r="V51" i="13"/>
  <c r="T101" i="25"/>
  <c r="T135" i="25" s="1"/>
  <c r="V170" i="26"/>
  <c r="V182" i="22"/>
  <c r="V84" i="22"/>
  <c r="V183" i="22" s="1"/>
  <c r="V182" i="26"/>
  <c r="S276" i="19"/>
  <c r="V197" i="3"/>
  <c r="V195" i="3"/>
  <c r="T213" i="3"/>
  <c r="V122" i="3"/>
  <c r="V135" i="3" s="1"/>
  <c r="V136" i="3" s="1"/>
  <c r="V84" i="24"/>
  <c r="V183" i="24" s="1"/>
  <c r="V182" i="23"/>
  <c r="V197" i="4"/>
  <c r="V199" i="14"/>
  <c r="U276" i="24"/>
  <c r="U276" i="14"/>
  <c r="U276" i="17"/>
  <c r="U264" i="3"/>
  <c r="U274" i="3"/>
  <c r="S245" i="9"/>
  <c r="S252" i="9" s="1"/>
  <c r="T102" i="9"/>
  <c r="U243" i="10"/>
  <c r="S243" i="10"/>
  <c r="V171" i="12"/>
  <c r="S262" i="13"/>
  <c r="S258" i="13"/>
  <c r="T101" i="14"/>
  <c r="T135" i="14" s="1"/>
  <c r="U270" i="20"/>
  <c r="U272" i="20"/>
  <c r="S267" i="20"/>
  <c r="T134" i="21"/>
  <c r="T135" i="21" s="1"/>
  <c r="S256" i="21"/>
  <c r="S264" i="21" s="1"/>
  <c r="R290" i="21"/>
  <c r="S260" i="22"/>
  <c r="T224" i="22"/>
  <c r="S267" i="23"/>
  <c r="V35" i="25"/>
  <c r="V43" i="25" s="1"/>
  <c r="T211" i="25" s="1"/>
  <c r="T212" i="25" s="1"/>
  <c r="T101" i="27"/>
  <c r="T134" i="27"/>
  <c r="S262" i="27"/>
  <c r="U276" i="19"/>
  <c r="V170" i="1"/>
  <c r="U260" i="5"/>
  <c r="V51" i="7"/>
  <c r="V36" i="7"/>
  <c r="S248" i="8"/>
  <c r="U251" i="12"/>
  <c r="U245" i="12"/>
  <c r="V170" i="15"/>
  <c r="V35" i="20"/>
  <c r="V43" i="20" s="1"/>
  <c r="T211" i="20" s="1"/>
  <c r="T212" i="20" s="1"/>
  <c r="T134" i="20"/>
  <c r="V35" i="22"/>
  <c r="V43" i="22" s="1"/>
  <c r="T211" i="22" s="1"/>
  <c r="T212" i="22" s="1"/>
  <c r="S269" i="25"/>
  <c r="S273" i="25"/>
  <c r="S259" i="1"/>
  <c r="U269" i="3"/>
  <c r="V171" i="6"/>
  <c r="V35" i="6"/>
  <c r="V43" i="6" s="1"/>
  <c r="T211" i="6" s="1"/>
  <c r="T212" i="6" s="1"/>
  <c r="S248" i="10"/>
  <c r="S245" i="13"/>
  <c r="S252" i="13" s="1"/>
  <c r="R252" i="22"/>
  <c r="S274" i="24"/>
  <c r="S276" i="24" s="1"/>
  <c r="U255" i="26"/>
  <c r="U261" i="26"/>
  <c r="S274" i="26"/>
  <c r="V35" i="27"/>
  <c r="V43" i="27" s="1"/>
  <c r="T211" i="27" s="1"/>
  <c r="T212" i="27" s="1"/>
  <c r="V36" i="27"/>
  <c r="S264" i="16"/>
  <c r="U276" i="15"/>
  <c r="S276" i="18"/>
  <c r="S246" i="14"/>
  <c r="S245" i="15"/>
  <c r="S245" i="14"/>
  <c r="S258" i="1"/>
  <c r="V51" i="1"/>
  <c r="U273" i="3"/>
  <c r="U262" i="5"/>
  <c r="U243" i="5"/>
  <c r="U244" i="6"/>
  <c r="V36" i="6"/>
  <c r="S261" i="8"/>
  <c r="V171" i="8"/>
  <c r="S246" i="10"/>
  <c r="S261" i="11"/>
  <c r="V36" i="12"/>
  <c r="V35" i="12"/>
  <c r="V43" i="12" s="1"/>
  <c r="T212" i="12" s="1"/>
  <c r="T213" i="12" s="1"/>
  <c r="T213" i="13"/>
  <c r="U274" i="20"/>
  <c r="V36" i="22"/>
  <c r="V35" i="23"/>
  <c r="V43" i="23" s="1"/>
  <c r="T211" i="23" s="1"/>
  <c r="T212" i="23" s="1"/>
  <c r="S270" i="23"/>
  <c r="S272" i="23"/>
  <c r="V35" i="26"/>
  <c r="V43" i="26" s="1"/>
  <c r="T211" i="26" s="1"/>
  <c r="T212" i="26" s="1"/>
  <c r="T101" i="26"/>
  <c r="V85" i="6"/>
  <c r="V183" i="6" s="1"/>
  <c r="S244" i="24"/>
  <c r="U264" i="24"/>
  <c r="S264" i="20"/>
  <c r="V199" i="5"/>
  <c r="T213" i="5"/>
  <c r="V122" i="5"/>
  <c r="V135" i="5" s="1"/>
  <c r="V136" i="5" s="1"/>
  <c r="V197" i="5"/>
  <c r="V195" i="5"/>
  <c r="V84" i="27"/>
  <c r="V183" i="27" s="1"/>
  <c r="V182" i="27"/>
  <c r="U264" i="21"/>
  <c r="V182" i="20"/>
  <c r="V84" i="20"/>
  <c r="V183" i="20" s="1"/>
  <c r="V190" i="3"/>
  <c r="S188" i="4"/>
  <c r="V85" i="7"/>
  <c r="V183" i="7" s="1"/>
  <c r="V182" i="7"/>
  <c r="V69" i="4"/>
  <c r="V72" i="4" s="1"/>
  <c r="P72" i="4"/>
  <c r="T219" i="4"/>
  <c r="U262" i="8"/>
  <c r="U256" i="8"/>
  <c r="U259" i="8"/>
  <c r="U257" i="8"/>
  <c r="T219" i="9"/>
  <c r="V69" i="9"/>
  <c r="V72" i="9" s="1"/>
  <c r="P72" i="9"/>
  <c r="S243" i="25"/>
  <c r="S245" i="25"/>
  <c r="S244" i="25"/>
  <c r="U243" i="24"/>
  <c r="U244" i="24"/>
  <c r="U246" i="19"/>
  <c r="U247" i="19"/>
  <c r="V182" i="14"/>
  <c r="V188" i="3"/>
  <c r="V199" i="3"/>
  <c r="S248" i="14"/>
  <c r="S250" i="14"/>
  <c r="T278" i="9"/>
  <c r="T278" i="8"/>
  <c r="U258" i="8"/>
  <c r="T219" i="7"/>
  <c r="U253" i="11"/>
  <c r="S244" i="1"/>
  <c r="S248" i="1"/>
  <c r="S242" i="1"/>
  <c r="S245" i="1"/>
  <c r="S249" i="1"/>
  <c r="S243" i="1"/>
  <c r="S246" i="1"/>
  <c r="U260" i="1"/>
  <c r="U254" i="1"/>
  <c r="U257" i="1"/>
  <c r="V143" i="6"/>
  <c r="S187" i="6"/>
  <c r="T224" i="9"/>
  <c r="U255" i="9"/>
  <c r="U258" i="9"/>
  <c r="U261" i="9"/>
  <c r="U256" i="9"/>
  <c r="U259" i="9"/>
  <c r="U262" i="9"/>
  <c r="R72" i="11"/>
  <c r="V69" i="11"/>
  <c r="V72" i="11" s="1"/>
  <c r="S244" i="12"/>
  <c r="S251" i="12"/>
  <c r="S247" i="12"/>
  <c r="S250" i="12"/>
  <c r="S246" i="12"/>
  <c r="S249" i="12"/>
  <c r="S245" i="12"/>
  <c r="T229" i="3"/>
  <c r="T230" i="3" s="1"/>
  <c r="T230" i="4" s="1"/>
  <c r="T230" i="5" s="1"/>
  <c r="T230" i="6" s="1"/>
  <c r="T230" i="7" s="1"/>
  <c r="T230" i="8" s="1"/>
  <c r="T230" i="9" s="1"/>
  <c r="T230" i="10" s="1"/>
  <c r="T231" i="11" s="1"/>
  <c r="T231" i="12" s="1"/>
  <c r="T230" i="13" s="1"/>
  <c r="T230" i="14" s="1"/>
  <c r="T230" i="15" s="1"/>
  <c r="T230" i="16" s="1"/>
  <c r="T230" i="17" s="1"/>
  <c r="T230" i="18" s="1"/>
  <c r="T230" i="19" s="1"/>
  <c r="T230" i="20" s="1"/>
  <c r="T230" i="21" s="1"/>
  <c r="T230" i="22" s="1"/>
  <c r="T230" i="23" s="1"/>
  <c r="T230" i="24" s="1"/>
  <c r="T230" i="25" s="1"/>
  <c r="T230" i="26" s="1"/>
  <c r="T230" i="27" s="1"/>
  <c r="T230" i="28" s="1"/>
  <c r="T230" i="29" s="1"/>
  <c r="T230" i="30" s="1"/>
  <c r="T230" i="31" s="1"/>
  <c r="T230" i="32" s="1"/>
  <c r="T230" i="33" s="1"/>
  <c r="T230" i="34" s="1"/>
  <c r="T230" i="35" s="1"/>
  <c r="T230" i="36" s="1"/>
  <c r="T230" i="37" s="1"/>
  <c r="T230" i="38" s="1"/>
  <c r="T230" i="39" s="1"/>
  <c r="T229" i="40" s="1"/>
  <c r="T229" i="41" s="1"/>
  <c r="T229" i="42" s="1"/>
  <c r="T229" i="43" s="1"/>
  <c r="T229" i="44" s="1"/>
  <c r="T229" i="45" s="1"/>
  <c r="T229" i="46" s="1"/>
  <c r="T229" i="47" s="1"/>
  <c r="T229" i="48" s="1"/>
  <c r="T229" i="49" s="1"/>
  <c r="T232" i="50" s="1"/>
  <c r="T232" i="51" s="1"/>
  <c r="T232" i="52" s="1"/>
  <c r="T232" i="53" s="1"/>
  <c r="T232" i="54" s="1"/>
  <c r="V169" i="3"/>
  <c r="V171" i="3" s="1"/>
  <c r="U250" i="19"/>
  <c r="U243" i="19"/>
  <c r="U245" i="19"/>
  <c r="V135" i="7"/>
  <c r="V136" i="7" s="1"/>
  <c r="U255" i="8"/>
  <c r="V36" i="1"/>
  <c r="V143" i="3"/>
  <c r="S187" i="3"/>
  <c r="S191" i="3" s="1"/>
  <c r="V36" i="4"/>
  <c r="T224" i="6"/>
  <c r="U259" i="6"/>
  <c r="U255" i="6"/>
  <c r="T278" i="6"/>
  <c r="U262" i="6"/>
  <c r="S262" i="7"/>
  <c r="S258" i="7"/>
  <c r="S261" i="7"/>
  <c r="S257" i="7"/>
  <c r="S260" i="7"/>
  <c r="S256" i="7"/>
  <c r="V122" i="9"/>
  <c r="V135" i="9" s="1"/>
  <c r="V136" i="9" s="1"/>
  <c r="V199" i="10"/>
  <c r="V36" i="13"/>
  <c r="V35" i="14"/>
  <c r="V43" i="14" s="1"/>
  <c r="T211" i="14" s="1"/>
  <c r="T212" i="14" s="1"/>
  <c r="V197" i="16"/>
  <c r="N85" i="7"/>
  <c r="T136" i="9"/>
  <c r="U268" i="9"/>
  <c r="U269" i="9"/>
  <c r="T225" i="9"/>
  <c r="U273" i="9"/>
  <c r="U272" i="9"/>
  <c r="U274" i="9"/>
  <c r="U249" i="24"/>
  <c r="U248" i="19"/>
  <c r="U261" i="8"/>
  <c r="V69" i="3"/>
  <c r="V72" i="3" s="1"/>
  <c r="R72" i="3"/>
  <c r="V143" i="4"/>
  <c r="V195" i="4"/>
  <c r="V35" i="5"/>
  <c r="V43" i="5" s="1"/>
  <c r="T211" i="5" s="1"/>
  <c r="T212" i="5" s="1"/>
  <c r="U258" i="6"/>
  <c r="V98" i="6"/>
  <c r="V102" i="6" s="1"/>
  <c r="S243" i="7"/>
  <c r="S249" i="7"/>
  <c r="S247" i="7"/>
  <c r="S250" i="7"/>
  <c r="S246" i="7"/>
  <c r="S245" i="7"/>
  <c r="U243" i="8"/>
  <c r="U249" i="8"/>
  <c r="U245" i="8"/>
  <c r="U248" i="8"/>
  <c r="U244" i="8"/>
  <c r="U247" i="8"/>
  <c r="V36" i="9"/>
  <c r="U267" i="9"/>
  <c r="S261" i="15"/>
  <c r="S260" i="15"/>
  <c r="S262" i="15"/>
  <c r="S259" i="15"/>
  <c r="S258" i="15"/>
  <c r="U243" i="6"/>
  <c r="S250" i="8"/>
  <c r="S243" i="8"/>
  <c r="V51" i="12"/>
  <c r="S270" i="16"/>
  <c r="S274" i="16"/>
  <c r="S224" i="16"/>
  <c r="R252" i="17"/>
  <c r="S245" i="17" s="1"/>
  <c r="V35" i="17"/>
  <c r="V43" i="17" s="1"/>
  <c r="T211" i="17" s="1"/>
  <c r="T212" i="17" s="1"/>
  <c r="R252" i="18"/>
  <c r="S244" i="18" s="1"/>
  <c r="V35" i="19"/>
  <c r="V43" i="19" s="1"/>
  <c r="T211" i="19" s="1"/>
  <c r="T212" i="19" s="1"/>
  <c r="S267" i="22"/>
  <c r="S273" i="22"/>
  <c r="S271" i="22"/>
  <c r="S269" i="22"/>
  <c r="S274" i="22"/>
  <c r="S272" i="22"/>
  <c r="S270" i="22"/>
  <c r="S268" i="22"/>
  <c r="S224" i="22"/>
  <c r="R290" i="22"/>
  <c r="S257" i="1"/>
  <c r="U249" i="5"/>
  <c r="S259" i="10"/>
  <c r="S250" i="10"/>
  <c r="S245" i="10"/>
  <c r="V171" i="10"/>
  <c r="S188" i="11"/>
  <c r="V143" i="11"/>
  <c r="T252" i="14"/>
  <c r="V170" i="16"/>
  <c r="V36" i="18"/>
  <c r="V142" i="18"/>
  <c r="S187" i="18"/>
  <c r="T219" i="24"/>
  <c r="P71" i="24"/>
  <c r="V189" i="26"/>
  <c r="T125" i="26"/>
  <c r="T134" i="26" s="1"/>
  <c r="S261" i="1"/>
  <c r="S255" i="1"/>
  <c r="S249" i="10"/>
  <c r="V177" i="3"/>
  <c r="V175" i="4" s="1"/>
  <c r="V177" i="4" s="1"/>
  <c r="V175" i="5" s="1"/>
  <c r="V177" i="5" s="1"/>
  <c r="V175" i="6" s="1"/>
  <c r="V177" i="6" s="1"/>
  <c r="V36" i="11"/>
  <c r="S260" i="12"/>
  <c r="S265" i="12" s="1"/>
  <c r="R279" i="12"/>
  <c r="R71" i="13"/>
  <c r="V68" i="13"/>
  <c r="V71" i="13" s="1"/>
  <c r="S267" i="14"/>
  <c r="S274" i="14"/>
  <c r="S224" i="14"/>
  <c r="S268" i="14"/>
  <c r="S270" i="14"/>
  <c r="T101" i="15"/>
  <c r="T135" i="15" s="1"/>
  <c r="T219" i="17"/>
  <c r="V68" i="17"/>
  <c r="V71" i="17" s="1"/>
  <c r="R252" i="19"/>
  <c r="T101" i="22"/>
  <c r="T101" i="24"/>
  <c r="T135" i="24" s="1"/>
  <c r="U273" i="25"/>
  <c r="U271" i="25"/>
  <c r="U269" i="25"/>
  <c r="U267" i="25"/>
  <c r="U274" i="25"/>
  <c r="U272" i="25"/>
  <c r="U270" i="25"/>
  <c r="U268" i="25"/>
  <c r="T219" i="25"/>
  <c r="V68" i="25"/>
  <c r="V71" i="25" s="1"/>
  <c r="V51" i="26"/>
  <c r="R252" i="26"/>
  <c r="U261" i="27"/>
  <c r="U259" i="27"/>
  <c r="U257" i="27"/>
  <c r="U255" i="27"/>
  <c r="U262" i="27"/>
  <c r="U260" i="27"/>
  <c r="U258" i="27"/>
  <c r="U256" i="27"/>
  <c r="V36" i="21"/>
  <c r="T252" i="23"/>
  <c r="S255" i="26"/>
  <c r="S261" i="26"/>
  <c r="S259" i="26"/>
  <c r="S257" i="26"/>
  <c r="S262" i="26"/>
  <c r="S260" i="26"/>
  <c r="S258" i="26"/>
  <c r="S256" i="26"/>
  <c r="T224" i="27"/>
  <c r="U273" i="27"/>
  <c r="U271" i="27"/>
  <c r="U269" i="27"/>
  <c r="U267" i="27"/>
  <c r="V170" i="20"/>
  <c r="S225" i="20"/>
  <c r="R290" i="20"/>
  <c r="T101" i="20"/>
  <c r="V35" i="24"/>
  <c r="V43" i="24" s="1"/>
  <c r="T211" i="24" s="1"/>
  <c r="T212" i="24" s="1"/>
  <c r="U273" i="26"/>
  <c r="U271" i="26"/>
  <c r="U269" i="26"/>
  <c r="U267" i="26"/>
  <c r="U274" i="26"/>
  <c r="U272" i="26"/>
  <c r="U270" i="26"/>
  <c r="U268" i="26"/>
  <c r="U268" i="27"/>
  <c r="U276" i="28"/>
  <c r="S267" i="21"/>
  <c r="S261" i="23"/>
  <c r="S255" i="23"/>
  <c r="U258" i="26"/>
  <c r="U260" i="26"/>
  <c r="S273" i="26"/>
  <c r="S257" i="27"/>
  <c r="S259" i="27"/>
  <c r="S261" i="27"/>
  <c r="S248" i="28"/>
  <c r="S243" i="28"/>
  <c r="S250" i="28"/>
  <c r="S246" i="28"/>
  <c r="S249" i="28"/>
  <c r="S247" i="28"/>
  <c r="U264" i="28"/>
  <c r="U252" i="28"/>
  <c r="V84" i="28"/>
  <c r="V183" i="28" s="1"/>
  <c r="V182" i="28"/>
  <c r="S247" i="16" l="1"/>
  <c r="V84" i="15"/>
  <c r="V183" i="15" s="1"/>
  <c r="V182" i="5"/>
  <c r="S248" i="24"/>
  <c r="S245" i="16"/>
  <c r="S264" i="24"/>
  <c r="S264" i="4"/>
  <c r="V177" i="54"/>
  <c r="V179" i="54" s="1"/>
  <c r="V177" i="53"/>
  <c r="V179" i="53" s="1"/>
  <c r="V177" i="52"/>
  <c r="V179" i="52" s="1"/>
  <c r="V177" i="51"/>
  <c r="V179" i="51" s="1"/>
  <c r="V177" i="50"/>
  <c r="V179" i="50" s="1"/>
  <c r="T135" i="26"/>
  <c r="V195" i="16"/>
  <c r="V194" i="1"/>
  <c r="S246" i="24"/>
  <c r="S248" i="16"/>
  <c r="S264" i="22"/>
  <c r="S246" i="16"/>
  <c r="S244" i="16"/>
  <c r="T213" i="16"/>
  <c r="U264" i="4"/>
  <c r="T136" i="6"/>
  <c r="S264" i="25"/>
  <c r="T136" i="10"/>
  <c r="U252" i="3"/>
  <c r="U265" i="11"/>
  <c r="U252" i="26"/>
  <c r="U264" i="25"/>
  <c r="U276" i="4"/>
  <c r="S252" i="4"/>
  <c r="U253" i="12"/>
  <c r="S253" i="11"/>
  <c r="U248" i="25"/>
  <c r="U244" i="25"/>
  <c r="U247" i="25"/>
  <c r="U243" i="25"/>
  <c r="U245" i="25"/>
  <c r="U246" i="25"/>
  <c r="U250" i="25"/>
  <c r="S276" i="9"/>
  <c r="S252" i="5"/>
  <c r="U246" i="27"/>
  <c r="U247" i="27"/>
  <c r="U250" i="27"/>
  <c r="U243" i="27"/>
  <c r="U245" i="27"/>
  <c r="U248" i="27"/>
  <c r="U249" i="27"/>
  <c r="U244" i="27"/>
  <c r="V174" i="48"/>
  <c r="V176" i="48" s="1"/>
  <c r="V174" i="49"/>
  <c r="V176" i="49" s="1"/>
  <c r="U249" i="22"/>
  <c r="U243" i="22"/>
  <c r="U245" i="22"/>
  <c r="U247" i="22"/>
  <c r="U244" i="22"/>
  <c r="U250" i="22"/>
  <c r="V195" i="14"/>
  <c r="S249" i="24"/>
  <c r="V181" i="1"/>
  <c r="V197" i="14"/>
  <c r="V121" i="14"/>
  <c r="V134" i="14" s="1"/>
  <c r="V135" i="14" s="1"/>
  <c r="T136" i="5"/>
  <c r="V121" i="15"/>
  <c r="V134" i="15" s="1"/>
  <c r="V135" i="15" s="1"/>
  <c r="V121" i="13"/>
  <c r="V134" i="13" s="1"/>
  <c r="V135" i="13" s="1"/>
  <c r="V182" i="10"/>
  <c r="T135" i="19"/>
  <c r="V182" i="21"/>
  <c r="V84" i="21"/>
  <c r="V183" i="21" s="1"/>
  <c r="U248" i="22"/>
  <c r="T136" i="11"/>
  <c r="S276" i="17"/>
  <c r="U245" i="15"/>
  <c r="U244" i="15"/>
  <c r="U244" i="21"/>
  <c r="U245" i="21"/>
  <c r="U248" i="21"/>
  <c r="U250" i="21"/>
  <c r="U247" i="21"/>
  <c r="U249" i="21"/>
  <c r="U246" i="21"/>
  <c r="S264" i="10"/>
  <c r="S264" i="8"/>
  <c r="U264" i="5"/>
  <c r="U247" i="15"/>
  <c r="S245" i="24"/>
  <c r="S247" i="24"/>
  <c r="V195" i="13"/>
  <c r="U248" i="15"/>
  <c r="V195" i="15"/>
  <c r="T136" i="4"/>
  <c r="U276" i="22"/>
  <c r="U264" i="15"/>
  <c r="S264" i="5"/>
  <c r="S264" i="19"/>
  <c r="S264" i="6"/>
  <c r="U276" i="5"/>
  <c r="S264" i="3"/>
  <c r="U247" i="17"/>
  <c r="U252" i="17" s="1"/>
  <c r="S245" i="23"/>
  <c r="S249" i="23"/>
  <c r="S243" i="23"/>
  <c r="S244" i="23"/>
  <c r="S250" i="23"/>
  <c r="S246" i="23"/>
  <c r="S247" i="23"/>
  <c r="S248" i="23"/>
  <c r="U246" i="22"/>
  <c r="U246" i="20"/>
  <c r="U247" i="20"/>
  <c r="U249" i="20"/>
  <c r="U245" i="20"/>
  <c r="U248" i="20"/>
  <c r="U244" i="20"/>
  <c r="U250" i="20"/>
  <c r="U243" i="20"/>
  <c r="U276" i="18"/>
  <c r="V84" i="19"/>
  <c r="V183" i="19" s="1"/>
  <c r="U252" i="5"/>
  <c r="V122" i="10"/>
  <c r="V135" i="10" s="1"/>
  <c r="V136" i="10" s="1"/>
  <c r="V198" i="1"/>
  <c r="S252" i="14"/>
  <c r="U264" i="7"/>
  <c r="U264" i="22"/>
  <c r="U252" i="7"/>
  <c r="S243" i="16"/>
  <c r="V121" i="22"/>
  <c r="V134" i="22" s="1"/>
  <c r="V135" i="22" s="1"/>
  <c r="V197" i="22"/>
  <c r="V195" i="22"/>
  <c r="T213" i="22"/>
  <c r="T212" i="1"/>
  <c r="V84" i="18"/>
  <c r="V183" i="18" s="1"/>
  <c r="T213" i="10"/>
  <c r="V183" i="12"/>
  <c r="V85" i="12"/>
  <c r="V184" i="12" s="1"/>
  <c r="U276" i="16"/>
  <c r="U248" i="18"/>
  <c r="U245" i="18"/>
  <c r="U244" i="18"/>
  <c r="U243" i="18"/>
  <c r="U247" i="18"/>
  <c r="U250" i="18"/>
  <c r="T135" i="22"/>
  <c r="V197" i="10"/>
  <c r="S276" i="26"/>
  <c r="U252" i="6"/>
  <c r="T213" i="9"/>
  <c r="V121" i="1"/>
  <c r="V134" i="1" s="1"/>
  <c r="V135" i="1" s="1"/>
  <c r="S252" i="15"/>
  <c r="U276" i="23"/>
  <c r="S249" i="16"/>
  <c r="V200" i="12"/>
  <c r="V198" i="12"/>
  <c r="V122" i="12"/>
  <c r="V135" i="12" s="1"/>
  <c r="V136" i="12" s="1"/>
  <c r="V196" i="12"/>
  <c r="T214" i="12"/>
  <c r="U243" i="16"/>
  <c r="U244" i="16"/>
  <c r="U252" i="13"/>
  <c r="U246" i="18"/>
  <c r="U264" i="26"/>
  <c r="S263" i="1"/>
  <c r="U276" i="9"/>
  <c r="S252" i="6"/>
  <c r="S276" i="3"/>
  <c r="S276" i="5"/>
  <c r="U264" i="16"/>
  <c r="U264" i="14"/>
  <c r="U252" i="10"/>
  <c r="S264" i="9"/>
  <c r="U252" i="9"/>
  <c r="U252" i="4"/>
  <c r="S276" i="4"/>
  <c r="V199" i="27"/>
  <c r="T213" i="27"/>
  <c r="V197" i="27"/>
  <c r="V195" i="27"/>
  <c r="V121" i="27"/>
  <c r="V134" i="27" s="1"/>
  <c r="V135" i="27" s="1"/>
  <c r="S252" i="3"/>
  <c r="S276" i="27"/>
  <c r="V174" i="47"/>
  <c r="V176" i="47" s="1"/>
  <c r="V174" i="46"/>
  <c r="V176" i="46" s="1"/>
  <c r="V174" i="45"/>
  <c r="V176" i="45" s="1"/>
  <c r="V174" i="44"/>
  <c r="V176" i="44" s="1"/>
  <c r="V174" i="43"/>
  <c r="V176" i="43" s="1"/>
  <c r="V174" i="42"/>
  <c r="V176" i="42" s="1"/>
  <c r="V174" i="41"/>
  <c r="V176" i="41" s="1"/>
  <c r="V174" i="40"/>
  <c r="V176" i="40" s="1"/>
  <c r="V175" i="39"/>
  <c r="V177" i="39" s="1"/>
  <c r="V195" i="21"/>
  <c r="V121" i="21"/>
  <c r="V134" i="21" s="1"/>
  <c r="V135" i="21" s="1"/>
  <c r="V197" i="21"/>
  <c r="T213" i="21"/>
  <c r="V199" i="21"/>
  <c r="S244" i="20"/>
  <c r="S246" i="20"/>
  <c r="S248" i="20"/>
  <c r="S250" i="20"/>
  <c r="S245" i="20"/>
  <c r="S247" i="20"/>
  <c r="S249" i="20"/>
  <c r="S243" i="20"/>
  <c r="T213" i="17"/>
  <c r="V199" i="17"/>
  <c r="V197" i="17"/>
  <c r="V195" i="17"/>
  <c r="V121" i="17"/>
  <c r="V134" i="17" s="1"/>
  <c r="V135" i="17" s="1"/>
  <c r="S276" i="21"/>
  <c r="T135" i="20"/>
  <c r="V199" i="4"/>
  <c r="V197" i="7"/>
  <c r="V195" i="7"/>
  <c r="T213" i="7"/>
  <c r="U252" i="15"/>
  <c r="S265" i="11"/>
  <c r="S252" i="16"/>
  <c r="V199" i="7"/>
  <c r="S276" i="20"/>
  <c r="S264" i="13"/>
  <c r="V122" i="4"/>
  <c r="V135" i="4" s="1"/>
  <c r="V136" i="4" s="1"/>
  <c r="V199" i="23"/>
  <c r="V195" i="23"/>
  <c r="V197" i="23"/>
  <c r="V121" i="23"/>
  <c r="V134" i="23" s="1"/>
  <c r="V135" i="23" s="1"/>
  <c r="T213" i="23"/>
  <c r="V199" i="19"/>
  <c r="T213" i="19"/>
  <c r="V197" i="19"/>
  <c r="V121" i="19"/>
  <c r="V134" i="19" s="1"/>
  <c r="V135" i="19" s="1"/>
  <c r="V195" i="19"/>
  <c r="V200" i="11"/>
  <c r="T214" i="11"/>
  <c r="V196" i="11"/>
  <c r="V198" i="11"/>
  <c r="V122" i="11"/>
  <c r="V135" i="11" s="1"/>
  <c r="V136" i="11" s="1"/>
  <c r="U264" i="23"/>
  <c r="V175" i="33"/>
  <c r="V177" i="33" s="1"/>
  <c r="V175" i="38"/>
  <c r="V177" i="38" s="1"/>
  <c r="V175" i="37"/>
  <c r="V177" i="37" s="1"/>
  <c r="V175" i="36"/>
  <c r="V177" i="36" s="1"/>
  <c r="V175" i="35"/>
  <c r="V177" i="35" s="1"/>
  <c r="V175" i="34"/>
  <c r="V177" i="34" s="1"/>
  <c r="S276" i="16"/>
  <c r="S252" i="8"/>
  <c r="U276" i="20"/>
  <c r="S244" i="27"/>
  <c r="S246" i="27"/>
  <c r="S248" i="27"/>
  <c r="S250" i="27"/>
  <c r="S245" i="27"/>
  <c r="S247" i="27"/>
  <c r="S249" i="27"/>
  <c r="S243" i="27"/>
  <c r="S244" i="21"/>
  <c r="S246" i="21"/>
  <c r="S248" i="21"/>
  <c r="S250" i="21"/>
  <c r="S245" i="21"/>
  <c r="S247" i="21"/>
  <c r="S249" i="21"/>
  <c r="S243" i="21"/>
  <c r="T210" i="1"/>
  <c r="T211" i="1" s="1"/>
  <c r="T207" i="1"/>
  <c r="T208" i="1" s="1"/>
  <c r="S264" i="27"/>
  <c r="S264" i="23"/>
  <c r="S264" i="7"/>
  <c r="S252" i="24"/>
  <c r="U276" i="3"/>
  <c r="S276" i="25"/>
  <c r="V195" i="9"/>
  <c r="V197" i="9"/>
  <c r="S252" i="10"/>
  <c r="S264" i="15"/>
  <c r="T135" i="27"/>
  <c r="U264" i="27"/>
  <c r="S247" i="22"/>
  <c r="S244" i="22"/>
  <c r="S248" i="22"/>
  <c r="S245" i="22"/>
  <c r="S249" i="22"/>
  <c r="S246" i="22"/>
  <c r="S250" i="22"/>
  <c r="S243" i="22"/>
  <c r="S276" i="23"/>
  <c r="U249" i="23"/>
  <c r="U248" i="23"/>
  <c r="U243" i="23"/>
  <c r="U250" i="23"/>
  <c r="U245" i="23"/>
  <c r="U244" i="23"/>
  <c r="U247" i="23"/>
  <c r="U246" i="23"/>
  <c r="U247" i="14"/>
  <c r="U245" i="14"/>
  <c r="U250" i="14"/>
  <c r="U248" i="14"/>
  <c r="U246" i="14"/>
  <c r="U244" i="14"/>
  <c r="U249" i="14"/>
  <c r="U243" i="14"/>
  <c r="U276" i="26"/>
  <c r="U264" i="9"/>
  <c r="S252" i="25"/>
  <c r="V175" i="32"/>
  <c r="V177" i="32" s="1"/>
  <c r="V175" i="31"/>
  <c r="V177" i="31" s="1"/>
  <c r="V175" i="30"/>
  <c r="V177" i="30" s="1"/>
  <c r="V175" i="29"/>
  <c r="V177" i="29" s="1"/>
  <c r="V175" i="28"/>
  <c r="V177" i="28" s="1"/>
  <c r="V175" i="23"/>
  <c r="V177" i="23" s="1"/>
  <c r="V175" i="26"/>
  <c r="V177" i="26" s="1"/>
  <c r="V175" i="22"/>
  <c r="V177" i="22" s="1"/>
  <c r="V175" i="20"/>
  <c r="V177" i="20" s="1"/>
  <c r="V175" i="25"/>
  <c r="V177" i="25" s="1"/>
  <c r="V175" i="24"/>
  <c r="V177" i="24" s="1"/>
  <c r="V175" i="21"/>
  <c r="V177" i="21" s="1"/>
  <c r="V175" i="27"/>
  <c r="V177" i="27" s="1"/>
  <c r="V175" i="19"/>
  <c r="V177" i="19" s="1"/>
  <c r="V175" i="15"/>
  <c r="V177" i="15" s="1"/>
  <c r="V175" i="16"/>
  <c r="V177" i="16" s="1"/>
  <c r="V175" i="10"/>
  <c r="V177" i="10" s="1"/>
  <c r="V175" i="14"/>
  <c r="V177" i="14" s="1"/>
  <c r="V176" i="12"/>
  <c r="V178" i="12" s="1"/>
  <c r="V176" i="11"/>
  <c r="V178" i="11" s="1"/>
  <c r="V175" i="9"/>
  <c r="V177" i="9" s="1"/>
  <c r="V175" i="8"/>
  <c r="V177" i="8" s="1"/>
  <c r="V175" i="7"/>
  <c r="V177" i="7" s="1"/>
  <c r="V175" i="13"/>
  <c r="V177" i="13" s="1"/>
  <c r="V175" i="18"/>
  <c r="V177" i="18" s="1"/>
  <c r="V175" i="17"/>
  <c r="V177" i="17" s="1"/>
  <c r="S276" i="22"/>
  <c r="S252" i="7"/>
  <c r="V182" i="3"/>
  <c r="V85" i="3"/>
  <c r="V183" i="3" s="1"/>
  <c r="U264" i="6"/>
  <c r="U264" i="8"/>
  <c r="V183" i="11"/>
  <c r="V85" i="11"/>
  <c r="V184" i="11" s="1"/>
  <c r="U263" i="1"/>
  <c r="U252" i="24"/>
  <c r="V188" i="4"/>
  <c r="S190" i="4"/>
  <c r="S245" i="19"/>
  <c r="S250" i="19"/>
  <c r="S247" i="19"/>
  <c r="S243" i="19"/>
  <c r="S244" i="19"/>
  <c r="S249" i="19"/>
  <c r="S246" i="19"/>
  <c r="S248" i="19"/>
  <c r="S276" i="14"/>
  <c r="S245" i="18"/>
  <c r="S250" i="18"/>
  <c r="S249" i="18"/>
  <c r="S248" i="18"/>
  <c r="S246" i="18"/>
  <c r="S247" i="18"/>
  <c r="S243" i="18"/>
  <c r="U252" i="8"/>
  <c r="S251" i="1"/>
  <c r="S248" i="26"/>
  <c r="S247" i="26"/>
  <c r="S246" i="26"/>
  <c r="S245" i="26"/>
  <c r="S250" i="26"/>
  <c r="S243" i="26"/>
  <c r="S244" i="26"/>
  <c r="S249" i="26"/>
  <c r="U276" i="25"/>
  <c r="V84" i="17"/>
  <c r="V183" i="17" s="1"/>
  <c r="V182" i="17"/>
  <c r="V84" i="13"/>
  <c r="V183" i="13" s="1"/>
  <c r="V182" i="13"/>
  <c r="U252" i="19"/>
  <c r="S253" i="12"/>
  <c r="U276" i="27"/>
  <c r="S264" i="26"/>
  <c r="V182" i="25"/>
  <c r="V84" i="25"/>
  <c r="V183" i="25" s="1"/>
  <c r="S249" i="17"/>
  <c r="S244" i="17"/>
  <c r="S250" i="17"/>
  <c r="S243" i="17"/>
  <c r="S246" i="17"/>
  <c r="S247" i="17"/>
  <c r="S248" i="17"/>
  <c r="T213" i="6"/>
  <c r="V122" i="6"/>
  <c r="V135" i="6" s="1"/>
  <c r="V136" i="6" s="1"/>
  <c r="V199" i="6"/>
  <c r="V195" i="6"/>
  <c r="V197" i="6"/>
  <c r="V85" i="9"/>
  <c r="V183" i="9" s="1"/>
  <c r="V182" i="9"/>
  <c r="V85" i="4"/>
  <c r="V183" i="4" s="1"/>
  <c r="V182" i="4"/>
  <c r="S252" i="28"/>
  <c r="U252" i="20" l="1"/>
  <c r="U252" i="25"/>
  <c r="U252" i="27"/>
  <c r="U252" i="18"/>
  <c r="S252" i="23"/>
  <c r="U252" i="21"/>
  <c r="U252" i="22"/>
  <c r="S252" i="20"/>
  <c r="U252" i="16"/>
  <c r="S252" i="17"/>
  <c r="S252" i="21"/>
  <c r="S252" i="27"/>
  <c r="S252" i="22"/>
  <c r="U252" i="14"/>
  <c r="U252" i="23"/>
  <c r="S252" i="26"/>
  <c r="S252" i="18"/>
  <c r="S252" i="19"/>
  <c r="V190" i="4"/>
  <c r="S188" i="5"/>
  <c r="S191" i="4"/>
  <c r="V188" i="5" l="1"/>
  <c r="S190" i="5"/>
  <c r="S188" i="6" l="1"/>
  <c r="S191" i="5"/>
  <c r="V190" i="5"/>
  <c r="V188" i="6" l="1"/>
  <c r="S190" i="6"/>
  <c r="S188" i="7" l="1"/>
  <c r="V190" i="6"/>
  <c r="S191" i="6"/>
  <c r="V188" i="7" l="1"/>
  <c r="S190" i="7"/>
  <c r="V190" i="7" l="1"/>
  <c r="S188" i="8"/>
  <c r="S191" i="7"/>
  <c r="S190" i="8" l="1"/>
  <c r="V188" i="8"/>
  <c r="S188" i="9" l="1"/>
  <c r="S191" i="8"/>
  <c r="V190" i="8"/>
  <c r="S190" i="9" l="1"/>
  <c r="V188" i="9"/>
  <c r="S191" i="9" l="1"/>
  <c r="S188" i="10"/>
  <c r="V190" i="9"/>
  <c r="S190" i="10" l="1"/>
  <c r="V188" i="10"/>
  <c r="S191" i="10" l="1"/>
  <c r="V190" i="10"/>
  <c r="S189" i="11"/>
  <c r="V189" i="11" l="1"/>
  <c r="S191" i="11"/>
  <c r="V191" i="11" l="1"/>
  <c r="S189" i="12"/>
  <c r="S192" i="11"/>
  <c r="V189" i="12" l="1"/>
  <c r="S191" i="12"/>
  <c r="S188" i="13" l="1"/>
  <c r="S192" i="12"/>
  <c r="V191" i="12"/>
  <c r="V188" i="13" l="1"/>
  <c r="S190" i="13"/>
  <c r="S191" i="13" l="1"/>
  <c r="S188" i="14"/>
  <c r="V190" i="13"/>
  <c r="S190" i="14" l="1"/>
  <c r="V188" i="14"/>
  <c r="V190" i="14" l="1"/>
  <c r="S188" i="15"/>
  <c r="S191" i="14"/>
  <c r="V188" i="15" l="1"/>
  <c r="S190" i="15"/>
  <c r="S188" i="16" l="1"/>
  <c r="V190" i="15"/>
  <c r="S191" i="15"/>
  <c r="V188" i="16" l="1"/>
  <c r="S190" i="16"/>
  <c r="S188" i="17" l="1"/>
  <c r="S191" i="16"/>
  <c r="V190" i="16"/>
  <c r="V188" i="17" l="1"/>
  <c r="S190" i="17"/>
  <c r="V190" i="17" l="1"/>
  <c r="S188" i="18"/>
  <c r="S191" i="17"/>
  <c r="V188" i="18" l="1"/>
  <c r="S190" i="18"/>
  <c r="S188" i="19" l="1"/>
  <c r="V190" i="18"/>
  <c r="S191" i="18"/>
  <c r="S190" i="19" l="1"/>
  <c r="V188" i="19"/>
  <c r="S188" i="20" l="1"/>
  <c r="S191" i="19"/>
  <c r="V190" i="19"/>
  <c r="S190" i="20" l="1"/>
  <c r="V188" i="20"/>
  <c r="S188" i="21" l="1"/>
  <c r="V190" i="20"/>
  <c r="S191" i="20"/>
  <c r="S190" i="21" l="1"/>
  <c r="V188" i="21"/>
  <c r="S188" i="22" l="1"/>
  <c r="S191" i="21"/>
  <c r="V190" i="21"/>
  <c r="S190" i="22" l="1"/>
  <c r="V188" i="22"/>
  <c r="S188" i="23" l="1"/>
  <c r="V190" i="22"/>
  <c r="S191" i="22"/>
  <c r="S190" i="23" l="1"/>
  <c r="V188" i="23"/>
  <c r="S188" i="24" l="1"/>
  <c r="V190" i="23"/>
  <c r="S191" i="23"/>
  <c r="V188" i="24" l="1"/>
  <c r="S190" i="24"/>
  <c r="S188" i="25" l="1"/>
  <c r="V190" i="24"/>
  <c r="S191" i="24"/>
  <c r="S190" i="25" l="1"/>
  <c r="V188" i="25"/>
  <c r="S188" i="26" l="1"/>
  <c r="S191" i="25"/>
  <c r="V190" i="25"/>
  <c r="S190" i="26" l="1"/>
  <c r="V188" i="26"/>
  <c r="S188" i="27" l="1"/>
  <c r="V190" i="26"/>
  <c r="S191" i="26"/>
  <c r="S190" i="27" l="1"/>
  <c r="V188" i="27"/>
  <c r="S188" i="28" l="1"/>
  <c r="V190" i="27"/>
  <c r="S191" i="27"/>
  <c r="S190" i="28" l="1"/>
  <c r="V188" i="28"/>
  <c r="S188" i="29" l="1"/>
  <c r="S191" i="28"/>
  <c r="V190" i="28"/>
  <c r="S190" i="29" l="1"/>
  <c r="V188" i="29"/>
  <c r="S188" i="30" l="1"/>
  <c r="V190" i="29"/>
  <c r="S191" i="29"/>
  <c r="S190" i="30" l="1"/>
  <c r="V188" i="30"/>
  <c r="S188" i="31" l="1"/>
  <c r="V190" i="30"/>
  <c r="S191" i="30"/>
  <c r="S190" i="31" l="1"/>
  <c r="V188" i="31"/>
  <c r="S188" i="32" l="1"/>
  <c r="V190" i="31"/>
  <c r="S191" i="31"/>
  <c r="S190" i="32" l="1"/>
  <c r="S188" i="33" s="1"/>
  <c r="V188" i="32"/>
  <c r="S190" i="33" l="1"/>
  <c r="S188" i="34" s="1"/>
  <c r="V188" i="33"/>
  <c r="V190" i="32"/>
  <c r="S191" i="32"/>
  <c r="S190" i="34" l="1"/>
  <c r="V188" i="34"/>
  <c r="V190" i="33"/>
  <c r="S191" i="33"/>
  <c r="S188" i="35" l="1"/>
  <c r="V190" i="34"/>
  <c r="S191" i="34"/>
  <c r="V188" i="35" l="1"/>
  <c r="S190" i="35"/>
  <c r="V190" i="35" l="1"/>
  <c r="S188" i="36"/>
  <c r="S191" i="35"/>
  <c r="S190" i="36" l="1"/>
  <c r="V188" i="36"/>
  <c r="S188" i="37" l="1"/>
  <c r="S191" i="36"/>
  <c r="V190" i="36"/>
  <c r="S190" i="37" l="1"/>
  <c r="V188" i="37"/>
  <c r="S188" i="38" l="1"/>
  <c r="S191" i="37"/>
  <c r="V190" i="37"/>
  <c r="S190" i="38" l="1"/>
  <c r="S188" i="39" s="1"/>
  <c r="V188" i="38"/>
  <c r="S190" i="39" l="1"/>
  <c r="V188" i="39"/>
  <c r="S191" i="38"/>
  <c r="V190" i="38"/>
  <c r="S187" i="40" l="1"/>
  <c r="S191" i="39"/>
  <c r="V190" i="39"/>
  <c r="S189" i="40" l="1"/>
  <c r="V187" i="40"/>
  <c r="S187" i="41" l="1"/>
  <c r="S190" i="40"/>
  <c r="V189" i="40"/>
  <c r="S189" i="41" l="1"/>
  <c r="V187" i="41"/>
  <c r="S187" i="42" l="1"/>
  <c r="S190" i="41"/>
  <c r="V189" i="41"/>
  <c r="V187" i="42" l="1"/>
  <c r="S189" i="42"/>
  <c r="V189" i="42" l="1"/>
  <c r="S187" i="43"/>
  <c r="S190" i="42"/>
  <c r="S189" i="43" l="1"/>
  <c r="V187" i="43"/>
  <c r="S187" i="44" l="1"/>
  <c r="S190" i="43"/>
  <c r="V189" i="43"/>
  <c r="S189" i="44" l="1"/>
  <c r="V187" i="44"/>
  <c r="S187" i="45" l="1"/>
  <c r="V189" i="44"/>
  <c r="S190" i="44"/>
  <c r="S189" i="45" l="1"/>
  <c r="V187" i="45"/>
  <c r="V189" i="45" l="1"/>
  <c r="S187" i="46"/>
  <c r="S190" i="45"/>
  <c r="S189" i="46" l="1"/>
  <c r="V187" i="46"/>
  <c r="S187" i="47" l="1"/>
  <c r="S190" i="46"/>
  <c r="V189" i="46"/>
  <c r="S189" i="47" l="1"/>
  <c r="S187" i="48" s="1"/>
  <c r="V187" i="47"/>
  <c r="S189" i="48" l="1"/>
  <c r="S187" i="49" s="1"/>
  <c r="V187" i="48"/>
  <c r="V189" i="47"/>
  <c r="S190" i="47"/>
  <c r="V187" i="49" l="1"/>
  <c r="S189" i="49"/>
  <c r="S190" i="50" s="1"/>
  <c r="V189" i="48"/>
  <c r="S190" i="48"/>
  <c r="V190" i="50" l="1"/>
  <c r="S192" i="50"/>
  <c r="V189" i="49"/>
  <c r="S190" i="49"/>
  <c r="V192" i="50" l="1"/>
  <c r="S190" i="51"/>
  <c r="S193" i="50"/>
  <c r="S192" i="51" l="1"/>
  <c r="V190" i="51"/>
  <c r="V192" i="51" l="1"/>
  <c r="S190" i="52"/>
  <c r="S193" i="51"/>
  <c r="S192" i="52" l="1"/>
  <c r="V190" i="52"/>
  <c r="S190" i="53" l="1"/>
  <c r="V192" i="52"/>
  <c r="S193" i="52"/>
  <c r="V190" i="53" l="1"/>
  <c r="S192" i="53"/>
  <c r="V192" i="53" l="1"/>
  <c r="S190" i="54"/>
  <c r="S193" i="53"/>
  <c r="S192" i="54" l="1"/>
  <c r="V190" i="54"/>
  <c r="S193" i="54" l="1"/>
  <c r="V192" i="54"/>
</calcChain>
</file>

<file path=xl/sharedStrings.xml><?xml version="1.0" encoding="utf-8"?>
<sst xmlns="http://schemas.openxmlformats.org/spreadsheetml/2006/main" count="23257" uniqueCount="432">
  <si>
    <t>Summary Transaction  Features</t>
  </si>
  <si>
    <t>Name of Issuer</t>
  </si>
  <si>
    <t>Originator % at Closing</t>
  </si>
  <si>
    <t xml:space="preserve">Originator % at the Quarter End </t>
  </si>
  <si>
    <t>Date of Issue</t>
  </si>
  <si>
    <t>Date of Production</t>
  </si>
  <si>
    <t>Security Level Data</t>
  </si>
  <si>
    <t>Moody's Rating at Closing</t>
  </si>
  <si>
    <t>Standard &amp; Poor's Rating at Closing</t>
  </si>
  <si>
    <t>Current Moody's Rating</t>
  </si>
  <si>
    <t>ISIN</t>
  </si>
  <si>
    <t xml:space="preserve">Note Interest Margins: </t>
  </si>
  <si>
    <t>Current Note Interest Rates:</t>
  </si>
  <si>
    <t>Previous Note Interest Rates:</t>
  </si>
  <si>
    <t>Optional Redemption (Call) Dates</t>
  </si>
  <si>
    <t>Step-up Dates</t>
  </si>
  <si>
    <t>Record Date</t>
  </si>
  <si>
    <t>Asset Movements</t>
  </si>
  <si>
    <t>Mortgages</t>
  </si>
  <si>
    <t>Current Principal Balance (£'000)</t>
  </si>
  <si>
    <t>Accrued Arrears and Interest Sold to Issuer (£'000)</t>
  </si>
  <si>
    <t>Total (£'000)</t>
  </si>
  <si>
    <t>Consumer Loans</t>
  </si>
  <si>
    <t>Credit Enhancement</t>
  </si>
  <si>
    <t>Spread Trap</t>
  </si>
  <si>
    <t>Unreplenished Losses on Mortgages</t>
  </si>
  <si>
    <t>Outstanding Note Principal</t>
  </si>
  <si>
    <t>Principal/Revenue Analysis</t>
  </si>
  <si>
    <t>Opening cash balance</t>
  </si>
  <si>
    <t xml:space="preserve">Total principal cash received this period from assets </t>
  </si>
  <si>
    <t>Initial income for distribution this period</t>
  </si>
  <si>
    <t>Revenue adjustment for payment of Accrued Arrears and Interest Sold at closing</t>
  </si>
  <si>
    <t>Final income for distribution this period</t>
  </si>
  <si>
    <t>Revenue payments made or accrued from Revenue Income:</t>
  </si>
  <si>
    <t>Accrued Arrears and Interest not Sold to Issuer</t>
  </si>
  <si>
    <t>Third Party payments for Corporation Tax and VAT</t>
  </si>
  <si>
    <t>Cap/Swap Retention fund</t>
  </si>
  <si>
    <t>Principal payments made from Principal Income:</t>
  </si>
  <si>
    <t>Discretionary Further Advances</t>
  </si>
  <si>
    <t>Total payments to be made this quarter</t>
  </si>
  <si>
    <t>Total closing cash balance</t>
  </si>
  <si>
    <t>Available Credit Enhancement</t>
  </si>
  <si>
    <t>First Loss Fund Analysis</t>
  </si>
  <si>
    <t>First Loss Fund at Closing</t>
  </si>
  <si>
    <t>Last Quarter closing First Loss Fund balance</t>
  </si>
  <si>
    <t>PDL Replenishment</t>
  </si>
  <si>
    <t>Closing First Loss Fund Balance</t>
  </si>
  <si>
    <t>Requirement</t>
  </si>
  <si>
    <t>Build up - prior periods</t>
  </si>
  <si>
    <t>Build up - this period</t>
  </si>
  <si>
    <t>Requirement Outstanding</t>
  </si>
  <si>
    <t>Principal Deficiency Ledger (PDL)</t>
  </si>
  <si>
    <t>Opening PDL Balance</t>
  </si>
  <si>
    <t>Losses this quarter</t>
  </si>
  <si>
    <t>Total PDL balance</t>
  </si>
  <si>
    <t>Closing PDL Balance</t>
  </si>
  <si>
    <t>Over Collateralisation</t>
  </si>
  <si>
    <t>Current Principal Balance Outstanding and Accrued Arrears (£'000)</t>
  </si>
  <si>
    <t>Outstanding Note Principal (£'000)</t>
  </si>
  <si>
    <t>Mandatory and Discretionary Further Advances (FA's)</t>
  </si>
  <si>
    <t>Total FA's permitted</t>
  </si>
  <si>
    <t>FA's made to last quarter</t>
  </si>
  <si>
    <t>FA's made this quarter</t>
  </si>
  <si>
    <t>Total FA's made to date</t>
  </si>
  <si>
    <t>Remaining permitted FA's</t>
  </si>
  <si>
    <t xml:space="preserve">Cash Flow Interest Coverage </t>
  </si>
  <si>
    <t>Cover Ratio for Class A Notes (at last Interest Payment Date)</t>
  </si>
  <si>
    <t xml:space="preserve">Cover Ratio for Class A Notes (cumulative) </t>
  </si>
  <si>
    <t>Cover Ratio for Class B Notes (at last Interest Payment Date)</t>
  </si>
  <si>
    <t xml:space="preserve">Cover Ratio for Class B Notes (cumulative) </t>
  </si>
  <si>
    <t>Collateral Level Data</t>
  </si>
  <si>
    <t>Original Weighted Average Yield</t>
  </si>
  <si>
    <t>Original Spread</t>
  </si>
  <si>
    <t>Current Weighted Average Yield</t>
  </si>
  <si>
    <t>Current Spread</t>
  </si>
  <si>
    <t>Original Weighted Average Maturity</t>
  </si>
  <si>
    <t>Current Weighted Average Maturity</t>
  </si>
  <si>
    <t>Quarterly Prepayment Rate</t>
  </si>
  <si>
    <t>Life Time Prepayment Rate</t>
  </si>
  <si>
    <t>Delinquency Status</t>
  </si>
  <si>
    <t>Enforcements in Progress</t>
  </si>
  <si>
    <t>Enforcements Completed</t>
  </si>
  <si>
    <t>Aggregate Principal Balance of Repurchased Loans</t>
  </si>
  <si>
    <t>Principal Losses</t>
  </si>
  <si>
    <t>Agg Loan Principal Losses (during related Collection Period)</t>
  </si>
  <si>
    <t>Cumulative Principal Losses (since closing date)</t>
  </si>
  <si>
    <t>Average Number of months in Arrears @ Redemption date</t>
  </si>
  <si>
    <t>Average months between Possession &amp; Redemption</t>
  </si>
  <si>
    <t>Performing</t>
  </si>
  <si>
    <t>&gt;1&lt;=2 Months</t>
  </si>
  <si>
    <t>&gt;2&lt;=3 Months</t>
  </si>
  <si>
    <t>Contact Name/Address</t>
  </si>
  <si>
    <t>John Harvey, St. Catherines Court, Herbert Road, Solihull, West Midlands, B91 3QE</t>
  </si>
  <si>
    <t>Jimmy Giles, St. Catherines Court, Herbert Road, Solihull, West Midlands, B91 3QE</t>
  </si>
  <si>
    <t>As at Closing</t>
  </si>
  <si>
    <t>PDD =</t>
  </si>
  <si>
    <t>Last Quarter Balance</t>
  </si>
  <si>
    <t>Tel.</t>
  </si>
  <si>
    <t>This Quarter Redemptions and Repayments</t>
  </si>
  <si>
    <t>E-mail</t>
  </si>
  <si>
    <t>Additions this quarter</t>
  </si>
  <si>
    <t>DFA's</t>
  </si>
  <si>
    <t>No.</t>
  </si>
  <si>
    <t>%</t>
  </si>
  <si>
    <t>PML</t>
  </si>
  <si>
    <t>Senior/Subordinate</t>
  </si>
  <si>
    <t>Repurchases this quarter</t>
  </si>
  <si>
    <t>Principal (£'000)</t>
  </si>
  <si>
    <t>£'000 Value</t>
  </si>
  <si>
    <t>£'000 Principal</t>
  </si>
  <si>
    <t>years</t>
  </si>
  <si>
    <t>Quarterly</t>
  </si>
  <si>
    <t>Current Principal Outstanding</t>
  </si>
  <si>
    <t>Revenue (£'000)</t>
  </si>
  <si>
    <t>Total</t>
  </si>
  <si>
    <t>x</t>
  </si>
  <si>
    <t>Payments to Swap Counterparty</t>
  </si>
  <si>
    <t>Pre Funding Reserve</t>
  </si>
  <si>
    <t>N/A</t>
  </si>
  <si>
    <t>Note Step-Up Margins</t>
  </si>
  <si>
    <t>ACTUAL/360</t>
  </si>
  <si>
    <t>Previous Quarterly Interest Period (No. of Days)</t>
  </si>
  <si>
    <t>Current Quarterly Interest Period (No. of Days)</t>
  </si>
  <si>
    <t>A Note Interest / Currency Swap Interest</t>
  </si>
  <si>
    <t>B Note Interest / Currency Swap Interest</t>
  </si>
  <si>
    <t>First Loss Fund Replenishment</t>
  </si>
  <si>
    <t>Surplus income to the Issuer</t>
  </si>
  <si>
    <t>4 (a)</t>
  </si>
  <si>
    <t>4 (b)</t>
  </si>
  <si>
    <t>Replenishments from excess Revenue cash</t>
  </si>
  <si>
    <t>Current Pool Factor</t>
  </si>
  <si>
    <t>Previous Pool Factor</t>
  </si>
  <si>
    <t xml:space="preserve">Previous Outstanding Note Principal </t>
  </si>
  <si>
    <t>Original Issue Amount ('000)</t>
  </si>
  <si>
    <t xml:space="preserve">Current Outstanding Note Principal </t>
  </si>
  <si>
    <t>First Loss Fund Drawings</t>
  </si>
  <si>
    <t>Drawings this quarter to fund</t>
  </si>
  <si>
    <t>N.B. This data fact sheet and its notes can only be a summary of certain features of the bonds and their structure. No representation can be made that the information herein is accurate or complete and no liability is accepted therefor. Reference should be made to the issued</t>
  </si>
  <si>
    <t xml:space="preserve">information herein when making any decision whether to buy, hold or sell bonds (or other securities) or for any other purpose. </t>
  </si>
  <si>
    <t>documentation for a full description of the bonds and their structure. This data fact sheet and its notes are for information purposes only and are not intended as an offer or invitation with respect to the purchase or sale of any security. Reliance should not be placed on the</t>
  </si>
  <si>
    <t>MTL</t>
  </si>
  <si>
    <t>Aaa</t>
  </si>
  <si>
    <t>A2</t>
  </si>
  <si>
    <t>AAA</t>
  </si>
  <si>
    <t>A</t>
  </si>
  <si>
    <t>Appointment of a Receiver of Rent</t>
  </si>
  <si>
    <t>Available Redemption Funds</t>
  </si>
  <si>
    <t>+44 (0) 121 712 2315</t>
  </si>
  <si>
    <t>+44 (0) 121 712 3894</t>
  </si>
  <si>
    <t xml:space="preserve">Junior Administration Fee to PFPLC and MTS </t>
  </si>
  <si>
    <t>4 (c)</t>
  </si>
  <si>
    <t>Original Weighted Average Note Coupon and Currency Swap Rate</t>
  </si>
  <si>
    <t>john.harvey@paragon-group.co.uk</t>
  </si>
  <si>
    <t>jimmy.giles@paragon-group.co.uk</t>
  </si>
  <si>
    <t>ACTUAL/365</t>
  </si>
  <si>
    <t>Facility at Closing</t>
  </si>
  <si>
    <t>&gt;3&lt;=4 Months</t>
  </si>
  <si>
    <t>&gt;4&lt;=5 Months</t>
  </si>
  <si>
    <t>&gt;5&lt;=6 Months</t>
  </si>
  <si>
    <t>&gt;6&lt;=12 Months</t>
  </si>
  <si>
    <t>&gt;12 Months</t>
  </si>
  <si>
    <t>Funding of MTL payment holidays</t>
  </si>
  <si>
    <t>Delinquency Summary (Excluding Receiver of Rent and Possession Cases)</t>
  </si>
  <si>
    <t>Delinquency Summary (For Possession Cases)</t>
  </si>
  <si>
    <t>Total Assets</t>
  </si>
  <si>
    <t>AA</t>
  </si>
  <si>
    <t xml:space="preserve">FOR FURTHER ASSISTANCE ON THE INVESTOR REPORTS, PLEASE REFER TO THE "INVESTOR TERMS" POSTED ON THE PARAGON WEBSITE   </t>
  </si>
  <si>
    <t>http://www.paragon-group.co.uk</t>
  </si>
  <si>
    <t xml:space="preserve">FOR ADDITIONAL INFORMATION ON THE UNDERLYING ASSETS, PLEASE REFER TO THE "POOL TABLES" AND "SUMMARY" SECTIONS POSTED ON THE PARAGON WEBSITE  </t>
  </si>
  <si>
    <t>Class B and C Notes as a percentage Class A Notes at issue</t>
  </si>
  <si>
    <t>Outstanding Class B and C Notes as a percentage of Outstanding Class A Notes</t>
  </si>
  <si>
    <t>Determination Event for Paying Class B and C Notes</t>
  </si>
  <si>
    <t>Drawings used to fund Mandatory Further Advances during the period</t>
  </si>
  <si>
    <t>PML Mandatory Further Advances</t>
  </si>
  <si>
    <t>MTL Mandatory Further Advances</t>
  </si>
  <si>
    <t>C Note Interest / Currency Swap Interest</t>
  </si>
  <si>
    <t>MFA's (PML)</t>
  </si>
  <si>
    <t>Class A1 Notes</t>
  </si>
  <si>
    <t>Class A2a Notes</t>
  </si>
  <si>
    <t>Class A2b Notes</t>
  </si>
  <si>
    <t>Class B1a Notes</t>
  </si>
  <si>
    <t>Class B1b Notes</t>
  </si>
  <si>
    <t>Class C1b Notes</t>
  </si>
  <si>
    <t>Aa2</t>
  </si>
  <si>
    <t>A2a Note Interest</t>
  </si>
  <si>
    <t>B1b Swap Currency Interest</t>
  </si>
  <si>
    <t>B1a Note Interest</t>
  </si>
  <si>
    <t>C1b Swap Currency repayment</t>
  </si>
  <si>
    <t>B1b Swap Currency repayment</t>
  </si>
  <si>
    <t>B1a Note repayment</t>
  </si>
  <si>
    <t>Fitch Rating at Closing</t>
  </si>
  <si>
    <t>Current Standard &amp; Poor's Rating</t>
  </si>
  <si>
    <t>Current Fitch Rating</t>
  </si>
  <si>
    <t xml:space="preserve"> </t>
  </si>
  <si>
    <t>A2b Swap Currency repayment</t>
  </si>
  <si>
    <t>A2a Note repayment</t>
  </si>
  <si>
    <t>C1b Swap Currency Interest</t>
  </si>
  <si>
    <t>A1 Swap Currency repayment</t>
  </si>
  <si>
    <t>Cover Ratio for Class C Notes (at last Interest Payment Date)</t>
  </si>
  <si>
    <t xml:space="preserve">Cover Ratio for Class C Notes (cumulative) </t>
  </si>
  <si>
    <t>TBA</t>
  </si>
  <si>
    <t>Quarterly Interest Payment Date</t>
  </si>
  <si>
    <t>Class A1 Interest Payment Cycle</t>
  </si>
  <si>
    <t>Monthly</t>
  </si>
  <si>
    <t>Senior Administration Fee to PFPLC and MTS/ Out of pocket expenses/ Substitute Administrators Commitment Fee</t>
  </si>
  <si>
    <t>5 (a)</t>
  </si>
  <si>
    <t>5 (b)</t>
  </si>
  <si>
    <t>6 (a)</t>
  </si>
  <si>
    <t>Stated Maturity - Class A Notes</t>
  </si>
  <si>
    <t>Stated Maturity - Class B Notes</t>
  </si>
  <si>
    <t>Stated Maturity - Class C Notes</t>
  </si>
  <si>
    <t>Redemption Income</t>
  </si>
  <si>
    <t>Investment Income</t>
  </si>
  <si>
    <t>P-1/Aaa</t>
  </si>
  <si>
    <t>A-1+/AAA</t>
  </si>
  <si>
    <t>F1+/AAA</t>
  </si>
  <si>
    <t>Quarterly Interest Income</t>
  </si>
  <si>
    <t>Receiver of Rent Properties Sold</t>
  </si>
  <si>
    <t>Average Number of months in Arrears @ Sale date</t>
  </si>
  <si>
    <t>Current Weighted Average Note Coupon and Currency Swap Rate</t>
  </si>
  <si>
    <t>Class A2c Notes</t>
  </si>
  <si>
    <t>Class C1a Notes</t>
  </si>
  <si>
    <t>A1, A2b and A2c Swap Currency Interest</t>
  </si>
  <si>
    <t>C1a Note Interest</t>
  </si>
  <si>
    <t>6 (b)</t>
  </si>
  <si>
    <t>Trustee Fee/Tender Agent Fees/ Costs and Expenses claimed by the Remarketing Agent and the A1 Conditional Purchaser</t>
  </si>
  <si>
    <t>A2c Swap Currency repayment</t>
  </si>
  <si>
    <t>C1a Note repayment</t>
  </si>
  <si>
    <t>Class A2a, B1a and C1a Interest Calculated on</t>
  </si>
  <si>
    <t>Class A1, A2b, A2c, B1b and C1b Interest Calculated on</t>
  </si>
  <si>
    <t xml:space="preserve"> 0 bp</t>
  </si>
  <si>
    <t>20 bp</t>
  </si>
  <si>
    <t>18 bp</t>
  </si>
  <si>
    <t>38 bp</t>
  </si>
  <si>
    <t>42 bp</t>
  </si>
  <si>
    <t>21 bp</t>
  </si>
  <si>
    <t>4 (d)</t>
  </si>
  <si>
    <t>Flexile Drawing Facilty</t>
  </si>
  <si>
    <t>Payments to Flexible Drawing Facility Provider's commitment Fee and interest</t>
  </si>
  <si>
    <t>Subordinated Payments to the Flexible Drawing Facility Provider</t>
  </si>
  <si>
    <t>Termination Fees to the Swap Providers</t>
  </si>
  <si>
    <t>Closing Flexible Drawing Facility balance</t>
  </si>
  <si>
    <t>Total Income as a % of the Total Assets</t>
  </si>
  <si>
    <t>Aggregate Balance of Substituted Loans (Pre Funding Reserve)</t>
  </si>
  <si>
    <t>Paragon Mortgages (No.14) PLC</t>
  </si>
  <si>
    <t>This performance report is issued by Paragon Finance PLC for and on behalf of Paragon Mortgages (No.14) PLC</t>
  </si>
  <si>
    <t>PM14 PLC</t>
  </si>
  <si>
    <t>PM14 INVESTOR REPORT QUARTER ENDING AUGUST 2007</t>
  </si>
  <si>
    <t>US69913FAA57</t>
  </si>
  <si>
    <t>XS0292826921</t>
  </si>
  <si>
    <t>XS0291722931</t>
  </si>
  <si>
    <t>XS0291723400</t>
  </si>
  <si>
    <t>US69913FAB31</t>
  </si>
  <si>
    <t>XS0292849972</t>
  </si>
  <si>
    <t>XS0291724044</t>
  </si>
  <si>
    <t>XS0291724630</t>
  </si>
  <si>
    <t>XS0291726254</t>
  </si>
  <si>
    <t>XS0291728466</t>
  </si>
  <si>
    <t>10 bp</t>
  </si>
  <si>
    <t>11bp</t>
  </si>
  <si>
    <t>14bp</t>
  </si>
  <si>
    <t>43 bp</t>
  </si>
  <si>
    <t>23 bp</t>
  </si>
  <si>
    <t>27 bp</t>
  </si>
  <si>
    <t>87 bp</t>
  </si>
  <si>
    <t>36 bp</t>
  </si>
  <si>
    <t>76 bp</t>
  </si>
  <si>
    <t>Replenishments from drawings on the PM14/PFPLC/MTS Subordinated Loan</t>
  </si>
  <si>
    <t>Drawing on the PFPLC/MTS/PM14 Subordinated Loan for Interest Shortfalls</t>
  </si>
  <si>
    <t>Margin Reserve Fund</t>
  </si>
  <si>
    <t>Opening Balance</t>
  </si>
  <si>
    <t>Closing Balance</t>
  </si>
  <si>
    <t>Swap Receipts</t>
  </si>
  <si>
    <t>Scheduled Release to the Revenue Ledger</t>
  </si>
  <si>
    <t xml:space="preserve">Scheduled Releases from the Margin Reserve Fund </t>
  </si>
  <si>
    <t>Delinquency Summary (For Receiver of Rent Cases)</t>
  </si>
  <si>
    <t>N/A: Sequential Paydown</t>
  </si>
  <si>
    <t>Andrew Kitching, St. Catherines Court, Herbert Road, Solihull, West Midlands, B91 3QE</t>
  </si>
  <si>
    <t>+44 (0) 121 712 3896</t>
  </si>
  <si>
    <t>andrew.kitching@paragon-group.co.uk</t>
  </si>
  <si>
    <t>Class A2a, A2b, A2c, B1a, B1b, C1a and C1b Interest Payment Cycle</t>
  </si>
  <si>
    <t xml:space="preserve"> 3 bp</t>
  </si>
  <si>
    <t>PM14 INVESTOR REPORT QUARTER ENDING NOVEMBER 2007</t>
  </si>
  <si>
    <t>Accrual from Revenue for potential Losses</t>
  </si>
  <si>
    <t>PM14 INVESTOR REPORT QUARTER ENDING FEBRUARY 2008</t>
  </si>
  <si>
    <t xml:space="preserve"> 10 bp</t>
  </si>
  <si>
    <t xml:space="preserve"> 13 bp</t>
  </si>
  <si>
    <t>PM14 INVESTOR REPORT QUARTER ENDING MAY 2008</t>
  </si>
  <si>
    <t>PM14 INVESTOR REPORT QUARTER ENDING AUGUST 2008</t>
  </si>
  <si>
    <t>PM14 INVESTOR REPORT QUARTER ENDING NOVEMBER 2008</t>
  </si>
  <si>
    <t>PM14 INVESTOR REPORT QUARTER ENDING FEBRUARY 2009</t>
  </si>
  <si>
    <t>Properties Sold by Mortgagee - Outstanding Principal Balance</t>
  </si>
  <si>
    <t>PM14 INVESTOR REPORT QUARTER ENDING MAY 2009</t>
  </si>
  <si>
    <t>AA+</t>
  </si>
  <si>
    <t>PM14 INVESTOR REPORT QUARTER ENDING AUGUST 2009</t>
  </si>
  <si>
    <t>Possession Properties Sold</t>
  </si>
  <si>
    <t>Original GBP Equivalent Note Principal</t>
  </si>
  <si>
    <t>Previous GBP Equivalent Note Principal</t>
  </si>
  <si>
    <t>Current GBP Equivalent Note Principal</t>
  </si>
  <si>
    <t>GBP Note Margin</t>
  </si>
  <si>
    <t>Current GBP Interest Rates</t>
  </si>
  <si>
    <t>Previous GBP Interest Rates</t>
  </si>
  <si>
    <t>GBP Step -Up Margins</t>
  </si>
  <si>
    <t>PM14 INVESTOR REPORT QUARTER ENDING NOVEMBER 2009</t>
  </si>
  <si>
    <t>PM14 INVESTOR REPORT QUARTER ENDING FEBRUARY 2010</t>
  </si>
  <si>
    <t>Closing Flexible Drawing Facility balance (with effect from 15th December 2009)</t>
  </si>
  <si>
    <t>PM14 INVESTOR REPORT QUARTER ENDING MAY 2010</t>
  </si>
  <si>
    <t>PM14 INVESTOR REPORT QUARTER ENDING AUGUST 2010</t>
  </si>
  <si>
    <t xml:space="preserve">Delinquency Summary </t>
  </si>
  <si>
    <t>PM14 INVESTOR REPORT QUARTER ENDING NOVEMBER 2010</t>
  </si>
  <si>
    <t>PM14 INVESTOR REPORT QUARTER ENDING FEBRUARY 2011</t>
  </si>
  <si>
    <t>PM14 INVESTOR REPORT QUARTER ENDING MAY 2011</t>
  </si>
  <si>
    <t>PM14 INVESTOR REPORT QUARTER ENDING AUGUST 2011</t>
  </si>
  <si>
    <t>PM14 INVESTOR REPORT QUARTER ENDING NOVEMBER 2011</t>
  </si>
  <si>
    <t>F1/AAA</t>
  </si>
  <si>
    <t>PDL replenishment (-) from Revenue income / Recovery (+) to Revenue income</t>
  </si>
  <si>
    <t>PM14 INVESTOR REPORT QUARTER ENDING FEBRUARY 2012</t>
  </si>
  <si>
    <t>A-1/AAA</t>
  </si>
  <si>
    <t>PM14 INVESTOR REPORT QUARTER ENDING MAY 2012</t>
  </si>
  <si>
    <t>AA-</t>
  </si>
  <si>
    <t>BBB-</t>
  </si>
  <si>
    <t xml:space="preserve"> 20 bp</t>
  </si>
  <si>
    <t xml:space="preserve"> 24 bp</t>
  </si>
  <si>
    <t>23bp</t>
  </si>
  <si>
    <t>27bp</t>
  </si>
  <si>
    <t>24 bp</t>
  </si>
  <si>
    <t>PM14 INVESTOR REPORT QUARTER ENDING AUGUST 2012</t>
  </si>
  <si>
    <t>P-2/Aaa</t>
  </si>
  <si>
    <t>PM14 INVESTOR REPORT QUARTER ENDING NOVEMBER 2012</t>
  </si>
  <si>
    <t>PM14 INVESTOR REPORT QUARTER ENDING FEBRUARY 2013</t>
  </si>
  <si>
    <t>Trustee Fee/Tender Agent Fees/ Costs and Expenses claimed by the Substitute Administrator, the Remarketing Agent and the A1 Conditional Purchaser</t>
  </si>
  <si>
    <t>Senior Administration Fee to PFPLC and MTS/ Out of pocket expenses/ Substitute Administrator Commitment Fee</t>
  </si>
  <si>
    <t>P-2/Aa3</t>
  </si>
  <si>
    <t>Aa3</t>
  </si>
  <si>
    <t>A1</t>
  </si>
  <si>
    <t>A3</t>
  </si>
  <si>
    <t>PM14 INVESTOR REPORT QUARTER ENDING MAY 2013</t>
  </si>
  <si>
    <t>A-</t>
  </si>
  <si>
    <t>John Harvey, 51 Homer Road, Solihull, West Midlands, B91 3QJ</t>
  </si>
  <si>
    <t>Andrew Kitching, 51 Homer Road, Solihull, West Midlands, B91 3QJ</t>
  </si>
  <si>
    <t>Jimmy Giles, 51 Homer Road, Solihull, West Midlands, B91 3QJ</t>
  </si>
  <si>
    <t>PM14 INVESTOR REPORT QUARTER ENDING AUGUST 2013</t>
  </si>
  <si>
    <t>PM14 INVESTOR REPORT QUARTER ENDING NOVEMBER 2013</t>
  </si>
  <si>
    <t>PM14 INVESTOR REPORT QUARTER ENDING FEBRUARY 2014</t>
  </si>
  <si>
    <t>Closing Flexible Drawing Facility balance (with effect from 17th March 2014)</t>
  </si>
  <si>
    <t>PM14 INVESTOR REPORT QUARTER ENDING MAY 2014</t>
  </si>
  <si>
    <t>PM14 INVESTOR REPORT QUARTER ENDING AUGUST 2014</t>
  </si>
  <si>
    <t>PM14 INVESTOR REPORT QUARTER ENDING NOVEMBER 2014</t>
  </si>
  <si>
    <t>PM14 INVESTOR REPORT QUARTER ENDING FEBRUARY 2015</t>
  </si>
  <si>
    <t>PM14 INVESTOR REPORT QUARTER ENDING MAY 2015</t>
  </si>
  <si>
    <t>F2/AAA</t>
  </si>
  <si>
    <t>PM14 INVESTOR REPORT QUARTER ENDING AUGUST 2015</t>
  </si>
  <si>
    <t>A-2/AAA</t>
  </si>
  <si>
    <t>PM14 INVESTOR REPORT QUARTER ENDING NOVEMBER 2015</t>
  </si>
  <si>
    <t>PM14 INVESTOR REPORT QUARTER ENDING FEBRUARY 2016</t>
  </si>
  <si>
    <t>PM14 INVESTOR REPORT QUARTER ENDING MAY 2016</t>
  </si>
  <si>
    <t>PM14 INVESTOR REPORT QUARTER ENDING AUGUST 2016</t>
  </si>
  <si>
    <t>PM14 INVESTOR REPORT QUARTER ENDING NOVEMBER 2016</t>
  </si>
  <si>
    <t>PM14 INVESTOR REPORT QUARTER ENDING FEBRUARY 2017</t>
  </si>
  <si>
    <t>Class A1, A2a, B1a and C1a Interest Calculated on</t>
  </si>
  <si>
    <t>Class A2b, A2c, B1b and C1b Interest Calculated on</t>
  </si>
  <si>
    <t>Class A1, A2a, A2b, A2c, B1a, B1b, C1a and C1b Interest Payment Cycle</t>
  </si>
  <si>
    <t>PM14 INVESTOR REPORT QUARTER ENDING MAY 2017</t>
  </si>
  <si>
    <t xml:space="preserve">A1 and A2a Note Interest  *    </t>
  </si>
  <si>
    <t>A2b and A2c Swap Currency Interest  *</t>
  </si>
  <si>
    <t>A1, A2b and A2c Swap Currency Interest                            A1 and A2a Note Interest</t>
  </si>
  <si>
    <t>A2a Note Interest                                                              A2b and A2c Swap Currency Interest</t>
  </si>
  <si>
    <r>
      <rPr>
        <u/>
        <sz val="12"/>
        <color indexed="18"/>
        <rFont val="Times New Roman"/>
        <family val="1"/>
      </rPr>
      <t>Prior to the Interest Payment Date on 15th March 17</t>
    </r>
    <r>
      <rPr>
        <sz val="12"/>
        <color indexed="18"/>
        <rFont val="Times New Roman"/>
        <family val="1"/>
      </rPr>
      <t xml:space="preserve">             </t>
    </r>
    <r>
      <rPr>
        <u/>
        <sz val="12"/>
        <color indexed="18"/>
        <rFont val="Times New Roman"/>
        <family val="1"/>
      </rPr>
      <t xml:space="preserve">From the Interest Payment Date on 15th March 17 </t>
    </r>
  </si>
  <si>
    <t>* Rows 106 - 107 - Revenue Priority of Payments</t>
  </si>
  <si>
    <t xml:space="preserve">FOR ADDITIONAL INFORMATION ON THE CHANGES TO THE REVENUE PRIORITY OF PAYMENTS, PLEASE REFER TO THE "GLOSSARY OF TERMS" POSTED ON THE PARAGON WEBSITE  </t>
  </si>
  <si>
    <t>PM14 INVESTOR REPORT QUARTER ENDING AUGUST 2017</t>
  </si>
  <si>
    <t>http://www.paragonbankinggroup.co.uk</t>
  </si>
  <si>
    <t>andrew.kitching@paragonbank.co.uk</t>
  </si>
  <si>
    <t>jimmy.giles@paragonbank.co.uk</t>
  </si>
  <si>
    <r>
      <rPr>
        <u/>
        <sz val="12"/>
        <color theme="6"/>
        <rFont val="Calibri"/>
        <family val="2"/>
        <scheme val="minor"/>
      </rPr>
      <t>Prior to the Interest Payment Date on 15th March 17</t>
    </r>
    <r>
      <rPr>
        <sz val="12"/>
        <color theme="6"/>
        <rFont val="Calibri"/>
        <family val="2"/>
        <scheme val="minor"/>
      </rPr>
      <t xml:space="preserve">             </t>
    </r>
    <r>
      <rPr>
        <u/>
        <sz val="12"/>
        <color theme="6"/>
        <rFont val="Calibri"/>
        <family val="2"/>
        <scheme val="minor"/>
      </rPr>
      <t xml:space="preserve">From the Interest Payment Date on 15th March 17 </t>
    </r>
  </si>
  <si>
    <t>PM14 INVESTOR REPORT QUARTER ENDING NOVEMBER 2017</t>
  </si>
  <si>
    <t>PM14 INVESTOR REPORT QUARTER ENDING FEBRUARY 2018</t>
  </si>
  <si>
    <t>PM14 INVESTOR REPORT QUARTER ENDING MAY 2018</t>
  </si>
  <si>
    <t>PM14 INVESTOR REPORT QUARTER ENDING AUGUST 2018</t>
  </si>
  <si>
    <t>PM14 INVESTOR REPORT QUARTER ENDING NOVEMBER 2018</t>
  </si>
  <si>
    <t>PM14 INVESTOR REPORT QUARTER ENDING FEBRUARY 2019</t>
  </si>
  <si>
    <t>PM14 INVESTOR REPORT QUARTER ENDING MAY 2019</t>
  </si>
  <si>
    <t>PM14 INVESTOR REPORT QUARTER ENDING AUGUST 2019</t>
  </si>
  <si>
    <t>A+</t>
  </si>
  <si>
    <t>Repayment of the Subordinated Loan (Repayment of the Minimum Mortgage Rate Drawings)</t>
  </si>
  <si>
    <t>Deferred Consideration</t>
  </si>
  <si>
    <t>Management Charge</t>
  </si>
  <si>
    <t>Interest on the Subordinated Loan (First Loss Fund)</t>
  </si>
  <si>
    <t>A1 Note repayment</t>
  </si>
  <si>
    <t>PM14 INVESTOR REPORT QUARTER ENDING NOVEMBER 2019</t>
  </si>
  <si>
    <t>PM14 INVESTOR REPORT QUARTER ENDING FEBRUARY 2020</t>
  </si>
  <si>
    <t>PM14 INVESTOR REPORT QUARTER ENDING MAY 2020</t>
  </si>
  <si>
    <t>**</t>
  </si>
  <si>
    <t>Delinquency Summary (For COVID19 Payment Holiday Cases)</t>
  </si>
  <si>
    <t>Payment Holidays</t>
  </si>
  <si>
    <t>On 18th March 2020, the UK Government instructed Lenders to grant a three-month mortgage payment holiday to Buy to Let landlords who may be experiencing difficulties in meeting their buy to let mortgage payments caused by the impact of the COVID19 virus.</t>
  </si>
  <si>
    <t>Following this guidance and where appropriate, Paragon have agreed a mortgage payment holiday with customers, ranging between one and three months. Paragon have emphasised to the customers (a) this is only a temporary arrangement and that the position</t>
  </si>
  <si>
    <t xml:space="preserve">will be reviewed after the payment holiday period and (b) interest will continue to be charged on the payment holiday amount that forms part of the customers' outstanding mortgage balance. Following the expiry of the relevant payment holiday arrangement, </t>
  </si>
  <si>
    <t xml:space="preserve">Paragon will contact the customer with a range of available options, including an overpayment on the customers' monthly payment to clear the payment holiday amount. In accordance with the practices of a reasonable prudent administrator, each case will be </t>
  </si>
  <si>
    <t>assessed individually and on its own merits.</t>
  </si>
  <si>
    <t>Paragon have also made the necessary system changes to accommodate payment holidays. For reporting purposes, and in line with the UK Finance's expectations, customers that have been granted a payment holiday will not be categorised nor reported as an arrears</t>
  </si>
  <si>
    <t xml:space="preserve">loan. It is expected that Paragon will be in a position to identify and report on the payment holiday customers for investor reporting and loan by loan disclosure requirements. </t>
  </si>
  <si>
    <t>LIBOR transition</t>
  </si>
  <si>
    <t>Paragon are proactively working with other banks, industry bodies, our regulators and trade associations to define the next steps to consider alternatives to LIBOR and explore all reasonable alternatives. The decision regarding the replacement will be based on a variety of factors,</t>
  </si>
  <si>
    <t>including taking into account the interests of our customers, market consultations and the expectations of our regulators (the PRA and FCA).</t>
  </si>
  <si>
    <t>Receiver of Rent Cases by Current Status, as at the PDD</t>
  </si>
  <si>
    <t>Rented</t>
  </si>
  <si>
    <t>Vacant - to be let</t>
  </si>
  <si>
    <t>Vacant - to be sold</t>
  </si>
  <si>
    <t>Property Rented/For Sale</t>
  </si>
  <si>
    <t xml:space="preserve">Strategic review </t>
  </si>
  <si>
    <t>** For transparency, a table has been included where customers have elected to take a payment holiday, caused by COVID19. Rows 304 - 314 Delinquency Summary (For COVID19 Payment Holiday Cases) are included in the Overall Deliquency Summary in rows 244 - 254.</t>
  </si>
  <si>
    <t>% by Number of Accounts/Balance</t>
  </si>
  <si>
    <t>Offer Issued/Offer Accepted/Contracts Issued/Contracts Exchanged</t>
  </si>
  <si>
    <t>PM14 INVESTOR REPORT QUARTER ENDING AUGUST 2020</t>
  </si>
  <si>
    <t>Original Payment Holiday Borrowers</t>
  </si>
  <si>
    <t>Extended Payment Holiday Borrowers</t>
  </si>
  <si>
    <t>Payment Holiday Extensions</t>
  </si>
  <si>
    <t xml:space="preserve">On 22nd May 2020, the UK Government announced that payment holidays would be extended for a further three months for Buy to Let landlords who may be experiencing, or continue to experience, difficulties in meeting their buy to let mortgage payments caused </t>
  </si>
  <si>
    <t xml:space="preserve">by the impact of the COVID19 virus. There is a deadline of 31st October 2020 for customers who have yet to apply for a payment holiday with their lenders. The same principles as outlined above for the "original" payment holiday customers will also apply to the </t>
  </si>
  <si>
    <t>"extended" payment holiday customers.</t>
  </si>
  <si>
    <t>WA PH Remaining Term (months)</t>
  </si>
  <si>
    <t>PM14 INVESTOR REPORT QUARTER ENDING NOVEMBER 2020</t>
  </si>
  <si>
    <t>Payment holidays were extended in June 2020 and November 2020 for Buy to Let landlords who may be experiencing, or continue to experience, difficulties in meeting their buy to let mortgage payments caused by the impact of the COVID19 virus.</t>
  </si>
  <si>
    <t xml:space="preserve">There is a deadline of 31st January 2021 for customers who have yet to apply for a payment holiday with their lenders. The same principles as outlined above for the "original" payment holiday customers will also apply to the"extended" payment holiday customers. </t>
  </si>
  <si>
    <t>PM14 INVESTOR REPORT QUARTER ENDING FEBRUARY 2021</t>
  </si>
  <si>
    <t>The 31st January 2021 was the deadline for customers to apply for a payment holiday with their lenders. The same principles as outlined above for the "original" payment holiday customers also applies to the "extended" payment holiday customers.</t>
  </si>
  <si>
    <t>PM14 INVESTOR REPORT QUARTER ENDING MAY 2021</t>
  </si>
  <si>
    <t>Release of the First Loss Fund following repayment of the Notes</t>
  </si>
  <si>
    <t>Release of the First Loss Fund Balance</t>
  </si>
  <si>
    <t>The deadline for customers to apply for a payment holiday with their lenders was 31st March 2021 and all payment holidays must end by 31st July 2021. The same principles as outlined above for the "original" payment holiday customers also applies to the "extended" payment holiday customers.</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</si>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</sst>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809]#,##0"/>
    <numFmt numFmtId="165" formatCode="0.00000%"/>
    <numFmt numFmtId="166" formatCode="0.0%"/>
    <numFmt numFmtId="167" formatCode="d\-mmm\-yy"/>
    <numFmt numFmtId="168" formatCode="[$€-2]\ #,##0"/>
    <numFmt numFmtId="169" formatCode="[$$-409]#,##0"/>
    <numFmt numFmtId="170" formatCode="0.0000000"/>
    <numFmt numFmtId="171" formatCode="&quot;£&quot;#,##0"/>
  </numFmts>
  <fonts count="73" x14ac:knownFonts="1">
    <font>
      <sz val="12"/>
      <name val="Arial"/>
    </font>
    <font>
      <sz val="12"/>
      <name val="Arial"/>
      <family val="2"/>
    </font>
    <font>
      <sz val="12"/>
      <name val="Times New Roman"/>
      <family val="1"/>
    </font>
    <font>
      <b/>
      <u/>
      <sz val="16"/>
      <color indexed="12"/>
      <name val="Times New Roman"/>
      <family val="1"/>
    </font>
    <font>
      <b/>
      <u/>
      <sz val="12"/>
      <name val="Times New Roman"/>
      <family val="1"/>
    </font>
    <font>
      <u/>
      <sz val="12"/>
      <name val="Times New Roman"/>
      <family val="1"/>
    </font>
    <font>
      <b/>
      <sz val="12"/>
      <color indexed="29"/>
      <name val="Times New Roman"/>
      <family val="1"/>
    </font>
    <font>
      <b/>
      <i/>
      <sz val="10"/>
      <name val="Times New Roman"/>
      <family val="1"/>
    </font>
    <font>
      <sz val="12"/>
      <name val="Arial"/>
      <family val="2"/>
    </font>
    <font>
      <b/>
      <sz val="12"/>
      <name val="Times New Roman"/>
      <family val="1"/>
    </font>
    <font>
      <b/>
      <sz val="12"/>
      <color indexed="12"/>
      <name val="Times New Roman"/>
      <family val="1"/>
    </font>
    <font>
      <sz val="12"/>
      <color indexed="12"/>
      <name val="Times New Roman"/>
      <family val="1"/>
    </font>
    <font>
      <b/>
      <u/>
      <sz val="12"/>
      <color indexed="12"/>
      <name val="Times New Roman"/>
      <family val="1"/>
    </font>
    <font>
      <sz val="12"/>
      <color indexed="8"/>
      <name val="Times New Roman"/>
      <family val="1"/>
    </font>
    <font>
      <b/>
      <sz val="12"/>
      <color indexed="12"/>
      <name val="Arial"/>
      <family val="2"/>
    </font>
    <font>
      <b/>
      <sz val="14"/>
      <name val="Times New Roman"/>
      <family val="1"/>
    </font>
    <font>
      <b/>
      <sz val="12"/>
      <color indexed="8"/>
      <name val="Times New Roman"/>
      <family val="1"/>
    </font>
    <font>
      <b/>
      <u/>
      <sz val="12"/>
      <color indexed="8"/>
      <name val="Times New Roman"/>
      <family val="1"/>
    </font>
    <font>
      <b/>
      <sz val="12"/>
      <name val="Arial"/>
      <family val="2"/>
    </font>
    <font>
      <b/>
      <sz val="12"/>
      <color indexed="53"/>
      <name val="Times New Roman"/>
      <family val="1"/>
    </font>
    <font>
      <sz val="12"/>
      <color indexed="53"/>
      <name val="Times New Roman"/>
      <family val="1"/>
    </font>
    <font>
      <b/>
      <u/>
      <sz val="12"/>
      <color indexed="53"/>
      <name val="Times New Roman"/>
      <family val="1"/>
    </font>
    <font>
      <b/>
      <sz val="12"/>
      <color indexed="12"/>
      <name val="Times New Roman"/>
      <family val="1"/>
    </font>
    <font>
      <u/>
      <sz val="8.4"/>
      <color indexed="12"/>
      <name val="Arial"/>
      <family val="2"/>
    </font>
    <font>
      <sz val="12"/>
      <name val="Times New Roman"/>
      <family val="1"/>
    </font>
    <font>
      <b/>
      <sz val="12"/>
      <color indexed="39"/>
      <name val="Times New Roman"/>
      <family val="1"/>
    </font>
    <font>
      <b/>
      <sz val="12"/>
      <color indexed="39"/>
      <name val="Times New Roman"/>
      <family val="1"/>
    </font>
    <font>
      <b/>
      <sz val="14"/>
      <color indexed="53"/>
      <name val="Times New Roman"/>
      <family val="1"/>
    </font>
    <font>
      <b/>
      <u/>
      <sz val="14"/>
      <color indexed="53"/>
      <name val="Times New Roman"/>
      <family val="1"/>
    </font>
    <font>
      <b/>
      <u/>
      <sz val="16"/>
      <color indexed="18"/>
      <name val="Times New Roman"/>
      <family val="1"/>
    </font>
    <font>
      <b/>
      <i/>
      <sz val="10"/>
      <color indexed="18"/>
      <name val="Times New Roman"/>
      <family val="1"/>
    </font>
    <font>
      <b/>
      <sz val="12"/>
      <color indexed="18"/>
      <name val="Times New Roman"/>
      <family val="1"/>
    </font>
    <font>
      <sz val="12"/>
      <color indexed="18"/>
      <name val="Times New Roman"/>
      <family val="1"/>
    </font>
    <font>
      <b/>
      <u/>
      <sz val="12"/>
      <color indexed="18"/>
      <name val="Times New Roman"/>
      <family val="1"/>
    </font>
    <font>
      <sz val="12"/>
      <color indexed="18"/>
      <name val="Arial"/>
      <family val="2"/>
    </font>
    <font>
      <sz val="12"/>
      <color indexed="18"/>
      <name val="Times New Roman"/>
      <family val="1"/>
    </font>
    <font>
      <b/>
      <sz val="12"/>
      <color indexed="18"/>
      <name val="Times New Roman"/>
      <family val="1"/>
    </font>
    <font>
      <b/>
      <sz val="12"/>
      <color indexed="18"/>
      <name val="Arial"/>
      <family val="2"/>
    </font>
    <font>
      <b/>
      <sz val="14"/>
      <color indexed="18"/>
      <name val="Times New Roman"/>
      <family val="1"/>
    </font>
    <font>
      <sz val="12"/>
      <color indexed="9"/>
      <name val="Times New Roman"/>
      <family val="1"/>
    </font>
    <font>
      <b/>
      <sz val="12"/>
      <color indexed="9"/>
      <name val="Times New Roman"/>
      <family val="1"/>
    </font>
    <font>
      <sz val="12"/>
      <color indexed="9"/>
      <name val="Times New Roman"/>
      <family val="1"/>
    </font>
    <font>
      <sz val="12"/>
      <color indexed="9"/>
      <name val="Arial"/>
      <family val="2"/>
    </font>
    <font>
      <b/>
      <sz val="12"/>
      <color indexed="9"/>
      <name val="Times New Roman"/>
      <family val="1"/>
    </font>
    <font>
      <u/>
      <sz val="12"/>
      <color indexed="18"/>
      <name val="Times New Roman"/>
      <family val="1"/>
    </font>
    <font>
      <b/>
      <u/>
      <sz val="12"/>
      <color rgb="FF89CB31"/>
      <name val="Calibri"/>
      <family val="2"/>
      <scheme val="minor"/>
    </font>
    <font>
      <sz val="12"/>
      <name val="Calibri"/>
      <family val="2"/>
      <scheme val="minor"/>
    </font>
    <font>
      <u/>
      <sz val="12"/>
      <name val="Calibri"/>
      <family val="2"/>
      <scheme val="minor"/>
    </font>
    <font>
      <b/>
      <sz val="12"/>
      <color theme="4"/>
      <name val="Calibri"/>
      <family val="2"/>
      <scheme val="minor"/>
    </font>
    <font>
      <b/>
      <i/>
      <sz val="10"/>
      <name val="Calibri"/>
      <family val="2"/>
      <scheme val="minor"/>
    </font>
    <font>
      <b/>
      <sz val="14"/>
      <color theme="4"/>
      <name val="Calibri"/>
      <family val="2"/>
      <scheme val="minor"/>
    </font>
    <font>
      <b/>
      <u/>
      <sz val="14"/>
      <color indexed="53"/>
      <name val="Calibri"/>
      <family val="2"/>
      <scheme val="minor"/>
    </font>
    <font>
      <b/>
      <sz val="12"/>
      <name val="Calibri"/>
      <family val="2"/>
      <scheme val="minor"/>
    </font>
    <font>
      <b/>
      <sz val="12"/>
      <color indexed="18"/>
      <name val="Calibri"/>
      <family val="2"/>
      <scheme val="minor"/>
    </font>
    <font>
      <sz val="12"/>
      <color indexed="18"/>
      <name val="Calibri"/>
      <family val="2"/>
      <scheme val="minor"/>
    </font>
    <font>
      <b/>
      <u/>
      <sz val="12"/>
      <color indexed="18"/>
      <name val="Calibri"/>
      <family val="2"/>
      <scheme val="minor"/>
    </font>
    <font>
      <sz val="12"/>
      <color indexed="9"/>
      <name val="Calibri"/>
      <family val="2"/>
      <scheme val="minor"/>
    </font>
    <font>
      <b/>
      <sz val="12"/>
      <color indexed="9"/>
      <name val="Calibri"/>
      <family val="2"/>
      <scheme val="minor"/>
    </font>
    <font>
      <sz val="12"/>
      <color indexed="8"/>
      <name val="Calibri"/>
      <family val="2"/>
      <scheme val="minor"/>
    </font>
    <font>
      <b/>
      <u/>
      <sz val="12"/>
      <name val="Calibri"/>
      <family val="2"/>
      <scheme val="minor"/>
    </font>
    <font>
      <b/>
      <sz val="12"/>
      <color indexed="8"/>
      <name val="Calibri"/>
      <family val="2"/>
      <scheme val="minor"/>
    </font>
    <font>
      <sz val="12"/>
      <color theme="4"/>
      <name val="Calibri"/>
      <family val="2"/>
      <scheme val="minor"/>
    </font>
    <font>
      <b/>
      <u/>
      <sz val="12"/>
      <color theme="4"/>
      <name val="Calibri"/>
      <family val="2"/>
      <scheme val="minor"/>
    </font>
    <font>
      <b/>
      <u/>
      <sz val="14"/>
      <color rgb="FF89CB31"/>
      <name val="Calibri"/>
      <family val="2"/>
      <scheme val="minor"/>
    </font>
    <font>
      <b/>
      <u/>
      <sz val="16"/>
      <color theme="6"/>
      <name val="Calibri"/>
      <family val="2"/>
      <scheme val="minor"/>
    </font>
    <font>
      <b/>
      <i/>
      <sz val="10"/>
      <color theme="6"/>
      <name val="Calibri"/>
      <family val="2"/>
      <scheme val="minor"/>
    </font>
    <font>
      <b/>
      <sz val="12"/>
      <color theme="6"/>
      <name val="Calibri"/>
      <family val="2"/>
      <scheme val="minor"/>
    </font>
    <font>
      <sz val="12"/>
      <color theme="6"/>
      <name val="Calibri"/>
      <family val="2"/>
      <scheme val="minor"/>
    </font>
    <font>
      <b/>
      <u/>
      <sz val="12"/>
      <color theme="6"/>
      <name val="Calibri"/>
      <family val="2"/>
      <scheme val="minor"/>
    </font>
    <font>
      <b/>
      <sz val="14"/>
      <color theme="6"/>
      <name val="Calibri"/>
      <family val="2"/>
      <scheme val="minor"/>
    </font>
    <font>
      <u/>
      <sz val="12"/>
      <color theme="6"/>
      <name val="Calibri"/>
      <family val="2"/>
      <scheme val="minor"/>
    </font>
    <font>
      <sz val="12"/>
      <color rgb="FF2D2926"/>
      <name val="Calibri"/>
      <family val="2"/>
      <scheme val="minor"/>
    </font>
    <font>
      <b/>
      <sz val="12"/>
      <color rgb="FF2D2926"/>
      <name val="Calibri"/>
      <family val="2"/>
      <scheme val="minor"/>
    </font>
  </fonts>
  <fills count="8">
    <fill>
      <patternFill patternType="none"/>
    </fill>
    <fill>
      <patternFill patternType="gray125"/>
    </fill>
    <fill>
      <patternFill patternType="solid">
        <fgColor indexed="26"/>
        <bgColor indexed="64"/>
      </patternFill>
    </fill>
    <fill>
      <patternFill patternType="solid">
        <fgColor indexed="38"/>
        <bgColor indexed="64"/>
      </patternFill>
    </fill>
    <fill>
      <patternFill patternType="solid">
        <fgColor indexed="18"/>
        <bgColor indexed="64"/>
      </patternFill>
    </fill>
    <fill>
      <patternFill patternType="solid">
        <fgColor rgb="FFF4F4F4"/>
        <bgColor indexed="64"/>
      </patternFill>
    </fill>
    <fill>
      <patternFill patternType="solid">
        <fgColor theme="4"/>
        <bgColor indexed="64"/>
      </patternFill>
    </fill>
    <fill>
      <patternFill patternType="solid">
        <fgColor rgb="FF89CB31"/>
        <bgColor indexed="64"/>
      </patternFill>
    </fill>
  </fills>
  <borders count="31">
    <border>
      <left/>
      <right/>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style="thin">
        <color indexed="8"/>
      </top>
      <bottom/>
      <diagonal/>
    </border>
    <border>
      <left/>
      <right/>
      <top style="thin">
        <color indexed="8"/>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top style="thin">
        <color indexed="8"/>
      </top>
      <bottom style="thin">
        <color indexed="8"/>
      </bottom>
      <diagonal/>
    </border>
    <border>
      <left/>
      <right/>
      <top/>
      <bottom style="thin">
        <color indexed="8"/>
      </bottom>
      <diagonal/>
    </border>
    <border>
      <left/>
      <right style="medium">
        <color indexed="8"/>
      </right>
      <top/>
      <bottom style="thin">
        <color indexed="8"/>
      </bottom>
      <diagonal/>
    </border>
    <border>
      <left style="medium">
        <color indexed="8"/>
      </left>
      <right/>
      <top/>
      <bottom style="thin">
        <color indexed="8"/>
      </bottom>
      <diagonal/>
    </border>
    <border>
      <left/>
      <right/>
      <top style="thin">
        <color indexed="64"/>
      </top>
      <bottom style="thin">
        <color indexed="64"/>
      </bottom>
      <diagonal/>
    </border>
    <border>
      <left/>
      <right/>
      <top style="thin">
        <color indexed="64"/>
      </top>
      <bottom/>
      <diagonal/>
    </border>
    <border>
      <left style="medium">
        <color indexed="8"/>
      </left>
      <right/>
      <top style="thin">
        <color indexed="8"/>
      </top>
      <bottom style="medium">
        <color indexed="8"/>
      </bottom>
      <diagonal/>
    </border>
    <border>
      <left style="medium">
        <color indexed="8"/>
      </left>
      <right/>
      <top style="thin">
        <color indexed="55"/>
      </top>
      <bottom style="thin">
        <color indexed="55"/>
      </bottom>
      <diagonal/>
    </border>
    <border>
      <left/>
      <right/>
      <top style="thin">
        <color indexed="55"/>
      </top>
      <bottom style="thin">
        <color indexed="55"/>
      </bottom>
      <diagonal/>
    </border>
    <border>
      <left/>
      <right style="medium">
        <color indexed="8"/>
      </right>
      <top style="thin">
        <color indexed="55"/>
      </top>
      <bottom style="thin">
        <color indexed="55"/>
      </bottom>
      <diagonal/>
    </border>
    <border>
      <left style="medium">
        <color indexed="8"/>
      </left>
      <right/>
      <top/>
      <bottom style="thin">
        <color indexed="55"/>
      </bottom>
      <diagonal/>
    </border>
    <border>
      <left/>
      <right/>
      <top/>
      <bottom style="thin">
        <color indexed="55"/>
      </bottom>
      <diagonal/>
    </border>
    <border>
      <left/>
      <right style="medium">
        <color indexed="8"/>
      </right>
      <top/>
      <bottom style="thin">
        <color indexed="55"/>
      </bottom>
      <diagonal/>
    </border>
    <border>
      <left/>
      <right style="medium">
        <color indexed="8"/>
      </right>
      <top/>
      <bottom/>
      <diagonal/>
    </border>
    <border>
      <left/>
      <right/>
      <top style="thin">
        <color indexed="23"/>
      </top>
      <bottom style="thin">
        <color indexed="23"/>
      </bottom>
      <diagonal/>
    </border>
    <border>
      <left style="medium">
        <color indexed="8"/>
      </left>
      <right/>
      <top style="thin">
        <color indexed="23"/>
      </top>
      <bottom style="thin">
        <color indexed="23"/>
      </bottom>
      <diagonal/>
    </border>
    <border>
      <left style="thick">
        <color rgb="FFFF0000"/>
      </left>
      <right/>
      <top style="thick">
        <color rgb="FFFF0000"/>
      </top>
      <bottom style="thin">
        <color indexed="55"/>
      </bottom>
      <diagonal/>
    </border>
    <border>
      <left/>
      <right/>
      <top style="thick">
        <color rgb="FFFF0000"/>
      </top>
      <bottom style="thin">
        <color indexed="55"/>
      </bottom>
      <diagonal/>
    </border>
    <border>
      <left/>
      <right style="thick">
        <color rgb="FFFF0000"/>
      </right>
      <top style="thick">
        <color rgb="FFFF0000"/>
      </top>
      <bottom style="thin">
        <color indexed="55"/>
      </bottom>
      <diagonal/>
    </border>
    <border>
      <left style="thick">
        <color rgb="FFFF0000"/>
      </left>
      <right/>
      <top style="thin">
        <color indexed="55"/>
      </top>
      <bottom style="thick">
        <color rgb="FFFF0000"/>
      </bottom>
      <diagonal/>
    </border>
    <border>
      <left/>
      <right/>
      <top style="thin">
        <color indexed="55"/>
      </top>
      <bottom style="thick">
        <color rgb="FFFF0000"/>
      </bottom>
      <diagonal/>
    </border>
    <border>
      <left/>
      <right style="thick">
        <color rgb="FFFF0000"/>
      </right>
      <top style="thin">
        <color indexed="55"/>
      </top>
      <bottom style="thick">
        <color rgb="FFFF0000"/>
      </bottom>
      <diagonal/>
    </border>
  </borders>
  <cellStyleXfs count="2">
    <xf numFmtId="0" fontId="0" fillId="0" borderId="0"/>
    <xf numFmtId="0" fontId="23" fillId="0" borderId="0" applyNumberFormat="0" applyFill="0" applyBorder="0" applyAlignment="0" applyProtection="0">
      <alignment vertical="top"/>
      <protection locked="0"/>
    </xf>
  </cellStyleXfs>
  <cellXfs count="673">
    <xf numFmtId="0" fontId="0" fillId="0" borderId="0" xfId="0"/>
    <xf numFmtId="0" fontId="1" fillId="0" borderId="0" xfId="0" applyNumberFormat="1" applyFont="1" applyAlignment="1"/>
    <xf numFmtId="0" fontId="2" fillId="2" borderId="1" xfId="0" applyNumberFormat="1" applyFont="1" applyFill="1" applyBorder="1" applyAlignment="1"/>
    <xf numFmtId="0" fontId="3" fillId="2" borderId="2" xfId="0" applyNumberFormat="1" applyFont="1" applyFill="1" applyBorder="1" applyAlignment="1"/>
    <xf numFmtId="0" fontId="2" fillId="2" borderId="2" xfId="0" applyNumberFormat="1" applyFont="1" applyFill="1" applyBorder="1" applyAlignment="1"/>
    <xf numFmtId="0" fontId="0" fillId="0" borderId="3" xfId="0" applyNumberFormat="1" applyBorder="1"/>
    <xf numFmtId="0" fontId="2" fillId="2" borderId="3" xfId="0" applyNumberFormat="1" applyFont="1" applyFill="1" applyBorder="1" applyAlignment="1"/>
    <xf numFmtId="0" fontId="5" fillId="2" borderId="0" xfId="0" applyNumberFormat="1" applyFont="1" applyFill="1" applyAlignment="1"/>
    <xf numFmtId="0" fontId="2" fillId="2" borderId="0" xfId="0" applyNumberFormat="1" applyFont="1" applyFill="1" applyAlignment="1"/>
    <xf numFmtId="0" fontId="2" fillId="2" borderId="3" xfId="0" applyNumberFormat="1" applyFont="1" applyFill="1" applyBorder="1" applyAlignment="1">
      <alignment horizontal="center"/>
    </xf>
    <xf numFmtId="0" fontId="6" fillId="2" borderId="0" xfId="0" applyNumberFormat="1" applyFont="1" applyFill="1" applyAlignment="1"/>
    <xf numFmtId="0" fontId="7" fillId="2" borderId="0" xfId="0" applyNumberFormat="1" applyFont="1" applyFill="1" applyAlignment="1"/>
    <xf numFmtId="0" fontId="8" fillId="2" borderId="0" xfId="0" applyNumberFormat="1" applyFont="1" applyFill="1" applyAlignment="1"/>
    <xf numFmtId="0" fontId="9" fillId="2" borderId="0" xfId="0" applyNumberFormat="1" applyFont="1" applyFill="1" applyAlignment="1"/>
    <xf numFmtId="0" fontId="10" fillId="2" borderId="0" xfId="0" applyNumberFormat="1" applyFont="1" applyFill="1" applyAlignment="1"/>
    <xf numFmtId="0" fontId="11" fillId="2" borderId="0" xfId="0" applyNumberFormat="1" applyFont="1" applyFill="1" applyAlignment="1"/>
    <xf numFmtId="0" fontId="12" fillId="2" borderId="0" xfId="0" applyNumberFormat="1" applyFont="1" applyFill="1" applyAlignment="1">
      <alignment horizontal="center" wrapText="1"/>
    </xf>
    <xf numFmtId="0" fontId="10" fillId="2" borderId="0" xfId="0" applyNumberFormat="1" applyFont="1" applyFill="1" applyAlignment="1">
      <alignment horizontal="center"/>
    </xf>
    <xf numFmtId="9" fontId="10" fillId="2" borderId="0" xfId="0" applyNumberFormat="1" applyFont="1" applyFill="1" applyAlignment="1">
      <alignment horizontal="center"/>
    </xf>
    <xf numFmtId="15" fontId="10" fillId="2" borderId="0" xfId="0" applyNumberFormat="1" applyFont="1" applyFill="1" applyAlignment="1">
      <alignment horizontal="center"/>
    </xf>
    <xf numFmtId="0" fontId="2" fillId="2" borderId="0" xfId="0" applyNumberFormat="1" applyFont="1" applyFill="1" applyAlignment="1">
      <alignment horizontal="center"/>
    </xf>
    <xf numFmtId="0" fontId="4" fillId="2" borderId="0" xfId="0" applyNumberFormat="1" applyFont="1" applyFill="1" applyAlignment="1"/>
    <xf numFmtId="0" fontId="2" fillId="2" borderId="0" xfId="0" applyNumberFormat="1" applyFont="1" applyFill="1" applyAlignment="1">
      <alignment horizontal="right"/>
    </xf>
    <xf numFmtId="0" fontId="2" fillId="2" borderId="0" xfId="0" applyNumberFormat="1" applyFont="1" applyFill="1" applyAlignment="1">
      <alignment horizontal="center" wrapText="1"/>
    </xf>
    <xf numFmtId="0" fontId="2" fillId="2" borderId="4" xfId="0" applyNumberFormat="1" applyFont="1" applyFill="1" applyBorder="1" applyAlignment="1"/>
    <xf numFmtId="0" fontId="2" fillId="2" borderId="5" xfId="0" applyNumberFormat="1" applyFont="1" applyFill="1" applyBorder="1" applyAlignment="1"/>
    <xf numFmtId="0" fontId="2" fillId="2" borderId="5" xfId="0" applyNumberFormat="1" applyFont="1" applyFill="1" applyBorder="1" applyAlignment="1">
      <alignment horizontal="center" wrapText="1"/>
    </xf>
    <xf numFmtId="0" fontId="8" fillId="2" borderId="5" xfId="0" applyNumberFormat="1" applyFont="1" applyFill="1" applyBorder="1" applyAlignment="1"/>
    <xf numFmtId="0" fontId="10" fillId="2" borderId="4" xfId="0" applyNumberFormat="1" applyFont="1" applyFill="1" applyBorder="1" applyAlignment="1"/>
    <xf numFmtId="0" fontId="10" fillId="2" borderId="5" xfId="0" applyNumberFormat="1" applyFont="1" applyFill="1" applyBorder="1" applyAlignment="1"/>
    <xf numFmtId="0" fontId="2" fillId="2" borderId="5" xfId="0" applyNumberFormat="1" applyFont="1" applyFill="1" applyBorder="1" applyAlignment="1">
      <alignment horizontal="center"/>
    </xf>
    <xf numFmtId="164" fontId="2" fillId="2" borderId="5" xfId="0" applyNumberFormat="1" applyFont="1" applyFill="1" applyBorder="1" applyAlignment="1">
      <alignment horizontal="center"/>
    </xf>
    <xf numFmtId="164" fontId="2" fillId="2" borderId="5" xfId="0" applyNumberFormat="1" applyFont="1" applyFill="1" applyBorder="1" applyAlignment="1"/>
    <xf numFmtId="164" fontId="8" fillId="2" borderId="5" xfId="0" applyNumberFormat="1" applyFont="1" applyFill="1" applyBorder="1" applyAlignment="1"/>
    <xf numFmtId="3" fontId="2" fillId="2" borderId="5" xfId="0" applyNumberFormat="1" applyFont="1" applyFill="1" applyBorder="1" applyAlignment="1"/>
    <xf numFmtId="164" fontId="10" fillId="2" borderId="5" xfId="0" applyNumberFormat="1" applyFont="1" applyFill="1" applyBorder="1" applyAlignment="1">
      <alignment horizontal="center"/>
    </xf>
    <xf numFmtId="164" fontId="10" fillId="2" borderId="5" xfId="0" applyNumberFormat="1" applyFont="1" applyFill="1" applyBorder="1" applyAlignment="1"/>
    <xf numFmtId="164" fontId="14" fillId="2" borderId="5" xfId="0" applyNumberFormat="1" applyFont="1" applyFill="1" applyBorder="1" applyAlignment="1"/>
    <xf numFmtId="165" fontId="2" fillId="2" borderId="5" xfId="0" applyNumberFormat="1" applyFont="1" applyFill="1" applyBorder="1" applyAlignment="1">
      <alignment horizontal="center"/>
    </xf>
    <xf numFmtId="10" fontId="2" fillId="2" borderId="5" xfId="0" applyNumberFormat="1" applyFont="1" applyFill="1" applyBorder="1" applyAlignment="1">
      <alignment horizontal="center"/>
    </xf>
    <xf numFmtId="0" fontId="2" fillId="2" borderId="5" xfId="0" applyNumberFormat="1" applyFont="1" applyFill="1" applyBorder="1" applyAlignment="1">
      <alignment horizontal="right"/>
    </xf>
    <xf numFmtId="165" fontId="2" fillId="2" borderId="5" xfId="0" applyNumberFormat="1" applyFont="1" applyFill="1" applyBorder="1" applyAlignment="1"/>
    <xf numFmtId="4" fontId="2" fillId="2" borderId="5" xfId="0" applyNumberFormat="1" applyFont="1" applyFill="1" applyBorder="1" applyAlignment="1">
      <alignment horizontal="center"/>
    </xf>
    <xf numFmtId="15" fontId="10" fillId="2" borderId="5" xfId="0" applyNumberFormat="1" applyFont="1" applyFill="1" applyBorder="1" applyAlignment="1">
      <alignment horizontal="center"/>
    </xf>
    <xf numFmtId="15" fontId="10" fillId="2" borderId="5" xfId="0" applyNumberFormat="1" applyFont="1" applyFill="1" applyBorder="1" applyAlignment="1" applyProtection="1">
      <alignment horizontal="center"/>
      <protection locked="0"/>
    </xf>
    <xf numFmtId="15" fontId="13" fillId="2" borderId="5" xfId="0" applyNumberFormat="1" applyFont="1" applyFill="1" applyBorder="1" applyAlignment="1" applyProtection="1">
      <alignment horizontal="center"/>
      <protection locked="0"/>
    </xf>
    <xf numFmtId="15" fontId="13" fillId="2" borderId="5" xfId="0" applyNumberFormat="1" applyFont="1" applyFill="1" applyBorder="1" applyAlignment="1">
      <alignment horizontal="center"/>
    </xf>
    <xf numFmtId="15" fontId="13" fillId="2" borderId="0" xfId="0" applyNumberFormat="1" applyFont="1" applyFill="1" applyAlignment="1" applyProtection="1">
      <alignment horizontal="center"/>
      <protection locked="0"/>
    </xf>
    <xf numFmtId="15" fontId="13" fillId="2" borderId="0" xfId="0" applyNumberFormat="1" applyFont="1" applyFill="1" applyAlignment="1">
      <alignment horizontal="center"/>
    </xf>
    <xf numFmtId="0" fontId="15" fillId="2" borderId="0" xfId="0" applyNumberFormat="1" applyFont="1" applyFill="1" applyAlignment="1"/>
    <xf numFmtId="4" fontId="2" fillId="2" borderId="2" xfId="0" applyNumberFormat="1" applyFont="1" applyFill="1" applyBorder="1" applyAlignment="1" applyProtection="1">
      <alignment horizontal="right"/>
      <protection locked="0"/>
    </xf>
    <xf numFmtId="0" fontId="12" fillId="2" borderId="0" xfId="0" applyNumberFormat="1" applyFont="1" applyFill="1" applyAlignment="1"/>
    <xf numFmtId="4" fontId="2" fillId="2" borderId="0" xfId="0" applyNumberFormat="1" applyFont="1" applyFill="1" applyAlignment="1" applyProtection="1">
      <alignment horizontal="right"/>
      <protection locked="0"/>
    </xf>
    <xf numFmtId="3" fontId="13" fillId="2" borderId="5" xfId="0" applyNumberFormat="1" applyFont="1" applyFill="1" applyBorder="1" applyAlignment="1" applyProtection="1">
      <alignment horizontal="right"/>
      <protection locked="0"/>
    </xf>
    <xf numFmtId="3" fontId="13" fillId="2" borderId="5" xfId="0" applyNumberFormat="1" applyFont="1" applyFill="1" applyBorder="1" applyAlignment="1"/>
    <xf numFmtId="3" fontId="2" fillId="2" borderId="0" xfId="0" applyNumberFormat="1" applyFont="1" applyFill="1" applyAlignment="1"/>
    <xf numFmtId="3" fontId="13" fillId="2" borderId="0" xfId="0" applyNumberFormat="1" applyFont="1" applyFill="1" applyAlignment="1"/>
    <xf numFmtId="14" fontId="2" fillId="2" borderId="5" xfId="0" applyNumberFormat="1" applyFont="1" applyFill="1" applyBorder="1" applyAlignment="1">
      <alignment horizontal="right"/>
    </xf>
    <xf numFmtId="15" fontId="2" fillId="2" borderId="5" xfId="0" applyNumberFormat="1" applyFont="1" applyFill="1" applyBorder="1" applyAlignment="1"/>
    <xf numFmtId="4" fontId="13" fillId="2" borderId="5" xfId="0" applyNumberFormat="1" applyFont="1" applyFill="1" applyBorder="1" applyAlignment="1" applyProtection="1">
      <alignment horizontal="right"/>
      <protection locked="0"/>
    </xf>
    <xf numFmtId="0" fontId="12" fillId="2" borderId="2" xfId="0" applyNumberFormat="1" applyFont="1" applyFill="1" applyBorder="1" applyAlignment="1"/>
    <xf numFmtId="4" fontId="2" fillId="2" borderId="5" xfId="0" applyNumberFormat="1" applyFont="1" applyFill="1" applyBorder="1" applyAlignment="1" applyProtection="1">
      <alignment horizontal="right"/>
      <protection locked="0"/>
    </xf>
    <xf numFmtId="4" fontId="13" fillId="2" borderId="5" xfId="0" applyNumberFormat="1" applyFont="1" applyFill="1" applyBorder="1" applyAlignment="1" applyProtection="1">
      <alignment horizontal="center"/>
      <protection locked="0"/>
    </xf>
    <xf numFmtId="4" fontId="13" fillId="2" borderId="0" xfId="0" applyNumberFormat="1" applyFont="1" applyFill="1" applyAlignment="1" applyProtection="1">
      <alignment horizontal="right"/>
      <protection locked="0"/>
    </xf>
    <xf numFmtId="15" fontId="16" fillId="2" borderId="5" xfId="0" applyNumberFormat="1" applyFont="1" applyFill="1" applyBorder="1" applyAlignment="1">
      <alignment horizontal="center"/>
    </xf>
    <xf numFmtId="0" fontId="2" fillId="2" borderId="0" xfId="0" applyNumberFormat="1" applyFont="1" applyFill="1" applyAlignment="1" applyProtection="1">
      <protection locked="0"/>
    </xf>
    <xf numFmtId="2" fontId="13" fillId="2" borderId="5" xfId="0" applyNumberFormat="1" applyFont="1" applyFill="1" applyBorder="1" applyAlignment="1" applyProtection="1">
      <alignment horizontal="right"/>
      <protection locked="0"/>
    </xf>
    <xf numFmtId="0" fontId="13" fillId="2" borderId="1" xfId="0" applyNumberFormat="1" applyFont="1" applyFill="1" applyBorder="1" applyAlignment="1"/>
    <xf numFmtId="15" fontId="16" fillId="2" borderId="2" xfId="0" applyNumberFormat="1" applyFont="1" applyFill="1" applyBorder="1" applyAlignment="1">
      <alignment horizontal="centerContinuous"/>
    </xf>
    <xf numFmtId="15" fontId="16" fillId="2" borderId="2" xfId="0" applyNumberFormat="1" applyFont="1" applyFill="1" applyBorder="1" applyAlignment="1">
      <alignment horizontal="center"/>
    </xf>
    <xf numFmtId="15" fontId="10" fillId="2" borderId="2" xfId="0" applyNumberFormat="1" applyFont="1" applyFill="1" applyBorder="1" applyAlignment="1">
      <alignment horizontal="center"/>
    </xf>
    <xf numFmtId="0" fontId="13" fillId="2" borderId="3" xfId="0" applyNumberFormat="1" applyFont="1" applyFill="1" applyBorder="1" applyAlignment="1"/>
    <xf numFmtId="0" fontId="17" fillId="2" borderId="0" xfId="0" applyNumberFormat="1" applyFont="1" applyFill="1" applyAlignment="1"/>
    <xf numFmtId="15" fontId="16" fillId="2" borderId="0" xfId="0" applyNumberFormat="1" applyFont="1" applyFill="1" applyAlignment="1">
      <alignment horizontal="centerContinuous"/>
    </xf>
    <xf numFmtId="15" fontId="16" fillId="2" borderId="0" xfId="0" applyNumberFormat="1" applyFont="1" applyFill="1" applyAlignment="1">
      <alignment horizontal="center"/>
    </xf>
    <xf numFmtId="0" fontId="13" fillId="2" borderId="4" xfId="0" applyNumberFormat="1" applyFont="1" applyFill="1" applyBorder="1" applyAlignment="1"/>
    <xf numFmtId="0" fontId="13" fillId="2" borderId="5" xfId="0" applyNumberFormat="1" applyFont="1" applyFill="1" applyBorder="1" applyAlignment="1"/>
    <xf numFmtId="15" fontId="16" fillId="2" borderId="5" xfId="0" applyNumberFormat="1" applyFont="1" applyFill="1" applyBorder="1" applyAlignment="1">
      <alignment horizontal="centerContinuous"/>
    </xf>
    <xf numFmtId="10" fontId="13" fillId="2" borderId="5" xfId="0" applyNumberFormat="1" applyFont="1" applyFill="1" applyBorder="1" applyAlignment="1">
      <alignment horizontal="center"/>
    </xf>
    <xf numFmtId="0" fontId="2" fillId="2" borderId="5" xfId="0" applyNumberFormat="1" applyFont="1" applyFill="1" applyBorder="1" applyAlignment="1" applyProtection="1">
      <protection locked="0"/>
    </xf>
    <xf numFmtId="0" fontId="13" fillId="2" borderId="3" xfId="0" applyNumberFormat="1" applyFont="1" applyFill="1" applyBorder="1" applyAlignment="1">
      <alignment horizontal="right"/>
    </xf>
    <xf numFmtId="0" fontId="16" fillId="2" borderId="0" xfId="0" applyNumberFormat="1" applyFont="1" applyFill="1" applyAlignment="1">
      <alignment horizontal="center"/>
    </xf>
    <xf numFmtId="3" fontId="16" fillId="2" borderId="0" xfId="0" applyNumberFormat="1" applyFont="1" applyFill="1" applyAlignment="1">
      <alignment horizontal="center"/>
    </xf>
    <xf numFmtId="3" fontId="10" fillId="2" borderId="0" xfId="0" applyNumberFormat="1" applyFont="1" applyFill="1" applyAlignment="1">
      <alignment horizontal="center"/>
    </xf>
    <xf numFmtId="0" fontId="13" fillId="2" borderId="4" xfId="0" applyNumberFormat="1" applyFont="1" applyFill="1" applyBorder="1" applyAlignment="1">
      <alignment horizontal="right"/>
    </xf>
    <xf numFmtId="3" fontId="13" fillId="2" borderId="5" xfId="0" applyNumberFormat="1" applyFont="1" applyFill="1" applyBorder="1" applyAlignment="1" applyProtection="1">
      <alignment horizontal="center"/>
      <protection locked="0"/>
    </xf>
    <xf numFmtId="3" fontId="16" fillId="2" borderId="5" xfId="0" applyNumberFormat="1" applyFont="1" applyFill="1" applyBorder="1" applyAlignment="1"/>
    <xf numFmtId="0" fontId="13" fillId="2" borderId="4" xfId="0" applyNumberFormat="1" applyFont="1" applyFill="1" applyBorder="1" applyAlignment="1">
      <alignment horizontal="center"/>
    </xf>
    <xf numFmtId="0" fontId="16" fillId="2" borderId="5" xfId="0" applyNumberFormat="1" applyFont="1" applyFill="1" applyBorder="1" applyAlignment="1"/>
    <xf numFmtId="0" fontId="13" fillId="2" borderId="5" xfId="0" applyNumberFormat="1" applyFont="1" applyFill="1" applyBorder="1" applyAlignment="1">
      <alignment horizontal="right"/>
    </xf>
    <xf numFmtId="4" fontId="13" fillId="2" borderId="5" xfId="0" applyNumberFormat="1" applyFont="1" applyFill="1" applyBorder="1" applyAlignment="1">
      <alignment horizontal="right"/>
    </xf>
    <xf numFmtId="10" fontId="13" fillId="2" borderId="5" xfId="0" applyNumberFormat="1" applyFont="1" applyFill="1" applyBorder="1" applyAlignment="1" applyProtection="1">
      <alignment horizontal="center"/>
      <protection locked="0"/>
    </xf>
    <xf numFmtId="0" fontId="16" fillId="2" borderId="0" xfId="0" applyNumberFormat="1" applyFont="1" applyFill="1" applyAlignment="1"/>
    <xf numFmtId="166" fontId="13" fillId="2" borderId="5" xfId="0" applyNumberFormat="1" applyFont="1" applyFill="1" applyBorder="1" applyAlignment="1"/>
    <xf numFmtId="10" fontId="13" fillId="2" borderId="5" xfId="0" applyNumberFormat="1" applyFont="1" applyFill="1" applyBorder="1" applyAlignment="1"/>
    <xf numFmtId="9" fontId="2" fillId="2" borderId="5" xfId="0" applyNumberFormat="1" applyFont="1" applyFill="1" applyBorder="1" applyAlignment="1"/>
    <xf numFmtId="9" fontId="2" fillId="2" borderId="0" xfId="0" applyNumberFormat="1" applyFont="1" applyFill="1" applyAlignment="1"/>
    <xf numFmtId="3" fontId="13" fillId="2" borderId="0" xfId="0" applyNumberFormat="1" applyFont="1" applyFill="1" applyAlignment="1" applyProtection="1">
      <alignment horizontal="right"/>
      <protection locked="0"/>
    </xf>
    <xf numFmtId="0" fontId="8" fillId="2" borderId="3" xfId="0" applyNumberFormat="1" applyFont="1" applyFill="1" applyBorder="1" applyAlignment="1"/>
    <xf numFmtId="0" fontId="18" fillId="2" borderId="0" xfId="0" applyNumberFormat="1" applyFont="1" applyFill="1" applyAlignment="1"/>
    <xf numFmtId="0" fontId="0" fillId="0" borderId="2" xfId="0" applyNumberFormat="1" applyBorder="1"/>
    <xf numFmtId="0" fontId="2" fillId="2" borderId="6" xfId="0" applyNumberFormat="1" applyFont="1" applyFill="1" applyBorder="1" applyAlignment="1"/>
    <xf numFmtId="0" fontId="15" fillId="2" borderId="7" xfId="0" applyNumberFormat="1" applyFont="1" applyFill="1" applyBorder="1" applyAlignment="1"/>
    <xf numFmtId="0" fontId="2" fillId="2" borderId="7" xfId="0" applyNumberFormat="1" applyFont="1" applyFill="1" applyBorder="1" applyAlignment="1"/>
    <xf numFmtId="0" fontId="2" fillId="2" borderId="7" xfId="0" applyNumberFormat="1" applyFont="1" applyFill="1" applyBorder="1" applyAlignment="1" applyProtection="1">
      <alignment horizontal="right"/>
      <protection locked="0"/>
    </xf>
    <xf numFmtId="0" fontId="2" fillId="2" borderId="8" xfId="0" applyNumberFormat="1" applyFont="1" applyFill="1" applyBorder="1" applyAlignment="1"/>
    <xf numFmtId="4" fontId="2" fillId="2" borderId="7" xfId="0" applyNumberFormat="1" applyFont="1" applyFill="1" applyBorder="1" applyAlignment="1" applyProtection="1">
      <alignment horizontal="right"/>
      <protection locked="0"/>
    </xf>
    <xf numFmtId="0" fontId="8" fillId="2" borderId="7" xfId="0" applyNumberFormat="1" applyFont="1" applyFill="1" applyBorder="1" applyAlignment="1"/>
    <xf numFmtId="0" fontId="8" fillId="2" borderId="8" xfId="0" applyNumberFormat="1" applyFont="1" applyFill="1" applyBorder="1" applyAlignment="1"/>
    <xf numFmtId="3" fontId="1" fillId="0" borderId="0" xfId="0" applyNumberFormat="1" applyFont="1" applyAlignment="1"/>
    <xf numFmtId="167" fontId="2" fillId="2" borderId="5" xfId="0" applyNumberFormat="1" applyFont="1" applyFill="1" applyBorder="1" applyAlignment="1">
      <alignment horizontal="center"/>
    </xf>
    <xf numFmtId="0" fontId="19" fillId="2" borderId="0" xfId="0" applyNumberFormat="1" applyFont="1" applyFill="1" applyAlignment="1"/>
    <xf numFmtId="0" fontId="19" fillId="2" borderId="0" xfId="0" applyNumberFormat="1" applyFont="1" applyFill="1" applyAlignment="1">
      <alignment horizontal="center" wrapText="1"/>
    </xf>
    <xf numFmtId="0" fontId="20" fillId="2" borderId="0" xfId="0" applyNumberFormat="1" applyFont="1" applyFill="1" applyAlignment="1">
      <alignment horizontal="center" wrapText="1"/>
    </xf>
    <xf numFmtId="0" fontId="19" fillId="2" borderId="0" xfId="0" applyNumberFormat="1" applyFont="1" applyFill="1" applyAlignment="1">
      <alignment horizontal="left" vertical="top" wrapText="1"/>
    </xf>
    <xf numFmtId="0" fontId="19" fillId="2" borderId="0" xfId="0" applyNumberFormat="1" applyFont="1" applyFill="1" applyAlignment="1">
      <alignment horizontal="center" vertical="top" wrapText="1"/>
    </xf>
    <xf numFmtId="4" fontId="19" fillId="2" borderId="0" xfId="0" applyNumberFormat="1" applyFont="1" applyFill="1" applyAlignment="1" applyProtection="1">
      <alignment horizontal="center" vertical="top" wrapText="1"/>
      <protection locked="0"/>
    </xf>
    <xf numFmtId="0" fontId="20" fillId="2" borderId="0" xfId="0" applyNumberFormat="1" applyFont="1" applyFill="1" applyAlignment="1"/>
    <xf numFmtId="0" fontId="21" fillId="2" borderId="5" xfId="0" applyNumberFormat="1" applyFont="1" applyFill="1" applyBorder="1" applyAlignment="1"/>
    <xf numFmtId="0" fontId="21" fillId="2" borderId="0" xfId="0" applyNumberFormat="1" applyFont="1" applyFill="1" applyAlignment="1"/>
    <xf numFmtId="0" fontId="19" fillId="2" borderId="0" xfId="0" applyNumberFormat="1" applyFont="1" applyFill="1" applyAlignment="1">
      <alignment horizontal="right"/>
    </xf>
    <xf numFmtId="4" fontId="19" fillId="2" borderId="0" xfId="0" applyNumberFormat="1" applyFont="1" applyFill="1" applyAlignment="1" applyProtection="1">
      <alignment horizontal="right"/>
      <protection locked="0"/>
    </xf>
    <xf numFmtId="0" fontId="19" fillId="2" borderId="5" xfId="0" applyNumberFormat="1" applyFont="1" applyFill="1" applyBorder="1" applyAlignment="1"/>
    <xf numFmtId="0" fontId="22" fillId="2" borderId="5" xfId="0" applyNumberFormat="1" applyFont="1" applyFill="1" applyBorder="1" applyAlignment="1">
      <alignment horizontal="center" wrapText="1"/>
    </xf>
    <xf numFmtId="168" fontId="2" fillId="2" borderId="5" xfId="0" applyNumberFormat="1" applyFont="1" applyFill="1" applyBorder="1" applyAlignment="1">
      <alignment horizontal="center"/>
    </xf>
    <xf numFmtId="168" fontId="10" fillId="2" borderId="5" xfId="0" applyNumberFormat="1" applyFont="1" applyFill="1" applyBorder="1" applyAlignment="1">
      <alignment horizontal="center"/>
    </xf>
    <xf numFmtId="164" fontId="19" fillId="2" borderId="5" xfId="0" applyNumberFormat="1" applyFont="1" applyFill="1" applyBorder="1" applyAlignment="1"/>
    <xf numFmtId="167" fontId="2" fillId="2" borderId="5" xfId="0" applyNumberFormat="1" applyFont="1" applyFill="1" applyBorder="1" applyAlignment="1">
      <alignment horizontal="right"/>
    </xf>
    <xf numFmtId="4" fontId="19" fillId="2" borderId="5" xfId="0" applyNumberFormat="1" applyFont="1" applyFill="1" applyBorder="1" applyAlignment="1">
      <alignment horizontal="center"/>
    </xf>
    <xf numFmtId="17" fontId="2" fillId="2" borderId="5" xfId="0" applyNumberFormat="1" applyFont="1" applyFill="1" applyBorder="1" applyAlignment="1">
      <alignment horizontal="center"/>
    </xf>
    <xf numFmtId="0" fontId="9" fillId="2" borderId="0" xfId="0" quotePrefix="1" applyNumberFormat="1" applyFont="1" applyFill="1" applyAlignment="1">
      <alignment horizontal="center"/>
    </xf>
    <xf numFmtId="0" fontId="24" fillId="2" borderId="5" xfId="0" applyNumberFormat="1" applyFont="1" applyFill="1" applyBorder="1" applyAlignment="1"/>
    <xf numFmtId="10" fontId="2" fillId="2" borderId="5" xfId="0" applyNumberFormat="1" applyFont="1" applyFill="1" applyBorder="1" applyAlignment="1"/>
    <xf numFmtId="4" fontId="13" fillId="2" borderId="5" xfId="0" applyNumberFormat="1" applyFont="1" applyFill="1" applyBorder="1" applyAlignment="1">
      <alignment horizontal="center"/>
    </xf>
    <xf numFmtId="0" fontId="2" fillId="0" borderId="0" xfId="0" applyNumberFormat="1" applyFont="1" applyFill="1" applyBorder="1" applyAlignment="1"/>
    <xf numFmtId="10" fontId="10" fillId="2" borderId="0" xfId="0" applyNumberFormat="1" applyFont="1" applyFill="1" applyAlignment="1">
      <alignment horizontal="center"/>
    </xf>
    <xf numFmtId="0" fontId="21" fillId="2" borderId="9" xfId="0" applyNumberFormat="1" applyFont="1" applyFill="1" applyBorder="1" applyAlignment="1"/>
    <xf numFmtId="0" fontId="2" fillId="2" borderId="10" xfId="0" applyNumberFormat="1" applyFont="1" applyFill="1" applyBorder="1" applyAlignment="1"/>
    <xf numFmtId="0" fontId="2" fillId="2" borderId="11" xfId="0" applyNumberFormat="1" applyFont="1" applyFill="1" applyBorder="1" applyAlignment="1"/>
    <xf numFmtId="0" fontId="2" fillId="2" borderId="12" xfId="0" applyNumberFormat="1" applyFont="1" applyFill="1" applyBorder="1" applyAlignment="1"/>
    <xf numFmtId="0" fontId="25" fillId="2" borderId="5" xfId="0" applyNumberFormat="1" applyFont="1" applyFill="1" applyBorder="1" applyAlignment="1"/>
    <xf numFmtId="10" fontId="2" fillId="2" borderId="9" xfId="0" applyNumberFormat="1" applyFont="1" applyFill="1" applyBorder="1" applyAlignment="1"/>
    <xf numFmtId="3" fontId="26" fillId="2" borderId="9" xfId="0" applyNumberFormat="1" applyFont="1" applyFill="1" applyBorder="1" applyAlignment="1" applyProtection="1">
      <alignment horizontal="right"/>
      <protection locked="0"/>
    </xf>
    <xf numFmtId="9" fontId="2" fillId="2" borderId="10" xfId="0" applyNumberFormat="1" applyFont="1" applyFill="1" applyBorder="1" applyAlignment="1"/>
    <xf numFmtId="169" fontId="2" fillId="2" borderId="5" xfId="0" applyNumberFormat="1" applyFont="1" applyFill="1" applyBorder="1" applyAlignment="1">
      <alignment horizontal="center"/>
    </xf>
    <xf numFmtId="0" fontId="27" fillId="2" borderId="0" xfId="0" applyNumberFormat="1" applyFont="1" applyFill="1" applyAlignment="1"/>
    <xf numFmtId="0" fontId="28" fillId="2" borderId="0" xfId="1" applyNumberFormat="1" applyFont="1" applyFill="1" applyAlignment="1" applyProtection="1"/>
    <xf numFmtId="0" fontId="27" fillId="2" borderId="5" xfId="0" applyNumberFormat="1" applyFont="1" applyFill="1" applyBorder="1" applyAlignment="1"/>
    <xf numFmtId="10" fontId="28" fillId="2" borderId="5" xfId="1" applyNumberFormat="1" applyFont="1" applyFill="1" applyBorder="1" applyAlignment="1">
      <alignment horizontal="left"/>
      <protection locked="0"/>
    </xf>
    <xf numFmtId="169" fontId="10" fillId="2" borderId="5" xfId="0" applyNumberFormat="1" applyFont="1" applyFill="1" applyBorder="1" applyAlignment="1">
      <alignment horizontal="center"/>
    </xf>
    <xf numFmtId="3" fontId="2" fillId="2" borderId="5" xfId="0" applyNumberFormat="1" applyFont="1" applyFill="1" applyBorder="1" applyAlignment="1">
      <alignment horizontal="center"/>
    </xf>
    <xf numFmtId="0" fontId="22" fillId="2" borderId="5" xfId="0" applyNumberFormat="1" applyFont="1" applyFill="1" applyBorder="1" applyAlignment="1"/>
    <xf numFmtId="164" fontId="24" fillId="2" borderId="5" xfId="0" applyNumberFormat="1" applyFont="1" applyFill="1" applyBorder="1" applyAlignment="1">
      <alignment horizontal="center"/>
    </xf>
    <xf numFmtId="164" fontId="22" fillId="2" borderId="5" xfId="0" applyNumberFormat="1" applyFont="1" applyFill="1" applyBorder="1" applyAlignment="1">
      <alignment horizontal="center"/>
    </xf>
    <xf numFmtId="4" fontId="10" fillId="2" borderId="5" xfId="0" applyNumberFormat="1" applyFont="1" applyFill="1" applyBorder="1" applyAlignment="1">
      <alignment horizontal="center"/>
    </xf>
    <xf numFmtId="0" fontId="10" fillId="2" borderId="5" xfId="0" applyNumberFormat="1" applyFont="1" applyFill="1" applyBorder="1" applyAlignment="1">
      <alignment horizontal="center"/>
    </xf>
    <xf numFmtId="15" fontId="10" fillId="2" borderId="0" xfId="0" applyNumberFormat="1" applyFont="1" applyFill="1" applyAlignment="1">
      <alignment horizontal="right"/>
    </xf>
    <xf numFmtId="0" fontId="10" fillId="2" borderId="0" xfId="0" applyNumberFormat="1" applyFont="1" applyFill="1" applyAlignment="1">
      <alignment horizontal="right"/>
    </xf>
    <xf numFmtId="0" fontId="24" fillId="2" borderId="5" xfId="0" applyNumberFormat="1" applyFont="1" applyFill="1" applyBorder="1" applyAlignment="1">
      <alignment horizontal="center"/>
    </xf>
    <xf numFmtId="3" fontId="22" fillId="2" borderId="9" xfId="0" applyNumberFormat="1" applyFont="1" applyFill="1" applyBorder="1" applyAlignment="1"/>
    <xf numFmtId="0" fontId="2" fillId="2" borderId="0" xfId="0" applyNumberFormat="1" applyFont="1" applyFill="1" applyBorder="1" applyAlignment="1"/>
    <xf numFmtId="0" fontId="1" fillId="0" borderId="0" xfId="0" applyNumberFormat="1" applyFont="1" applyBorder="1" applyAlignment="1"/>
    <xf numFmtId="0" fontId="2" fillId="2" borderId="13" xfId="0" applyNumberFormat="1" applyFont="1" applyFill="1" applyBorder="1" applyAlignment="1"/>
    <xf numFmtId="0" fontId="1" fillId="0" borderId="13" xfId="0" applyNumberFormat="1" applyFont="1" applyBorder="1" applyAlignment="1"/>
    <xf numFmtId="0" fontId="2" fillId="2" borderId="14" xfId="0" applyNumberFormat="1" applyFont="1" applyFill="1" applyBorder="1" applyAlignment="1"/>
    <xf numFmtId="4" fontId="2" fillId="2" borderId="14" xfId="0" applyNumberFormat="1" applyFont="1" applyFill="1" applyBorder="1" applyAlignment="1" applyProtection="1">
      <alignment horizontal="right"/>
      <protection locked="0"/>
    </xf>
    <xf numFmtId="0" fontId="1" fillId="0" borderId="14" xfId="0" applyNumberFormat="1" applyFont="1" applyBorder="1" applyAlignment="1"/>
    <xf numFmtId="0" fontId="1" fillId="0" borderId="2" xfId="0" applyNumberFormat="1" applyFont="1" applyBorder="1" applyAlignment="1"/>
    <xf numFmtId="3" fontId="2" fillId="2" borderId="0" xfId="0" applyNumberFormat="1" applyFont="1" applyFill="1" applyBorder="1" applyAlignment="1" applyProtection="1">
      <alignment horizontal="right"/>
      <protection locked="0"/>
    </xf>
    <xf numFmtId="3" fontId="2" fillId="2" borderId="13" xfId="0" applyNumberFormat="1" applyFont="1" applyFill="1" applyBorder="1" applyAlignment="1" applyProtection="1">
      <alignment horizontal="right"/>
      <protection locked="0"/>
    </xf>
    <xf numFmtId="0" fontId="2" fillId="2" borderId="15" xfId="0" applyNumberFormat="1" applyFont="1" applyFill="1" applyBorder="1" applyAlignment="1"/>
    <xf numFmtId="170" fontId="19" fillId="2" borderId="5" xfId="0" applyNumberFormat="1" applyFont="1" applyFill="1" applyBorder="1" applyAlignment="1">
      <alignment horizontal="center"/>
    </xf>
    <xf numFmtId="170" fontId="19" fillId="2" borderId="5" xfId="0" applyNumberFormat="1" applyFont="1" applyFill="1" applyBorder="1" applyAlignment="1"/>
    <xf numFmtId="0" fontId="1" fillId="2" borderId="0" xfId="0" applyNumberFormat="1" applyFont="1" applyFill="1" applyAlignment="1"/>
    <xf numFmtId="0" fontId="1" fillId="2" borderId="5" xfId="0" applyNumberFormat="1" applyFont="1" applyFill="1" applyBorder="1" applyAlignment="1"/>
    <xf numFmtId="164" fontId="1" fillId="2" borderId="5" xfId="0" applyNumberFormat="1" applyFont="1" applyFill="1" applyBorder="1" applyAlignment="1"/>
    <xf numFmtId="0" fontId="1" fillId="2" borderId="7" xfId="0" applyNumberFormat="1" applyFont="1" applyFill="1" applyBorder="1" applyAlignment="1"/>
    <xf numFmtId="0" fontId="1" fillId="2" borderId="8" xfId="0" applyNumberFormat="1" applyFont="1" applyFill="1" applyBorder="1" applyAlignment="1"/>
    <xf numFmtId="0" fontId="1" fillId="2" borderId="3" xfId="0" applyNumberFormat="1" applyFont="1" applyFill="1" applyBorder="1" applyAlignment="1"/>
    <xf numFmtId="3" fontId="0" fillId="0" borderId="3" xfId="0" applyNumberFormat="1" applyBorder="1"/>
    <xf numFmtId="0" fontId="2" fillId="3" borderId="1" xfId="0" applyNumberFormat="1" applyFont="1" applyFill="1" applyBorder="1" applyAlignment="1"/>
    <xf numFmtId="0" fontId="2" fillId="3" borderId="2" xfId="0" applyNumberFormat="1" applyFont="1" applyFill="1" applyBorder="1" applyAlignment="1"/>
    <xf numFmtId="0" fontId="1" fillId="3" borderId="0" xfId="0" applyNumberFormat="1" applyFont="1" applyFill="1" applyAlignment="1"/>
    <xf numFmtId="0" fontId="2" fillId="3" borderId="3" xfId="0" applyNumberFormat="1" applyFont="1" applyFill="1" applyBorder="1" applyAlignment="1"/>
    <xf numFmtId="0" fontId="5" fillId="3" borderId="0" xfId="0" applyNumberFormat="1" applyFont="1" applyFill="1" applyAlignment="1"/>
    <xf numFmtId="0" fontId="2" fillId="3" borderId="0" xfId="0" applyNumberFormat="1" applyFont="1" applyFill="1" applyAlignment="1"/>
    <xf numFmtId="0" fontId="2" fillId="3" borderId="3" xfId="0" applyNumberFormat="1" applyFont="1" applyFill="1" applyBorder="1" applyAlignment="1">
      <alignment horizontal="center"/>
    </xf>
    <xf numFmtId="0" fontId="19" fillId="3" borderId="0" xfId="0" applyNumberFormat="1" applyFont="1" applyFill="1" applyAlignment="1"/>
    <xf numFmtId="0" fontId="7" fillId="3" borderId="0" xfId="0" applyNumberFormat="1" applyFont="1" applyFill="1" applyAlignment="1"/>
    <xf numFmtId="0" fontId="27" fillId="3" borderId="0" xfId="0" applyNumberFormat="1" applyFont="1" applyFill="1" applyAlignment="1"/>
    <xf numFmtId="0" fontId="28" fillId="3" borderId="0" xfId="1" applyNumberFormat="1" applyFont="1" applyFill="1" applyAlignment="1" applyProtection="1"/>
    <xf numFmtId="0" fontId="9" fillId="3" borderId="0" xfId="0" applyNumberFormat="1" applyFont="1" applyFill="1" applyAlignment="1"/>
    <xf numFmtId="0" fontId="11" fillId="3" borderId="0" xfId="0" applyNumberFormat="1" applyFont="1" applyFill="1" applyAlignment="1"/>
    <xf numFmtId="9" fontId="10" fillId="3" borderId="0" xfId="0" applyNumberFormat="1" applyFont="1" applyFill="1" applyAlignment="1">
      <alignment horizontal="center"/>
    </xf>
    <xf numFmtId="0" fontId="2" fillId="3" borderId="0" xfId="0" applyNumberFormat="1" applyFont="1" applyFill="1" applyAlignment="1">
      <alignment horizontal="center"/>
    </xf>
    <xf numFmtId="0" fontId="4" fillId="3" borderId="0" xfId="0" applyNumberFormat="1" applyFont="1" applyFill="1" applyAlignment="1"/>
    <xf numFmtId="0" fontId="2" fillId="3" borderId="0" xfId="0" applyNumberFormat="1" applyFont="1" applyFill="1" applyAlignment="1">
      <alignment horizontal="right"/>
    </xf>
    <xf numFmtId="0" fontId="2" fillId="3" borderId="4" xfId="0" applyNumberFormat="1" applyFont="1" applyFill="1" applyBorder="1" applyAlignment="1"/>
    <xf numFmtId="0" fontId="2" fillId="3" borderId="0" xfId="0" applyNumberFormat="1" applyFont="1" applyFill="1" applyBorder="1" applyAlignment="1"/>
    <xf numFmtId="0" fontId="2" fillId="3" borderId="6" xfId="0" applyNumberFormat="1" applyFont="1" applyFill="1" applyBorder="1" applyAlignment="1"/>
    <xf numFmtId="4" fontId="2" fillId="3" borderId="2" xfId="0" applyNumberFormat="1" applyFont="1" applyFill="1" applyBorder="1" applyAlignment="1" applyProtection="1">
      <alignment horizontal="right"/>
      <protection locked="0"/>
    </xf>
    <xf numFmtId="4" fontId="2" fillId="3" borderId="0" xfId="0" applyNumberFormat="1" applyFont="1" applyFill="1" applyAlignment="1" applyProtection="1">
      <alignment horizontal="right"/>
      <protection locked="0"/>
    </xf>
    <xf numFmtId="0" fontId="19" fillId="3" borderId="0" xfId="0" applyNumberFormat="1" applyFont="1" applyFill="1" applyAlignment="1">
      <alignment horizontal="left" vertical="top" wrapText="1"/>
    </xf>
    <xf numFmtId="0" fontId="19" fillId="3" borderId="0" xfId="0" applyNumberFormat="1" applyFont="1" applyFill="1" applyAlignment="1">
      <alignment horizontal="center" vertical="top" wrapText="1"/>
    </xf>
    <xf numFmtId="4" fontId="19" fillId="3" borderId="0" xfId="0" applyNumberFormat="1" applyFont="1" applyFill="1" applyAlignment="1" applyProtection="1">
      <alignment horizontal="center" vertical="top" wrapText="1"/>
      <protection locked="0"/>
    </xf>
    <xf numFmtId="0" fontId="20" fillId="3" borderId="0" xfId="0" applyNumberFormat="1" applyFont="1" applyFill="1" applyAlignment="1"/>
    <xf numFmtId="3" fontId="2" fillId="3" borderId="0" xfId="0" applyNumberFormat="1" applyFont="1" applyFill="1" applyAlignment="1"/>
    <xf numFmtId="3" fontId="13" fillId="3" borderId="0" xfId="0" applyNumberFormat="1" applyFont="1" applyFill="1" applyAlignment="1"/>
    <xf numFmtId="0" fontId="21" fillId="3" borderId="0" xfId="0" applyNumberFormat="1" applyFont="1" applyFill="1" applyAlignment="1"/>
    <xf numFmtId="4" fontId="13" fillId="3" borderId="0" xfId="0" applyNumberFormat="1" applyFont="1" applyFill="1" applyAlignment="1" applyProtection="1">
      <alignment horizontal="right"/>
      <protection locked="0"/>
    </xf>
    <xf numFmtId="3" fontId="2" fillId="3" borderId="0" xfId="0" applyNumberFormat="1" applyFont="1" applyFill="1" applyBorder="1" applyAlignment="1" applyProtection="1">
      <alignment horizontal="right"/>
      <protection locked="0"/>
    </xf>
    <xf numFmtId="0" fontId="19" fillId="3" borderId="0" xfId="0" applyNumberFormat="1" applyFont="1" applyFill="1" applyAlignment="1">
      <alignment horizontal="right"/>
    </xf>
    <xf numFmtId="4" fontId="19" fillId="3" borderId="0" xfId="0" applyNumberFormat="1" applyFont="1" applyFill="1" applyAlignment="1" applyProtection="1">
      <alignment horizontal="right"/>
      <protection locked="0"/>
    </xf>
    <xf numFmtId="0" fontId="6" fillId="3" borderId="0" xfId="0" applyNumberFormat="1" applyFont="1" applyFill="1" applyAlignment="1"/>
    <xf numFmtId="0" fontId="2" fillId="3" borderId="0" xfId="0" applyNumberFormat="1" applyFont="1" applyFill="1" applyAlignment="1" applyProtection="1">
      <protection locked="0"/>
    </xf>
    <xf numFmtId="0" fontId="1" fillId="3" borderId="7" xfId="0" applyNumberFormat="1" applyFont="1" applyFill="1" applyBorder="1" applyAlignment="1"/>
    <xf numFmtId="0" fontId="1" fillId="3" borderId="8" xfId="0" applyNumberFormat="1" applyFont="1" applyFill="1" applyBorder="1" applyAlignment="1"/>
    <xf numFmtId="0" fontId="13" fillId="3" borderId="3" xfId="0" applyNumberFormat="1" applyFont="1" applyFill="1" applyBorder="1" applyAlignment="1"/>
    <xf numFmtId="0" fontId="13" fillId="3" borderId="4" xfId="0" applyNumberFormat="1" applyFont="1" applyFill="1" applyBorder="1" applyAlignment="1">
      <alignment horizontal="right"/>
    </xf>
    <xf numFmtId="0" fontId="1" fillId="3" borderId="3" xfId="0" applyNumberFormat="1" applyFont="1" applyFill="1" applyBorder="1" applyAlignment="1"/>
    <xf numFmtId="0" fontId="29" fillId="3" borderId="2" xfId="0" applyNumberFormat="1" applyFont="1" applyFill="1" applyBorder="1" applyAlignment="1"/>
    <xf numFmtId="0" fontId="30" fillId="3" borderId="0" xfId="0" applyNumberFormat="1" applyFont="1" applyFill="1" applyAlignment="1"/>
    <xf numFmtId="0" fontId="31" fillId="3" borderId="0" xfId="0" applyNumberFormat="1" applyFont="1" applyFill="1" applyAlignment="1"/>
    <xf numFmtId="0" fontId="32" fillId="3" borderId="0" xfId="0" applyNumberFormat="1" applyFont="1" applyFill="1" applyAlignment="1">
      <alignment horizontal="center"/>
    </xf>
    <xf numFmtId="0" fontId="32" fillId="3" borderId="0" xfId="0" applyNumberFormat="1" applyFont="1" applyFill="1" applyAlignment="1"/>
    <xf numFmtId="0" fontId="33" fillId="3" borderId="0" xfId="0" applyNumberFormat="1" applyFont="1" applyFill="1" applyAlignment="1">
      <alignment horizontal="center" wrapText="1"/>
    </xf>
    <xf numFmtId="9" fontId="31" fillId="3" borderId="0" xfId="0" applyNumberFormat="1" applyFont="1" applyFill="1" applyAlignment="1">
      <alignment horizontal="center"/>
    </xf>
    <xf numFmtId="10" fontId="31" fillId="3" borderId="0" xfId="0" applyNumberFormat="1" applyFont="1" applyFill="1" applyAlignment="1">
      <alignment horizontal="center"/>
    </xf>
    <xf numFmtId="0" fontId="31" fillId="3" borderId="0" xfId="0" applyNumberFormat="1" applyFont="1" applyFill="1" applyAlignment="1">
      <alignment horizontal="center"/>
    </xf>
    <xf numFmtId="15" fontId="31" fillId="3" borderId="0" xfId="0" applyNumberFormat="1" applyFont="1" applyFill="1" applyAlignment="1">
      <alignment horizontal="center"/>
    </xf>
    <xf numFmtId="0" fontId="33" fillId="3" borderId="0" xfId="0" applyNumberFormat="1" applyFont="1" applyFill="1" applyAlignment="1"/>
    <xf numFmtId="0" fontId="32" fillId="3" borderId="5" xfId="0" applyNumberFormat="1" applyFont="1" applyFill="1" applyBorder="1" applyAlignment="1"/>
    <xf numFmtId="0" fontId="31" fillId="3" borderId="5" xfId="0" applyNumberFormat="1" applyFont="1" applyFill="1" applyBorder="1" applyAlignment="1"/>
    <xf numFmtId="0" fontId="32" fillId="3" borderId="5" xfId="0" applyNumberFormat="1" applyFont="1" applyFill="1" applyBorder="1" applyAlignment="1">
      <alignment horizontal="center"/>
    </xf>
    <xf numFmtId="3" fontId="32" fillId="3" borderId="5" xfId="0" applyNumberFormat="1" applyFont="1" applyFill="1" applyBorder="1" applyAlignment="1"/>
    <xf numFmtId="15" fontId="32" fillId="3" borderId="0" xfId="0" applyNumberFormat="1" applyFont="1" applyFill="1" applyAlignment="1" applyProtection="1">
      <alignment horizontal="center"/>
      <protection locked="0"/>
    </xf>
    <xf numFmtId="15" fontId="32" fillId="3" borderId="0" xfId="0" applyNumberFormat="1" applyFont="1" applyFill="1" applyAlignment="1">
      <alignment horizontal="center"/>
    </xf>
    <xf numFmtId="0" fontId="38" fillId="3" borderId="7" xfId="0" applyNumberFormat="1" applyFont="1" applyFill="1" applyBorder="1" applyAlignment="1"/>
    <xf numFmtId="0" fontId="32" fillId="3" borderId="7" xfId="0" applyNumberFormat="1" applyFont="1" applyFill="1" applyBorder="1" applyAlignment="1"/>
    <xf numFmtId="0" fontId="32" fillId="3" borderId="7" xfId="0" applyNumberFormat="1" applyFont="1" applyFill="1" applyBorder="1" applyAlignment="1" applyProtection="1">
      <alignment horizontal="right"/>
      <protection locked="0"/>
    </xf>
    <xf numFmtId="0" fontId="32" fillId="3" borderId="8" xfId="0" applyNumberFormat="1" applyFont="1" applyFill="1" applyBorder="1" applyAlignment="1"/>
    <xf numFmtId="3" fontId="32" fillId="3" borderId="5" xfId="0" applyNumberFormat="1" applyFont="1" applyFill="1" applyBorder="1" applyAlignment="1" applyProtection="1">
      <alignment horizontal="right"/>
      <protection locked="0"/>
    </xf>
    <xf numFmtId="0" fontId="32" fillId="3" borderId="4" xfId="0" applyNumberFormat="1" applyFont="1" applyFill="1" applyBorder="1" applyAlignment="1"/>
    <xf numFmtId="0" fontId="32" fillId="3" borderId="3" xfId="0" applyNumberFormat="1" applyFont="1" applyFill="1" applyBorder="1" applyAlignment="1"/>
    <xf numFmtId="4" fontId="32" fillId="3" borderId="0" xfId="0" applyNumberFormat="1" applyFont="1" applyFill="1" applyAlignment="1" applyProtection="1">
      <alignment horizontal="right"/>
      <protection locked="0"/>
    </xf>
    <xf numFmtId="0" fontId="32" fillId="3" borderId="6" xfId="0" applyNumberFormat="1" applyFont="1" applyFill="1" applyBorder="1" applyAlignment="1"/>
    <xf numFmtId="4" fontId="32" fillId="3" borderId="7" xfId="0" applyNumberFormat="1" applyFont="1" applyFill="1" applyBorder="1" applyAlignment="1" applyProtection="1">
      <alignment horizontal="right"/>
      <protection locked="0"/>
    </xf>
    <xf numFmtId="0" fontId="32" fillId="3" borderId="2" xfId="0" applyNumberFormat="1" applyFont="1" applyFill="1" applyBorder="1" applyAlignment="1"/>
    <xf numFmtId="4" fontId="32" fillId="3" borderId="2" xfId="0" applyNumberFormat="1" applyFont="1" applyFill="1" applyBorder="1" applyAlignment="1" applyProtection="1">
      <alignment horizontal="right"/>
      <protection locked="0"/>
    </xf>
    <xf numFmtId="15" fontId="31" fillId="3" borderId="0" xfId="0" applyNumberFormat="1" applyFont="1" applyFill="1" applyAlignment="1">
      <alignment horizontal="centerContinuous"/>
    </xf>
    <xf numFmtId="0" fontId="32" fillId="3" borderId="5" xfId="0" applyNumberFormat="1" applyFont="1" applyFill="1" applyBorder="1" applyAlignment="1" applyProtection="1">
      <protection locked="0"/>
    </xf>
    <xf numFmtId="3" fontId="32" fillId="3" borderId="5" xfId="0" applyNumberFormat="1" applyFont="1" applyFill="1" applyBorder="1" applyAlignment="1" applyProtection="1">
      <alignment horizontal="center"/>
      <protection locked="0"/>
    </xf>
    <xf numFmtId="3" fontId="31" fillId="3" borderId="5" xfId="0" applyNumberFormat="1" applyFont="1" applyFill="1" applyBorder="1" applyAlignment="1"/>
    <xf numFmtId="166" fontId="32" fillId="3" borderId="5" xfId="0" applyNumberFormat="1" applyFont="1" applyFill="1" applyBorder="1" applyAlignment="1"/>
    <xf numFmtId="10" fontId="32" fillId="3" borderId="5" xfId="0" applyNumberFormat="1" applyFont="1" applyFill="1" applyBorder="1" applyAlignment="1"/>
    <xf numFmtId="9" fontId="32" fillId="3" borderId="5" xfId="0" applyNumberFormat="1" applyFont="1" applyFill="1" applyBorder="1" applyAlignment="1"/>
    <xf numFmtId="9" fontId="32" fillId="3" borderId="0" xfId="0" applyNumberFormat="1" applyFont="1" applyFill="1" applyAlignment="1"/>
    <xf numFmtId="3" fontId="32" fillId="3" borderId="0" xfId="0" applyNumberFormat="1" applyFont="1" applyFill="1" applyAlignment="1" applyProtection="1">
      <alignment horizontal="right"/>
      <protection locked="0"/>
    </xf>
    <xf numFmtId="0" fontId="34" fillId="3" borderId="0" xfId="0" applyNumberFormat="1" applyFont="1" applyFill="1" applyAlignment="1"/>
    <xf numFmtId="0" fontId="31" fillId="3" borderId="0" xfId="0" quotePrefix="1" applyNumberFormat="1" applyFont="1" applyFill="1" applyAlignment="1">
      <alignment horizontal="center"/>
    </xf>
    <xf numFmtId="0" fontId="37" fillId="3" borderId="0" xfId="0" applyNumberFormat="1" applyFont="1" applyFill="1" applyAlignment="1"/>
    <xf numFmtId="0" fontId="38" fillId="3" borderId="0" xfId="0" applyNumberFormat="1" applyFont="1" applyFill="1" applyAlignment="1"/>
    <xf numFmtId="0" fontId="39" fillId="4" borderId="3" xfId="0" applyNumberFormat="1" applyFont="1" applyFill="1" applyBorder="1" applyAlignment="1"/>
    <xf numFmtId="0" fontId="39" fillId="4" borderId="0" xfId="0" applyNumberFormat="1" applyFont="1" applyFill="1" applyAlignment="1"/>
    <xf numFmtId="0" fontId="40" fillId="4" borderId="0" xfId="0" applyNumberFormat="1" applyFont="1" applyFill="1" applyAlignment="1">
      <alignment horizontal="center" wrapText="1"/>
    </xf>
    <xf numFmtId="0" fontId="41" fillId="4" borderId="0" xfId="0" applyNumberFormat="1" applyFont="1" applyFill="1" applyAlignment="1">
      <alignment horizontal="center" wrapText="1"/>
    </xf>
    <xf numFmtId="0" fontId="39" fillId="4" borderId="0" xfId="0" applyNumberFormat="1" applyFont="1" applyFill="1" applyAlignment="1">
      <alignment horizontal="center" wrapText="1"/>
    </xf>
    <xf numFmtId="0" fontId="42" fillId="4" borderId="0" xfId="0" applyNumberFormat="1" applyFont="1" applyFill="1" applyAlignment="1"/>
    <xf numFmtId="4" fontId="39" fillId="4" borderId="0" xfId="0" applyNumberFormat="1" applyFont="1" applyFill="1" applyAlignment="1" applyProtection="1">
      <alignment horizontal="right"/>
      <protection locked="0"/>
    </xf>
    <xf numFmtId="0" fontId="43" fillId="4" borderId="0" xfId="0" applyNumberFormat="1" applyFont="1" applyFill="1" applyAlignment="1"/>
    <xf numFmtId="0" fontId="43" fillId="4" borderId="0" xfId="0" applyNumberFormat="1" applyFont="1" applyFill="1" applyAlignment="1">
      <alignment horizontal="center"/>
    </xf>
    <xf numFmtId="0" fontId="43" fillId="4" borderId="0" xfId="0" applyNumberFormat="1" applyFont="1" applyFill="1" applyAlignment="1">
      <alignment horizontal="right"/>
    </xf>
    <xf numFmtId="15" fontId="43" fillId="4" borderId="0" xfId="0" applyNumberFormat="1" applyFont="1" applyFill="1" applyAlignment="1">
      <alignment horizontal="right"/>
    </xf>
    <xf numFmtId="0" fontId="39" fillId="4" borderId="1" xfId="0" applyNumberFormat="1" applyFont="1" applyFill="1" applyBorder="1" applyAlignment="1"/>
    <xf numFmtId="0" fontId="39" fillId="4" borderId="2" xfId="0" applyNumberFormat="1" applyFont="1" applyFill="1" applyBorder="1" applyAlignment="1"/>
    <xf numFmtId="4" fontId="39" fillId="4" borderId="2" xfId="0" applyNumberFormat="1" applyFont="1" applyFill="1" applyBorder="1" applyAlignment="1" applyProtection="1">
      <alignment horizontal="right"/>
      <protection locked="0"/>
    </xf>
    <xf numFmtId="15" fontId="43" fillId="4" borderId="2" xfId="0" applyNumberFormat="1" applyFont="1" applyFill="1" applyBorder="1" applyAlignment="1">
      <alignment horizontal="centerContinuous"/>
    </xf>
    <xf numFmtId="15" fontId="43" fillId="4" borderId="2" xfId="0" applyNumberFormat="1" applyFont="1" applyFill="1" applyBorder="1" applyAlignment="1">
      <alignment horizontal="center"/>
    </xf>
    <xf numFmtId="0" fontId="39" fillId="4" borderId="3" xfId="0" applyNumberFormat="1" applyFont="1" applyFill="1" applyBorder="1" applyAlignment="1">
      <alignment horizontal="right"/>
    </xf>
    <xf numFmtId="3" fontId="43" fillId="4" borderId="0" xfId="0" applyNumberFormat="1" applyFont="1" applyFill="1" applyAlignment="1">
      <alignment horizontal="center"/>
    </xf>
    <xf numFmtId="0" fontId="39" fillId="4" borderId="12" xfId="0" applyNumberFormat="1" applyFont="1" applyFill="1" applyBorder="1" applyAlignment="1"/>
    <xf numFmtId="0" fontId="39" fillId="4" borderId="10" xfId="0" applyNumberFormat="1" applyFont="1" applyFill="1" applyBorder="1" applyAlignment="1"/>
    <xf numFmtId="0" fontId="39" fillId="4" borderId="11" xfId="0" applyNumberFormat="1" applyFont="1" applyFill="1" applyBorder="1" applyAlignment="1"/>
    <xf numFmtId="9" fontId="39" fillId="4" borderId="10" xfId="0" applyNumberFormat="1" applyFont="1" applyFill="1" applyBorder="1" applyAlignment="1"/>
    <xf numFmtId="0" fontId="32" fillId="3" borderId="0" xfId="0" applyNumberFormat="1" applyFont="1" applyFill="1" applyBorder="1" applyAlignment="1"/>
    <xf numFmtId="15" fontId="32" fillId="3" borderId="0" xfId="0" applyNumberFormat="1" applyFont="1" applyFill="1" applyBorder="1" applyAlignment="1" applyProtection="1">
      <alignment horizontal="center"/>
      <protection locked="0"/>
    </xf>
    <xf numFmtId="15" fontId="32" fillId="3" borderId="0" xfId="0" applyNumberFormat="1" applyFont="1" applyFill="1" applyBorder="1" applyAlignment="1">
      <alignment horizontal="center"/>
    </xf>
    <xf numFmtId="0" fontId="2" fillId="3" borderId="16" xfId="0" applyNumberFormat="1" applyFont="1" applyFill="1" applyBorder="1" applyAlignment="1"/>
    <xf numFmtId="0" fontId="32" fillId="3" borderId="17" xfId="0" applyNumberFormat="1" applyFont="1" applyFill="1" applyBorder="1" applyAlignment="1"/>
    <xf numFmtId="0" fontId="32" fillId="3" borderId="17" xfId="0" applyNumberFormat="1" applyFont="1" applyFill="1" applyBorder="1" applyAlignment="1">
      <alignment horizontal="center" wrapText="1"/>
    </xf>
    <xf numFmtId="0" fontId="34" fillId="3" borderId="17" xfId="0" applyNumberFormat="1" applyFont="1" applyFill="1" applyBorder="1" applyAlignment="1"/>
    <xf numFmtId="0" fontId="32" fillId="3" borderId="18" xfId="0" applyNumberFormat="1" applyFont="1" applyFill="1" applyBorder="1" applyAlignment="1"/>
    <xf numFmtId="0" fontId="10" fillId="3" borderId="16" xfId="0" applyNumberFormat="1" applyFont="1" applyFill="1" applyBorder="1" applyAlignment="1"/>
    <xf numFmtId="0" fontId="35" fillId="3" borderId="17" xfId="0" applyNumberFormat="1" applyFont="1" applyFill="1" applyBorder="1" applyAlignment="1"/>
    <xf numFmtId="0" fontId="36" fillId="3" borderId="17" xfId="0" applyNumberFormat="1" applyFont="1" applyFill="1" applyBorder="1" applyAlignment="1">
      <alignment horizontal="center" wrapText="1"/>
    </xf>
    <xf numFmtId="0" fontId="31" fillId="3" borderId="17" xfId="0" applyNumberFormat="1" applyFont="1" applyFill="1" applyBorder="1" applyAlignment="1"/>
    <xf numFmtId="0" fontId="32" fillId="3" borderId="17" xfId="0" applyNumberFormat="1" applyFont="1" applyFill="1" applyBorder="1" applyAlignment="1">
      <alignment horizontal="center"/>
    </xf>
    <xf numFmtId="0" fontId="36" fillId="3" borderId="17" xfId="0" applyNumberFormat="1" applyFont="1" applyFill="1" applyBorder="1" applyAlignment="1"/>
    <xf numFmtId="164" fontId="32" fillId="3" borderId="17" xfId="0" applyNumberFormat="1" applyFont="1" applyFill="1" applyBorder="1" applyAlignment="1"/>
    <xf numFmtId="164" fontId="32" fillId="3" borderId="17" xfId="0" applyNumberFormat="1" applyFont="1" applyFill="1" applyBorder="1" applyAlignment="1">
      <alignment horizontal="center"/>
    </xf>
    <xf numFmtId="164" fontId="34" fillId="3" borderId="17" xfId="0" applyNumberFormat="1" applyFont="1" applyFill="1" applyBorder="1" applyAlignment="1"/>
    <xf numFmtId="3" fontId="32" fillId="3" borderId="18" xfId="0" applyNumberFormat="1" applyFont="1" applyFill="1" applyBorder="1" applyAlignment="1"/>
    <xf numFmtId="164" fontId="31" fillId="3" borderId="17" xfId="0" applyNumberFormat="1" applyFont="1" applyFill="1" applyBorder="1" applyAlignment="1"/>
    <xf numFmtId="169" fontId="32" fillId="3" borderId="17" xfId="0" applyNumberFormat="1" applyFont="1" applyFill="1" applyBorder="1" applyAlignment="1">
      <alignment horizontal="center"/>
    </xf>
    <xf numFmtId="168" fontId="32" fillId="3" borderId="17" xfId="0" applyNumberFormat="1" applyFont="1" applyFill="1" applyBorder="1" applyAlignment="1">
      <alignment horizontal="center"/>
    </xf>
    <xf numFmtId="164" fontId="31" fillId="3" borderId="17" xfId="0" applyNumberFormat="1" applyFont="1" applyFill="1" applyBorder="1" applyAlignment="1">
      <alignment horizontal="center"/>
    </xf>
    <xf numFmtId="164" fontId="37" fillId="3" borderId="17" xfId="0" applyNumberFormat="1" applyFont="1" applyFill="1" applyBorder="1" applyAlignment="1"/>
    <xf numFmtId="169" fontId="31" fillId="3" borderId="17" xfId="0" applyNumberFormat="1" applyFont="1" applyFill="1" applyBorder="1" applyAlignment="1">
      <alignment horizontal="center"/>
    </xf>
    <xf numFmtId="168" fontId="31" fillId="3" borderId="17" xfId="0" applyNumberFormat="1" applyFont="1" applyFill="1" applyBorder="1" applyAlignment="1">
      <alignment horizontal="center"/>
    </xf>
    <xf numFmtId="164" fontId="35" fillId="3" borderId="17" xfId="0" applyNumberFormat="1" applyFont="1" applyFill="1" applyBorder="1" applyAlignment="1">
      <alignment horizontal="center"/>
    </xf>
    <xf numFmtId="164" fontId="36" fillId="3" borderId="17" xfId="0" applyNumberFormat="1" applyFont="1" applyFill="1" applyBorder="1" applyAlignment="1"/>
    <xf numFmtId="4" fontId="36" fillId="3" borderId="17" xfId="0" applyNumberFormat="1" applyFont="1" applyFill="1" applyBorder="1" applyAlignment="1">
      <alignment horizontal="center"/>
    </xf>
    <xf numFmtId="164" fontId="36" fillId="3" borderId="17" xfId="0" applyNumberFormat="1" applyFont="1" applyFill="1" applyBorder="1" applyAlignment="1">
      <alignment horizontal="center"/>
    </xf>
    <xf numFmtId="0" fontId="19" fillId="3" borderId="17" xfId="0" applyNumberFormat="1" applyFont="1" applyFill="1" applyBorder="1" applyAlignment="1"/>
    <xf numFmtId="0" fontId="2" fillId="3" borderId="17" xfId="0" applyNumberFormat="1" applyFont="1" applyFill="1" applyBorder="1" applyAlignment="1"/>
    <xf numFmtId="170" fontId="19" fillId="3" borderId="17" xfId="0" applyNumberFormat="1" applyFont="1" applyFill="1" applyBorder="1" applyAlignment="1">
      <alignment horizontal="center"/>
    </xf>
    <xf numFmtId="0" fontId="2" fillId="3" borderId="17" xfId="0" applyNumberFormat="1" applyFont="1" applyFill="1" applyBorder="1" applyAlignment="1">
      <alignment horizontal="center"/>
    </xf>
    <xf numFmtId="0" fontId="1" fillId="3" borderId="17" xfId="0" applyNumberFormat="1" applyFont="1" applyFill="1" applyBorder="1" applyAlignment="1"/>
    <xf numFmtId="0" fontId="2" fillId="3" borderId="18" xfId="0" applyNumberFormat="1" applyFont="1" applyFill="1" applyBorder="1" applyAlignment="1"/>
    <xf numFmtId="10" fontId="2" fillId="3" borderId="17" xfId="0" applyNumberFormat="1" applyFont="1" applyFill="1" applyBorder="1" applyAlignment="1">
      <alignment horizontal="center"/>
    </xf>
    <xf numFmtId="165" fontId="2" fillId="3" borderId="17" xfId="0" applyNumberFormat="1" applyFont="1" applyFill="1" applyBorder="1" applyAlignment="1">
      <alignment horizontal="center"/>
    </xf>
    <xf numFmtId="10" fontId="32" fillId="3" borderId="17" xfId="0" applyNumberFormat="1" applyFont="1" applyFill="1" applyBorder="1" applyAlignment="1">
      <alignment horizontal="center"/>
    </xf>
    <xf numFmtId="165" fontId="32" fillId="3" borderId="17" xfId="0" applyNumberFormat="1" applyFont="1" applyFill="1" applyBorder="1" applyAlignment="1">
      <alignment horizontal="center"/>
    </xf>
    <xf numFmtId="167" fontId="32" fillId="3" borderId="17" xfId="0" applyNumberFormat="1" applyFont="1" applyFill="1" applyBorder="1" applyAlignment="1">
      <alignment horizontal="center"/>
    </xf>
    <xf numFmtId="0" fontId="35" fillId="3" borderId="17" xfId="0" applyNumberFormat="1" applyFont="1" applyFill="1" applyBorder="1" applyAlignment="1">
      <alignment horizontal="center"/>
    </xf>
    <xf numFmtId="0" fontId="32" fillId="3" borderId="17" xfId="0" applyNumberFormat="1" applyFont="1" applyFill="1" applyBorder="1" applyAlignment="1">
      <alignment horizontal="right"/>
    </xf>
    <xf numFmtId="165" fontId="32" fillId="3" borderId="17" xfId="0" applyNumberFormat="1" applyFont="1" applyFill="1" applyBorder="1" applyAlignment="1"/>
    <xf numFmtId="4" fontId="32" fillId="3" borderId="17" xfId="0" applyNumberFormat="1" applyFont="1" applyFill="1" applyBorder="1" applyAlignment="1">
      <alignment horizontal="center"/>
    </xf>
    <xf numFmtId="4" fontId="31" fillId="3" borderId="17" xfId="0" applyNumberFormat="1" applyFont="1" applyFill="1" applyBorder="1" applyAlignment="1">
      <alignment horizontal="center"/>
    </xf>
    <xf numFmtId="0" fontId="31" fillId="3" borderId="17" xfId="0" applyNumberFormat="1" applyFont="1" applyFill="1" applyBorder="1" applyAlignment="1">
      <alignment horizontal="center"/>
    </xf>
    <xf numFmtId="15" fontId="31" fillId="3" borderId="17" xfId="0" applyNumberFormat="1" applyFont="1" applyFill="1" applyBorder="1" applyAlignment="1">
      <alignment horizontal="center"/>
    </xf>
    <xf numFmtId="15" fontId="31" fillId="3" borderId="17" xfId="0" applyNumberFormat="1" applyFont="1" applyFill="1" applyBorder="1" applyAlignment="1" applyProtection="1">
      <alignment horizontal="center"/>
      <protection locked="0"/>
    </xf>
    <xf numFmtId="15" fontId="32" fillId="3" borderId="17" xfId="0" applyNumberFormat="1" applyFont="1" applyFill="1" applyBorder="1" applyAlignment="1"/>
    <xf numFmtId="15" fontId="32" fillId="3" borderId="17" xfId="0" applyNumberFormat="1" applyFont="1" applyFill="1" applyBorder="1" applyAlignment="1" applyProtection="1">
      <alignment horizontal="center"/>
      <protection locked="0"/>
    </xf>
    <xf numFmtId="15" fontId="32" fillId="3" borderId="17" xfId="0" applyNumberFormat="1" applyFont="1" applyFill="1" applyBorder="1" applyAlignment="1">
      <alignment horizontal="center"/>
    </xf>
    <xf numFmtId="3" fontId="2" fillId="3" borderId="0" xfId="0" applyNumberFormat="1" applyFont="1" applyFill="1" applyBorder="1" applyAlignment="1"/>
    <xf numFmtId="3" fontId="13" fillId="3" borderId="0" xfId="0" applyNumberFormat="1" applyFont="1" applyFill="1" applyBorder="1" applyAlignment="1"/>
    <xf numFmtId="3" fontId="32" fillId="3" borderId="17" xfId="0" applyNumberFormat="1" applyFont="1" applyFill="1" applyBorder="1" applyAlignment="1"/>
    <xf numFmtId="3" fontId="32" fillId="3" borderId="17" xfId="0" applyNumberFormat="1" applyFont="1" applyFill="1" applyBorder="1" applyAlignment="1" applyProtection="1">
      <alignment horizontal="right"/>
      <protection locked="0"/>
    </xf>
    <xf numFmtId="3" fontId="32" fillId="3" borderId="0" xfId="0" applyNumberFormat="1" applyFont="1" applyFill="1" applyBorder="1" applyAlignment="1"/>
    <xf numFmtId="0" fontId="32" fillId="3" borderId="16" xfId="0" applyNumberFormat="1" applyFont="1" applyFill="1" applyBorder="1" applyAlignment="1"/>
    <xf numFmtId="14" fontId="32" fillId="3" borderId="17" xfId="0" applyNumberFormat="1" applyFont="1" applyFill="1" applyBorder="1" applyAlignment="1">
      <alignment horizontal="right"/>
    </xf>
    <xf numFmtId="167" fontId="32" fillId="3" borderId="17" xfId="0" applyNumberFormat="1" applyFont="1" applyFill="1" applyBorder="1" applyAlignment="1">
      <alignment horizontal="right"/>
    </xf>
    <xf numFmtId="0" fontId="21" fillId="3" borderId="17" xfId="0" applyNumberFormat="1" applyFont="1" applyFill="1" applyBorder="1" applyAlignment="1"/>
    <xf numFmtId="3" fontId="2" fillId="3" borderId="17" xfId="0" applyNumberFormat="1" applyFont="1" applyFill="1" applyBorder="1" applyAlignment="1"/>
    <xf numFmtId="3" fontId="13" fillId="3" borderId="17" xfId="0" applyNumberFormat="1" applyFont="1" applyFill="1" applyBorder="1" applyAlignment="1" applyProtection="1">
      <alignment horizontal="right"/>
      <protection locked="0"/>
    </xf>
    <xf numFmtId="4" fontId="13" fillId="3" borderId="17" xfId="0" applyNumberFormat="1" applyFont="1" applyFill="1" applyBorder="1" applyAlignment="1" applyProtection="1">
      <alignment horizontal="right"/>
      <protection locked="0"/>
    </xf>
    <xf numFmtId="4" fontId="2" fillId="3" borderId="0" xfId="0" applyNumberFormat="1" applyFont="1" applyFill="1" applyBorder="1" applyAlignment="1" applyProtection="1">
      <alignment horizontal="right"/>
      <protection locked="0"/>
    </xf>
    <xf numFmtId="4" fontId="32" fillId="3" borderId="17" xfId="0" applyNumberFormat="1" applyFont="1" applyFill="1" applyBorder="1" applyAlignment="1" applyProtection="1">
      <alignment horizontal="right"/>
      <protection locked="0"/>
    </xf>
    <xf numFmtId="4" fontId="32" fillId="3" borderId="0" xfId="0" applyNumberFormat="1" applyFont="1" applyFill="1" applyBorder="1" applyAlignment="1" applyProtection="1">
      <alignment horizontal="right"/>
      <protection locked="0"/>
    </xf>
    <xf numFmtId="2" fontId="32" fillId="3" borderId="17" xfId="0" applyNumberFormat="1" applyFont="1" applyFill="1" applyBorder="1" applyAlignment="1" applyProtection="1">
      <alignment horizontal="right"/>
      <protection locked="0"/>
    </xf>
    <xf numFmtId="0" fontId="32" fillId="3" borderId="0" xfId="0" applyNumberFormat="1" applyFont="1" applyFill="1" applyBorder="1" applyAlignment="1" applyProtection="1">
      <protection locked="0"/>
    </xf>
    <xf numFmtId="0" fontId="13" fillId="3" borderId="16" xfId="0" applyNumberFormat="1" applyFont="1" applyFill="1" applyBorder="1" applyAlignment="1"/>
    <xf numFmtId="15" fontId="31" fillId="3" borderId="17" xfId="0" applyNumberFormat="1" applyFont="1" applyFill="1" applyBorder="1" applyAlignment="1">
      <alignment horizontal="centerContinuous"/>
    </xf>
    <xf numFmtId="17" fontId="32" fillId="3" borderId="17" xfId="0" applyNumberFormat="1" applyFont="1" applyFill="1" applyBorder="1" applyAlignment="1">
      <alignment horizontal="center"/>
    </xf>
    <xf numFmtId="0" fontId="13" fillId="3" borderId="3" xfId="0" applyNumberFormat="1" applyFont="1" applyFill="1" applyBorder="1" applyAlignment="1">
      <alignment horizontal="right"/>
    </xf>
    <xf numFmtId="0" fontId="13" fillId="3" borderId="0" xfId="0" applyNumberFormat="1" applyFont="1" applyFill="1" applyBorder="1" applyAlignment="1"/>
    <xf numFmtId="0" fontId="13" fillId="3" borderId="0" xfId="0" applyNumberFormat="1" applyFont="1" applyFill="1" applyBorder="1" applyAlignment="1">
      <alignment horizontal="right"/>
    </xf>
    <xf numFmtId="4" fontId="13" fillId="3" borderId="0" xfId="0" applyNumberFormat="1" applyFont="1" applyFill="1" applyBorder="1" applyAlignment="1">
      <alignment horizontal="right"/>
    </xf>
    <xf numFmtId="10" fontId="13" fillId="3" borderId="0" xfId="0" applyNumberFormat="1" applyFont="1" applyFill="1" applyBorder="1" applyAlignment="1" applyProtection="1">
      <alignment horizontal="center"/>
      <protection locked="0"/>
    </xf>
    <xf numFmtId="0" fontId="2" fillId="3" borderId="0" xfId="0" applyNumberFormat="1" applyFont="1" applyFill="1" applyBorder="1" applyAlignment="1" applyProtection="1">
      <protection locked="0"/>
    </xf>
    <xf numFmtId="0" fontId="16" fillId="3" borderId="0" xfId="0" applyNumberFormat="1" applyFont="1" applyFill="1" applyBorder="1" applyAlignment="1"/>
    <xf numFmtId="0" fontId="13" fillId="3" borderId="16" xfId="0" applyNumberFormat="1" applyFont="1" applyFill="1" applyBorder="1" applyAlignment="1">
      <alignment horizontal="right"/>
    </xf>
    <xf numFmtId="3" fontId="32" fillId="3" borderId="17" xfId="0" applyNumberFormat="1" applyFont="1" applyFill="1" applyBorder="1" applyAlignment="1">
      <alignment horizontal="center"/>
    </xf>
    <xf numFmtId="3" fontId="32" fillId="3" borderId="17" xfId="0" applyNumberFormat="1" applyFont="1" applyFill="1" applyBorder="1" applyAlignment="1" applyProtection="1">
      <alignment horizontal="center"/>
      <protection locked="0"/>
    </xf>
    <xf numFmtId="0" fontId="32" fillId="3" borderId="17" xfId="0" applyNumberFormat="1" applyFont="1" applyFill="1" applyBorder="1" applyAlignment="1" applyProtection="1">
      <protection locked="0"/>
    </xf>
    <xf numFmtId="3" fontId="31" fillId="3" borderId="18" xfId="0" applyNumberFormat="1" applyFont="1" applyFill="1" applyBorder="1" applyAlignment="1"/>
    <xf numFmtId="3" fontId="13" fillId="3" borderId="17" xfId="0" applyNumberFormat="1" applyFont="1" applyFill="1" applyBorder="1" applyAlignment="1"/>
    <xf numFmtId="3" fontId="13" fillId="3" borderId="17" xfId="0" applyNumberFormat="1" applyFont="1" applyFill="1" applyBorder="1" applyAlignment="1" applyProtection="1">
      <alignment horizontal="center"/>
      <protection locked="0"/>
    </xf>
    <xf numFmtId="0" fontId="2" fillId="3" borderId="17" xfId="0" applyNumberFormat="1" applyFont="1" applyFill="1" applyBorder="1" applyAlignment="1" applyProtection="1">
      <protection locked="0"/>
    </xf>
    <xf numFmtId="3" fontId="16" fillId="3" borderId="18" xfId="0" applyNumberFormat="1" applyFont="1" applyFill="1" applyBorder="1" applyAlignment="1"/>
    <xf numFmtId="0" fontId="13" fillId="3" borderId="16" xfId="0" applyNumberFormat="1" applyFont="1" applyFill="1" applyBorder="1" applyAlignment="1">
      <alignment horizontal="center"/>
    </xf>
    <xf numFmtId="0" fontId="13" fillId="3" borderId="17" xfId="0" applyNumberFormat="1" applyFont="1" applyFill="1" applyBorder="1" applyAlignment="1"/>
    <xf numFmtId="0" fontId="16" fillId="3" borderId="18" xfId="0" applyNumberFormat="1" applyFont="1" applyFill="1" applyBorder="1" applyAlignment="1"/>
    <xf numFmtId="3" fontId="35" fillId="3" borderId="17" xfId="0" applyNumberFormat="1" applyFont="1" applyFill="1" applyBorder="1" applyAlignment="1" applyProtection="1">
      <alignment horizontal="center"/>
      <protection locked="0"/>
    </xf>
    <xf numFmtId="0" fontId="35" fillId="3" borderId="17" xfId="0" applyNumberFormat="1" applyFont="1" applyFill="1" applyBorder="1" applyAlignment="1" applyProtection="1">
      <protection locked="0"/>
    </xf>
    <xf numFmtId="0" fontId="36" fillId="3" borderId="18" xfId="0" applyNumberFormat="1" applyFont="1" applyFill="1" applyBorder="1" applyAlignment="1"/>
    <xf numFmtId="3" fontId="35" fillId="3" borderId="17" xfId="0" applyNumberFormat="1" applyFont="1" applyFill="1" applyBorder="1" applyAlignment="1"/>
    <xf numFmtId="0" fontId="31" fillId="3" borderId="18" xfId="0" applyNumberFormat="1" applyFont="1" applyFill="1" applyBorder="1" applyAlignment="1"/>
    <xf numFmtId="4" fontId="32" fillId="3" borderId="17" xfId="0" applyNumberFormat="1" applyFont="1" applyFill="1" applyBorder="1" applyAlignment="1">
      <alignment horizontal="right"/>
    </xf>
    <xf numFmtId="4" fontId="32" fillId="3" borderId="17" xfId="0" applyNumberFormat="1" applyFont="1" applyFill="1" applyBorder="1" applyAlignment="1" applyProtection="1">
      <alignment horizontal="center"/>
      <protection locked="0"/>
    </xf>
    <xf numFmtId="0" fontId="13" fillId="3" borderId="17" xfId="0" applyNumberFormat="1" applyFont="1" applyFill="1" applyBorder="1" applyAlignment="1">
      <alignment horizontal="right"/>
    </xf>
    <xf numFmtId="4" fontId="13" fillId="3" borderId="17" xfId="0" applyNumberFormat="1" applyFont="1" applyFill="1" applyBorder="1" applyAlignment="1">
      <alignment horizontal="right"/>
    </xf>
    <xf numFmtId="10" fontId="13" fillId="3" borderId="17" xfId="0" applyNumberFormat="1" applyFont="1" applyFill="1" applyBorder="1" applyAlignment="1" applyProtection="1">
      <alignment horizontal="center"/>
      <protection locked="0"/>
    </xf>
    <xf numFmtId="0" fontId="27" fillId="3" borderId="17" xfId="0" applyNumberFormat="1" applyFont="1" applyFill="1" applyBorder="1" applyAlignment="1"/>
    <xf numFmtId="10" fontId="28" fillId="3" borderId="17" xfId="1" applyNumberFormat="1" applyFont="1" applyFill="1" applyBorder="1" applyAlignment="1">
      <alignment horizontal="left"/>
      <protection locked="0"/>
    </xf>
    <xf numFmtId="9" fontId="2" fillId="3" borderId="0" xfId="0" applyNumberFormat="1" applyFont="1" applyFill="1" applyBorder="1" applyAlignment="1"/>
    <xf numFmtId="10" fontId="2" fillId="3" borderId="0" xfId="0" applyNumberFormat="1" applyFont="1" applyFill="1" applyBorder="1" applyAlignment="1"/>
    <xf numFmtId="3" fontId="13" fillId="3" borderId="0" xfId="0" applyNumberFormat="1" applyFont="1" applyFill="1" applyBorder="1" applyAlignment="1" applyProtection="1">
      <alignment horizontal="right"/>
      <protection locked="0"/>
    </xf>
    <xf numFmtId="166" fontId="32" fillId="3" borderId="17" xfId="0" applyNumberFormat="1" applyFont="1" applyFill="1" applyBorder="1" applyAlignment="1"/>
    <xf numFmtId="10" fontId="32" fillId="3" borderId="17" xfId="0" applyNumberFormat="1" applyFont="1" applyFill="1" applyBorder="1" applyAlignment="1"/>
    <xf numFmtId="9" fontId="32" fillId="3" borderId="17" xfId="0" applyNumberFormat="1" applyFont="1" applyFill="1" applyBorder="1" applyAlignment="1"/>
    <xf numFmtId="9" fontId="32" fillId="3" borderId="0" xfId="0" applyNumberFormat="1" applyFont="1" applyFill="1" applyBorder="1" applyAlignment="1"/>
    <xf numFmtId="10" fontId="32" fillId="3" borderId="0" xfId="0" applyNumberFormat="1" applyFont="1" applyFill="1" applyBorder="1" applyAlignment="1"/>
    <xf numFmtId="3" fontId="32" fillId="3" borderId="0" xfId="0" applyNumberFormat="1" applyFont="1" applyFill="1" applyBorder="1" applyAlignment="1" applyProtection="1">
      <alignment horizontal="right"/>
      <protection locked="0"/>
    </xf>
    <xf numFmtId="3" fontId="36" fillId="3" borderId="17" xfId="0" applyNumberFormat="1" applyFont="1" applyFill="1" applyBorder="1" applyAlignment="1"/>
    <xf numFmtId="3" fontId="31" fillId="3" borderId="17" xfId="0" applyNumberFormat="1" applyFont="1" applyFill="1" applyBorder="1" applyAlignment="1" applyProtection="1">
      <alignment horizontal="right"/>
      <protection locked="0"/>
    </xf>
    <xf numFmtId="0" fontId="43" fillId="4" borderId="2" xfId="0" applyNumberFormat="1" applyFont="1" applyFill="1" applyBorder="1" applyAlignment="1"/>
    <xf numFmtId="0" fontId="31" fillId="3" borderId="17" xfId="0" applyNumberFormat="1" applyFont="1" applyFill="1" applyBorder="1" applyAlignment="1">
      <alignment horizontal="center" wrapText="1"/>
    </xf>
    <xf numFmtId="0" fontId="40" fillId="4" borderId="0" xfId="0" applyNumberFormat="1" applyFont="1" applyFill="1" applyAlignment="1"/>
    <xf numFmtId="0" fontId="40" fillId="4" borderId="0" xfId="0" applyNumberFormat="1" applyFont="1" applyFill="1" applyAlignment="1">
      <alignment horizontal="center"/>
    </xf>
    <xf numFmtId="0" fontId="40" fillId="4" borderId="0" xfId="0" applyNumberFormat="1" applyFont="1" applyFill="1" applyAlignment="1">
      <alignment horizontal="right"/>
    </xf>
    <xf numFmtId="15" fontId="40" fillId="4" borderId="0" xfId="0" applyNumberFormat="1" applyFont="1" applyFill="1" applyAlignment="1">
      <alignment horizontal="right"/>
    </xf>
    <xf numFmtId="0" fontId="40" fillId="4" borderId="2" xfId="0" applyNumberFormat="1" applyFont="1" applyFill="1" applyBorder="1" applyAlignment="1"/>
    <xf numFmtId="15" fontId="40" fillId="4" borderId="2" xfId="0" applyNumberFormat="1" applyFont="1" applyFill="1" applyBorder="1" applyAlignment="1">
      <alignment horizontal="centerContinuous"/>
    </xf>
    <xf numFmtId="15" fontId="40" fillId="4" borderId="2" xfId="0" applyNumberFormat="1" applyFont="1" applyFill="1" applyBorder="1" applyAlignment="1">
      <alignment horizontal="center"/>
    </xf>
    <xf numFmtId="3" fontId="40" fillId="4" borderId="0" xfId="0" applyNumberFormat="1" applyFont="1" applyFill="1" applyAlignment="1">
      <alignment horizontal="center"/>
    </xf>
    <xf numFmtId="3" fontId="31" fillId="3" borderId="17" xfId="0" applyNumberFormat="1" applyFont="1" applyFill="1" applyBorder="1" applyAlignment="1"/>
    <xf numFmtId="171" fontId="32" fillId="3" borderId="17" xfId="0" applyNumberFormat="1" applyFont="1" applyFill="1" applyBorder="1" applyAlignment="1">
      <alignment horizontal="center"/>
    </xf>
    <xf numFmtId="171" fontId="31" fillId="3" borderId="17" xfId="0" applyNumberFormat="1" applyFont="1" applyFill="1" applyBorder="1" applyAlignment="1">
      <alignment horizontal="center"/>
    </xf>
    <xf numFmtId="0" fontId="27" fillId="3" borderId="0" xfId="0" applyNumberFormat="1" applyFont="1" applyFill="1" applyBorder="1" applyAlignment="1"/>
    <xf numFmtId="10" fontId="28" fillId="3" borderId="0" xfId="1" applyNumberFormat="1" applyFont="1" applyFill="1" applyBorder="1" applyAlignment="1">
      <alignment horizontal="left"/>
      <protection locked="0"/>
    </xf>
    <xf numFmtId="0" fontId="45" fillId="5" borderId="0" xfId="1" applyNumberFormat="1" applyFont="1" applyFill="1" applyAlignment="1" applyProtection="1"/>
    <xf numFmtId="0" fontId="46" fillId="3" borderId="1" xfId="0" applyNumberFormat="1" applyFont="1" applyFill="1" applyBorder="1" applyAlignment="1"/>
    <xf numFmtId="0" fontId="46" fillId="3" borderId="2" xfId="0" applyNumberFormat="1" applyFont="1" applyFill="1" applyBorder="1" applyAlignment="1"/>
    <xf numFmtId="0" fontId="46" fillId="0" borderId="3" xfId="0" applyNumberFormat="1" applyFont="1" applyBorder="1"/>
    <xf numFmtId="0" fontId="46" fillId="0" borderId="0" xfId="0" applyNumberFormat="1" applyFont="1" applyAlignment="1"/>
    <xf numFmtId="0" fontId="46" fillId="3" borderId="3" xfId="0" applyNumberFormat="1" applyFont="1" applyFill="1" applyBorder="1" applyAlignment="1"/>
    <xf numFmtId="0" fontId="47" fillId="3" borderId="0" xfId="0" applyNumberFormat="1" applyFont="1" applyFill="1" applyAlignment="1"/>
    <xf numFmtId="0" fontId="46" fillId="3" borderId="0" xfId="0" applyNumberFormat="1" applyFont="1" applyFill="1" applyAlignment="1"/>
    <xf numFmtId="0" fontId="46" fillId="3" borderId="3" xfId="0" applyNumberFormat="1" applyFont="1" applyFill="1" applyBorder="1" applyAlignment="1">
      <alignment horizontal="center"/>
    </xf>
    <xf numFmtId="0" fontId="48" fillId="3" borderId="0" xfId="0" applyNumberFormat="1" applyFont="1" applyFill="1" applyAlignment="1"/>
    <xf numFmtId="0" fontId="49" fillId="3" borderId="0" xfId="0" applyNumberFormat="1" applyFont="1" applyFill="1" applyAlignment="1"/>
    <xf numFmtId="0" fontId="50" fillId="3" borderId="0" xfId="0" applyNumberFormat="1" applyFont="1" applyFill="1" applyAlignment="1"/>
    <xf numFmtId="0" fontId="51" fillId="3" borderId="0" xfId="1" applyNumberFormat="1" applyFont="1" applyFill="1" applyAlignment="1" applyProtection="1"/>
    <xf numFmtId="0" fontId="52" fillId="3" borderId="0" xfId="0" applyNumberFormat="1" applyFont="1" applyFill="1" applyAlignment="1"/>
    <xf numFmtId="0" fontId="53" fillId="3" borderId="0" xfId="0" applyNumberFormat="1" applyFont="1" applyFill="1" applyAlignment="1"/>
    <xf numFmtId="0" fontId="54" fillId="3" borderId="0" xfId="0" applyNumberFormat="1" applyFont="1" applyFill="1" applyAlignment="1"/>
    <xf numFmtId="15" fontId="53" fillId="3" borderId="0" xfId="0" applyNumberFormat="1" applyFont="1" applyFill="1" applyAlignment="1">
      <alignment horizontal="center"/>
    </xf>
    <xf numFmtId="0" fontId="55" fillId="3" borderId="0" xfId="0" applyNumberFormat="1" applyFont="1" applyFill="1" applyAlignment="1"/>
    <xf numFmtId="0" fontId="46" fillId="3" borderId="0" xfId="0" applyNumberFormat="1" applyFont="1" applyFill="1" applyAlignment="1">
      <alignment horizontal="right"/>
    </xf>
    <xf numFmtId="0" fontId="46" fillId="3" borderId="16" xfId="0" applyNumberFormat="1" applyFont="1" applyFill="1" applyBorder="1" applyAlignment="1"/>
    <xf numFmtId="0" fontId="54" fillId="3" borderId="17" xfId="0" applyNumberFormat="1" applyFont="1" applyFill="1" applyBorder="1" applyAlignment="1"/>
    <xf numFmtId="0" fontId="54" fillId="3" borderId="18" xfId="0" applyNumberFormat="1" applyFont="1" applyFill="1" applyBorder="1" applyAlignment="1"/>
    <xf numFmtId="0" fontId="46" fillId="3" borderId="17" xfId="0" applyNumberFormat="1" applyFont="1" applyFill="1" applyBorder="1" applyAlignment="1"/>
    <xf numFmtId="0" fontId="46" fillId="3" borderId="17" xfId="0" applyNumberFormat="1" applyFont="1" applyFill="1" applyBorder="1" applyAlignment="1">
      <alignment horizontal="center"/>
    </xf>
    <xf numFmtId="0" fontId="46" fillId="3" borderId="18" xfId="0" applyNumberFormat="1" applyFont="1" applyFill="1" applyBorder="1" applyAlignment="1"/>
    <xf numFmtId="0" fontId="54" fillId="3" borderId="0" xfId="0" applyNumberFormat="1" applyFont="1" applyFill="1" applyBorder="1" applyAlignment="1"/>
    <xf numFmtId="0" fontId="46" fillId="3" borderId="6" xfId="0" applyNumberFormat="1" applyFont="1" applyFill="1" applyBorder="1" applyAlignment="1"/>
    <xf numFmtId="4" fontId="46" fillId="3" borderId="0" xfId="0" applyNumberFormat="1" applyFont="1" applyFill="1" applyAlignment="1" applyProtection="1">
      <alignment horizontal="right"/>
      <protection locked="0"/>
    </xf>
    <xf numFmtId="3" fontId="54" fillId="3" borderId="17" xfId="0" applyNumberFormat="1" applyFont="1" applyFill="1" applyBorder="1" applyAlignment="1" applyProtection="1">
      <alignment horizontal="right"/>
      <protection locked="0"/>
    </xf>
    <xf numFmtId="0" fontId="46" fillId="3" borderId="0" xfId="0" applyNumberFormat="1" applyFont="1" applyFill="1" applyBorder="1" applyAlignment="1"/>
    <xf numFmtId="3" fontId="46" fillId="3" borderId="0" xfId="0" applyNumberFormat="1" applyFont="1" applyFill="1" applyBorder="1" applyAlignment="1"/>
    <xf numFmtId="3" fontId="58" fillId="3" borderId="0" xfId="0" applyNumberFormat="1" applyFont="1" applyFill="1" applyBorder="1" applyAlignment="1"/>
    <xf numFmtId="3" fontId="46" fillId="3" borderId="0" xfId="0" applyNumberFormat="1" applyFont="1" applyFill="1" applyAlignment="1"/>
    <xf numFmtId="3" fontId="58" fillId="3" borderId="0" xfId="0" applyNumberFormat="1" applyFont="1" applyFill="1" applyAlignment="1"/>
    <xf numFmtId="0" fontId="54" fillId="3" borderId="3" xfId="0" applyNumberFormat="1" applyFont="1" applyFill="1" applyBorder="1" applyAlignment="1"/>
    <xf numFmtId="3" fontId="54" fillId="3" borderId="0" xfId="0" applyNumberFormat="1" applyFont="1" applyFill="1" applyBorder="1" applyAlignment="1"/>
    <xf numFmtId="3" fontId="46" fillId="3" borderId="17" xfId="0" applyNumberFormat="1" applyFont="1" applyFill="1" applyBorder="1" applyAlignment="1"/>
    <xf numFmtId="3" fontId="58" fillId="3" borderId="17" xfId="0" applyNumberFormat="1" applyFont="1" applyFill="1" applyBorder="1" applyAlignment="1" applyProtection="1">
      <alignment horizontal="right"/>
      <protection locked="0"/>
    </xf>
    <xf numFmtId="4" fontId="58" fillId="3" borderId="17" xfId="0" applyNumberFormat="1" applyFont="1" applyFill="1" applyBorder="1" applyAlignment="1" applyProtection="1">
      <alignment horizontal="right"/>
      <protection locked="0"/>
    </xf>
    <xf numFmtId="0" fontId="59" fillId="3" borderId="0" xfId="0" applyNumberFormat="1" applyFont="1" applyFill="1" applyAlignment="1"/>
    <xf numFmtId="4" fontId="46" fillId="3" borderId="0" xfId="0" applyNumberFormat="1" applyFont="1" applyFill="1" applyBorder="1" applyAlignment="1" applyProtection="1">
      <alignment horizontal="right"/>
      <protection locked="0"/>
    </xf>
    <xf numFmtId="4" fontId="58" fillId="3" borderId="0" xfId="0" applyNumberFormat="1" applyFont="1" applyFill="1" applyAlignment="1" applyProtection="1">
      <alignment horizontal="right"/>
      <protection locked="0"/>
    </xf>
    <xf numFmtId="4" fontId="54" fillId="3" borderId="0" xfId="0" applyNumberFormat="1" applyFont="1" applyFill="1" applyBorder="1" applyAlignment="1" applyProtection="1">
      <alignment horizontal="right"/>
      <protection locked="0"/>
    </xf>
    <xf numFmtId="0" fontId="54" fillId="3" borderId="2" xfId="0" applyNumberFormat="1" applyFont="1" applyFill="1" applyBorder="1" applyAlignment="1"/>
    <xf numFmtId="4" fontId="54" fillId="3" borderId="2" xfId="0" applyNumberFormat="1" applyFont="1" applyFill="1" applyBorder="1" applyAlignment="1" applyProtection="1">
      <alignment horizontal="right"/>
      <protection locked="0"/>
    </xf>
    <xf numFmtId="3" fontId="46" fillId="3" borderId="0" xfId="0" applyNumberFormat="1" applyFont="1" applyFill="1" applyBorder="1" applyAlignment="1" applyProtection="1">
      <alignment horizontal="right"/>
      <protection locked="0"/>
    </xf>
    <xf numFmtId="0" fontId="46" fillId="0" borderId="0" xfId="0" applyNumberFormat="1" applyFont="1" applyBorder="1" applyAlignment="1"/>
    <xf numFmtId="0" fontId="46" fillId="0" borderId="14" xfId="0" applyNumberFormat="1" applyFont="1" applyBorder="1" applyAlignment="1"/>
    <xf numFmtId="4" fontId="46" fillId="3" borderId="2" xfId="0" applyNumberFormat="1" applyFont="1" applyFill="1" applyBorder="1" applyAlignment="1" applyProtection="1">
      <alignment horizontal="right"/>
      <protection locked="0"/>
    </xf>
    <xf numFmtId="0" fontId="46" fillId="0" borderId="2" xfId="0" applyNumberFormat="1" applyFont="1" applyBorder="1" applyAlignment="1"/>
    <xf numFmtId="0" fontId="46" fillId="3" borderId="0" xfId="0" applyNumberFormat="1" applyFont="1" applyFill="1" applyAlignment="1" applyProtection="1">
      <protection locked="0"/>
    </xf>
    <xf numFmtId="0" fontId="58" fillId="3" borderId="3" xfId="0" applyNumberFormat="1" applyFont="1" applyFill="1" applyBorder="1" applyAlignment="1"/>
    <xf numFmtId="15" fontId="53" fillId="3" borderId="0" xfId="0" applyNumberFormat="1" applyFont="1" applyFill="1" applyAlignment="1">
      <alignment horizontal="centerContinuous"/>
    </xf>
    <xf numFmtId="0" fontId="54" fillId="3" borderId="0" xfId="0" applyNumberFormat="1" applyFont="1" applyFill="1" applyBorder="1" applyAlignment="1" applyProtection="1">
      <protection locked="0"/>
    </xf>
    <xf numFmtId="0" fontId="58" fillId="3" borderId="16" xfId="0" applyNumberFormat="1" applyFont="1" applyFill="1" applyBorder="1" applyAlignment="1">
      <alignment horizontal="right"/>
    </xf>
    <xf numFmtId="3" fontId="58" fillId="3" borderId="17" xfId="0" applyNumberFormat="1" applyFont="1" applyFill="1" applyBorder="1" applyAlignment="1"/>
    <xf numFmtId="0" fontId="46" fillId="3" borderId="17" xfId="0" applyNumberFormat="1" applyFont="1" applyFill="1" applyBorder="1" applyAlignment="1" applyProtection="1">
      <protection locked="0"/>
    </xf>
    <xf numFmtId="3" fontId="60" fillId="3" borderId="18" xfId="0" applyNumberFormat="1" applyFont="1" applyFill="1" applyBorder="1" applyAlignment="1"/>
    <xf numFmtId="0" fontId="58" fillId="3" borderId="16" xfId="0" applyNumberFormat="1" applyFont="1" applyFill="1" applyBorder="1" applyAlignment="1">
      <alignment horizontal="center"/>
    </xf>
    <xf numFmtId="0" fontId="58" fillId="3" borderId="17" xfId="0" applyNumberFormat="1" applyFont="1" applyFill="1" applyBorder="1" applyAlignment="1"/>
    <xf numFmtId="3" fontId="58" fillId="3" borderId="17" xfId="0" applyNumberFormat="1" applyFont="1" applyFill="1" applyBorder="1" applyAlignment="1" applyProtection="1">
      <alignment horizontal="center"/>
      <protection locked="0"/>
    </xf>
    <xf numFmtId="0" fontId="60" fillId="3" borderId="18" xfId="0" applyNumberFormat="1" applyFont="1" applyFill="1" applyBorder="1" applyAlignment="1"/>
    <xf numFmtId="0" fontId="58" fillId="3" borderId="17" xfId="0" applyNumberFormat="1" applyFont="1" applyFill="1" applyBorder="1" applyAlignment="1">
      <alignment horizontal="right"/>
    </xf>
    <xf numFmtId="4" fontId="58" fillId="3" borderId="17" xfId="0" applyNumberFormat="1" applyFont="1" applyFill="1" applyBorder="1" applyAlignment="1">
      <alignment horizontal="right"/>
    </xf>
    <xf numFmtId="10" fontId="58" fillId="3" borderId="17" xfId="0" applyNumberFormat="1" applyFont="1" applyFill="1" applyBorder="1" applyAlignment="1" applyProtection="1">
      <alignment horizontal="center"/>
      <protection locked="0"/>
    </xf>
    <xf numFmtId="0" fontId="58" fillId="3" borderId="3" xfId="0" applyNumberFormat="1" applyFont="1" applyFill="1" applyBorder="1" applyAlignment="1">
      <alignment horizontal="right"/>
    </xf>
    <xf numFmtId="0" fontId="58" fillId="3" borderId="0" xfId="0" applyNumberFormat="1" applyFont="1" applyFill="1" applyBorder="1" applyAlignment="1">
      <alignment horizontal="right"/>
    </xf>
    <xf numFmtId="4" fontId="58" fillId="3" borderId="0" xfId="0" applyNumberFormat="1" applyFont="1" applyFill="1" applyBorder="1" applyAlignment="1">
      <alignment horizontal="right"/>
    </xf>
    <xf numFmtId="10" fontId="58" fillId="3" borderId="0" xfId="0" applyNumberFormat="1" applyFont="1" applyFill="1" applyBorder="1" applyAlignment="1" applyProtection="1">
      <alignment horizontal="center"/>
      <protection locked="0"/>
    </xf>
    <xf numFmtId="0" fontId="46" fillId="3" borderId="0" xfId="0" applyNumberFormat="1" applyFont="1" applyFill="1" applyBorder="1" applyAlignment="1" applyProtection="1">
      <protection locked="0"/>
    </xf>
    <xf numFmtId="0" fontId="60" fillId="3" borderId="0" xfId="0" applyNumberFormat="1" applyFont="1" applyFill="1" applyBorder="1" applyAlignment="1"/>
    <xf numFmtId="10" fontId="54" fillId="3" borderId="0" xfId="0" applyNumberFormat="1" applyFont="1" applyFill="1" applyBorder="1" applyAlignment="1"/>
    <xf numFmtId="3" fontId="54" fillId="3" borderId="0" xfId="0" applyNumberFormat="1" applyFont="1" applyFill="1" applyBorder="1" applyAlignment="1" applyProtection="1">
      <alignment horizontal="right"/>
      <protection locked="0"/>
    </xf>
    <xf numFmtId="9" fontId="46" fillId="3" borderId="0" xfId="0" applyNumberFormat="1" applyFont="1" applyFill="1" applyBorder="1" applyAlignment="1"/>
    <xf numFmtId="10" fontId="46" fillId="3" borderId="0" xfId="0" applyNumberFormat="1" applyFont="1" applyFill="1" applyBorder="1" applyAlignment="1"/>
    <xf numFmtId="3" fontId="58" fillId="3" borderId="0" xfId="0" applyNumberFormat="1" applyFont="1" applyFill="1" applyBorder="1" applyAlignment="1" applyProtection="1">
      <alignment horizontal="right"/>
      <protection locked="0"/>
    </xf>
    <xf numFmtId="9" fontId="54" fillId="3" borderId="0" xfId="0" applyNumberFormat="1" applyFont="1" applyFill="1" applyBorder="1" applyAlignment="1"/>
    <xf numFmtId="0" fontId="53" fillId="3" borderId="0" xfId="0" quotePrefix="1" applyNumberFormat="1" applyFont="1" applyFill="1" applyAlignment="1">
      <alignment horizontal="center"/>
    </xf>
    <xf numFmtId="10" fontId="51" fillId="3" borderId="0" xfId="1" applyNumberFormat="1" applyFont="1" applyFill="1" applyBorder="1" applyAlignment="1">
      <alignment horizontal="left"/>
      <protection locked="0"/>
    </xf>
    <xf numFmtId="0" fontId="46" fillId="0" borderId="2" xfId="0" applyNumberFormat="1" applyFont="1" applyBorder="1"/>
    <xf numFmtId="0" fontId="61" fillId="3" borderId="16" xfId="0" applyNumberFormat="1" applyFont="1" applyFill="1" applyBorder="1" applyAlignment="1"/>
    <xf numFmtId="0" fontId="48" fillId="3" borderId="17" xfId="0" applyNumberFormat="1" applyFont="1" applyFill="1" applyBorder="1" applyAlignment="1"/>
    <xf numFmtId="0" fontId="61" fillId="3" borderId="17" xfId="0" applyNumberFormat="1" applyFont="1" applyFill="1" applyBorder="1" applyAlignment="1"/>
    <xf numFmtId="170" fontId="48" fillId="3" borderId="17" xfId="0" applyNumberFormat="1" applyFont="1" applyFill="1" applyBorder="1" applyAlignment="1">
      <alignment horizontal="center"/>
    </xf>
    <xf numFmtId="0" fontId="61" fillId="3" borderId="17" xfId="0" applyNumberFormat="1" applyFont="1" applyFill="1" applyBorder="1" applyAlignment="1">
      <alignment horizontal="center"/>
    </xf>
    <xf numFmtId="0" fontId="61" fillId="3" borderId="18" xfId="0" applyNumberFormat="1" applyFont="1" applyFill="1" applyBorder="1" applyAlignment="1"/>
    <xf numFmtId="0" fontId="61" fillId="0" borderId="3" xfId="0" applyNumberFormat="1" applyFont="1" applyBorder="1"/>
    <xf numFmtId="0" fontId="61" fillId="0" borderId="0" xfId="0" applyNumberFormat="1" applyFont="1" applyAlignment="1"/>
    <xf numFmtId="10" fontId="61" fillId="3" borderId="17" xfId="0" applyNumberFormat="1" applyFont="1" applyFill="1" applyBorder="1" applyAlignment="1">
      <alignment horizontal="center"/>
    </xf>
    <xf numFmtId="165" fontId="61" fillId="3" borderId="17" xfId="0" applyNumberFormat="1" applyFont="1" applyFill="1" applyBorder="1" applyAlignment="1">
      <alignment horizontal="center"/>
    </xf>
    <xf numFmtId="0" fontId="61" fillId="3" borderId="3" xfId="0" applyNumberFormat="1" applyFont="1" applyFill="1" applyBorder="1" applyAlignment="1"/>
    <xf numFmtId="0" fontId="48" fillId="3" borderId="0" xfId="0" applyNumberFormat="1" applyFont="1" applyFill="1" applyAlignment="1">
      <alignment horizontal="left" vertical="top" wrapText="1"/>
    </xf>
    <xf numFmtId="0" fontId="48" fillId="3" borderId="0" xfId="0" applyNumberFormat="1" applyFont="1" applyFill="1" applyAlignment="1">
      <alignment horizontal="center" vertical="top" wrapText="1"/>
    </xf>
    <xf numFmtId="4" fontId="48" fillId="3" borderId="0" xfId="0" applyNumberFormat="1" applyFont="1" applyFill="1" applyAlignment="1" applyProtection="1">
      <alignment horizontal="center" vertical="top" wrapText="1"/>
      <protection locked="0"/>
    </xf>
    <xf numFmtId="0" fontId="61" fillId="3" borderId="0" xfId="0" applyNumberFormat="1" applyFont="1" applyFill="1" applyAlignment="1"/>
    <xf numFmtId="0" fontId="62" fillId="3" borderId="17" xfId="0" applyNumberFormat="1" applyFont="1" applyFill="1" applyBorder="1" applyAlignment="1"/>
    <xf numFmtId="0" fontId="62" fillId="3" borderId="0" xfId="0" applyNumberFormat="1" applyFont="1" applyFill="1" applyAlignment="1"/>
    <xf numFmtId="0" fontId="48" fillId="3" borderId="0" xfId="0" applyNumberFormat="1" applyFont="1" applyFill="1" applyAlignment="1">
      <alignment horizontal="right"/>
    </xf>
    <xf numFmtId="4" fontId="48" fillId="3" borderId="0" xfId="0" applyNumberFormat="1" applyFont="1" applyFill="1" applyAlignment="1" applyProtection="1">
      <alignment horizontal="right"/>
      <protection locked="0"/>
    </xf>
    <xf numFmtId="0" fontId="61" fillId="3" borderId="0" xfId="0" applyNumberFormat="1" applyFont="1" applyFill="1" applyBorder="1" applyAlignment="1"/>
    <xf numFmtId="0" fontId="50" fillId="3" borderId="17" xfId="0" applyNumberFormat="1" applyFont="1" applyFill="1" applyBorder="1" applyAlignment="1"/>
    <xf numFmtId="0" fontId="63" fillId="5" borderId="17" xfId="1" applyNumberFormat="1" applyFont="1" applyFill="1" applyBorder="1" applyAlignment="1" applyProtection="1"/>
    <xf numFmtId="0" fontId="50" fillId="3" borderId="0" xfId="0" applyNumberFormat="1" applyFont="1" applyFill="1" applyBorder="1" applyAlignment="1"/>
    <xf numFmtId="0" fontId="56" fillId="6" borderId="3" xfId="0" applyNumberFormat="1" applyFont="1" applyFill="1" applyBorder="1" applyAlignment="1"/>
    <xf numFmtId="0" fontId="56" fillId="6" borderId="0" xfId="0" applyNumberFormat="1" applyFont="1" applyFill="1" applyAlignment="1"/>
    <xf numFmtId="0" fontId="56" fillId="6" borderId="0" xfId="0" applyNumberFormat="1" applyFont="1" applyFill="1" applyBorder="1" applyAlignment="1"/>
    <xf numFmtId="0" fontId="57" fillId="6" borderId="0" xfId="0" applyNumberFormat="1" applyFont="1" applyFill="1" applyBorder="1" applyAlignment="1">
      <alignment horizontal="center" wrapText="1"/>
    </xf>
    <xf numFmtId="0" fontId="56" fillId="6" borderId="0" xfId="0" applyNumberFormat="1" applyFont="1" applyFill="1" applyBorder="1" applyAlignment="1">
      <alignment horizontal="center" wrapText="1"/>
    </xf>
    <xf numFmtId="0" fontId="56" fillId="6" borderId="22" xfId="0" applyNumberFormat="1" applyFont="1" applyFill="1" applyBorder="1" applyAlignment="1"/>
    <xf numFmtId="0" fontId="57" fillId="6" borderId="0" xfId="0" applyNumberFormat="1" applyFont="1" applyFill="1" applyAlignment="1"/>
    <xf numFmtId="4" fontId="56" fillId="6" borderId="0" xfId="0" applyNumberFormat="1" applyFont="1" applyFill="1" applyAlignment="1" applyProtection="1">
      <alignment horizontal="right"/>
      <protection locked="0"/>
    </xf>
    <xf numFmtId="0" fontId="57" fillId="6" borderId="0" xfId="0" applyNumberFormat="1" applyFont="1" applyFill="1" applyBorder="1" applyAlignment="1"/>
    <xf numFmtId="0" fontId="57" fillId="6" borderId="0" xfId="0" applyNumberFormat="1" applyFont="1" applyFill="1" applyBorder="1" applyAlignment="1">
      <alignment horizontal="center"/>
    </xf>
    <xf numFmtId="0" fontId="57" fillId="6" borderId="0" xfId="0" applyNumberFormat="1" applyFont="1" applyFill="1" applyBorder="1" applyAlignment="1">
      <alignment horizontal="right"/>
    </xf>
    <xf numFmtId="15" fontId="57" fillId="6" borderId="0" xfId="0" applyNumberFormat="1" applyFont="1" applyFill="1" applyBorder="1" applyAlignment="1">
      <alignment horizontal="right"/>
    </xf>
    <xf numFmtId="0" fontId="56" fillId="6" borderId="1" xfId="0" applyNumberFormat="1" applyFont="1" applyFill="1" applyBorder="1" applyAlignment="1"/>
    <xf numFmtId="0" fontId="57" fillId="6" borderId="2" xfId="0" applyNumberFormat="1" applyFont="1" applyFill="1" applyBorder="1" applyAlignment="1"/>
    <xf numFmtId="0" fontId="56" fillId="6" borderId="2" xfId="0" applyNumberFormat="1" applyFont="1" applyFill="1" applyBorder="1" applyAlignment="1"/>
    <xf numFmtId="4" fontId="56" fillId="6" borderId="2" xfId="0" applyNumberFormat="1" applyFont="1" applyFill="1" applyBorder="1" applyAlignment="1" applyProtection="1">
      <alignment horizontal="right"/>
      <protection locked="0"/>
    </xf>
    <xf numFmtId="15" fontId="57" fillId="6" borderId="2" xfId="0" applyNumberFormat="1" applyFont="1" applyFill="1" applyBorder="1" applyAlignment="1">
      <alignment horizontal="centerContinuous"/>
    </xf>
    <xf numFmtId="15" fontId="57" fillId="6" borderId="2" xfId="0" applyNumberFormat="1" applyFont="1" applyFill="1" applyBorder="1" applyAlignment="1">
      <alignment horizontal="center"/>
    </xf>
    <xf numFmtId="0" fontId="56" fillId="6" borderId="3" xfId="0" applyNumberFormat="1" applyFont="1" applyFill="1" applyBorder="1" applyAlignment="1">
      <alignment horizontal="right"/>
    </xf>
    <xf numFmtId="3" fontId="57" fillId="6" borderId="0" xfId="0" applyNumberFormat="1" applyFont="1" applyFill="1" applyBorder="1" applyAlignment="1">
      <alignment horizontal="center"/>
    </xf>
    <xf numFmtId="0" fontId="57" fillId="6" borderId="22" xfId="0" applyNumberFormat="1" applyFont="1" applyFill="1" applyBorder="1" applyAlignment="1"/>
    <xf numFmtId="9" fontId="56" fillId="6" borderId="0" xfId="0" applyNumberFormat="1" applyFont="1" applyFill="1" applyBorder="1" applyAlignment="1"/>
    <xf numFmtId="0" fontId="64" fillId="3" borderId="2" xfId="0" applyNumberFormat="1" applyFont="1" applyFill="1" applyBorder="1" applyAlignment="1"/>
    <xf numFmtId="0" fontId="65" fillId="3" borderId="0" xfId="0" applyNumberFormat="1" applyFont="1" applyFill="1" applyAlignment="1"/>
    <xf numFmtId="0" fontId="66" fillId="3" borderId="0" xfId="0" applyNumberFormat="1" applyFont="1" applyFill="1" applyAlignment="1"/>
    <xf numFmtId="0" fontId="67" fillId="3" borderId="3" xfId="0" applyNumberFormat="1" applyFont="1" applyFill="1" applyBorder="1" applyAlignment="1"/>
    <xf numFmtId="0" fontId="67" fillId="3" borderId="0" xfId="0" applyNumberFormat="1" applyFont="1" applyFill="1" applyAlignment="1"/>
    <xf numFmtId="0" fontId="68" fillId="3" borderId="0" xfId="0" applyNumberFormat="1" applyFont="1" applyFill="1" applyAlignment="1">
      <alignment horizontal="center" wrapText="1"/>
    </xf>
    <xf numFmtId="0" fontId="67" fillId="0" borderId="3" xfId="0" applyNumberFormat="1" applyFont="1" applyBorder="1"/>
    <xf numFmtId="0" fontId="67" fillId="0" borderId="0" xfId="0" applyNumberFormat="1" applyFont="1" applyAlignment="1"/>
    <xf numFmtId="9" fontId="66" fillId="3" borderId="0" xfId="0" applyNumberFormat="1" applyFont="1" applyFill="1" applyAlignment="1">
      <alignment horizontal="center"/>
    </xf>
    <xf numFmtId="10" fontId="66" fillId="3" borderId="0" xfId="0" applyNumberFormat="1" applyFont="1" applyFill="1" applyAlignment="1">
      <alignment horizontal="center"/>
    </xf>
    <xf numFmtId="0" fontId="66" fillId="3" borderId="0" xfId="0" applyNumberFormat="1" applyFont="1" applyFill="1" applyAlignment="1">
      <alignment horizontal="center"/>
    </xf>
    <xf numFmtId="15" fontId="66" fillId="3" borderId="0" xfId="0" applyNumberFormat="1" applyFont="1" applyFill="1" applyAlignment="1">
      <alignment horizontal="center"/>
    </xf>
    <xf numFmtId="0" fontId="67" fillId="3" borderId="0" xfId="0" applyNumberFormat="1" applyFont="1" applyFill="1" applyAlignment="1">
      <alignment horizontal="center"/>
    </xf>
    <xf numFmtId="0" fontId="68" fillId="3" borderId="0" xfId="0" applyNumberFormat="1" applyFont="1" applyFill="1" applyAlignment="1"/>
    <xf numFmtId="0" fontId="67" fillId="3" borderId="19" xfId="0" applyNumberFormat="1" applyFont="1" applyFill="1" applyBorder="1" applyAlignment="1"/>
    <xf numFmtId="0" fontId="67" fillId="3" borderId="20" xfId="0" applyNumberFormat="1" applyFont="1" applyFill="1" applyBorder="1" applyAlignment="1"/>
    <xf numFmtId="0" fontId="67" fillId="3" borderId="20" xfId="0" applyNumberFormat="1" applyFont="1" applyFill="1" applyBorder="1" applyAlignment="1">
      <alignment horizontal="center" wrapText="1"/>
    </xf>
    <xf numFmtId="0" fontId="67" fillId="3" borderId="21" xfId="0" applyNumberFormat="1" applyFont="1" applyFill="1" applyBorder="1" applyAlignment="1"/>
    <xf numFmtId="0" fontId="67" fillId="3" borderId="16" xfId="0" applyNumberFormat="1" applyFont="1" applyFill="1" applyBorder="1" applyAlignment="1"/>
    <xf numFmtId="0" fontId="67" fillId="3" borderId="17" xfId="0" applyNumberFormat="1" applyFont="1" applyFill="1" applyBorder="1" applyAlignment="1"/>
    <xf numFmtId="0" fontId="67" fillId="3" borderId="17" xfId="0" applyNumberFormat="1" applyFont="1" applyFill="1" applyBorder="1" applyAlignment="1">
      <alignment horizontal="center" wrapText="1"/>
    </xf>
    <xf numFmtId="0" fontId="67" fillId="3" borderId="18" xfId="0" applyNumberFormat="1" applyFont="1" applyFill="1" applyBorder="1" applyAlignment="1"/>
    <xf numFmtId="0" fontId="66" fillId="3" borderId="16" xfId="0" applyNumberFormat="1" applyFont="1" applyFill="1" applyBorder="1" applyAlignment="1"/>
    <xf numFmtId="0" fontId="66" fillId="3" borderId="17" xfId="0" applyNumberFormat="1" applyFont="1" applyFill="1" applyBorder="1" applyAlignment="1">
      <alignment horizontal="center" wrapText="1"/>
    </xf>
    <xf numFmtId="0" fontId="66" fillId="3" borderId="17" xfId="0" applyNumberFormat="1" applyFont="1" applyFill="1" applyBorder="1" applyAlignment="1"/>
    <xf numFmtId="0" fontId="67" fillId="3" borderId="17" xfId="0" applyNumberFormat="1" applyFont="1" applyFill="1" applyBorder="1" applyAlignment="1">
      <alignment horizontal="center"/>
    </xf>
    <xf numFmtId="164" fontId="67" fillId="3" borderId="17" xfId="0" applyNumberFormat="1" applyFont="1" applyFill="1" applyBorder="1" applyAlignment="1"/>
    <xf numFmtId="164" fontId="67" fillId="3" borderId="17" xfId="0" applyNumberFormat="1" applyFont="1" applyFill="1" applyBorder="1" applyAlignment="1">
      <alignment horizontal="center"/>
    </xf>
    <xf numFmtId="3" fontId="67" fillId="3" borderId="18" xfId="0" applyNumberFormat="1" applyFont="1" applyFill="1" applyBorder="1" applyAlignment="1"/>
    <xf numFmtId="164" fontId="66" fillId="3" borderId="17" xfId="0" applyNumberFormat="1" applyFont="1" applyFill="1" applyBorder="1" applyAlignment="1"/>
    <xf numFmtId="169" fontId="67" fillId="3" borderId="17" xfId="0" applyNumberFormat="1" applyFont="1" applyFill="1" applyBorder="1" applyAlignment="1">
      <alignment horizontal="center"/>
    </xf>
    <xf numFmtId="168" fontId="67" fillId="3" borderId="17" xfId="0" applyNumberFormat="1" applyFont="1" applyFill="1" applyBorder="1" applyAlignment="1">
      <alignment horizontal="center"/>
    </xf>
    <xf numFmtId="164" fontId="66" fillId="3" borderId="17" xfId="0" applyNumberFormat="1" applyFont="1" applyFill="1" applyBorder="1" applyAlignment="1">
      <alignment horizontal="center"/>
    </xf>
    <xf numFmtId="171" fontId="67" fillId="3" borderId="17" xfId="0" applyNumberFormat="1" applyFont="1" applyFill="1" applyBorder="1" applyAlignment="1">
      <alignment horizontal="center"/>
    </xf>
    <xf numFmtId="171" fontId="66" fillId="3" borderId="17" xfId="0" applyNumberFormat="1" applyFont="1" applyFill="1" applyBorder="1" applyAlignment="1">
      <alignment horizontal="center"/>
    </xf>
    <xf numFmtId="168" fontId="66" fillId="3" borderId="17" xfId="0" applyNumberFormat="1" applyFont="1" applyFill="1" applyBorder="1" applyAlignment="1">
      <alignment horizontal="center"/>
    </xf>
    <xf numFmtId="169" fontId="66" fillId="3" borderId="17" xfId="0" applyNumberFormat="1" applyFont="1" applyFill="1" applyBorder="1" applyAlignment="1">
      <alignment horizontal="center"/>
    </xf>
    <xf numFmtId="4" fontId="66" fillId="3" borderId="17" xfId="0" applyNumberFormat="1" applyFont="1" applyFill="1" applyBorder="1" applyAlignment="1">
      <alignment horizontal="center"/>
    </xf>
    <xf numFmtId="10" fontId="67" fillId="3" borderId="17" xfId="0" applyNumberFormat="1" applyFont="1" applyFill="1" applyBorder="1" applyAlignment="1">
      <alignment horizontal="center"/>
    </xf>
    <xf numFmtId="165" fontId="67" fillId="3" borderId="17" xfId="0" applyNumberFormat="1" applyFont="1" applyFill="1" applyBorder="1" applyAlignment="1">
      <alignment horizontal="center"/>
    </xf>
    <xf numFmtId="167" fontId="67" fillId="3" borderId="17" xfId="0" applyNumberFormat="1" applyFont="1" applyFill="1" applyBorder="1" applyAlignment="1">
      <alignment horizontal="center"/>
    </xf>
    <xf numFmtId="0" fontId="67" fillId="3" borderId="17" xfId="0" applyNumberFormat="1" applyFont="1" applyFill="1" applyBorder="1" applyAlignment="1">
      <alignment horizontal="right"/>
    </xf>
    <xf numFmtId="165" fontId="67" fillId="3" borderId="17" xfId="0" applyNumberFormat="1" applyFont="1" applyFill="1" applyBorder="1" applyAlignment="1"/>
    <xf numFmtId="4" fontId="67" fillId="3" borderId="17" xfId="0" applyNumberFormat="1" applyFont="1" applyFill="1" applyBorder="1" applyAlignment="1">
      <alignment horizontal="center"/>
    </xf>
    <xf numFmtId="0" fontId="66" fillId="3" borderId="17" xfId="0" applyNumberFormat="1" applyFont="1" applyFill="1" applyBorder="1" applyAlignment="1">
      <alignment horizontal="center"/>
    </xf>
    <xf numFmtId="15" fontId="66" fillId="3" borderId="17" xfId="0" applyNumberFormat="1" applyFont="1" applyFill="1" applyBorder="1" applyAlignment="1">
      <alignment horizontal="center"/>
    </xf>
    <xf numFmtId="15" fontId="66" fillId="3" borderId="17" xfId="0" applyNumberFormat="1" applyFont="1" applyFill="1" applyBorder="1" applyAlignment="1" applyProtection="1">
      <alignment horizontal="center"/>
      <protection locked="0"/>
    </xf>
    <xf numFmtId="15" fontId="67" fillId="3" borderId="17" xfId="0" applyNumberFormat="1" applyFont="1" applyFill="1" applyBorder="1" applyAlignment="1"/>
    <xf numFmtId="15" fontId="67" fillId="3" borderId="17" xfId="0" applyNumberFormat="1" applyFont="1" applyFill="1" applyBorder="1" applyAlignment="1" applyProtection="1">
      <alignment horizontal="center"/>
      <protection locked="0"/>
    </xf>
    <xf numFmtId="15" fontId="67" fillId="3" borderId="17" xfId="0" applyNumberFormat="1" applyFont="1" applyFill="1" applyBorder="1" applyAlignment="1">
      <alignment horizontal="center"/>
    </xf>
    <xf numFmtId="0" fontId="67" fillId="0" borderId="0" xfId="0" applyNumberFormat="1" applyFont="1" applyFill="1" applyBorder="1" applyAlignment="1"/>
    <xf numFmtId="0" fontId="67" fillId="3" borderId="0" xfId="0" applyNumberFormat="1" applyFont="1" applyFill="1" applyBorder="1" applyAlignment="1"/>
    <xf numFmtId="15" fontId="67" fillId="3" borderId="0" xfId="0" applyNumberFormat="1" applyFont="1" applyFill="1" applyBorder="1" applyAlignment="1" applyProtection="1">
      <alignment horizontal="center"/>
      <protection locked="0"/>
    </xf>
    <xf numFmtId="15" fontId="67" fillId="3" borderId="0" xfId="0" applyNumberFormat="1" applyFont="1" applyFill="1" applyBorder="1" applyAlignment="1">
      <alignment horizontal="center"/>
    </xf>
    <xf numFmtId="15" fontId="67" fillId="3" borderId="0" xfId="0" applyNumberFormat="1" applyFont="1" applyFill="1" applyAlignment="1" applyProtection="1">
      <alignment horizontal="center"/>
      <protection locked="0"/>
    </xf>
    <xf numFmtId="15" fontId="67" fillId="3" borderId="0" xfId="0" applyNumberFormat="1" applyFont="1" applyFill="1" applyAlignment="1">
      <alignment horizontal="center"/>
    </xf>
    <xf numFmtId="0" fontId="67" fillId="3" borderId="6" xfId="0" applyNumberFormat="1" applyFont="1" applyFill="1" applyBorder="1" applyAlignment="1"/>
    <xf numFmtId="0" fontId="69" fillId="3" borderId="7" xfId="0" applyNumberFormat="1" applyFont="1" applyFill="1" applyBorder="1" applyAlignment="1"/>
    <xf numFmtId="0" fontId="67" fillId="3" borderId="7" xfId="0" applyNumberFormat="1" applyFont="1" applyFill="1" applyBorder="1" applyAlignment="1"/>
    <xf numFmtId="0" fontId="67" fillId="3" borderId="7" xfId="0" applyNumberFormat="1" applyFont="1" applyFill="1" applyBorder="1" applyAlignment="1" applyProtection="1">
      <alignment horizontal="right"/>
      <protection locked="0"/>
    </xf>
    <xf numFmtId="0" fontId="67" fillId="3" borderId="8" xfId="0" applyNumberFormat="1" applyFont="1" applyFill="1" applyBorder="1" applyAlignment="1"/>
    <xf numFmtId="3" fontId="67" fillId="3" borderId="17" xfId="0" applyNumberFormat="1" applyFont="1" applyFill="1" applyBorder="1" applyAlignment="1"/>
    <xf numFmtId="3" fontId="67" fillId="3" borderId="17" xfId="0" applyNumberFormat="1" applyFont="1" applyFill="1" applyBorder="1" applyAlignment="1" applyProtection="1">
      <alignment horizontal="right"/>
      <protection locked="0"/>
    </xf>
    <xf numFmtId="3" fontId="67" fillId="3" borderId="0" xfId="0" applyNumberFormat="1" applyFont="1" applyFill="1" applyBorder="1" applyAlignment="1"/>
    <xf numFmtId="3" fontId="67" fillId="3" borderId="0" xfId="0" applyNumberFormat="1" applyFont="1" applyFill="1" applyBorder="1" applyAlignment="1" applyProtection="1">
      <alignment horizontal="right"/>
      <protection locked="0"/>
    </xf>
    <xf numFmtId="14" fontId="67" fillId="3" borderId="17" xfId="0" applyNumberFormat="1" applyFont="1" applyFill="1" applyBorder="1" applyAlignment="1">
      <alignment horizontal="right"/>
    </xf>
    <xf numFmtId="167" fontId="67" fillId="3" borderId="17" xfId="0" applyNumberFormat="1" applyFont="1" applyFill="1" applyBorder="1" applyAlignment="1">
      <alignment horizontal="right"/>
    </xf>
    <xf numFmtId="3" fontId="67" fillId="0" borderId="0" xfId="0" applyNumberFormat="1" applyFont="1" applyAlignment="1"/>
    <xf numFmtId="3" fontId="67" fillId="0" borderId="3" xfId="0" applyNumberFormat="1" applyFont="1" applyBorder="1"/>
    <xf numFmtId="4" fontId="67" fillId="3" borderId="0" xfId="0" applyNumberFormat="1" applyFont="1" applyFill="1" applyAlignment="1" applyProtection="1">
      <alignment horizontal="right"/>
      <protection locked="0"/>
    </xf>
    <xf numFmtId="4" fontId="67" fillId="3" borderId="7" xfId="0" applyNumberFormat="1" applyFont="1" applyFill="1" applyBorder="1" applyAlignment="1" applyProtection="1">
      <alignment horizontal="right"/>
      <protection locked="0"/>
    </xf>
    <xf numFmtId="4" fontId="67" fillId="3" borderId="17" xfId="0" applyNumberFormat="1" applyFont="1" applyFill="1" applyBorder="1" applyAlignment="1" applyProtection="1">
      <alignment horizontal="right"/>
      <protection locked="0"/>
    </xf>
    <xf numFmtId="0" fontId="67" fillId="0" borderId="13" xfId="0" applyNumberFormat="1" applyFont="1" applyBorder="1" applyAlignment="1"/>
    <xf numFmtId="2" fontId="67" fillId="3" borderId="17" xfId="0" applyNumberFormat="1" applyFont="1" applyFill="1" applyBorder="1" applyAlignment="1" applyProtection="1">
      <alignment horizontal="right"/>
      <protection locked="0"/>
    </xf>
    <xf numFmtId="15" fontId="66" fillId="3" borderId="17" xfId="0" applyNumberFormat="1" applyFont="1" applyFill="1" applyBorder="1" applyAlignment="1">
      <alignment horizontal="centerContinuous"/>
    </xf>
    <xf numFmtId="17" fontId="67" fillId="3" borderId="17" xfId="0" applyNumberFormat="1" applyFont="1" applyFill="1" applyBorder="1" applyAlignment="1">
      <alignment horizontal="center"/>
    </xf>
    <xf numFmtId="0" fontId="67" fillId="3" borderId="3" xfId="0" applyNumberFormat="1" applyFont="1" applyFill="1" applyBorder="1" applyAlignment="1">
      <alignment horizontal="right"/>
    </xf>
    <xf numFmtId="0" fontId="67" fillId="3" borderId="0" xfId="0" applyNumberFormat="1" applyFont="1" applyFill="1" applyBorder="1" applyAlignment="1">
      <alignment horizontal="center"/>
    </xf>
    <xf numFmtId="3" fontId="67" fillId="3" borderId="0" xfId="0" applyNumberFormat="1" applyFont="1" applyFill="1" applyBorder="1" applyAlignment="1" applyProtection="1">
      <alignment horizontal="center"/>
      <protection locked="0"/>
    </xf>
    <xf numFmtId="0" fontId="67" fillId="3" borderId="0" xfId="0" applyNumberFormat="1" applyFont="1" applyFill="1" applyBorder="1" applyAlignment="1" applyProtection="1">
      <protection locked="0"/>
    </xf>
    <xf numFmtId="3" fontId="66" fillId="3" borderId="0" xfId="0" applyNumberFormat="1" applyFont="1" applyFill="1" applyBorder="1" applyAlignment="1"/>
    <xf numFmtId="0" fontId="67" fillId="3" borderId="16" xfId="0" applyNumberFormat="1" applyFont="1" applyFill="1" applyBorder="1" applyAlignment="1">
      <alignment horizontal="right"/>
    </xf>
    <xf numFmtId="3" fontId="67" fillId="3" borderId="17" xfId="0" applyNumberFormat="1" applyFont="1" applyFill="1" applyBorder="1" applyAlignment="1">
      <alignment horizontal="center"/>
    </xf>
    <xf numFmtId="3" fontId="67" fillId="3" borderId="17" xfId="0" applyNumberFormat="1" applyFont="1" applyFill="1" applyBorder="1" applyAlignment="1" applyProtection="1">
      <alignment horizontal="center"/>
      <protection locked="0"/>
    </xf>
    <xf numFmtId="0" fontId="67" fillId="3" borderId="17" xfId="0" applyNumberFormat="1" applyFont="1" applyFill="1" applyBorder="1" applyAlignment="1" applyProtection="1">
      <protection locked="0"/>
    </xf>
    <xf numFmtId="3" fontId="66" fillId="3" borderId="18" xfId="0" applyNumberFormat="1" applyFont="1" applyFill="1" applyBorder="1" applyAlignment="1"/>
    <xf numFmtId="0" fontId="67" fillId="3" borderId="16" xfId="0" applyNumberFormat="1" applyFont="1" applyFill="1" applyBorder="1" applyAlignment="1">
      <alignment horizontal="center"/>
    </xf>
    <xf numFmtId="0" fontId="66" fillId="3" borderId="18" xfId="0" applyNumberFormat="1" applyFont="1" applyFill="1" applyBorder="1" applyAlignment="1"/>
    <xf numFmtId="4" fontId="67" fillId="3" borderId="17" xfId="0" applyNumberFormat="1" applyFont="1" applyFill="1" applyBorder="1" applyAlignment="1">
      <alignment horizontal="right"/>
    </xf>
    <xf numFmtId="4" fontId="67" fillId="3" borderId="17" xfId="0" applyNumberFormat="1" applyFont="1" applyFill="1" applyBorder="1" applyAlignment="1" applyProtection="1">
      <alignment horizontal="center"/>
      <protection locked="0"/>
    </xf>
    <xf numFmtId="166" fontId="67" fillId="3" borderId="0" xfId="0" applyNumberFormat="1" applyFont="1" applyFill="1" applyBorder="1" applyAlignment="1"/>
    <xf numFmtId="10" fontId="67" fillId="3" borderId="0" xfId="0" applyNumberFormat="1" applyFont="1" applyFill="1" applyBorder="1" applyAlignment="1"/>
    <xf numFmtId="0" fontId="66" fillId="3" borderId="0" xfId="0" applyNumberFormat="1" applyFont="1" applyFill="1" applyBorder="1" applyAlignment="1"/>
    <xf numFmtId="166" fontId="67" fillId="3" borderId="17" xfId="0" applyNumberFormat="1" applyFont="1" applyFill="1" applyBorder="1" applyAlignment="1"/>
    <xf numFmtId="10" fontId="67" fillId="3" borderId="17" xfId="0" applyNumberFormat="1" applyFont="1" applyFill="1" applyBorder="1" applyAlignment="1"/>
    <xf numFmtId="9" fontId="67" fillId="3" borderId="17" xfId="0" applyNumberFormat="1" applyFont="1" applyFill="1" applyBorder="1" applyAlignment="1"/>
    <xf numFmtId="9" fontId="67" fillId="3" borderId="0" xfId="0" applyNumberFormat="1" applyFont="1" applyFill="1" applyBorder="1" applyAlignment="1"/>
    <xf numFmtId="3" fontId="66" fillId="3" borderId="17" xfId="0" applyNumberFormat="1" applyFont="1" applyFill="1" applyBorder="1" applyAlignment="1"/>
    <xf numFmtId="3" fontId="66" fillId="3" borderId="17" xfId="0" applyNumberFormat="1" applyFont="1" applyFill="1" applyBorder="1" applyAlignment="1" applyProtection="1">
      <alignment horizontal="right"/>
      <protection locked="0"/>
    </xf>
    <xf numFmtId="9" fontId="67" fillId="3" borderId="0" xfId="0" applyNumberFormat="1" applyFont="1" applyFill="1" applyAlignment="1"/>
    <xf numFmtId="3" fontId="67" fillId="3" borderId="0" xfId="0" applyNumberFormat="1" applyFont="1" applyFill="1" applyAlignment="1" applyProtection="1">
      <alignment horizontal="right"/>
      <protection locked="0"/>
    </xf>
    <xf numFmtId="0" fontId="66" fillId="3" borderId="0" xfId="0" quotePrefix="1" applyNumberFormat="1" applyFont="1" applyFill="1" applyAlignment="1">
      <alignment horizontal="center"/>
    </xf>
    <xf numFmtId="0" fontId="66" fillId="5" borderId="0" xfId="0" applyNumberFormat="1" applyFont="1" applyFill="1" applyAlignment="1"/>
    <xf numFmtId="0" fontId="69" fillId="3" borderId="0" xfId="0" applyNumberFormat="1" applyFont="1" applyFill="1" applyAlignment="1"/>
    <xf numFmtId="0" fontId="71" fillId="3" borderId="23" xfId="0" applyNumberFormat="1" applyFont="1" applyFill="1" applyBorder="1" applyAlignment="1"/>
    <xf numFmtId="0" fontId="71" fillId="3" borderId="17" xfId="0" applyNumberFormat="1" applyFont="1" applyFill="1" applyBorder="1" applyAlignment="1"/>
    <xf numFmtId="3" fontId="66" fillId="3" borderId="0" xfId="0" applyNumberFormat="1" applyFont="1" applyFill="1" applyBorder="1" applyAlignment="1" applyProtection="1">
      <alignment horizontal="right"/>
      <protection locked="0"/>
    </xf>
    <xf numFmtId="0" fontId="71" fillId="3" borderId="0" xfId="0" applyFont="1" applyFill="1"/>
    <xf numFmtId="0" fontId="45" fillId="0" borderId="0" xfId="0" applyFont="1"/>
    <xf numFmtId="0" fontId="46" fillId="0" borderId="0" xfId="0" applyFont="1"/>
    <xf numFmtId="0" fontId="56" fillId="7" borderId="3" xfId="0" applyFont="1" applyFill="1" applyBorder="1"/>
    <xf numFmtId="0" fontId="57" fillId="7" borderId="0" xfId="0" applyFont="1" applyFill="1"/>
    <xf numFmtId="0" fontId="57" fillId="7" borderId="0" xfId="0" applyFont="1" applyFill="1" applyAlignment="1">
      <alignment horizontal="center"/>
    </xf>
    <xf numFmtId="3" fontId="57" fillId="7" borderId="0" xfId="0" applyNumberFormat="1" applyFont="1" applyFill="1" applyAlignment="1">
      <alignment horizontal="center"/>
    </xf>
    <xf numFmtId="0" fontId="71" fillId="3" borderId="24" xfId="0" applyFont="1" applyFill="1" applyBorder="1"/>
    <xf numFmtId="0" fontId="71" fillId="3" borderId="23" xfId="0" applyFont="1" applyFill="1" applyBorder="1"/>
    <xf numFmtId="9" fontId="71" fillId="3" borderId="23" xfId="0" applyNumberFormat="1" applyFont="1" applyFill="1" applyBorder="1"/>
    <xf numFmtId="0" fontId="46" fillId="3" borderId="23" xfId="0" applyFont="1" applyFill="1" applyBorder="1"/>
    <xf numFmtId="3" fontId="71" fillId="3" borderId="23" xfId="0" applyNumberFormat="1" applyFont="1" applyFill="1" applyBorder="1"/>
    <xf numFmtId="10" fontId="71" fillId="3" borderId="23" xfId="0" applyNumberFormat="1" applyFont="1" applyFill="1" applyBorder="1"/>
    <xf numFmtId="3" fontId="71" fillId="3" borderId="23" xfId="0" applyNumberFormat="1" applyFont="1" applyFill="1" applyBorder="1" applyAlignment="1" applyProtection="1">
      <alignment horizontal="right"/>
      <protection locked="0"/>
    </xf>
    <xf numFmtId="10" fontId="72" fillId="5" borderId="17" xfId="0" applyNumberFormat="1" applyFont="1" applyFill="1" applyBorder="1"/>
    <xf numFmtId="10" fontId="71" fillId="5" borderId="17" xfId="0" applyNumberFormat="1" applyFont="1" applyFill="1" applyBorder="1"/>
    <xf numFmtId="10" fontId="72" fillId="5" borderId="17" xfId="0" applyNumberFormat="1" applyFont="1" applyFill="1" applyBorder="1" applyAlignment="1" applyProtection="1">
      <alignment horizontal="right"/>
      <protection locked="0"/>
    </xf>
    <xf numFmtId="0" fontId="71" fillId="5" borderId="16" xfId="0" applyFont="1" applyFill="1" applyBorder="1"/>
    <xf numFmtId="0" fontId="71" fillId="5" borderId="17" xfId="0" applyFont="1" applyFill="1" applyBorder="1"/>
    <xf numFmtId="3" fontId="71" fillId="5" borderId="25" xfId="0" applyNumberFormat="1" applyFont="1" applyFill="1" applyBorder="1"/>
    <xf numFmtId="10" fontId="71" fillId="5" borderId="26" xfId="0" applyNumberFormat="1" applyFont="1" applyFill="1" applyBorder="1"/>
    <xf numFmtId="3" fontId="71" fillId="5" borderId="26" xfId="0" applyNumberFormat="1" applyFont="1" applyFill="1" applyBorder="1" applyAlignment="1" applyProtection="1">
      <alignment horizontal="right"/>
      <protection locked="0"/>
    </xf>
    <xf numFmtId="4" fontId="71" fillId="5" borderId="27" xfId="0" applyNumberFormat="1" applyFont="1" applyFill="1" applyBorder="1"/>
    <xf numFmtId="3" fontId="71" fillId="5" borderId="28" xfId="0" applyNumberFormat="1" applyFont="1" applyFill="1" applyBorder="1"/>
    <xf numFmtId="10" fontId="71" fillId="5" borderId="29" xfId="0" applyNumberFormat="1" applyFont="1" applyFill="1" applyBorder="1" applyAlignment="1" applyProtection="1">
      <alignment horizontal="right"/>
      <protection locked="0"/>
    </xf>
    <xf numFmtId="3" fontId="71" fillId="5" borderId="29" xfId="0" applyNumberFormat="1" applyFont="1" applyFill="1" applyBorder="1" applyAlignment="1" applyProtection="1">
      <alignment horizontal="right"/>
      <protection locked="0"/>
    </xf>
    <xf numFmtId="10" fontId="71" fillId="5" borderId="29" xfId="0" applyNumberFormat="1" applyFont="1" applyFill="1" applyBorder="1"/>
    <xf numFmtId="4" fontId="71" fillId="5" borderId="30" xfId="0" applyNumberFormat="1" applyFont="1" applyFill="1" applyBorder="1"/>
    <xf numFmtId="0" fontId="71" fillId="3" borderId="17" xfId="0" applyFont="1" applyFill="1" applyBorder="1"/>
  </cellXfs>
  <cellStyles count="2">
    <cellStyle name="Hyperlink" xfId="1" builtinId="8"/>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F4F4F4"/>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89CB31"/>
      <color rgb="FF808080"/>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file:///C:\WINDOWS\TEMP\~0003946.gif" TargetMode="External"/><Relationship Id="rId2" Type="http://schemas.openxmlformats.org/officeDocument/2006/relationships/image" Target="file:///C:\WINDOWS\TEMP\Symbol.gif" TargetMode="External"/><Relationship Id="rId1" Type="http://schemas.openxmlformats.org/officeDocument/2006/relationships/image" Target="../media/image1.bin"/><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file:///C:\WINDOWS\TEMP\~0003946.gif" TargetMode="External"/><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file:///C:\WINDOWS\TEMP\~0003946.gif" TargetMode="External"/><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file:///C:\WINDOWS\TEMP\~0003946.gif" TargetMode="External"/><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file:///C:\WINDOWS\TEMP\~0003946.gif" TargetMode="External"/><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4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4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4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4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4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4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4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4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5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5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5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5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5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5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5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file:///C:\WINDOWS\TEMP\~0003946.gif" TargetMode="External"/><Relationship Id="rId2" Type="http://schemas.openxmlformats.org/officeDocument/2006/relationships/image" Target="file:///C:\WINDOWS\TEMP\Symbol.gif" TargetMode="External"/><Relationship Id="rId1" Type="http://schemas.openxmlformats.org/officeDocument/2006/relationships/image" Target="../media/image1.bin"/><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drawing1.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4543" name="Picture 1" descr="C:\WINDOWS\TEMP\Symbol.gif">
          <a:extLst>
            <a:ext uri="{FF2B5EF4-FFF2-40B4-BE49-F238E27FC236}">
              <a16:creationId xmlns:a16="http://schemas.microsoft.com/office/drawing/2014/main" id="{00000000-0008-0000-0000-0000DF5F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136</xdr:row>
      <xdr:rowOff>161925</xdr:rowOff>
    </xdr:from>
    <xdr:to>
      <xdr:col>1</xdr:col>
      <xdr:colOff>28575</xdr:colOff>
      <xdr:row>137</xdr:row>
      <xdr:rowOff>200025</xdr:rowOff>
    </xdr:to>
    <xdr:pic>
      <xdr:nvPicPr>
        <xdr:cNvPr id="24544" name="Picture 2" descr="C:\WINDOWS\TEMP\Symbol.gif">
          <a:extLst>
            <a:ext uri="{FF2B5EF4-FFF2-40B4-BE49-F238E27FC236}">
              <a16:creationId xmlns:a16="http://schemas.microsoft.com/office/drawing/2014/main" id="{00000000-0008-0000-0000-0000E05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201</xdr:row>
      <xdr:rowOff>171450</xdr:rowOff>
    </xdr:from>
    <xdr:to>
      <xdr:col>1</xdr:col>
      <xdr:colOff>47625</xdr:colOff>
      <xdr:row>202</xdr:row>
      <xdr:rowOff>209550</xdr:rowOff>
    </xdr:to>
    <xdr:pic>
      <xdr:nvPicPr>
        <xdr:cNvPr id="24545" name="Picture 3" descr="C:\WINDOWS\TEMP\Symbol.gif">
          <a:extLst>
            <a:ext uri="{FF2B5EF4-FFF2-40B4-BE49-F238E27FC236}">
              <a16:creationId xmlns:a16="http://schemas.microsoft.com/office/drawing/2014/main" id="{00000000-0008-0000-0000-0000E15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47625" y="41014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285</xdr:row>
      <xdr:rowOff>161925</xdr:rowOff>
    </xdr:from>
    <xdr:to>
      <xdr:col>1</xdr:col>
      <xdr:colOff>19050</xdr:colOff>
      <xdr:row>286</xdr:row>
      <xdr:rowOff>200025</xdr:rowOff>
    </xdr:to>
    <xdr:pic>
      <xdr:nvPicPr>
        <xdr:cNvPr id="24546" name="Picture 4" descr="C:\WINDOWS\TEMP\Symbol.gif">
          <a:extLst>
            <a:ext uri="{FF2B5EF4-FFF2-40B4-BE49-F238E27FC236}">
              <a16:creationId xmlns:a16="http://schemas.microsoft.com/office/drawing/2014/main" id="{00000000-0008-0000-0000-0000E25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9525" y="578929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285</xdr:row>
      <xdr:rowOff>123825</xdr:rowOff>
    </xdr:from>
    <xdr:to>
      <xdr:col>22</xdr:col>
      <xdr:colOff>1895475</xdr:colOff>
      <xdr:row>286</xdr:row>
      <xdr:rowOff>152400</xdr:rowOff>
    </xdr:to>
    <xdr:pic>
      <xdr:nvPicPr>
        <xdr:cNvPr id="24547" name="Picture 5" descr="C:\WINDOWS\TEMP\~0003946.gif">
          <a:extLst>
            <a:ext uri="{FF2B5EF4-FFF2-40B4-BE49-F238E27FC236}">
              <a16:creationId xmlns:a16="http://schemas.microsoft.com/office/drawing/2014/main" id="{00000000-0008-0000-0000-0000E35F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5222200" y="578548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201</xdr:row>
      <xdr:rowOff>152400</xdr:rowOff>
    </xdr:from>
    <xdr:to>
      <xdr:col>22</xdr:col>
      <xdr:colOff>1924050</xdr:colOff>
      <xdr:row>202</xdr:row>
      <xdr:rowOff>180975</xdr:rowOff>
    </xdr:to>
    <xdr:pic>
      <xdr:nvPicPr>
        <xdr:cNvPr id="24548" name="Picture 6" descr="C:\WINDOWS\TEMP\~0003946.gif">
          <a:extLst>
            <a:ext uri="{FF2B5EF4-FFF2-40B4-BE49-F238E27FC236}">
              <a16:creationId xmlns:a16="http://schemas.microsoft.com/office/drawing/2014/main" id="{00000000-0008-0000-0000-0000E45F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5222200" y="409956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24549" name="Picture 7" descr="C:\WINDOWS\TEMP\~0003946.gif">
          <a:extLst>
            <a:ext uri="{FF2B5EF4-FFF2-40B4-BE49-F238E27FC236}">
              <a16:creationId xmlns:a16="http://schemas.microsoft.com/office/drawing/2014/main" id="{00000000-0008-0000-0000-0000E55F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24550" name="Picture 8" descr="C:\WINDOWS\TEMP\~0003946.gif">
          <a:extLst>
            <a:ext uri="{FF2B5EF4-FFF2-40B4-BE49-F238E27FC236}">
              <a16:creationId xmlns:a16="http://schemas.microsoft.com/office/drawing/2014/main" id="{00000000-0008-0000-0000-0000E65F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24551" name="Picture 28" descr="C:\WINDOWS\TEMP\~0003946.gif">
          <a:extLst>
            <a:ext uri="{FF2B5EF4-FFF2-40B4-BE49-F238E27FC236}">
              <a16:creationId xmlns:a16="http://schemas.microsoft.com/office/drawing/2014/main" id="{00000000-0008-0000-0000-0000E75F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136</xdr:row>
      <xdr:rowOff>123825</xdr:rowOff>
    </xdr:from>
    <xdr:to>
      <xdr:col>22</xdr:col>
      <xdr:colOff>895350</xdr:colOff>
      <xdr:row>137</xdr:row>
      <xdr:rowOff>152400</xdr:rowOff>
    </xdr:to>
    <xdr:pic>
      <xdr:nvPicPr>
        <xdr:cNvPr id="24552" name="Picture 29" descr="C:\WINDOWS\TEMP\~0003946.gif">
          <a:extLst>
            <a:ext uri="{FF2B5EF4-FFF2-40B4-BE49-F238E27FC236}">
              <a16:creationId xmlns:a16="http://schemas.microsoft.com/office/drawing/2014/main" id="{00000000-0008-0000-0000-0000E85F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4307800" y="27879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201</xdr:row>
      <xdr:rowOff>104775</xdr:rowOff>
    </xdr:from>
    <xdr:to>
      <xdr:col>22</xdr:col>
      <xdr:colOff>809625</xdr:colOff>
      <xdr:row>202</xdr:row>
      <xdr:rowOff>133350</xdr:rowOff>
    </xdr:to>
    <xdr:pic>
      <xdr:nvPicPr>
        <xdr:cNvPr id="24553" name="Picture 30" descr="C:\WINDOWS\TEMP\~0003946.gif">
          <a:extLst>
            <a:ext uri="{FF2B5EF4-FFF2-40B4-BE49-F238E27FC236}">
              <a16:creationId xmlns:a16="http://schemas.microsoft.com/office/drawing/2014/main" id="{00000000-0008-0000-0000-0000E95F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4222075" y="409479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285</xdr:row>
      <xdr:rowOff>104775</xdr:rowOff>
    </xdr:from>
    <xdr:to>
      <xdr:col>22</xdr:col>
      <xdr:colOff>895350</xdr:colOff>
      <xdr:row>286</xdr:row>
      <xdr:rowOff>133350</xdr:rowOff>
    </xdr:to>
    <xdr:pic>
      <xdr:nvPicPr>
        <xdr:cNvPr id="24554" name="Picture 31" descr="C:\WINDOWS\TEMP\~0003946.gif">
          <a:extLst>
            <a:ext uri="{FF2B5EF4-FFF2-40B4-BE49-F238E27FC236}">
              <a16:creationId xmlns:a16="http://schemas.microsoft.com/office/drawing/2014/main" id="{00000000-0008-0000-0000-0000EA5F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4307800" y="578358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24555" name="Picture 43" descr="logoMTL">
          <a:extLst>
            <a:ext uri="{FF2B5EF4-FFF2-40B4-BE49-F238E27FC236}">
              <a16:creationId xmlns:a16="http://schemas.microsoft.com/office/drawing/2014/main" id="{00000000-0008-0000-0000-0000EB5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136</xdr:row>
      <xdr:rowOff>38100</xdr:rowOff>
    </xdr:from>
    <xdr:to>
      <xdr:col>21</xdr:col>
      <xdr:colOff>1171575</xdr:colOff>
      <xdr:row>137</xdr:row>
      <xdr:rowOff>161925</xdr:rowOff>
    </xdr:to>
    <xdr:pic>
      <xdr:nvPicPr>
        <xdr:cNvPr id="24556" name="Picture 44" descr="logoMTL">
          <a:extLst>
            <a:ext uri="{FF2B5EF4-FFF2-40B4-BE49-F238E27FC236}">
              <a16:creationId xmlns:a16="http://schemas.microsoft.com/office/drawing/2014/main" id="{00000000-0008-0000-0000-0000EC5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201</xdr:row>
      <xdr:rowOff>28575</xdr:rowOff>
    </xdr:from>
    <xdr:to>
      <xdr:col>21</xdr:col>
      <xdr:colOff>1171575</xdr:colOff>
      <xdr:row>202</xdr:row>
      <xdr:rowOff>152400</xdr:rowOff>
    </xdr:to>
    <xdr:pic>
      <xdr:nvPicPr>
        <xdr:cNvPr id="24557" name="Picture 45" descr="logoMTL">
          <a:extLst>
            <a:ext uri="{FF2B5EF4-FFF2-40B4-BE49-F238E27FC236}">
              <a16:creationId xmlns:a16="http://schemas.microsoft.com/office/drawing/2014/main" id="{00000000-0008-0000-0000-0000ED5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326725" y="408717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285</xdr:row>
      <xdr:rowOff>0</xdr:rowOff>
    </xdr:from>
    <xdr:to>
      <xdr:col>21</xdr:col>
      <xdr:colOff>1228725</xdr:colOff>
      <xdr:row>286</xdr:row>
      <xdr:rowOff>123825</xdr:rowOff>
    </xdr:to>
    <xdr:pic>
      <xdr:nvPicPr>
        <xdr:cNvPr id="24558" name="Picture 46" descr="logoMTL">
          <a:extLst>
            <a:ext uri="{FF2B5EF4-FFF2-40B4-BE49-F238E27FC236}">
              <a16:creationId xmlns:a16="http://schemas.microsoft.com/office/drawing/2014/main" id="{00000000-0008-0000-0000-0000EE5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374350" y="577310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33729" name="Picture 1" descr="C:\WINDOWS\TEMP\Symbol.gif">
          <a:extLst>
            <a:ext uri="{FF2B5EF4-FFF2-40B4-BE49-F238E27FC236}">
              <a16:creationId xmlns:a16="http://schemas.microsoft.com/office/drawing/2014/main" id="{00000000-0008-0000-0900-0000C18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137</xdr:row>
      <xdr:rowOff>161925</xdr:rowOff>
    </xdr:from>
    <xdr:to>
      <xdr:col>1</xdr:col>
      <xdr:colOff>28575</xdr:colOff>
      <xdr:row>138</xdr:row>
      <xdr:rowOff>200025</xdr:rowOff>
    </xdr:to>
    <xdr:pic>
      <xdr:nvPicPr>
        <xdr:cNvPr id="33730" name="Picture 2" descr="C:\WINDOWS\TEMP\Symbol.gif">
          <a:extLst>
            <a:ext uri="{FF2B5EF4-FFF2-40B4-BE49-F238E27FC236}">
              <a16:creationId xmlns:a16="http://schemas.microsoft.com/office/drawing/2014/main" id="{00000000-0008-0000-0900-0000C28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81178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203</xdr:row>
      <xdr:rowOff>171450</xdr:rowOff>
    </xdr:from>
    <xdr:to>
      <xdr:col>1</xdr:col>
      <xdr:colOff>47625</xdr:colOff>
      <xdr:row>204</xdr:row>
      <xdr:rowOff>209550</xdr:rowOff>
    </xdr:to>
    <xdr:pic>
      <xdr:nvPicPr>
        <xdr:cNvPr id="33731" name="Picture 3" descr="C:\WINDOWS\TEMP\Symbol.gif">
          <a:extLst>
            <a:ext uri="{FF2B5EF4-FFF2-40B4-BE49-F238E27FC236}">
              <a16:creationId xmlns:a16="http://schemas.microsoft.com/office/drawing/2014/main" id="{00000000-0008-0000-0900-0000C38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41414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287</xdr:row>
      <xdr:rowOff>161925</xdr:rowOff>
    </xdr:from>
    <xdr:to>
      <xdr:col>1</xdr:col>
      <xdr:colOff>19050</xdr:colOff>
      <xdr:row>288</xdr:row>
      <xdr:rowOff>200025</xdr:rowOff>
    </xdr:to>
    <xdr:pic>
      <xdr:nvPicPr>
        <xdr:cNvPr id="33732" name="Picture 4" descr="C:\WINDOWS\TEMP\Symbol.gif">
          <a:extLst>
            <a:ext uri="{FF2B5EF4-FFF2-40B4-BE49-F238E27FC236}">
              <a16:creationId xmlns:a16="http://schemas.microsoft.com/office/drawing/2014/main" id="{00000000-0008-0000-0900-0000C48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82930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287</xdr:row>
      <xdr:rowOff>123825</xdr:rowOff>
    </xdr:from>
    <xdr:to>
      <xdr:col>22</xdr:col>
      <xdr:colOff>1895475</xdr:colOff>
      <xdr:row>288</xdr:row>
      <xdr:rowOff>152400</xdr:rowOff>
    </xdr:to>
    <xdr:pic>
      <xdr:nvPicPr>
        <xdr:cNvPr id="33733" name="Picture 5" descr="C:\WINDOWS\TEMP\~0003946.gif">
          <a:extLst>
            <a:ext uri="{FF2B5EF4-FFF2-40B4-BE49-F238E27FC236}">
              <a16:creationId xmlns:a16="http://schemas.microsoft.com/office/drawing/2014/main" id="{00000000-0008-0000-0900-0000C58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8254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203</xdr:row>
      <xdr:rowOff>152400</xdr:rowOff>
    </xdr:from>
    <xdr:to>
      <xdr:col>22</xdr:col>
      <xdr:colOff>1924050</xdr:colOff>
      <xdr:row>204</xdr:row>
      <xdr:rowOff>180975</xdr:rowOff>
    </xdr:to>
    <xdr:pic>
      <xdr:nvPicPr>
        <xdr:cNvPr id="33734" name="Picture 6" descr="C:\WINDOWS\TEMP\~0003946.gif">
          <a:extLst>
            <a:ext uri="{FF2B5EF4-FFF2-40B4-BE49-F238E27FC236}">
              <a16:creationId xmlns:a16="http://schemas.microsoft.com/office/drawing/2014/main" id="{00000000-0008-0000-0900-0000C68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41395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137</xdr:row>
      <xdr:rowOff>161925</xdr:rowOff>
    </xdr:from>
    <xdr:to>
      <xdr:col>22</xdr:col>
      <xdr:colOff>1952625</xdr:colOff>
      <xdr:row>138</xdr:row>
      <xdr:rowOff>190500</xdr:rowOff>
    </xdr:to>
    <xdr:pic>
      <xdr:nvPicPr>
        <xdr:cNvPr id="33735" name="Picture 7" descr="C:\WINDOWS\TEMP\~0003946.gif">
          <a:extLst>
            <a:ext uri="{FF2B5EF4-FFF2-40B4-BE49-F238E27FC236}">
              <a16:creationId xmlns:a16="http://schemas.microsoft.com/office/drawing/2014/main" id="{00000000-0008-0000-0900-0000C78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8117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33736" name="Picture 8" descr="C:\WINDOWS\TEMP\~0003946.gif">
          <a:extLst>
            <a:ext uri="{FF2B5EF4-FFF2-40B4-BE49-F238E27FC236}">
              <a16:creationId xmlns:a16="http://schemas.microsoft.com/office/drawing/2014/main" id="{00000000-0008-0000-0900-0000C88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33737" name="Picture 9" descr="C:\WINDOWS\TEMP\~0003946.gif">
          <a:extLst>
            <a:ext uri="{FF2B5EF4-FFF2-40B4-BE49-F238E27FC236}">
              <a16:creationId xmlns:a16="http://schemas.microsoft.com/office/drawing/2014/main" id="{00000000-0008-0000-0900-0000C98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137</xdr:row>
      <xdr:rowOff>123825</xdr:rowOff>
    </xdr:from>
    <xdr:to>
      <xdr:col>22</xdr:col>
      <xdr:colOff>895350</xdr:colOff>
      <xdr:row>138</xdr:row>
      <xdr:rowOff>152400</xdr:rowOff>
    </xdr:to>
    <xdr:pic>
      <xdr:nvPicPr>
        <xdr:cNvPr id="33738" name="Picture 10" descr="C:\WINDOWS\TEMP\~0003946.gif">
          <a:extLst>
            <a:ext uri="{FF2B5EF4-FFF2-40B4-BE49-F238E27FC236}">
              <a16:creationId xmlns:a16="http://schemas.microsoft.com/office/drawing/2014/main" id="{00000000-0008-0000-0900-0000CA8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80797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203</xdr:row>
      <xdr:rowOff>104775</xdr:rowOff>
    </xdr:from>
    <xdr:to>
      <xdr:col>22</xdr:col>
      <xdr:colOff>809625</xdr:colOff>
      <xdr:row>204</xdr:row>
      <xdr:rowOff>133350</xdr:rowOff>
    </xdr:to>
    <xdr:pic>
      <xdr:nvPicPr>
        <xdr:cNvPr id="33739" name="Picture 11" descr="C:\WINDOWS\TEMP\~0003946.gif">
          <a:extLst>
            <a:ext uri="{FF2B5EF4-FFF2-40B4-BE49-F238E27FC236}">
              <a16:creationId xmlns:a16="http://schemas.microsoft.com/office/drawing/2014/main" id="{00000000-0008-0000-0900-0000CB8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413480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287</xdr:row>
      <xdr:rowOff>104775</xdr:rowOff>
    </xdr:from>
    <xdr:to>
      <xdr:col>22</xdr:col>
      <xdr:colOff>895350</xdr:colOff>
      <xdr:row>288</xdr:row>
      <xdr:rowOff>133350</xdr:rowOff>
    </xdr:to>
    <xdr:pic>
      <xdr:nvPicPr>
        <xdr:cNvPr id="33740" name="Picture 12" descr="C:\WINDOWS\TEMP\~0003946.gif">
          <a:extLst>
            <a:ext uri="{FF2B5EF4-FFF2-40B4-BE49-F238E27FC236}">
              <a16:creationId xmlns:a16="http://schemas.microsoft.com/office/drawing/2014/main" id="{00000000-0008-0000-0900-0000CC8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82358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33741" name="Picture 13" descr="logoMTL">
          <a:extLst>
            <a:ext uri="{FF2B5EF4-FFF2-40B4-BE49-F238E27FC236}">
              <a16:creationId xmlns:a16="http://schemas.microsoft.com/office/drawing/2014/main" id="{00000000-0008-0000-0900-0000CD8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137</xdr:row>
      <xdr:rowOff>38100</xdr:rowOff>
    </xdr:from>
    <xdr:to>
      <xdr:col>21</xdr:col>
      <xdr:colOff>1171575</xdr:colOff>
      <xdr:row>138</xdr:row>
      <xdr:rowOff>161925</xdr:rowOff>
    </xdr:to>
    <xdr:pic>
      <xdr:nvPicPr>
        <xdr:cNvPr id="33742" name="Picture 14" descr="logoMTL">
          <a:extLst>
            <a:ext uri="{FF2B5EF4-FFF2-40B4-BE49-F238E27FC236}">
              <a16:creationId xmlns:a16="http://schemas.microsoft.com/office/drawing/2014/main" id="{00000000-0008-0000-0900-0000CE8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9939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203</xdr:row>
      <xdr:rowOff>28575</xdr:rowOff>
    </xdr:from>
    <xdr:to>
      <xdr:col>21</xdr:col>
      <xdr:colOff>1171575</xdr:colOff>
      <xdr:row>204</xdr:row>
      <xdr:rowOff>152400</xdr:rowOff>
    </xdr:to>
    <xdr:pic>
      <xdr:nvPicPr>
        <xdr:cNvPr id="33743" name="Picture 15" descr="logoMTL">
          <a:extLst>
            <a:ext uri="{FF2B5EF4-FFF2-40B4-BE49-F238E27FC236}">
              <a16:creationId xmlns:a16="http://schemas.microsoft.com/office/drawing/2014/main" id="{00000000-0008-0000-0900-0000CF8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41271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287</xdr:row>
      <xdr:rowOff>0</xdr:rowOff>
    </xdr:from>
    <xdr:to>
      <xdr:col>21</xdr:col>
      <xdr:colOff>1228725</xdr:colOff>
      <xdr:row>288</xdr:row>
      <xdr:rowOff>123825</xdr:rowOff>
    </xdr:to>
    <xdr:pic>
      <xdr:nvPicPr>
        <xdr:cNvPr id="33744" name="Picture 16" descr="logoMTL">
          <a:extLst>
            <a:ext uri="{FF2B5EF4-FFF2-40B4-BE49-F238E27FC236}">
              <a16:creationId xmlns:a16="http://schemas.microsoft.com/office/drawing/2014/main" id="{00000000-0008-0000-0900-0000D08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81310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34753" name="Picture 1" descr="C:\WINDOWS\TEMP\Symbol.gif">
          <a:extLst>
            <a:ext uri="{FF2B5EF4-FFF2-40B4-BE49-F238E27FC236}">
              <a16:creationId xmlns:a16="http://schemas.microsoft.com/office/drawing/2014/main" id="{00000000-0008-0000-0A00-0000C187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137</xdr:row>
      <xdr:rowOff>161925</xdr:rowOff>
    </xdr:from>
    <xdr:to>
      <xdr:col>1</xdr:col>
      <xdr:colOff>28575</xdr:colOff>
      <xdr:row>138</xdr:row>
      <xdr:rowOff>200025</xdr:rowOff>
    </xdr:to>
    <xdr:pic>
      <xdr:nvPicPr>
        <xdr:cNvPr id="34754" name="Picture 2" descr="C:\WINDOWS\TEMP\Symbol.gif">
          <a:extLst>
            <a:ext uri="{FF2B5EF4-FFF2-40B4-BE49-F238E27FC236}">
              <a16:creationId xmlns:a16="http://schemas.microsoft.com/office/drawing/2014/main" id="{00000000-0008-0000-0A00-0000C28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8575" y="281178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203</xdr:row>
      <xdr:rowOff>171450</xdr:rowOff>
    </xdr:from>
    <xdr:to>
      <xdr:col>1</xdr:col>
      <xdr:colOff>47625</xdr:colOff>
      <xdr:row>204</xdr:row>
      <xdr:rowOff>209550</xdr:rowOff>
    </xdr:to>
    <xdr:pic>
      <xdr:nvPicPr>
        <xdr:cNvPr id="34755" name="Picture 3" descr="C:\WINDOWS\TEMP\Symbol.gif">
          <a:extLst>
            <a:ext uri="{FF2B5EF4-FFF2-40B4-BE49-F238E27FC236}">
              <a16:creationId xmlns:a16="http://schemas.microsoft.com/office/drawing/2014/main" id="{00000000-0008-0000-0A00-0000C387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14147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287</xdr:row>
      <xdr:rowOff>161925</xdr:rowOff>
    </xdr:from>
    <xdr:to>
      <xdr:col>1</xdr:col>
      <xdr:colOff>19050</xdr:colOff>
      <xdr:row>288</xdr:row>
      <xdr:rowOff>200025</xdr:rowOff>
    </xdr:to>
    <xdr:pic>
      <xdr:nvPicPr>
        <xdr:cNvPr id="34756" name="Picture 4" descr="C:\WINDOWS\TEMP\Symbol.gif">
          <a:extLst>
            <a:ext uri="{FF2B5EF4-FFF2-40B4-BE49-F238E27FC236}">
              <a16:creationId xmlns:a16="http://schemas.microsoft.com/office/drawing/2014/main" id="{00000000-0008-0000-0A00-0000C487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2930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287</xdr:row>
      <xdr:rowOff>123825</xdr:rowOff>
    </xdr:from>
    <xdr:to>
      <xdr:col>22</xdr:col>
      <xdr:colOff>1895475</xdr:colOff>
      <xdr:row>288</xdr:row>
      <xdr:rowOff>152400</xdr:rowOff>
    </xdr:to>
    <xdr:pic>
      <xdr:nvPicPr>
        <xdr:cNvPr id="34757" name="Picture 5" descr="C:\WINDOWS\TEMP\~0003946.gif">
          <a:extLst>
            <a:ext uri="{FF2B5EF4-FFF2-40B4-BE49-F238E27FC236}">
              <a16:creationId xmlns:a16="http://schemas.microsoft.com/office/drawing/2014/main" id="{00000000-0008-0000-0A00-0000C587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5222200" y="58254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203</xdr:row>
      <xdr:rowOff>152400</xdr:rowOff>
    </xdr:from>
    <xdr:to>
      <xdr:col>22</xdr:col>
      <xdr:colOff>1924050</xdr:colOff>
      <xdr:row>204</xdr:row>
      <xdr:rowOff>180975</xdr:rowOff>
    </xdr:to>
    <xdr:pic>
      <xdr:nvPicPr>
        <xdr:cNvPr id="34758" name="Picture 6" descr="C:\WINDOWS\TEMP\~0003946.gif">
          <a:extLst>
            <a:ext uri="{FF2B5EF4-FFF2-40B4-BE49-F238E27FC236}">
              <a16:creationId xmlns:a16="http://schemas.microsoft.com/office/drawing/2014/main" id="{00000000-0008-0000-0A00-0000C6870000}"/>
            </a:ext>
          </a:extLst>
        </xdr:cNvPr>
        <xdr:cNvPicPr>
          <a:picLocks noChangeAspect="1" noChangeArrowheads="1"/>
        </xdr:cNvPicPr>
      </xdr:nvPicPr>
      <xdr:blipFill>
        <a:blip xmlns:r="http://schemas.openxmlformats.org/officeDocument/2006/relationships" r:embed="rId4" r:link="rId3">
          <a:extLst>
            <a:ext uri="{28A0092B-C50C-407E-A947-70E740481C1C}">
              <a14:useLocalDpi xmlns:a14="http://schemas.microsoft.com/office/drawing/2010/main" val="0"/>
            </a:ext>
          </a:extLst>
        </a:blip>
        <a:srcRect/>
        <a:stretch>
          <a:fillRect/>
        </a:stretch>
      </xdr:blipFill>
      <xdr:spPr bwMode="auto">
        <a:xfrm>
          <a:off x="25222200" y="41395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137</xdr:row>
      <xdr:rowOff>161925</xdr:rowOff>
    </xdr:from>
    <xdr:to>
      <xdr:col>22</xdr:col>
      <xdr:colOff>1952625</xdr:colOff>
      <xdr:row>138</xdr:row>
      <xdr:rowOff>190500</xdr:rowOff>
    </xdr:to>
    <xdr:pic>
      <xdr:nvPicPr>
        <xdr:cNvPr id="34759" name="Picture 7" descr="C:\WINDOWS\TEMP\~0003946.gif">
          <a:extLst>
            <a:ext uri="{FF2B5EF4-FFF2-40B4-BE49-F238E27FC236}">
              <a16:creationId xmlns:a16="http://schemas.microsoft.com/office/drawing/2014/main" id="{00000000-0008-0000-0A00-0000C7870000}"/>
            </a:ext>
          </a:extLst>
        </xdr:cNvPr>
        <xdr:cNvPicPr>
          <a:picLocks noChangeAspect="1" noChangeArrowheads="1"/>
        </xdr:cNvPicPr>
      </xdr:nvPicPr>
      <xdr:blipFill>
        <a:blip xmlns:r="http://schemas.openxmlformats.org/officeDocument/2006/relationships" r:embed="rId4" r:link="rId3">
          <a:extLst>
            <a:ext uri="{28A0092B-C50C-407E-A947-70E740481C1C}">
              <a14:useLocalDpi xmlns:a14="http://schemas.microsoft.com/office/drawing/2010/main" val="0"/>
            </a:ext>
          </a:extLst>
        </a:blip>
        <a:srcRect/>
        <a:stretch>
          <a:fillRect/>
        </a:stretch>
      </xdr:blipFill>
      <xdr:spPr bwMode="auto">
        <a:xfrm>
          <a:off x="25222200" y="28117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34760" name="Picture 8" descr="C:\WINDOWS\TEMP\~0003946.gif">
          <a:extLst>
            <a:ext uri="{FF2B5EF4-FFF2-40B4-BE49-F238E27FC236}">
              <a16:creationId xmlns:a16="http://schemas.microsoft.com/office/drawing/2014/main" id="{00000000-0008-0000-0A00-0000C8870000}"/>
            </a:ext>
          </a:extLst>
        </xdr:cNvPr>
        <xdr:cNvPicPr>
          <a:picLocks noChangeAspect="1" noChangeArrowheads="1"/>
        </xdr:cNvPicPr>
      </xdr:nvPicPr>
      <xdr:blipFill>
        <a:blip xmlns:r="http://schemas.openxmlformats.org/officeDocument/2006/relationships" r:embed="rId4" r:link="rId3">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34761" name="Picture 9" descr="C:\WINDOWS\TEMP\~0003946.gif">
          <a:extLst>
            <a:ext uri="{FF2B5EF4-FFF2-40B4-BE49-F238E27FC236}">
              <a16:creationId xmlns:a16="http://schemas.microsoft.com/office/drawing/2014/main" id="{00000000-0008-0000-0A00-0000C987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137</xdr:row>
      <xdr:rowOff>123825</xdr:rowOff>
    </xdr:from>
    <xdr:to>
      <xdr:col>22</xdr:col>
      <xdr:colOff>895350</xdr:colOff>
      <xdr:row>138</xdr:row>
      <xdr:rowOff>152400</xdr:rowOff>
    </xdr:to>
    <xdr:pic>
      <xdr:nvPicPr>
        <xdr:cNvPr id="34762" name="Picture 10" descr="C:\WINDOWS\TEMP\~0003946.gif">
          <a:extLst>
            <a:ext uri="{FF2B5EF4-FFF2-40B4-BE49-F238E27FC236}">
              <a16:creationId xmlns:a16="http://schemas.microsoft.com/office/drawing/2014/main" id="{00000000-0008-0000-0A00-0000CA87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4307800" y="280797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203</xdr:row>
      <xdr:rowOff>104775</xdr:rowOff>
    </xdr:from>
    <xdr:to>
      <xdr:col>22</xdr:col>
      <xdr:colOff>809625</xdr:colOff>
      <xdr:row>204</xdr:row>
      <xdr:rowOff>133350</xdr:rowOff>
    </xdr:to>
    <xdr:pic>
      <xdr:nvPicPr>
        <xdr:cNvPr id="34763" name="Picture 11" descr="C:\WINDOWS\TEMP\~0003946.gif">
          <a:extLst>
            <a:ext uri="{FF2B5EF4-FFF2-40B4-BE49-F238E27FC236}">
              <a16:creationId xmlns:a16="http://schemas.microsoft.com/office/drawing/2014/main" id="{00000000-0008-0000-0A00-0000CB87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4222075" y="413480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287</xdr:row>
      <xdr:rowOff>104775</xdr:rowOff>
    </xdr:from>
    <xdr:to>
      <xdr:col>22</xdr:col>
      <xdr:colOff>895350</xdr:colOff>
      <xdr:row>288</xdr:row>
      <xdr:rowOff>133350</xdr:rowOff>
    </xdr:to>
    <xdr:pic>
      <xdr:nvPicPr>
        <xdr:cNvPr id="34764" name="Picture 12" descr="C:\WINDOWS\TEMP\~0003946.gif">
          <a:extLst>
            <a:ext uri="{FF2B5EF4-FFF2-40B4-BE49-F238E27FC236}">
              <a16:creationId xmlns:a16="http://schemas.microsoft.com/office/drawing/2014/main" id="{00000000-0008-0000-0A00-0000CC87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4307800" y="582358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34765" name="Picture 13" descr="logoMTL">
          <a:extLst>
            <a:ext uri="{FF2B5EF4-FFF2-40B4-BE49-F238E27FC236}">
              <a16:creationId xmlns:a16="http://schemas.microsoft.com/office/drawing/2014/main" id="{00000000-0008-0000-0A00-0000CD8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137</xdr:row>
      <xdr:rowOff>38100</xdr:rowOff>
    </xdr:from>
    <xdr:to>
      <xdr:col>21</xdr:col>
      <xdr:colOff>1171575</xdr:colOff>
      <xdr:row>138</xdr:row>
      <xdr:rowOff>161925</xdr:rowOff>
    </xdr:to>
    <xdr:pic>
      <xdr:nvPicPr>
        <xdr:cNvPr id="34766" name="Picture 14" descr="logoMTL">
          <a:extLst>
            <a:ext uri="{FF2B5EF4-FFF2-40B4-BE49-F238E27FC236}">
              <a16:creationId xmlns:a16="http://schemas.microsoft.com/office/drawing/2014/main" id="{00000000-0008-0000-0A00-0000CE8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9939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203</xdr:row>
      <xdr:rowOff>28575</xdr:rowOff>
    </xdr:from>
    <xdr:to>
      <xdr:col>21</xdr:col>
      <xdr:colOff>1171575</xdr:colOff>
      <xdr:row>204</xdr:row>
      <xdr:rowOff>152400</xdr:rowOff>
    </xdr:to>
    <xdr:pic>
      <xdr:nvPicPr>
        <xdr:cNvPr id="34767" name="Picture 15" descr="logoMTL">
          <a:extLst>
            <a:ext uri="{FF2B5EF4-FFF2-40B4-BE49-F238E27FC236}">
              <a16:creationId xmlns:a16="http://schemas.microsoft.com/office/drawing/2014/main" id="{00000000-0008-0000-0A00-0000CF8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1271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287</xdr:row>
      <xdr:rowOff>0</xdr:rowOff>
    </xdr:from>
    <xdr:to>
      <xdr:col>21</xdr:col>
      <xdr:colOff>1228725</xdr:colOff>
      <xdr:row>288</xdr:row>
      <xdr:rowOff>123825</xdr:rowOff>
    </xdr:to>
    <xdr:pic>
      <xdr:nvPicPr>
        <xdr:cNvPr id="34768" name="Picture 16" descr="logoMTL">
          <a:extLst>
            <a:ext uri="{FF2B5EF4-FFF2-40B4-BE49-F238E27FC236}">
              <a16:creationId xmlns:a16="http://schemas.microsoft.com/office/drawing/2014/main" id="{00000000-0008-0000-0A00-0000D08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81310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35777" name="Picture 1" descr="C:\WINDOWS\TEMP\Symbol.gif">
          <a:extLst>
            <a:ext uri="{FF2B5EF4-FFF2-40B4-BE49-F238E27FC236}">
              <a16:creationId xmlns:a16="http://schemas.microsoft.com/office/drawing/2014/main" id="{00000000-0008-0000-0B00-0000C18B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136</xdr:row>
      <xdr:rowOff>161925</xdr:rowOff>
    </xdr:from>
    <xdr:to>
      <xdr:col>1</xdr:col>
      <xdr:colOff>28575</xdr:colOff>
      <xdr:row>137</xdr:row>
      <xdr:rowOff>200025</xdr:rowOff>
    </xdr:to>
    <xdr:pic>
      <xdr:nvPicPr>
        <xdr:cNvPr id="35778" name="Picture 2" descr="C:\WINDOWS\TEMP\Symbol.gif">
          <a:extLst>
            <a:ext uri="{FF2B5EF4-FFF2-40B4-BE49-F238E27FC236}">
              <a16:creationId xmlns:a16="http://schemas.microsoft.com/office/drawing/2014/main" id="{00000000-0008-0000-0B00-0000C28B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202</xdr:row>
      <xdr:rowOff>171450</xdr:rowOff>
    </xdr:from>
    <xdr:to>
      <xdr:col>1</xdr:col>
      <xdr:colOff>47625</xdr:colOff>
      <xdr:row>203</xdr:row>
      <xdr:rowOff>209550</xdr:rowOff>
    </xdr:to>
    <xdr:pic>
      <xdr:nvPicPr>
        <xdr:cNvPr id="35779" name="Picture 3" descr="C:\WINDOWS\TEMP\Symbol.gif">
          <a:extLst>
            <a:ext uri="{FF2B5EF4-FFF2-40B4-BE49-F238E27FC236}">
              <a16:creationId xmlns:a16="http://schemas.microsoft.com/office/drawing/2014/main" id="{00000000-0008-0000-0B00-0000C38B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1214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286</xdr:row>
      <xdr:rowOff>161925</xdr:rowOff>
    </xdr:from>
    <xdr:to>
      <xdr:col>1</xdr:col>
      <xdr:colOff>19050</xdr:colOff>
      <xdr:row>287</xdr:row>
      <xdr:rowOff>200025</xdr:rowOff>
    </xdr:to>
    <xdr:pic>
      <xdr:nvPicPr>
        <xdr:cNvPr id="35780" name="Picture 4" descr="C:\WINDOWS\TEMP\Symbol.gif">
          <a:extLst>
            <a:ext uri="{FF2B5EF4-FFF2-40B4-BE49-F238E27FC236}">
              <a16:creationId xmlns:a16="http://schemas.microsoft.com/office/drawing/2014/main" id="{00000000-0008-0000-0B00-0000C48B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0929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286</xdr:row>
      <xdr:rowOff>123825</xdr:rowOff>
    </xdr:from>
    <xdr:to>
      <xdr:col>22</xdr:col>
      <xdr:colOff>1895475</xdr:colOff>
      <xdr:row>287</xdr:row>
      <xdr:rowOff>152400</xdr:rowOff>
    </xdr:to>
    <xdr:pic>
      <xdr:nvPicPr>
        <xdr:cNvPr id="35781" name="Picture 5" descr="C:\WINDOWS\TEMP\~0003946.gif">
          <a:extLst>
            <a:ext uri="{FF2B5EF4-FFF2-40B4-BE49-F238E27FC236}">
              <a16:creationId xmlns:a16="http://schemas.microsoft.com/office/drawing/2014/main" id="{00000000-0008-0000-0B00-0000C58B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5222200" y="58054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202</xdr:row>
      <xdr:rowOff>152400</xdr:rowOff>
    </xdr:from>
    <xdr:to>
      <xdr:col>22</xdr:col>
      <xdr:colOff>1924050</xdr:colOff>
      <xdr:row>203</xdr:row>
      <xdr:rowOff>180975</xdr:rowOff>
    </xdr:to>
    <xdr:pic>
      <xdr:nvPicPr>
        <xdr:cNvPr id="35782" name="Picture 6" descr="C:\WINDOWS\TEMP\~0003946.gif">
          <a:extLst>
            <a:ext uri="{FF2B5EF4-FFF2-40B4-BE49-F238E27FC236}">
              <a16:creationId xmlns:a16="http://schemas.microsoft.com/office/drawing/2014/main" id="{00000000-0008-0000-0B00-0000C68B0000}"/>
            </a:ext>
          </a:extLst>
        </xdr:cNvPr>
        <xdr:cNvPicPr>
          <a:picLocks noChangeAspect="1" noChangeArrowheads="1"/>
        </xdr:cNvPicPr>
      </xdr:nvPicPr>
      <xdr:blipFill>
        <a:blip xmlns:r="http://schemas.openxmlformats.org/officeDocument/2006/relationships" r:embed="rId4" r:link="rId3">
          <a:extLst>
            <a:ext uri="{28A0092B-C50C-407E-A947-70E740481C1C}">
              <a14:useLocalDpi xmlns:a14="http://schemas.microsoft.com/office/drawing/2010/main" val="0"/>
            </a:ext>
          </a:extLst>
        </a:blip>
        <a:srcRect/>
        <a:stretch>
          <a:fillRect/>
        </a:stretch>
      </xdr:blipFill>
      <xdr:spPr bwMode="auto">
        <a:xfrm>
          <a:off x="25222200" y="41195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35783" name="Picture 7" descr="C:\WINDOWS\TEMP\~0003946.gif">
          <a:extLst>
            <a:ext uri="{FF2B5EF4-FFF2-40B4-BE49-F238E27FC236}">
              <a16:creationId xmlns:a16="http://schemas.microsoft.com/office/drawing/2014/main" id="{00000000-0008-0000-0B00-0000C78B0000}"/>
            </a:ext>
          </a:extLst>
        </xdr:cNvPr>
        <xdr:cNvPicPr>
          <a:picLocks noChangeAspect="1" noChangeArrowheads="1"/>
        </xdr:cNvPicPr>
      </xdr:nvPicPr>
      <xdr:blipFill>
        <a:blip xmlns:r="http://schemas.openxmlformats.org/officeDocument/2006/relationships" r:embed="rId4" r:link="rId3">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35784" name="Picture 8" descr="C:\WINDOWS\TEMP\~0003946.gif">
          <a:extLst>
            <a:ext uri="{FF2B5EF4-FFF2-40B4-BE49-F238E27FC236}">
              <a16:creationId xmlns:a16="http://schemas.microsoft.com/office/drawing/2014/main" id="{00000000-0008-0000-0B00-0000C88B0000}"/>
            </a:ext>
          </a:extLst>
        </xdr:cNvPr>
        <xdr:cNvPicPr>
          <a:picLocks noChangeAspect="1" noChangeArrowheads="1"/>
        </xdr:cNvPicPr>
      </xdr:nvPicPr>
      <xdr:blipFill>
        <a:blip xmlns:r="http://schemas.openxmlformats.org/officeDocument/2006/relationships" r:embed="rId4" r:link="rId3">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35785" name="Picture 9" descr="C:\WINDOWS\TEMP\~0003946.gif">
          <a:extLst>
            <a:ext uri="{FF2B5EF4-FFF2-40B4-BE49-F238E27FC236}">
              <a16:creationId xmlns:a16="http://schemas.microsoft.com/office/drawing/2014/main" id="{00000000-0008-0000-0B00-0000C98B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136</xdr:row>
      <xdr:rowOff>123825</xdr:rowOff>
    </xdr:from>
    <xdr:to>
      <xdr:col>22</xdr:col>
      <xdr:colOff>895350</xdr:colOff>
      <xdr:row>137</xdr:row>
      <xdr:rowOff>152400</xdr:rowOff>
    </xdr:to>
    <xdr:pic>
      <xdr:nvPicPr>
        <xdr:cNvPr id="35786" name="Picture 10" descr="C:\WINDOWS\TEMP\~0003946.gif">
          <a:extLst>
            <a:ext uri="{FF2B5EF4-FFF2-40B4-BE49-F238E27FC236}">
              <a16:creationId xmlns:a16="http://schemas.microsoft.com/office/drawing/2014/main" id="{00000000-0008-0000-0B00-0000CA8B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4307800" y="27879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202</xdr:row>
      <xdr:rowOff>104775</xdr:rowOff>
    </xdr:from>
    <xdr:to>
      <xdr:col>22</xdr:col>
      <xdr:colOff>809625</xdr:colOff>
      <xdr:row>203</xdr:row>
      <xdr:rowOff>133350</xdr:rowOff>
    </xdr:to>
    <xdr:pic>
      <xdr:nvPicPr>
        <xdr:cNvPr id="35787" name="Picture 11" descr="C:\WINDOWS\TEMP\~0003946.gif">
          <a:extLst>
            <a:ext uri="{FF2B5EF4-FFF2-40B4-BE49-F238E27FC236}">
              <a16:creationId xmlns:a16="http://schemas.microsoft.com/office/drawing/2014/main" id="{00000000-0008-0000-0B00-0000CB8B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4222075" y="4114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286</xdr:row>
      <xdr:rowOff>104775</xdr:rowOff>
    </xdr:from>
    <xdr:to>
      <xdr:col>22</xdr:col>
      <xdr:colOff>895350</xdr:colOff>
      <xdr:row>287</xdr:row>
      <xdr:rowOff>133350</xdr:rowOff>
    </xdr:to>
    <xdr:pic>
      <xdr:nvPicPr>
        <xdr:cNvPr id="35788" name="Picture 12" descr="C:\WINDOWS\TEMP\~0003946.gif">
          <a:extLst>
            <a:ext uri="{FF2B5EF4-FFF2-40B4-BE49-F238E27FC236}">
              <a16:creationId xmlns:a16="http://schemas.microsoft.com/office/drawing/2014/main" id="{00000000-0008-0000-0B00-0000CC8B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4307800" y="580358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35789" name="Picture 13" descr="logoMTL">
          <a:extLst>
            <a:ext uri="{FF2B5EF4-FFF2-40B4-BE49-F238E27FC236}">
              <a16:creationId xmlns:a16="http://schemas.microsoft.com/office/drawing/2014/main" id="{00000000-0008-0000-0B00-0000CD8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136</xdr:row>
      <xdr:rowOff>38100</xdr:rowOff>
    </xdr:from>
    <xdr:to>
      <xdr:col>21</xdr:col>
      <xdr:colOff>1171575</xdr:colOff>
      <xdr:row>137</xdr:row>
      <xdr:rowOff>161925</xdr:rowOff>
    </xdr:to>
    <xdr:pic>
      <xdr:nvPicPr>
        <xdr:cNvPr id="35790" name="Picture 14" descr="logoMTL">
          <a:extLst>
            <a:ext uri="{FF2B5EF4-FFF2-40B4-BE49-F238E27FC236}">
              <a16:creationId xmlns:a16="http://schemas.microsoft.com/office/drawing/2014/main" id="{00000000-0008-0000-0B00-0000CE8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202</xdr:row>
      <xdr:rowOff>28575</xdr:rowOff>
    </xdr:from>
    <xdr:to>
      <xdr:col>21</xdr:col>
      <xdr:colOff>1171575</xdr:colOff>
      <xdr:row>203</xdr:row>
      <xdr:rowOff>152400</xdr:rowOff>
    </xdr:to>
    <xdr:pic>
      <xdr:nvPicPr>
        <xdr:cNvPr id="35791" name="Picture 15" descr="logoMTL">
          <a:extLst>
            <a:ext uri="{FF2B5EF4-FFF2-40B4-BE49-F238E27FC236}">
              <a16:creationId xmlns:a16="http://schemas.microsoft.com/office/drawing/2014/main" id="{00000000-0008-0000-0B00-0000CF8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1071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286</xdr:row>
      <xdr:rowOff>0</xdr:rowOff>
    </xdr:from>
    <xdr:to>
      <xdr:col>21</xdr:col>
      <xdr:colOff>1228725</xdr:colOff>
      <xdr:row>287</xdr:row>
      <xdr:rowOff>123825</xdr:rowOff>
    </xdr:to>
    <xdr:pic>
      <xdr:nvPicPr>
        <xdr:cNvPr id="35792" name="Picture 16" descr="logoMTL">
          <a:extLst>
            <a:ext uri="{FF2B5EF4-FFF2-40B4-BE49-F238E27FC236}">
              <a16:creationId xmlns:a16="http://schemas.microsoft.com/office/drawing/2014/main" id="{00000000-0008-0000-0B00-0000D08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79310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36801" name="Picture 1" descr="C:\WINDOWS\TEMP\Symbol.gif">
          <a:extLst>
            <a:ext uri="{FF2B5EF4-FFF2-40B4-BE49-F238E27FC236}">
              <a16:creationId xmlns:a16="http://schemas.microsoft.com/office/drawing/2014/main" id="{00000000-0008-0000-0C00-0000C18F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136</xdr:row>
      <xdr:rowOff>161925</xdr:rowOff>
    </xdr:from>
    <xdr:to>
      <xdr:col>1</xdr:col>
      <xdr:colOff>28575</xdr:colOff>
      <xdr:row>137</xdr:row>
      <xdr:rowOff>200025</xdr:rowOff>
    </xdr:to>
    <xdr:pic>
      <xdr:nvPicPr>
        <xdr:cNvPr id="36802" name="Picture 2" descr="C:\WINDOWS\TEMP\Symbol.gif">
          <a:extLst>
            <a:ext uri="{FF2B5EF4-FFF2-40B4-BE49-F238E27FC236}">
              <a16:creationId xmlns:a16="http://schemas.microsoft.com/office/drawing/2014/main" id="{00000000-0008-0000-0C00-0000C28F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202</xdr:row>
      <xdr:rowOff>171450</xdr:rowOff>
    </xdr:from>
    <xdr:to>
      <xdr:col>1</xdr:col>
      <xdr:colOff>47625</xdr:colOff>
      <xdr:row>203</xdr:row>
      <xdr:rowOff>209550</xdr:rowOff>
    </xdr:to>
    <xdr:pic>
      <xdr:nvPicPr>
        <xdr:cNvPr id="36803" name="Picture 3" descr="C:\WINDOWS\TEMP\Symbol.gif">
          <a:extLst>
            <a:ext uri="{FF2B5EF4-FFF2-40B4-BE49-F238E27FC236}">
              <a16:creationId xmlns:a16="http://schemas.microsoft.com/office/drawing/2014/main" id="{00000000-0008-0000-0C00-0000C38F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1214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298</xdr:row>
      <xdr:rowOff>161925</xdr:rowOff>
    </xdr:from>
    <xdr:to>
      <xdr:col>1</xdr:col>
      <xdr:colOff>19050</xdr:colOff>
      <xdr:row>299</xdr:row>
      <xdr:rowOff>200025</xdr:rowOff>
    </xdr:to>
    <xdr:pic>
      <xdr:nvPicPr>
        <xdr:cNvPr id="36804" name="Picture 4" descr="C:\WINDOWS\TEMP\Symbol.gif">
          <a:extLst>
            <a:ext uri="{FF2B5EF4-FFF2-40B4-BE49-F238E27FC236}">
              <a16:creationId xmlns:a16="http://schemas.microsoft.com/office/drawing/2014/main" id="{00000000-0008-0000-0C00-0000C48F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604932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298</xdr:row>
      <xdr:rowOff>123825</xdr:rowOff>
    </xdr:from>
    <xdr:to>
      <xdr:col>22</xdr:col>
      <xdr:colOff>1895475</xdr:colOff>
      <xdr:row>299</xdr:row>
      <xdr:rowOff>152400</xdr:rowOff>
    </xdr:to>
    <xdr:pic>
      <xdr:nvPicPr>
        <xdr:cNvPr id="36805" name="Picture 5" descr="C:\WINDOWS\TEMP\~0003946.gif">
          <a:extLst>
            <a:ext uri="{FF2B5EF4-FFF2-40B4-BE49-F238E27FC236}">
              <a16:creationId xmlns:a16="http://schemas.microsoft.com/office/drawing/2014/main" id="{00000000-0008-0000-0C00-0000C58F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60455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202</xdr:row>
      <xdr:rowOff>152400</xdr:rowOff>
    </xdr:from>
    <xdr:to>
      <xdr:col>22</xdr:col>
      <xdr:colOff>1924050</xdr:colOff>
      <xdr:row>203</xdr:row>
      <xdr:rowOff>180975</xdr:rowOff>
    </xdr:to>
    <xdr:pic>
      <xdr:nvPicPr>
        <xdr:cNvPr id="36806" name="Picture 6" descr="C:\WINDOWS\TEMP\~0003946.gif">
          <a:extLst>
            <a:ext uri="{FF2B5EF4-FFF2-40B4-BE49-F238E27FC236}">
              <a16:creationId xmlns:a16="http://schemas.microsoft.com/office/drawing/2014/main" id="{00000000-0008-0000-0C00-0000C68F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1195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36807" name="Picture 7" descr="C:\WINDOWS\TEMP\~0003946.gif">
          <a:extLst>
            <a:ext uri="{FF2B5EF4-FFF2-40B4-BE49-F238E27FC236}">
              <a16:creationId xmlns:a16="http://schemas.microsoft.com/office/drawing/2014/main" id="{00000000-0008-0000-0C00-0000C78F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36808" name="Picture 8" descr="C:\WINDOWS\TEMP\~0003946.gif">
          <a:extLst>
            <a:ext uri="{FF2B5EF4-FFF2-40B4-BE49-F238E27FC236}">
              <a16:creationId xmlns:a16="http://schemas.microsoft.com/office/drawing/2014/main" id="{00000000-0008-0000-0C00-0000C88F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36809" name="Picture 9" descr="C:\WINDOWS\TEMP\~0003946.gif">
          <a:extLst>
            <a:ext uri="{FF2B5EF4-FFF2-40B4-BE49-F238E27FC236}">
              <a16:creationId xmlns:a16="http://schemas.microsoft.com/office/drawing/2014/main" id="{00000000-0008-0000-0C00-0000C98F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136</xdr:row>
      <xdr:rowOff>123825</xdr:rowOff>
    </xdr:from>
    <xdr:to>
      <xdr:col>22</xdr:col>
      <xdr:colOff>895350</xdr:colOff>
      <xdr:row>137</xdr:row>
      <xdr:rowOff>152400</xdr:rowOff>
    </xdr:to>
    <xdr:pic>
      <xdr:nvPicPr>
        <xdr:cNvPr id="36810" name="Picture 10" descr="C:\WINDOWS\TEMP\~0003946.gif">
          <a:extLst>
            <a:ext uri="{FF2B5EF4-FFF2-40B4-BE49-F238E27FC236}">
              <a16:creationId xmlns:a16="http://schemas.microsoft.com/office/drawing/2014/main" id="{00000000-0008-0000-0C00-0000CA8F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879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202</xdr:row>
      <xdr:rowOff>104775</xdr:rowOff>
    </xdr:from>
    <xdr:to>
      <xdr:col>22</xdr:col>
      <xdr:colOff>809625</xdr:colOff>
      <xdr:row>203</xdr:row>
      <xdr:rowOff>133350</xdr:rowOff>
    </xdr:to>
    <xdr:pic>
      <xdr:nvPicPr>
        <xdr:cNvPr id="36811" name="Picture 11" descr="C:\WINDOWS\TEMP\~0003946.gif">
          <a:extLst>
            <a:ext uri="{FF2B5EF4-FFF2-40B4-BE49-F238E27FC236}">
              <a16:creationId xmlns:a16="http://schemas.microsoft.com/office/drawing/2014/main" id="{00000000-0008-0000-0C00-0000CB8F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114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298</xdr:row>
      <xdr:rowOff>104775</xdr:rowOff>
    </xdr:from>
    <xdr:to>
      <xdr:col>22</xdr:col>
      <xdr:colOff>895350</xdr:colOff>
      <xdr:row>299</xdr:row>
      <xdr:rowOff>133350</xdr:rowOff>
    </xdr:to>
    <xdr:pic>
      <xdr:nvPicPr>
        <xdr:cNvPr id="36812" name="Picture 12" descr="C:\WINDOWS\TEMP\~0003946.gif">
          <a:extLst>
            <a:ext uri="{FF2B5EF4-FFF2-40B4-BE49-F238E27FC236}">
              <a16:creationId xmlns:a16="http://schemas.microsoft.com/office/drawing/2014/main" id="{00000000-0008-0000-0C00-0000CC8F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604361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36813" name="Picture 13" descr="logoMTL">
          <a:extLst>
            <a:ext uri="{FF2B5EF4-FFF2-40B4-BE49-F238E27FC236}">
              <a16:creationId xmlns:a16="http://schemas.microsoft.com/office/drawing/2014/main" id="{00000000-0008-0000-0C00-0000CD8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136</xdr:row>
      <xdr:rowOff>38100</xdr:rowOff>
    </xdr:from>
    <xdr:to>
      <xdr:col>21</xdr:col>
      <xdr:colOff>1171575</xdr:colOff>
      <xdr:row>137</xdr:row>
      <xdr:rowOff>161925</xdr:rowOff>
    </xdr:to>
    <xdr:pic>
      <xdr:nvPicPr>
        <xdr:cNvPr id="36814" name="Picture 14" descr="logoMTL">
          <a:extLst>
            <a:ext uri="{FF2B5EF4-FFF2-40B4-BE49-F238E27FC236}">
              <a16:creationId xmlns:a16="http://schemas.microsoft.com/office/drawing/2014/main" id="{00000000-0008-0000-0C00-0000CE8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202</xdr:row>
      <xdr:rowOff>28575</xdr:rowOff>
    </xdr:from>
    <xdr:to>
      <xdr:col>21</xdr:col>
      <xdr:colOff>1171575</xdr:colOff>
      <xdr:row>203</xdr:row>
      <xdr:rowOff>152400</xdr:rowOff>
    </xdr:to>
    <xdr:pic>
      <xdr:nvPicPr>
        <xdr:cNvPr id="36815" name="Picture 15" descr="logoMTL">
          <a:extLst>
            <a:ext uri="{FF2B5EF4-FFF2-40B4-BE49-F238E27FC236}">
              <a16:creationId xmlns:a16="http://schemas.microsoft.com/office/drawing/2014/main" id="{00000000-0008-0000-0C00-0000CF8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1071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298</xdr:row>
      <xdr:rowOff>0</xdr:rowOff>
    </xdr:from>
    <xdr:to>
      <xdr:col>21</xdr:col>
      <xdr:colOff>1228725</xdr:colOff>
      <xdr:row>299</xdr:row>
      <xdr:rowOff>123825</xdr:rowOff>
    </xdr:to>
    <xdr:pic>
      <xdr:nvPicPr>
        <xdr:cNvPr id="36816" name="Picture 16" descr="logoMTL">
          <a:extLst>
            <a:ext uri="{FF2B5EF4-FFF2-40B4-BE49-F238E27FC236}">
              <a16:creationId xmlns:a16="http://schemas.microsoft.com/office/drawing/2014/main" id="{00000000-0008-0000-0C00-0000D08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60331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37825" name="Picture 1" descr="C:\WINDOWS\TEMP\Symbol.gif">
          <a:extLst>
            <a:ext uri="{FF2B5EF4-FFF2-40B4-BE49-F238E27FC236}">
              <a16:creationId xmlns:a16="http://schemas.microsoft.com/office/drawing/2014/main" id="{00000000-0008-0000-0D00-0000C19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136</xdr:row>
      <xdr:rowOff>161925</xdr:rowOff>
    </xdr:from>
    <xdr:to>
      <xdr:col>1</xdr:col>
      <xdr:colOff>28575</xdr:colOff>
      <xdr:row>137</xdr:row>
      <xdr:rowOff>200025</xdr:rowOff>
    </xdr:to>
    <xdr:pic>
      <xdr:nvPicPr>
        <xdr:cNvPr id="37826" name="Picture 2" descr="C:\WINDOWS\TEMP\Symbol.gif">
          <a:extLst>
            <a:ext uri="{FF2B5EF4-FFF2-40B4-BE49-F238E27FC236}">
              <a16:creationId xmlns:a16="http://schemas.microsoft.com/office/drawing/2014/main" id="{00000000-0008-0000-0D00-0000C29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202</xdr:row>
      <xdr:rowOff>171450</xdr:rowOff>
    </xdr:from>
    <xdr:to>
      <xdr:col>1</xdr:col>
      <xdr:colOff>47625</xdr:colOff>
      <xdr:row>203</xdr:row>
      <xdr:rowOff>209550</xdr:rowOff>
    </xdr:to>
    <xdr:pic>
      <xdr:nvPicPr>
        <xdr:cNvPr id="37827" name="Picture 3" descr="C:\WINDOWS\TEMP\Symbol.gif">
          <a:extLst>
            <a:ext uri="{FF2B5EF4-FFF2-40B4-BE49-F238E27FC236}">
              <a16:creationId xmlns:a16="http://schemas.microsoft.com/office/drawing/2014/main" id="{00000000-0008-0000-0D00-0000C39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47625" y="41214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298</xdr:row>
      <xdr:rowOff>161925</xdr:rowOff>
    </xdr:from>
    <xdr:to>
      <xdr:col>1</xdr:col>
      <xdr:colOff>19050</xdr:colOff>
      <xdr:row>299</xdr:row>
      <xdr:rowOff>200025</xdr:rowOff>
    </xdr:to>
    <xdr:pic>
      <xdr:nvPicPr>
        <xdr:cNvPr id="37828" name="Picture 4" descr="C:\WINDOWS\TEMP\Symbol.gif">
          <a:extLst>
            <a:ext uri="{FF2B5EF4-FFF2-40B4-BE49-F238E27FC236}">
              <a16:creationId xmlns:a16="http://schemas.microsoft.com/office/drawing/2014/main" id="{00000000-0008-0000-0D00-0000C49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604932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298</xdr:row>
      <xdr:rowOff>123825</xdr:rowOff>
    </xdr:from>
    <xdr:to>
      <xdr:col>22</xdr:col>
      <xdr:colOff>1895475</xdr:colOff>
      <xdr:row>299</xdr:row>
      <xdr:rowOff>152400</xdr:rowOff>
    </xdr:to>
    <xdr:pic>
      <xdr:nvPicPr>
        <xdr:cNvPr id="37829" name="Picture 5" descr="C:\WINDOWS\TEMP\~0003946.gif">
          <a:extLst>
            <a:ext uri="{FF2B5EF4-FFF2-40B4-BE49-F238E27FC236}">
              <a16:creationId xmlns:a16="http://schemas.microsoft.com/office/drawing/2014/main" id="{00000000-0008-0000-0D00-0000C593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60455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202</xdr:row>
      <xdr:rowOff>152400</xdr:rowOff>
    </xdr:from>
    <xdr:to>
      <xdr:col>22</xdr:col>
      <xdr:colOff>1924050</xdr:colOff>
      <xdr:row>203</xdr:row>
      <xdr:rowOff>180975</xdr:rowOff>
    </xdr:to>
    <xdr:pic>
      <xdr:nvPicPr>
        <xdr:cNvPr id="37830" name="Picture 6" descr="C:\WINDOWS\TEMP\~0003946.gif">
          <a:extLst>
            <a:ext uri="{FF2B5EF4-FFF2-40B4-BE49-F238E27FC236}">
              <a16:creationId xmlns:a16="http://schemas.microsoft.com/office/drawing/2014/main" id="{00000000-0008-0000-0D00-0000C6930000}"/>
            </a:ext>
          </a:extLst>
        </xdr:cNvPr>
        <xdr:cNvPicPr>
          <a:picLocks noChangeAspect="1" noChangeArrowheads="1"/>
        </xdr:cNvPicPr>
      </xdr:nvPicPr>
      <xdr:blipFill>
        <a:blip xmlns:r="http://schemas.openxmlformats.org/officeDocument/2006/relationships" r:link="rId4">
          <a:extLst>
            <a:ext uri="{28A0092B-C50C-407E-A947-70E740481C1C}">
              <a14:useLocalDpi xmlns:a14="http://schemas.microsoft.com/office/drawing/2010/main" val="0"/>
            </a:ext>
          </a:extLst>
        </a:blip>
        <a:srcRect/>
        <a:stretch>
          <a:fillRect/>
        </a:stretch>
      </xdr:blipFill>
      <xdr:spPr bwMode="auto">
        <a:xfrm>
          <a:off x="25222200" y="41195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37831" name="Picture 7" descr="C:\WINDOWS\TEMP\~0003946.gif">
          <a:extLst>
            <a:ext uri="{FF2B5EF4-FFF2-40B4-BE49-F238E27FC236}">
              <a16:creationId xmlns:a16="http://schemas.microsoft.com/office/drawing/2014/main" id="{00000000-0008-0000-0D00-0000C793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37832" name="Picture 8" descr="C:\WINDOWS\TEMP\~0003946.gif">
          <a:extLst>
            <a:ext uri="{FF2B5EF4-FFF2-40B4-BE49-F238E27FC236}">
              <a16:creationId xmlns:a16="http://schemas.microsoft.com/office/drawing/2014/main" id="{00000000-0008-0000-0D00-0000C893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37833" name="Picture 9" descr="C:\WINDOWS\TEMP\~0003946.gif">
          <a:extLst>
            <a:ext uri="{FF2B5EF4-FFF2-40B4-BE49-F238E27FC236}">
              <a16:creationId xmlns:a16="http://schemas.microsoft.com/office/drawing/2014/main" id="{00000000-0008-0000-0D00-0000C993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136</xdr:row>
      <xdr:rowOff>123825</xdr:rowOff>
    </xdr:from>
    <xdr:to>
      <xdr:col>22</xdr:col>
      <xdr:colOff>895350</xdr:colOff>
      <xdr:row>137</xdr:row>
      <xdr:rowOff>152400</xdr:rowOff>
    </xdr:to>
    <xdr:pic>
      <xdr:nvPicPr>
        <xdr:cNvPr id="37834" name="Picture 10" descr="C:\WINDOWS\TEMP\~0003946.gif">
          <a:extLst>
            <a:ext uri="{FF2B5EF4-FFF2-40B4-BE49-F238E27FC236}">
              <a16:creationId xmlns:a16="http://schemas.microsoft.com/office/drawing/2014/main" id="{00000000-0008-0000-0D00-0000CA93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879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202</xdr:row>
      <xdr:rowOff>104775</xdr:rowOff>
    </xdr:from>
    <xdr:to>
      <xdr:col>22</xdr:col>
      <xdr:colOff>809625</xdr:colOff>
      <xdr:row>203</xdr:row>
      <xdr:rowOff>133350</xdr:rowOff>
    </xdr:to>
    <xdr:pic>
      <xdr:nvPicPr>
        <xdr:cNvPr id="37835" name="Picture 11" descr="C:\WINDOWS\TEMP\~0003946.gif">
          <a:extLst>
            <a:ext uri="{FF2B5EF4-FFF2-40B4-BE49-F238E27FC236}">
              <a16:creationId xmlns:a16="http://schemas.microsoft.com/office/drawing/2014/main" id="{00000000-0008-0000-0D00-0000CB93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114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298</xdr:row>
      <xdr:rowOff>104775</xdr:rowOff>
    </xdr:from>
    <xdr:to>
      <xdr:col>22</xdr:col>
      <xdr:colOff>895350</xdr:colOff>
      <xdr:row>299</xdr:row>
      <xdr:rowOff>133350</xdr:rowOff>
    </xdr:to>
    <xdr:pic>
      <xdr:nvPicPr>
        <xdr:cNvPr id="37836" name="Picture 12" descr="C:\WINDOWS\TEMP\~0003946.gif">
          <a:extLst>
            <a:ext uri="{FF2B5EF4-FFF2-40B4-BE49-F238E27FC236}">
              <a16:creationId xmlns:a16="http://schemas.microsoft.com/office/drawing/2014/main" id="{00000000-0008-0000-0D00-0000CC93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604361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37837" name="Picture 13" descr="logoMTL">
          <a:extLst>
            <a:ext uri="{FF2B5EF4-FFF2-40B4-BE49-F238E27FC236}">
              <a16:creationId xmlns:a16="http://schemas.microsoft.com/office/drawing/2014/main" id="{00000000-0008-0000-0D00-0000CD9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136</xdr:row>
      <xdr:rowOff>38100</xdr:rowOff>
    </xdr:from>
    <xdr:to>
      <xdr:col>21</xdr:col>
      <xdr:colOff>1171575</xdr:colOff>
      <xdr:row>137</xdr:row>
      <xdr:rowOff>161925</xdr:rowOff>
    </xdr:to>
    <xdr:pic>
      <xdr:nvPicPr>
        <xdr:cNvPr id="37838" name="Picture 14" descr="logoMTL">
          <a:extLst>
            <a:ext uri="{FF2B5EF4-FFF2-40B4-BE49-F238E27FC236}">
              <a16:creationId xmlns:a16="http://schemas.microsoft.com/office/drawing/2014/main" id="{00000000-0008-0000-0D00-0000CE9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202</xdr:row>
      <xdr:rowOff>28575</xdr:rowOff>
    </xdr:from>
    <xdr:to>
      <xdr:col>21</xdr:col>
      <xdr:colOff>1171575</xdr:colOff>
      <xdr:row>203</xdr:row>
      <xdr:rowOff>152400</xdr:rowOff>
    </xdr:to>
    <xdr:pic>
      <xdr:nvPicPr>
        <xdr:cNvPr id="37839" name="Picture 15" descr="logoMTL">
          <a:extLst>
            <a:ext uri="{FF2B5EF4-FFF2-40B4-BE49-F238E27FC236}">
              <a16:creationId xmlns:a16="http://schemas.microsoft.com/office/drawing/2014/main" id="{00000000-0008-0000-0D00-0000CF9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1071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298</xdr:row>
      <xdr:rowOff>0</xdr:rowOff>
    </xdr:from>
    <xdr:to>
      <xdr:col>21</xdr:col>
      <xdr:colOff>1228725</xdr:colOff>
      <xdr:row>299</xdr:row>
      <xdr:rowOff>123825</xdr:rowOff>
    </xdr:to>
    <xdr:pic>
      <xdr:nvPicPr>
        <xdr:cNvPr id="37840" name="Picture 16" descr="logoMTL">
          <a:extLst>
            <a:ext uri="{FF2B5EF4-FFF2-40B4-BE49-F238E27FC236}">
              <a16:creationId xmlns:a16="http://schemas.microsoft.com/office/drawing/2014/main" id="{00000000-0008-0000-0D00-0000D09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60331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38849" name="Picture 1" descr="C:\WINDOWS\TEMP\Symbol.gif">
          <a:extLst>
            <a:ext uri="{FF2B5EF4-FFF2-40B4-BE49-F238E27FC236}">
              <a16:creationId xmlns:a16="http://schemas.microsoft.com/office/drawing/2014/main" id="{00000000-0008-0000-0E00-0000C197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136</xdr:row>
      <xdr:rowOff>161925</xdr:rowOff>
    </xdr:from>
    <xdr:to>
      <xdr:col>1</xdr:col>
      <xdr:colOff>28575</xdr:colOff>
      <xdr:row>137</xdr:row>
      <xdr:rowOff>200025</xdr:rowOff>
    </xdr:to>
    <xdr:pic>
      <xdr:nvPicPr>
        <xdr:cNvPr id="38850" name="Picture 2" descr="C:\WINDOWS\TEMP\Symbol.gif">
          <a:extLst>
            <a:ext uri="{FF2B5EF4-FFF2-40B4-BE49-F238E27FC236}">
              <a16:creationId xmlns:a16="http://schemas.microsoft.com/office/drawing/2014/main" id="{00000000-0008-0000-0E00-0000C297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202</xdr:row>
      <xdr:rowOff>171450</xdr:rowOff>
    </xdr:from>
    <xdr:to>
      <xdr:col>1</xdr:col>
      <xdr:colOff>47625</xdr:colOff>
      <xdr:row>203</xdr:row>
      <xdr:rowOff>209550</xdr:rowOff>
    </xdr:to>
    <xdr:pic>
      <xdr:nvPicPr>
        <xdr:cNvPr id="38851" name="Picture 3" descr="C:\WINDOWS\TEMP\Symbol.gif">
          <a:extLst>
            <a:ext uri="{FF2B5EF4-FFF2-40B4-BE49-F238E27FC236}">
              <a16:creationId xmlns:a16="http://schemas.microsoft.com/office/drawing/2014/main" id="{00000000-0008-0000-0E00-0000C397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1214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298</xdr:row>
      <xdr:rowOff>161925</xdr:rowOff>
    </xdr:from>
    <xdr:to>
      <xdr:col>1</xdr:col>
      <xdr:colOff>19050</xdr:colOff>
      <xdr:row>299</xdr:row>
      <xdr:rowOff>200025</xdr:rowOff>
    </xdr:to>
    <xdr:pic>
      <xdr:nvPicPr>
        <xdr:cNvPr id="38852" name="Picture 4" descr="C:\WINDOWS\TEMP\Symbol.gif">
          <a:extLst>
            <a:ext uri="{FF2B5EF4-FFF2-40B4-BE49-F238E27FC236}">
              <a16:creationId xmlns:a16="http://schemas.microsoft.com/office/drawing/2014/main" id="{00000000-0008-0000-0E00-0000C497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604932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298</xdr:row>
      <xdr:rowOff>123825</xdr:rowOff>
    </xdr:from>
    <xdr:to>
      <xdr:col>22</xdr:col>
      <xdr:colOff>1895475</xdr:colOff>
      <xdr:row>299</xdr:row>
      <xdr:rowOff>152400</xdr:rowOff>
    </xdr:to>
    <xdr:pic>
      <xdr:nvPicPr>
        <xdr:cNvPr id="38853" name="Picture 5" descr="C:\WINDOWS\TEMP\~0003946.gif">
          <a:extLst>
            <a:ext uri="{FF2B5EF4-FFF2-40B4-BE49-F238E27FC236}">
              <a16:creationId xmlns:a16="http://schemas.microsoft.com/office/drawing/2014/main" id="{00000000-0008-0000-0E00-0000C597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5222200" y="60455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202</xdr:row>
      <xdr:rowOff>152400</xdr:rowOff>
    </xdr:from>
    <xdr:to>
      <xdr:col>22</xdr:col>
      <xdr:colOff>1924050</xdr:colOff>
      <xdr:row>203</xdr:row>
      <xdr:rowOff>180975</xdr:rowOff>
    </xdr:to>
    <xdr:pic>
      <xdr:nvPicPr>
        <xdr:cNvPr id="38854" name="Picture 6" descr="C:\WINDOWS\TEMP\~0003946.gif">
          <a:extLst>
            <a:ext uri="{FF2B5EF4-FFF2-40B4-BE49-F238E27FC236}">
              <a16:creationId xmlns:a16="http://schemas.microsoft.com/office/drawing/2014/main" id="{00000000-0008-0000-0E00-0000C6970000}"/>
            </a:ext>
          </a:extLst>
        </xdr:cNvPr>
        <xdr:cNvPicPr>
          <a:picLocks noChangeAspect="1" noChangeArrowheads="1"/>
        </xdr:cNvPicPr>
      </xdr:nvPicPr>
      <xdr:blipFill>
        <a:blip xmlns:r="http://schemas.openxmlformats.org/officeDocument/2006/relationships" r:embed="rId4" r:link="rId3">
          <a:extLst>
            <a:ext uri="{28A0092B-C50C-407E-A947-70E740481C1C}">
              <a14:useLocalDpi xmlns:a14="http://schemas.microsoft.com/office/drawing/2010/main" val="0"/>
            </a:ext>
          </a:extLst>
        </a:blip>
        <a:srcRect/>
        <a:stretch>
          <a:fillRect/>
        </a:stretch>
      </xdr:blipFill>
      <xdr:spPr bwMode="auto">
        <a:xfrm>
          <a:off x="25222200" y="41195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38855" name="Picture 7" descr="C:\WINDOWS\TEMP\~0003946.gif">
          <a:extLst>
            <a:ext uri="{FF2B5EF4-FFF2-40B4-BE49-F238E27FC236}">
              <a16:creationId xmlns:a16="http://schemas.microsoft.com/office/drawing/2014/main" id="{00000000-0008-0000-0E00-0000C7970000}"/>
            </a:ext>
          </a:extLst>
        </xdr:cNvPr>
        <xdr:cNvPicPr>
          <a:picLocks noChangeAspect="1" noChangeArrowheads="1"/>
        </xdr:cNvPicPr>
      </xdr:nvPicPr>
      <xdr:blipFill>
        <a:blip xmlns:r="http://schemas.openxmlformats.org/officeDocument/2006/relationships" r:embed="rId4" r:link="rId3">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38856" name="Picture 8" descr="C:\WINDOWS\TEMP\~0003946.gif">
          <a:extLst>
            <a:ext uri="{FF2B5EF4-FFF2-40B4-BE49-F238E27FC236}">
              <a16:creationId xmlns:a16="http://schemas.microsoft.com/office/drawing/2014/main" id="{00000000-0008-0000-0E00-0000C8970000}"/>
            </a:ext>
          </a:extLst>
        </xdr:cNvPr>
        <xdr:cNvPicPr>
          <a:picLocks noChangeAspect="1" noChangeArrowheads="1"/>
        </xdr:cNvPicPr>
      </xdr:nvPicPr>
      <xdr:blipFill>
        <a:blip xmlns:r="http://schemas.openxmlformats.org/officeDocument/2006/relationships" r:embed="rId4" r:link="rId3">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38857" name="Picture 9" descr="C:\WINDOWS\TEMP\~0003946.gif">
          <a:extLst>
            <a:ext uri="{FF2B5EF4-FFF2-40B4-BE49-F238E27FC236}">
              <a16:creationId xmlns:a16="http://schemas.microsoft.com/office/drawing/2014/main" id="{00000000-0008-0000-0E00-0000C997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136</xdr:row>
      <xdr:rowOff>123825</xdr:rowOff>
    </xdr:from>
    <xdr:to>
      <xdr:col>22</xdr:col>
      <xdr:colOff>895350</xdr:colOff>
      <xdr:row>137</xdr:row>
      <xdr:rowOff>152400</xdr:rowOff>
    </xdr:to>
    <xdr:pic>
      <xdr:nvPicPr>
        <xdr:cNvPr id="38858" name="Picture 10" descr="C:\WINDOWS\TEMP\~0003946.gif">
          <a:extLst>
            <a:ext uri="{FF2B5EF4-FFF2-40B4-BE49-F238E27FC236}">
              <a16:creationId xmlns:a16="http://schemas.microsoft.com/office/drawing/2014/main" id="{00000000-0008-0000-0E00-0000CA97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4307800" y="27879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202</xdr:row>
      <xdr:rowOff>104775</xdr:rowOff>
    </xdr:from>
    <xdr:to>
      <xdr:col>22</xdr:col>
      <xdr:colOff>809625</xdr:colOff>
      <xdr:row>203</xdr:row>
      <xdr:rowOff>133350</xdr:rowOff>
    </xdr:to>
    <xdr:pic>
      <xdr:nvPicPr>
        <xdr:cNvPr id="38859" name="Picture 11" descr="C:\WINDOWS\TEMP\~0003946.gif">
          <a:extLst>
            <a:ext uri="{FF2B5EF4-FFF2-40B4-BE49-F238E27FC236}">
              <a16:creationId xmlns:a16="http://schemas.microsoft.com/office/drawing/2014/main" id="{00000000-0008-0000-0E00-0000CB97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4222075" y="4114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298</xdr:row>
      <xdr:rowOff>104775</xdr:rowOff>
    </xdr:from>
    <xdr:to>
      <xdr:col>22</xdr:col>
      <xdr:colOff>895350</xdr:colOff>
      <xdr:row>299</xdr:row>
      <xdr:rowOff>133350</xdr:rowOff>
    </xdr:to>
    <xdr:pic>
      <xdr:nvPicPr>
        <xdr:cNvPr id="38860" name="Picture 12" descr="C:\WINDOWS\TEMP\~0003946.gif">
          <a:extLst>
            <a:ext uri="{FF2B5EF4-FFF2-40B4-BE49-F238E27FC236}">
              <a16:creationId xmlns:a16="http://schemas.microsoft.com/office/drawing/2014/main" id="{00000000-0008-0000-0E00-0000CC97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4307800" y="604361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38861" name="Picture 13" descr="logoMTL">
          <a:extLst>
            <a:ext uri="{FF2B5EF4-FFF2-40B4-BE49-F238E27FC236}">
              <a16:creationId xmlns:a16="http://schemas.microsoft.com/office/drawing/2014/main" id="{00000000-0008-0000-0E00-0000CD9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136</xdr:row>
      <xdr:rowOff>38100</xdr:rowOff>
    </xdr:from>
    <xdr:to>
      <xdr:col>21</xdr:col>
      <xdr:colOff>1171575</xdr:colOff>
      <xdr:row>137</xdr:row>
      <xdr:rowOff>161925</xdr:rowOff>
    </xdr:to>
    <xdr:pic>
      <xdr:nvPicPr>
        <xdr:cNvPr id="38862" name="Picture 14" descr="logoMTL">
          <a:extLst>
            <a:ext uri="{FF2B5EF4-FFF2-40B4-BE49-F238E27FC236}">
              <a16:creationId xmlns:a16="http://schemas.microsoft.com/office/drawing/2014/main" id="{00000000-0008-0000-0E00-0000CE9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202</xdr:row>
      <xdr:rowOff>28575</xdr:rowOff>
    </xdr:from>
    <xdr:to>
      <xdr:col>21</xdr:col>
      <xdr:colOff>1171575</xdr:colOff>
      <xdr:row>203</xdr:row>
      <xdr:rowOff>152400</xdr:rowOff>
    </xdr:to>
    <xdr:pic>
      <xdr:nvPicPr>
        <xdr:cNvPr id="38863" name="Picture 15" descr="logoMTL">
          <a:extLst>
            <a:ext uri="{FF2B5EF4-FFF2-40B4-BE49-F238E27FC236}">
              <a16:creationId xmlns:a16="http://schemas.microsoft.com/office/drawing/2014/main" id="{00000000-0008-0000-0E00-0000CF9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1071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298</xdr:row>
      <xdr:rowOff>0</xdr:rowOff>
    </xdr:from>
    <xdr:to>
      <xdr:col>21</xdr:col>
      <xdr:colOff>1228725</xdr:colOff>
      <xdr:row>299</xdr:row>
      <xdr:rowOff>123825</xdr:rowOff>
    </xdr:to>
    <xdr:pic>
      <xdr:nvPicPr>
        <xdr:cNvPr id="38864" name="Picture 16" descr="logoMTL">
          <a:extLst>
            <a:ext uri="{FF2B5EF4-FFF2-40B4-BE49-F238E27FC236}">
              <a16:creationId xmlns:a16="http://schemas.microsoft.com/office/drawing/2014/main" id="{00000000-0008-0000-0E00-0000D09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60331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39825" name="Picture 1" descr="C:\WINDOWS\TEMP\Symbol.gif">
          <a:extLst>
            <a:ext uri="{FF2B5EF4-FFF2-40B4-BE49-F238E27FC236}">
              <a16:creationId xmlns:a16="http://schemas.microsoft.com/office/drawing/2014/main" id="{00000000-0008-0000-0F00-0000919B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136</xdr:row>
      <xdr:rowOff>161925</xdr:rowOff>
    </xdr:from>
    <xdr:to>
      <xdr:col>1</xdr:col>
      <xdr:colOff>28575</xdr:colOff>
      <xdr:row>137</xdr:row>
      <xdr:rowOff>200025</xdr:rowOff>
    </xdr:to>
    <xdr:pic>
      <xdr:nvPicPr>
        <xdr:cNvPr id="39826" name="Picture 2" descr="C:\WINDOWS\TEMP\Symbol.gif">
          <a:extLst>
            <a:ext uri="{FF2B5EF4-FFF2-40B4-BE49-F238E27FC236}">
              <a16:creationId xmlns:a16="http://schemas.microsoft.com/office/drawing/2014/main" id="{00000000-0008-0000-0F00-0000929B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202</xdr:row>
      <xdr:rowOff>171450</xdr:rowOff>
    </xdr:from>
    <xdr:to>
      <xdr:col>1</xdr:col>
      <xdr:colOff>47625</xdr:colOff>
      <xdr:row>203</xdr:row>
      <xdr:rowOff>209550</xdr:rowOff>
    </xdr:to>
    <xdr:pic>
      <xdr:nvPicPr>
        <xdr:cNvPr id="39827" name="Picture 3" descr="C:\WINDOWS\TEMP\Symbol.gif">
          <a:extLst>
            <a:ext uri="{FF2B5EF4-FFF2-40B4-BE49-F238E27FC236}">
              <a16:creationId xmlns:a16="http://schemas.microsoft.com/office/drawing/2014/main" id="{00000000-0008-0000-0F00-0000939B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1214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298</xdr:row>
      <xdr:rowOff>161925</xdr:rowOff>
    </xdr:from>
    <xdr:to>
      <xdr:col>1</xdr:col>
      <xdr:colOff>19050</xdr:colOff>
      <xdr:row>299</xdr:row>
      <xdr:rowOff>200025</xdr:rowOff>
    </xdr:to>
    <xdr:pic>
      <xdr:nvPicPr>
        <xdr:cNvPr id="39828" name="Picture 4" descr="C:\WINDOWS\TEMP\Symbol.gif">
          <a:extLst>
            <a:ext uri="{FF2B5EF4-FFF2-40B4-BE49-F238E27FC236}">
              <a16:creationId xmlns:a16="http://schemas.microsoft.com/office/drawing/2014/main" id="{00000000-0008-0000-0F00-0000949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9525" y="604932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298</xdr:row>
      <xdr:rowOff>123825</xdr:rowOff>
    </xdr:from>
    <xdr:to>
      <xdr:col>22</xdr:col>
      <xdr:colOff>1895475</xdr:colOff>
      <xdr:row>299</xdr:row>
      <xdr:rowOff>152400</xdr:rowOff>
    </xdr:to>
    <xdr:pic>
      <xdr:nvPicPr>
        <xdr:cNvPr id="39829" name="Picture 5" descr="C:\WINDOWS\TEMP\~0003946.gif">
          <a:extLst>
            <a:ext uri="{FF2B5EF4-FFF2-40B4-BE49-F238E27FC236}">
              <a16:creationId xmlns:a16="http://schemas.microsoft.com/office/drawing/2014/main" id="{00000000-0008-0000-0F00-0000959B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60455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202</xdr:row>
      <xdr:rowOff>152400</xdr:rowOff>
    </xdr:from>
    <xdr:to>
      <xdr:col>22</xdr:col>
      <xdr:colOff>1924050</xdr:colOff>
      <xdr:row>203</xdr:row>
      <xdr:rowOff>180975</xdr:rowOff>
    </xdr:to>
    <xdr:pic>
      <xdr:nvPicPr>
        <xdr:cNvPr id="39830" name="Picture 6" descr="C:\WINDOWS\TEMP\~0003946.gif">
          <a:extLst>
            <a:ext uri="{FF2B5EF4-FFF2-40B4-BE49-F238E27FC236}">
              <a16:creationId xmlns:a16="http://schemas.microsoft.com/office/drawing/2014/main" id="{00000000-0008-0000-0F00-0000969B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1195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39831" name="Picture 7" descr="C:\WINDOWS\TEMP\~0003946.gif">
          <a:extLst>
            <a:ext uri="{FF2B5EF4-FFF2-40B4-BE49-F238E27FC236}">
              <a16:creationId xmlns:a16="http://schemas.microsoft.com/office/drawing/2014/main" id="{00000000-0008-0000-0F00-0000979B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39832" name="Picture 8" descr="C:\WINDOWS\TEMP\~0003946.gif">
          <a:extLst>
            <a:ext uri="{FF2B5EF4-FFF2-40B4-BE49-F238E27FC236}">
              <a16:creationId xmlns:a16="http://schemas.microsoft.com/office/drawing/2014/main" id="{00000000-0008-0000-0F00-0000989B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39833" name="Picture 9" descr="C:\WINDOWS\TEMP\~0003946.gif">
          <a:extLst>
            <a:ext uri="{FF2B5EF4-FFF2-40B4-BE49-F238E27FC236}">
              <a16:creationId xmlns:a16="http://schemas.microsoft.com/office/drawing/2014/main" id="{00000000-0008-0000-0F00-0000999B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136</xdr:row>
      <xdr:rowOff>123825</xdr:rowOff>
    </xdr:from>
    <xdr:to>
      <xdr:col>22</xdr:col>
      <xdr:colOff>895350</xdr:colOff>
      <xdr:row>137</xdr:row>
      <xdr:rowOff>152400</xdr:rowOff>
    </xdr:to>
    <xdr:pic>
      <xdr:nvPicPr>
        <xdr:cNvPr id="39834" name="Picture 10" descr="C:\WINDOWS\TEMP\~0003946.gif">
          <a:extLst>
            <a:ext uri="{FF2B5EF4-FFF2-40B4-BE49-F238E27FC236}">
              <a16:creationId xmlns:a16="http://schemas.microsoft.com/office/drawing/2014/main" id="{00000000-0008-0000-0F00-00009A9B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879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202</xdr:row>
      <xdr:rowOff>104775</xdr:rowOff>
    </xdr:from>
    <xdr:to>
      <xdr:col>22</xdr:col>
      <xdr:colOff>809625</xdr:colOff>
      <xdr:row>203</xdr:row>
      <xdr:rowOff>133350</xdr:rowOff>
    </xdr:to>
    <xdr:pic>
      <xdr:nvPicPr>
        <xdr:cNvPr id="39835" name="Picture 11" descr="C:\WINDOWS\TEMP\~0003946.gif">
          <a:extLst>
            <a:ext uri="{FF2B5EF4-FFF2-40B4-BE49-F238E27FC236}">
              <a16:creationId xmlns:a16="http://schemas.microsoft.com/office/drawing/2014/main" id="{00000000-0008-0000-0F00-00009B9B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114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298</xdr:row>
      <xdr:rowOff>104775</xdr:rowOff>
    </xdr:from>
    <xdr:to>
      <xdr:col>22</xdr:col>
      <xdr:colOff>895350</xdr:colOff>
      <xdr:row>299</xdr:row>
      <xdr:rowOff>133350</xdr:rowOff>
    </xdr:to>
    <xdr:pic>
      <xdr:nvPicPr>
        <xdr:cNvPr id="39836" name="Picture 12" descr="C:\WINDOWS\TEMP\~0003946.gif">
          <a:extLst>
            <a:ext uri="{FF2B5EF4-FFF2-40B4-BE49-F238E27FC236}">
              <a16:creationId xmlns:a16="http://schemas.microsoft.com/office/drawing/2014/main" id="{00000000-0008-0000-0F00-00009C9B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604361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39837" name="Picture 13" descr="logoMTL">
          <a:extLst>
            <a:ext uri="{FF2B5EF4-FFF2-40B4-BE49-F238E27FC236}">
              <a16:creationId xmlns:a16="http://schemas.microsoft.com/office/drawing/2014/main" id="{00000000-0008-0000-0F00-00009D9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136</xdr:row>
      <xdr:rowOff>38100</xdr:rowOff>
    </xdr:from>
    <xdr:to>
      <xdr:col>21</xdr:col>
      <xdr:colOff>1171575</xdr:colOff>
      <xdr:row>137</xdr:row>
      <xdr:rowOff>161925</xdr:rowOff>
    </xdr:to>
    <xdr:pic>
      <xdr:nvPicPr>
        <xdr:cNvPr id="39838" name="Picture 14" descr="logoMTL">
          <a:extLst>
            <a:ext uri="{FF2B5EF4-FFF2-40B4-BE49-F238E27FC236}">
              <a16:creationId xmlns:a16="http://schemas.microsoft.com/office/drawing/2014/main" id="{00000000-0008-0000-0F00-00009E9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202</xdr:row>
      <xdr:rowOff>28575</xdr:rowOff>
    </xdr:from>
    <xdr:to>
      <xdr:col>21</xdr:col>
      <xdr:colOff>1171575</xdr:colOff>
      <xdr:row>203</xdr:row>
      <xdr:rowOff>152400</xdr:rowOff>
    </xdr:to>
    <xdr:pic>
      <xdr:nvPicPr>
        <xdr:cNvPr id="39839" name="Picture 15" descr="logoMTL">
          <a:extLst>
            <a:ext uri="{FF2B5EF4-FFF2-40B4-BE49-F238E27FC236}">
              <a16:creationId xmlns:a16="http://schemas.microsoft.com/office/drawing/2014/main" id="{00000000-0008-0000-0F00-00009F9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1071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298</xdr:row>
      <xdr:rowOff>0</xdr:rowOff>
    </xdr:from>
    <xdr:to>
      <xdr:col>21</xdr:col>
      <xdr:colOff>1228725</xdr:colOff>
      <xdr:row>299</xdr:row>
      <xdr:rowOff>123825</xdr:rowOff>
    </xdr:to>
    <xdr:pic>
      <xdr:nvPicPr>
        <xdr:cNvPr id="39840" name="Picture 16" descr="logoMTL">
          <a:extLst>
            <a:ext uri="{FF2B5EF4-FFF2-40B4-BE49-F238E27FC236}">
              <a16:creationId xmlns:a16="http://schemas.microsoft.com/office/drawing/2014/main" id="{00000000-0008-0000-0F00-0000A09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60331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41825" name="Picture 1" descr="C:\WINDOWS\TEMP\Symbol.gif">
          <a:extLst>
            <a:ext uri="{FF2B5EF4-FFF2-40B4-BE49-F238E27FC236}">
              <a16:creationId xmlns:a16="http://schemas.microsoft.com/office/drawing/2014/main" id="{00000000-0008-0000-1000-000061A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136</xdr:row>
      <xdr:rowOff>161925</xdr:rowOff>
    </xdr:from>
    <xdr:to>
      <xdr:col>1</xdr:col>
      <xdr:colOff>28575</xdr:colOff>
      <xdr:row>137</xdr:row>
      <xdr:rowOff>200025</xdr:rowOff>
    </xdr:to>
    <xdr:pic>
      <xdr:nvPicPr>
        <xdr:cNvPr id="41826" name="Picture 2" descr="C:\WINDOWS\TEMP\Symbol.gif">
          <a:extLst>
            <a:ext uri="{FF2B5EF4-FFF2-40B4-BE49-F238E27FC236}">
              <a16:creationId xmlns:a16="http://schemas.microsoft.com/office/drawing/2014/main" id="{00000000-0008-0000-1000-000062A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202</xdr:row>
      <xdr:rowOff>171450</xdr:rowOff>
    </xdr:from>
    <xdr:to>
      <xdr:col>1</xdr:col>
      <xdr:colOff>47625</xdr:colOff>
      <xdr:row>203</xdr:row>
      <xdr:rowOff>209550</xdr:rowOff>
    </xdr:to>
    <xdr:pic>
      <xdr:nvPicPr>
        <xdr:cNvPr id="41827" name="Picture 3" descr="C:\WINDOWS\TEMP\Symbol.gif">
          <a:extLst>
            <a:ext uri="{FF2B5EF4-FFF2-40B4-BE49-F238E27FC236}">
              <a16:creationId xmlns:a16="http://schemas.microsoft.com/office/drawing/2014/main" id="{00000000-0008-0000-1000-000063A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1214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298</xdr:row>
      <xdr:rowOff>161925</xdr:rowOff>
    </xdr:from>
    <xdr:to>
      <xdr:col>1</xdr:col>
      <xdr:colOff>19050</xdr:colOff>
      <xdr:row>299</xdr:row>
      <xdr:rowOff>200025</xdr:rowOff>
    </xdr:to>
    <xdr:pic>
      <xdr:nvPicPr>
        <xdr:cNvPr id="41828" name="Picture 4" descr="C:\WINDOWS\TEMP\Symbol.gif">
          <a:extLst>
            <a:ext uri="{FF2B5EF4-FFF2-40B4-BE49-F238E27FC236}">
              <a16:creationId xmlns:a16="http://schemas.microsoft.com/office/drawing/2014/main" id="{00000000-0008-0000-1000-000064A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604932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298</xdr:row>
      <xdr:rowOff>123825</xdr:rowOff>
    </xdr:from>
    <xdr:to>
      <xdr:col>22</xdr:col>
      <xdr:colOff>1895475</xdr:colOff>
      <xdr:row>299</xdr:row>
      <xdr:rowOff>152400</xdr:rowOff>
    </xdr:to>
    <xdr:pic>
      <xdr:nvPicPr>
        <xdr:cNvPr id="41829" name="Picture 5" descr="C:\WINDOWS\TEMP\~0003946.gif">
          <a:extLst>
            <a:ext uri="{FF2B5EF4-FFF2-40B4-BE49-F238E27FC236}">
              <a16:creationId xmlns:a16="http://schemas.microsoft.com/office/drawing/2014/main" id="{00000000-0008-0000-1000-000065A3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60455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202</xdr:row>
      <xdr:rowOff>152400</xdr:rowOff>
    </xdr:from>
    <xdr:to>
      <xdr:col>22</xdr:col>
      <xdr:colOff>1924050</xdr:colOff>
      <xdr:row>203</xdr:row>
      <xdr:rowOff>180975</xdr:rowOff>
    </xdr:to>
    <xdr:pic>
      <xdr:nvPicPr>
        <xdr:cNvPr id="41830" name="Picture 6" descr="C:\WINDOWS\TEMP\~0003946.gif">
          <a:extLst>
            <a:ext uri="{FF2B5EF4-FFF2-40B4-BE49-F238E27FC236}">
              <a16:creationId xmlns:a16="http://schemas.microsoft.com/office/drawing/2014/main" id="{00000000-0008-0000-1000-000066A3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1195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41831" name="Picture 7" descr="C:\WINDOWS\TEMP\~0003946.gif">
          <a:extLst>
            <a:ext uri="{FF2B5EF4-FFF2-40B4-BE49-F238E27FC236}">
              <a16:creationId xmlns:a16="http://schemas.microsoft.com/office/drawing/2014/main" id="{00000000-0008-0000-1000-000067A3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41832" name="Picture 8" descr="C:\WINDOWS\TEMP\~0003946.gif">
          <a:extLst>
            <a:ext uri="{FF2B5EF4-FFF2-40B4-BE49-F238E27FC236}">
              <a16:creationId xmlns:a16="http://schemas.microsoft.com/office/drawing/2014/main" id="{00000000-0008-0000-1000-000068A3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41833" name="Picture 9" descr="C:\WINDOWS\TEMP\~0003946.gif">
          <a:extLst>
            <a:ext uri="{FF2B5EF4-FFF2-40B4-BE49-F238E27FC236}">
              <a16:creationId xmlns:a16="http://schemas.microsoft.com/office/drawing/2014/main" id="{00000000-0008-0000-1000-000069A3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136</xdr:row>
      <xdr:rowOff>123825</xdr:rowOff>
    </xdr:from>
    <xdr:to>
      <xdr:col>22</xdr:col>
      <xdr:colOff>895350</xdr:colOff>
      <xdr:row>137</xdr:row>
      <xdr:rowOff>152400</xdr:rowOff>
    </xdr:to>
    <xdr:pic>
      <xdr:nvPicPr>
        <xdr:cNvPr id="41834" name="Picture 10" descr="C:\WINDOWS\TEMP\~0003946.gif">
          <a:extLst>
            <a:ext uri="{FF2B5EF4-FFF2-40B4-BE49-F238E27FC236}">
              <a16:creationId xmlns:a16="http://schemas.microsoft.com/office/drawing/2014/main" id="{00000000-0008-0000-1000-00006AA3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879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202</xdr:row>
      <xdr:rowOff>104775</xdr:rowOff>
    </xdr:from>
    <xdr:to>
      <xdr:col>22</xdr:col>
      <xdr:colOff>809625</xdr:colOff>
      <xdr:row>203</xdr:row>
      <xdr:rowOff>133350</xdr:rowOff>
    </xdr:to>
    <xdr:pic>
      <xdr:nvPicPr>
        <xdr:cNvPr id="41835" name="Picture 11" descr="C:\WINDOWS\TEMP\~0003946.gif">
          <a:extLst>
            <a:ext uri="{FF2B5EF4-FFF2-40B4-BE49-F238E27FC236}">
              <a16:creationId xmlns:a16="http://schemas.microsoft.com/office/drawing/2014/main" id="{00000000-0008-0000-1000-00006BA3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114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298</xdr:row>
      <xdr:rowOff>104775</xdr:rowOff>
    </xdr:from>
    <xdr:to>
      <xdr:col>22</xdr:col>
      <xdr:colOff>895350</xdr:colOff>
      <xdr:row>299</xdr:row>
      <xdr:rowOff>133350</xdr:rowOff>
    </xdr:to>
    <xdr:pic>
      <xdr:nvPicPr>
        <xdr:cNvPr id="41836" name="Picture 12" descr="C:\WINDOWS\TEMP\~0003946.gif">
          <a:extLst>
            <a:ext uri="{FF2B5EF4-FFF2-40B4-BE49-F238E27FC236}">
              <a16:creationId xmlns:a16="http://schemas.microsoft.com/office/drawing/2014/main" id="{00000000-0008-0000-1000-00006CA3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604361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41837" name="Picture 13" descr="logoMTL">
          <a:extLst>
            <a:ext uri="{FF2B5EF4-FFF2-40B4-BE49-F238E27FC236}">
              <a16:creationId xmlns:a16="http://schemas.microsoft.com/office/drawing/2014/main" id="{00000000-0008-0000-1000-00006DA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136</xdr:row>
      <xdr:rowOff>38100</xdr:rowOff>
    </xdr:from>
    <xdr:to>
      <xdr:col>21</xdr:col>
      <xdr:colOff>1171575</xdr:colOff>
      <xdr:row>137</xdr:row>
      <xdr:rowOff>161925</xdr:rowOff>
    </xdr:to>
    <xdr:pic>
      <xdr:nvPicPr>
        <xdr:cNvPr id="41838" name="Picture 14" descr="logoMTL">
          <a:extLst>
            <a:ext uri="{FF2B5EF4-FFF2-40B4-BE49-F238E27FC236}">
              <a16:creationId xmlns:a16="http://schemas.microsoft.com/office/drawing/2014/main" id="{00000000-0008-0000-1000-00006EA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202</xdr:row>
      <xdr:rowOff>28575</xdr:rowOff>
    </xdr:from>
    <xdr:to>
      <xdr:col>21</xdr:col>
      <xdr:colOff>1171575</xdr:colOff>
      <xdr:row>203</xdr:row>
      <xdr:rowOff>152400</xdr:rowOff>
    </xdr:to>
    <xdr:pic>
      <xdr:nvPicPr>
        <xdr:cNvPr id="41839" name="Picture 15" descr="logoMTL">
          <a:extLst>
            <a:ext uri="{FF2B5EF4-FFF2-40B4-BE49-F238E27FC236}">
              <a16:creationId xmlns:a16="http://schemas.microsoft.com/office/drawing/2014/main" id="{00000000-0008-0000-1000-00006FA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1071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298</xdr:row>
      <xdr:rowOff>0</xdr:rowOff>
    </xdr:from>
    <xdr:to>
      <xdr:col>21</xdr:col>
      <xdr:colOff>1228725</xdr:colOff>
      <xdr:row>299</xdr:row>
      <xdr:rowOff>123825</xdr:rowOff>
    </xdr:to>
    <xdr:pic>
      <xdr:nvPicPr>
        <xdr:cNvPr id="41840" name="Picture 16" descr="logoMTL">
          <a:extLst>
            <a:ext uri="{FF2B5EF4-FFF2-40B4-BE49-F238E27FC236}">
              <a16:creationId xmlns:a16="http://schemas.microsoft.com/office/drawing/2014/main" id="{00000000-0008-0000-1000-000070A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60331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42801" name="Picture 1" descr="C:\WINDOWS\TEMP\Symbol.gif">
          <a:extLst>
            <a:ext uri="{FF2B5EF4-FFF2-40B4-BE49-F238E27FC236}">
              <a16:creationId xmlns:a16="http://schemas.microsoft.com/office/drawing/2014/main" id="{00000000-0008-0000-1100-000031A7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136</xdr:row>
      <xdr:rowOff>161925</xdr:rowOff>
    </xdr:from>
    <xdr:to>
      <xdr:col>1</xdr:col>
      <xdr:colOff>28575</xdr:colOff>
      <xdr:row>137</xdr:row>
      <xdr:rowOff>200025</xdr:rowOff>
    </xdr:to>
    <xdr:pic>
      <xdr:nvPicPr>
        <xdr:cNvPr id="42802" name="Picture 2" descr="C:\WINDOWS\TEMP\Symbol.gif">
          <a:extLst>
            <a:ext uri="{FF2B5EF4-FFF2-40B4-BE49-F238E27FC236}">
              <a16:creationId xmlns:a16="http://schemas.microsoft.com/office/drawing/2014/main" id="{00000000-0008-0000-1100-000032A7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202</xdr:row>
      <xdr:rowOff>171450</xdr:rowOff>
    </xdr:from>
    <xdr:to>
      <xdr:col>1</xdr:col>
      <xdr:colOff>47625</xdr:colOff>
      <xdr:row>203</xdr:row>
      <xdr:rowOff>209550</xdr:rowOff>
    </xdr:to>
    <xdr:pic>
      <xdr:nvPicPr>
        <xdr:cNvPr id="42803" name="Picture 3" descr="C:\WINDOWS\TEMP\Symbol.gif">
          <a:extLst>
            <a:ext uri="{FF2B5EF4-FFF2-40B4-BE49-F238E27FC236}">
              <a16:creationId xmlns:a16="http://schemas.microsoft.com/office/drawing/2014/main" id="{00000000-0008-0000-1100-000033A7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1214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298</xdr:row>
      <xdr:rowOff>161925</xdr:rowOff>
    </xdr:from>
    <xdr:to>
      <xdr:col>1</xdr:col>
      <xdr:colOff>19050</xdr:colOff>
      <xdr:row>299</xdr:row>
      <xdr:rowOff>200025</xdr:rowOff>
    </xdr:to>
    <xdr:pic>
      <xdr:nvPicPr>
        <xdr:cNvPr id="42804" name="Picture 4" descr="C:\WINDOWS\TEMP\Symbol.gif">
          <a:extLst>
            <a:ext uri="{FF2B5EF4-FFF2-40B4-BE49-F238E27FC236}">
              <a16:creationId xmlns:a16="http://schemas.microsoft.com/office/drawing/2014/main" id="{00000000-0008-0000-1100-000034A7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604932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298</xdr:row>
      <xdr:rowOff>123825</xdr:rowOff>
    </xdr:from>
    <xdr:to>
      <xdr:col>22</xdr:col>
      <xdr:colOff>1895475</xdr:colOff>
      <xdr:row>299</xdr:row>
      <xdr:rowOff>152400</xdr:rowOff>
    </xdr:to>
    <xdr:pic>
      <xdr:nvPicPr>
        <xdr:cNvPr id="42805" name="Picture 5" descr="C:\WINDOWS\TEMP\~0003946.gif">
          <a:extLst>
            <a:ext uri="{FF2B5EF4-FFF2-40B4-BE49-F238E27FC236}">
              <a16:creationId xmlns:a16="http://schemas.microsoft.com/office/drawing/2014/main" id="{00000000-0008-0000-1100-000035A7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60455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202</xdr:row>
      <xdr:rowOff>152400</xdr:rowOff>
    </xdr:from>
    <xdr:to>
      <xdr:col>22</xdr:col>
      <xdr:colOff>1924050</xdr:colOff>
      <xdr:row>203</xdr:row>
      <xdr:rowOff>180975</xdr:rowOff>
    </xdr:to>
    <xdr:pic>
      <xdr:nvPicPr>
        <xdr:cNvPr id="42806" name="Picture 6" descr="C:\WINDOWS\TEMP\~0003946.gif">
          <a:extLst>
            <a:ext uri="{FF2B5EF4-FFF2-40B4-BE49-F238E27FC236}">
              <a16:creationId xmlns:a16="http://schemas.microsoft.com/office/drawing/2014/main" id="{00000000-0008-0000-1100-000036A7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1195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42807" name="Picture 7" descr="C:\WINDOWS\TEMP\~0003946.gif">
          <a:extLst>
            <a:ext uri="{FF2B5EF4-FFF2-40B4-BE49-F238E27FC236}">
              <a16:creationId xmlns:a16="http://schemas.microsoft.com/office/drawing/2014/main" id="{00000000-0008-0000-1100-000037A7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42808" name="Picture 8" descr="C:\WINDOWS\TEMP\~0003946.gif">
          <a:extLst>
            <a:ext uri="{FF2B5EF4-FFF2-40B4-BE49-F238E27FC236}">
              <a16:creationId xmlns:a16="http://schemas.microsoft.com/office/drawing/2014/main" id="{00000000-0008-0000-1100-000038A7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42809" name="Picture 9" descr="C:\WINDOWS\TEMP\~0003946.gif">
          <a:extLst>
            <a:ext uri="{FF2B5EF4-FFF2-40B4-BE49-F238E27FC236}">
              <a16:creationId xmlns:a16="http://schemas.microsoft.com/office/drawing/2014/main" id="{00000000-0008-0000-1100-000039A7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136</xdr:row>
      <xdr:rowOff>123825</xdr:rowOff>
    </xdr:from>
    <xdr:to>
      <xdr:col>22</xdr:col>
      <xdr:colOff>895350</xdr:colOff>
      <xdr:row>137</xdr:row>
      <xdr:rowOff>152400</xdr:rowOff>
    </xdr:to>
    <xdr:pic>
      <xdr:nvPicPr>
        <xdr:cNvPr id="42810" name="Picture 10" descr="C:\WINDOWS\TEMP\~0003946.gif">
          <a:extLst>
            <a:ext uri="{FF2B5EF4-FFF2-40B4-BE49-F238E27FC236}">
              <a16:creationId xmlns:a16="http://schemas.microsoft.com/office/drawing/2014/main" id="{00000000-0008-0000-1100-00003AA7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879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202</xdr:row>
      <xdr:rowOff>104775</xdr:rowOff>
    </xdr:from>
    <xdr:to>
      <xdr:col>22</xdr:col>
      <xdr:colOff>809625</xdr:colOff>
      <xdr:row>203</xdr:row>
      <xdr:rowOff>133350</xdr:rowOff>
    </xdr:to>
    <xdr:pic>
      <xdr:nvPicPr>
        <xdr:cNvPr id="42811" name="Picture 11" descr="C:\WINDOWS\TEMP\~0003946.gif">
          <a:extLst>
            <a:ext uri="{FF2B5EF4-FFF2-40B4-BE49-F238E27FC236}">
              <a16:creationId xmlns:a16="http://schemas.microsoft.com/office/drawing/2014/main" id="{00000000-0008-0000-1100-00003BA7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114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298</xdr:row>
      <xdr:rowOff>104775</xdr:rowOff>
    </xdr:from>
    <xdr:to>
      <xdr:col>22</xdr:col>
      <xdr:colOff>895350</xdr:colOff>
      <xdr:row>299</xdr:row>
      <xdr:rowOff>133350</xdr:rowOff>
    </xdr:to>
    <xdr:pic>
      <xdr:nvPicPr>
        <xdr:cNvPr id="42812" name="Picture 12" descr="C:\WINDOWS\TEMP\~0003946.gif">
          <a:extLst>
            <a:ext uri="{FF2B5EF4-FFF2-40B4-BE49-F238E27FC236}">
              <a16:creationId xmlns:a16="http://schemas.microsoft.com/office/drawing/2014/main" id="{00000000-0008-0000-1100-00003CA7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604361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42813" name="Picture 13" descr="logoMTL">
          <a:extLst>
            <a:ext uri="{FF2B5EF4-FFF2-40B4-BE49-F238E27FC236}">
              <a16:creationId xmlns:a16="http://schemas.microsoft.com/office/drawing/2014/main" id="{00000000-0008-0000-1100-00003DA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136</xdr:row>
      <xdr:rowOff>38100</xdr:rowOff>
    </xdr:from>
    <xdr:to>
      <xdr:col>21</xdr:col>
      <xdr:colOff>1171575</xdr:colOff>
      <xdr:row>137</xdr:row>
      <xdr:rowOff>161925</xdr:rowOff>
    </xdr:to>
    <xdr:pic>
      <xdr:nvPicPr>
        <xdr:cNvPr id="42814" name="Picture 14" descr="logoMTL">
          <a:extLst>
            <a:ext uri="{FF2B5EF4-FFF2-40B4-BE49-F238E27FC236}">
              <a16:creationId xmlns:a16="http://schemas.microsoft.com/office/drawing/2014/main" id="{00000000-0008-0000-1100-00003EA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202</xdr:row>
      <xdr:rowOff>28575</xdr:rowOff>
    </xdr:from>
    <xdr:to>
      <xdr:col>21</xdr:col>
      <xdr:colOff>1171575</xdr:colOff>
      <xdr:row>203</xdr:row>
      <xdr:rowOff>152400</xdr:rowOff>
    </xdr:to>
    <xdr:pic>
      <xdr:nvPicPr>
        <xdr:cNvPr id="42815" name="Picture 15" descr="logoMTL">
          <a:extLst>
            <a:ext uri="{FF2B5EF4-FFF2-40B4-BE49-F238E27FC236}">
              <a16:creationId xmlns:a16="http://schemas.microsoft.com/office/drawing/2014/main" id="{00000000-0008-0000-1100-00003FA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1071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298</xdr:row>
      <xdr:rowOff>0</xdr:rowOff>
    </xdr:from>
    <xdr:to>
      <xdr:col>21</xdr:col>
      <xdr:colOff>1228725</xdr:colOff>
      <xdr:row>299</xdr:row>
      <xdr:rowOff>123825</xdr:rowOff>
    </xdr:to>
    <xdr:pic>
      <xdr:nvPicPr>
        <xdr:cNvPr id="42816" name="Picture 16" descr="logoMTL">
          <a:extLst>
            <a:ext uri="{FF2B5EF4-FFF2-40B4-BE49-F238E27FC236}">
              <a16:creationId xmlns:a16="http://schemas.microsoft.com/office/drawing/2014/main" id="{00000000-0008-0000-1100-000040A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60331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44593" name="Picture 1" descr="C:\WINDOWS\TEMP\Symbol.gif">
          <a:extLst>
            <a:ext uri="{FF2B5EF4-FFF2-40B4-BE49-F238E27FC236}">
              <a16:creationId xmlns:a16="http://schemas.microsoft.com/office/drawing/2014/main" id="{00000000-0008-0000-1200-000031AE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136</xdr:row>
      <xdr:rowOff>161925</xdr:rowOff>
    </xdr:from>
    <xdr:to>
      <xdr:col>1</xdr:col>
      <xdr:colOff>28575</xdr:colOff>
      <xdr:row>137</xdr:row>
      <xdr:rowOff>200025</xdr:rowOff>
    </xdr:to>
    <xdr:pic>
      <xdr:nvPicPr>
        <xdr:cNvPr id="44594" name="Picture 2" descr="C:\WINDOWS\TEMP\Symbol.gif">
          <a:extLst>
            <a:ext uri="{FF2B5EF4-FFF2-40B4-BE49-F238E27FC236}">
              <a16:creationId xmlns:a16="http://schemas.microsoft.com/office/drawing/2014/main" id="{00000000-0008-0000-1200-000032AE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202</xdr:row>
      <xdr:rowOff>171450</xdr:rowOff>
    </xdr:from>
    <xdr:to>
      <xdr:col>1</xdr:col>
      <xdr:colOff>47625</xdr:colOff>
      <xdr:row>203</xdr:row>
      <xdr:rowOff>209550</xdr:rowOff>
    </xdr:to>
    <xdr:pic>
      <xdr:nvPicPr>
        <xdr:cNvPr id="44595" name="Picture 3" descr="C:\WINDOWS\TEMP\Symbol.gif">
          <a:extLst>
            <a:ext uri="{FF2B5EF4-FFF2-40B4-BE49-F238E27FC236}">
              <a16:creationId xmlns:a16="http://schemas.microsoft.com/office/drawing/2014/main" id="{00000000-0008-0000-1200-000033AE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1214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298</xdr:row>
      <xdr:rowOff>161925</xdr:rowOff>
    </xdr:from>
    <xdr:to>
      <xdr:col>1</xdr:col>
      <xdr:colOff>19050</xdr:colOff>
      <xdr:row>299</xdr:row>
      <xdr:rowOff>200025</xdr:rowOff>
    </xdr:to>
    <xdr:pic>
      <xdr:nvPicPr>
        <xdr:cNvPr id="44596" name="Picture 4" descr="C:\WINDOWS\TEMP\Symbol.gif">
          <a:extLst>
            <a:ext uri="{FF2B5EF4-FFF2-40B4-BE49-F238E27FC236}">
              <a16:creationId xmlns:a16="http://schemas.microsoft.com/office/drawing/2014/main" id="{00000000-0008-0000-1200-000034AE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604932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298</xdr:row>
      <xdr:rowOff>123825</xdr:rowOff>
    </xdr:from>
    <xdr:to>
      <xdr:col>22</xdr:col>
      <xdr:colOff>1895475</xdr:colOff>
      <xdr:row>299</xdr:row>
      <xdr:rowOff>152400</xdr:rowOff>
    </xdr:to>
    <xdr:pic>
      <xdr:nvPicPr>
        <xdr:cNvPr id="44597" name="Picture 5" descr="C:\WINDOWS\TEMP\~0003946.gif">
          <a:extLst>
            <a:ext uri="{FF2B5EF4-FFF2-40B4-BE49-F238E27FC236}">
              <a16:creationId xmlns:a16="http://schemas.microsoft.com/office/drawing/2014/main" id="{00000000-0008-0000-1200-000035AE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60455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202</xdr:row>
      <xdr:rowOff>152400</xdr:rowOff>
    </xdr:from>
    <xdr:to>
      <xdr:col>22</xdr:col>
      <xdr:colOff>1924050</xdr:colOff>
      <xdr:row>203</xdr:row>
      <xdr:rowOff>180975</xdr:rowOff>
    </xdr:to>
    <xdr:pic>
      <xdr:nvPicPr>
        <xdr:cNvPr id="44598" name="Picture 6" descr="C:\WINDOWS\TEMP\~0003946.gif">
          <a:extLst>
            <a:ext uri="{FF2B5EF4-FFF2-40B4-BE49-F238E27FC236}">
              <a16:creationId xmlns:a16="http://schemas.microsoft.com/office/drawing/2014/main" id="{00000000-0008-0000-1200-000036AE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1195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44599" name="Picture 7" descr="C:\WINDOWS\TEMP\~0003946.gif">
          <a:extLst>
            <a:ext uri="{FF2B5EF4-FFF2-40B4-BE49-F238E27FC236}">
              <a16:creationId xmlns:a16="http://schemas.microsoft.com/office/drawing/2014/main" id="{00000000-0008-0000-1200-000037AE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44600" name="Picture 8" descr="C:\WINDOWS\TEMP\~0003946.gif">
          <a:extLst>
            <a:ext uri="{FF2B5EF4-FFF2-40B4-BE49-F238E27FC236}">
              <a16:creationId xmlns:a16="http://schemas.microsoft.com/office/drawing/2014/main" id="{00000000-0008-0000-1200-000038AE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44601" name="Picture 9" descr="C:\WINDOWS\TEMP\~0003946.gif">
          <a:extLst>
            <a:ext uri="{FF2B5EF4-FFF2-40B4-BE49-F238E27FC236}">
              <a16:creationId xmlns:a16="http://schemas.microsoft.com/office/drawing/2014/main" id="{00000000-0008-0000-1200-000039AE0000}"/>
            </a:ext>
          </a:extLst>
        </xdr:cNvPr>
        <xdr:cNvPicPr>
          <a:picLocks noChangeAspect="1" noChangeArrowheads="1"/>
        </xdr:cNvPicPr>
      </xdr:nvPicPr>
      <xdr:blipFill>
        <a:blip xmlns:r="http://schemas.openxmlformats.org/officeDocument/2006/relationships" r:link="rId4">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136</xdr:row>
      <xdr:rowOff>123825</xdr:rowOff>
    </xdr:from>
    <xdr:to>
      <xdr:col>22</xdr:col>
      <xdr:colOff>895350</xdr:colOff>
      <xdr:row>137</xdr:row>
      <xdr:rowOff>152400</xdr:rowOff>
    </xdr:to>
    <xdr:pic>
      <xdr:nvPicPr>
        <xdr:cNvPr id="44602" name="Picture 10" descr="C:\WINDOWS\TEMP\~0003946.gif">
          <a:extLst>
            <a:ext uri="{FF2B5EF4-FFF2-40B4-BE49-F238E27FC236}">
              <a16:creationId xmlns:a16="http://schemas.microsoft.com/office/drawing/2014/main" id="{00000000-0008-0000-1200-00003AAE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879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202</xdr:row>
      <xdr:rowOff>104775</xdr:rowOff>
    </xdr:from>
    <xdr:to>
      <xdr:col>22</xdr:col>
      <xdr:colOff>809625</xdr:colOff>
      <xdr:row>203</xdr:row>
      <xdr:rowOff>133350</xdr:rowOff>
    </xdr:to>
    <xdr:pic>
      <xdr:nvPicPr>
        <xdr:cNvPr id="44603" name="Picture 11" descr="C:\WINDOWS\TEMP\~0003946.gif">
          <a:extLst>
            <a:ext uri="{FF2B5EF4-FFF2-40B4-BE49-F238E27FC236}">
              <a16:creationId xmlns:a16="http://schemas.microsoft.com/office/drawing/2014/main" id="{00000000-0008-0000-1200-00003BAE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114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298</xdr:row>
      <xdr:rowOff>104775</xdr:rowOff>
    </xdr:from>
    <xdr:to>
      <xdr:col>22</xdr:col>
      <xdr:colOff>895350</xdr:colOff>
      <xdr:row>299</xdr:row>
      <xdr:rowOff>133350</xdr:rowOff>
    </xdr:to>
    <xdr:pic>
      <xdr:nvPicPr>
        <xdr:cNvPr id="44604" name="Picture 12" descr="C:\WINDOWS\TEMP\~0003946.gif">
          <a:extLst>
            <a:ext uri="{FF2B5EF4-FFF2-40B4-BE49-F238E27FC236}">
              <a16:creationId xmlns:a16="http://schemas.microsoft.com/office/drawing/2014/main" id="{00000000-0008-0000-1200-00003CAE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604361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44605" name="Picture 13" descr="logoMTL">
          <a:extLst>
            <a:ext uri="{FF2B5EF4-FFF2-40B4-BE49-F238E27FC236}">
              <a16:creationId xmlns:a16="http://schemas.microsoft.com/office/drawing/2014/main" id="{00000000-0008-0000-1200-00003DA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136</xdr:row>
      <xdr:rowOff>38100</xdr:rowOff>
    </xdr:from>
    <xdr:to>
      <xdr:col>21</xdr:col>
      <xdr:colOff>1171575</xdr:colOff>
      <xdr:row>137</xdr:row>
      <xdr:rowOff>161925</xdr:rowOff>
    </xdr:to>
    <xdr:pic>
      <xdr:nvPicPr>
        <xdr:cNvPr id="44606" name="Picture 14" descr="logoMTL">
          <a:extLst>
            <a:ext uri="{FF2B5EF4-FFF2-40B4-BE49-F238E27FC236}">
              <a16:creationId xmlns:a16="http://schemas.microsoft.com/office/drawing/2014/main" id="{00000000-0008-0000-1200-00003EA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202</xdr:row>
      <xdr:rowOff>28575</xdr:rowOff>
    </xdr:from>
    <xdr:to>
      <xdr:col>21</xdr:col>
      <xdr:colOff>1171575</xdr:colOff>
      <xdr:row>203</xdr:row>
      <xdr:rowOff>152400</xdr:rowOff>
    </xdr:to>
    <xdr:pic>
      <xdr:nvPicPr>
        <xdr:cNvPr id="44607" name="Picture 15" descr="logoMTL">
          <a:extLst>
            <a:ext uri="{FF2B5EF4-FFF2-40B4-BE49-F238E27FC236}">
              <a16:creationId xmlns:a16="http://schemas.microsoft.com/office/drawing/2014/main" id="{00000000-0008-0000-1200-00003FA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1071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298</xdr:row>
      <xdr:rowOff>0</xdr:rowOff>
    </xdr:from>
    <xdr:to>
      <xdr:col>21</xdr:col>
      <xdr:colOff>1228725</xdr:colOff>
      <xdr:row>299</xdr:row>
      <xdr:rowOff>123825</xdr:rowOff>
    </xdr:to>
    <xdr:pic>
      <xdr:nvPicPr>
        <xdr:cNvPr id="44608" name="Picture 16" descr="logoMTL">
          <a:extLst>
            <a:ext uri="{FF2B5EF4-FFF2-40B4-BE49-F238E27FC236}">
              <a16:creationId xmlns:a16="http://schemas.microsoft.com/office/drawing/2014/main" id="{00000000-0008-0000-1200-000040AE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60331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5537" name="Picture 1" descr="C:\WINDOWS\TEMP\Symbol.gif">
          <a:extLst>
            <a:ext uri="{FF2B5EF4-FFF2-40B4-BE49-F238E27FC236}">
              <a16:creationId xmlns:a16="http://schemas.microsoft.com/office/drawing/2014/main" id="{00000000-0008-0000-0100-0000C16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137</xdr:row>
      <xdr:rowOff>161925</xdr:rowOff>
    </xdr:from>
    <xdr:to>
      <xdr:col>1</xdr:col>
      <xdr:colOff>28575</xdr:colOff>
      <xdr:row>138</xdr:row>
      <xdr:rowOff>200025</xdr:rowOff>
    </xdr:to>
    <xdr:pic>
      <xdr:nvPicPr>
        <xdr:cNvPr id="25538" name="Picture 2" descr="C:\WINDOWS\TEMP\Symbol.gif">
          <a:extLst>
            <a:ext uri="{FF2B5EF4-FFF2-40B4-BE49-F238E27FC236}">
              <a16:creationId xmlns:a16="http://schemas.microsoft.com/office/drawing/2014/main" id="{00000000-0008-0000-0100-0000C26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81178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202</xdr:row>
      <xdr:rowOff>171450</xdr:rowOff>
    </xdr:from>
    <xdr:to>
      <xdr:col>1</xdr:col>
      <xdr:colOff>47625</xdr:colOff>
      <xdr:row>203</xdr:row>
      <xdr:rowOff>209550</xdr:rowOff>
    </xdr:to>
    <xdr:pic>
      <xdr:nvPicPr>
        <xdr:cNvPr id="25539" name="Picture 3" descr="C:\WINDOWS\TEMP\Symbol.gif">
          <a:extLst>
            <a:ext uri="{FF2B5EF4-FFF2-40B4-BE49-F238E27FC236}">
              <a16:creationId xmlns:a16="http://schemas.microsoft.com/office/drawing/2014/main" id="{00000000-0008-0000-0100-0000C36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1214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286</xdr:row>
      <xdr:rowOff>161925</xdr:rowOff>
    </xdr:from>
    <xdr:to>
      <xdr:col>1</xdr:col>
      <xdr:colOff>19050</xdr:colOff>
      <xdr:row>287</xdr:row>
      <xdr:rowOff>200025</xdr:rowOff>
    </xdr:to>
    <xdr:pic>
      <xdr:nvPicPr>
        <xdr:cNvPr id="25540" name="Picture 4" descr="C:\WINDOWS\TEMP\Symbol.gif">
          <a:extLst>
            <a:ext uri="{FF2B5EF4-FFF2-40B4-BE49-F238E27FC236}">
              <a16:creationId xmlns:a16="http://schemas.microsoft.com/office/drawing/2014/main" id="{00000000-0008-0000-0100-0000C46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0929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286</xdr:row>
      <xdr:rowOff>123825</xdr:rowOff>
    </xdr:from>
    <xdr:to>
      <xdr:col>22</xdr:col>
      <xdr:colOff>1895475</xdr:colOff>
      <xdr:row>287</xdr:row>
      <xdr:rowOff>152400</xdr:rowOff>
    </xdr:to>
    <xdr:pic>
      <xdr:nvPicPr>
        <xdr:cNvPr id="25541" name="Picture 5" descr="C:\WINDOWS\TEMP\~0003946.gif">
          <a:extLst>
            <a:ext uri="{FF2B5EF4-FFF2-40B4-BE49-F238E27FC236}">
              <a16:creationId xmlns:a16="http://schemas.microsoft.com/office/drawing/2014/main" id="{00000000-0008-0000-0100-0000C563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5222200" y="58054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202</xdr:row>
      <xdr:rowOff>152400</xdr:rowOff>
    </xdr:from>
    <xdr:to>
      <xdr:col>22</xdr:col>
      <xdr:colOff>1924050</xdr:colOff>
      <xdr:row>203</xdr:row>
      <xdr:rowOff>180975</xdr:rowOff>
    </xdr:to>
    <xdr:pic>
      <xdr:nvPicPr>
        <xdr:cNvPr id="25542" name="Picture 6" descr="C:\WINDOWS\TEMP\~0003946.gif">
          <a:extLst>
            <a:ext uri="{FF2B5EF4-FFF2-40B4-BE49-F238E27FC236}">
              <a16:creationId xmlns:a16="http://schemas.microsoft.com/office/drawing/2014/main" id="{00000000-0008-0000-0100-0000C6630000}"/>
            </a:ext>
          </a:extLst>
        </xdr:cNvPr>
        <xdr:cNvPicPr>
          <a:picLocks noChangeAspect="1" noChangeArrowheads="1"/>
        </xdr:cNvPicPr>
      </xdr:nvPicPr>
      <xdr:blipFill>
        <a:blip xmlns:r="http://schemas.openxmlformats.org/officeDocument/2006/relationships" r:embed="rId4" r:link="rId3">
          <a:extLst>
            <a:ext uri="{28A0092B-C50C-407E-A947-70E740481C1C}">
              <a14:useLocalDpi xmlns:a14="http://schemas.microsoft.com/office/drawing/2010/main" val="0"/>
            </a:ext>
          </a:extLst>
        </a:blip>
        <a:srcRect/>
        <a:stretch>
          <a:fillRect/>
        </a:stretch>
      </xdr:blipFill>
      <xdr:spPr bwMode="auto">
        <a:xfrm>
          <a:off x="25222200" y="41195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137</xdr:row>
      <xdr:rowOff>161925</xdr:rowOff>
    </xdr:from>
    <xdr:to>
      <xdr:col>22</xdr:col>
      <xdr:colOff>1952625</xdr:colOff>
      <xdr:row>138</xdr:row>
      <xdr:rowOff>190500</xdr:rowOff>
    </xdr:to>
    <xdr:pic>
      <xdr:nvPicPr>
        <xdr:cNvPr id="25543" name="Picture 7" descr="C:\WINDOWS\TEMP\~0003946.gif">
          <a:extLst>
            <a:ext uri="{FF2B5EF4-FFF2-40B4-BE49-F238E27FC236}">
              <a16:creationId xmlns:a16="http://schemas.microsoft.com/office/drawing/2014/main" id="{00000000-0008-0000-0100-0000C7630000}"/>
            </a:ext>
          </a:extLst>
        </xdr:cNvPr>
        <xdr:cNvPicPr>
          <a:picLocks noChangeAspect="1" noChangeArrowheads="1"/>
        </xdr:cNvPicPr>
      </xdr:nvPicPr>
      <xdr:blipFill>
        <a:blip xmlns:r="http://schemas.openxmlformats.org/officeDocument/2006/relationships" r:embed="rId4" r:link="rId3">
          <a:extLst>
            <a:ext uri="{28A0092B-C50C-407E-A947-70E740481C1C}">
              <a14:useLocalDpi xmlns:a14="http://schemas.microsoft.com/office/drawing/2010/main" val="0"/>
            </a:ext>
          </a:extLst>
        </a:blip>
        <a:srcRect/>
        <a:stretch>
          <a:fillRect/>
        </a:stretch>
      </xdr:blipFill>
      <xdr:spPr bwMode="auto">
        <a:xfrm>
          <a:off x="25222200" y="28117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25544" name="Picture 8" descr="C:\WINDOWS\TEMP\~0003946.gif">
          <a:extLst>
            <a:ext uri="{FF2B5EF4-FFF2-40B4-BE49-F238E27FC236}">
              <a16:creationId xmlns:a16="http://schemas.microsoft.com/office/drawing/2014/main" id="{00000000-0008-0000-0100-0000C8630000}"/>
            </a:ext>
          </a:extLst>
        </xdr:cNvPr>
        <xdr:cNvPicPr>
          <a:picLocks noChangeAspect="1" noChangeArrowheads="1"/>
        </xdr:cNvPicPr>
      </xdr:nvPicPr>
      <xdr:blipFill>
        <a:blip xmlns:r="http://schemas.openxmlformats.org/officeDocument/2006/relationships" r:embed="rId4" r:link="rId3">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25545" name="Picture 9" descr="C:\WINDOWS\TEMP\~0003946.gif">
          <a:extLst>
            <a:ext uri="{FF2B5EF4-FFF2-40B4-BE49-F238E27FC236}">
              <a16:creationId xmlns:a16="http://schemas.microsoft.com/office/drawing/2014/main" id="{00000000-0008-0000-0100-0000C963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137</xdr:row>
      <xdr:rowOff>123825</xdr:rowOff>
    </xdr:from>
    <xdr:to>
      <xdr:col>22</xdr:col>
      <xdr:colOff>895350</xdr:colOff>
      <xdr:row>138</xdr:row>
      <xdr:rowOff>152400</xdr:rowOff>
    </xdr:to>
    <xdr:pic>
      <xdr:nvPicPr>
        <xdr:cNvPr id="25546" name="Picture 10" descr="C:\WINDOWS\TEMP\~0003946.gif">
          <a:extLst>
            <a:ext uri="{FF2B5EF4-FFF2-40B4-BE49-F238E27FC236}">
              <a16:creationId xmlns:a16="http://schemas.microsoft.com/office/drawing/2014/main" id="{00000000-0008-0000-0100-0000CA63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4307800" y="280797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202</xdr:row>
      <xdr:rowOff>104775</xdr:rowOff>
    </xdr:from>
    <xdr:to>
      <xdr:col>22</xdr:col>
      <xdr:colOff>809625</xdr:colOff>
      <xdr:row>203</xdr:row>
      <xdr:rowOff>133350</xdr:rowOff>
    </xdr:to>
    <xdr:pic>
      <xdr:nvPicPr>
        <xdr:cNvPr id="25547" name="Picture 11" descr="C:\WINDOWS\TEMP\~0003946.gif">
          <a:extLst>
            <a:ext uri="{FF2B5EF4-FFF2-40B4-BE49-F238E27FC236}">
              <a16:creationId xmlns:a16="http://schemas.microsoft.com/office/drawing/2014/main" id="{00000000-0008-0000-0100-0000CB63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4222075" y="4114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286</xdr:row>
      <xdr:rowOff>104775</xdr:rowOff>
    </xdr:from>
    <xdr:to>
      <xdr:col>22</xdr:col>
      <xdr:colOff>895350</xdr:colOff>
      <xdr:row>287</xdr:row>
      <xdr:rowOff>133350</xdr:rowOff>
    </xdr:to>
    <xdr:pic>
      <xdr:nvPicPr>
        <xdr:cNvPr id="25548" name="Picture 12" descr="C:\WINDOWS\TEMP\~0003946.gif">
          <a:extLst>
            <a:ext uri="{FF2B5EF4-FFF2-40B4-BE49-F238E27FC236}">
              <a16:creationId xmlns:a16="http://schemas.microsoft.com/office/drawing/2014/main" id="{00000000-0008-0000-0100-0000CC63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4307800" y="580358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25549" name="Picture 13" descr="logoMTL">
          <a:extLst>
            <a:ext uri="{FF2B5EF4-FFF2-40B4-BE49-F238E27FC236}">
              <a16:creationId xmlns:a16="http://schemas.microsoft.com/office/drawing/2014/main" id="{00000000-0008-0000-0100-0000CD6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137</xdr:row>
      <xdr:rowOff>38100</xdr:rowOff>
    </xdr:from>
    <xdr:to>
      <xdr:col>21</xdr:col>
      <xdr:colOff>1171575</xdr:colOff>
      <xdr:row>138</xdr:row>
      <xdr:rowOff>161925</xdr:rowOff>
    </xdr:to>
    <xdr:pic>
      <xdr:nvPicPr>
        <xdr:cNvPr id="25550" name="Picture 14" descr="logoMTL">
          <a:extLst>
            <a:ext uri="{FF2B5EF4-FFF2-40B4-BE49-F238E27FC236}">
              <a16:creationId xmlns:a16="http://schemas.microsoft.com/office/drawing/2014/main" id="{00000000-0008-0000-0100-0000CE6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9939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202</xdr:row>
      <xdr:rowOff>28575</xdr:rowOff>
    </xdr:from>
    <xdr:to>
      <xdr:col>21</xdr:col>
      <xdr:colOff>1171575</xdr:colOff>
      <xdr:row>203</xdr:row>
      <xdr:rowOff>152400</xdr:rowOff>
    </xdr:to>
    <xdr:pic>
      <xdr:nvPicPr>
        <xdr:cNvPr id="25551" name="Picture 15" descr="logoMTL">
          <a:extLst>
            <a:ext uri="{FF2B5EF4-FFF2-40B4-BE49-F238E27FC236}">
              <a16:creationId xmlns:a16="http://schemas.microsoft.com/office/drawing/2014/main" id="{00000000-0008-0000-0100-0000CF6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1071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286</xdr:row>
      <xdr:rowOff>0</xdr:rowOff>
    </xdr:from>
    <xdr:to>
      <xdr:col>21</xdr:col>
      <xdr:colOff>1228725</xdr:colOff>
      <xdr:row>287</xdr:row>
      <xdr:rowOff>123825</xdr:rowOff>
    </xdr:to>
    <xdr:pic>
      <xdr:nvPicPr>
        <xdr:cNvPr id="25552" name="Picture 16" descr="logoMTL">
          <a:extLst>
            <a:ext uri="{FF2B5EF4-FFF2-40B4-BE49-F238E27FC236}">
              <a16:creationId xmlns:a16="http://schemas.microsoft.com/office/drawing/2014/main" id="{00000000-0008-0000-0100-0000D06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79310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46369" name="Picture 1" descr="C:\WINDOWS\TEMP\Symbol.gif">
          <a:extLst>
            <a:ext uri="{FF2B5EF4-FFF2-40B4-BE49-F238E27FC236}">
              <a16:creationId xmlns:a16="http://schemas.microsoft.com/office/drawing/2014/main" id="{00000000-0008-0000-1300-000021B5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136</xdr:row>
      <xdr:rowOff>161925</xdr:rowOff>
    </xdr:from>
    <xdr:to>
      <xdr:col>1</xdr:col>
      <xdr:colOff>28575</xdr:colOff>
      <xdr:row>137</xdr:row>
      <xdr:rowOff>200025</xdr:rowOff>
    </xdr:to>
    <xdr:pic>
      <xdr:nvPicPr>
        <xdr:cNvPr id="46370" name="Picture 2" descr="C:\WINDOWS\TEMP\Symbol.gif">
          <a:extLst>
            <a:ext uri="{FF2B5EF4-FFF2-40B4-BE49-F238E27FC236}">
              <a16:creationId xmlns:a16="http://schemas.microsoft.com/office/drawing/2014/main" id="{00000000-0008-0000-1300-000022B5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202</xdr:row>
      <xdr:rowOff>171450</xdr:rowOff>
    </xdr:from>
    <xdr:to>
      <xdr:col>1</xdr:col>
      <xdr:colOff>47625</xdr:colOff>
      <xdr:row>203</xdr:row>
      <xdr:rowOff>209550</xdr:rowOff>
    </xdr:to>
    <xdr:pic>
      <xdr:nvPicPr>
        <xdr:cNvPr id="46371" name="Picture 3" descr="C:\WINDOWS\TEMP\Symbol.gif">
          <a:extLst>
            <a:ext uri="{FF2B5EF4-FFF2-40B4-BE49-F238E27FC236}">
              <a16:creationId xmlns:a16="http://schemas.microsoft.com/office/drawing/2014/main" id="{00000000-0008-0000-1300-000023B5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1214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298</xdr:row>
      <xdr:rowOff>161925</xdr:rowOff>
    </xdr:from>
    <xdr:to>
      <xdr:col>1</xdr:col>
      <xdr:colOff>19050</xdr:colOff>
      <xdr:row>299</xdr:row>
      <xdr:rowOff>200025</xdr:rowOff>
    </xdr:to>
    <xdr:pic>
      <xdr:nvPicPr>
        <xdr:cNvPr id="46372" name="Picture 4" descr="C:\WINDOWS\TEMP\Symbol.gif">
          <a:extLst>
            <a:ext uri="{FF2B5EF4-FFF2-40B4-BE49-F238E27FC236}">
              <a16:creationId xmlns:a16="http://schemas.microsoft.com/office/drawing/2014/main" id="{00000000-0008-0000-1300-000024B5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604932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298</xdr:row>
      <xdr:rowOff>123825</xdr:rowOff>
    </xdr:from>
    <xdr:to>
      <xdr:col>22</xdr:col>
      <xdr:colOff>1895475</xdr:colOff>
      <xdr:row>299</xdr:row>
      <xdr:rowOff>152400</xdr:rowOff>
    </xdr:to>
    <xdr:pic>
      <xdr:nvPicPr>
        <xdr:cNvPr id="46373" name="Picture 5" descr="C:\WINDOWS\TEMP\~0003946.gif">
          <a:extLst>
            <a:ext uri="{FF2B5EF4-FFF2-40B4-BE49-F238E27FC236}">
              <a16:creationId xmlns:a16="http://schemas.microsoft.com/office/drawing/2014/main" id="{00000000-0008-0000-1300-000025B5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60455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202</xdr:row>
      <xdr:rowOff>152400</xdr:rowOff>
    </xdr:from>
    <xdr:to>
      <xdr:col>22</xdr:col>
      <xdr:colOff>1924050</xdr:colOff>
      <xdr:row>203</xdr:row>
      <xdr:rowOff>180975</xdr:rowOff>
    </xdr:to>
    <xdr:pic>
      <xdr:nvPicPr>
        <xdr:cNvPr id="46374" name="Picture 6" descr="C:\WINDOWS\TEMP\~0003946.gif">
          <a:extLst>
            <a:ext uri="{FF2B5EF4-FFF2-40B4-BE49-F238E27FC236}">
              <a16:creationId xmlns:a16="http://schemas.microsoft.com/office/drawing/2014/main" id="{00000000-0008-0000-1300-000026B5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1195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46375" name="Picture 7" descr="C:\WINDOWS\TEMP\~0003946.gif">
          <a:extLst>
            <a:ext uri="{FF2B5EF4-FFF2-40B4-BE49-F238E27FC236}">
              <a16:creationId xmlns:a16="http://schemas.microsoft.com/office/drawing/2014/main" id="{00000000-0008-0000-1300-000027B5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46376" name="Picture 8" descr="C:\WINDOWS\TEMP\~0003946.gif">
          <a:extLst>
            <a:ext uri="{FF2B5EF4-FFF2-40B4-BE49-F238E27FC236}">
              <a16:creationId xmlns:a16="http://schemas.microsoft.com/office/drawing/2014/main" id="{00000000-0008-0000-1300-000028B5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46377" name="Picture 9" descr="C:\WINDOWS\TEMP\~0003946.gif">
          <a:extLst>
            <a:ext uri="{FF2B5EF4-FFF2-40B4-BE49-F238E27FC236}">
              <a16:creationId xmlns:a16="http://schemas.microsoft.com/office/drawing/2014/main" id="{00000000-0008-0000-1300-000029B5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136</xdr:row>
      <xdr:rowOff>123825</xdr:rowOff>
    </xdr:from>
    <xdr:to>
      <xdr:col>22</xdr:col>
      <xdr:colOff>895350</xdr:colOff>
      <xdr:row>137</xdr:row>
      <xdr:rowOff>152400</xdr:rowOff>
    </xdr:to>
    <xdr:pic>
      <xdr:nvPicPr>
        <xdr:cNvPr id="46378" name="Picture 10" descr="C:\WINDOWS\TEMP\~0003946.gif">
          <a:extLst>
            <a:ext uri="{FF2B5EF4-FFF2-40B4-BE49-F238E27FC236}">
              <a16:creationId xmlns:a16="http://schemas.microsoft.com/office/drawing/2014/main" id="{00000000-0008-0000-1300-00002AB5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879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202</xdr:row>
      <xdr:rowOff>104775</xdr:rowOff>
    </xdr:from>
    <xdr:to>
      <xdr:col>22</xdr:col>
      <xdr:colOff>809625</xdr:colOff>
      <xdr:row>203</xdr:row>
      <xdr:rowOff>133350</xdr:rowOff>
    </xdr:to>
    <xdr:pic>
      <xdr:nvPicPr>
        <xdr:cNvPr id="46379" name="Picture 11" descr="C:\WINDOWS\TEMP\~0003946.gif">
          <a:extLst>
            <a:ext uri="{FF2B5EF4-FFF2-40B4-BE49-F238E27FC236}">
              <a16:creationId xmlns:a16="http://schemas.microsoft.com/office/drawing/2014/main" id="{00000000-0008-0000-1300-00002BB5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114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298</xdr:row>
      <xdr:rowOff>104775</xdr:rowOff>
    </xdr:from>
    <xdr:to>
      <xdr:col>22</xdr:col>
      <xdr:colOff>895350</xdr:colOff>
      <xdr:row>299</xdr:row>
      <xdr:rowOff>133350</xdr:rowOff>
    </xdr:to>
    <xdr:pic>
      <xdr:nvPicPr>
        <xdr:cNvPr id="46380" name="Picture 12" descr="C:\WINDOWS\TEMP\~0003946.gif">
          <a:extLst>
            <a:ext uri="{FF2B5EF4-FFF2-40B4-BE49-F238E27FC236}">
              <a16:creationId xmlns:a16="http://schemas.microsoft.com/office/drawing/2014/main" id="{00000000-0008-0000-1300-00002CB5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604361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46381" name="Picture 13" descr="logoMTL">
          <a:extLst>
            <a:ext uri="{FF2B5EF4-FFF2-40B4-BE49-F238E27FC236}">
              <a16:creationId xmlns:a16="http://schemas.microsoft.com/office/drawing/2014/main" id="{00000000-0008-0000-1300-00002DB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136</xdr:row>
      <xdr:rowOff>38100</xdr:rowOff>
    </xdr:from>
    <xdr:to>
      <xdr:col>21</xdr:col>
      <xdr:colOff>1171575</xdr:colOff>
      <xdr:row>137</xdr:row>
      <xdr:rowOff>161925</xdr:rowOff>
    </xdr:to>
    <xdr:pic>
      <xdr:nvPicPr>
        <xdr:cNvPr id="46382" name="Picture 14" descr="logoMTL">
          <a:extLst>
            <a:ext uri="{FF2B5EF4-FFF2-40B4-BE49-F238E27FC236}">
              <a16:creationId xmlns:a16="http://schemas.microsoft.com/office/drawing/2014/main" id="{00000000-0008-0000-1300-00002EB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202</xdr:row>
      <xdr:rowOff>28575</xdr:rowOff>
    </xdr:from>
    <xdr:to>
      <xdr:col>21</xdr:col>
      <xdr:colOff>1171575</xdr:colOff>
      <xdr:row>203</xdr:row>
      <xdr:rowOff>152400</xdr:rowOff>
    </xdr:to>
    <xdr:pic>
      <xdr:nvPicPr>
        <xdr:cNvPr id="46383" name="Picture 15" descr="logoMTL">
          <a:extLst>
            <a:ext uri="{FF2B5EF4-FFF2-40B4-BE49-F238E27FC236}">
              <a16:creationId xmlns:a16="http://schemas.microsoft.com/office/drawing/2014/main" id="{00000000-0008-0000-1300-00002FB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1071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298</xdr:row>
      <xdr:rowOff>0</xdr:rowOff>
    </xdr:from>
    <xdr:to>
      <xdr:col>21</xdr:col>
      <xdr:colOff>1228725</xdr:colOff>
      <xdr:row>299</xdr:row>
      <xdr:rowOff>123825</xdr:rowOff>
    </xdr:to>
    <xdr:pic>
      <xdr:nvPicPr>
        <xdr:cNvPr id="46384" name="Picture 16" descr="logoMTL">
          <a:extLst>
            <a:ext uri="{FF2B5EF4-FFF2-40B4-BE49-F238E27FC236}">
              <a16:creationId xmlns:a16="http://schemas.microsoft.com/office/drawing/2014/main" id="{00000000-0008-0000-1300-000030B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60331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49249" name="Picture 1" descr="C:\WINDOWS\TEMP\Symbol.gif">
          <a:extLst>
            <a:ext uri="{FF2B5EF4-FFF2-40B4-BE49-F238E27FC236}">
              <a16:creationId xmlns:a16="http://schemas.microsoft.com/office/drawing/2014/main" id="{00000000-0008-0000-1400-000061C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136</xdr:row>
      <xdr:rowOff>161925</xdr:rowOff>
    </xdr:from>
    <xdr:to>
      <xdr:col>1</xdr:col>
      <xdr:colOff>28575</xdr:colOff>
      <xdr:row>137</xdr:row>
      <xdr:rowOff>200025</xdr:rowOff>
    </xdr:to>
    <xdr:pic>
      <xdr:nvPicPr>
        <xdr:cNvPr id="49250" name="Picture 2" descr="C:\WINDOWS\TEMP\Symbol.gif">
          <a:extLst>
            <a:ext uri="{FF2B5EF4-FFF2-40B4-BE49-F238E27FC236}">
              <a16:creationId xmlns:a16="http://schemas.microsoft.com/office/drawing/2014/main" id="{00000000-0008-0000-1400-000062C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202</xdr:row>
      <xdr:rowOff>171450</xdr:rowOff>
    </xdr:from>
    <xdr:to>
      <xdr:col>1</xdr:col>
      <xdr:colOff>47625</xdr:colOff>
      <xdr:row>203</xdr:row>
      <xdr:rowOff>209550</xdr:rowOff>
    </xdr:to>
    <xdr:pic>
      <xdr:nvPicPr>
        <xdr:cNvPr id="49251" name="Picture 3" descr="C:\WINDOWS\TEMP\Symbol.gif">
          <a:extLst>
            <a:ext uri="{FF2B5EF4-FFF2-40B4-BE49-F238E27FC236}">
              <a16:creationId xmlns:a16="http://schemas.microsoft.com/office/drawing/2014/main" id="{00000000-0008-0000-1400-000063C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1214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298</xdr:row>
      <xdr:rowOff>161925</xdr:rowOff>
    </xdr:from>
    <xdr:to>
      <xdr:col>1</xdr:col>
      <xdr:colOff>19050</xdr:colOff>
      <xdr:row>299</xdr:row>
      <xdr:rowOff>200025</xdr:rowOff>
    </xdr:to>
    <xdr:pic>
      <xdr:nvPicPr>
        <xdr:cNvPr id="49252" name="Picture 4" descr="C:\WINDOWS\TEMP\Symbol.gif">
          <a:extLst>
            <a:ext uri="{FF2B5EF4-FFF2-40B4-BE49-F238E27FC236}">
              <a16:creationId xmlns:a16="http://schemas.microsoft.com/office/drawing/2014/main" id="{00000000-0008-0000-1400-000064C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604932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298</xdr:row>
      <xdr:rowOff>123825</xdr:rowOff>
    </xdr:from>
    <xdr:to>
      <xdr:col>22</xdr:col>
      <xdr:colOff>1895475</xdr:colOff>
      <xdr:row>299</xdr:row>
      <xdr:rowOff>152400</xdr:rowOff>
    </xdr:to>
    <xdr:pic>
      <xdr:nvPicPr>
        <xdr:cNvPr id="49253" name="Picture 5" descr="C:\WINDOWS\TEMP\~0003946.gif">
          <a:extLst>
            <a:ext uri="{FF2B5EF4-FFF2-40B4-BE49-F238E27FC236}">
              <a16:creationId xmlns:a16="http://schemas.microsoft.com/office/drawing/2014/main" id="{00000000-0008-0000-1400-000065C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60455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202</xdr:row>
      <xdr:rowOff>152400</xdr:rowOff>
    </xdr:from>
    <xdr:to>
      <xdr:col>22</xdr:col>
      <xdr:colOff>1924050</xdr:colOff>
      <xdr:row>203</xdr:row>
      <xdr:rowOff>180975</xdr:rowOff>
    </xdr:to>
    <xdr:pic>
      <xdr:nvPicPr>
        <xdr:cNvPr id="49254" name="Picture 6" descr="C:\WINDOWS\TEMP\~0003946.gif">
          <a:extLst>
            <a:ext uri="{FF2B5EF4-FFF2-40B4-BE49-F238E27FC236}">
              <a16:creationId xmlns:a16="http://schemas.microsoft.com/office/drawing/2014/main" id="{00000000-0008-0000-1400-000066C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1195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49255" name="Picture 7" descr="C:\WINDOWS\TEMP\~0003946.gif">
          <a:extLst>
            <a:ext uri="{FF2B5EF4-FFF2-40B4-BE49-F238E27FC236}">
              <a16:creationId xmlns:a16="http://schemas.microsoft.com/office/drawing/2014/main" id="{00000000-0008-0000-1400-000067C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49256" name="Picture 8" descr="C:\WINDOWS\TEMP\~0003946.gif">
          <a:extLst>
            <a:ext uri="{FF2B5EF4-FFF2-40B4-BE49-F238E27FC236}">
              <a16:creationId xmlns:a16="http://schemas.microsoft.com/office/drawing/2014/main" id="{00000000-0008-0000-1400-000068C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49257" name="Picture 9" descr="C:\WINDOWS\TEMP\~0003946.gif">
          <a:extLst>
            <a:ext uri="{FF2B5EF4-FFF2-40B4-BE49-F238E27FC236}">
              <a16:creationId xmlns:a16="http://schemas.microsoft.com/office/drawing/2014/main" id="{00000000-0008-0000-1400-000069C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136</xdr:row>
      <xdr:rowOff>123825</xdr:rowOff>
    </xdr:from>
    <xdr:to>
      <xdr:col>22</xdr:col>
      <xdr:colOff>895350</xdr:colOff>
      <xdr:row>137</xdr:row>
      <xdr:rowOff>152400</xdr:rowOff>
    </xdr:to>
    <xdr:pic>
      <xdr:nvPicPr>
        <xdr:cNvPr id="49258" name="Picture 10" descr="C:\WINDOWS\TEMP\~0003946.gif">
          <a:extLst>
            <a:ext uri="{FF2B5EF4-FFF2-40B4-BE49-F238E27FC236}">
              <a16:creationId xmlns:a16="http://schemas.microsoft.com/office/drawing/2014/main" id="{00000000-0008-0000-1400-00006AC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879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202</xdr:row>
      <xdr:rowOff>104775</xdr:rowOff>
    </xdr:from>
    <xdr:to>
      <xdr:col>22</xdr:col>
      <xdr:colOff>809625</xdr:colOff>
      <xdr:row>203</xdr:row>
      <xdr:rowOff>133350</xdr:rowOff>
    </xdr:to>
    <xdr:pic>
      <xdr:nvPicPr>
        <xdr:cNvPr id="49259" name="Picture 11" descr="C:\WINDOWS\TEMP\~0003946.gif">
          <a:extLst>
            <a:ext uri="{FF2B5EF4-FFF2-40B4-BE49-F238E27FC236}">
              <a16:creationId xmlns:a16="http://schemas.microsoft.com/office/drawing/2014/main" id="{00000000-0008-0000-1400-00006BC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114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298</xdr:row>
      <xdr:rowOff>104775</xdr:rowOff>
    </xdr:from>
    <xdr:to>
      <xdr:col>22</xdr:col>
      <xdr:colOff>895350</xdr:colOff>
      <xdr:row>299</xdr:row>
      <xdr:rowOff>133350</xdr:rowOff>
    </xdr:to>
    <xdr:pic>
      <xdr:nvPicPr>
        <xdr:cNvPr id="49260" name="Picture 12" descr="C:\WINDOWS\TEMP\~0003946.gif">
          <a:extLst>
            <a:ext uri="{FF2B5EF4-FFF2-40B4-BE49-F238E27FC236}">
              <a16:creationId xmlns:a16="http://schemas.microsoft.com/office/drawing/2014/main" id="{00000000-0008-0000-1400-00006CC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604361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49261" name="Picture 13" descr="logoMTL">
          <a:extLst>
            <a:ext uri="{FF2B5EF4-FFF2-40B4-BE49-F238E27FC236}">
              <a16:creationId xmlns:a16="http://schemas.microsoft.com/office/drawing/2014/main" id="{00000000-0008-0000-1400-00006DC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136</xdr:row>
      <xdr:rowOff>38100</xdr:rowOff>
    </xdr:from>
    <xdr:to>
      <xdr:col>21</xdr:col>
      <xdr:colOff>1171575</xdr:colOff>
      <xdr:row>137</xdr:row>
      <xdr:rowOff>161925</xdr:rowOff>
    </xdr:to>
    <xdr:pic>
      <xdr:nvPicPr>
        <xdr:cNvPr id="49262" name="Picture 14" descr="logoMTL">
          <a:extLst>
            <a:ext uri="{FF2B5EF4-FFF2-40B4-BE49-F238E27FC236}">
              <a16:creationId xmlns:a16="http://schemas.microsoft.com/office/drawing/2014/main" id="{00000000-0008-0000-1400-00006EC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202</xdr:row>
      <xdr:rowOff>28575</xdr:rowOff>
    </xdr:from>
    <xdr:to>
      <xdr:col>21</xdr:col>
      <xdr:colOff>1171575</xdr:colOff>
      <xdr:row>203</xdr:row>
      <xdr:rowOff>152400</xdr:rowOff>
    </xdr:to>
    <xdr:pic>
      <xdr:nvPicPr>
        <xdr:cNvPr id="49263" name="Picture 15" descr="logoMTL">
          <a:extLst>
            <a:ext uri="{FF2B5EF4-FFF2-40B4-BE49-F238E27FC236}">
              <a16:creationId xmlns:a16="http://schemas.microsoft.com/office/drawing/2014/main" id="{00000000-0008-0000-1400-00006FC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1071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298</xdr:row>
      <xdr:rowOff>0</xdr:rowOff>
    </xdr:from>
    <xdr:to>
      <xdr:col>21</xdr:col>
      <xdr:colOff>1228725</xdr:colOff>
      <xdr:row>299</xdr:row>
      <xdr:rowOff>123825</xdr:rowOff>
    </xdr:to>
    <xdr:pic>
      <xdr:nvPicPr>
        <xdr:cNvPr id="49264" name="Picture 16" descr="logoMTL">
          <a:extLst>
            <a:ext uri="{FF2B5EF4-FFF2-40B4-BE49-F238E27FC236}">
              <a16:creationId xmlns:a16="http://schemas.microsoft.com/office/drawing/2014/main" id="{00000000-0008-0000-1400-000070C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60331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40833" name="Picture 1" descr="C:\WINDOWS\TEMP\Symbol.gif">
          <a:extLst>
            <a:ext uri="{FF2B5EF4-FFF2-40B4-BE49-F238E27FC236}">
              <a16:creationId xmlns:a16="http://schemas.microsoft.com/office/drawing/2014/main" id="{00000000-0008-0000-1500-0000819F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136</xdr:row>
      <xdr:rowOff>161925</xdr:rowOff>
    </xdr:from>
    <xdr:to>
      <xdr:col>1</xdr:col>
      <xdr:colOff>28575</xdr:colOff>
      <xdr:row>137</xdr:row>
      <xdr:rowOff>200025</xdr:rowOff>
    </xdr:to>
    <xdr:pic>
      <xdr:nvPicPr>
        <xdr:cNvPr id="40834" name="Picture 2" descr="C:\WINDOWS\TEMP\Symbol.gif">
          <a:extLst>
            <a:ext uri="{FF2B5EF4-FFF2-40B4-BE49-F238E27FC236}">
              <a16:creationId xmlns:a16="http://schemas.microsoft.com/office/drawing/2014/main" id="{00000000-0008-0000-1500-0000829F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202</xdr:row>
      <xdr:rowOff>171450</xdr:rowOff>
    </xdr:from>
    <xdr:to>
      <xdr:col>1</xdr:col>
      <xdr:colOff>47625</xdr:colOff>
      <xdr:row>203</xdr:row>
      <xdr:rowOff>209550</xdr:rowOff>
    </xdr:to>
    <xdr:pic>
      <xdr:nvPicPr>
        <xdr:cNvPr id="40835" name="Picture 3" descr="C:\WINDOWS\TEMP\Symbol.gif">
          <a:extLst>
            <a:ext uri="{FF2B5EF4-FFF2-40B4-BE49-F238E27FC236}">
              <a16:creationId xmlns:a16="http://schemas.microsoft.com/office/drawing/2014/main" id="{00000000-0008-0000-1500-0000839F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1214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298</xdr:row>
      <xdr:rowOff>161925</xdr:rowOff>
    </xdr:from>
    <xdr:to>
      <xdr:col>1</xdr:col>
      <xdr:colOff>19050</xdr:colOff>
      <xdr:row>299</xdr:row>
      <xdr:rowOff>200025</xdr:rowOff>
    </xdr:to>
    <xdr:pic>
      <xdr:nvPicPr>
        <xdr:cNvPr id="40836" name="Picture 4" descr="C:\WINDOWS\TEMP\Symbol.gif">
          <a:extLst>
            <a:ext uri="{FF2B5EF4-FFF2-40B4-BE49-F238E27FC236}">
              <a16:creationId xmlns:a16="http://schemas.microsoft.com/office/drawing/2014/main" id="{00000000-0008-0000-1500-0000849F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604932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298</xdr:row>
      <xdr:rowOff>123825</xdr:rowOff>
    </xdr:from>
    <xdr:to>
      <xdr:col>22</xdr:col>
      <xdr:colOff>1895475</xdr:colOff>
      <xdr:row>299</xdr:row>
      <xdr:rowOff>152400</xdr:rowOff>
    </xdr:to>
    <xdr:pic>
      <xdr:nvPicPr>
        <xdr:cNvPr id="40837" name="Picture 5" descr="C:\WINDOWS\TEMP\~0003946.gif">
          <a:extLst>
            <a:ext uri="{FF2B5EF4-FFF2-40B4-BE49-F238E27FC236}">
              <a16:creationId xmlns:a16="http://schemas.microsoft.com/office/drawing/2014/main" id="{00000000-0008-0000-1500-0000859F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60455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202</xdr:row>
      <xdr:rowOff>152400</xdr:rowOff>
    </xdr:from>
    <xdr:to>
      <xdr:col>22</xdr:col>
      <xdr:colOff>1924050</xdr:colOff>
      <xdr:row>203</xdr:row>
      <xdr:rowOff>180975</xdr:rowOff>
    </xdr:to>
    <xdr:pic>
      <xdr:nvPicPr>
        <xdr:cNvPr id="40838" name="Picture 6" descr="C:\WINDOWS\TEMP\~0003946.gif">
          <a:extLst>
            <a:ext uri="{FF2B5EF4-FFF2-40B4-BE49-F238E27FC236}">
              <a16:creationId xmlns:a16="http://schemas.microsoft.com/office/drawing/2014/main" id="{00000000-0008-0000-1500-0000869F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1195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40839" name="Picture 7" descr="C:\WINDOWS\TEMP\~0003946.gif">
          <a:extLst>
            <a:ext uri="{FF2B5EF4-FFF2-40B4-BE49-F238E27FC236}">
              <a16:creationId xmlns:a16="http://schemas.microsoft.com/office/drawing/2014/main" id="{00000000-0008-0000-1500-0000879F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40840" name="Picture 8" descr="C:\WINDOWS\TEMP\~0003946.gif">
          <a:extLst>
            <a:ext uri="{FF2B5EF4-FFF2-40B4-BE49-F238E27FC236}">
              <a16:creationId xmlns:a16="http://schemas.microsoft.com/office/drawing/2014/main" id="{00000000-0008-0000-1500-0000889F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40841" name="Picture 9" descr="C:\WINDOWS\TEMP\~0003946.gif">
          <a:extLst>
            <a:ext uri="{FF2B5EF4-FFF2-40B4-BE49-F238E27FC236}">
              <a16:creationId xmlns:a16="http://schemas.microsoft.com/office/drawing/2014/main" id="{00000000-0008-0000-1500-0000899F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136</xdr:row>
      <xdr:rowOff>123825</xdr:rowOff>
    </xdr:from>
    <xdr:to>
      <xdr:col>22</xdr:col>
      <xdr:colOff>895350</xdr:colOff>
      <xdr:row>137</xdr:row>
      <xdr:rowOff>152400</xdr:rowOff>
    </xdr:to>
    <xdr:pic>
      <xdr:nvPicPr>
        <xdr:cNvPr id="40842" name="Picture 10" descr="C:\WINDOWS\TEMP\~0003946.gif">
          <a:extLst>
            <a:ext uri="{FF2B5EF4-FFF2-40B4-BE49-F238E27FC236}">
              <a16:creationId xmlns:a16="http://schemas.microsoft.com/office/drawing/2014/main" id="{00000000-0008-0000-1500-00008A9F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879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202</xdr:row>
      <xdr:rowOff>104775</xdr:rowOff>
    </xdr:from>
    <xdr:to>
      <xdr:col>22</xdr:col>
      <xdr:colOff>809625</xdr:colOff>
      <xdr:row>203</xdr:row>
      <xdr:rowOff>133350</xdr:rowOff>
    </xdr:to>
    <xdr:pic>
      <xdr:nvPicPr>
        <xdr:cNvPr id="40843" name="Picture 11" descr="C:\WINDOWS\TEMP\~0003946.gif">
          <a:extLst>
            <a:ext uri="{FF2B5EF4-FFF2-40B4-BE49-F238E27FC236}">
              <a16:creationId xmlns:a16="http://schemas.microsoft.com/office/drawing/2014/main" id="{00000000-0008-0000-1500-00008B9F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114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298</xdr:row>
      <xdr:rowOff>104775</xdr:rowOff>
    </xdr:from>
    <xdr:to>
      <xdr:col>22</xdr:col>
      <xdr:colOff>895350</xdr:colOff>
      <xdr:row>299</xdr:row>
      <xdr:rowOff>133350</xdr:rowOff>
    </xdr:to>
    <xdr:pic>
      <xdr:nvPicPr>
        <xdr:cNvPr id="40844" name="Picture 12" descr="C:\WINDOWS\TEMP\~0003946.gif">
          <a:extLst>
            <a:ext uri="{FF2B5EF4-FFF2-40B4-BE49-F238E27FC236}">
              <a16:creationId xmlns:a16="http://schemas.microsoft.com/office/drawing/2014/main" id="{00000000-0008-0000-1500-00008C9F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604361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40845" name="Picture 13" descr="logoMTL">
          <a:extLst>
            <a:ext uri="{FF2B5EF4-FFF2-40B4-BE49-F238E27FC236}">
              <a16:creationId xmlns:a16="http://schemas.microsoft.com/office/drawing/2014/main" id="{00000000-0008-0000-1500-00008D9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136</xdr:row>
      <xdr:rowOff>38100</xdr:rowOff>
    </xdr:from>
    <xdr:to>
      <xdr:col>21</xdr:col>
      <xdr:colOff>1171575</xdr:colOff>
      <xdr:row>137</xdr:row>
      <xdr:rowOff>161925</xdr:rowOff>
    </xdr:to>
    <xdr:pic>
      <xdr:nvPicPr>
        <xdr:cNvPr id="40846" name="Picture 14" descr="logoMTL">
          <a:extLst>
            <a:ext uri="{FF2B5EF4-FFF2-40B4-BE49-F238E27FC236}">
              <a16:creationId xmlns:a16="http://schemas.microsoft.com/office/drawing/2014/main" id="{00000000-0008-0000-1500-00008E9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202</xdr:row>
      <xdr:rowOff>28575</xdr:rowOff>
    </xdr:from>
    <xdr:to>
      <xdr:col>21</xdr:col>
      <xdr:colOff>1171575</xdr:colOff>
      <xdr:row>203</xdr:row>
      <xdr:rowOff>152400</xdr:rowOff>
    </xdr:to>
    <xdr:pic>
      <xdr:nvPicPr>
        <xdr:cNvPr id="40847" name="Picture 15" descr="logoMTL">
          <a:extLst>
            <a:ext uri="{FF2B5EF4-FFF2-40B4-BE49-F238E27FC236}">
              <a16:creationId xmlns:a16="http://schemas.microsoft.com/office/drawing/2014/main" id="{00000000-0008-0000-1500-00008F9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1071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298</xdr:row>
      <xdr:rowOff>0</xdr:rowOff>
    </xdr:from>
    <xdr:to>
      <xdr:col>21</xdr:col>
      <xdr:colOff>1228725</xdr:colOff>
      <xdr:row>299</xdr:row>
      <xdr:rowOff>123825</xdr:rowOff>
    </xdr:to>
    <xdr:pic>
      <xdr:nvPicPr>
        <xdr:cNvPr id="40848" name="Picture 16" descr="logoMTL">
          <a:extLst>
            <a:ext uri="{FF2B5EF4-FFF2-40B4-BE49-F238E27FC236}">
              <a16:creationId xmlns:a16="http://schemas.microsoft.com/office/drawing/2014/main" id="{00000000-0008-0000-1500-0000909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60331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43681" name="Picture 1" descr="C:\WINDOWS\TEMP\Symbol.gif">
          <a:extLst>
            <a:ext uri="{FF2B5EF4-FFF2-40B4-BE49-F238E27FC236}">
              <a16:creationId xmlns:a16="http://schemas.microsoft.com/office/drawing/2014/main" id="{00000000-0008-0000-1600-0000A1AA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136</xdr:row>
      <xdr:rowOff>161925</xdr:rowOff>
    </xdr:from>
    <xdr:to>
      <xdr:col>1</xdr:col>
      <xdr:colOff>28575</xdr:colOff>
      <xdr:row>137</xdr:row>
      <xdr:rowOff>200025</xdr:rowOff>
    </xdr:to>
    <xdr:pic>
      <xdr:nvPicPr>
        <xdr:cNvPr id="43682" name="Picture 2" descr="C:\WINDOWS\TEMP\Symbol.gif">
          <a:extLst>
            <a:ext uri="{FF2B5EF4-FFF2-40B4-BE49-F238E27FC236}">
              <a16:creationId xmlns:a16="http://schemas.microsoft.com/office/drawing/2014/main" id="{00000000-0008-0000-1600-0000A2AA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202</xdr:row>
      <xdr:rowOff>171450</xdr:rowOff>
    </xdr:from>
    <xdr:to>
      <xdr:col>1</xdr:col>
      <xdr:colOff>47625</xdr:colOff>
      <xdr:row>203</xdr:row>
      <xdr:rowOff>209550</xdr:rowOff>
    </xdr:to>
    <xdr:pic>
      <xdr:nvPicPr>
        <xdr:cNvPr id="43683" name="Picture 3" descr="C:\WINDOWS\TEMP\Symbol.gif">
          <a:extLst>
            <a:ext uri="{FF2B5EF4-FFF2-40B4-BE49-F238E27FC236}">
              <a16:creationId xmlns:a16="http://schemas.microsoft.com/office/drawing/2014/main" id="{00000000-0008-0000-1600-0000A3AA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1214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298</xdr:row>
      <xdr:rowOff>161925</xdr:rowOff>
    </xdr:from>
    <xdr:to>
      <xdr:col>1</xdr:col>
      <xdr:colOff>19050</xdr:colOff>
      <xdr:row>299</xdr:row>
      <xdr:rowOff>200025</xdr:rowOff>
    </xdr:to>
    <xdr:pic>
      <xdr:nvPicPr>
        <xdr:cNvPr id="43684" name="Picture 4" descr="C:\WINDOWS\TEMP\Symbol.gif">
          <a:extLst>
            <a:ext uri="{FF2B5EF4-FFF2-40B4-BE49-F238E27FC236}">
              <a16:creationId xmlns:a16="http://schemas.microsoft.com/office/drawing/2014/main" id="{00000000-0008-0000-1600-0000A4AA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604932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298</xdr:row>
      <xdr:rowOff>123825</xdr:rowOff>
    </xdr:from>
    <xdr:to>
      <xdr:col>22</xdr:col>
      <xdr:colOff>1895475</xdr:colOff>
      <xdr:row>299</xdr:row>
      <xdr:rowOff>152400</xdr:rowOff>
    </xdr:to>
    <xdr:pic>
      <xdr:nvPicPr>
        <xdr:cNvPr id="43685" name="Picture 5" descr="C:\WINDOWS\TEMP\~0003946.gif">
          <a:extLst>
            <a:ext uri="{FF2B5EF4-FFF2-40B4-BE49-F238E27FC236}">
              <a16:creationId xmlns:a16="http://schemas.microsoft.com/office/drawing/2014/main" id="{00000000-0008-0000-1600-0000A5AA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60455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202</xdr:row>
      <xdr:rowOff>152400</xdr:rowOff>
    </xdr:from>
    <xdr:to>
      <xdr:col>22</xdr:col>
      <xdr:colOff>1924050</xdr:colOff>
      <xdr:row>203</xdr:row>
      <xdr:rowOff>180975</xdr:rowOff>
    </xdr:to>
    <xdr:pic>
      <xdr:nvPicPr>
        <xdr:cNvPr id="43686" name="Picture 6" descr="C:\WINDOWS\TEMP\~0003946.gif">
          <a:extLst>
            <a:ext uri="{FF2B5EF4-FFF2-40B4-BE49-F238E27FC236}">
              <a16:creationId xmlns:a16="http://schemas.microsoft.com/office/drawing/2014/main" id="{00000000-0008-0000-1600-0000A6AA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1195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43687" name="Picture 7" descr="C:\WINDOWS\TEMP\~0003946.gif">
          <a:extLst>
            <a:ext uri="{FF2B5EF4-FFF2-40B4-BE49-F238E27FC236}">
              <a16:creationId xmlns:a16="http://schemas.microsoft.com/office/drawing/2014/main" id="{00000000-0008-0000-1600-0000A7AA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43688" name="Picture 8" descr="C:\WINDOWS\TEMP\~0003946.gif">
          <a:extLst>
            <a:ext uri="{FF2B5EF4-FFF2-40B4-BE49-F238E27FC236}">
              <a16:creationId xmlns:a16="http://schemas.microsoft.com/office/drawing/2014/main" id="{00000000-0008-0000-1600-0000A8AA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43689" name="Picture 9" descr="C:\WINDOWS\TEMP\~0003946.gif">
          <a:extLst>
            <a:ext uri="{FF2B5EF4-FFF2-40B4-BE49-F238E27FC236}">
              <a16:creationId xmlns:a16="http://schemas.microsoft.com/office/drawing/2014/main" id="{00000000-0008-0000-1600-0000A9AA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136</xdr:row>
      <xdr:rowOff>123825</xdr:rowOff>
    </xdr:from>
    <xdr:to>
      <xdr:col>22</xdr:col>
      <xdr:colOff>895350</xdr:colOff>
      <xdr:row>137</xdr:row>
      <xdr:rowOff>152400</xdr:rowOff>
    </xdr:to>
    <xdr:pic>
      <xdr:nvPicPr>
        <xdr:cNvPr id="43690" name="Picture 10" descr="C:\WINDOWS\TEMP\~0003946.gif">
          <a:extLst>
            <a:ext uri="{FF2B5EF4-FFF2-40B4-BE49-F238E27FC236}">
              <a16:creationId xmlns:a16="http://schemas.microsoft.com/office/drawing/2014/main" id="{00000000-0008-0000-1600-0000AAAA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879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202</xdr:row>
      <xdr:rowOff>104775</xdr:rowOff>
    </xdr:from>
    <xdr:to>
      <xdr:col>22</xdr:col>
      <xdr:colOff>809625</xdr:colOff>
      <xdr:row>203</xdr:row>
      <xdr:rowOff>133350</xdr:rowOff>
    </xdr:to>
    <xdr:pic>
      <xdr:nvPicPr>
        <xdr:cNvPr id="43691" name="Picture 11" descr="C:\WINDOWS\TEMP\~0003946.gif">
          <a:extLst>
            <a:ext uri="{FF2B5EF4-FFF2-40B4-BE49-F238E27FC236}">
              <a16:creationId xmlns:a16="http://schemas.microsoft.com/office/drawing/2014/main" id="{00000000-0008-0000-1600-0000ABAA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114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298</xdr:row>
      <xdr:rowOff>104775</xdr:rowOff>
    </xdr:from>
    <xdr:to>
      <xdr:col>22</xdr:col>
      <xdr:colOff>895350</xdr:colOff>
      <xdr:row>299</xdr:row>
      <xdr:rowOff>133350</xdr:rowOff>
    </xdr:to>
    <xdr:pic>
      <xdr:nvPicPr>
        <xdr:cNvPr id="43692" name="Picture 12" descr="C:\WINDOWS\TEMP\~0003946.gif">
          <a:extLst>
            <a:ext uri="{FF2B5EF4-FFF2-40B4-BE49-F238E27FC236}">
              <a16:creationId xmlns:a16="http://schemas.microsoft.com/office/drawing/2014/main" id="{00000000-0008-0000-1600-0000ACAA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604361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43693" name="Picture 13" descr="logoMTL">
          <a:extLst>
            <a:ext uri="{FF2B5EF4-FFF2-40B4-BE49-F238E27FC236}">
              <a16:creationId xmlns:a16="http://schemas.microsoft.com/office/drawing/2014/main" id="{00000000-0008-0000-1600-0000ADA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136</xdr:row>
      <xdr:rowOff>38100</xdr:rowOff>
    </xdr:from>
    <xdr:to>
      <xdr:col>21</xdr:col>
      <xdr:colOff>1171575</xdr:colOff>
      <xdr:row>137</xdr:row>
      <xdr:rowOff>161925</xdr:rowOff>
    </xdr:to>
    <xdr:pic>
      <xdr:nvPicPr>
        <xdr:cNvPr id="43694" name="Picture 14" descr="logoMTL">
          <a:extLst>
            <a:ext uri="{FF2B5EF4-FFF2-40B4-BE49-F238E27FC236}">
              <a16:creationId xmlns:a16="http://schemas.microsoft.com/office/drawing/2014/main" id="{00000000-0008-0000-1600-0000AEA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202</xdr:row>
      <xdr:rowOff>28575</xdr:rowOff>
    </xdr:from>
    <xdr:to>
      <xdr:col>21</xdr:col>
      <xdr:colOff>1171575</xdr:colOff>
      <xdr:row>203</xdr:row>
      <xdr:rowOff>152400</xdr:rowOff>
    </xdr:to>
    <xdr:pic>
      <xdr:nvPicPr>
        <xdr:cNvPr id="43695" name="Picture 15" descr="logoMTL">
          <a:extLst>
            <a:ext uri="{FF2B5EF4-FFF2-40B4-BE49-F238E27FC236}">
              <a16:creationId xmlns:a16="http://schemas.microsoft.com/office/drawing/2014/main" id="{00000000-0008-0000-1600-0000AFA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1071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298</xdr:row>
      <xdr:rowOff>0</xdr:rowOff>
    </xdr:from>
    <xdr:to>
      <xdr:col>21</xdr:col>
      <xdr:colOff>1228725</xdr:colOff>
      <xdr:row>299</xdr:row>
      <xdr:rowOff>123825</xdr:rowOff>
    </xdr:to>
    <xdr:pic>
      <xdr:nvPicPr>
        <xdr:cNvPr id="43696" name="Picture 16" descr="logoMTL">
          <a:extLst>
            <a:ext uri="{FF2B5EF4-FFF2-40B4-BE49-F238E27FC236}">
              <a16:creationId xmlns:a16="http://schemas.microsoft.com/office/drawing/2014/main" id="{00000000-0008-0000-1600-0000B0A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60331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45505" name="Picture 1" descr="C:\WINDOWS\TEMP\Symbol.gif">
          <a:extLst>
            <a:ext uri="{FF2B5EF4-FFF2-40B4-BE49-F238E27FC236}">
              <a16:creationId xmlns:a16="http://schemas.microsoft.com/office/drawing/2014/main" id="{00000000-0008-0000-1700-0000C1B1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136</xdr:row>
      <xdr:rowOff>161925</xdr:rowOff>
    </xdr:from>
    <xdr:to>
      <xdr:col>1</xdr:col>
      <xdr:colOff>28575</xdr:colOff>
      <xdr:row>137</xdr:row>
      <xdr:rowOff>200025</xdr:rowOff>
    </xdr:to>
    <xdr:pic>
      <xdr:nvPicPr>
        <xdr:cNvPr id="45506" name="Picture 2" descr="C:\WINDOWS\TEMP\Symbol.gif">
          <a:extLst>
            <a:ext uri="{FF2B5EF4-FFF2-40B4-BE49-F238E27FC236}">
              <a16:creationId xmlns:a16="http://schemas.microsoft.com/office/drawing/2014/main" id="{00000000-0008-0000-1700-0000C2B1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202</xdr:row>
      <xdr:rowOff>171450</xdr:rowOff>
    </xdr:from>
    <xdr:to>
      <xdr:col>1</xdr:col>
      <xdr:colOff>47625</xdr:colOff>
      <xdr:row>203</xdr:row>
      <xdr:rowOff>209550</xdr:rowOff>
    </xdr:to>
    <xdr:pic>
      <xdr:nvPicPr>
        <xdr:cNvPr id="45507" name="Picture 3" descr="C:\WINDOWS\TEMP\Symbol.gif">
          <a:extLst>
            <a:ext uri="{FF2B5EF4-FFF2-40B4-BE49-F238E27FC236}">
              <a16:creationId xmlns:a16="http://schemas.microsoft.com/office/drawing/2014/main" id="{00000000-0008-0000-1700-0000C3B1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1214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298</xdr:row>
      <xdr:rowOff>161925</xdr:rowOff>
    </xdr:from>
    <xdr:to>
      <xdr:col>1</xdr:col>
      <xdr:colOff>19050</xdr:colOff>
      <xdr:row>299</xdr:row>
      <xdr:rowOff>200025</xdr:rowOff>
    </xdr:to>
    <xdr:pic>
      <xdr:nvPicPr>
        <xdr:cNvPr id="45508" name="Picture 4" descr="C:\WINDOWS\TEMP\Symbol.gif">
          <a:extLst>
            <a:ext uri="{FF2B5EF4-FFF2-40B4-BE49-F238E27FC236}">
              <a16:creationId xmlns:a16="http://schemas.microsoft.com/office/drawing/2014/main" id="{00000000-0008-0000-1700-0000C4B1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604932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298</xdr:row>
      <xdr:rowOff>123825</xdr:rowOff>
    </xdr:from>
    <xdr:to>
      <xdr:col>22</xdr:col>
      <xdr:colOff>1895475</xdr:colOff>
      <xdr:row>299</xdr:row>
      <xdr:rowOff>152400</xdr:rowOff>
    </xdr:to>
    <xdr:pic>
      <xdr:nvPicPr>
        <xdr:cNvPr id="45509" name="Picture 5" descr="C:\WINDOWS\TEMP\~0003946.gif">
          <a:extLst>
            <a:ext uri="{FF2B5EF4-FFF2-40B4-BE49-F238E27FC236}">
              <a16:creationId xmlns:a16="http://schemas.microsoft.com/office/drawing/2014/main" id="{00000000-0008-0000-1700-0000C5B1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60455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202</xdr:row>
      <xdr:rowOff>152400</xdr:rowOff>
    </xdr:from>
    <xdr:to>
      <xdr:col>22</xdr:col>
      <xdr:colOff>1924050</xdr:colOff>
      <xdr:row>203</xdr:row>
      <xdr:rowOff>180975</xdr:rowOff>
    </xdr:to>
    <xdr:pic>
      <xdr:nvPicPr>
        <xdr:cNvPr id="45510" name="Picture 6" descr="C:\WINDOWS\TEMP\~0003946.gif">
          <a:extLst>
            <a:ext uri="{FF2B5EF4-FFF2-40B4-BE49-F238E27FC236}">
              <a16:creationId xmlns:a16="http://schemas.microsoft.com/office/drawing/2014/main" id="{00000000-0008-0000-1700-0000C6B1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1195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45511" name="Picture 7" descr="C:\WINDOWS\TEMP\~0003946.gif">
          <a:extLst>
            <a:ext uri="{FF2B5EF4-FFF2-40B4-BE49-F238E27FC236}">
              <a16:creationId xmlns:a16="http://schemas.microsoft.com/office/drawing/2014/main" id="{00000000-0008-0000-1700-0000C7B1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45512" name="Picture 8" descr="C:\WINDOWS\TEMP\~0003946.gif">
          <a:extLst>
            <a:ext uri="{FF2B5EF4-FFF2-40B4-BE49-F238E27FC236}">
              <a16:creationId xmlns:a16="http://schemas.microsoft.com/office/drawing/2014/main" id="{00000000-0008-0000-1700-0000C8B1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45513" name="Picture 9" descr="C:\WINDOWS\TEMP\~0003946.gif">
          <a:extLst>
            <a:ext uri="{FF2B5EF4-FFF2-40B4-BE49-F238E27FC236}">
              <a16:creationId xmlns:a16="http://schemas.microsoft.com/office/drawing/2014/main" id="{00000000-0008-0000-1700-0000C9B1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136</xdr:row>
      <xdr:rowOff>123825</xdr:rowOff>
    </xdr:from>
    <xdr:to>
      <xdr:col>22</xdr:col>
      <xdr:colOff>895350</xdr:colOff>
      <xdr:row>137</xdr:row>
      <xdr:rowOff>152400</xdr:rowOff>
    </xdr:to>
    <xdr:pic>
      <xdr:nvPicPr>
        <xdr:cNvPr id="45514" name="Picture 10" descr="C:\WINDOWS\TEMP\~0003946.gif">
          <a:extLst>
            <a:ext uri="{FF2B5EF4-FFF2-40B4-BE49-F238E27FC236}">
              <a16:creationId xmlns:a16="http://schemas.microsoft.com/office/drawing/2014/main" id="{00000000-0008-0000-1700-0000CAB1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879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202</xdr:row>
      <xdr:rowOff>104775</xdr:rowOff>
    </xdr:from>
    <xdr:to>
      <xdr:col>22</xdr:col>
      <xdr:colOff>809625</xdr:colOff>
      <xdr:row>203</xdr:row>
      <xdr:rowOff>133350</xdr:rowOff>
    </xdr:to>
    <xdr:pic>
      <xdr:nvPicPr>
        <xdr:cNvPr id="45515" name="Picture 11" descr="C:\WINDOWS\TEMP\~0003946.gif">
          <a:extLst>
            <a:ext uri="{FF2B5EF4-FFF2-40B4-BE49-F238E27FC236}">
              <a16:creationId xmlns:a16="http://schemas.microsoft.com/office/drawing/2014/main" id="{00000000-0008-0000-1700-0000CBB1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114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298</xdr:row>
      <xdr:rowOff>104775</xdr:rowOff>
    </xdr:from>
    <xdr:to>
      <xdr:col>22</xdr:col>
      <xdr:colOff>895350</xdr:colOff>
      <xdr:row>299</xdr:row>
      <xdr:rowOff>133350</xdr:rowOff>
    </xdr:to>
    <xdr:pic>
      <xdr:nvPicPr>
        <xdr:cNvPr id="45516" name="Picture 12" descr="C:\WINDOWS\TEMP\~0003946.gif">
          <a:extLst>
            <a:ext uri="{FF2B5EF4-FFF2-40B4-BE49-F238E27FC236}">
              <a16:creationId xmlns:a16="http://schemas.microsoft.com/office/drawing/2014/main" id="{00000000-0008-0000-1700-0000CCB1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604361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45517" name="Picture 13" descr="logoMTL">
          <a:extLst>
            <a:ext uri="{FF2B5EF4-FFF2-40B4-BE49-F238E27FC236}">
              <a16:creationId xmlns:a16="http://schemas.microsoft.com/office/drawing/2014/main" id="{00000000-0008-0000-1700-0000CDB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136</xdr:row>
      <xdr:rowOff>38100</xdr:rowOff>
    </xdr:from>
    <xdr:to>
      <xdr:col>21</xdr:col>
      <xdr:colOff>1171575</xdr:colOff>
      <xdr:row>137</xdr:row>
      <xdr:rowOff>161925</xdr:rowOff>
    </xdr:to>
    <xdr:pic>
      <xdr:nvPicPr>
        <xdr:cNvPr id="45518" name="Picture 14" descr="logoMTL">
          <a:extLst>
            <a:ext uri="{FF2B5EF4-FFF2-40B4-BE49-F238E27FC236}">
              <a16:creationId xmlns:a16="http://schemas.microsoft.com/office/drawing/2014/main" id="{00000000-0008-0000-1700-0000CEB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202</xdr:row>
      <xdr:rowOff>28575</xdr:rowOff>
    </xdr:from>
    <xdr:to>
      <xdr:col>21</xdr:col>
      <xdr:colOff>1171575</xdr:colOff>
      <xdr:row>203</xdr:row>
      <xdr:rowOff>152400</xdr:rowOff>
    </xdr:to>
    <xdr:pic>
      <xdr:nvPicPr>
        <xdr:cNvPr id="45519" name="Picture 15" descr="logoMTL">
          <a:extLst>
            <a:ext uri="{FF2B5EF4-FFF2-40B4-BE49-F238E27FC236}">
              <a16:creationId xmlns:a16="http://schemas.microsoft.com/office/drawing/2014/main" id="{00000000-0008-0000-1700-0000CFB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1071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298</xdr:row>
      <xdr:rowOff>0</xdr:rowOff>
    </xdr:from>
    <xdr:to>
      <xdr:col>21</xdr:col>
      <xdr:colOff>1228725</xdr:colOff>
      <xdr:row>299</xdr:row>
      <xdr:rowOff>123825</xdr:rowOff>
    </xdr:to>
    <xdr:pic>
      <xdr:nvPicPr>
        <xdr:cNvPr id="45520" name="Picture 16" descr="logoMTL">
          <a:extLst>
            <a:ext uri="{FF2B5EF4-FFF2-40B4-BE49-F238E27FC236}">
              <a16:creationId xmlns:a16="http://schemas.microsoft.com/office/drawing/2014/main" id="{00000000-0008-0000-1700-0000D0B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60331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47377" name="Picture 1" descr="C:\WINDOWS\TEMP\Symbol.gif">
          <a:extLst>
            <a:ext uri="{FF2B5EF4-FFF2-40B4-BE49-F238E27FC236}">
              <a16:creationId xmlns:a16="http://schemas.microsoft.com/office/drawing/2014/main" id="{00000000-0008-0000-1800-000011B9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136</xdr:row>
      <xdr:rowOff>161925</xdr:rowOff>
    </xdr:from>
    <xdr:to>
      <xdr:col>1</xdr:col>
      <xdr:colOff>28575</xdr:colOff>
      <xdr:row>137</xdr:row>
      <xdr:rowOff>200025</xdr:rowOff>
    </xdr:to>
    <xdr:pic>
      <xdr:nvPicPr>
        <xdr:cNvPr id="47378" name="Picture 2" descr="C:\WINDOWS\TEMP\Symbol.gif">
          <a:extLst>
            <a:ext uri="{FF2B5EF4-FFF2-40B4-BE49-F238E27FC236}">
              <a16:creationId xmlns:a16="http://schemas.microsoft.com/office/drawing/2014/main" id="{00000000-0008-0000-1800-000012B9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202</xdr:row>
      <xdr:rowOff>171450</xdr:rowOff>
    </xdr:from>
    <xdr:to>
      <xdr:col>1</xdr:col>
      <xdr:colOff>47625</xdr:colOff>
      <xdr:row>203</xdr:row>
      <xdr:rowOff>209550</xdr:rowOff>
    </xdr:to>
    <xdr:pic>
      <xdr:nvPicPr>
        <xdr:cNvPr id="47379" name="Picture 3" descr="C:\WINDOWS\TEMP\Symbol.gif">
          <a:extLst>
            <a:ext uri="{FF2B5EF4-FFF2-40B4-BE49-F238E27FC236}">
              <a16:creationId xmlns:a16="http://schemas.microsoft.com/office/drawing/2014/main" id="{00000000-0008-0000-1800-000013B9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1214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298</xdr:row>
      <xdr:rowOff>161925</xdr:rowOff>
    </xdr:from>
    <xdr:to>
      <xdr:col>1</xdr:col>
      <xdr:colOff>19050</xdr:colOff>
      <xdr:row>299</xdr:row>
      <xdr:rowOff>200025</xdr:rowOff>
    </xdr:to>
    <xdr:pic>
      <xdr:nvPicPr>
        <xdr:cNvPr id="47380" name="Picture 4" descr="C:\WINDOWS\TEMP\Symbol.gif">
          <a:extLst>
            <a:ext uri="{FF2B5EF4-FFF2-40B4-BE49-F238E27FC236}">
              <a16:creationId xmlns:a16="http://schemas.microsoft.com/office/drawing/2014/main" id="{00000000-0008-0000-1800-000014B9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604932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298</xdr:row>
      <xdr:rowOff>123825</xdr:rowOff>
    </xdr:from>
    <xdr:to>
      <xdr:col>22</xdr:col>
      <xdr:colOff>1895475</xdr:colOff>
      <xdr:row>299</xdr:row>
      <xdr:rowOff>152400</xdr:rowOff>
    </xdr:to>
    <xdr:pic>
      <xdr:nvPicPr>
        <xdr:cNvPr id="47381" name="Picture 5" descr="C:\WINDOWS\TEMP\~0003946.gif">
          <a:extLst>
            <a:ext uri="{FF2B5EF4-FFF2-40B4-BE49-F238E27FC236}">
              <a16:creationId xmlns:a16="http://schemas.microsoft.com/office/drawing/2014/main" id="{00000000-0008-0000-1800-000015B9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60455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202</xdr:row>
      <xdr:rowOff>152400</xdr:rowOff>
    </xdr:from>
    <xdr:to>
      <xdr:col>22</xdr:col>
      <xdr:colOff>1924050</xdr:colOff>
      <xdr:row>203</xdr:row>
      <xdr:rowOff>180975</xdr:rowOff>
    </xdr:to>
    <xdr:pic>
      <xdr:nvPicPr>
        <xdr:cNvPr id="47382" name="Picture 6" descr="C:\WINDOWS\TEMP\~0003946.gif">
          <a:extLst>
            <a:ext uri="{FF2B5EF4-FFF2-40B4-BE49-F238E27FC236}">
              <a16:creationId xmlns:a16="http://schemas.microsoft.com/office/drawing/2014/main" id="{00000000-0008-0000-1800-000016B9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1195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47383" name="Picture 7" descr="C:\WINDOWS\TEMP\~0003946.gif">
          <a:extLst>
            <a:ext uri="{FF2B5EF4-FFF2-40B4-BE49-F238E27FC236}">
              <a16:creationId xmlns:a16="http://schemas.microsoft.com/office/drawing/2014/main" id="{00000000-0008-0000-1800-000017B9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47384" name="Picture 8" descr="C:\WINDOWS\TEMP\~0003946.gif">
          <a:extLst>
            <a:ext uri="{FF2B5EF4-FFF2-40B4-BE49-F238E27FC236}">
              <a16:creationId xmlns:a16="http://schemas.microsoft.com/office/drawing/2014/main" id="{00000000-0008-0000-1800-000018B9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47385" name="Picture 9" descr="C:\WINDOWS\TEMP\~0003946.gif">
          <a:extLst>
            <a:ext uri="{FF2B5EF4-FFF2-40B4-BE49-F238E27FC236}">
              <a16:creationId xmlns:a16="http://schemas.microsoft.com/office/drawing/2014/main" id="{00000000-0008-0000-1800-000019B9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136</xdr:row>
      <xdr:rowOff>123825</xdr:rowOff>
    </xdr:from>
    <xdr:to>
      <xdr:col>22</xdr:col>
      <xdr:colOff>895350</xdr:colOff>
      <xdr:row>137</xdr:row>
      <xdr:rowOff>152400</xdr:rowOff>
    </xdr:to>
    <xdr:pic>
      <xdr:nvPicPr>
        <xdr:cNvPr id="47386" name="Picture 10" descr="C:\WINDOWS\TEMP\~0003946.gif">
          <a:extLst>
            <a:ext uri="{FF2B5EF4-FFF2-40B4-BE49-F238E27FC236}">
              <a16:creationId xmlns:a16="http://schemas.microsoft.com/office/drawing/2014/main" id="{00000000-0008-0000-1800-00001AB9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879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202</xdr:row>
      <xdr:rowOff>104775</xdr:rowOff>
    </xdr:from>
    <xdr:to>
      <xdr:col>22</xdr:col>
      <xdr:colOff>809625</xdr:colOff>
      <xdr:row>203</xdr:row>
      <xdr:rowOff>133350</xdr:rowOff>
    </xdr:to>
    <xdr:pic>
      <xdr:nvPicPr>
        <xdr:cNvPr id="47387" name="Picture 11" descr="C:\WINDOWS\TEMP\~0003946.gif">
          <a:extLst>
            <a:ext uri="{FF2B5EF4-FFF2-40B4-BE49-F238E27FC236}">
              <a16:creationId xmlns:a16="http://schemas.microsoft.com/office/drawing/2014/main" id="{00000000-0008-0000-1800-00001BB9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114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298</xdr:row>
      <xdr:rowOff>104775</xdr:rowOff>
    </xdr:from>
    <xdr:to>
      <xdr:col>22</xdr:col>
      <xdr:colOff>895350</xdr:colOff>
      <xdr:row>299</xdr:row>
      <xdr:rowOff>133350</xdr:rowOff>
    </xdr:to>
    <xdr:pic>
      <xdr:nvPicPr>
        <xdr:cNvPr id="47388" name="Picture 12" descr="C:\WINDOWS\TEMP\~0003946.gif">
          <a:extLst>
            <a:ext uri="{FF2B5EF4-FFF2-40B4-BE49-F238E27FC236}">
              <a16:creationId xmlns:a16="http://schemas.microsoft.com/office/drawing/2014/main" id="{00000000-0008-0000-1800-00001CB9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604361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47389" name="Picture 13" descr="logoMTL">
          <a:extLst>
            <a:ext uri="{FF2B5EF4-FFF2-40B4-BE49-F238E27FC236}">
              <a16:creationId xmlns:a16="http://schemas.microsoft.com/office/drawing/2014/main" id="{00000000-0008-0000-1800-00001DB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136</xdr:row>
      <xdr:rowOff>38100</xdr:rowOff>
    </xdr:from>
    <xdr:to>
      <xdr:col>21</xdr:col>
      <xdr:colOff>1171575</xdr:colOff>
      <xdr:row>137</xdr:row>
      <xdr:rowOff>161925</xdr:rowOff>
    </xdr:to>
    <xdr:pic>
      <xdr:nvPicPr>
        <xdr:cNvPr id="47390" name="Picture 14" descr="logoMTL">
          <a:extLst>
            <a:ext uri="{FF2B5EF4-FFF2-40B4-BE49-F238E27FC236}">
              <a16:creationId xmlns:a16="http://schemas.microsoft.com/office/drawing/2014/main" id="{00000000-0008-0000-1800-00001EB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202</xdr:row>
      <xdr:rowOff>28575</xdr:rowOff>
    </xdr:from>
    <xdr:to>
      <xdr:col>21</xdr:col>
      <xdr:colOff>1171575</xdr:colOff>
      <xdr:row>203</xdr:row>
      <xdr:rowOff>152400</xdr:rowOff>
    </xdr:to>
    <xdr:pic>
      <xdr:nvPicPr>
        <xdr:cNvPr id="47391" name="Picture 15" descr="logoMTL">
          <a:extLst>
            <a:ext uri="{FF2B5EF4-FFF2-40B4-BE49-F238E27FC236}">
              <a16:creationId xmlns:a16="http://schemas.microsoft.com/office/drawing/2014/main" id="{00000000-0008-0000-1800-00001FB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1071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298</xdr:row>
      <xdr:rowOff>0</xdr:rowOff>
    </xdr:from>
    <xdr:to>
      <xdr:col>21</xdr:col>
      <xdr:colOff>1228725</xdr:colOff>
      <xdr:row>299</xdr:row>
      <xdr:rowOff>123825</xdr:rowOff>
    </xdr:to>
    <xdr:pic>
      <xdr:nvPicPr>
        <xdr:cNvPr id="47392" name="Picture 16" descr="logoMTL">
          <a:extLst>
            <a:ext uri="{FF2B5EF4-FFF2-40B4-BE49-F238E27FC236}">
              <a16:creationId xmlns:a16="http://schemas.microsoft.com/office/drawing/2014/main" id="{00000000-0008-0000-1800-000020B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60331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48257" name="Picture 1" descr="C:\WINDOWS\TEMP\Symbol.gif">
          <a:extLst>
            <a:ext uri="{FF2B5EF4-FFF2-40B4-BE49-F238E27FC236}">
              <a16:creationId xmlns:a16="http://schemas.microsoft.com/office/drawing/2014/main" id="{00000000-0008-0000-1900-000081BC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136</xdr:row>
      <xdr:rowOff>161925</xdr:rowOff>
    </xdr:from>
    <xdr:to>
      <xdr:col>1</xdr:col>
      <xdr:colOff>28575</xdr:colOff>
      <xdr:row>137</xdr:row>
      <xdr:rowOff>200025</xdr:rowOff>
    </xdr:to>
    <xdr:pic>
      <xdr:nvPicPr>
        <xdr:cNvPr id="48258" name="Picture 2" descr="C:\WINDOWS\TEMP\Symbol.gif">
          <a:extLst>
            <a:ext uri="{FF2B5EF4-FFF2-40B4-BE49-F238E27FC236}">
              <a16:creationId xmlns:a16="http://schemas.microsoft.com/office/drawing/2014/main" id="{00000000-0008-0000-1900-000082BC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202</xdr:row>
      <xdr:rowOff>171450</xdr:rowOff>
    </xdr:from>
    <xdr:to>
      <xdr:col>1</xdr:col>
      <xdr:colOff>47625</xdr:colOff>
      <xdr:row>203</xdr:row>
      <xdr:rowOff>209550</xdr:rowOff>
    </xdr:to>
    <xdr:pic>
      <xdr:nvPicPr>
        <xdr:cNvPr id="48259" name="Picture 3" descr="C:\WINDOWS\TEMP\Symbol.gif">
          <a:extLst>
            <a:ext uri="{FF2B5EF4-FFF2-40B4-BE49-F238E27FC236}">
              <a16:creationId xmlns:a16="http://schemas.microsoft.com/office/drawing/2014/main" id="{00000000-0008-0000-1900-000083BC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1214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298</xdr:row>
      <xdr:rowOff>161925</xdr:rowOff>
    </xdr:from>
    <xdr:to>
      <xdr:col>1</xdr:col>
      <xdr:colOff>19050</xdr:colOff>
      <xdr:row>299</xdr:row>
      <xdr:rowOff>200025</xdr:rowOff>
    </xdr:to>
    <xdr:pic>
      <xdr:nvPicPr>
        <xdr:cNvPr id="48260" name="Picture 4" descr="C:\WINDOWS\TEMP\Symbol.gif">
          <a:extLst>
            <a:ext uri="{FF2B5EF4-FFF2-40B4-BE49-F238E27FC236}">
              <a16:creationId xmlns:a16="http://schemas.microsoft.com/office/drawing/2014/main" id="{00000000-0008-0000-1900-000084BC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604932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298</xdr:row>
      <xdr:rowOff>123825</xdr:rowOff>
    </xdr:from>
    <xdr:to>
      <xdr:col>22</xdr:col>
      <xdr:colOff>1895475</xdr:colOff>
      <xdr:row>299</xdr:row>
      <xdr:rowOff>152400</xdr:rowOff>
    </xdr:to>
    <xdr:pic>
      <xdr:nvPicPr>
        <xdr:cNvPr id="48261" name="Picture 5" descr="C:\WINDOWS\TEMP\~0003946.gif">
          <a:extLst>
            <a:ext uri="{FF2B5EF4-FFF2-40B4-BE49-F238E27FC236}">
              <a16:creationId xmlns:a16="http://schemas.microsoft.com/office/drawing/2014/main" id="{00000000-0008-0000-1900-000085BC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60455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202</xdr:row>
      <xdr:rowOff>152400</xdr:rowOff>
    </xdr:from>
    <xdr:to>
      <xdr:col>22</xdr:col>
      <xdr:colOff>1924050</xdr:colOff>
      <xdr:row>203</xdr:row>
      <xdr:rowOff>180975</xdr:rowOff>
    </xdr:to>
    <xdr:pic>
      <xdr:nvPicPr>
        <xdr:cNvPr id="48262" name="Picture 6" descr="C:\WINDOWS\TEMP\~0003946.gif">
          <a:extLst>
            <a:ext uri="{FF2B5EF4-FFF2-40B4-BE49-F238E27FC236}">
              <a16:creationId xmlns:a16="http://schemas.microsoft.com/office/drawing/2014/main" id="{00000000-0008-0000-1900-000086BC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1195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48263" name="Picture 7" descr="C:\WINDOWS\TEMP\~0003946.gif">
          <a:extLst>
            <a:ext uri="{FF2B5EF4-FFF2-40B4-BE49-F238E27FC236}">
              <a16:creationId xmlns:a16="http://schemas.microsoft.com/office/drawing/2014/main" id="{00000000-0008-0000-1900-000087BC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48264" name="Picture 8" descr="C:\WINDOWS\TEMP\~0003946.gif">
          <a:extLst>
            <a:ext uri="{FF2B5EF4-FFF2-40B4-BE49-F238E27FC236}">
              <a16:creationId xmlns:a16="http://schemas.microsoft.com/office/drawing/2014/main" id="{00000000-0008-0000-1900-000088BC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48265" name="Picture 9" descr="C:\WINDOWS\TEMP\~0003946.gif">
          <a:extLst>
            <a:ext uri="{FF2B5EF4-FFF2-40B4-BE49-F238E27FC236}">
              <a16:creationId xmlns:a16="http://schemas.microsoft.com/office/drawing/2014/main" id="{00000000-0008-0000-1900-000089BC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136</xdr:row>
      <xdr:rowOff>123825</xdr:rowOff>
    </xdr:from>
    <xdr:to>
      <xdr:col>22</xdr:col>
      <xdr:colOff>895350</xdr:colOff>
      <xdr:row>137</xdr:row>
      <xdr:rowOff>152400</xdr:rowOff>
    </xdr:to>
    <xdr:pic>
      <xdr:nvPicPr>
        <xdr:cNvPr id="48266" name="Picture 10" descr="C:\WINDOWS\TEMP\~0003946.gif">
          <a:extLst>
            <a:ext uri="{FF2B5EF4-FFF2-40B4-BE49-F238E27FC236}">
              <a16:creationId xmlns:a16="http://schemas.microsoft.com/office/drawing/2014/main" id="{00000000-0008-0000-1900-00008ABC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879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202</xdr:row>
      <xdr:rowOff>104775</xdr:rowOff>
    </xdr:from>
    <xdr:to>
      <xdr:col>22</xdr:col>
      <xdr:colOff>809625</xdr:colOff>
      <xdr:row>203</xdr:row>
      <xdr:rowOff>133350</xdr:rowOff>
    </xdr:to>
    <xdr:pic>
      <xdr:nvPicPr>
        <xdr:cNvPr id="48267" name="Picture 11" descr="C:\WINDOWS\TEMP\~0003946.gif">
          <a:extLst>
            <a:ext uri="{FF2B5EF4-FFF2-40B4-BE49-F238E27FC236}">
              <a16:creationId xmlns:a16="http://schemas.microsoft.com/office/drawing/2014/main" id="{00000000-0008-0000-1900-00008BBC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114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298</xdr:row>
      <xdr:rowOff>104775</xdr:rowOff>
    </xdr:from>
    <xdr:to>
      <xdr:col>22</xdr:col>
      <xdr:colOff>895350</xdr:colOff>
      <xdr:row>299</xdr:row>
      <xdr:rowOff>133350</xdr:rowOff>
    </xdr:to>
    <xdr:pic>
      <xdr:nvPicPr>
        <xdr:cNvPr id="48268" name="Picture 12" descr="C:\WINDOWS\TEMP\~0003946.gif">
          <a:extLst>
            <a:ext uri="{FF2B5EF4-FFF2-40B4-BE49-F238E27FC236}">
              <a16:creationId xmlns:a16="http://schemas.microsoft.com/office/drawing/2014/main" id="{00000000-0008-0000-1900-00008CBC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604361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48269" name="Picture 13" descr="logoMTL">
          <a:extLst>
            <a:ext uri="{FF2B5EF4-FFF2-40B4-BE49-F238E27FC236}">
              <a16:creationId xmlns:a16="http://schemas.microsoft.com/office/drawing/2014/main" id="{00000000-0008-0000-1900-00008DB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136</xdr:row>
      <xdr:rowOff>38100</xdr:rowOff>
    </xdr:from>
    <xdr:to>
      <xdr:col>21</xdr:col>
      <xdr:colOff>1171575</xdr:colOff>
      <xdr:row>137</xdr:row>
      <xdr:rowOff>161925</xdr:rowOff>
    </xdr:to>
    <xdr:pic>
      <xdr:nvPicPr>
        <xdr:cNvPr id="48270" name="Picture 14" descr="logoMTL">
          <a:extLst>
            <a:ext uri="{FF2B5EF4-FFF2-40B4-BE49-F238E27FC236}">
              <a16:creationId xmlns:a16="http://schemas.microsoft.com/office/drawing/2014/main" id="{00000000-0008-0000-1900-00008EB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202</xdr:row>
      <xdr:rowOff>28575</xdr:rowOff>
    </xdr:from>
    <xdr:to>
      <xdr:col>21</xdr:col>
      <xdr:colOff>1171575</xdr:colOff>
      <xdr:row>203</xdr:row>
      <xdr:rowOff>152400</xdr:rowOff>
    </xdr:to>
    <xdr:pic>
      <xdr:nvPicPr>
        <xdr:cNvPr id="48271" name="Picture 15" descr="logoMTL">
          <a:extLst>
            <a:ext uri="{FF2B5EF4-FFF2-40B4-BE49-F238E27FC236}">
              <a16:creationId xmlns:a16="http://schemas.microsoft.com/office/drawing/2014/main" id="{00000000-0008-0000-1900-00008FB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1071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298</xdr:row>
      <xdr:rowOff>0</xdr:rowOff>
    </xdr:from>
    <xdr:to>
      <xdr:col>21</xdr:col>
      <xdr:colOff>1228725</xdr:colOff>
      <xdr:row>299</xdr:row>
      <xdr:rowOff>123825</xdr:rowOff>
    </xdr:to>
    <xdr:pic>
      <xdr:nvPicPr>
        <xdr:cNvPr id="48272" name="Picture 16" descr="logoMTL">
          <a:extLst>
            <a:ext uri="{FF2B5EF4-FFF2-40B4-BE49-F238E27FC236}">
              <a16:creationId xmlns:a16="http://schemas.microsoft.com/office/drawing/2014/main" id="{00000000-0008-0000-1900-000090B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60331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136</xdr:row>
      <xdr:rowOff>161925</xdr:rowOff>
    </xdr:from>
    <xdr:to>
      <xdr:col>1</xdr:col>
      <xdr:colOff>28575</xdr:colOff>
      <xdr:row>137</xdr:row>
      <xdr:rowOff>200025</xdr:rowOff>
    </xdr:to>
    <xdr:pic>
      <xdr:nvPicPr>
        <xdr:cNvPr id="3" name="Picture 2" descr="C:\WINDOWS\TEMP\Symbol.gif">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202</xdr:row>
      <xdr:rowOff>171450</xdr:rowOff>
    </xdr:from>
    <xdr:to>
      <xdr:col>1</xdr:col>
      <xdr:colOff>47625</xdr:colOff>
      <xdr:row>203</xdr:row>
      <xdr:rowOff>209550</xdr:rowOff>
    </xdr:to>
    <xdr:pic>
      <xdr:nvPicPr>
        <xdr:cNvPr id="4" name="Picture 3" descr="C:\WINDOWS\TEMP\Symbol.gif">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1214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298</xdr:row>
      <xdr:rowOff>161925</xdr:rowOff>
    </xdr:from>
    <xdr:to>
      <xdr:col>1</xdr:col>
      <xdr:colOff>19050</xdr:colOff>
      <xdr:row>299</xdr:row>
      <xdr:rowOff>200025</xdr:rowOff>
    </xdr:to>
    <xdr:pic>
      <xdr:nvPicPr>
        <xdr:cNvPr id="5" name="Picture 4" descr="C:\WINDOWS\TEMP\Symbol.gif">
          <a:extLst>
            <a:ext uri="{FF2B5EF4-FFF2-40B4-BE49-F238E27FC236}">
              <a16:creationId xmlns:a16="http://schemas.microsoft.com/office/drawing/2014/main" id="{00000000-0008-0000-1A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604932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298</xdr:row>
      <xdr:rowOff>123825</xdr:rowOff>
    </xdr:from>
    <xdr:to>
      <xdr:col>22</xdr:col>
      <xdr:colOff>1895475</xdr:colOff>
      <xdr:row>299</xdr:row>
      <xdr:rowOff>152400</xdr:rowOff>
    </xdr:to>
    <xdr:pic>
      <xdr:nvPicPr>
        <xdr:cNvPr id="6" name="Picture 5" descr="C:\WINDOWS\TEMP\~0003946.gif">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60455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202</xdr:row>
      <xdr:rowOff>152400</xdr:rowOff>
    </xdr:from>
    <xdr:to>
      <xdr:col>22</xdr:col>
      <xdr:colOff>1924050</xdr:colOff>
      <xdr:row>203</xdr:row>
      <xdr:rowOff>180975</xdr:rowOff>
    </xdr:to>
    <xdr:pic>
      <xdr:nvPicPr>
        <xdr:cNvPr id="7" name="Picture 6" descr="C:\WINDOWS\TEMP\~0003946.gif">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1195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8" name="Picture 7" descr="C:\WINDOWS\TEMP\~0003946.gif">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136</xdr:row>
      <xdr:rowOff>123825</xdr:rowOff>
    </xdr:from>
    <xdr:to>
      <xdr:col>22</xdr:col>
      <xdr:colOff>895350</xdr:colOff>
      <xdr:row>137</xdr:row>
      <xdr:rowOff>152400</xdr:rowOff>
    </xdr:to>
    <xdr:pic>
      <xdr:nvPicPr>
        <xdr:cNvPr id="11" name="Picture 10" descr="C:\WINDOWS\TEMP\~0003946.gif">
          <a:extLst>
            <a:ext uri="{FF2B5EF4-FFF2-40B4-BE49-F238E27FC236}">
              <a16:creationId xmlns:a16="http://schemas.microsoft.com/office/drawing/2014/main" id="{00000000-0008-0000-1A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879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202</xdr:row>
      <xdr:rowOff>104775</xdr:rowOff>
    </xdr:from>
    <xdr:to>
      <xdr:col>22</xdr:col>
      <xdr:colOff>809625</xdr:colOff>
      <xdr:row>203</xdr:row>
      <xdr:rowOff>133350</xdr:rowOff>
    </xdr:to>
    <xdr:pic>
      <xdr:nvPicPr>
        <xdr:cNvPr id="12" name="Picture 11" descr="C:\WINDOWS\TEMP\~0003946.gif">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114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298</xdr:row>
      <xdr:rowOff>104775</xdr:rowOff>
    </xdr:from>
    <xdr:to>
      <xdr:col>22</xdr:col>
      <xdr:colOff>895350</xdr:colOff>
      <xdr:row>299</xdr:row>
      <xdr:rowOff>133350</xdr:rowOff>
    </xdr:to>
    <xdr:pic>
      <xdr:nvPicPr>
        <xdr:cNvPr id="13" name="Picture 12" descr="C:\WINDOWS\TEMP\~0003946.gif">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604361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136</xdr:row>
      <xdr:rowOff>38100</xdr:rowOff>
    </xdr:from>
    <xdr:to>
      <xdr:col>21</xdr:col>
      <xdr:colOff>1171575</xdr:colOff>
      <xdr:row>137</xdr:row>
      <xdr:rowOff>161925</xdr:rowOff>
    </xdr:to>
    <xdr:pic>
      <xdr:nvPicPr>
        <xdr:cNvPr id="15" name="Picture 14" descr="logoMTL">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202</xdr:row>
      <xdr:rowOff>28575</xdr:rowOff>
    </xdr:from>
    <xdr:to>
      <xdr:col>21</xdr:col>
      <xdr:colOff>1171575</xdr:colOff>
      <xdr:row>203</xdr:row>
      <xdr:rowOff>152400</xdr:rowOff>
    </xdr:to>
    <xdr:pic>
      <xdr:nvPicPr>
        <xdr:cNvPr id="16" name="Picture 15" descr="logoMTL">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1071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298</xdr:row>
      <xdr:rowOff>0</xdr:rowOff>
    </xdr:from>
    <xdr:to>
      <xdr:col>21</xdr:col>
      <xdr:colOff>1228725</xdr:colOff>
      <xdr:row>299</xdr:row>
      <xdr:rowOff>123825</xdr:rowOff>
    </xdr:to>
    <xdr:pic>
      <xdr:nvPicPr>
        <xdr:cNvPr id="17" name="Picture 16" descr="logoMTL">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60331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136</xdr:row>
      <xdr:rowOff>161925</xdr:rowOff>
    </xdr:from>
    <xdr:to>
      <xdr:col>1</xdr:col>
      <xdr:colOff>28575</xdr:colOff>
      <xdr:row>137</xdr:row>
      <xdr:rowOff>200025</xdr:rowOff>
    </xdr:to>
    <xdr:pic>
      <xdr:nvPicPr>
        <xdr:cNvPr id="3" name="Picture 2" descr="C:\WINDOWS\TEMP\Symbol.gif">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202</xdr:row>
      <xdr:rowOff>171450</xdr:rowOff>
    </xdr:from>
    <xdr:to>
      <xdr:col>1</xdr:col>
      <xdr:colOff>47625</xdr:colOff>
      <xdr:row>203</xdr:row>
      <xdr:rowOff>209550</xdr:rowOff>
    </xdr:to>
    <xdr:pic>
      <xdr:nvPicPr>
        <xdr:cNvPr id="4" name="Picture 3" descr="C:\WINDOWS\TEMP\Symbol.gif">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1214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298</xdr:row>
      <xdr:rowOff>161925</xdr:rowOff>
    </xdr:from>
    <xdr:to>
      <xdr:col>1</xdr:col>
      <xdr:colOff>19050</xdr:colOff>
      <xdr:row>299</xdr:row>
      <xdr:rowOff>200025</xdr:rowOff>
    </xdr:to>
    <xdr:pic>
      <xdr:nvPicPr>
        <xdr:cNvPr id="5" name="Picture 4" descr="C:\WINDOWS\TEMP\Symbol.gif">
          <a:extLst>
            <a:ext uri="{FF2B5EF4-FFF2-40B4-BE49-F238E27FC236}">
              <a16:creationId xmlns:a16="http://schemas.microsoft.com/office/drawing/2014/main" id="{00000000-0008-0000-1B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604932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298</xdr:row>
      <xdr:rowOff>123825</xdr:rowOff>
    </xdr:from>
    <xdr:to>
      <xdr:col>22</xdr:col>
      <xdr:colOff>1895475</xdr:colOff>
      <xdr:row>299</xdr:row>
      <xdr:rowOff>152400</xdr:rowOff>
    </xdr:to>
    <xdr:pic>
      <xdr:nvPicPr>
        <xdr:cNvPr id="6" name="Picture 5" descr="C:\WINDOWS\TEMP\~0003946.gif">
          <a:extLst>
            <a:ext uri="{FF2B5EF4-FFF2-40B4-BE49-F238E27FC236}">
              <a16:creationId xmlns:a16="http://schemas.microsoft.com/office/drawing/2014/main" id="{00000000-0008-0000-1B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60455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202</xdr:row>
      <xdr:rowOff>152400</xdr:rowOff>
    </xdr:from>
    <xdr:to>
      <xdr:col>22</xdr:col>
      <xdr:colOff>1924050</xdr:colOff>
      <xdr:row>203</xdr:row>
      <xdr:rowOff>180975</xdr:rowOff>
    </xdr:to>
    <xdr:pic>
      <xdr:nvPicPr>
        <xdr:cNvPr id="7" name="Picture 6" descr="C:\WINDOWS\TEMP\~0003946.gif">
          <a:extLst>
            <a:ext uri="{FF2B5EF4-FFF2-40B4-BE49-F238E27FC236}">
              <a16:creationId xmlns:a16="http://schemas.microsoft.com/office/drawing/2014/main" id="{00000000-0008-0000-1B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1195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8" name="Picture 7" descr="C:\WINDOWS\TEMP\~0003946.gif">
          <a:extLst>
            <a:ext uri="{FF2B5EF4-FFF2-40B4-BE49-F238E27FC236}">
              <a16:creationId xmlns:a16="http://schemas.microsoft.com/office/drawing/2014/main" id="{00000000-0008-0000-1B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1B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1B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136</xdr:row>
      <xdr:rowOff>123825</xdr:rowOff>
    </xdr:from>
    <xdr:to>
      <xdr:col>22</xdr:col>
      <xdr:colOff>895350</xdr:colOff>
      <xdr:row>137</xdr:row>
      <xdr:rowOff>152400</xdr:rowOff>
    </xdr:to>
    <xdr:pic>
      <xdr:nvPicPr>
        <xdr:cNvPr id="11" name="Picture 10" descr="C:\WINDOWS\TEMP\~0003946.gif">
          <a:extLst>
            <a:ext uri="{FF2B5EF4-FFF2-40B4-BE49-F238E27FC236}">
              <a16:creationId xmlns:a16="http://schemas.microsoft.com/office/drawing/2014/main" id="{00000000-0008-0000-1B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879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202</xdr:row>
      <xdr:rowOff>104775</xdr:rowOff>
    </xdr:from>
    <xdr:to>
      <xdr:col>22</xdr:col>
      <xdr:colOff>809625</xdr:colOff>
      <xdr:row>203</xdr:row>
      <xdr:rowOff>133350</xdr:rowOff>
    </xdr:to>
    <xdr:pic>
      <xdr:nvPicPr>
        <xdr:cNvPr id="12" name="Picture 11" descr="C:\WINDOWS\TEMP\~0003946.gif">
          <a:extLst>
            <a:ext uri="{FF2B5EF4-FFF2-40B4-BE49-F238E27FC236}">
              <a16:creationId xmlns:a16="http://schemas.microsoft.com/office/drawing/2014/main" id="{00000000-0008-0000-1B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114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298</xdr:row>
      <xdr:rowOff>104775</xdr:rowOff>
    </xdr:from>
    <xdr:to>
      <xdr:col>22</xdr:col>
      <xdr:colOff>895350</xdr:colOff>
      <xdr:row>299</xdr:row>
      <xdr:rowOff>133350</xdr:rowOff>
    </xdr:to>
    <xdr:pic>
      <xdr:nvPicPr>
        <xdr:cNvPr id="13" name="Picture 12" descr="C:\WINDOWS\TEMP\~0003946.gif">
          <a:extLst>
            <a:ext uri="{FF2B5EF4-FFF2-40B4-BE49-F238E27FC236}">
              <a16:creationId xmlns:a16="http://schemas.microsoft.com/office/drawing/2014/main" id="{00000000-0008-0000-1B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604361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00000000-0008-0000-1B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136</xdr:row>
      <xdr:rowOff>38100</xdr:rowOff>
    </xdr:from>
    <xdr:to>
      <xdr:col>21</xdr:col>
      <xdr:colOff>1171575</xdr:colOff>
      <xdr:row>137</xdr:row>
      <xdr:rowOff>161925</xdr:rowOff>
    </xdr:to>
    <xdr:pic>
      <xdr:nvPicPr>
        <xdr:cNvPr id="15" name="Picture 14" descr="logoMTL">
          <a:extLst>
            <a:ext uri="{FF2B5EF4-FFF2-40B4-BE49-F238E27FC236}">
              <a16:creationId xmlns:a16="http://schemas.microsoft.com/office/drawing/2014/main" id="{00000000-0008-0000-1B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202</xdr:row>
      <xdr:rowOff>28575</xdr:rowOff>
    </xdr:from>
    <xdr:to>
      <xdr:col>21</xdr:col>
      <xdr:colOff>1171575</xdr:colOff>
      <xdr:row>203</xdr:row>
      <xdr:rowOff>152400</xdr:rowOff>
    </xdr:to>
    <xdr:pic>
      <xdr:nvPicPr>
        <xdr:cNvPr id="16" name="Picture 15" descr="logoMTL">
          <a:extLst>
            <a:ext uri="{FF2B5EF4-FFF2-40B4-BE49-F238E27FC236}">
              <a16:creationId xmlns:a16="http://schemas.microsoft.com/office/drawing/2014/main" id="{00000000-0008-0000-1B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1071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298</xdr:row>
      <xdr:rowOff>0</xdr:rowOff>
    </xdr:from>
    <xdr:to>
      <xdr:col>21</xdr:col>
      <xdr:colOff>1228725</xdr:colOff>
      <xdr:row>299</xdr:row>
      <xdr:rowOff>123825</xdr:rowOff>
    </xdr:to>
    <xdr:pic>
      <xdr:nvPicPr>
        <xdr:cNvPr id="17" name="Picture 16" descr="logoMTL">
          <a:extLst>
            <a:ext uri="{FF2B5EF4-FFF2-40B4-BE49-F238E27FC236}">
              <a16:creationId xmlns:a16="http://schemas.microsoft.com/office/drawing/2014/main" id="{00000000-0008-0000-1B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60331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136</xdr:row>
      <xdr:rowOff>161925</xdr:rowOff>
    </xdr:from>
    <xdr:to>
      <xdr:col>1</xdr:col>
      <xdr:colOff>28575</xdr:colOff>
      <xdr:row>137</xdr:row>
      <xdr:rowOff>200025</xdr:rowOff>
    </xdr:to>
    <xdr:pic>
      <xdr:nvPicPr>
        <xdr:cNvPr id="3" name="Picture 2" descr="C:\WINDOWS\TEMP\Symbol.gif">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202</xdr:row>
      <xdr:rowOff>171450</xdr:rowOff>
    </xdr:from>
    <xdr:to>
      <xdr:col>1</xdr:col>
      <xdr:colOff>47625</xdr:colOff>
      <xdr:row>203</xdr:row>
      <xdr:rowOff>209550</xdr:rowOff>
    </xdr:to>
    <xdr:pic>
      <xdr:nvPicPr>
        <xdr:cNvPr id="4" name="Picture 3" descr="C:\WINDOWS\TEMP\Symbol.gif">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1214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298</xdr:row>
      <xdr:rowOff>161925</xdr:rowOff>
    </xdr:from>
    <xdr:to>
      <xdr:col>1</xdr:col>
      <xdr:colOff>19050</xdr:colOff>
      <xdr:row>299</xdr:row>
      <xdr:rowOff>200025</xdr:rowOff>
    </xdr:to>
    <xdr:pic>
      <xdr:nvPicPr>
        <xdr:cNvPr id="5" name="Picture 4" descr="C:\WINDOWS\TEMP\Symbol.gif">
          <a:extLst>
            <a:ext uri="{FF2B5EF4-FFF2-40B4-BE49-F238E27FC236}">
              <a16:creationId xmlns:a16="http://schemas.microsoft.com/office/drawing/2014/main" id="{00000000-0008-0000-1C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604932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298</xdr:row>
      <xdr:rowOff>123825</xdr:rowOff>
    </xdr:from>
    <xdr:to>
      <xdr:col>22</xdr:col>
      <xdr:colOff>1895475</xdr:colOff>
      <xdr:row>299</xdr:row>
      <xdr:rowOff>152400</xdr:rowOff>
    </xdr:to>
    <xdr:pic>
      <xdr:nvPicPr>
        <xdr:cNvPr id="6" name="Picture 5" descr="C:\WINDOWS\TEMP\~0003946.gif">
          <a:extLst>
            <a:ext uri="{FF2B5EF4-FFF2-40B4-BE49-F238E27FC236}">
              <a16:creationId xmlns:a16="http://schemas.microsoft.com/office/drawing/2014/main" id="{00000000-0008-0000-1C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60455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202</xdr:row>
      <xdr:rowOff>152400</xdr:rowOff>
    </xdr:from>
    <xdr:to>
      <xdr:col>22</xdr:col>
      <xdr:colOff>1924050</xdr:colOff>
      <xdr:row>203</xdr:row>
      <xdr:rowOff>180975</xdr:rowOff>
    </xdr:to>
    <xdr:pic>
      <xdr:nvPicPr>
        <xdr:cNvPr id="7" name="Picture 6" descr="C:\WINDOWS\TEMP\~0003946.gif">
          <a:extLst>
            <a:ext uri="{FF2B5EF4-FFF2-40B4-BE49-F238E27FC236}">
              <a16:creationId xmlns:a16="http://schemas.microsoft.com/office/drawing/2014/main" id="{00000000-0008-0000-1C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1195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8" name="Picture 7" descr="C:\WINDOWS\TEMP\~0003946.gif">
          <a:extLst>
            <a:ext uri="{FF2B5EF4-FFF2-40B4-BE49-F238E27FC236}">
              <a16:creationId xmlns:a16="http://schemas.microsoft.com/office/drawing/2014/main" id="{00000000-0008-0000-1C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1C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1C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136</xdr:row>
      <xdr:rowOff>123825</xdr:rowOff>
    </xdr:from>
    <xdr:to>
      <xdr:col>22</xdr:col>
      <xdr:colOff>895350</xdr:colOff>
      <xdr:row>137</xdr:row>
      <xdr:rowOff>152400</xdr:rowOff>
    </xdr:to>
    <xdr:pic>
      <xdr:nvPicPr>
        <xdr:cNvPr id="11" name="Picture 10" descr="C:\WINDOWS\TEMP\~0003946.gif">
          <a:extLst>
            <a:ext uri="{FF2B5EF4-FFF2-40B4-BE49-F238E27FC236}">
              <a16:creationId xmlns:a16="http://schemas.microsoft.com/office/drawing/2014/main" id="{00000000-0008-0000-1C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879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202</xdr:row>
      <xdr:rowOff>104775</xdr:rowOff>
    </xdr:from>
    <xdr:to>
      <xdr:col>22</xdr:col>
      <xdr:colOff>809625</xdr:colOff>
      <xdr:row>203</xdr:row>
      <xdr:rowOff>133350</xdr:rowOff>
    </xdr:to>
    <xdr:pic>
      <xdr:nvPicPr>
        <xdr:cNvPr id="12" name="Picture 11" descr="C:\WINDOWS\TEMP\~0003946.gif">
          <a:extLst>
            <a:ext uri="{FF2B5EF4-FFF2-40B4-BE49-F238E27FC236}">
              <a16:creationId xmlns:a16="http://schemas.microsoft.com/office/drawing/2014/main" id="{00000000-0008-0000-1C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114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298</xdr:row>
      <xdr:rowOff>104775</xdr:rowOff>
    </xdr:from>
    <xdr:to>
      <xdr:col>22</xdr:col>
      <xdr:colOff>895350</xdr:colOff>
      <xdr:row>299</xdr:row>
      <xdr:rowOff>133350</xdr:rowOff>
    </xdr:to>
    <xdr:pic>
      <xdr:nvPicPr>
        <xdr:cNvPr id="13" name="Picture 12" descr="C:\WINDOWS\TEMP\~0003946.gif">
          <a:extLst>
            <a:ext uri="{FF2B5EF4-FFF2-40B4-BE49-F238E27FC236}">
              <a16:creationId xmlns:a16="http://schemas.microsoft.com/office/drawing/2014/main" id="{00000000-0008-0000-1C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604361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00000000-0008-0000-1C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136</xdr:row>
      <xdr:rowOff>38100</xdr:rowOff>
    </xdr:from>
    <xdr:to>
      <xdr:col>21</xdr:col>
      <xdr:colOff>1171575</xdr:colOff>
      <xdr:row>137</xdr:row>
      <xdr:rowOff>161925</xdr:rowOff>
    </xdr:to>
    <xdr:pic>
      <xdr:nvPicPr>
        <xdr:cNvPr id="15" name="Picture 14" descr="logoMTL">
          <a:extLst>
            <a:ext uri="{FF2B5EF4-FFF2-40B4-BE49-F238E27FC236}">
              <a16:creationId xmlns:a16="http://schemas.microsoft.com/office/drawing/2014/main" id="{00000000-0008-0000-1C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202</xdr:row>
      <xdr:rowOff>28575</xdr:rowOff>
    </xdr:from>
    <xdr:to>
      <xdr:col>21</xdr:col>
      <xdr:colOff>1171575</xdr:colOff>
      <xdr:row>203</xdr:row>
      <xdr:rowOff>152400</xdr:rowOff>
    </xdr:to>
    <xdr:pic>
      <xdr:nvPicPr>
        <xdr:cNvPr id="16" name="Picture 15" descr="logoMTL">
          <a:extLst>
            <a:ext uri="{FF2B5EF4-FFF2-40B4-BE49-F238E27FC236}">
              <a16:creationId xmlns:a16="http://schemas.microsoft.com/office/drawing/2014/main" id="{00000000-0008-0000-1C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1071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298</xdr:row>
      <xdr:rowOff>0</xdr:rowOff>
    </xdr:from>
    <xdr:to>
      <xdr:col>21</xdr:col>
      <xdr:colOff>1228725</xdr:colOff>
      <xdr:row>299</xdr:row>
      <xdr:rowOff>123825</xdr:rowOff>
    </xdr:to>
    <xdr:pic>
      <xdr:nvPicPr>
        <xdr:cNvPr id="17" name="Picture 16" descr="logoMTL">
          <a:extLst>
            <a:ext uri="{FF2B5EF4-FFF2-40B4-BE49-F238E27FC236}">
              <a16:creationId xmlns:a16="http://schemas.microsoft.com/office/drawing/2014/main" id="{00000000-0008-0000-1C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60331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6561" name="Picture 1" descr="C:\WINDOWS\TEMP\Symbol.gif">
          <a:extLst>
            <a:ext uri="{FF2B5EF4-FFF2-40B4-BE49-F238E27FC236}">
              <a16:creationId xmlns:a16="http://schemas.microsoft.com/office/drawing/2014/main" id="{00000000-0008-0000-0200-0000C167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137</xdr:row>
      <xdr:rowOff>161925</xdr:rowOff>
    </xdr:from>
    <xdr:to>
      <xdr:col>1</xdr:col>
      <xdr:colOff>28575</xdr:colOff>
      <xdr:row>138</xdr:row>
      <xdr:rowOff>200025</xdr:rowOff>
    </xdr:to>
    <xdr:pic>
      <xdr:nvPicPr>
        <xdr:cNvPr id="26562" name="Picture 2" descr="C:\WINDOWS\TEMP\Symbol.gif">
          <a:extLst>
            <a:ext uri="{FF2B5EF4-FFF2-40B4-BE49-F238E27FC236}">
              <a16:creationId xmlns:a16="http://schemas.microsoft.com/office/drawing/2014/main" id="{00000000-0008-0000-0200-0000C26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8575" y="281178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202</xdr:row>
      <xdr:rowOff>171450</xdr:rowOff>
    </xdr:from>
    <xdr:to>
      <xdr:col>1</xdr:col>
      <xdr:colOff>47625</xdr:colOff>
      <xdr:row>203</xdr:row>
      <xdr:rowOff>209550</xdr:rowOff>
    </xdr:to>
    <xdr:pic>
      <xdr:nvPicPr>
        <xdr:cNvPr id="26563" name="Picture 3" descr="C:\WINDOWS\TEMP\Symbol.gif">
          <a:extLst>
            <a:ext uri="{FF2B5EF4-FFF2-40B4-BE49-F238E27FC236}">
              <a16:creationId xmlns:a16="http://schemas.microsoft.com/office/drawing/2014/main" id="{00000000-0008-0000-0200-0000C367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1214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286</xdr:row>
      <xdr:rowOff>161925</xdr:rowOff>
    </xdr:from>
    <xdr:to>
      <xdr:col>1</xdr:col>
      <xdr:colOff>19050</xdr:colOff>
      <xdr:row>287</xdr:row>
      <xdr:rowOff>200025</xdr:rowOff>
    </xdr:to>
    <xdr:pic>
      <xdr:nvPicPr>
        <xdr:cNvPr id="26564" name="Picture 4" descr="C:\WINDOWS\TEMP\Symbol.gif">
          <a:extLst>
            <a:ext uri="{FF2B5EF4-FFF2-40B4-BE49-F238E27FC236}">
              <a16:creationId xmlns:a16="http://schemas.microsoft.com/office/drawing/2014/main" id="{00000000-0008-0000-0200-0000C467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0929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286</xdr:row>
      <xdr:rowOff>123825</xdr:rowOff>
    </xdr:from>
    <xdr:to>
      <xdr:col>22</xdr:col>
      <xdr:colOff>1895475</xdr:colOff>
      <xdr:row>287</xdr:row>
      <xdr:rowOff>152400</xdr:rowOff>
    </xdr:to>
    <xdr:pic>
      <xdr:nvPicPr>
        <xdr:cNvPr id="26565" name="Picture 5" descr="C:\WINDOWS\TEMP\~0003946.gif">
          <a:extLst>
            <a:ext uri="{FF2B5EF4-FFF2-40B4-BE49-F238E27FC236}">
              <a16:creationId xmlns:a16="http://schemas.microsoft.com/office/drawing/2014/main" id="{00000000-0008-0000-0200-0000C567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8054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202</xdr:row>
      <xdr:rowOff>152400</xdr:rowOff>
    </xdr:from>
    <xdr:to>
      <xdr:col>22</xdr:col>
      <xdr:colOff>1924050</xdr:colOff>
      <xdr:row>203</xdr:row>
      <xdr:rowOff>180975</xdr:rowOff>
    </xdr:to>
    <xdr:pic>
      <xdr:nvPicPr>
        <xdr:cNvPr id="26566" name="Picture 6" descr="C:\WINDOWS\TEMP\~0003946.gif">
          <a:extLst>
            <a:ext uri="{FF2B5EF4-FFF2-40B4-BE49-F238E27FC236}">
              <a16:creationId xmlns:a16="http://schemas.microsoft.com/office/drawing/2014/main" id="{00000000-0008-0000-0200-0000C667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1195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137</xdr:row>
      <xdr:rowOff>161925</xdr:rowOff>
    </xdr:from>
    <xdr:to>
      <xdr:col>22</xdr:col>
      <xdr:colOff>1952625</xdr:colOff>
      <xdr:row>138</xdr:row>
      <xdr:rowOff>190500</xdr:rowOff>
    </xdr:to>
    <xdr:pic>
      <xdr:nvPicPr>
        <xdr:cNvPr id="26567" name="Picture 7" descr="C:\WINDOWS\TEMP\~0003946.gif">
          <a:extLst>
            <a:ext uri="{FF2B5EF4-FFF2-40B4-BE49-F238E27FC236}">
              <a16:creationId xmlns:a16="http://schemas.microsoft.com/office/drawing/2014/main" id="{00000000-0008-0000-0200-0000C767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8117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26568" name="Picture 8" descr="C:\WINDOWS\TEMP\~0003946.gif">
          <a:extLst>
            <a:ext uri="{FF2B5EF4-FFF2-40B4-BE49-F238E27FC236}">
              <a16:creationId xmlns:a16="http://schemas.microsoft.com/office/drawing/2014/main" id="{00000000-0008-0000-0200-0000C867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26569" name="Picture 9" descr="C:\WINDOWS\TEMP\~0003946.gif">
          <a:extLst>
            <a:ext uri="{FF2B5EF4-FFF2-40B4-BE49-F238E27FC236}">
              <a16:creationId xmlns:a16="http://schemas.microsoft.com/office/drawing/2014/main" id="{00000000-0008-0000-0200-0000C967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137</xdr:row>
      <xdr:rowOff>123825</xdr:rowOff>
    </xdr:from>
    <xdr:to>
      <xdr:col>22</xdr:col>
      <xdr:colOff>895350</xdr:colOff>
      <xdr:row>138</xdr:row>
      <xdr:rowOff>152400</xdr:rowOff>
    </xdr:to>
    <xdr:pic>
      <xdr:nvPicPr>
        <xdr:cNvPr id="26570" name="Picture 10" descr="C:\WINDOWS\TEMP\~0003946.gif">
          <a:extLst>
            <a:ext uri="{FF2B5EF4-FFF2-40B4-BE49-F238E27FC236}">
              <a16:creationId xmlns:a16="http://schemas.microsoft.com/office/drawing/2014/main" id="{00000000-0008-0000-0200-0000CA67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80797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202</xdr:row>
      <xdr:rowOff>104775</xdr:rowOff>
    </xdr:from>
    <xdr:to>
      <xdr:col>22</xdr:col>
      <xdr:colOff>809625</xdr:colOff>
      <xdr:row>203</xdr:row>
      <xdr:rowOff>133350</xdr:rowOff>
    </xdr:to>
    <xdr:pic>
      <xdr:nvPicPr>
        <xdr:cNvPr id="26571" name="Picture 11" descr="C:\WINDOWS\TEMP\~0003946.gif">
          <a:extLst>
            <a:ext uri="{FF2B5EF4-FFF2-40B4-BE49-F238E27FC236}">
              <a16:creationId xmlns:a16="http://schemas.microsoft.com/office/drawing/2014/main" id="{00000000-0008-0000-0200-0000CB67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114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286</xdr:row>
      <xdr:rowOff>104775</xdr:rowOff>
    </xdr:from>
    <xdr:to>
      <xdr:col>22</xdr:col>
      <xdr:colOff>895350</xdr:colOff>
      <xdr:row>287</xdr:row>
      <xdr:rowOff>133350</xdr:rowOff>
    </xdr:to>
    <xdr:pic>
      <xdr:nvPicPr>
        <xdr:cNvPr id="26572" name="Picture 12" descr="C:\WINDOWS\TEMP\~0003946.gif">
          <a:extLst>
            <a:ext uri="{FF2B5EF4-FFF2-40B4-BE49-F238E27FC236}">
              <a16:creationId xmlns:a16="http://schemas.microsoft.com/office/drawing/2014/main" id="{00000000-0008-0000-0200-0000CC67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80358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26573" name="Picture 13" descr="logoMTL">
          <a:extLst>
            <a:ext uri="{FF2B5EF4-FFF2-40B4-BE49-F238E27FC236}">
              <a16:creationId xmlns:a16="http://schemas.microsoft.com/office/drawing/2014/main" id="{00000000-0008-0000-0200-0000CD6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137</xdr:row>
      <xdr:rowOff>38100</xdr:rowOff>
    </xdr:from>
    <xdr:to>
      <xdr:col>21</xdr:col>
      <xdr:colOff>1171575</xdr:colOff>
      <xdr:row>138</xdr:row>
      <xdr:rowOff>161925</xdr:rowOff>
    </xdr:to>
    <xdr:pic>
      <xdr:nvPicPr>
        <xdr:cNvPr id="26574" name="Picture 14" descr="logoMTL">
          <a:extLst>
            <a:ext uri="{FF2B5EF4-FFF2-40B4-BE49-F238E27FC236}">
              <a16:creationId xmlns:a16="http://schemas.microsoft.com/office/drawing/2014/main" id="{00000000-0008-0000-0200-0000CE6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9939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202</xdr:row>
      <xdr:rowOff>28575</xdr:rowOff>
    </xdr:from>
    <xdr:to>
      <xdr:col>21</xdr:col>
      <xdr:colOff>1171575</xdr:colOff>
      <xdr:row>203</xdr:row>
      <xdr:rowOff>152400</xdr:rowOff>
    </xdr:to>
    <xdr:pic>
      <xdr:nvPicPr>
        <xdr:cNvPr id="26575" name="Picture 15" descr="logoMTL">
          <a:extLst>
            <a:ext uri="{FF2B5EF4-FFF2-40B4-BE49-F238E27FC236}">
              <a16:creationId xmlns:a16="http://schemas.microsoft.com/office/drawing/2014/main" id="{00000000-0008-0000-0200-0000CF6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1071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286</xdr:row>
      <xdr:rowOff>0</xdr:rowOff>
    </xdr:from>
    <xdr:to>
      <xdr:col>21</xdr:col>
      <xdr:colOff>1228725</xdr:colOff>
      <xdr:row>287</xdr:row>
      <xdr:rowOff>123825</xdr:rowOff>
    </xdr:to>
    <xdr:pic>
      <xdr:nvPicPr>
        <xdr:cNvPr id="26576" name="Picture 16" descr="logoMTL">
          <a:extLst>
            <a:ext uri="{FF2B5EF4-FFF2-40B4-BE49-F238E27FC236}">
              <a16:creationId xmlns:a16="http://schemas.microsoft.com/office/drawing/2014/main" id="{00000000-0008-0000-0200-0000D06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79310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136</xdr:row>
      <xdr:rowOff>161925</xdr:rowOff>
    </xdr:from>
    <xdr:to>
      <xdr:col>1</xdr:col>
      <xdr:colOff>28575</xdr:colOff>
      <xdr:row>137</xdr:row>
      <xdr:rowOff>200025</xdr:rowOff>
    </xdr:to>
    <xdr:pic>
      <xdr:nvPicPr>
        <xdr:cNvPr id="3" name="Picture 2" descr="C:\WINDOWS\TEMP\Symbol.gif">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202</xdr:row>
      <xdr:rowOff>171450</xdr:rowOff>
    </xdr:from>
    <xdr:to>
      <xdr:col>1</xdr:col>
      <xdr:colOff>47625</xdr:colOff>
      <xdr:row>203</xdr:row>
      <xdr:rowOff>209550</xdr:rowOff>
    </xdr:to>
    <xdr:pic>
      <xdr:nvPicPr>
        <xdr:cNvPr id="4" name="Picture 3" descr="C:\WINDOWS\TEMP\Symbol.gif">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1214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298</xdr:row>
      <xdr:rowOff>161925</xdr:rowOff>
    </xdr:from>
    <xdr:to>
      <xdr:col>1</xdr:col>
      <xdr:colOff>19050</xdr:colOff>
      <xdr:row>299</xdr:row>
      <xdr:rowOff>200025</xdr:rowOff>
    </xdr:to>
    <xdr:pic>
      <xdr:nvPicPr>
        <xdr:cNvPr id="5" name="Picture 4" descr="C:\WINDOWS\TEMP\Symbol.gif">
          <a:extLst>
            <a:ext uri="{FF2B5EF4-FFF2-40B4-BE49-F238E27FC236}">
              <a16:creationId xmlns:a16="http://schemas.microsoft.com/office/drawing/2014/main" id="{00000000-0008-0000-1D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604932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298</xdr:row>
      <xdr:rowOff>123825</xdr:rowOff>
    </xdr:from>
    <xdr:to>
      <xdr:col>22</xdr:col>
      <xdr:colOff>1895475</xdr:colOff>
      <xdr:row>299</xdr:row>
      <xdr:rowOff>152400</xdr:rowOff>
    </xdr:to>
    <xdr:pic>
      <xdr:nvPicPr>
        <xdr:cNvPr id="6" name="Picture 5" descr="C:\WINDOWS\TEMP\~0003946.gif">
          <a:extLst>
            <a:ext uri="{FF2B5EF4-FFF2-40B4-BE49-F238E27FC236}">
              <a16:creationId xmlns:a16="http://schemas.microsoft.com/office/drawing/2014/main" id="{00000000-0008-0000-1D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60455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202</xdr:row>
      <xdr:rowOff>152400</xdr:rowOff>
    </xdr:from>
    <xdr:to>
      <xdr:col>22</xdr:col>
      <xdr:colOff>1924050</xdr:colOff>
      <xdr:row>203</xdr:row>
      <xdr:rowOff>180975</xdr:rowOff>
    </xdr:to>
    <xdr:pic>
      <xdr:nvPicPr>
        <xdr:cNvPr id="7" name="Picture 6" descr="C:\WINDOWS\TEMP\~0003946.gif">
          <a:extLst>
            <a:ext uri="{FF2B5EF4-FFF2-40B4-BE49-F238E27FC236}">
              <a16:creationId xmlns:a16="http://schemas.microsoft.com/office/drawing/2014/main" id="{00000000-0008-0000-1D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1195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8" name="Picture 7" descr="C:\WINDOWS\TEMP\~0003946.gif">
          <a:extLst>
            <a:ext uri="{FF2B5EF4-FFF2-40B4-BE49-F238E27FC236}">
              <a16:creationId xmlns:a16="http://schemas.microsoft.com/office/drawing/2014/main" id="{00000000-0008-0000-1D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1D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1D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136</xdr:row>
      <xdr:rowOff>123825</xdr:rowOff>
    </xdr:from>
    <xdr:to>
      <xdr:col>22</xdr:col>
      <xdr:colOff>895350</xdr:colOff>
      <xdr:row>137</xdr:row>
      <xdr:rowOff>152400</xdr:rowOff>
    </xdr:to>
    <xdr:pic>
      <xdr:nvPicPr>
        <xdr:cNvPr id="11" name="Picture 10" descr="C:\WINDOWS\TEMP\~0003946.gif">
          <a:extLst>
            <a:ext uri="{FF2B5EF4-FFF2-40B4-BE49-F238E27FC236}">
              <a16:creationId xmlns:a16="http://schemas.microsoft.com/office/drawing/2014/main" id="{00000000-0008-0000-1D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879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202</xdr:row>
      <xdr:rowOff>104775</xdr:rowOff>
    </xdr:from>
    <xdr:to>
      <xdr:col>22</xdr:col>
      <xdr:colOff>809625</xdr:colOff>
      <xdr:row>203</xdr:row>
      <xdr:rowOff>133350</xdr:rowOff>
    </xdr:to>
    <xdr:pic>
      <xdr:nvPicPr>
        <xdr:cNvPr id="12" name="Picture 11" descr="C:\WINDOWS\TEMP\~0003946.gif">
          <a:extLst>
            <a:ext uri="{FF2B5EF4-FFF2-40B4-BE49-F238E27FC236}">
              <a16:creationId xmlns:a16="http://schemas.microsoft.com/office/drawing/2014/main" id="{00000000-0008-0000-1D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114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298</xdr:row>
      <xdr:rowOff>104775</xdr:rowOff>
    </xdr:from>
    <xdr:to>
      <xdr:col>22</xdr:col>
      <xdr:colOff>895350</xdr:colOff>
      <xdr:row>299</xdr:row>
      <xdr:rowOff>133350</xdr:rowOff>
    </xdr:to>
    <xdr:pic>
      <xdr:nvPicPr>
        <xdr:cNvPr id="13" name="Picture 12" descr="C:\WINDOWS\TEMP\~0003946.gif">
          <a:extLst>
            <a:ext uri="{FF2B5EF4-FFF2-40B4-BE49-F238E27FC236}">
              <a16:creationId xmlns:a16="http://schemas.microsoft.com/office/drawing/2014/main" id="{00000000-0008-0000-1D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604361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00000000-0008-0000-1D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136</xdr:row>
      <xdr:rowOff>38100</xdr:rowOff>
    </xdr:from>
    <xdr:to>
      <xdr:col>21</xdr:col>
      <xdr:colOff>1171575</xdr:colOff>
      <xdr:row>137</xdr:row>
      <xdr:rowOff>161925</xdr:rowOff>
    </xdr:to>
    <xdr:pic>
      <xdr:nvPicPr>
        <xdr:cNvPr id="15" name="Picture 14" descr="logoMTL">
          <a:extLst>
            <a:ext uri="{FF2B5EF4-FFF2-40B4-BE49-F238E27FC236}">
              <a16:creationId xmlns:a16="http://schemas.microsoft.com/office/drawing/2014/main" id="{00000000-0008-0000-1D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202</xdr:row>
      <xdr:rowOff>28575</xdr:rowOff>
    </xdr:from>
    <xdr:to>
      <xdr:col>21</xdr:col>
      <xdr:colOff>1171575</xdr:colOff>
      <xdr:row>203</xdr:row>
      <xdr:rowOff>152400</xdr:rowOff>
    </xdr:to>
    <xdr:pic>
      <xdr:nvPicPr>
        <xdr:cNvPr id="16" name="Picture 15" descr="logoMTL">
          <a:extLst>
            <a:ext uri="{FF2B5EF4-FFF2-40B4-BE49-F238E27FC236}">
              <a16:creationId xmlns:a16="http://schemas.microsoft.com/office/drawing/2014/main" id="{00000000-0008-0000-1D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1071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298</xdr:row>
      <xdr:rowOff>0</xdr:rowOff>
    </xdr:from>
    <xdr:to>
      <xdr:col>21</xdr:col>
      <xdr:colOff>1228725</xdr:colOff>
      <xdr:row>299</xdr:row>
      <xdr:rowOff>123825</xdr:rowOff>
    </xdr:to>
    <xdr:pic>
      <xdr:nvPicPr>
        <xdr:cNvPr id="17" name="Picture 16" descr="logoMTL">
          <a:extLst>
            <a:ext uri="{FF2B5EF4-FFF2-40B4-BE49-F238E27FC236}">
              <a16:creationId xmlns:a16="http://schemas.microsoft.com/office/drawing/2014/main" id="{00000000-0008-0000-1D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60331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136</xdr:row>
      <xdr:rowOff>161925</xdr:rowOff>
    </xdr:from>
    <xdr:to>
      <xdr:col>1</xdr:col>
      <xdr:colOff>28575</xdr:colOff>
      <xdr:row>137</xdr:row>
      <xdr:rowOff>200025</xdr:rowOff>
    </xdr:to>
    <xdr:pic>
      <xdr:nvPicPr>
        <xdr:cNvPr id="3" name="Picture 2" descr="C:\WINDOWS\TEMP\Symbol.gif">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202</xdr:row>
      <xdr:rowOff>171450</xdr:rowOff>
    </xdr:from>
    <xdr:to>
      <xdr:col>1</xdr:col>
      <xdr:colOff>47625</xdr:colOff>
      <xdr:row>203</xdr:row>
      <xdr:rowOff>209550</xdr:rowOff>
    </xdr:to>
    <xdr:pic>
      <xdr:nvPicPr>
        <xdr:cNvPr id="4" name="Picture 3" descr="C:\WINDOWS\TEMP\Symbol.gif">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1214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298</xdr:row>
      <xdr:rowOff>161925</xdr:rowOff>
    </xdr:from>
    <xdr:to>
      <xdr:col>1</xdr:col>
      <xdr:colOff>19050</xdr:colOff>
      <xdr:row>299</xdr:row>
      <xdr:rowOff>200025</xdr:rowOff>
    </xdr:to>
    <xdr:pic>
      <xdr:nvPicPr>
        <xdr:cNvPr id="5" name="Picture 4" descr="C:\WINDOWS\TEMP\Symbol.gif">
          <a:extLst>
            <a:ext uri="{FF2B5EF4-FFF2-40B4-BE49-F238E27FC236}">
              <a16:creationId xmlns:a16="http://schemas.microsoft.com/office/drawing/2014/main" id="{00000000-0008-0000-1E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604932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298</xdr:row>
      <xdr:rowOff>123825</xdr:rowOff>
    </xdr:from>
    <xdr:to>
      <xdr:col>22</xdr:col>
      <xdr:colOff>1895475</xdr:colOff>
      <xdr:row>299</xdr:row>
      <xdr:rowOff>152400</xdr:rowOff>
    </xdr:to>
    <xdr:pic>
      <xdr:nvPicPr>
        <xdr:cNvPr id="6" name="Picture 5" descr="C:\WINDOWS\TEMP\~0003946.gif">
          <a:extLst>
            <a:ext uri="{FF2B5EF4-FFF2-40B4-BE49-F238E27FC236}">
              <a16:creationId xmlns:a16="http://schemas.microsoft.com/office/drawing/2014/main" id="{00000000-0008-0000-1E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60455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202</xdr:row>
      <xdr:rowOff>152400</xdr:rowOff>
    </xdr:from>
    <xdr:to>
      <xdr:col>22</xdr:col>
      <xdr:colOff>1924050</xdr:colOff>
      <xdr:row>203</xdr:row>
      <xdr:rowOff>180975</xdr:rowOff>
    </xdr:to>
    <xdr:pic>
      <xdr:nvPicPr>
        <xdr:cNvPr id="7" name="Picture 6" descr="C:\WINDOWS\TEMP\~0003946.gif">
          <a:extLst>
            <a:ext uri="{FF2B5EF4-FFF2-40B4-BE49-F238E27FC236}">
              <a16:creationId xmlns:a16="http://schemas.microsoft.com/office/drawing/2014/main" id="{00000000-0008-0000-1E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1195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8" name="Picture 7" descr="C:\WINDOWS\TEMP\~0003946.gif">
          <a:extLst>
            <a:ext uri="{FF2B5EF4-FFF2-40B4-BE49-F238E27FC236}">
              <a16:creationId xmlns:a16="http://schemas.microsoft.com/office/drawing/2014/main" id="{00000000-0008-0000-1E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1E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1E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136</xdr:row>
      <xdr:rowOff>123825</xdr:rowOff>
    </xdr:from>
    <xdr:to>
      <xdr:col>22</xdr:col>
      <xdr:colOff>895350</xdr:colOff>
      <xdr:row>137</xdr:row>
      <xdr:rowOff>152400</xdr:rowOff>
    </xdr:to>
    <xdr:pic>
      <xdr:nvPicPr>
        <xdr:cNvPr id="11" name="Picture 10" descr="C:\WINDOWS\TEMP\~0003946.gif">
          <a:extLst>
            <a:ext uri="{FF2B5EF4-FFF2-40B4-BE49-F238E27FC236}">
              <a16:creationId xmlns:a16="http://schemas.microsoft.com/office/drawing/2014/main" id="{00000000-0008-0000-1E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879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202</xdr:row>
      <xdr:rowOff>104775</xdr:rowOff>
    </xdr:from>
    <xdr:to>
      <xdr:col>22</xdr:col>
      <xdr:colOff>809625</xdr:colOff>
      <xdr:row>203</xdr:row>
      <xdr:rowOff>133350</xdr:rowOff>
    </xdr:to>
    <xdr:pic>
      <xdr:nvPicPr>
        <xdr:cNvPr id="12" name="Picture 11" descr="C:\WINDOWS\TEMP\~0003946.gif">
          <a:extLst>
            <a:ext uri="{FF2B5EF4-FFF2-40B4-BE49-F238E27FC236}">
              <a16:creationId xmlns:a16="http://schemas.microsoft.com/office/drawing/2014/main" id="{00000000-0008-0000-1E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114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298</xdr:row>
      <xdr:rowOff>104775</xdr:rowOff>
    </xdr:from>
    <xdr:to>
      <xdr:col>22</xdr:col>
      <xdr:colOff>895350</xdr:colOff>
      <xdr:row>299</xdr:row>
      <xdr:rowOff>133350</xdr:rowOff>
    </xdr:to>
    <xdr:pic>
      <xdr:nvPicPr>
        <xdr:cNvPr id="13" name="Picture 12" descr="C:\WINDOWS\TEMP\~0003946.gif">
          <a:extLst>
            <a:ext uri="{FF2B5EF4-FFF2-40B4-BE49-F238E27FC236}">
              <a16:creationId xmlns:a16="http://schemas.microsoft.com/office/drawing/2014/main" id="{00000000-0008-0000-1E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604361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00000000-0008-0000-1E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136</xdr:row>
      <xdr:rowOff>38100</xdr:rowOff>
    </xdr:from>
    <xdr:to>
      <xdr:col>21</xdr:col>
      <xdr:colOff>1171575</xdr:colOff>
      <xdr:row>137</xdr:row>
      <xdr:rowOff>161925</xdr:rowOff>
    </xdr:to>
    <xdr:pic>
      <xdr:nvPicPr>
        <xdr:cNvPr id="15" name="Picture 14" descr="logoMTL">
          <a:extLst>
            <a:ext uri="{FF2B5EF4-FFF2-40B4-BE49-F238E27FC236}">
              <a16:creationId xmlns:a16="http://schemas.microsoft.com/office/drawing/2014/main" id="{00000000-0008-0000-1E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202</xdr:row>
      <xdr:rowOff>28575</xdr:rowOff>
    </xdr:from>
    <xdr:to>
      <xdr:col>21</xdr:col>
      <xdr:colOff>1171575</xdr:colOff>
      <xdr:row>203</xdr:row>
      <xdr:rowOff>152400</xdr:rowOff>
    </xdr:to>
    <xdr:pic>
      <xdr:nvPicPr>
        <xdr:cNvPr id="16" name="Picture 15" descr="logoMTL">
          <a:extLst>
            <a:ext uri="{FF2B5EF4-FFF2-40B4-BE49-F238E27FC236}">
              <a16:creationId xmlns:a16="http://schemas.microsoft.com/office/drawing/2014/main" id="{00000000-0008-0000-1E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1071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298</xdr:row>
      <xdr:rowOff>0</xdr:rowOff>
    </xdr:from>
    <xdr:to>
      <xdr:col>21</xdr:col>
      <xdr:colOff>1228725</xdr:colOff>
      <xdr:row>299</xdr:row>
      <xdr:rowOff>123825</xdr:rowOff>
    </xdr:to>
    <xdr:pic>
      <xdr:nvPicPr>
        <xdr:cNvPr id="17" name="Picture 16" descr="logoMTL">
          <a:extLst>
            <a:ext uri="{FF2B5EF4-FFF2-40B4-BE49-F238E27FC236}">
              <a16:creationId xmlns:a16="http://schemas.microsoft.com/office/drawing/2014/main" id="{00000000-0008-0000-1E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60331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136</xdr:row>
      <xdr:rowOff>161925</xdr:rowOff>
    </xdr:from>
    <xdr:to>
      <xdr:col>1</xdr:col>
      <xdr:colOff>28575</xdr:colOff>
      <xdr:row>137</xdr:row>
      <xdr:rowOff>200025</xdr:rowOff>
    </xdr:to>
    <xdr:pic>
      <xdr:nvPicPr>
        <xdr:cNvPr id="3" name="Picture 2" descr="C:\WINDOWS\TEMP\Symbol.gif">
          <a:extLst>
            <a:ext uri="{FF2B5EF4-FFF2-40B4-BE49-F238E27FC236}">
              <a16:creationId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202</xdr:row>
      <xdr:rowOff>171450</xdr:rowOff>
    </xdr:from>
    <xdr:to>
      <xdr:col>1</xdr:col>
      <xdr:colOff>47625</xdr:colOff>
      <xdr:row>203</xdr:row>
      <xdr:rowOff>209550</xdr:rowOff>
    </xdr:to>
    <xdr:pic>
      <xdr:nvPicPr>
        <xdr:cNvPr id="4" name="Picture 3" descr="C:\WINDOWS\TEMP\Symbol.gif">
          <a:extLst>
            <a:ext uri="{FF2B5EF4-FFF2-40B4-BE49-F238E27FC236}">
              <a16:creationId xmlns:a16="http://schemas.microsoft.com/office/drawing/2014/main" id="{00000000-0008-0000-1F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1214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298</xdr:row>
      <xdr:rowOff>161925</xdr:rowOff>
    </xdr:from>
    <xdr:to>
      <xdr:col>1</xdr:col>
      <xdr:colOff>19050</xdr:colOff>
      <xdr:row>299</xdr:row>
      <xdr:rowOff>200025</xdr:rowOff>
    </xdr:to>
    <xdr:pic>
      <xdr:nvPicPr>
        <xdr:cNvPr id="5" name="Picture 4" descr="C:\WINDOWS\TEMP\Symbol.gif">
          <a:extLst>
            <a:ext uri="{FF2B5EF4-FFF2-40B4-BE49-F238E27FC236}">
              <a16:creationId xmlns:a16="http://schemas.microsoft.com/office/drawing/2014/main" id="{00000000-0008-0000-1F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604932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298</xdr:row>
      <xdr:rowOff>123825</xdr:rowOff>
    </xdr:from>
    <xdr:to>
      <xdr:col>22</xdr:col>
      <xdr:colOff>1895475</xdr:colOff>
      <xdr:row>299</xdr:row>
      <xdr:rowOff>152400</xdr:rowOff>
    </xdr:to>
    <xdr:pic>
      <xdr:nvPicPr>
        <xdr:cNvPr id="6" name="Picture 5" descr="C:\WINDOWS\TEMP\~0003946.gif">
          <a:extLst>
            <a:ext uri="{FF2B5EF4-FFF2-40B4-BE49-F238E27FC236}">
              <a16:creationId xmlns:a16="http://schemas.microsoft.com/office/drawing/2014/main" id="{00000000-0008-0000-1F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60455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202</xdr:row>
      <xdr:rowOff>152400</xdr:rowOff>
    </xdr:from>
    <xdr:to>
      <xdr:col>22</xdr:col>
      <xdr:colOff>1924050</xdr:colOff>
      <xdr:row>203</xdr:row>
      <xdr:rowOff>180975</xdr:rowOff>
    </xdr:to>
    <xdr:pic>
      <xdr:nvPicPr>
        <xdr:cNvPr id="7" name="Picture 6" descr="C:\WINDOWS\TEMP\~0003946.gif">
          <a:extLst>
            <a:ext uri="{FF2B5EF4-FFF2-40B4-BE49-F238E27FC236}">
              <a16:creationId xmlns:a16="http://schemas.microsoft.com/office/drawing/2014/main" id="{00000000-0008-0000-1F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1195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8" name="Picture 7" descr="C:\WINDOWS\TEMP\~0003946.gif">
          <a:extLst>
            <a:ext uri="{FF2B5EF4-FFF2-40B4-BE49-F238E27FC236}">
              <a16:creationId xmlns:a16="http://schemas.microsoft.com/office/drawing/2014/main" id="{00000000-0008-0000-1F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1F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1F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136</xdr:row>
      <xdr:rowOff>123825</xdr:rowOff>
    </xdr:from>
    <xdr:to>
      <xdr:col>22</xdr:col>
      <xdr:colOff>895350</xdr:colOff>
      <xdr:row>137</xdr:row>
      <xdr:rowOff>152400</xdr:rowOff>
    </xdr:to>
    <xdr:pic>
      <xdr:nvPicPr>
        <xdr:cNvPr id="11" name="Picture 10" descr="C:\WINDOWS\TEMP\~0003946.gif">
          <a:extLst>
            <a:ext uri="{FF2B5EF4-FFF2-40B4-BE49-F238E27FC236}">
              <a16:creationId xmlns:a16="http://schemas.microsoft.com/office/drawing/2014/main" id="{00000000-0008-0000-1F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879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202</xdr:row>
      <xdr:rowOff>104775</xdr:rowOff>
    </xdr:from>
    <xdr:to>
      <xdr:col>22</xdr:col>
      <xdr:colOff>809625</xdr:colOff>
      <xdr:row>203</xdr:row>
      <xdr:rowOff>133350</xdr:rowOff>
    </xdr:to>
    <xdr:pic>
      <xdr:nvPicPr>
        <xdr:cNvPr id="12" name="Picture 11" descr="C:\WINDOWS\TEMP\~0003946.gif">
          <a:extLst>
            <a:ext uri="{FF2B5EF4-FFF2-40B4-BE49-F238E27FC236}">
              <a16:creationId xmlns:a16="http://schemas.microsoft.com/office/drawing/2014/main" id="{00000000-0008-0000-1F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114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298</xdr:row>
      <xdr:rowOff>104775</xdr:rowOff>
    </xdr:from>
    <xdr:to>
      <xdr:col>22</xdr:col>
      <xdr:colOff>895350</xdr:colOff>
      <xdr:row>299</xdr:row>
      <xdr:rowOff>133350</xdr:rowOff>
    </xdr:to>
    <xdr:pic>
      <xdr:nvPicPr>
        <xdr:cNvPr id="13" name="Picture 12" descr="C:\WINDOWS\TEMP\~0003946.gif">
          <a:extLst>
            <a:ext uri="{FF2B5EF4-FFF2-40B4-BE49-F238E27FC236}">
              <a16:creationId xmlns:a16="http://schemas.microsoft.com/office/drawing/2014/main" id="{00000000-0008-0000-1F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604361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00000000-0008-0000-1F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136</xdr:row>
      <xdr:rowOff>38100</xdr:rowOff>
    </xdr:from>
    <xdr:to>
      <xdr:col>21</xdr:col>
      <xdr:colOff>1171575</xdr:colOff>
      <xdr:row>137</xdr:row>
      <xdr:rowOff>161925</xdr:rowOff>
    </xdr:to>
    <xdr:pic>
      <xdr:nvPicPr>
        <xdr:cNvPr id="15" name="Picture 14" descr="logoMTL">
          <a:extLst>
            <a:ext uri="{FF2B5EF4-FFF2-40B4-BE49-F238E27FC236}">
              <a16:creationId xmlns:a16="http://schemas.microsoft.com/office/drawing/2014/main" id="{00000000-0008-0000-1F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202</xdr:row>
      <xdr:rowOff>28575</xdr:rowOff>
    </xdr:from>
    <xdr:to>
      <xdr:col>21</xdr:col>
      <xdr:colOff>1171575</xdr:colOff>
      <xdr:row>203</xdr:row>
      <xdr:rowOff>152400</xdr:rowOff>
    </xdr:to>
    <xdr:pic>
      <xdr:nvPicPr>
        <xdr:cNvPr id="16" name="Picture 15" descr="logoMTL">
          <a:extLst>
            <a:ext uri="{FF2B5EF4-FFF2-40B4-BE49-F238E27FC236}">
              <a16:creationId xmlns:a16="http://schemas.microsoft.com/office/drawing/2014/main" id="{00000000-0008-0000-1F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1071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298</xdr:row>
      <xdr:rowOff>0</xdr:rowOff>
    </xdr:from>
    <xdr:to>
      <xdr:col>21</xdr:col>
      <xdr:colOff>1228725</xdr:colOff>
      <xdr:row>299</xdr:row>
      <xdr:rowOff>123825</xdr:rowOff>
    </xdr:to>
    <xdr:pic>
      <xdr:nvPicPr>
        <xdr:cNvPr id="17" name="Picture 16" descr="logoMTL">
          <a:extLst>
            <a:ext uri="{FF2B5EF4-FFF2-40B4-BE49-F238E27FC236}">
              <a16:creationId xmlns:a16="http://schemas.microsoft.com/office/drawing/2014/main" id="{00000000-0008-0000-1F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60331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136</xdr:row>
      <xdr:rowOff>161925</xdr:rowOff>
    </xdr:from>
    <xdr:to>
      <xdr:col>1</xdr:col>
      <xdr:colOff>28575</xdr:colOff>
      <xdr:row>137</xdr:row>
      <xdr:rowOff>200025</xdr:rowOff>
    </xdr:to>
    <xdr:pic>
      <xdr:nvPicPr>
        <xdr:cNvPr id="3" name="Picture 2" descr="C:\WINDOWS\TEMP\Symbol.gif">
          <a:extLst>
            <a:ext uri="{FF2B5EF4-FFF2-40B4-BE49-F238E27FC236}">
              <a16:creationId xmlns:a16="http://schemas.microsoft.com/office/drawing/2014/main" id="{00000000-0008-0000-20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202</xdr:row>
      <xdr:rowOff>171450</xdr:rowOff>
    </xdr:from>
    <xdr:to>
      <xdr:col>1</xdr:col>
      <xdr:colOff>47625</xdr:colOff>
      <xdr:row>203</xdr:row>
      <xdr:rowOff>209550</xdr:rowOff>
    </xdr:to>
    <xdr:pic>
      <xdr:nvPicPr>
        <xdr:cNvPr id="4" name="Picture 3" descr="C:\WINDOWS\TEMP\Symbol.gif">
          <a:extLst>
            <a:ext uri="{FF2B5EF4-FFF2-40B4-BE49-F238E27FC236}">
              <a16:creationId xmlns:a16="http://schemas.microsoft.com/office/drawing/2014/main" id="{00000000-0008-0000-20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1214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298</xdr:row>
      <xdr:rowOff>161925</xdr:rowOff>
    </xdr:from>
    <xdr:to>
      <xdr:col>1</xdr:col>
      <xdr:colOff>19050</xdr:colOff>
      <xdr:row>299</xdr:row>
      <xdr:rowOff>200025</xdr:rowOff>
    </xdr:to>
    <xdr:pic>
      <xdr:nvPicPr>
        <xdr:cNvPr id="5" name="Picture 4" descr="C:\WINDOWS\TEMP\Symbol.gif">
          <a:extLst>
            <a:ext uri="{FF2B5EF4-FFF2-40B4-BE49-F238E27FC236}">
              <a16:creationId xmlns:a16="http://schemas.microsoft.com/office/drawing/2014/main" id="{00000000-0008-0000-20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604932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298</xdr:row>
      <xdr:rowOff>123825</xdr:rowOff>
    </xdr:from>
    <xdr:to>
      <xdr:col>22</xdr:col>
      <xdr:colOff>1895475</xdr:colOff>
      <xdr:row>299</xdr:row>
      <xdr:rowOff>152400</xdr:rowOff>
    </xdr:to>
    <xdr:pic>
      <xdr:nvPicPr>
        <xdr:cNvPr id="6" name="Picture 5" descr="C:\WINDOWS\TEMP\~0003946.gif">
          <a:extLst>
            <a:ext uri="{FF2B5EF4-FFF2-40B4-BE49-F238E27FC236}">
              <a16:creationId xmlns:a16="http://schemas.microsoft.com/office/drawing/2014/main" id="{00000000-0008-0000-20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60455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202</xdr:row>
      <xdr:rowOff>152400</xdr:rowOff>
    </xdr:from>
    <xdr:to>
      <xdr:col>22</xdr:col>
      <xdr:colOff>1924050</xdr:colOff>
      <xdr:row>203</xdr:row>
      <xdr:rowOff>180975</xdr:rowOff>
    </xdr:to>
    <xdr:pic>
      <xdr:nvPicPr>
        <xdr:cNvPr id="7" name="Picture 6" descr="C:\WINDOWS\TEMP\~0003946.gif">
          <a:extLst>
            <a:ext uri="{FF2B5EF4-FFF2-40B4-BE49-F238E27FC236}">
              <a16:creationId xmlns:a16="http://schemas.microsoft.com/office/drawing/2014/main" id="{00000000-0008-0000-20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1195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8" name="Picture 7" descr="C:\WINDOWS\TEMP\~0003946.gif">
          <a:extLst>
            <a:ext uri="{FF2B5EF4-FFF2-40B4-BE49-F238E27FC236}">
              <a16:creationId xmlns:a16="http://schemas.microsoft.com/office/drawing/2014/main" id="{00000000-0008-0000-20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0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0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136</xdr:row>
      <xdr:rowOff>123825</xdr:rowOff>
    </xdr:from>
    <xdr:to>
      <xdr:col>22</xdr:col>
      <xdr:colOff>895350</xdr:colOff>
      <xdr:row>137</xdr:row>
      <xdr:rowOff>152400</xdr:rowOff>
    </xdr:to>
    <xdr:pic>
      <xdr:nvPicPr>
        <xdr:cNvPr id="11" name="Picture 10" descr="C:\WINDOWS\TEMP\~0003946.gif">
          <a:extLst>
            <a:ext uri="{FF2B5EF4-FFF2-40B4-BE49-F238E27FC236}">
              <a16:creationId xmlns:a16="http://schemas.microsoft.com/office/drawing/2014/main" id="{00000000-0008-0000-20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879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202</xdr:row>
      <xdr:rowOff>104775</xdr:rowOff>
    </xdr:from>
    <xdr:to>
      <xdr:col>22</xdr:col>
      <xdr:colOff>809625</xdr:colOff>
      <xdr:row>203</xdr:row>
      <xdr:rowOff>133350</xdr:rowOff>
    </xdr:to>
    <xdr:pic>
      <xdr:nvPicPr>
        <xdr:cNvPr id="12" name="Picture 11" descr="C:\WINDOWS\TEMP\~0003946.gif">
          <a:extLst>
            <a:ext uri="{FF2B5EF4-FFF2-40B4-BE49-F238E27FC236}">
              <a16:creationId xmlns:a16="http://schemas.microsoft.com/office/drawing/2014/main" id="{00000000-0008-0000-20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114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298</xdr:row>
      <xdr:rowOff>104775</xdr:rowOff>
    </xdr:from>
    <xdr:to>
      <xdr:col>22</xdr:col>
      <xdr:colOff>895350</xdr:colOff>
      <xdr:row>299</xdr:row>
      <xdr:rowOff>133350</xdr:rowOff>
    </xdr:to>
    <xdr:pic>
      <xdr:nvPicPr>
        <xdr:cNvPr id="13" name="Picture 12" descr="C:\WINDOWS\TEMP\~0003946.gif">
          <a:extLst>
            <a:ext uri="{FF2B5EF4-FFF2-40B4-BE49-F238E27FC236}">
              <a16:creationId xmlns:a16="http://schemas.microsoft.com/office/drawing/2014/main" id="{00000000-0008-0000-20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604361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00000000-0008-0000-20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136</xdr:row>
      <xdr:rowOff>38100</xdr:rowOff>
    </xdr:from>
    <xdr:to>
      <xdr:col>21</xdr:col>
      <xdr:colOff>1171575</xdr:colOff>
      <xdr:row>137</xdr:row>
      <xdr:rowOff>161925</xdr:rowOff>
    </xdr:to>
    <xdr:pic>
      <xdr:nvPicPr>
        <xdr:cNvPr id="15" name="Picture 14" descr="logoMTL">
          <a:extLst>
            <a:ext uri="{FF2B5EF4-FFF2-40B4-BE49-F238E27FC236}">
              <a16:creationId xmlns:a16="http://schemas.microsoft.com/office/drawing/2014/main" id="{00000000-0008-0000-20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202</xdr:row>
      <xdr:rowOff>28575</xdr:rowOff>
    </xdr:from>
    <xdr:to>
      <xdr:col>21</xdr:col>
      <xdr:colOff>1171575</xdr:colOff>
      <xdr:row>203</xdr:row>
      <xdr:rowOff>152400</xdr:rowOff>
    </xdr:to>
    <xdr:pic>
      <xdr:nvPicPr>
        <xdr:cNvPr id="16" name="Picture 15" descr="logoMTL">
          <a:extLst>
            <a:ext uri="{FF2B5EF4-FFF2-40B4-BE49-F238E27FC236}">
              <a16:creationId xmlns:a16="http://schemas.microsoft.com/office/drawing/2014/main" id="{00000000-0008-0000-20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1071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298</xdr:row>
      <xdr:rowOff>0</xdr:rowOff>
    </xdr:from>
    <xdr:to>
      <xdr:col>21</xdr:col>
      <xdr:colOff>1228725</xdr:colOff>
      <xdr:row>299</xdr:row>
      <xdr:rowOff>123825</xdr:rowOff>
    </xdr:to>
    <xdr:pic>
      <xdr:nvPicPr>
        <xdr:cNvPr id="17" name="Picture 16" descr="logoMTL">
          <a:extLst>
            <a:ext uri="{FF2B5EF4-FFF2-40B4-BE49-F238E27FC236}">
              <a16:creationId xmlns:a16="http://schemas.microsoft.com/office/drawing/2014/main" id="{00000000-0008-0000-20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60331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136</xdr:row>
      <xdr:rowOff>161925</xdr:rowOff>
    </xdr:from>
    <xdr:to>
      <xdr:col>1</xdr:col>
      <xdr:colOff>28575</xdr:colOff>
      <xdr:row>137</xdr:row>
      <xdr:rowOff>200025</xdr:rowOff>
    </xdr:to>
    <xdr:pic>
      <xdr:nvPicPr>
        <xdr:cNvPr id="3" name="Picture 2" descr="C:\WINDOWS\TEMP\Symbol.gif">
          <a:extLst>
            <a:ext uri="{FF2B5EF4-FFF2-40B4-BE49-F238E27FC236}">
              <a16:creationId xmlns:a16="http://schemas.microsoft.com/office/drawing/2014/main" id="{00000000-0008-0000-21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202</xdr:row>
      <xdr:rowOff>171450</xdr:rowOff>
    </xdr:from>
    <xdr:to>
      <xdr:col>1</xdr:col>
      <xdr:colOff>47625</xdr:colOff>
      <xdr:row>203</xdr:row>
      <xdr:rowOff>209550</xdr:rowOff>
    </xdr:to>
    <xdr:pic>
      <xdr:nvPicPr>
        <xdr:cNvPr id="4" name="Picture 3" descr="C:\WINDOWS\TEMP\Symbol.gif">
          <a:extLst>
            <a:ext uri="{FF2B5EF4-FFF2-40B4-BE49-F238E27FC236}">
              <a16:creationId xmlns:a16="http://schemas.microsoft.com/office/drawing/2014/main" id="{00000000-0008-0000-21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1214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298</xdr:row>
      <xdr:rowOff>161925</xdr:rowOff>
    </xdr:from>
    <xdr:to>
      <xdr:col>1</xdr:col>
      <xdr:colOff>19050</xdr:colOff>
      <xdr:row>299</xdr:row>
      <xdr:rowOff>200025</xdr:rowOff>
    </xdr:to>
    <xdr:pic>
      <xdr:nvPicPr>
        <xdr:cNvPr id="5" name="Picture 4" descr="C:\WINDOWS\TEMP\Symbol.gif">
          <a:extLst>
            <a:ext uri="{FF2B5EF4-FFF2-40B4-BE49-F238E27FC236}">
              <a16:creationId xmlns:a16="http://schemas.microsoft.com/office/drawing/2014/main" id="{00000000-0008-0000-21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604932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298</xdr:row>
      <xdr:rowOff>123825</xdr:rowOff>
    </xdr:from>
    <xdr:to>
      <xdr:col>22</xdr:col>
      <xdr:colOff>1895475</xdr:colOff>
      <xdr:row>299</xdr:row>
      <xdr:rowOff>152400</xdr:rowOff>
    </xdr:to>
    <xdr:pic>
      <xdr:nvPicPr>
        <xdr:cNvPr id="6" name="Picture 5" descr="C:\WINDOWS\TEMP\~0003946.gif">
          <a:extLst>
            <a:ext uri="{FF2B5EF4-FFF2-40B4-BE49-F238E27FC236}">
              <a16:creationId xmlns:a16="http://schemas.microsoft.com/office/drawing/2014/main" id="{00000000-0008-0000-21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60455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202</xdr:row>
      <xdr:rowOff>152400</xdr:rowOff>
    </xdr:from>
    <xdr:to>
      <xdr:col>22</xdr:col>
      <xdr:colOff>1924050</xdr:colOff>
      <xdr:row>203</xdr:row>
      <xdr:rowOff>180975</xdr:rowOff>
    </xdr:to>
    <xdr:pic>
      <xdr:nvPicPr>
        <xdr:cNvPr id="7" name="Picture 6" descr="C:\WINDOWS\TEMP\~0003946.gif">
          <a:extLst>
            <a:ext uri="{FF2B5EF4-FFF2-40B4-BE49-F238E27FC236}">
              <a16:creationId xmlns:a16="http://schemas.microsoft.com/office/drawing/2014/main" id="{00000000-0008-0000-21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1195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8" name="Picture 7" descr="C:\WINDOWS\TEMP\~0003946.gif">
          <a:extLst>
            <a:ext uri="{FF2B5EF4-FFF2-40B4-BE49-F238E27FC236}">
              <a16:creationId xmlns:a16="http://schemas.microsoft.com/office/drawing/2014/main" id="{00000000-0008-0000-21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1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1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136</xdr:row>
      <xdr:rowOff>123825</xdr:rowOff>
    </xdr:from>
    <xdr:to>
      <xdr:col>22</xdr:col>
      <xdr:colOff>895350</xdr:colOff>
      <xdr:row>137</xdr:row>
      <xdr:rowOff>152400</xdr:rowOff>
    </xdr:to>
    <xdr:pic>
      <xdr:nvPicPr>
        <xdr:cNvPr id="11" name="Picture 10" descr="C:\WINDOWS\TEMP\~0003946.gif">
          <a:extLst>
            <a:ext uri="{FF2B5EF4-FFF2-40B4-BE49-F238E27FC236}">
              <a16:creationId xmlns:a16="http://schemas.microsoft.com/office/drawing/2014/main" id="{00000000-0008-0000-21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879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202</xdr:row>
      <xdr:rowOff>104775</xdr:rowOff>
    </xdr:from>
    <xdr:to>
      <xdr:col>22</xdr:col>
      <xdr:colOff>809625</xdr:colOff>
      <xdr:row>203</xdr:row>
      <xdr:rowOff>133350</xdr:rowOff>
    </xdr:to>
    <xdr:pic>
      <xdr:nvPicPr>
        <xdr:cNvPr id="12" name="Picture 11" descr="C:\WINDOWS\TEMP\~0003946.gif">
          <a:extLst>
            <a:ext uri="{FF2B5EF4-FFF2-40B4-BE49-F238E27FC236}">
              <a16:creationId xmlns:a16="http://schemas.microsoft.com/office/drawing/2014/main" id="{00000000-0008-0000-21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114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298</xdr:row>
      <xdr:rowOff>104775</xdr:rowOff>
    </xdr:from>
    <xdr:to>
      <xdr:col>22</xdr:col>
      <xdr:colOff>895350</xdr:colOff>
      <xdr:row>299</xdr:row>
      <xdr:rowOff>133350</xdr:rowOff>
    </xdr:to>
    <xdr:pic>
      <xdr:nvPicPr>
        <xdr:cNvPr id="13" name="Picture 12" descr="C:\WINDOWS\TEMP\~0003946.gif">
          <a:extLst>
            <a:ext uri="{FF2B5EF4-FFF2-40B4-BE49-F238E27FC236}">
              <a16:creationId xmlns:a16="http://schemas.microsoft.com/office/drawing/2014/main" id="{00000000-0008-0000-21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604361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00000000-0008-0000-21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136</xdr:row>
      <xdr:rowOff>38100</xdr:rowOff>
    </xdr:from>
    <xdr:to>
      <xdr:col>21</xdr:col>
      <xdr:colOff>1171575</xdr:colOff>
      <xdr:row>137</xdr:row>
      <xdr:rowOff>161925</xdr:rowOff>
    </xdr:to>
    <xdr:pic>
      <xdr:nvPicPr>
        <xdr:cNvPr id="15" name="Picture 14" descr="logoMTL">
          <a:extLst>
            <a:ext uri="{FF2B5EF4-FFF2-40B4-BE49-F238E27FC236}">
              <a16:creationId xmlns:a16="http://schemas.microsoft.com/office/drawing/2014/main" id="{00000000-0008-0000-21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202</xdr:row>
      <xdr:rowOff>28575</xdr:rowOff>
    </xdr:from>
    <xdr:to>
      <xdr:col>21</xdr:col>
      <xdr:colOff>1171575</xdr:colOff>
      <xdr:row>203</xdr:row>
      <xdr:rowOff>152400</xdr:rowOff>
    </xdr:to>
    <xdr:pic>
      <xdr:nvPicPr>
        <xdr:cNvPr id="16" name="Picture 15" descr="logoMTL">
          <a:extLst>
            <a:ext uri="{FF2B5EF4-FFF2-40B4-BE49-F238E27FC236}">
              <a16:creationId xmlns:a16="http://schemas.microsoft.com/office/drawing/2014/main" id="{00000000-0008-0000-21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1071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298</xdr:row>
      <xdr:rowOff>0</xdr:rowOff>
    </xdr:from>
    <xdr:to>
      <xdr:col>21</xdr:col>
      <xdr:colOff>1228725</xdr:colOff>
      <xdr:row>299</xdr:row>
      <xdr:rowOff>123825</xdr:rowOff>
    </xdr:to>
    <xdr:pic>
      <xdr:nvPicPr>
        <xdr:cNvPr id="17" name="Picture 16" descr="logoMTL">
          <a:extLst>
            <a:ext uri="{FF2B5EF4-FFF2-40B4-BE49-F238E27FC236}">
              <a16:creationId xmlns:a16="http://schemas.microsoft.com/office/drawing/2014/main" id="{00000000-0008-0000-21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60331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136</xdr:row>
      <xdr:rowOff>161925</xdr:rowOff>
    </xdr:from>
    <xdr:to>
      <xdr:col>1</xdr:col>
      <xdr:colOff>28575</xdr:colOff>
      <xdr:row>137</xdr:row>
      <xdr:rowOff>200025</xdr:rowOff>
    </xdr:to>
    <xdr:pic>
      <xdr:nvPicPr>
        <xdr:cNvPr id="3" name="Picture 2" descr="C:\WINDOWS\TEMP\Symbol.gif">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202</xdr:row>
      <xdr:rowOff>171450</xdr:rowOff>
    </xdr:from>
    <xdr:to>
      <xdr:col>1</xdr:col>
      <xdr:colOff>47625</xdr:colOff>
      <xdr:row>203</xdr:row>
      <xdr:rowOff>209550</xdr:rowOff>
    </xdr:to>
    <xdr:pic>
      <xdr:nvPicPr>
        <xdr:cNvPr id="4" name="Picture 3" descr="C:\WINDOWS\TEMP\Symbol.gif">
          <a:extLst>
            <a:ext uri="{FF2B5EF4-FFF2-40B4-BE49-F238E27FC236}">
              <a16:creationId xmlns:a16="http://schemas.microsoft.com/office/drawing/2014/main" id="{00000000-0008-0000-22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1214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298</xdr:row>
      <xdr:rowOff>161925</xdr:rowOff>
    </xdr:from>
    <xdr:to>
      <xdr:col>1</xdr:col>
      <xdr:colOff>19050</xdr:colOff>
      <xdr:row>299</xdr:row>
      <xdr:rowOff>200025</xdr:rowOff>
    </xdr:to>
    <xdr:pic>
      <xdr:nvPicPr>
        <xdr:cNvPr id="5" name="Picture 4" descr="C:\WINDOWS\TEMP\Symbol.gif">
          <a:extLst>
            <a:ext uri="{FF2B5EF4-FFF2-40B4-BE49-F238E27FC236}">
              <a16:creationId xmlns:a16="http://schemas.microsoft.com/office/drawing/2014/main" id="{00000000-0008-0000-22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604932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298</xdr:row>
      <xdr:rowOff>123825</xdr:rowOff>
    </xdr:from>
    <xdr:to>
      <xdr:col>22</xdr:col>
      <xdr:colOff>1895475</xdr:colOff>
      <xdr:row>299</xdr:row>
      <xdr:rowOff>152400</xdr:rowOff>
    </xdr:to>
    <xdr:pic>
      <xdr:nvPicPr>
        <xdr:cNvPr id="6" name="Picture 5" descr="C:\WINDOWS\TEMP\~0003946.gif">
          <a:extLst>
            <a:ext uri="{FF2B5EF4-FFF2-40B4-BE49-F238E27FC236}">
              <a16:creationId xmlns:a16="http://schemas.microsoft.com/office/drawing/2014/main" id="{00000000-0008-0000-22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60455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202</xdr:row>
      <xdr:rowOff>152400</xdr:rowOff>
    </xdr:from>
    <xdr:to>
      <xdr:col>22</xdr:col>
      <xdr:colOff>1924050</xdr:colOff>
      <xdr:row>203</xdr:row>
      <xdr:rowOff>180975</xdr:rowOff>
    </xdr:to>
    <xdr:pic>
      <xdr:nvPicPr>
        <xdr:cNvPr id="7" name="Picture 6" descr="C:\WINDOWS\TEMP\~0003946.gif">
          <a:extLst>
            <a:ext uri="{FF2B5EF4-FFF2-40B4-BE49-F238E27FC236}">
              <a16:creationId xmlns:a16="http://schemas.microsoft.com/office/drawing/2014/main" id="{00000000-0008-0000-22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1195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8" name="Picture 7" descr="C:\WINDOWS\TEMP\~0003946.gif">
          <a:extLst>
            <a:ext uri="{FF2B5EF4-FFF2-40B4-BE49-F238E27FC236}">
              <a16:creationId xmlns:a16="http://schemas.microsoft.com/office/drawing/2014/main" id="{00000000-0008-0000-22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2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2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136</xdr:row>
      <xdr:rowOff>123825</xdr:rowOff>
    </xdr:from>
    <xdr:to>
      <xdr:col>22</xdr:col>
      <xdr:colOff>895350</xdr:colOff>
      <xdr:row>137</xdr:row>
      <xdr:rowOff>152400</xdr:rowOff>
    </xdr:to>
    <xdr:pic>
      <xdr:nvPicPr>
        <xdr:cNvPr id="11" name="Picture 10" descr="C:\WINDOWS\TEMP\~0003946.gif">
          <a:extLst>
            <a:ext uri="{FF2B5EF4-FFF2-40B4-BE49-F238E27FC236}">
              <a16:creationId xmlns:a16="http://schemas.microsoft.com/office/drawing/2014/main" id="{00000000-0008-0000-22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879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202</xdr:row>
      <xdr:rowOff>104775</xdr:rowOff>
    </xdr:from>
    <xdr:to>
      <xdr:col>22</xdr:col>
      <xdr:colOff>809625</xdr:colOff>
      <xdr:row>203</xdr:row>
      <xdr:rowOff>133350</xdr:rowOff>
    </xdr:to>
    <xdr:pic>
      <xdr:nvPicPr>
        <xdr:cNvPr id="12" name="Picture 11" descr="C:\WINDOWS\TEMP\~0003946.gif">
          <a:extLst>
            <a:ext uri="{FF2B5EF4-FFF2-40B4-BE49-F238E27FC236}">
              <a16:creationId xmlns:a16="http://schemas.microsoft.com/office/drawing/2014/main" id="{00000000-0008-0000-22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114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298</xdr:row>
      <xdr:rowOff>104775</xdr:rowOff>
    </xdr:from>
    <xdr:to>
      <xdr:col>22</xdr:col>
      <xdr:colOff>895350</xdr:colOff>
      <xdr:row>299</xdr:row>
      <xdr:rowOff>133350</xdr:rowOff>
    </xdr:to>
    <xdr:pic>
      <xdr:nvPicPr>
        <xdr:cNvPr id="13" name="Picture 12" descr="C:\WINDOWS\TEMP\~0003946.gif">
          <a:extLst>
            <a:ext uri="{FF2B5EF4-FFF2-40B4-BE49-F238E27FC236}">
              <a16:creationId xmlns:a16="http://schemas.microsoft.com/office/drawing/2014/main" id="{00000000-0008-0000-22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604361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00000000-0008-0000-22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136</xdr:row>
      <xdr:rowOff>38100</xdr:rowOff>
    </xdr:from>
    <xdr:to>
      <xdr:col>21</xdr:col>
      <xdr:colOff>1171575</xdr:colOff>
      <xdr:row>137</xdr:row>
      <xdr:rowOff>161925</xdr:rowOff>
    </xdr:to>
    <xdr:pic>
      <xdr:nvPicPr>
        <xdr:cNvPr id="15" name="Picture 14" descr="logoMTL">
          <a:extLst>
            <a:ext uri="{FF2B5EF4-FFF2-40B4-BE49-F238E27FC236}">
              <a16:creationId xmlns:a16="http://schemas.microsoft.com/office/drawing/2014/main" id="{00000000-0008-0000-22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202</xdr:row>
      <xdr:rowOff>28575</xdr:rowOff>
    </xdr:from>
    <xdr:to>
      <xdr:col>21</xdr:col>
      <xdr:colOff>1171575</xdr:colOff>
      <xdr:row>203</xdr:row>
      <xdr:rowOff>152400</xdr:rowOff>
    </xdr:to>
    <xdr:pic>
      <xdr:nvPicPr>
        <xdr:cNvPr id="16" name="Picture 15" descr="logoMTL">
          <a:extLst>
            <a:ext uri="{FF2B5EF4-FFF2-40B4-BE49-F238E27FC236}">
              <a16:creationId xmlns:a16="http://schemas.microsoft.com/office/drawing/2014/main" id="{00000000-0008-0000-22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1071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298</xdr:row>
      <xdr:rowOff>0</xdr:rowOff>
    </xdr:from>
    <xdr:to>
      <xdr:col>21</xdr:col>
      <xdr:colOff>1228725</xdr:colOff>
      <xdr:row>299</xdr:row>
      <xdr:rowOff>123825</xdr:rowOff>
    </xdr:to>
    <xdr:pic>
      <xdr:nvPicPr>
        <xdr:cNvPr id="17" name="Picture 16" descr="logoMTL">
          <a:extLst>
            <a:ext uri="{FF2B5EF4-FFF2-40B4-BE49-F238E27FC236}">
              <a16:creationId xmlns:a16="http://schemas.microsoft.com/office/drawing/2014/main" id="{00000000-0008-0000-22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60331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136</xdr:row>
      <xdr:rowOff>161925</xdr:rowOff>
    </xdr:from>
    <xdr:to>
      <xdr:col>1</xdr:col>
      <xdr:colOff>28575</xdr:colOff>
      <xdr:row>137</xdr:row>
      <xdr:rowOff>200025</xdr:rowOff>
    </xdr:to>
    <xdr:pic>
      <xdr:nvPicPr>
        <xdr:cNvPr id="3" name="Picture 2" descr="C:\WINDOWS\TEMP\Symbol.gif">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202</xdr:row>
      <xdr:rowOff>171450</xdr:rowOff>
    </xdr:from>
    <xdr:to>
      <xdr:col>1</xdr:col>
      <xdr:colOff>47625</xdr:colOff>
      <xdr:row>203</xdr:row>
      <xdr:rowOff>209550</xdr:rowOff>
    </xdr:to>
    <xdr:pic>
      <xdr:nvPicPr>
        <xdr:cNvPr id="4" name="Picture 3" descr="C:\WINDOWS\TEMP\Symbol.gif">
          <a:extLst>
            <a:ext uri="{FF2B5EF4-FFF2-40B4-BE49-F238E27FC236}">
              <a16:creationId xmlns:a16="http://schemas.microsoft.com/office/drawing/2014/main" id="{00000000-0008-0000-23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1214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298</xdr:row>
      <xdr:rowOff>161925</xdr:rowOff>
    </xdr:from>
    <xdr:to>
      <xdr:col>1</xdr:col>
      <xdr:colOff>19050</xdr:colOff>
      <xdr:row>299</xdr:row>
      <xdr:rowOff>200025</xdr:rowOff>
    </xdr:to>
    <xdr:pic>
      <xdr:nvPicPr>
        <xdr:cNvPr id="5" name="Picture 4" descr="C:\WINDOWS\TEMP\Symbol.gif">
          <a:extLst>
            <a:ext uri="{FF2B5EF4-FFF2-40B4-BE49-F238E27FC236}">
              <a16:creationId xmlns:a16="http://schemas.microsoft.com/office/drawing/2014/main" id="{00000000-0008-0000-23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604932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298</xdr:row>
      <xdr:rowOff>123825</xdr:rowOff>
    </xdr:from>
    <xdr:to>
      <xdr:col>22</xdr:col>
      <xdr:colOff>1895475</xdr:colOff>
      <xdr:row>299</xdr:row>
      <xdr:rowOff>152400</xdr:rowOff>
    </xdr:to>
    <xdr:pic>
      <xdr:nvPicPr>
        <xdr:cNvPr id="6" name="Picture 5" descr="C:\WINDOWS\TEMP\~0003946.gif">
          <a:extLst>
            <a:ext uri="{FF2B5EF4-FFF2-40B4-BE49-F238E27FC236}">
              <a16:creationId xmlns:a16="http://schemas.microsoft.com/office/drawing/2014/main" id="{00000000-0008-0000-23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60455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202</xdr:row>
      <xdr:rowOff>152400</xdr:rowOff>
    </xdr:from>
    <xdr:to>
      <xdr:col>22</xdr:col>
      <xdr:colOff>1924050</xdr:colOff>
      <xdr:row>203</xdr:row>
      <xdr:rowOff>180975</xdr:rowOff>
    </xdr:to>
    <xdr:pic>
      <xdr:nvPicPr>
        <xdr:cNvPr id="7" name="Picture 6" descr="C:\WINDOWS\TEMP\~0003946.gif">
          <a:extLst>
            <a:ext uri="{FF2B5EF4-FFF2-40B4-BE49-F238E27FC236}">
              <a16:creationId xmlns:a16="http://schemas.microsoft.com/office/drawing/2014/main" id="{00000000-0008-0000-23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1195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8" name="Picture 7" descr="C:\WINDOWS\TEMP\~0003946.gif">
          <a:extLst>
            <a:ext uri="{FF2B5EF4-FFF2-40B4-BE49-F238E27FC236}">
              <a16:creationId xmlns:a16="http://schemas.microsoft.com/office/drawing/2014/main" id="{00000000-0008-0000-23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3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3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136</xdr:row>
      <xdr:rowOff>123825</xdr:rowOff>
    </xdr:from>
    <xdr:to>
      <xdr:col>22</xdr:col>
      <xdr:colOff>895350</xdr:colOff>
      <xdr:row>137</xdr:row>
      <xdr:rowOff>152400</xdr:rowOff>
    </xdr:to>
    <xdr:pic>
      <xdr:nvPicPr>
        <xdr:cNvPr id="11" name="Picture 10" descr="C:\WINDOWS\TEMP\~0003946.gif">
          <a:extLst>
            <a:ext uri="{FF2B5EF4-FFF2-40B4-BE49-F238E27FC236}">
              <a16:creationId xmlns:a16="http://schemas.microsoft.com/office/drawing/2014/main" id="{00000000-0008-0000-23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879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202</xdr:row>
      <xdr:rowOff>104775</xdr:rowOff>
    </xdr:from>
    <xdr:to>
      <xdr:col>22</xdr:col>
      <xdr:colOff>809625</xdr:colOff>
      <xdr:row>203</xdr:row>
      <xdr:rowOff>133350</xdr:rowOff>
    </xdr:to>
    <xdr:pic>
      <xdr:nvPicPr>
        <xdr:cNvPr id="12" name="Picture 11" descr="C:\WINDOWS\TEMP\~0003946.gif">
          <a:extLst>
            <a:ext uri="{FF2B5EF4-FFF2-40B4-BE49-F238E27FC236}">
              <a16:creationId xmlns:a16="http://schemas.microsoft.com/office/drawing/2014/main" id="{00000000-0008-0000-23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114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298</xdr:row>
      <xdr:rowOff>104775</xdr:rowOff>
    </xdr:from>
    <xdr:to>
      <xdr:col>22</xdr:col>
      <xdr:colOff>895350</xdr:colOff>
      <xdr:row>299</xdr:row>
      <xdr:rowOff>133350</xdr:rowOff>
    </xdr:to>
    <xdr:pic>
      <xdr:nvPicPr>
        <xdr:cNvPr id="13" name="Picture 12" descr="C:\WINDOWS\TEMP\~0003946.gif">
          <a:extLst>
            <a:ext uri="{FF2B5EF4-FFF2-40B4-BE49-F238E27FC236}">
              <a16:creationId xmlns:a16="http://schemas.microsoft.com/office/drawing/2014/main" id="{00000000-0008-0000-23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604361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00000000-0008-0000-23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136</xdr:row>
      <xdr:rowOff>38100</xdr:rowOff>
    </xdr:from>
    <xdr:to>
      <xdr:col>21</xdr:col>
      <xdr:colOff>1171575</xdr:colOff>
      <xdr:row>137</xdr:row>
      <xdr:rowOff>161925</xdr:rowOff>
    </xdr:to>
    <xdr:pic>
      <xdr:nvPicPr>
        <xdr:cNvPr id="15" name="Picture 14" descr="logoMTL">
          <a:extLst>
            <a:ext uri="{FF2B5EF4-FFF2-40B4-BE49-F238E27FC236}">
              <a16:creationId xmlns:a16="http://schemas.microsoft.com/office/drawing/2014/main" id="{00000000-0008-0000-23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202</xdr:row>
      <xdr:rowOff>28575</xdr:rowOff>
    </xdr:from>
    <xdr:to>
      <xdr:col>21</xdr:col>
      <xdr:colOff>1171575</xdr:colOff>
      <xdr:row>203</xdr:row>
      <xdr:rowOff>152400</xdr:rowOff>
    </xdr:to>
    <xdr:pic>
      <xdr:nvPicPr>
        <xdr:cNvPr id="16" name="Picture 15" descr="logoMTL">
          <a:extLst>
            <a:ext uri="{FF2B5EF4-FFF2-40B4-BE49-F238E27FC236}">
              <a16:creationId xmlns:a16="http://schemas.microsoft.com/office/drawing/2014/main" id="{00000000-0008-0000-23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1071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298</xdr:row>
      <xdr:rowOff>0</xdr:rowOff>
    </xdr:from>
    <xdr:to>
      <xdr:col>21</xdr:col>
      <xdr:colOff>1228725</xdr:colOff>
      <xdr:row>299</xdr:row>
      <xdr:rowOff>123825</xdr:rowOff>
    </xdr:to>
    <xdr:pic>
      <xdr:nvPicPr>
        <xdr:cNvPr id="17" name="Picture 16" descr="logoMTL">
          <a:extLst>
            <a:ext uri="{FF2B5EF4-FFF2-40B4-BE49-F238E27FC236}">
              <a16:creationId xmlns:a16="http://schemas.microsoft.com/office/drawing/2014/main" id="{00000000-0008-0000-23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60331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136</xdr:row>
      <xdr:rowOff>161925</xdr:rowOff>
    </xdr:from>
    <xdr:to>
      <xdr:col>1</xdr:col>
      <xdr:colOff>28575</xdr:colOff>
      <xdr:row>137</xdr:row>
      <xdr:rowOff>200025</xdr:rowOff>
    </xdr:to>
    <xdr:pic>
      <xdr:nvPicPr>
        <xdr:cNvPr id="3" name="Picture 2" descr="C:\WINDOWS\TEMP\Symbol.gif">
          <a:extLst>
            <a:ext uri="{FF2B5EF4-FFF2-40B4-BE49-F238E27FC236}">
              <a16:creationId xmlns:a16="http://schemas.microsoft.com/office/drawing/2014/main" id="{00000000-0008-0000-24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202</xdr:row>
      <xdr:rowOff>171450</xdr:rowOff>
    </xdr:from>
    <xdr:to>
      <xdr:col>1</xdr:col>
      <xdr:colOff>47625</xdr:colOff>
      <xdr:row>203</xdr:row>
      <xdr:rowOff>209550</xdr:rowOff>
    </xdr:to>
    <xdr:pic>
      <xdr:nvPicPr>
        <xdr:cNvPr id="4" name="Picture 3" descr="C:\WINDOWS\TEMP\Symbol.gif">
          <a:extLst>
            <a:ext uri="{FF2B5EF4-FFF2-40B4-BE49-F238E27FC236}">
              <a16:creationId xmlns:a16="http://schemas.microsoft.com/office/drawing/2014/main" id="{00000000-0008-0000-24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1214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298</xdr:row>
      <xdr:rowOff>161925</xdr:rowOff>
    </xdr:from>
    <xdr:to>
      <xdr:col>1</xdr:col>
      <xdr:colOff>19050</xdr:colOff>
      <xdr:row>299</xdr:row>
      <xdr:rowOff>200025</xdr:rowOff>
    </xdr:to>
    <xdr:pic>
      <xdr:nvPicPr>
        <xdr:cNvPr id="5" name="Picture 4" descr="C:\WINDOWS\TEMP\Symbol.gif">
          <a:extLst>
            <a:ext uri="{FF2B5EF4-FFF2-40B4-BE49-F238E27FC236}">
              <a16:creationId xmlns:a16="http://schemas.microsoft.com/office/drawing/2014/main" id="{00000000-0008-0000-24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604932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298</xdr:row>
      <xdr:rowOff>123825</xdr:rowOff>
    </xdr:from>
    <xdr:to>
      <xdr:col>22</xdr:col>
      <xdr:colOff>1895475</xdr:colOff>
      <xdr:row>299</xdr:row>
      <xdr:rowOff>152400</xdr:rowOff>
    </xdr:to>
    <xdr:pic>
      <xdr:nvPicPr>
        <xdr:cNvPr id="6" name="Picture 5" descr="C:\WINDOWS\TEMP\~0003946.gif">
          <a:extLst>
            <a:ext uri="{FF2B5EF4-FFF2-40B4-BE49-F238E27FC236}">
              <a16:creationId xmlns:a16="http://schemas.microsoft.com/office/drawing/2014/main" id="{00000000-0008-0000-24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60455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202</xdr:row>
      <xdr:rowOff>152400</xdr:rowOff>
    </xdr:from>
    <xdr:to>
      <xdr:col>22</xdr:col>
      <xdr:colOff>1924050</xdr:colOff>
      <xdr:row>203</xdr:row>
      <xdr:rowOff>180975</xdr:rowOff>
    </xdr:to>
    <xdr:pic>
      <xdr:nvPicPr>
        <xdr:cNvPr id="7" name="Picture 6" descr="C:\WINDOWS\TEMP\~0003946.gif">
          <a:extLst>
            <a:ext uri="{FF2B5EF4-FFF2-40B4-BE49-F238E27FC236}">
              <a16:creationId xmlns:a16="http://schemas.microsoft.com/office/drawing/2014/main" id="{00000000-0008-0000-24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1195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8" name="Picture 7" descr="C:\WINDOWS\TEMP\~0003946.gif">
          <a:extLst>
            <a:ext uri="{FF2B5EF4-FFF2-40B4-BE49-F238E27FC236}">
              <a16:creationId xmlns:a16="http://schemas.microsoft.com/office/drawing/2014/main" id="{00000000-0008-0000-24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4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4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136</xdr:row>
      <xdr:rowOff>123825</xdr:rowOff>
    </xdr:from>
    <xdr:to>
      <xdr:col>22</xdr:col>
      <xdr:colOff>895350</xdr:colOff>
      <xdr:row>137</xdr:row>
      <xdr:rowOff>152400</xdr:rowOff>
    </xdr:to>
    <xdr:pic>
      <xdr:nvPicPr>
        <xdr:cNvPr id="11" name="Picture 10" descr="C:\WINDOWS\TEMP\~0003946.gif">
          <a:extLst>
            <a:ext uri="{FF2B5EF4-FFF2-40B4-BE49-F238E27FC236}">
              <a16:creationId xmlns:a16="http://schemas.microsoft.com/office/drawing/2014/main" id="{00000000-0008-0000-24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879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202</xdr:row>
      <xdr:rowOff>104775</xdr:rowOff>
    </xdr:from>
    <xdr:to>
      <xdr:col>22</xdr:col>
      <xdr:colOff>809625</xdr:colOff>
      <xdr:row>203</xdr:row>
      <xdr:rowOff>133350</xdr:rowOff>
    </xdr:to>
    <xdr:pic>
      <xdr:nvPicPr>
        <xdr:cNvPr id="12" name="Picture 11" descr="C:\WINDOWS\TEMP\~0003946.gif">
          <a:extLst>
            <a:ext uri="{FF2B5EF4-FFF2-40B4-BE49-F238E27FC236}">
              <a16:creationId xmlns:a16="http://schemas.microsoft.com/office/drawing/2014/main" id="{00000000-0008-0000-24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114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298</xdr:row>
      <xdr:rowOff>104775</xdr:rowOff>
    </xdr:from>
    <xdr:to>
      <xdr:col>22</xdr:col>
      <xdr:colOff>895350</xdr:colOff>
      <xdr:row>299</xdr:row>
      <xdr:rowOff>133350</xdr:rowOff>
    </xdr:to>
    <xdr:pic>
      <xdr:nvPicPr>
        <xdr:cNvPr id="13" name="Picture 12" descr="C:\WINDOWS\TEMP\~0003946.gif">
          <a:extLst>
            <a:ext uri="{FF2B5EF4-FFF2-40B4-BE49-F238E27FC236}">
              <a16:creationId xmlns:a16="http://schemas.microsoft.com/office/drawing/2014/main" id="{00000000-0008-0000-24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604361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00000000-0008-0000-24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136</xdr:row>
      <xdr:rowOff>38100</xdr:rowOff>
    </xdr:from>
    <xdr:to>
      <xdr:col>21</xdr:col>
      <xdr:colOff>1171575</xdr:colOff>
      <xdr:row>137</xdr:row>
      <xdr:rowOff>161925</xdr:rowOff>
    </xdr:to>
    <xdr:pic>
      <xdr:nvPicPr>
        <xdr:cNvPr id="15" name="Picture 14" descr="logoMTL">
          <a:extLst>
            <a:ext uri="{FF2B5EF4-FFF2-40B4-BE49-F238E27FC236}">
              <a16:creationId xmlns:a16="http://schemas.microsoft.com/office/drawing/2014/main" id="{00000000-0008-0000-24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202</xdr:row>
      <xdr:rowOff>28575</xdr:rowOff>
    </xdr:from>
    <xdr:to>
      <xdr:col>21</xdr:col>
      <xdr:colOff>1171575</xdr:colOff>
      <xdr:row>203</xdr:row>
      <xdr:rowOff>152400</xdr:rowOff>
    </xdr:to>
    <xdr:pic>
      <xdr:nvPicPr>
        <xdr:cNvPr id="16" name="Picture 15" descr="logoMTL">
          <a:extLst>
            <a:ext uri="{FF2B5EF4-FFF2-40B4-BE49-F238E27FC236}">
              <a16:creationId xmlns:a16="http://schemas.microsoft.com/office/drawing/2014/main" id="{00000000-0008-0000-24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1071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298</xdr:row>
      <xdr:rowOff>0</xdr:rowOff>
    </xdr:from>
    <xdr:to>
      <xdr:col>21</xdr:col>
      <xdr:colOff>1228725</xdr:colOff>
      <xdr:row>299</xdr:row>
      <xdr:rowOff>123825</xdr:rowOff>
    </xdr:to>
    <xdr:pic>
      <xdr:nvPicPr>
        <xdr:cNvPr id="17" name="Picture 16" descr="logoMTL">
          <a:extLst>
            <a:ext uri="{FF2B5EF4-FFF2-40B4-BE49-F238E27FC236}">
              <a16:creationId xmlns:a16="http://schemas.microsoft.com/office/drawing/2014/main" id="{00000000-0008-0000-24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60331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136</xdr:row>
      <xdr:rowOff>161925</xdr:rowOff>
    </xdr:from>
    <xdr:to>
      <xdr:col>1</xdr:col>
      <xdr:colOff>28575</xdr:colOff>
      <xdr:row>137</xdr:row>
      <xdr:rowOff>200025</xdr:rowOff>
    </xdr:to>
    <xdr:pic>
      <xdr:nvPicPr>
        <xdr:cNvPr id="3" name="Picture 2" descr="C:\WINDOWS\TEMP\Symbol.gif">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202</xdr:row>
      <xdr:rowOff>171450</xdr:rowOff>
    </xdr:from>
    <xdr:to>
      <xdr:col>1</xdr:col>
      <xdr:colOff>47625</xdr:colOff>
      <xdr:row>203</xdr:row>
      <xdr:rowOff>209550</xdr:rowOff>
    </xdr:to>
    <xdr:pic>
      <xdr:nvPicPr>
        <xdr:cNvPr id="4" name="Picture 3" descr="C:\WINDOWS\TEMP\Symbol.gif">
          <a:extLst>
            <a:ext uri="{FF2B5EF4-FFF2-40B4-BE49-F238E27FC236}">
              <a16:creationId xmlns:a16="http://schemas.microsoft.com/office/drawing/2014/main" id="{00000000-0008-0000-25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1214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298</xdr:row>
      <xdr:rowOff>161925</xdr:rowOff>
    </xdr:from>
    <xdr:to>
      <xdr:col>1</xdr:col>
      <xdr:colOff>19050</xdr:colOff>
      <xdr:row>299</xdr:row>
      <xdr:rowOff>200025</xdr:rowOff>
    </xdr:to>
    <xdr:pic>
      <xdr:nvPicPr>
        <xdr:cNvPr id="5" name="Picture 4" descr="C:\WINDOWS\TEMP\Symbol.gif">
          <a:extLst>
            <a:ext uri="{FF2B5EF4-FFF2-40B4-BE49-F238E27FC236}">
              <a16:creationId xmlns:a16="http://schemas.microsoft.com/office/drawing/2014/main" id="{00000000-0008-0000-25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604932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298</xdr:row>
      <xdr:rowOff>123825</xdr:rowOff>
    </xdr:from>
    <xdr:to>
      <xdr:col>22</xdr:col>
      <xdr:colOff>1895475</xdr:colOff>
      <xdr:row>299</xdr:row>
      <xdr:rowOff>152400</xdr:rowOff>
    </xdr:to>
    <xdr:pic>
      <xdr:nvPicPr>
        <xdr:cNvPr id="6" name="Picture 5" descr="C:\WINDOWS\TEMP\~0003946.gif">
          <a:extLst>
            <a:ext uri="{FF2B5EF4-FFF2-40B4-BE49-F238E27FC236}">
              <a16:creationId xmlns:a16="http://schemas.microsoft.com/office/drawing/2014/main" id="{00000000-0008-0000-25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60455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202</xdr:row>
      <xdr:rowOff>152400</xdr:rowOff>
    </xdr:from>
    <xdr:to>
      <xdr:col>22</xdr:col>
      <xdr:colOff>1924050</xdr:colOff>
      <xdr:row>203</xdr:row>
      <xdr:rowOff>180975</xdr:rowOff>
    </xdr:to>
    <xdr:pic>
      <xdr:nvPicPr>
        <xdr:cNvPr id="7" name="Picture 6" descr="C:\WINDOWS\TEMP\~0003946.gif">
          <a:extLst>
            <a:ext uri="{FF2B5EF4-FFF2-40B4-BE49-F238E27FC236}">
              <a16:creationId xmlns:a16="http://schemas.microsoft.com/office/drawing/2014/main" id="{00000000-0008-0000-25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1195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136</xdr:row>
      <xdr:rowOff>161925</xdr:rowOff>
    </xdr:from>
    <xdr:to>
      <xdr:col>22</xdr:col>
      <xdr:colOff>1952625</xdr:colOff>
      <xdr:row>137</xdr:row>
      <xdr:rowOff>190500</xdr:rowOff>
    </xdr:to>
    <xdr:pic>
      <xdr:nvPicPr>
        <xdr:cNvPr id="8" name="Picture 7" descr="C:\WINDOWS\TEMP\~0003946.gif">
          <a:extLst>
            <a:ext uri="{FF2B5EF4-FFF2-40B4-BE49-F238E27FC236}">
              <a16:creationId xmlns:a16="http://schemas.microsoft.com/office/drawing/2014/main" id="{00000000-0008-0000-25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5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5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136</xdr:row>
      <xdr:rowOff>123825</xdr:rowOff>
    </xdr:from>
    <xdr:to>
      <xdr:col>22</xdr:col>
      <xdr:colOff>895350</xdr:colOff>
      <xdr:row>137</xdr:row>
      <xdr:rowOff>152400</xdr:rowOff>
    </xdr:to>
    <xdr:pic>
      <xdr:nvPicPr>
        <xdr:cNvPr id="11" name="Picture 10" descr="C:\WINDOWS\TEMP\~0003946.gif">
          <a:extLst>
            <a:ext uri="{FF2B5EF4-FFF2-40B4-BE49-F238E27FC236}">
              <a16:creationId xmlns:a16="http://schemas.microsoft.com/office/drawing/2014/main" id="{00000000-0008-0000-25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879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202</xdr:row>
      <xdr:rowOff>104775</xdr:rowOff>
    </xdr:from>
    <xdr:to>
      <xdr:col>22</xdr:col>
      <xdr:colOff>809625</xdr:colOff>
      <xdr:row>203</xdr:row>
      <xdr:rowOff>133350</xdr:rowOff>
    </xdr:to>
    <xdr:pic>
      <xdr:nvPicPr>
        <xdr:cNvPr id="12" name="Picture 11" descr="C:\WINDOWS\TEMP\~0003946.gif">
          <a:extLst>
            <a:ext uri="{FF2B5EF4-FFF2-40B4-BE49-F238E27FC236}">
              <a16:creationId xmlns:a16="http://schemas.microsoft.com/office/drawing/2014/main" id="{00000000-0008-0000-25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114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298</xdr:row>
      <xdr:rowOff>104775</xdr:rowOff>
    </xdr:from>
    <xdr:to>
      <xdr:col>22</xdr:col>
      <xdr:colOff>895350</xdr:colOff>
      <xdr:row>299</xdr:row>
      <xdr:rowOff>133350</xdr:rowOff>
    </xdr:to>
    <xdr:pic>
      <xdr:nvPicPr>
        <xdr:cNvPr id="13" name="Picture 12" descr="C:\WINDOWS\TEMP\~0003946.gif">
          <a:extLst>
            <a:ext uri="{FF2B5EF4-FFF2-40B4-BE49-F238E27FC236}">
              <a16:creationId xmlns:a16="http://schemas.microsoft.com/office/drawing/2014/main" id="{00000000-0008-0000-25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604361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14" name="Picture 13" descr="logoMTL">
          <a:extLst>
            <a:ext uri="{FF2B5EF4-FFF2-40B4-BE49-F238E27FC236}">
              <a16:creationId xmlns:a16="http://schemas.microsoft.com/office/drawing/2014/main" id="{00000000-0008-0000-25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136</xdr:row>
      <xdr:rowOff>38100</xdr:rowOff>
    </xdr:from>
    <xdr:to>
      <xdr:col>21</xdr:col>
      <xdr:colOff>1171575</xdr:colOff>
      <xdr:row>137</xdr:row>
      <xdr:rowOff>161925</xdr:rowOff>
    </xdr:to>
    <xdr:pic>
      <xdr:nvPicPr>
        <xdr:cNvPr id="15" name="Picture 14" descr="logoMTL">
          <a:extLst>
            <a:ext uri="{FF2B5EF4-FFF2-40B4-BE49-F238E27FC236}">
              <a16:creationId xmlns:a16="http://schemas.microsoft.com/office/drawing/2014/main" id="{00000000-0008-0000-25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202</xdr:row>
      <xdr:rowOff>28575</xdr:rowOff>
    </xdr:from>
    <xdr:to>
      <xdr:col>21</xdr:col>
      <xdr:colOff>1171575</xdr:colOff>
      <xdr:row>203</xdr:row>
      <xdr:rowOff>152400</xdr:rowOff>
    </xdr:to>
    <xdr:pic>
      <xdr:nvPicPr>
        <xdr:cNvPr id="16" name="Picture 15" descr="logoMTL">
          <a:extLst>
            <a:ext uri="{FF2B5EF4-FFF2-40B4-BE49-F238E27FC236}">
              <a16:creationId xmlns:a16="http://schemas.microsoft.com/office/drawing/2014/main" id="{00000000-0008-0000-25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1071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298</xdr:row>
      <xdr:rowOff>0</xdr:rowOff>
    </xdr:from>
    <xdr:to>
      <xdr:col>21</xdr:col>
      <xdr:colOff>1228725</xdr:colOff>
      <xdr:row>299</xdr:row>
      <xdr:rowOff>123825</xdr:rowOff>
    </xdr:to>
    <xdr:pic>
      <xdr:nvPicPr>
        <xdr:cNvPr id="17" name="Picture 16" descr="logoMTL">
          <a:extLst>
            <a:ext uri="{FF2B5EF4-FFF2-40B4-BE49-F238E27FC236}">
              <a16:creationId xmlns:a16="http://schemas.microsoft.com/office/drawing/2014/main" id="{00000000-0008-0000-25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60331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61</xdr:row>
      <xdr:rowOff>190500</xdr:rowOff>
    </xdr:from>
    <xdr:to>
      <xdr:col>1</xdr:col>
      <xdr:colOff>0</xdr:colOff>
      <xdr:row>62</xdr:row>
      <xdr:rowOff>228600</xdr:rowOff>
    </xdr:to>
    <xdr:pic>
      <xdr:nvPicPr>
        <xdr:cNvPr id="2" name="Picture 1" descr="C:\WINDOWS\TEMP\Symbol.gif">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135</xdr:row>
      <xdr:rowOff>161925</xdr:rowOff>
    </xdr:from>
    <xdr:to>
      <xdr:col>1</xdr:col>
      <xdr:colOff>28575</xdr:colOff>
      <xdr:row>136</xdr:row>
      <xdr:rowOff>200025</xdr:rowOff>
    </xdr:to>
    <xdr:pic>
      <xdr:nvPicPr>
        <xdr:cNvPr id="3" name="Picture 2" descr="C:\WINDOWS\TEMP\Symbol.gif">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917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201</xdr:row>
      <xdr:rowOff>171450</xdr:rowOff>
    </xdr:from>
    <xdr:to>
      <xdr:col>1</xdr:col>
      <xdr:colOff>47625</xdr:colOff>
      <xdr:row>202</xdr:row>
      <xdr:rowOff>209550</xdr:rowOff>
    </xdr:to>
    <xdr:pic>
      <xdr:nvPicPr>
        <xdr:cNvPr id="4" name="Picture 3" descr="C:\WINDOWS\TEMP\Symbol.gif">
          <a:extLst>
            <a:ext uri="{FF2B5EF4-FFF2-40B4-BE49-F238E27FC236}">
              <a16:creationId xmlns:a16="http://schemas.microsoft.com/office/drawing/2014/main" id="{00000000-0008-0000-26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1214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301</xdr:row>
      <xdr:rowOff>161925</xdr:rowOff>
    </xdr:from>
    <xdr:to>
      <xdr:col>1</xdr:col>
      <xdr:colOff>19050</xdr:colOff>
      <xdr:row>302</xdr:row>
      <xdr:rowOff>200025</xdr:rowOff>
    </xdr:to>
    <xdr:pic>
      <xdr:nvPicPr>
        <xdr:cNvPr id="5" name="Picture 4" descr="C:\WINDOWS\TEMP\Symbol.gif">
          <a:extLst>
            <a:ext uri="{FF2B5EF4-FFF2-40B4-BE49-F238E27FC236}">
              <a16:creationId xmlns:a16="http://schemas.microsoft.com/office/drawing/2014/main" id="{00000000-0008-0000-26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604932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301</xdr:row>
      <xdr:rowOff>123825</xdr:rowOff>
    </xdr:from>
    <xdr:to>
      <xdr:col>22</xdr:col>
      <xdr:colOff>1895475</xdr:colOff>
      <xdr:row>302</xdr:row>
      <xdr:rowOff>152400</xdr:rowOff>
    </xdr:to>
    <xdr:pic>
      <xdr:nvPicPr>
        <xdr:cNvPr id="6" name="Picture 5" descr="C:\WINDOWS\TEMP\~0003946.gif">
          <a:extLst>
            <a:ext uri="{FF2B5EF4-FFF2-40B4-BE49-F238E27FC236}">
              <a16:creationId xmlns:a16="http://schemas.microsoft.com/office/drawing/2014/main" id="{00000000-0008-0000-26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60455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201</xdr:row>
      <xdr:rowOff>152400</xdr:rowOff>
    </xdr:from>
    <xdr:to>
      <xdr:col>22</xdr:col>
      <xdr:colOff>1924050</xdr:colOff>
      <xdr:row>202</xdr:row>
      <xdr:rowOff>180975</xdr:rowOff>
    </xdr:to>
    <xdr:pic>
      <xdr:nvPicPr>
        <xdr:cNvPr id="7" name="Picture 6" descr="C:\WINDOWS\TEMP\~0003946.gif">
          <a:extLst>
            <a:ext uri="{FF2B5EF4-FFF2-40B4-BE49-F238E27FC236}">
              <a16:creationId xmlns:a16="http://schemas.microsoft.com/office/drawing/2014/main" id="{00000000-0008-0000-26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1195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135</xdr:row>
      <xdr:rowOff>161925</xdr:rowOff>
    </xdr:from>
    <xdr:to>
      <xdr:col>22</xdr:col>
      <xdr:colOff>1952625</xdr:colOff>
      <xdr:row>136</xdr:row>
      <xdr:rowOff>190500</xdr:rowOff>
    </xdr:to>
    <xdr:pic>
      <xdr:nvPicPr>
        <xdr:cNvPr id="8" name="Picture 7" descr="C:\WINDOWS\TEMP\~0003946.gif">
          <a:extLst>
            <a:ext uri="{FF2B5EF4-FFF2-40B4-BE49-F238E27FC236}">
              <a16:creationId xmlns:a16="http://schemas.microsoft.com/office/drawing/2014/main" id="{00000000-0008-0000-26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917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61</xdr:row>
      <xdr:rowOff>161925</xdr:rowOff>
    </xdr:from>
    <xdr:to>
      <xdr:col>22</xdr:col>
      <xdr:colOff>1952625</xdr:colOff>
      <xdr:row>62</xdr:row>
      <xdr:rowOff>190500</xdr:rowOff>
    </xdr:to>
    <xdr:pic>
      <xdr:nvPicPr>
        <xdr:cNvPr id="9" name="Picture 8" descr="C:\WINDOWS\TEMP\~0003946.gif">
          <a:extLst>
            <a:ext uri="{FF2B5EF4-FFF2-40B4-BE49-F238E27FC236}">
              <a16:creationId xmlns:a16="http://schemas.microsoft.com/office/drawing/2014/main" id="{00000000-0008-0000-26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61</xdr:row>
      <xdr:rowOff>123825</xdr:rowOff>
    </xdr:from>
    <xdr:to>
      <xdr:col>22</xdr:col>
      <xdr:colOff>885825</xdr:colOff>
      <xdr:row>62</xdr:row>
      <xdr:rowOff>152400</xdr:rowOff>
    </xdr:to>
    <xdr:pic>
      <xdr:nvPicPr>
        <xdr:cNvPr id="10" name="Picture 9" descr="C:\WINDOWS\TEMP\~0003946.gif">
          <a:extLst>
            <a:ext uri="{FF2B5EF4-FFF2-40B4-BE49-F238E27FC236}">
              <a16:creationId xmlns:a16="http://schemas.microsoft.com/office/drawing/2014/main" id="{00000000-0008-0000-26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135</xdr:row>
      <xdr:rowOff>123825</xdr:rowOff>
    </xdr:from>
    <xdr:to>
      <xdr:col>22</xdr:col>
      <xdr:colOff>895350</xdr:colOff>
      <xdr:row>136</xdr:row>
      <xdr:rowOff>152400</xdr:rowOff>
    </xdr:to>
    <xdr:pic>
      <xdr:nvPicPr>
        <xdr:cNvPr id="11" name="Picture 10" descr="C:\WINDOWS\TEMP\~0003946.gif">
          <a:extLst>
            <a:ext uri="{FF2B5EF4-FFF2-40B4-BE49-F238E27FC236}">
              <a16:creationId xmlns:a16="http://schemas.microsoft.com/office/drawing/2014/main" id="{00000000-0008-0000-26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8796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201</xdr:row>
      <xdr:rowOff>104775</xdr:rowOff>
    </xdr:from>
    <xdr:to>
      <xdr:col>22</xdr:col>
      <xdr:colOff>809625</xdr:colOff>
      <xdr:row>202</xdr:row>
      <xdr:rowOff>133350</xdr:rowOff>
    </xdr:to>
    <xdr:pic>
      <xdr:nvPicPr>
        <xdr:cNvPr id="12" name="Picture 11" descr="C:\WINDOWS\TEMP\~0003946.gif">
          <a:extLst>
            <a:ext uri="{FF2B5EF4-FFF2-40B4-BE49-F238E27FC236}">
              <a16:creationId xmlns:a16="http://schemas.microsoft.com/office/drawing/2014/main" id="{00000000-0008-0000-26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114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301</xdr:row>
      <xdr:rowOff>104775</xdr:rowOff>
    </xdr:from>
    <xdr:to>
      <xdr:col>22</xdr:col>
      <xdr:colOff>895350</xdr:colOff>
      <xdr:row>302</xdr:row>
      <xdr:rowOff>133350</xdr:rowOff>
    </xdr:to>
    <xdr:pic>
      <xdr:nvPicPr>
        <xdr:cNvPr id="13" name="Picture 12" descr="C:\WINDOWS\TEMP\~0003946.gif">
          <a:extLst>
            <a:ext uri="{FF2B5EF4-FFF2-40B4-BE49-F238E27FC236}">
              <a16:creationId xmlns:a16="http://schemas.microsoft.com/office/drawing/2014/main" id="{00000000-0008-0000-26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604361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61</xdr:row>
      <xdr:rowOff>38100</xdr:rowOff>
    </xdr:from>
    <xdr:to>
      <xdr:col>22</xdr:col>
      <xdr:colOff>0</xdr:colOff>
      <xdr:row>62</xdr:row>
      <xdr:rowOff>161924</xdr:rowOff>
    </xdr:to>
    <xdr:pic>
      <xdr:nvPicPr>
        <xdr:cNvPr id="14" name="Picture 13" descr="logoMTL">
          <a:extLst>
            <a:ext uri="{FF2B5EF4-FFF2-40B4-BE49-F238E27FC236}">
              <a16:creationId xmlns:a16="http://schemas.microsoft.com/office/drawing/2014/main" id="{00000000-0008-0000-26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135</xdr:row>
      <xdr:rowOff>38100</xdr:rowOff>
    </xdr:from>
    <xdr:to>
      <xdr:col>21</xdr:col>
      <xdr:colOff>1171575</xdr:colOff>
      <xdr:row>136</xdr:row>
      <xdr:rowOff>161924</xdr:rowOff>
    </xdr:to>
    <xdr:pic>
      <xdr:nvPicPr>
        <xdr:cNvPr id="15" name="Picture 14" descr="logoMTL">
          <a:extLst>
            <a:ext uri="{FF2B5EF4-FFF2-40B4-BE49-F238E27FC236}">
              <a16:creationId xmlns:a16="http://schemas.microsoft.com/office/drawing/2014/main" id="{00000000-0008-0000-26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793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201</xdr:row>
      <xdr:rowOff>28575</xdr:rowOff>
    </xdr:from>
    <xdr:to>
      <xdr:col>21</xdr:col>
      <xdr:colOff>1171575</xdr:colOff>
      <xdr:row>202</xdr:row>
      <xdr:rowOff>152400</xdr:rowOff>
    </xdr:to>
    <xdr:pic>
      <xdr:nvPicPr>
        <xdr:cNvPr id="16" name="Picture 15" descr="logoMTL">
          <a:extLst>
            <a:ext uri="{FF2B5EF4-FFF2-40B4-BE49-F238E27FC236}">
              <a16:creationId xmlns:a16="http://schemas.microsoft.com/office/drawing/2014/main" id="{00000000-0008-0000-26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1071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301</xdr:row>
      <xdr:rowOff>0</xdr:rowOff>
    </xdr:from>
    <xdr:to>
      <xdr:col>21</xdr:col>
      <xdr:colOff>1228725</xdr:colOff>
      <xdr:row>302</xdr:row>
      <xdr:rowOff>123825</xdr:rowOff>
    </xdr:to>
    <xdr:pic>
      <xdr:nvPicPr>
        <xdr:cNvPr id="17" name="Picture 16" descr="logoMTL">
          <a:extLst>
            <a:ext uri="{FF2B5EF4-FFF2-40B4-BE49-F238E27FC236}">
              <a16:creationId xmlns:a16="http://schemas.microsoft.com/office/drawing/2014/main" id="{00000000-0008-0000-26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60331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7585" name="Picture 1" descr="C:\WINDOWS\TEMP\Symbol.gif">
          <a:extLst>
            <a:ext uri="{FF2B5EF4-FFF2-40B4-BE49-F238E27FC236}">
              <a16:creationId xmlns:a16="http://schemas.microsoft.com/office/drawing/2014/main" id="{00000000-0008-0000-0300-0000C16B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137</xdr:row>
      <xdr:rowOff>161925</xdr:rowOff>
    </xdr:from>
    <xdr:to>
      <xdr:col>1</xdr:col>
      <xdr:colOff>28575</xdr:colOff>
      <xdr:row>138</xdr:row>
      <xdr:rowOff>200025</xdr:rowOff>
    </xdr:to>
    <xdr:pic>
      <xdr:nvPicPr>
        <xdr:cNvPr id="27586" name="Picture 2" descr="C:\WINDOWS\TEMP\Symbol.gif">
          <a:extLst>
            <a:ext uri="{FF2B5EF4-FFF2-40B4-BE49-F238E27FC236}">
              <a16:creationId xmlns:a16="http://schemas.microsoft.com/office/drawing/2014/main" id="{00000000-0008-0000-0300-0000C26B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81178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202</xdr:row>
      <xdr:rowOff>171450</xdr:rowOff>
    </xdr:from>
    <xdr:to>
      <xdr:col>1</xdr:col>
      <xdr:colOff>47625</xdr:colOff>
      <xdr:row>203</xdr:row>
      <xdr:rowOff>209550</xdr:rowOff>
    </xdr:to>
    <xdr:pic>
      <xdr:nvPicPr>
        <xdr:cNvPr id="27587" name="Picture 3" descr="C:\WINDOWS\TEMP\Symbol.gif">
          <a:extLst>
            <a:ext uri="{FF2B5EF4-FFF2-40B4-BE49-F238E27FC236}">
              <a16:creationId xmlns:a16="http://schemas.microsoft.com/office/drawing/2014/main" id="{00000000-0008-0000-0300-0000C36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47625" y="41214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286</xdr:row>
      <xdr:rowOff>161925</xdr:rowOff>
    </xdr:from>
    <xdr:to>
      <xdr:col>1</xdr:col>
      <xdr:colOff>19050</xdr:colOff>
      <xdr:row>287</xdr:row>
      <xdr:rowOff>200025</xdr:rowOff>
    </xdr:to>
    <xdr:pic>
      <xdr:nvPicPr>
        <xdr:cNvPr id="27588" name="Picture 4" descr="C:\WINDOWS\TEMP\Symbol.gif">
          <a:extLst>
            <a:ext uri="{FF2B5EF4-FFF2-40B4-BE49-F238E27FC236}">
              <a16:creationId xmlns:a16="http://schemas.microsoft.com/office/drawing/2014/main" id="{00000000-0008-0000-0300-0000C46B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0929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286</xdr:row>
      <xdr:rowOff>123825</xdr:rowOff>
    </xdr:from>
    <xdr:to>
      <xdr:col>22</xdr:col>
      <xdr:colOff>1895475</xdr:colOff>
      <xdr:row>287</xdr:row>
      <xdr:rowOff>152400</xdr:rowOff>
    </xdr:to>
    <xdr:pic>
      <xdr:nvPicPr>
        <xdr:cNvPr id="27589" name="Picture 5" descr="C:\WINDOWS\TEMP\~0003946.gif">
          <a:extLst>
            <a:ext uri="{FF2B5EF4-FFF2-40B4-BE49-F238E27FC236}">
              <a16:creationId xmlns:a16="http://schemas.microsoft.com/office/drawing/2014/main" id="{00000000-0008-0000-0300-0000C56B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8054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202</xdr:row>
      <xdr:rowOff>152400</xdr:rowOff>
    </xdr:from>
    <xdr:to>
      <xdr:col>22</xdr:col>
      <xdr:colOff>1924050</xdr:colOff>
      <xdr:row>203</xdr:row>
      <xdr:rowOff>180975</xdr:rowOff>
    </xdr:to>
    <xdr:pic>
      <xdr:nvPicPr>
        <xdr:cNvPr id="27590" name="Picture 6" descr="C:\WINDOWS\TEMP\~0003946.gif">
          <a:extLst>
            <a:ext uri="{FF2B5EF4-FFF2-40B4-BE49-F238E27FC236}">
              <a16:creationId xmlns:a16="http://schemas.microsoft.com/office/drawing/2014/main" id="{00000000-0008-0000-0300-0000C66B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1195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137</xdr:row>
      <xdr:rowOff>161925</xdr:rowOff>
    </xdr:from>
    <xdr:to>
      <xdr:col>22</xdr:col>
      <xdr:colOff>1952625</xdr:colOff>
      <xdr:row>138</xdr:row>
      <xdr:rowOff>190500</xdr:rowOff>
    </xdr:to>
    <xdr:pic>
      <xdr:nvPicPr>
        <xdr:cNvPr id="27591" name="Picture 7" descr="C:\WINDOWS\TEMP\~0003946.gif">
          <a:extLst>
            <a:ext uri="{FF2B5EF4-FFF2-40B4-BE49-F238E27FC236}">
              <a16:creationId xmlns:a16="http://schemas.microsoft.com/office/drawing/2014/main" id="{00000000-0008-0000-0300-0000C76B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8117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27592" name="Picture 8" descr="C:\WINDOWS\TEMP\~0003946.gif">
          <a:extLst>
            <a:ext uri="{FF2B5EF4-FFF2-40B4-BE49-F238E27FC236}">
              <a16:creationId xmlns:a16="http://schemas.microsoft.com/office/drawing/2014/main" id="{00000000-0008-0000-0300-0000C86B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27593" name="Picture 9" descr="C:\WINDOWS\TEMP\~0003946.gif">
          <a:extLst>
            <a:ext uri="{FF2B5EF4-FFF2-40B4-BE49-F238E27FC236}">
              <a16:creationId xmlns:a16="http://schemas.microsoft.com/office/drawing/2014/main" id="{00000000-0008-0000-0300-0000C96B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137</xdr:row>
      <xdr:rowOff>123825</xdr:rowOff>
    </xdr:from>
    <xdr:to>
      <xdr:col>22</xdr:col>
      <xdr:colOff>895350</xdr:colOff>
      <xdr:row>138</xdr:row>
      <xdr:rowOff>152400</xdr:rowOff>
    </xdr:to>
    <xdr:pic>
      <xdr:nvPicPr>
        <xdr:cNvPr id="27594" name="Picture 10" descr="C:\WINDOWS\TEMP\~0003946.gif">
          <a:extLst>
            <a:ext uri="{FF2B5EF4-FFF2-40B4-BE49-F238E27FC236}">
              <a16:creationId xmlns:a16="http://schemas.microsoft.com/office/drawing/2014/main" id="{00000000-0008-0000-0300-0000CA6B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80797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202</xdr:row>
      <xdr:rowOff>104775</xdr:rowOff>
    </xdr:from>
    <xdr:to>
      <xdr:col>22</xdr:col>
      <xdr:colOff>809625</xdr:colOff>
      <xdr:row>203</xdr:row>
      <xdr:rowOff>133350</xdr:rowOff>
    </xdr:to>
    <xdr:pic>
      <xdr:nvPicPr>
        <xdr:cNvPr id="27595" name="Picture 11" descr="C:\WINDOWS\TEMP\~0003946.gif">
          <a:extLst>
            <a:ext uri="{FF2B5EF4-FFF2-40B4-BE49-F238E27FC236}">
              <a16:creationId xmlns:a16="http://schemas.microsoft.com/office/drawing/2014/main" id="{00000000-0008-0000-0300-0000CB6B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114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286</xdr:row>
      <xdr:rowOff>104775</xdr:rowOff>
    </xdr:from>
    <xdr:to>
      <xdr:col>22</xdr:col>
      <xdr:colOff>895350</xdr:colOff>
      <xdr:row>287</xdr:row>
      <xdr:rowOff>133350</xdr:rowOff>
    </xdr:to>
    <xdr:pic>
      <xdr:nvPicPr>
        <xdr:cNvPr id="27596" name="Picture 12" descr="C:\WINDOWS\TEMP\~0003946.gif">
          <a:extLst>
            <a:ext uri="{FF2B5EF4-FFF2-40B4-BE49-F238E27FC236}">
              <a16:creationId xmlns:a16="http://schemas.microsoft.com/office/drawing/2014/main" id="{00000000-0008-0000-0300-0000CC6B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80358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27597" name="Picture 13" descr="logoMTL">
          <a:extLst>
            <a:ext uri="{FF2B5EF4-FFF2-40B4-BE49-F238E27FC236}">
              <a16:creationId xmlns:a16="http://schemas.microsoft.com/office/drawing/2014/main" id="{00000000-0008-0000-0300-0000CD6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137</xdr:row>
      <xdr:rowOff>38100</xdr:rowOff>
    </xdr:from>
    <xdr:to>
      <xdr:col>21</xdr:col>
      <xdr:colOff>1171575</xdr:colOff>
      <xdr:row>138</xdr:row>
      <xdr:rowOff>161925</xdr:rowOff>
    </xdr:to>
    <xdr:pic>
      <xdr:nvPicPr>
        <xdr:cNvPr id="27598" name="Picture 14" descr="logoMTL">
          <a:extLst>
            <a:ext uri="{FF2B5EF4-FFF2-40B4-BE49-F238E27FC236}">
              <a16:creationId xmlns:a16="http://schemas.microsoft.com/office/drawing/2014/main" id="{00000000-0008-0000-0300-0000CE6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9939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202</xdr:row>
      <xdr:rowOff>28575</xdr:rowOff>
    </xdr:from>
    <xdr:to>
      <xdr:col>21</xdr:col>
      <xdr:colOff>1171575</xdr:colOff>
      <xdr:row>203</xdr:row>
      <xdr:rowOff>152400</xdr:rowOff>
    </xdr:to>
    <xdr:pic>
      <xdr:nvPicPr>
        <xdr:cNvPr id="27599" name="Picture 15" descr="logoMTL">
          <a:extLst>
            <a:ext uri="{FF2B5EF4-FFF2-40B4-BE49-F238E27FC236}">
              <a16:creationId xmlns:a16="http://schemas.microsoft.com/office/drawing/2014/main" id="{00000000-0008-0000-0300-0000CF6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1071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286</xdr:row>
      <xdr:rowOff>0</xdr:rowOff>
    </xdr:from>
    <xdr:to>
      <xdr:col>21</xdr:col>
      <xdr:colOff>1228725</xdr:colOff>
      <xdr:row>287</xdr:row>
      <xdr:rowOff>123825</xdr:rowOff>
    </xdr:to>
    <xdr:pic>
      <xdr:nvPicPr>
        <xdr:cNvPr id="27600" name="Picture 16" descr="logoMTL">
          <a:extLst>
            <a:ext uri="{FF2B5EF4-FFF2-40B4-BE49-F238E27FC236}">
              <a16:creationId xmlns:a16="http://schemas.microsoft.com/office/drawing/2014/main" id="{00000000-0008-0000-0300-0000D06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79310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61</xdr:row>
      <xdr:rowOff>190500</xdr:rowOff>
    </xdr:from>
    <xdr:to>
      <xdr:col>1</xdr:col>
      <xdr:colOff>0</xdr:colOff>
      <xdr:row>62</xdr:row>
      <xdr:rowOff>228600</xdr:rowOff>
    </xdr:to>
    <xdr:pic>
      <xdr:nvPicPr>
        <xdr:cNvPr id="2" name="Picture 1" descr="C:\WINDOWS\TEMP\Symbol.gif">
          <a:extLst>
            <a:ext uri="{FF2B5EF4-FFF2-40B4-BE49-F238E27FC236}">
              <a16:creationId xmlns:a16="http://schemas.microsoft.com/office/drawing/2014/main" id="{0A72FC86-80F9-4B94-B729-08592957EF9F}"/>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4968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135</xdr:row>
      <xdr:rowOff>161925</xdr:rowOff>
    </xdr:from>
    <xdr:to>
      <xdr:col>1</xdr:col>
      <xdr:colOff>28575</xdr:colOff>
      <xdr:row>136</xdr:row>
      <xdr:rowOff>200025</xdr:rowOff>
    </xdr:to>
    <xdr:pic>
      <xdr:nvPicPr>
        <xdr:cNvPr id="3" name="Picture 2" descr="C:\WINDOWS\TEMP\Symbol.gif">
          <a:extLst>
            <a:ext uri="{FF2B5EF4-FFF2-40B4-BE49-F238E27FC236}">
              <a16:creationId xmlns:a16="http://schemas.microsoft.com/office/drawing/2014/main" id="{443FE104-9EEF-41D3-90A6-30B6F3A253D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717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201</xdr:row>
      <xdr:rowOff>171450</xdr:rowOff>
    </xdr:from>
    <xdr:to>
      <xdr:col>1</xdr:col>
      <xdr:colOff>47625</xdr:colOff>
      <xdr:row>202</xdr:row>
      <xdr:rowOff>209550</xdr:rowOff>
    </xdr:to>
    <xdr:pic>
      <xdr:nvPicPr>
        <xdr:cNvPr id="4" name="Picture 3" descr="C:\WINDOWS\TEMP\Symbol.gif">
          <a:extLst>
            <a:ext uri="{FF2B5EF4-FFF2-40B4-BE49-F238E27FC236}">
              <a16:creationId xmlns:a16="http://schemas.microsoft.com/office/drawing/2014/main" id="{2F48BF61-8188-41F2-88C8-A32E614F3531}"/>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1014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301</xdr:row>
      <xdr:rowOff>161925</xdr:rowOff>
    </xdr:from>
    <xdr:to>
      <xdr:col>1</xdr:col>
      <xdr:colOff>19050</xdr:colOff>
      <xdr:row>302</xdr:row>
      <xdr:rowOff>200025</xdr:rowOff>
    </xdr:to>
    <xdr:pic>
      <xdr:nvPicPr>
        <xdr:cNvPr id="5" name="Picture 4" descr="C:\WINDOWS\TEMP\Symbol.gif">
          <a:extLst>
            <a:ext uri="{FF2B5EF4-FFF2-40B4-BE49-F238E27FC236}">
              <a16:creationId xmlns:a16="http://schemas.microsoft.com/office/drawing/2014/main" id="{E212128F-5A2F-49CC-A87A-B8696C9278EF}"/>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600932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301</xdr:row>
      <xdr:rowOff>123825</xdr:rowOff>
    </xdr:from>
    <xdr:to>
      <xdr:col>22</xdr:col>
      <xdr:colOff>1895475</xdr:colOff>
      <xdr:row>302</xdr:row>
      <xdr:rowOff>152400</xdr:rowOff>
    </xdr:to>
    <xdr:pic>
      <xdr:nvPicPr>
        <xdr:cNvPr id="6" name="Picture 5" descr="C:\WINDOWS\TEMP\~0003946.gif">
          <a:extLst>
            <a:ext uri="{FF2B5EF4-FFF2-40B4-BE49-F238E27FC236}">
              <a16:creationId xmlns:a16="http://schemas.microsoft.com/office/drawing/2014/main" id="{E058F070-D338-4A44-927A-6008912EF4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600551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201</xdr:row>
      <xdr:rowOff>152400</xdr:rowOff>
    </xdr:from>
    <xdr:to>
      <xdr:col>22</xdr:col>
      <xdr:colOff>1924050</xdr:colOff>
      <xdr:row>202</xdr:row>
      <xdr:rowOff>180975</xdr:rowOff>
    </xdr:to>
    <xdr:pic>
      <xdr:nvPicPr>
        <xdr:cNvPr id="7" name="Picture 6" descr="C:\WINDOWS\TEMP\~0003946.gif">
          <a:extLst>
            <a:ext uri="{FF2B5EF4-FFF2-40B4-BE49-F238E27FC236}">
              <a16:creationId xmlns:a16="http://schemas.microsoft.com/office/drawing/2014/main" id="{9E4BFF95-64AE-4BA8-90E2-BE47A912FE84}"/>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09956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135</xdr:row>
      <xdr:rowOff>161925</xdr:rowOff>
    </xdr:from>
    <xdr:to>
      <xdr:col>22</xdr:col>
      <xdr:colOff>1952625</xdr:colOff>
      <xdr:row>136</xdr:row>
      <xdr:rowOff>190500</xdr:rowOff>
    </xdr:to>
    <xdr:pic>
      <xdr:nvPicPr>
        <xdr:cNvPr id="8" name="Picture 7" descr="C:\WINDOWS\TEMP\~0003946.gif">
          <a:extLst>
            <a:ext uri="{FF2B5EF4-FFF2-40B4-BE49-F238E27FC236}">
              <a16:creationId xmlns:a16="http://schemas.microsoft.com/office/drawing/2014/main" id="{57237C27-9490-4F80-891E-FFAAC1BF968F}"/>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77177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61</xdr:row>
      <xdr:rowOff>161925</xdr:rowOff>
    </xdr:from>
    <xdr:to>
      <xdr:col>22</xdr:col>
      <xdr:colOff>1952625</xdr:colOff>
      <xdr:row>62</xdr:row>
      <xdr:rowOff>190500</xdr:rowOff>
    </xdr:to>
    <xdr:pic>
      <xdr:nvPicPr>
        <xdr:cNvPr id="9" name="Picture 8" descr="C:\WINDOWS\TEMP\~0003946.gif">
          <a:extLst>
            <a:ext uri="{FF2B5EF4-FFF2-40B4-BE49-F238E27FC236}">
              <a16:creationId xmlns:a16="http://schemas.microsoft.com/office/drawing/2014/main" id="{037F042A-DCEB-4EDB-A1E1-76670F894B1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12468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61</xdr:row>
      <xdr:rowOff>123825</xdr:rowOff>
    </xdr:from>
    <xdr:to>
      <xdr:col>22</xdr:col>
      <xdr:colOff>885825</xdr:colOff>
      <xdr:row>62</xdr:row>
      <xdr:rowOff>152400</xdr:rowOff>
    </xdr:to>
    <xdr:pic>
      <xdr:nvPicPr>
        <xdr:cNvPr id="10" name="Picture 9" descr="C:\WINDOWS\TEMP\~0003946.gif">
          <a:extLst>
            <a:ext uri="{FF2B5EF4-FFF2-40B4-BE49-F238E27FC236}">
              <a16:creationId xmlns:a16="http://schemas.microsoft.com/office/drawing/2014/main" id="{349D6B5A-1611-4BF5-BEFA-BF39BAA065C9}"/>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4301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135</xdr:row>
      <xdr:rowOff>123825</xdr:rowOff>
    </xdr:from>
    <xdr:to>
      <xdr:col>22</xdr:col>
      <xdr:colOff>895350</xdr:colOff>
      <xdr:row>136</xdr:row>
      <xdr:rowOff>152400</xdr:rowOff>
    </xdr:to>
    <xdr:pic>
      <xdr:nvPicPr>
        <xdr:cNvPr id="11" name="Picture 10" descr="C:\WINDOWS\TEMP\~0003946.gif">
          <a:extLst>
            <a:ext uri="{FF2B5EF4-FFF2-40B4-BE49-F238E27FC236}">
              <a16:creationId xmlns:a16="http://schemas.microsoft.com/office/drawing/2014/main" id="{ACA2855B-853A-4E24-9B80-57440AEA6FB6}"/>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76796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201</xdr:row>
      <xdr:rowOff>104775</xdr:rowOff>
    </xdr:from>
    <xdr:to>
      <xdr:col>22</xdr:col>
      <xdr:colOff>809625</xdr:colOff>
      <xdr:row>202</xdr:row>
      <xdr:rowOff>133350</xdr:rowOff>
    </xdr:to>
    <xdr:pic>
      <xdr:nvPicPr>
        <xdr:cNvPr id="12" name="Picture 11" descr="C:\WINDOWS\TEMP\~0003946.gif">
          <a:extLst>
            <a:ext uri="{FF2B5EF4-FFF2-40B4-BE49-F238E27FC236}">
              <a16:creationId xmlns:a16="http://schemas.microsoft.com/office/drawing/2014/main" id="{18B75C8F-3C08-4E50-8989-9E7511646631}"/>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09479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301</xdr:row>
      <xdr:rowOff>104775</xdr:rowOff>
    </xdr:from>
    <xdr:to>
      <xdr:col>22</xdr:col>
      <xdr:colOff>895350</xdr:colOff>
      <xdr:row>302</xdr:row>
      <xdr:rowOff>133350</xdr:rowOff>
    </xdr:to>
    <xdr:pic>
      <xdr:nvPicPr>
        <xdr:cNvPr id="13" name="Picture 12" descr="C:\WINDOWS\TEMP\~0003946.gif">
          <a:extLst>
            <a:ext uri="{FF2B5EF4-FFF2-40B4-BE49-F238E27FC236}">
              <a16:creationId xmlns:a16="http://schemas.microsoft.com/office/drawing/2014/main" id="{35878BEC-1BAD-4495-A3AD-206E63D4567A}"/>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60036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61</xdr:row>
      <xdr:rowOff>38100</xdr:rowOff>
    </xdr:from>
    <xdr:to>
      <xdr:col>22</xdr:col>
      <xdr:colOff>0</xdr:colOff>
      <xdr:row>62</xdr:row>
      <xdr:rowOff>161924</xdr:rowOff>
    </xdr:to>
    <xdr:pic>
      <xdr:nvPicPr>
        <xdr:cNvPr id="14" name="Picture 13" descr="logoMTL">
          <a:extLst>
            <a:ext uri="{FF2B5EF4-FFF2-40B4-BE49-F238E27FC236}">
              <a16:creationId xmlns:a16="http://schemas.microsoft.com/office/drawing/2014/main" id="{FC805F75-289A-4EEB-883E-F185B0B94F7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344400"/>
          <a:ext cx="809625" cy="323849"/>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135</xdr:row>
      <xdr:rowOff>38100</xdr:rowOff>
    </xdr:from>
    <xdr:to>
      <xdr:col>21</xdr:col>
      <xdr:colOff>1171575</xdr:colOff>
      <xdr:row>136</xdr:row>
      <xdr:rowOff>161924</xdr:rowOff>
    </xdr:to>
    <xdr:pic>
      <xdr:nvPicPr>
        <xdr:cNvPr id="15" name="Picture 14" descr="logoMTL">
          <a:extLst>
            <a:ext uri="{FF2B5EF4-FFF2-40B4-BE49-F238E27FC236}">
              <a16:creationId xmlns:a16="http://schemas.microsoft.com/office/drawing/2014/main" id="{E99BE809-B146-466D-BA60-E43976990F4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593925"/>
          <a:ext cx="800100" cy="323849"/>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201</xdr:row>
      <xdr:rowOff>28575</xdr:rowOff>
    </xdr:from>
    <xdr:to>
      <xdr:col>21</xdr:col>
      <xdr:colOff>1171575</xdr:colOff>
      <xdr:row>202</xdr:row>
      <xdr:rowOff>152400</xdr:rowOff>
    </xdr:to>
    <xdr:pic>
      <xdr:nvPicPr>
        <xdr:cNvPr id="16" name="Picture 15" descr="logoMTL">
          <a:extLst>
            <a:ext uri="{FF2B5EF4-FFF2-40B4-BE49-F238E27FC236}">
              <a16:creationId xmlns:a16="http://schemas.microsoft.com/office/drawing/2014/main" id="{16C9E13A-30A3-4810-915F-D1388516253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08717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301</xdr:row>
      <xdr:rowOff>0</xdr:rowOff>
    </xdr:from>
    <xdr:to>
      <xdr:col>21</xdr:col>
      <xdr:colOff>1228725</xdr:colOff>
      <xdr:row>302</xdr:row>
      <xdr:rowOff>123825</xdr:rowOff>
    </xdr:to>
    <xdr:pic>
      <xdr:nvPicPr>
        <xdr:cNvPr id="17" name="Picture 16" descr="logoMTL">
          <a:extLst>
            <a:ext uri="{FF2B5EF4-FFF2-40B4-BE49-F238E27FC236}">
              <a16:creationId xmlns:a16="http://schemas.microsoft.com/office/drawing/2014/main" id="{74606370-A5B6-442D-9344-E45094BA256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99313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61</xdr:row>
      <xdr:rowOff>190500</xdr:rowOff>
    </xdr:from>
    <xdr:to>
      <xdr:col>1</xdr:col>
      <xdr:colOff>0</xdr:colOff>
      <xdr:row>62</xdr:row>
      <xdr:rowOff>228600</xdr:rowOff>
    </xdr:to>
    <xdr:pic>
      <xdr:nvPicPr>
        <xdr:cNvPr id="2" name="Picture 1" descr="C:\WINDOWS\TEMP\Symbol.gif">
          <a:extLst>
            <a:ext uri="{FF2B5EF4-FFF2-40B4-BE49-F238E27FC236}">
              <a16:creationId xmlns:a16="http://schemas.microsoft.com/office/drawing/2014/main" id="{4A65FCE7-1075-4162-A29F-5D7B27427AD7}"/>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367260"/>
          <a:ext cx="33528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135</xdr:row>
      <xdr:rowOff>161925</xdr:rowOff>
    </xdr:from>
    <xdr:to>
      <xdr:col>1</xdr:col>
      <xdr:colOff>28575</xdr:colOff>
      <xdr:row>136</xdr:row>
      <xdr:rowOff>200025</xdr:rowOff>
    </xdr:to>
    <xdr:pic>
      <xdr:nvPicPr>
        <xdr:cNvPr id="3" name="Picture 2" descr="C:\WINDOWS\TEMP\Symbol.gif">
          <a:extLst>
            <a:ext uri="{FF2B5EF4-FFF2-40B4-BE49-F238E27FC236}">
              <a16:creationId xmlns:a16="http://schemas.microsoft.com/office/drawing/2014/main" id="{16F9B2AE-A4E4-490B-B5FD-CA7D5743F675}"/>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426285"/>
          <a:ext cx="33528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201</xdr:row>
      <xdr:rowOff>171450</xdr:rowOff>
    </xdr:from>
    <xdr:to>
      <xdr:col>1</xdr:col>
      <xdr:colOff>47625</xdr:colOff>
      <xdr:row>202</xdr:row>
      <xdr:rowOff>209550</xdr:rowOff>
    </xdr:to>
    <xdr:pic>
      <xdr:nvPicPr>
        <xdr:cNvPr id="4" name="Picture 3" descr="C:\WINDOWS\TEMP\Symbol.gif">
          <a:extLst>
            <a:ext uri="{FF2B5EF4-FFF2-40B4-BE49-F238E27FC236}">
              <a16:creationId xmlns:a16="http://schemas.microsoft.com/office/drawing/2014/main" id="{6E449BF3-B06D-4C7A-BE80-7BD0758BBD28}"/>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40572690"/>
          <a:ext cx="33528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301</xdr:row>
      <xdr:rowOff>161925</xdr:rowOff>
    </xdr:from>
    <xdr:to>
      <xdr:col>1</xdr:col>
      <xdr:colOff>19050</xdr:colOff>
      <xdr:row>302</xdr:row>
      <xdr:rowOff>200025</xdr:rowOff>
    </xdr:to>
    <xdr:pic>
      <xdr:nvPicPr>
        <xdr:cNvPr id="5" name="Picture 4" descr="C:\WINDOWS\TEMP\Symbol.gif">
          <a:extLst>
            <a:ext uri="{FF2B5EF4-FFF2-40B4-BE49-F238E27FC236}">
              <a16:creationId xmlns:a16="http://schemas.microsoft.com/office/drawing/2014/main" id="{DBDE285E-9A56-4ADA-B2ED-0A5EF759013B}"/>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60451365"/>
          <a:ext cx="344805"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301</xdr:row>
      <xdr:rowOff>123825</xdr:rowOff>
    </xdr:from>
    <xdr:to>
      <xdr:col>22</xdr:col>
      <xdr:colOff>1895475</xdr:colOff>
      <xdr:row>302</xdr:row>
      <xdr:rowOff>152400</xdr:rowOff>
    </xdr:to>
    <xdr:pic>
      <xdr:nvPicPr>
        <xdr:cNvPr id="6" name="Picture 5" descr="C:\WINDOWS\TEMP\~0003946.gif">
          <a:extLst>
            <a:ext uri="{FF2B5EF4-FFF2-40B4-BE49-F238E27FC236}">
              <a16:creationId xmlns:a16="http://schemas.microsoft.com/office/drawing/2014/main" id="{6FB33E3F-D892-4C69-9213-24A78F9BEE6B}"/>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4641175" y="6041326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201</xdr:row>
      <xdr:rowOff>152400</xdr:rowOff>
    </xdr:from>
    <xdr:to>
      <xdr:col>22</xdr:col>
      <xdr:colOff>1924050</xdr:colOff>
      <xdr:row>202</xdr:row>
      <xdr:rowOff>180975</xdr:rowOff>
    </xdr:to>
    <xdr:pic>
      <xdr:nvPicPr>
        <xdr:cNvPr id="7" name="Picture 6" descr="C:\WINDOWS\TEMP\~0003946.gif">
          <a:extLst>
            <a:ext uri="{FF2B5EF4-FFF2-40B4-BE49-F238E27FC236}">
              <a16:creationId xmlns:a16="http://schemas.microsoft.com/office/drawing/2014/main" id="{5BFF9F60-8DA5-4146-9824-401FBB8BDB4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4639270" y="40553640"/>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135</xdr:row>
      <xdr:rowOff>161925</xdr:rowOff>
    </xdr:from>
    <xdr:to>
      <xdr:col>22</xdr:col>
      <xdr:colOff>1952625</xdr:colOff>
      <xdr:row>136</xdr:row>
      <xdr:rowOff>190500</xdr:rowOff>
    </xdr:to>
    <xdr:pic>
      <xdr:nvPicPr>
        <xdr:cNvPr id="8" name="Picture 7" descr="C:\WINDOWS\TEMP\~0003946.gif">
          <a:extLst>
            <a:ext uri="{FF2B5EF4-FFF2-40B4-BE49-F238E27FC236}">
              <a16:creationId xmlns:a16="http://schemas.microsoft.com/office/drawing/2014/main" id="{50E59464-6FAC-485D-AB4D-3485337BDA45}"/>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4644985" y="2742628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61</xdr:row>
      <xdr:rowOff>161925</xdr:rowOff>
    </xdr:from>
    <xdr:to>
      <xdr:col>22</xdr:col>
      <xdr:colOff>1952625</xdr:colOff>
      <xdr:row>62</xdr:row>
      <xdr:rowOff>190500</xdr:rowOff>
    </xdr:to>
    <xdr:pic>
      <xdr:nvPicPr>
        <xdr:cNvPr id="9" name="Picture 8" descr="C:\WINDOWS\TEMP\~0003946.gif">
          <a:extLst>
            <a:ext uri="{FF2B5EF4-FFF2-40B4-BE49-F238E27FC236}">
              <a16:creationId xmlns:a16="http://schemas.microsoft.com/office/drawing/2014/main" id="{6D4B20EE-DED4-4709-B04E-D698CF15DB11}"/>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4644985" y="1233868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61</xdr:row>
      <xdr:rowOff>123825</xdr:rowOff>
    </xdr:from>
    <xdr:to>
      <xdr:col>22</xdr:col>
      <xdr:colOff>885825</xdr:colOff>
      <xdr:row>62</xdr:row>
      <xdr:rowOff>152400</xdr:rowOff>
    </xdr:to>
    <xdr:pic>
      <xdr:nvPicPr>
        <xdr:cNvPr id="10" name="Picture 9" descr="C:\WINDOWS\TEMP\~0003946.gif">
          <a:extLst>
            <a:ext uri="{FF2B5EF4-FFF2-40B4-BE49-F238E27FC236}">
              <a16:creationId xmlns:a16="http://schemas.microsoft.com/office/drawing/2014/main" id="{C159D19E-F394-4C96-8737-B647436D3912}"/>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3738205" y="12300585"/>
          <a:ext cx="80010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135</xdr:row>
      <xdr:rowOff>123825</xdr:rowOff>
    </xdr:from>
    <xdr:to>
      <xdr:col>22</xdr:col>
      <xdr:colOff>895350</xdr:colOff>
      <xdr:row>136</xdr:row>
      <xdr:rowOff>152400</xdr:rowOff>
    </xdr:to>
    <xdr:pic>
      <xdr:nvPicPr>
        <xdr:cNvPr id="11" name="Picture 10" descr="C:\WINDOWS\TEMP\~0003946.gif">
          <a:extLst>
            <a:ext uri="{FF2B5EF4-FFF2-40B4-BE49-F238E27FC236}">
              <a16:creationId xmlns:a16="http://schemas.microsoft.com/office/drawing/2014/main" id="{3FD4B737-EC50-4FAA-8A8A-60A4B90F4409}"/>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3747730" y="27388185"/>
          <a:ext cx="80010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201</xdr:row>
      <xdr:rowOff>104775</xdr:rowOff>
    </xdr:from>
    <xdr:to>
      <xdr:col>22</xdr:col>
      <xdr:colOff>809625</xdr:colOff>
      <xdr:row>202</xdr:row>
      <xdr:rowOff>133350</xdr:rowOff>
    </xdr:to>
    <xdr:pic>
      <xdr:nvPicPr>
        <xdr:cNvPr id="12" name="Picture 11" descr="C:\WINDOWS\TEMP\~0003946.gif">
          <a:extLst>
            <a:ext uri="{FF2B5EF4-FFF2-40B4-BE49-F238E27FC236}">
              <a16:creationId xmlns:a16="http://schemas.microsoft.com/office/drawing/2014/main" id="{E1A4DE7C-628B-4D35-828E-AB2FFEBE2471}"/>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3662005" y="40506015"/>
          <a:ext cx="80010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301</xdr:row>
      <xdr:rowOff>104775</xdr:rowOff>
    </xdr:from>
    <xdr:to>
      <xdr:col>22</xdr:col>
      <xdr:colOff>895350</xdr:colOff>
      <xdr:row>302</xdr:row>
      <xdr:rowOff>133350</xdr:rowOff>
    </xdr:to>
    <xdr:pic>
      <xdr:nvPicPr>
        <xdr:cNvPr id="13" name="Picture 12" descr="C:\WINDOWS\TEMP\~0003946.gif">
          <a:extLst>
            <a:ext uri="{FF2B5EF4-FFF2-40B4-BE49-F238E27FC236}">
              <a16:creationId xmlns:a16="http://schemas.microsoft.com/office/drawing/2014/main" id="{8275A9A3-7E00-4F4E-8BD9-FE35BD39F786}"/>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3747730" y="60394215"/>
          <a:ext cx="80010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61</xdr:row>
      <xdr:rowOff>38100</xdr:rowOff>
    </xdr:from>
    <xdr:to>
      <xdr:col>22</xdr:col>
      <xdr:colOff>0</xdr:colOff>
      <xdr:row>62</xdr:row>
      <xdr:rowOff>161924</xdr:rowOff>
    </xdr:to>
    <xdr:pic>
      <xdr:nvPicPr>
        <xdr:cNvPr id="14" name="Picture 13" descr="logoMTL">
          <a:extLst>
            <a:ext uri="{FF2B5EF4-FFF2-40B4-BE49-F238E27FC236}">
              <a16:creationId xmlns:a16="http://schemas.microsoft.com/office/drawing/2014/main" id="{27A045DC-BD40-4118-9BE4-EBD44728043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873335" y="12214860"/>
          <a:ext cx="779145" cy="321944"/>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135</xdr:row>
      <xdr:rowOff>38100</xdr:rowOff>
    </xdr:from>
    <xdr:to>
      <xdr:col>21</xdr:col>
      <xdr:colOff>1171575</xdr:colOff>
      <xdr:row>136</xdr:row>
      <xdr:rowOff>161924</xdr:rowOff>
    </xdr:to>
    <xdr:pic>
      <xdr:nvPicPr>
        <xdr:cNvPr id="15" name="Picture 14" descr="logoMTL">
          <a:extLst>
            <a:ext uri="{FF2B5EF4-FFF2-40B4-BE49-F238E27FC236}">
              <a16:creationId xmlns:a16="http://schemas.microsoft.com/office/drawing/2014/main" id="{01F0C698-118B-4A49-B4CC-52E76610B4C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797135" y="27302460"/>
          <a:ext cx="800100" cy="321944"/>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201</xdr:row>
      <xdr:rowOff>28575</xdr:rowOff>
    </xdr:from>
    <xdr:to>
      <xdr:col>21</xdr:col>
      <xdr:colOff>1171575</xdr:colOff>
      <xdr:row>202</xdr:row>
      <xdr:rowOff>152400</xdr:rowOff>
    </xdr:to>
    <xdr:pic>
      <xdr:nvPicPr>
        <xdr:cNvPr id="16" name="Picture 15" descr="logoMTL">
          <a:extLst>
            <a:ext uri="{FF2B5EF4-FFF2-40B4-BE49-F238E27FC236}">
              <a16:creationId xmlns:a16="http://schemas.microsoft.com/office/drawing/2014/main" id="{C2D5C63C-5F51-41E9-9D2B-56F729E358F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797135" y="40429815"/>
          <a:ext cx="800100" cy="321945"/>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301</xdr:row>
      <xdr:rowOff>0</xdr:rowOff>
    </xdr:from>
    <xdr:to>
      <xdr:col>22</xdr:col>
      <xdr:colOff>1905</xdr:colOff>
      <xdr:row>302</xdr:row>
      <xdr:rowOff>123825</xdr:rowOff>
    </xdr:to>
    <xdr:pic>
      <xdr:nvPicPr>
        <xdr:cNvPr id="17" name="Picture 16" descr="logoMTL">
          <a:extLst>
            <a:ext uri="{FF2B5EF4-FFF2-40B4-BE49-F238E27FC236}">
              <a16:creationId xmlns:a16="http://schemas.microsoft.com/office/drawing/2014/main" id="{FF064776-AEFF-417E-897B-07B31FFBBC8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844760" y="60289440"/>
          <a:ext cx="809625" cy="321945"/>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22</xdr:col>
      <xdr:colOff>1095375</xdr:colOff>
      <xdr:row>301</xdr:row>
      <xdr:rowOff>123825</xdr:rowOff>
    </xdr:from>
    <xdr:to>
      <xdr:col>22</xdr:col>
      <xdr:colOff>1895475</xdr:colOff>
      <xdr:row>302</xdr:row>
      <xdr:rowOff>152400</xdr:rowOff>
    </xdr:to>
    <xdr:pic>
      <xdr:nvPicPr>
        <xdr:cNvPr id="6" name="Picture 5" descr="C:\WINDOWS\TEMP\~0003946.gif">
          <a:extLst>
            <a:ext uri="{FF2B5EF4-FFF2-40B4-BE49-F238E27FC236}">
              <a16:creationId xmlns:a16="http://schemas.microsoft.com/office/drawing/2014/main" id="{2DBF8E43-5907-444B-9081-F08E83AC666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610933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201</xdr:row>
      <xdr:rowOff>152400</xdr:rowOff>
    </xdr:from>
    <xdr:to>
      <xdr:col>22</xdr:col>
      <xdr:colOff>1924050</xdr:colOff>
      <xdr:row>202</xdr:row>
      <xdr:rowOff>180975</xdr:rowOff>
    </xdr:to>
    <xdr:pic>
      <xdr:nvPicPr>
        <xdr:cNvPr id="7" name="Picture 6" descr="C:\WINDOWS\TEMP\~0003946.gif">
          <a:extLst>
            <a:ext uri="{FF2B5EF4-FFF2-40B4-BE49-F238E27FC236}">
              <a16:creationId xmlns:a16="http://schemas.microsoft.com/office/drawing/2014/main" id="{35A3AEFB-8C0C-4E01-8CF9-B8DE93BADCB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409956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135</xdr:row>
      <xdr:rowOff>161925</xdr:rowOff>
    </xdr:from>
    <xdr:to>
      <xdr:col>22</xdr:col>
      <xdr:colOff>1952625</xdr:colOff>
      <xdr:row>136</xdr:row>
      <xdr:rowOff>190500</xdr:rowOff>
    </xdr:to>
    <xdr:pic>
      <xdr:nvPicPr>
        <xdr:cNvPr id="8" name="Picture 7" descr="C:\WINDOWS\TEMP\~0003946.gif">
          <a:extLst>
            <a:ext uri="{FF2B5EF4-FFF2-40B4-BE49-F238E27FC236}">
              <a16:creationId xmlns:a16="http://schemas.microsoft.com/office/drawing/2014/main" id="{2C466733-F4F0-4D1C-AC9C-0DAF6035749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277177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61</xdr:row>
      <xdr:rowOff>161925</xdr:rowOff>
    </xdr:from>
    <xdr:to>
      <xdr:col>22</xdr:col>
      <xdr:colOff>1952625</xdr:colOff>
      <xdr:row>62</xdr:row>
      <xdr:rowOff>190500</xdr:rowOff>
    </xdr:to>
    <xdr:pic>
      <xdr:nvPicPr>
        <xdr:cNvPr id="9" name="Picture 8" descr="C:\WINDOWS\TEMP\~0003946.gif">
          <a:extLst>
            <a:ext uri="{FF2B5EF4-FFF2-40B4-BE49-F238E27FC236}">
              <a16:creationId xmlns:a16="http://schemas.microsoft.com/office/drawing/2014/main" id="{D7FF532E-3129-48EA-BE63-3E361C41C06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12468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0</xdr:colOff>
      <xdr:row>301</xdr:row>
      <xdr:rowOff>0</xdr:rowOff>
    </xdr:from>
    <xdr:to>
      <xdr:col>22</xdr:col>
      <xdr:colOff>883997</xdr:colOff>
      <xdr:row>302</xdr:row>
      <xdr:rowOff>94622</xdr:rowOff>
    </xdr:to>
    <xdr:pic>
      <xdr:nvPicPr>
        <xdr:cNvPr id="18" name="Picture 17">
          <a:extLst>
            <a:ext uri="{FF2B5EF4-FFF2-40B4-BE49-F238E27FC236}">
              <a16:creationId xmlns:a16="http://schemas.microsoft.com/office/drawing/2014/main" id="{0DFB5C03-2320-4C73-BDB8-3F83D7443F6F}"/>
            </a:ext>
          </a:extLst>
        </xdr:cNvPr>
        <xdr:cNvPicPr>
          <a:picLocks noChangeAspect="1"/>
        </xdr:cNvPicPr>
      </xdr:nvPicPr>
      <xdr:blipFill>
        <a:blip xmlns:r="http://schemas.openxmlformats.org/officeDocument/2006/relationships" r:embed="rId3"/>
        <a:stretch>
          <a:fillRect/>
        </a:stretch>
      </xdr:blipFill>
      <xdr:spPr>
        <a:xfrm>
          <a:off x="24220714" y="62143821"/>
          <a:ext cx="883997" cy="298730"/>
        </a:xfrm>
        <a:prstGeom prst="rect">
          <a:avLst/>
        </a:prstGeom>
      </xdr:spPr>
    </xdr:pic>
    <xdr:clientData/>
  </xdr:twoCellAnchor>
  <xdr:twoCellAnchor editAs="oneCell">
    <xdr:from>
      <xdr:col>22</xdr:col>
      <xdr:colOff>0</xdr:colOff>
      <xdr:row>201</xdr:row>
      <xdr:rowOff>0</xdr:rowOff>
    </xdr:from>
    <xdr:to>
      <xdr:col>22</xdr:col>
      <xdr:colOff>883997</xdr:colOff>
      <xdr:row>202</xdr:row>
      <xdr:rowOff>94623</xdr:rowOff>
    </xdr:to>
    <xdr:pic>
      <xdr:nvPicPr>
        <xdr:cNvPr id="19" name="Picture 18">
          <a:extLst>
            <a:ext uri="{FF2B5EF4-FFF2-40B4-BE49-F238E27FC236}">
              <a16:creationId xmlns:a16="http://schemas.microsoft.com/office/drawing/2014/main" id="{C99083C8-15EE-426D-A315-E665CA1100B3}"/>
            </a:ext>
          </a:extLst>
        </xdr:cNvPr>
        <xdr:cNvPicPr>
          <a:picLocks noChangeAspect="1"/>
        </xdr:cNvPicPr>
      </xdr:nvPicPr>
      <xdr:blipFill>
        <a:blip xmlns:r="http://schemas.openxmlformats.org/officeDocument/2006/relationships" r:embed="rId3"/>
        <a:stretch>
          <a:fillRect/>
        </a:stretch>
      </xdr:blipFill>
      <xdr:spPr>
        <a:xfrm>
          <a:off x="24220714" y="41610643"/>
          <a:ext cx="883997" cy="298730"/>
        </a:xfrm>
        <a:prstGeom prst="rect">
          <a:avLst/>
        </a:prstGeom>
      </xdr:spPr>
    </xdr:pic>
    <xdr:clientData/>
  </xdr:twoCellAnchor>
  <xdr:twoCellAnchor editAs="oneCell">
    <xdr:from>
      <xdr:col>22</xdr:col>
      <xdr:colOff>0</xdr:colOff>
      <xdr:row>135</xdr:row>
      <xdr:rowOff>0</xdr:rowOff>
    </xdr:from>
    <xdr:to>
      <xdr:col>22</xdr:col>
      <xdr:colOff>883997</xdr:colOff>
      <xdr:row>136</xdr:row>
      <xdr:rowOff>94623</xdr:rowOff>
    </xdr:to>
    <xdr:pic>
      <xdr:nvPicPr>
        <xdr:cNvPr id="20" name="Picture 19">
          <a:extLst>
            <a:ext uri="{FF2B5EF4-FFF2-40B4-BE49-F238E27FC236}">
              <a16:creationId xmlns:a16="http://schemas.microsoft.com/office/drawing/2014/main" id="{3E72BE5B-F13A-46A1-B5F1-227A095A91EF}"/>
            </a:ext>
          </a:extLst>
        </xdr:cNvPr>
        <xdr:cNvPicPr>
          <a:picLocks noChangeAspect="1"/>
        </xdr:cNvPicPr>
      </xdr:nvPicPr>
      <xdr:blipFill>
        <a:blip xmlns:r="http://schemas.openxmlformats.org/officeDocument/2006/relationships" r:embed="rId3"/>
        <a:stretch>
          <a:fillRect/>
        </a:stretch>
      </xdr:blipFill>
      <xdr:spPr>
        <a:xfrm>
          <a:off x="24220714" y="28098750"/>
          <a:ext cx="883997" cy="298730"/>
        </a:xfrm>
        <a:prstGeom prst="rect">
          <a:avLst/>
        </a:prstGeom>
      </xdr:spPr>
    </xdr:pic>
    <xdr:clientData/>
  </xdr:twoCellAnchor>
  <xdr:twoCellAnchor editAs="oneCell">
    <xdr:from>
      <xdr:col>22</xdr:col>
      <xdr:colOff>27214</xdr:colOff>
      <xdr:row>61</xdr:row>
      <xdr:rowOff>40822</xdr:rowOff>
    </xdr:from>
    <xdr:to>
      <xdr:col>22</xdr:col>
      <xdr:colOff>911211</xdr:colOff>
      <xdr:row>62</xdr:row>
      <xdr:rowOff>135445</xdr:rowOff>
    </xdr:to>
    <xdr:pic>
      <xdr:nvPicPr>
        <xdr:cNvPr id="21" name="Picture 20">
          <a:extLst>
            <a:ext uri="{FF2B5EF4-FFF2-40B4-BE49-F238E27FC236}">
              <a16:creationId xmlns:a16="http://schemas.microsoft.com/office/drawing/2014/main" id="{79712039-D737-4631-AF67-5F94BEF8B821}"/>
            </a:ext>
          </a:extLst>
        </xdr:cNvPr>
        <xdr:cNvPicPr>
          <a:picLocks noChangeAspect="1"/>
        </xdr:cNvPicPr>
      </xdr:nvPicPr>
      <xdr:blipFill>
        <a:blip xmlns:r="http://schemas.openxmlformats.org/officeDocument/2006/relationships" r:embed="rId3"/>
        <a:stretch>
          <a:fillRect/>
        </a:stretch>
      </xdr:blipFill>
      <xdr:spPr>
        <a:xfrm>
          <a:off x="24247928" y="12600215"/>
          <a:ext cx="883997" cy="298730"/>
        </a:xfrm>
        <a:prstGeom prst="rect">
          <a:avLst/>
        </a:prstGeom>
      </xdr:spPr>
    </xdr:pic>
    <xdr:clientData/>
  </xdr:twoCellAnchor>
  <xdr:twoCellAnchor editAs="oneCell">
    <xdr:from>
      <xdr:col>0</xdr:col>
      <xdr:colOff>163286</xdr:colOff>
      <xdr:row>61</xdr:row>
      <xdr:rowOff>136072</xdr:rowOff>
    </xdr:from>
    <xdr:to>
      <xdr:col>0</xdr:col>
      <xdr:colOff>333989</xdr:colOff>
      <xdr:row>62</xdr:row>
      <xdr:rowOff>157537</xdr:rowOff>
    </xdr:to>
    <xdr:pic>
      <xdr:nvPicPr>
        <xdr:cNvPr id="22" name="Picture 21">
          <a:extLst>
            <a:ext uri="{FF2B5EF4-FFF2-40B4-BE49-F238E27FC236}">
              <a16:creationId xmlns:a16="http://schemas.microsoft.com/office/drawing/2014/main" id="{31EE6FFE-47B2-4C21-BB65-6914B81071F6}"/>
            </a:ext>
          </a:extLst>
        </xdr:cNvPr>
        <xdr:cNvPicPr>
          <a:picLocks noChangeAspect="1"/>
        </xdr:cNvPicPr>
      </xdr:nvPicPr>
      <xdr:blipFill>
        <a:blip xmlns:r="http://schemas.openxmlformats.org/officeDocument/2006/relationships" r:embed="rId4"/>
        <a:stretch>
          <a:fillRect/>
        </a:stretch>
      </xdr:blipFill>
      <xdr:spPr>
        <a:xfrm>
          <a:off x="163286" y="12695465"/>
          <a:ext cx="170703" cy="225572"/>
        </a:xfrm>
        <a:prstGeom prst="rect">
          <a:avLst/>
        </a:prstGeom>
      </xdr:spPr>
    </xdr:pic>
    <xdr:clientData/>
  </xdr:twoCellAnchor>
  <xdr:twoCellAnchor editAs="oneCell">
    <xdr:from>
      <xdr:col>0</xdr:col>
      <xdr:colOff>217714</xdr:colOff>
      <xdr:row>135</xdr:row>
      <xdr:rowOff>40821</xdr:rowOff>
    </xdr:from>
    <xdr:to>
      <xdr:col>1</xdr:col>
      <xdr:colOff>48238</xdr:colOff>
      <xdr:row>136</xdr:row>
      <xdr:rowOff>62286</xdr:rowOff>
    </xdr:to>
    <xdr:pic>
      <xdr:nvPicPr>
        <xdr:cNvPr id="23" name="Picture 22">
          <a:extLst>
            <a:ext uri="{FF2B5EF4-FFF2-40B4-BE49-F238E27FC236}">
              <a16:creationId xmlns:a16="http://schemas.microsoft.com/office/drawing/2014/main" id="{9A7E7301-62CB-4B2A-8029-119AB67889D6}"/>
            </a:ext>
          </a:extLst>
        </xdr:cNvPr>
        <xdr:cNvPicPr>
          <a:picLocks noChangeAspect="1"/>
        </xdr:cNvPicPr>
      </xdr:nvPicPr>
      <xdr:blipFill>
        <a:blip xmlns:r="http://schemas.openxmlformats.org/officeDocument/2006/relationships" r:embed="rId4"/>
        <a:stretch>
          <a:fillRect/>
        </a:stretch>
      </xdr:blipFill>
      <xdr:spPr>
        <a:xfrm>
          <a:off x="217714" y="28139571"/>
          <a:ext cx="170703" cy="225572"/>
        </a:xfrm>
        <a:prstGeom prst="rect">
          <a:avLst/>
        </a:prstGeom>
      </xdr:spPr>
    </xdr:pic>
    <xdr:clientData/>
  </xdr:twoCellAnchor>
  <xdr:twoCellAnchor editAs="oneCell">
    <xdr:from>
      <xdr:col>0</xdr:col>
      <xdr:colOff>190500</xdr:colOff>
      <xdr:row>201</xdr:row>
      <xdr:rowOff>136071</xdr:rowOff>
    </xdr:from>
    <xdr:to>
      <xdr:col>1</xdr:col>
      <xdr:colOff>21024</xdr:colOff>
      <xdr:row>202</xdr:row>
      <xdr:rowOff>157536</xdr:rowOff>
    </xdr:to>
    <xdr:pic>
      <xdr:nvPicPr>
        <xdr:cNvPr id="24" name="Picture 23">
          <a:extLst>
            <a:ext uri="{FF2B5EF4-FFF2-40B4-BE49-F238E27FC236}">
              <a16:creationId xmlns:a16="http://schemas.microsoft.com/office/drawing/2014/main" id="{6DB5463C-8FE3-40FF-AD7C-869305CAB072}"/>
            </a:ext>
          </a:extLst>
        </xdr:cNvPr>
        <xdr:cNvPicPr>
          <a:picLocks noChangeAspect="1"/>
        </xdr:cNvPicPr>
      </xdr:nvPicPr>
      <xdr:blipFill>
        <a:blip xmlns:r="http://schemas.openxmlformats.org/officeDocument/2006/relationships" r:embed="rId4"/>
        <a:stretch>
          <a:fillRect/>
        </a:stretch>
      </xdr:blipFill>
      <xdr:spPr>
        <a:xfrm>
          <a:off x="190500" y="41746714"/>
          <a:ext cx="170703" cy="225572"/>
        </a:xfrm>
        <a:prstGeom prst="rect">
          <a:avLst/>
        </a:prstGeom>
      </xdr:spPr>
    </xdr:pic>
    <xdr:clientData/>
  </xdr:twoCellAnchor>
  <xdr:twoCellAnchor editAs="oneCell">
    <xdr:from>
      <xdr:col>0</xdr:col>
      <xdr:colOff>217715</xdr:colOff>
      <xdr:row>301</xdr:row>
      <xdr:rowOff>136073</xdr:rowOff>
    </xdr:from>
    <xdr:to>
      <xdr:col>1</xdr:col>
      <xdr:colOff>48239</xdr:colOff>
      <xdr:row>302</xdr:row>
      <xdr:rowOff>157537</xdr:rowOff>
    </xdr:to>
    <xdr:pic>
      <xdr:nvPicPr>
        <xdr:cNvPr id="25" name="Picture 24">
          <a:extLst>
            <a:ext uri="{FF2B5EF4-FFF2-40B4-BE49-F238E27FC236}">
              <a16:creationId xmlns:a16="http://schemas.microsoft.com/office/drawing/2014/main" id="{B693A5C5-B9B4-41DF-B647-90366D5F4183}"/>
            </a:ext>
          </a:extLst>
        </xdr:cNvPr>
        <xdr:cNvPicPr>
          <a:picLocks noChangeAspect="1"/>
        </xdr:cNvPicPr>
      </xdr:nvPicPr>
      <xdr:blipFill>
        <a:blip xmlns:r="http://schemas.openxmlformats.org/officeDocument/2006/relationships" r:embed="rId4"/>
        <a:stretch>
          <a:fillRect/>
        </a:stretch>
      </xdr:blipFill>
      <xdr:spPr>
        <a:xfrm>
          <a:off x="217715" y="62279894"/>
          <a:ext cx="170703" cy="22557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22</xdr:col>
      <xdr:colOff>1095375</xdr:colOff>
      <xdr:row>301</xdr:row>
      <xdr:rowOff>123825</xdr:rowOff>
    </xdr:from>
    <xdr:to>
      <xdr:col>22</xdr:col>
      <xdr:colOff>1895475</xdr:colOff>
      <xdr:row>302</xdr:row>
      <xdr:rowOff>152400</xdr:rowOff>
    </xdr:to>
    <xdr:pic>
      <xdr:nvPicPr>
        <xdr:cNvPr id="2" name="Picture 1" descr="C:\WINDOWS\TEMP\~0003946.gif">
          <a:extLst>
            <a:ext uri="{FF2B5EF4-FFF2-40B4-BE49-F238E27FC236}">
              <a16:creationId xmlns:a16="http://schemas.microsoft.com/office/drawing/2014/main" id="{CBC23DC5-762E-4C18-971F-6C5B7D2B1D4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61102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201</xdr:row>
      <xdr:rowOff>152400</xdr:rowOff>
    </xdr:from>
    <xdr:to>
      <xdr:col>22</xdr:col>
      <xdr:colOff>1924050</xdr:colOff>
      <xdr:row>202</xdr:row>
      <xdr:rowOff>180975</xdr:rowOff>
    </xdr:to>
    <xdr:pic>
      <xdr:nvPicPr>
        <xdr:cNvPr id="3" name="Picture 2" descr="C:\WINDOWS\TEMP\~0003946.gif">
          <a:extLst>
            <a:ext uri="{FF2B5EF4-FFF2-40B4-BE49-F238E27FC236}">
              <a16:creationId xmlns:a16="http://schemas.microsoft.com/office/drawing/2014/main" id="{007ABD12-EACD-4AC3-B862-19763BE7357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410051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135</xdr:row>
      <xdr:rowOff>161925</xdr:rowOff>
    </xdr:from>
    <xdr:to>
      <xdr:col>22</xdr:col>
      <xdr:colOff>1952625</xdr:colOff>
      <xdr:row>136</xdr:row>
      <xdr:rowOff>190500</xdr:rowOff>
    </xdr:to>
    <xdr:pic>
      <xdr:nvPicPr>
        <xdr:cNvPr id="4" name="Picture 3" descr="C:\WINDOWS\TEMP\~0003946.gif">
          <a:extLst>
            <a:ext uri="{FF2B5EF4-FFF2-40B4-BE49-F238E27FC236}">
              <a16:creationId xmlns:a16="http://schemas.microsoft.com/office/drawing/2014/main" id="{E1397CDF-A1A6-4B64-BBDE-5058CA91587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277272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61</xdr:row>
      <xdr:rowOff>161925</xdr:rowOff>
    </xdr:from>
    <xdr:to>
      <xdr:col>22</xdr:col>
      <xdr:colOff>1952625</xdr:colOff>
      <xdr:row>62</xdr:row>
      <xdr:rowOff>190500</xdr:rowOff>
    </xdr:to>
    <xdr:pic>
      <xdr:nvPicPr>
        <xdr:cNvPr id="5" name="Picture 4" descr="C:\WINDOWS\TEMP\~0003946.gif">
          <a:extLst>
            <a:ext uri="{FF2B5EF4-FFF2-40B4-BE49-F238E27FC236}">
              <a16:creationId xmlns:a16="http://schemas.microsoft.com/office/drawing/2014/main" id="{5648D9FD-2C38-469F-9378-9E80B45C322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124777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0</xdr:colOff>
      <xdr:row>301</xdr:row>
      <xdr:rowOff>0</xdr:rowOff>
    </xdr:from>
    <xdr:to>
      <xdr:col>22</xdr:col>
      <xdr:colOff>883997</xdr:colOff>
      <xdr:row>302</xdr:row>
      <xdr:rowOff>94622</xdr:rowOff>
    </xdr:to>
    <xdr:pic>
      <xdr:nvPicPr>
        <xdr:cNvPr id="6" name="Picture 5">
          <a:extLst>
            <a:ext uri="{FF2B5EF4-FFF2-40B4-BE49-F238E27FC236}">
              <a16:creationId xmlns:a16="http://schemas.microsoft.com/office/drawing/2014/main" id="{662D3A9C-4A04-482D-A9B0-585F878E8D42}"/>
            </a:ext>
          </a:extLst>
        </xdr:cNvPr>
        <xdr:cNvPicPr>
          <a:picLocks noChangeAspect="1"/>
        </xdr:cNvPicPr>
      </xdr:nvPicPr>
      <xdr:blipFill>
        <a:blip xmlns:r="http://schemas.openxmlformats.org/officeDocument/2006/relationships" r:embed="rId3"/>
        <a:stretch>
          <a:fillRect/>
        </a:stretch>
      </xdr:blipFill>
      <xdr:spPr>
        <a:xfrm>
          <a:off x="24212550" y="60979050"/>
          <a:ext cx="883997" cy="294647"/>
        </a:xfrm>
        <a:prstGeom prst="rect">
          <a:avLst/>
        </a:prstGeom>
      </xdr:spPr>
    </xdr:pic>
    <xdr:clientData/>
  </xdr:twoCellAnchor>
  <xdr:twoCellAnchor editAs="oneCell">
    <xdr:from>
      <xdr:col>22</xdr:col>
      <xdr:colOff>0</xdr:colOff>
      <xdr:row>201</xdr:row>
      <xdr:rowOff>0</xdr:rowOff>
    </xdr:from>
    <xdr:to>
      <xdr:col>22</xdr:col>
      <xdr:colOff>883997</xdr:colOff>
      <xdr:row>202</xdr:row>
      <xdr:rowOff>94623</xdr:rowOff>
    </xdr:to>
    <xdr:pic>
      <xdr:nvPicPr>
        <xdr:cNvPr id="7" name="Picture 6">
          <a:extLst>
            <a:ext uri="{FF2B5EF4-FFF2-40B4-BE49-F238E27FC236}">
              <a16:creationId xmlns:a16="http://schemas.microsoft.com/office/drawing/2014/main" id="{BD4A4EA2-1A35-4A48-BF0C-E430A8E37142}"/>
            </a:ext>
          </a:extLst>
        </xdr:cNvPr>
        <xdr:cNvPicPr>
          <a:picLocks noChangeAspect="1"/>
        </xdr:cNvPicPr>
      </xdr:nvPicPr>
      <xdr:blipFill>
        <a:blip xmlns:r="http://schemas.openxmlformats.org/officeDocument/2006/relationships" r:embed="rId3"/>
        <a:stretch>
          <a:fillRect/>
        </a:stretch>
      </xdr:blipFill>
      <xdr:spPr>
        <a:xfrm>
          <a:off x="24212550" y="40852725"/>
          <a:ext cx="883997" cy="294648"/>
        </a:xfrm>
        <a:prstGeom prst="rect">
          <a:avLst/>
        </a:prstGeom>
      </xdr:spPr>
    </xdr:pic>
    <xdr:clientData/>
  </xdr:twoCellAnchor>
  <xdr:twoCellAnchor editAs="oneCell">
    <xdr:from>
      <xdr:col>22</xdr:col>
      <xdr:colOff>0</xdr:colOff>
      <xdr:row>135</xdr:row>
      <xdr:rowOff>0</xdr:rowOff>
    </xdr:from>
    <xdr:to>
      <xdr:col>22</xdr:col>
      <xdr:colOff>883997</xdr:colOff>
      <xdr:row>136</xdr:row>
      <xdr:rowOff>94623</xdr:rowOff>
    </xdr:to>
    <xdr:pic>
      <xdr:nvPicPr>
        <xdr:cNvPr id="8" name="Picture 7">
          <a:extLst>
            <a:ext uri="{FF2B5EF4-FFF2-40B4-BE49-F238E27FC236}">
              <a16:creationId xmlns:a16="http://schemas.microsoft.com/office/drawing/2014/main" id="{E17338DF-7DC9-43DF-B0A7-8DBED07641FA}"/>
            </a:ext>
          </a:extLst>
        </xdr:cNvPr>
        <xdr:cNvPicPr>
          <a:picLocks noChangeAspect="1"/>
        </xdr:cNvPicPr>
      </xdr:nvPicPr>
      <xdr:blipFill>
        <a:blip xmlns:r="http://schemas.openxmlformats.org/officeDocument/2006/relationships" r:embed="rId3"/>
        <a:stretch>
          <a:fillRect/>
        </a:stretch>
      </xdr:blipFill>
      <xdr:spPr>
        <a:xfrm>
          <a:off x="24212550" y="27565350"/>
          <a:ext cx="883997" cy="294648"/>
        </a:xfrm>
        <a:prstGeom prst="rect">
          <a:avLst/>
        </a:prstGeom>
      </xdr:spPr>
    </xdr:pic>
    <xdr:clientData/>
  </xdr:twoCellAnchor>
  <xdr:twoCellAnchor editAs="oneCell">
    <xdr:from>
      <xdr:col>22</xdr:col>
      <xdr:colOff>27214</xdr:colOff>
      <xdr:row>61</xdr:row>
      <xdr:rowOff>40822</xdr:rowOff>
    </xdr:from>
    <xdr:to>
      <xdr:col>22</xdr:col>
      <xdr:colOff>911211</xdr:colOff>
      <xdr:row>62</xdr:row>
      <xdr:rowOff>135445</xdr:rowOff>
    </xdr:to>
    <xdr:pic>
      <xdr:nvPicPr>
        <xdr:cNvPr id="9" name="Picture 8">
          <a:extLst>
            <a:ext uri="{FF2B5EF4-FFF2-40B4-BE49-F238E27FC236}">
              <a16:creationId xmlns:a16="http://schemas.microsoft.com/office/drawing/2014/main" id="{E3BC73DA-A853-46A9-8E71-3477A096E39F}"/>
            </a:ext>
          </a:extLst>
        </xdr:cNvPr>
        <xdr:cNvPicPr>
          <a:picLocks noChangeAspect="1"/>
        </xdr:cNvPicPr>
      </xdr:nvPicPr>
      <xdr:blipFill>
        <a:blip xmlns:r="http://schemas.openxmlformats.org/officeDocument/2006/relationships" r:embed="rId3"/>
        <a:stretch>
          <a:fillRect/>
        </a:stretch>
      </xdr:blipFill>
      <xdr:spPr>
        <a:xfrm>
          <a:off x="24239764" y="12356647"/>
          <a:ext cx="883997" cy="294648"/>
        </a:xfrm>
        <a:prstGeom prst="rect">
          <a:avLst/>
        </a:prstGeom>
      </xdr:spPr>
    </xdr:pic>
    <xdr:clientData/>
  </xdr:twoCellAnchor>
  <xdr:twoCellAnchor editAs="oneCell">
    <xdr:from>
      <xdr:col>0</xdr:col>
      <xdr:colOff>163286</xdr:colOff>
      <xdr:row>61</xdr:row>
      <xdr:rowOff>136072</xdr:rowOff>
    </xdr:from>
    <xdr:to>
      <xdr:col>0</xdr:col>
      <xdr:colOff>333989</xdr:colOff>
      <xdr:row>62</xdr:row>
      <xdr:rowOff>157537</xdr:rowOff>
    </xdr:to>
    <xdr:pic>
      <xdr:nvPicPr>
        <xdr:cNvPr id="10" name="Picture 9">
          <a:extLst>
            <a:ext uri="{FF2B5EF4-FFF2-40B4-BE49-F238E27FC236}">
              <a16:creationId xmlns:a16="http://schemas.microsoft.com/office/drawing/2014/main" id="{CAD8B48D-0751-4055-81DF-52AB7C0F780A}"/>
            </a:ext>
          </a:extLst>
        </xdr:cNvPr>
        <xdr:cNvPicPr>
          <a:picLocks noChangeAspect="1"/>
        </xdr:cNvPicPr>
      </xdr:nvPicPr>
      <xdr:blipFill>
        <a:blip xmlns:r="http://schemas.openxmlformats.org/officeDocument/2006/relationships" r:embed="rId4"/>
        <a:stretch>
          <a:fillRect/>
        </a:stretch>
      </xdr:blipFill>
      <xdr:spPr>
        <a:xfrm>
          <a:off x="163286" y="12451897"/>
          <a:ext cx="170703" cy="221490"/>
        </a:xfrm>
        <a:prstGeom prst="rect">
          <a:avLst/>
        </a:prstGeom>
      </xdr:spPr>
    </xdr:pic>
    <xdr:clientData/>
  </xdr:twoCellAnchor>
  <xdr:twoCellAnchor editAs="oneCell">
    <xdr:from>
      <xdr:col>0</xdr:col>
      <xdr:colOff>217714</xdr:colOff>
      <xdr:row>135</xdr:row>
      <xdr:rowOff>40821</xdr:rowOff>
    </xdr:from>
    <xdr:to>
      <xdr:col>1</xdr:col>
      <xdr:colOff>48238</xdr:colOff>
      <xdr:row>136</xdr:row>
      <xdr:rowOff>62286</xdr:rowOff>
    </xdr:to>
    <xdr:pic>
      <xdr:nvPicPr>
        <xdr:cNvPr id="11" name="Picture 10">
          <a:extLst>
            <a:ext uri="{FF2B5EF4-FFF2-40B4-BE49-F238E27FC236}">
              <a16:creationId xmlns:a16="http://schemas.microsoft.com/office/drawing/2014/main" id="{B764790F-0290-417F-98B7-D294B8C3A59A}"/>
            </a:ext>
          </a:extLst>
        </xdr:cNvPr>
        <xdr:cNvPicPr>
          <a:picLocks noChangeAspect="1"/>
        </xdr:cNvPicPr>
      </xdr:nvPicPr>
      <xdr:blipFill>
        <a:blip xmlns:r="http://schemas.openxmlformats.org/officeDocument/2006/relationships" r:embed="rId4"/>
        <a:stretch>
          <a:fillRect/>
        </a:stretch>
      </xdr:blipFill>
      <xdr:spPr>
        <a:xfrm>
          <a:off x="217714" y="27606171"/>
          <a:ext cx="173424" cy="221490"/>
        </a:xfrm>
        <a:prstGeom prst="rect">
          <a:avLst/>
        </a:prstGeom>
      </xdr:spPr>
    </xdr:pic>
    <xdr:clientData/>
  </xdr:twoCellAnchor>
  <xdr:twoCellAnchor editAs="oneCell">
    <xdr:from>
      <xdr:col>0</xdr:col>
      <xdr:colOff>190500</xdr:colOff>
      <xdr:row>201</xdr:row>
      <xdr:rowOff>136071</xdr:rowOff>
    </xdr:from>
    <xdr:to>
      <xdr:col>1</xdr:col>
      <xdr:colOff>21024</xdr:colOff>
      <xdr:row>202</xdr:row>
      <xdr:rowOff>157536</xdr:rowOff>
    </xdr:to>
    <xdr:pic>
      <xdr:nvPicPr>
        <xdr:cNvPr id="12" name="Picture 11">
          <a:extLst>
            <a:ext uri="{FF2B5EF4-FFF2-40B4-BE49-F238E27FC236}">
              <a16:creationId xmlns:a16="http://schemas.microsoft.com/office/drawing/2014/main" id="{E8AA1D7B-6A8D-4731-BA7F-5D70E5A65E9C}"/>
            </a:ext>
          </a:extLst>
        </xdr:cNvPr>
        <xdr:cNvPicPr>
          <a:picLocks noChangeAspect="1"/>
        </xdr:cNvPicPr>
      </xdr:nvPicPr>
      <xdr:blipFill>
        <a:blip xmlns:r="http://schemas.openxmlformats.org/officeDocument/2006/relationships" r:embed="rId4"/>
        <a:stretch>
          <a:fillRect/>
        </a:stretch>
      </xdr:blipFill>
      <xdr:spPr>
        <a:xfrm>
          <a:off x="190500" y="40988796"/>
          <a:ext cx="173424" cy="221490"/>
        </a:xfrm>
        <a:prstGeom prst="rect">
          <a:avLst/>
        </a:prstGeom>
      </xdr:spPr>
    </xdr:pic>
    <xdr:clientData/>
  </xdr:twoCellAnchor>
  <xdr:twoCellAnchor editAs="oneCell">
    <xdr:from>
      <xdr:col>0</xdr:col>
      <xdr:colOff>217715</xdr:colOff>
      <xdr:row>301</xdr:row>
      <xdr:rowOff>136073</xdr:rowOff>
    </xdr:from>
    <xdr:to>
      <xdr:col>1</xdr:col>
      <xdr:colOff>48239</xdr:colOff>
      <xdr:row>302</xdr:row>
      <xdr:rowOff>157537</xdr:rowOff>
    </xdr:to>
    <xdr:pic>
      <xdr:nvPicPr>
        <xdr:cNvPr id="13" name="Picture 12">
          <a:extLst>
            <a:ext uri="{FF2B5EF4-FFF2-40B4-BE49-F238E27FC236}">
              <a16:creationId xmlns:a16="http://schemas.microsoft.com/office/drawing/2014/main" id="{382D8D47-3645-4F55-9558-35D0D0339879}"/>
            </a:ext>
          </a:extLst>
        </xdr:cNvPr>
        <xdr:cNvPicPr>
          <a:picLocks noChangeAspect="1"/>
        </xdr:cNvPicPr>
      </xdr:nvPicPr>
      <xdr:blipFill>
        <a:blip xmlns:r="http://schemas.openxmlformats.org/officeDocument/2006/relationships" r:embed="rId4"/>
        <a:stretch>
          <a:fillRect/>
        </a:stretch>
      </xdr:blipFill>
      <xdr:spPr>
        <a:xfrm>
          <a:off x="217715" y="61115123"/>
          <a:ext cx="173424" cy="221489"/>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22</xdr:col>
      <xdr:colOff>1095375</xdr:colOff>
      <xdr:row>301</xdr:row>
      <xdr:rowOff>123825</xdr:rowOff>
    </xdr:from>
    <xdr:to>
      <xdr:col>22</xdr:col>
      <xdr:colOff>1895475</xdr:colOff>
      <xdr:row>302</xdr:row>
      <xdr:rowOff>152400</xdr:rowOff>
    </xdr:to>
    <xdr:pic>
      <xdr:nvPicPr>
        <xdr:cNvPr id="2" name="Picture 1" descr="C:\WINDOWS\TEMP\~0003946.gif">
          <a:extLst>
            <a:ext uri="{FF2B5EF4-FFF2-40B4-BE49-F238E27FC236}">
              <a16:creationId xmlns:a16="http://schemas.microsoft.com/office/drawing/2014/main" id="{6101C311-B4FE-4D29-B50A-334B0BD8E731}"/>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61102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201</xdr:row>
      <xdr:rowOff>152400</xdr:rowOff>
    </xdr:from>
    <xdr:to>
      <xdr:col>22</xdr:col>
      <xdr:colOff>1924050</xdr:colOff>
      <xdr:row>202</xdr:row>
      <xdr:rowOff>180975</xdr:rowOff>
    </xdr:to>
    <xdr:pic>
      <xdr:nvPicPr>
        <xdr:cNvPr id="3" name="Picture 2" descr="C:\WINDOWS\TEMP\~0003946.gif">
          <a:extLst>
            <a:ext uri="{FF2B5EF4-FFF2-40B4-BE49-F238E27FC236}">
              <a16:creationId xmlns:a16="http://schemas.microsoft.com/office/drawing/2014/main" id="{027DBD0B-9A71-435C-8361-222C1B8A346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410051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135</xdr:row>
      <xdr:rowOff>161925</xdr:rowOff>
    </xdr:from>
    <xdr:to>
      <xdr:col>22</xdr:col>
      <xdr:colOff>1952625</xdr:colOff>
      <xdr:row>136</xdr:row>
      <xdr:rowOff>190500</xdr:rowOff>
    </xdr:to>
    <xdr:pic>
      <xdr:nvPicPr>
        <xdr:cNvPr id="4" name="Picture 3" descr="C:\WINDOWS\TEMP\~0003946.gif">
          <a:extLst>
            <a:ext uri="{FF2B5EF4-FFF2-40B4-BE49-F238E27FC236}">
              <a16:creationId xmlns:a16="http://schemas.microsoft.com/office/drawing/2014/main" id="{B9752971-230D-481D-9E5D-17677E420017}"/>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277272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61</xdr:row>
      <xdr:rowOff>161925</xdr:rowOff>
    </xdr:from>
    <xdr:to>
      <xdr:col>22</xdr:col>
      <xdr:colOff>1952625</xdr:colOff>
      <xdr:row>62</xdr:row>
      <xdr:rowOff>190500</xdr:rowOff>
    </xdr:to>
    <xdr:pic>
      <xdr:nvPicPr>
        <xdr:cNvPr id="5" name="Picture 4" descr="C:\WINDOWS\TEMP\~0003946.gif">
          <a:extLst>
            <a:ext uri="{FF2B5EF4-FFF2-40B4-BE49-F238E27FC236}">
              <a16:creationId xmlns:a16="http://schemas.microsoft.com/office/drawing/2014/main" id="{4E7108FB-1D12-4363-AAAC-AA8C2387DEF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124777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0</xdr:colOff>
      <xdr:row>301</xdr:row>
      <xdr:rowOff>0</xdr:rowOff>
    </xdr:from>
    <xdr:to>
      <xdr:col>22</xdr:col>
      <xdr:colOff>883997</xdr:colOff>
      <xdr:row>302</xdr:row>
      <xdr:rowOff>94622</xdr:rowOff>
    </xdr:to>
    <xdr:pic>
      <xdr:nvPicPr>
        <xdr:cNvPr id="6" name="Picture 5">
          <a:extLst>
            <a:ext uri="{FF2B5EF4-FFF2-40B4-BE49-F238E27FC236}">
              <a16:creationId xmlns:a16="http://schemas.microsoft.com/office/drawing/2014/main" id="{21A91316-A4B6-4CF9-B83D-3B77C6BAE1B3}"/>
            </a:ext>
          </a:extLst>
        </xdr:cNvPr>
        <xdr:cNvPicPr>
          <a:picLocks noChangeAspect="1"/>
        </xdr:cNvPicPr>
      </xdr:nvPicPr>
      <xdr:blipFill>
        <a:blip xmlns:r="http://schemas.openxmlformats.org/officeDocument/2006/relationships" r:embed="rId3"/>
        <a:stretch>
          <a:fillRect/>
        </a:stretch>
      </xdr:blipFill>
      <xdr:spPr>
        <a:xfrm>
          <a:off x="24212550" y="60979050"/>
          <a:ext cx="883997" cy="294647"/>
        </a:xfrm>
        <a:prstGeom prst="rect">
          <a:avLst/>
        </a:prstGeom>
      </xdr:spPr>
    </xdr:pic>
    <xdr:clientData/>
  </xdr:twoCellAnchor>
  <xdr:twoCellAnchor editAs="oneCell">
    <xdr:from>
      <xdr:col>22</xdr:col>
      <xdr:colOff>0</xdr:colOff>
      <xdr:row>201</xdr:row>
      <xdr:rowOff>0</xdr:rowOff>
    </xdr:from>
    <xdr:to>
      <xdr:col>22</xdr:col>
      <xdr:colOff>883997</xdr:colOff>
      <xdr:row>202</xdr:row>
      <xdr:rowOff>94623</xdr:rowOff>
    </xdr:to>
    <xdr:pic>
      <xdr:nvPicPr>
        <xdr:cNvPr id="7" name="Picture 6">
          <a:extLst>
            <a:ext uri="{FF2B5EF4-FFF2-40B4-BE49-F238E27FC236}">
              <a16:creationId xmlns:a16="http://schemas.microsoft.com/office/drawing/2014/main" id="{2CDBE447-A892-4B76-B094-F1CAB6F97968}"/>
            </a:ext>
          </a:extLst>
        </xdr:cNvPr>
        <xdr:cNvPicPr>
          <a:picLocks noChangeAspect="1"/>
        </xdr:cNvPicPr>
      </xdr:nvPicPr>
      <xdr:blipFill>
        <a:blip xmlns:r="http://schemas.openxmlformats.org/officeDocument/2006/relationships" r:embed="rId3"/>
        <a:stretch>
          <a:fillRect/>
        </a:stretch>
      </xdr:blipFill>
      <xdr:spPr>
        <a:xfrm>
          <a:off x="24212550" y="40852725"/>
          <a:ext cx="883997" cy="294648"/>
        </a:xfrm>
        <a:prstGeom prst="rect">
          <a:avLst/>
        </a:prstGeom>
      </xdr:spPr>
    </xdr:pic>
    <xdr:clientData/>
  </xdr:twoCellAnchor>
  <xdr:twoCellAnchor editAs="oneCell">
    <xdr:from>
      <xdr:col>22</xdr:col>
      <xdr:colOff>0</xdr:colOff>
      <xdr:row>135</xdr:row>
      <xdr:rowOff>0</xdr:rowOff>
    </xdr:from>
    <xdr:to>
      <xdr:col>22</xdr:col>
      <xdr:colOff>883997</xdr:colOff>
      <xdr:row>136</xdr:row>
      <xdr:rowOff>94623</xdr:rowOff>
    </xdr:to>
    <xdr:pic>
      <xdr:nvPicPr>
        <xdr:cNvPr id="8" name="Picture 7">
          <a:extLst>
            <a:ext uri="{FF2B5EF4-FFF2-40B4-BE49-F238E27FC236}">
              <a16:creationId xmlns:a16="http://schemas.microsoft.com/office/drawing/2014/main" id="{953A547A-80C2-46E7-82B9-36B25EF4CC04}"/>
            </a:ext>
          </a:extLst>
        </xdr:cNvPr>
        <xdr:cNvPicPr>
          <a:picLocks noChangeAspect="1"/>
        </xdr:cNvPicPr>
      </xdr:nvPicPr>
      <xdr:blipFill>
        <a:blip xmlns:r="http://schemas.openxmlformats.org/officeDocument/2006/relationships" r:embed="rId3"/>
        <a:stretch>
          <a:fillRect/>
        </a:stretch>
      </xdr:blipFill>
      <xdr:spPr>
        <a:xfrm>
          <a:off x="24212550" y="27565350"/>
          <a:ext cx="883997" cy="294648"/>
        </a:xfrm>
        <a:prstGeom prst="rect">
          <a:avLst/>
        </a:prstGeom>
      </xdr:spPr>
    </xdr:pic>
    <xdr:clientData/>
  </xdr:twoCellAnchor>
  <xdr:twoCellAnchor editAs="oneCell">
    <xdr:from>
      <xdr:col>22</xdr:col>
      <xdr:colOff>27214</xdr:colOff>
      <xdr:row>61</xdr:row>
      <xdr:rowOff>40822</xdr:rowOff>
    </xdr:from>
    <xdr:to>
      <xdr:col>22</xdr:col>
      <xdr:colOff>911211</xdr:colOff>
      <xdr:row>62</xdr:row>
      <xdr:rowOff>135445</xdr:rowOff>
    </xdr:to>
    <xdr:pic>
      <xdr:nvPicPr>
        <xdr:cNvPr id="9" name="Picture 8">
          <a:extLst>
            <a:ext uri="{FF2B5EF4-FFF2-40B4-BE49-F238E27FC236}">
              <a16:creationId xmlns:a16="http://schemas.microsoft.com/office/drawing/2014/main" id="{B988C973-8E35-4ED5-B58F-09FF55C2F755}"/>
            </a:ext>
          </a:extLst>
        </xdr:cNvPr>
        <xdr:cNvPicPr>
          <a:picLocks noChangeAspect="1"/>
        </xdr:cNvPicPr>
      </xdr:nvPicPr>
      <xdr:blipFill>
        <a:blip xmlns:r="http://schemas.openxmlformats.org/officeDocument/2006/relationships" r:embed="rId3"/>
        <a:stretch>
          <a:fillRect/>
        </a:stretch>
      </xdr:blipFill>
      <xdr:spPr>
        <a:xfrm>
          <a:off x="24239764" y="12356647"/>
          <a:ext cx="883997" cy="294648"/>
        </a:xfrm>
        <a:prstGeom prst="rect">
          <a:avLst/>
        </a:prstGeom>
      </xdr:spPr>
    </xdr:pic>
    <xdr:clientData/>
  </xdr:twoCellAnchor>
  <xdr:twoCellAnchor editAs="oneCell">
    <xdr:from>
      <xdr:col>0</xdr:col>
      <xdr:colOff>163286</xdr:colOff>
      <xdr:row>61</xdr:row>
      <xdr:rowOff>136072</xdr:rowOff>
    </xdr:from>
    <xdr:to>
      <xdr:col>0</xdr:col>
      <xdr:colOff>333989</xdr:colOff>
      <xdr:row>62</xdr:row>
      <xdr:rowOff>157537</xdr:rowOff>
    </xdr:to>
    <xdr:pic>
      <xdr:nvPicPr>
        <xdr:cNvPr id="10" name="Picture 9">
          <a:extLst>
            <a:ext uri="{FF2B5EF4-FFF2-40B4-BE49-F238E27FC236}">
              <a16:creationId xmlns:a16="http://schemas.microsoft.com/office/drawing/2014/main" id="{7527F4E6-F300-4248-8C5B-FB7EC47E0725}"/>
            </a:ext>
          </a:extLst>
        </xdr:cNvPr>
        <xdr:cNvPicPr>
          <a:picLocks noChangeAspect="1"/>
        </xdr:cNvPicPr>
      </xdr:nvPicPr>
      <xdr:blipFill>
        <a:blip xmlns:r="http://schemas.openxmlformats.org/officeDocument/2006/relationships" r:embed="rId4"/>
        <a:stretch>
          <a:fillRect/>
        </a:stretch>
      </xdr:blipFill>
      <xdr:spPr>
        <a:xfrm>
          <a:off x="163286" y="12451897"/>
          <a:ext cx="170703" cy="221490"/>
        </a:xfrm>
        <a:prstGeom prst="rect">
          <a:avLst/>
        </a:prstGeom>
      </xdr:spPr>
    </xdr:pic>
    <xdr:clientData/>
  </xdr:twoCellAnchor>
  <xdr:twoCellAnchor editAs="oneCell">
    <xdr:from>
      <xdr:col>0</xdr:col>
      <xdr:colOff>217714</xdr:colOff>
      <xdr:row>135</xdr:row>
      <xdr:rowOff>40821</xdr:rowOff>
    </xdr:from>
    <xdr:to>
      <xdr:col>1</xdr:col>
      <xdr:colOff>48238</xdr:colOff>
      <xdr:row>136</xdr:row>
      <xdr:rowOff>62286</xdr:rowOff>
    </xdr:to>
    <xdr:pic>
      <xdr:nvPicPr>
        <xdr:cNvPr id="11" name="Picture 10">
          <a:extLst>
            <a:ext uri="{FF2B5EF4-FFF2-40B4-BE49-F238E27FC236}">
              <a16:creationId xmlns:a16="http://schemas.microsoft.com/office/drawing/2014/main" id="{195DF06A-CF77-4149-8216-8D90468F853B}"/>
            </a:ext>
          </a:extLst>
        </xdr:cNvPr>
        <xdr:cNvPicPr>
          <a:picLocks noChangeAspect="1"/>
        </xdr:cNvPicPr>
      </xdr:nvPicPr>
      <xdr:blipFill>
        <a:blip xmlns:r="http://schemas.openxmlformats.org/officeDocument/2006/relationships" r:embed="rId4"/>
        <a:stretch>
          <a:fillRect/>
        </a:stretch>
      </xdr:blipFill>
      <xdr:spPr>
        <a:xfrm>
          <a:off x="217714" y="27606171"/>
          <a:ext cx="173424" cy="221490"/>
        </a:xfrm>
        <a:prstGeom prst="rect">
          <a:avLst/>
        </a:prstGeom>
      </xdr:spPr>
    </xdr:pic>
    <xdr:clientData/>
  </xdr:twoCellAnchor>
  <xdr:twoCellAnchor editAs="oneCell">
    <xdr:from>
      <xdr:col>0</xdr:col>
      <xdr:colOff>190500</xdr:colOff>
      <xdr:row>201</xdr:row>
      <xdr:rowOff>136071</xdr:rowOff>
    </xdr:from>
    <xdr:to>
      <xdr:col>1</xdr:col>
      <xdr:colOff>21024</xdr:colOff>
      <xdr:row>202</xdr:row>
      <xdr:rowOff>157536</xdr:rowOff>
    </xdr:to>
    <xdr:pic>
      <xdr:nvPicPr>
        <xdr:cNvPr id="12" name="Picture 11">
          <a:extLst>
            <a:ext uri="{FF2B5EF4-FFF2-40B4-BE49-F238E27FC236}">
              <a16:creationId xmlns:a16="http://schemas.microsoft.com/office/drawing/2014/main" id="{8BF76B6A-7722-443F-89D3-9F2443BE6BD1}"/>
            </a:ext>
          </a:extLst>
        </xdr:cNvPr>
        <xdr:cNvPicPr>
          <a:picLocks noChangeAspect="1"/>
        </xdr:cNvPicPr>
      </xdr:nvPicPr>
      <xdr:blipFill>
        <a:blip xmlns:r="http://schemas.openxmlformats.org/officeDocument/2006/relationships" r:embed="rId4"/>
        <a:stretch>
          <a:fillRect/>
        </a:stretch>
      </xdr:blipFill>
      <xdr:spPr>
        <a:xfrm>
          <a:off x="190500" y="40988796"/>
          <a:ext cx="173424" cy="221490"/>
        </a:xfrm>
        <a:prstGeom prst="rect">
          <a:avLst/>
        </a:prstGeom>
      </xdr:spPr>
    </xdr:pic>
    <xdr:clientData/>
  </xdr:twoCellAnchor>
  <xdr:twoCellAnchor editAs="oneCell">
    <xdr:from>
      <xdr:col>0</xdr:col>
      <xdr:colOff>217715</xdr:colOff>
      <xdr:row>301</xdr:row>
      <xdr:rowOff>136073</xdr:rowOff>
    </xdr:from>
    <xdr:to>
      <xdr:col>1</xdr:col>
      <xdr:colOff>48239</xdr:colOff>
      <xdr:row>302</xdr:row>
      <xdr:rowOff>157537</xdr:rowOff>
    </xdr:to>
    <xdr:pic>
      <xdr:nvPicPr>
        <xdr:cNvPr id="13" name="Picture 12">
          <a:extLst>
            <a:ext uri="{FF2B5EF4-FFF2-40B4-BE49-F238E27FC236}">
              <a16:creationId xmlns:a16="http://schemas.microsoft.com/office/drawing/2014/main" id="{5DDAB7B5-79F1-41F8-A872-6A73968E5941}"/>
            </a:ext>
          </a:extLst>
        </xdr:cNvPr>
        <xdr:cNvPicPr>
          <a:picLocks noChangeAspect="1"/>
        </xdr:cNvPicPr>
      </xdr:nvPicPr>
      <xdr:blipFill>
        <a:blip xmlns:r="http://schemas.openxmlformats.org/officeDocument/2006/relationships" r:embed="rId4"/>
        <a:stretch>
          <a:fillRect/>
        </a:stretch>
      </xdr:blipFill>
      <xdr:spPr>
        <a:xfrm>
          <a:off x="217715" y="61115123"/>
          <a:ext cx="173424" cy="221489"/>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22</xdr:col>
      <xdr:colOff>1095375</xdr:colOff>
      <xdr:row>301</xdr:row>
      <xdr:rowOff>123825</xdr:rowOff>
    </xdr:from>
    <xdr:to>
      <xdr:col>22</xdr:col>
      <xdr:colOff>1895475</xdr:colOff>
      <xdr:row>302</xdr:row>
      <xdr:rowOff>152400</xdr:rowOff>
    </xdr:to>
    <xdr:pic>
      <xdr:nvPicPr>
        <xdr:cNvPr id="2" name="Picture 1" descr="C:\WINDOWS\TEMP\~0003946.gif">
          <a:extLst>
            <a:ext uri="{FF2B5EF4-FFF2-40B4-BE49-F238E27FC236}">
              <a16:creationId xmlns:a16="http://schemas.microsoft.com/office/drawing/2014/main" id="{416BF66F-B2B4-4F9E-82F4-74E0C0B9A0F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61102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201</xdr:row>
      <xdr:rowOff>152400</xdr:rowOff>
    </xdr:from>
    <xdr:to>
      <xdr:col>22</xdr:col>
      <xdr:colOff>1924050</xdr:colOff>
      <xdr:row>202</xdr:row>
      <xdr:rowOff>180975</xdr:rowOff>
    </xdr:to>
    <xdr:pic>
      <xdr:nvPicPr>
        <xdr:cNvPr id="3" name="Picture 2" descr="C:\WINDOWS\TEMP\~0003946.gif">
          <a:extLst>
            <a:ext uri="{FF2B5EF4-FFF2-40B4-BE49-F238E27FC236}">
              <a16:creationId xmlns:a16="http://schemas.microsoft.com/office/drawing/2014/main" id="{88367471-304E-4E2D-B8F0-5BF031CB635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410051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135</xdr:row>
      <xdr:rowOff>161925</xdr:rowOff>
    </xdr:from>
    <xdr:to>
      <xdr:col>22</xdr:col>
      <xdr:colOff>1952625</xdr:colOff>
      <xdr:row>136</xdr:row>
      <xdr:rowOff>190500</xdr:rowOff>
    </xdr:to>
    <xdr:pic>
      <xdr:nvPicPr>
        <xdr:cNvPr id="4" name="Picture 3" descr="C:\WINDOWS\TEMP\~0003946.gif">
          <a:extLst>
            <a:ext uri="{FF2B5EF4-FFF2-40B4-BE49-F238E27FC236}">
              <a16:creationId xmlns:a16="http://schemas.microsoft.com/office/drawing/2014/main" id="{16DEEF7E-CECD-48A9-A7E8-21C59DBB787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277272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61</xdr:row>
      <xdr:rowOff>161925</xdr:rowOff>
    </xdr:from>
    <xdr:to>
      <xdr:col>22</xdr:col>
      <xdr:colOff>1952625</xdr:colOff>
      <xdr:row>62</xdr:row>
      <xdr:rowOff>190500</xdr:rowOff>
    </xdr:to>
    <xdr:pic>
      <xdr:nvPicPr>
        <xdr:cNvPr id="5" name="Picture 4" descr="C:\WINDOWS\TEMP\~0003946.gif">
          <a:extLst>
            <a:ext uri="{FF2B5EF4-FFF2-40B4-BE49-F238E27FC236}">
              <a16:creationId xmlns:a16="http://schemas.microsoft.com/office/drawing/2014/main" id="{8A8AA2AF-C527-4A84-96A2-3EF0F1EE36D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124777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0</xdr:colOff>
      <xdr:row>301</xdr:row>
      <xdr:rowOff>0</xdr:rowOff>
    </xdr:from>
    <xdr:to>
      <xdr:col>22</xdr:col>
      <xdr:colOff>883997</xdr:colOff>
      <xdr:row>302</xdr:row>
      <xdr:rowOff>94622</xdr:rowOff>
    </xdr:to>
    <xdr:pic>
      <xdr:nvPicPr>
        <xdr:cNvPr id="6" name="Picture 5">
          <a:extLst>
            <a:ext uri="{FF2B5EF4-FFF2-40B4-BE49-F238E27FC236}">
              <a16:creationId xmlns:a16="http://schemas.microsoft.com/office/drawing/2014/main" id="{226542BE-5FE1-4B23-A34F-B2218D4065FD}"/>
            </a:ext>
          </a:extLst>
        </xdr:cNvPr>
        <xdr:cNvPicPr>
          <a:picLocks noChangeAspect="1"/>
        </xdr:cNvPicPr>
      </xdr:nvPicPr>
      <xdr:blipFill>
        <a:blip xmlns:r="http://schemas.openxmlformats.org/officeDocument/2006/relationships" r:embed="rId3"/>
        <a:stretch>
          <a:fillRect/>
        </a:stretch>
      </xdr:blipFill>
      <xdr:spPr>
        <a:xfrm>
          <a:off x="24212550" y="60979050"/>
          <a:ext cx="883997" cy="294647"/>
        </a:xfrm>
        <a:prstGeom prst="rect">
          <a:avLst/>
        </a:prstGeom>
      </xdr:spPr>
    </xdr:pic>
    <xdr:clientData/>
  </xdr:twoCellAnchor>
  <xdr:twoCellAnchor editAs="oneCell">
    <xdr:from>
      <xdr:col>22</xdr:col>
      <xdr:colOff>0</xdr:colOff>
      <xdr:row>201</xdr:row>
      <xdr:rowOff>0</xdr:rowOff>
    </xdr:from>
    <xdr:to>
      <xdr:col>22</xdr:col>
      <xdr:colOff>883997</xdr:colOff>
      <xdr:row>202</xdr:row>
      <xdr:rowOff>94623</xdr:rowOff>
    </xdr:to>
    <xdr:pic>
      <xdr:nvPicPr>
        <xdr:cNvPr id="7" name="Picture 6">
          <a:extLst>
            <a:ext uri="{FF2B5EF4-FFF2-40B4-BE49-F238E27FC236}">
              <a16:creationId xmlns:a16="http://schemas.microsoft.com/office/drawing/2014/main" id="{CA92C4EB-4C95-4063-84A3-1401D1DC7031}"/>
            </a:ext>
          </a:extLst>
        </xdr:cNvPr>
        <xdr:cNvPicPr>
          <a:picLocks noChangeAspect="1"/>
        </xdr:cNvPicPr>
      </xdr:nvPicPr>
      <xdr:blipFill>
        <a:blip xmlns:r="http://schemas.openxmlformats.org/officeDocument/2006/relationships" r:embed="rId3"/>
        <a:stretch>
          <a:fillRect/>
        </a:stretch>
      </xdr:blipFill>
      <xdr:spPr>
        <a:xfrm>
          <a:off x="24212550" y="40852725"/>
          <a:ext cx="883997" cy="294648"/>
        </a:xfrm>
        <a:prstGeom prst="rect">
          <a:avLst/>
        </a:prstGeom>
      </xdr:spPr>
    </xdr:pic>
    <xdr:clientData/>
  </xdr:twoCellAnchor>
  <xdr:twoCellAnchor editAs="oneCell">
    <xdr:from>
      <xdr:col>22</xdr:col>
      <xdr:colOff>0</xdr:colOff>
      <xdr:row>135</xdr:row>
      <xdr:rowOff>0</xdr:rowOff>
    </xdr:from>
    <xdr:to>
      <xdr:col>22</xdr:col>
      <xdr:colOff>883997</xdr:colOff>
      <xdr:row>136</xdr:row>
      <xdr:rowOff>94623</xdr:rowOff>
    </xdr:to>
    <xdr:pic>
      <xdr:nvPicPr>
        <xdr:cNvPr id="8" name="Picture 7">
          <a:extLst>
            <a:ext uri="{FF2B5EF4-FFF2-40B4-BE49-F238E27FC236}">
              <a16:creationId xmlns:a16="http://schemas.microsoft.com/office/drawing/2014/main" id="{F617B896-ABC5-4C56-BD87-CE816D1E8766}"/>
            </a:ext>
          </a:extLst>
        </xdr:cNvPr>
        <xdr:cNvPicPr>
          <a:picLocks noChangeAspect="1"/>
        </xdr:cNvPicPr>
      </xdr:nvPicPr>
      <xdr:blipFill>
        <a:blip xmlns:r="http://schemas.openxmlformats.org/officeDocument/2006/relationships" r:embed="rId3"/>
        <a:stretch>
          <a:fillRect/>
        </a:stretch>
      </xdr:blipFill>
      <xdr:spPr>
        <a:xfrm>
          <a:off x="24212550" y="27565350"/>
          <a:ext cx="883997" cy="294648"/>
        </a:xfrm>
        <a:prstGeom prst="rect">
          <a:avLst/>
        </a:prstGeom>
      </xdr:spPr>
    </xdr:pic>
    <xdr:clientData/>
  </xdr:twoCellAnchor>
  <xdr:twoCellAnchor editAs="oneCell">
    <xdr:from>
      <xdr:col>22</xdr:col>
      <xdr:colOff>27214</xdr:colOff>
      <xdr:row>61</xdr:row>
      <xdr:rowOff>40822</xdr:rowOff>
    </xdr:from>
    <xdr:to>
      <xdr:col>22</xdr:col>
      <xdr:colOff>911211</xdr:colOff>
      <xdr:row>62</xdr:row>
      <xdr:rowOff>135445</xdr:rowOff>
    </xdr:to>
    <xdr:pic>
      <xdr:nvPicPr>
        <xdr:cNvPr id="9" name="Picture 8">
          <a:extLst>
            <a:ext uri="{FF2B5EF4-FFF2-40B4-BE49-F238E27FC236}">
              <a16:creationId xmlns:a16="http://schemas.microsoft.com/office/drawing/2014/main" id="{7DEA9829-22CD-4AC7-9203-B3D8F0C9E6FB}"/>
            </a:ext>
          </a:extLst>
        </xdr:cNvPr>
        <xdr:cNvPicPr>
          <a:picLocks noChangeAspect="1"/>
        </xdr:cNvPicPr>
      </xdr:nvPicPr>
      <xdr:blipFill>
        <a:blip xmlns:r="http://schemas.openxmlformats.org/officeDocument/2006/relationships" r:embed="rId3"/>
        <a:stretch>
          <a:fillRect/>
        </a:stretch>
      </xdr:blipFill>
      <xdr:spPr>
        <a:xfrm>
          <a:off x="24239764" y="12356647"/>
          <a:ext cx="883997" cy="294648"/>
        </a:xfrm>
        <a:prstGeom prst="rect">
          <a:avLst/>
        </a:prstGeom>
      </xdr:spPr>
    </xdr:pic>
    <xdr:clientData/>
  </xdr:twoCellAnchor>
  <xdr:twoCellAnchor editAs="oneCell">
    <xdr:from>
      <xdr:col>0</xdr:col>
      <xdr:colOff>163286</xdr:colOff>
      <xdr:row>61</xdr:row>
      <xdr:rowOff>136072</xdr:rowOff>
    </xdr:from>
    <xdr:to>
      <xdr:col>0</xdr:col>
      <xdr:colOff>333989</xdr:colOff>
      <xdr:row>62</xdr:row>
      <xdr:rowOff>157537</xdr:rowOff>
    </xdr:to>
    <xdr:pic>
      <xdr:nvPicPr>
        <xdr:cNvPr id="10" name="Picture 9">
          <a:extLst>
            <a:ext uri="{FF2B5EF4-FFF2-40B4-BE49-F238E27FC236}">
              <a16:creationId xmlns:a16="http://schemas.microsoft.com/office/drawing/2014/main" id="{D303B571-2C47-43DE-9BF8-5B751EF28988}"/>
            </a:ext>
          </a:extLst>
        </xdr:cNvPr>
        <xdr:cNvPicPr>
          <a:picLocks noChangeAspect="1"/>
        </xdr:cNvPicPr>
      </xdr:nvPicPr>
      <xdr:blipFill>
        <a:blip xmlns:r="http://schemas.openxmlformats.org/officeDocument/2006/relationships" r:embed="rId4"/>
        <a:stretch>
          <a:fillRect/>
        </a:stretch>
      </xdr:blipFill>
      <xdr:spPr>
        <a:xfrm>
          <a:off x="163286" y="12451897"/>
          <a:ext cx="170703" cy="221490"/>
        </a:xfrm>
        <a:prstGeom prst="rect">
          <a:avLst/>
        </a:prstGeom>
      </xdr:spPr>
    </xdr:pic>
    <xdr:clientData/>
  </xdr:twoCellAnchor>
  <xdr:twoCellAnchor editAs="oneCell">
    <xdr:from>
      <xdr:col>0</xdr:col>
      <xdr:colOff>217714</xdr:colOff>
      <xdr:row>135</xdr:row>
      <xdr:rowOff>40821</xdr:rowOff>
    </xdr:from>
    <xdr:to>
      <xdr:col>1</xdr:col>
      <xdr:colOff>48238</xdr:colOff>
      <xdr:row>136</xdr:row>
      <xdr:rowOff>62286</xdr:rowOff>
    </xdr:to>
    <xdr:pic>
      <xdr:nvPicPr>
        <xdr:cNvPr id="11" name="Picture 10">
          <a:extLst>
            <a:ext uri="{FF2B5EF4-FFF2-40B4-BE49-F238E27FC236}">
              <a16:creationId xmlns:a16="http://schemas.microsoft.com/office/drawing/2014/main" id="{AA260829-8047-4F70-B2B8-D7F1E8D22E28}"/>
            </a:ext>
          </a:extLst>
        </xdr:cNvPr>
        <xdr:cNvPicPr>
          <a:picLocks noChangeAspect="1"/>
        </xdr:cNvPicPr>
      </xdr:nvPicPr>
      <xdr:blipFill>
        <a:blip xmlns:r="http://schemas.openxmlformats.org/officeDocument/2006/relationships" r:embed="rId4"/>
        <a:stretch>
          <a:fillRect/>
        </a:stretch>
      </xdr:blipFill>
      <xdr:spPr>
        <a:xfrm>
          <a:off x="217714" y="27606171"/>
          <a:ext cx="173424" cy="221490"/>
        </a:xfrm>
        <a:prstGeom prst="rect">
          <a:avLst/>
        </a:prstGeom>
      </xdr:spPr>
    </xdr:pic>
    <xdr:clientData/>
  </xdr:twoCellAnchor>
  <xdr:twoCellAnchor editAs="oneCell">
    <xdr:from>
      <xdr:col>0</xdr:col>
      <xdr:colOff>190500</xdr:colOff>
      <xdr:row>201</xdr:row>
      <xdr:rowOff>136071</xdr:rowOff>
    </xdr:from>
    <xdr:to>
      <xdr:col>1</xdr:col>
      <xdr:colOff>21024</xdr:colOff>
      <xdr:row>202</xdr:row>
      <xdr:rowOff>157536</xdr:rowOff>
    </xdr:to>
    <xdr:pic>
      <xdr:nvPicPr>
        <xdr:cNvPr id="12" name="Picture 11">
          <a:extLst>
            <a:ext uri="{FF2B5EF4-FFF2-40B4-BE49-F238E27FC236}">
              <a16:creationId xmlns:a16="http://schemas.microsoft.com/office/drawing/2014/main" id="{09D91BA6-EF38-4AE8-9BFA-4BBD45A65668}"/>
            </a:ext>
          </a:extLst>
        </xdr:cNvPr>
        <xdr:cNvPicPr>
          <a:picLocks noChangeAspect="1"/>
        </xdr:cNvPicPr>
      </xdr:nvPicPr>
      <xdr:blipFill>
        <a:blip xmlns:r="http://schemas.openxmlformats.org/officeDocument/2006/relationships" r:embed="rId4"/>
        <a:stretch>
          <a:fillRect/>
        </a:stretch>
      </xdr:blipFill>
      <xdr:spPr>
        <a:xfrm>
          <a:off x="190500" y="40988796"/>
          <a:ext cx="173424" cy="221490"/>
        </a:xfrm>
        <a:prstGeom prst="rect">
          <a:avLst/>
        </a:prstGeom>
      </xdr:spPr>
    </xdr:pic>
    <xdr:clientData/>
  </xdr:twoCellAnchor>
  <xdr:twoCellAnchor editAs="oneCell">
    <xdr:from>
      <xdr:col>0</xdr:col>
      <xdr:colOff>217715</xdr:colOff>
      <xdr:row>301</xdr:row>
      <xdr:rowOff>136073</xdr:rowOff>
    </xdr:from>
    <xdr:to>
      <xdr:col>1</xdr:col>
      <xdr:colOff>48239</xdr:colOff>
      <xdr:row>302</xdr:row>
      <xdr:rowOff>157537</xdr:rowOff>
    </xdr:to>
    <xdr:pic>
      <xdr:nvPicPr>
        <xdr:cNvPr id="13" name="Picture 12">
          <a:extLst>
            <a:ext uri="{FF2B5EF4-FFF2-40B4-BE49-F238E27FC236}">
              <a16:creationId xmlns:a16="http://schemas.microsoft.com/office/drawing/2014/main" id="{71EFE9F7-E8CD-47ED-9205-26BA79E9F512}"/>
            </a:ext>
          </a:extLst>
        </xdr:cNvPr>
        <xdr:cNvPicPr>
          <a:picLocks noChangeAspect="1"/>
        </xdr:cNvPicPr>
      </xdr:nvPicPr>
      <xdr:blipFill>
        <a:blip xmlns:r="http://schemas.openxmlformats.org/officeDocument/2006/relationships" r:embed="rId4"/>
        <a:stretch>
          <a:fillRect/>
        </a:stretch>
      </xdr:blipFill>
      <xdr:spPr>
        <a:xfrm>
          <a:off x="217715" y="61115123"/>
          <a:ext cx="173424" cy="221489"/>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22</xdr:col>
      <xdr:colOff>1095375</xdr:colOff>
      <xdr:row>301</xdr:row>
      <xdr:rowOff>123825</xdr:rowOff>
    </xdr:from>
    <xdr:to>
      <xdr:col>22</xdr:col>
      <xdr:colOff>1895475</xdr:colOff>
      <xdr:row>302</xdr:row>
      <xdr:rowOff>152400</xdr:rowOff>
    </xdr:to>
    <xdr:pic>
      <xdr:nvPicPr>
        <xdr:cNvPr id="2" name="Picture 1" descr="C:\WINDOWS\TEMP\~0003946.gif">
          <a:extLst>
            <a:ext uri="{FF2B5EF4-FFF2-40B4-BE49-F238E27FC236}">
              <a16:creationId xmlns:a16="http://schemas.microsoft.com/office/drawing/2014/main" id="{7D05F6A9-C11E-4FA2-8CD2-EC9A09D84BE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61102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201</xdr:row>
      <xdr:rowOff>152400</xdr:rowOff>
    </xdr:from>
    <xdr:to>
      <xdr:col>22</xdr:col>
      <xdr:colOff>1924050</xdr:colOff>
      <xdr:row>202</xdr:row>
      <xdr:rowOff>180975</xdr:rowOff>
    </xdr:to>
    <xdr:pic>
      <xdr:nvPicPr>
        <xdr:cNvPr id="3" name="Picture 2" descr="C:\WINDOWS\TEMP\~0003946.gif">
          <a:extLst>
            <a:ext uri="{FF2B5EF4-FFF2-40B4-BE49-F238E27FC236}">
              <a16:creationId xmlns:a16="http://schemas.microsoft.com/office/drawing/2014/main" id="{C374ACDD-E306-48CE-A4A3-23A25024726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410051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135</xdr:row>
      <xdr:rowOff>161925</xdr:rowOff>
    </xdr:from>
    <xdr:to>
      <xdr:col>22</xdr:col>
      <xdr:colOff>1952625</xdr:colOff>
      <xdr:row>136</xdr:row>
      <xdr:rowOff>190500</xdr:rowOff>
    </xdr:to>
    <xdr:pic>
      <xdr:nvPicPr>
        <xdr:cNvPr id="4" name="Picture 3" descr="C:\WINDOWS\TEMP\~0003946.gif">
          <a:extLst>
            <a:ext uri="{FF2B5EF4-FFF2-40B4-BE49-F238E27FC236}">
              <a16:creationId xmlns:a16="http://schemas.microsoft.com/office/drawing/2014/main" id="{3B86C331-232E-44B2-A9EF-13BC9B7FEB6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277272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61</xdr:row>
      <xdr:rowOff>161925</xdr:rowOff>
    </xdr:from>
    <xdr:to>
      <xdr:col>22</xdr:col>
      <xdr:colOff>1952625</xdr:colOff>
      <xdr:row>62</xdr:row>
      <xdr:rowOff>190500</xdr:rowOff>
    </xdr:to>
    <xdr:pic>
      <xdr:nvPicPr>
        <xdr:cNvPr id="5" name="Picture 4" descr="C:\WINDOWS\TEMP\~0003946.gif">
          <a:extLst>
            <a:ext uri="{FF2B5EF4-FFF2-40B4-BE49-F238E27FC236}">
              <a16:creationId xmlns:a16="http://schemas.microsoft.com/office/drawing/2014/main" id="{41275286-CDFE-427E-ACB0-B4AEEE9175D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124777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0</xdr:colOff>
      <xdr:row>301</xdr:row>
      <xdr:rowOff>0</xdr:rowOff>
    </xdr:from>
    <xdr:to>
      <xdr:col>22</xdr:col>
      <xdr:colOff>883997</xdr:colOff>
      <xdr:row>302</xdr:row>
      <xdr:rowOff>94622</xdr:rowOff>
    </xdr:to>
    <xdr:pic>
      <xdr:nvPicPr>
        <xdr:cNvPr id="6" name="Picture 5">
          <a:extLst>
            <a:ext uri="{FF2B5EF4-FFF2-40B4-BE49-F238E27FC236}">
              <a16:creationId xmlns:a16="http://schemas.microsoft.com/office/drawing/2014/main" id="{59907912-6662-4557-A0D2-426FE1964DB2}"/>
            </a:ext>
          </a:extLst>
        </xdr:cNvPr>
        <xdr:cNvPicPr>
          <a:picLocks noChangeAspect="1"/>
        </xdr:cNvPicPr>
      </xdr:nvPicPr>
      <xdr:blipFill>
        <a:blip xmlns:r="http://schemas.openxmlformats.org/officeDocument/2006/relationships" r:embed="rId3"/>
        <a:stretch>
          <a:fillRect/>
        </a:stretch>
      </xdr:blipFill>
      <xdr:spPr>
        <a:xfrm>
          <a:off x="24212550" y="60979050"/>
          <a:ext cx="883997" cy="294647"/>
        </a:xfrm>
        <a:prstGeom prst="rect">
          <a:avLst/>
        </a:prstGeom>
      </xdr:spPr>
    </xdr:pic>
    <xdr:clientData/>
  </xdr:twoCellAnchor>
  <xdr:twoCellAnchor editAs="oneCell">
    <xdr:from>
      <xdr:col>22</xdr:col>
      <xdr:colOff>0</xdr:colOff>
      <xdr:row>201</xdr:row>
      <xdr:rowOff>0</xdr:rowOff>
    </xdr:from>
    <xdr:to>
      <xdr:col>22</xdr:col>
      <xdr:colOff>883997</xdr:colOff>
      <xdr:row>202</xdr:row>
      <xdr:rowOff>94623</xdr:rowOff>
    </xdr:to>
    <xdr:pic>
      <xdr:nvPicPr>
        <xdr:cNvPr id="7" name="Picture 6">
          <a:extLst>
            <a:ext uri="{FF2B5EF4-FFF2-40B4-BE49-F238E27FC236}">
              <a16:creationId xmlns:a16="http://schemas.microsoft.com/office/drawing/2014/main" id="{16590CD2-9877-4DC3-9B9F-C7BC83EEE3C2}"/>
            </a:ext>
          </a:extLst>
        </xdr:cNvPr>
        <xdr:cNvPicPr>
          <a:picLocks noChangeAspect="1"/>
        </xdr:cNvPicPr>
      </xdr:nvPicPr>
      <xdr:blipFill>
        <a:blip xmlns:r="http://schemas.openxmlformats.org/officeDocument/2006/relationships" r:embed="rId3"/>
        <a:stretch>
          <a:fillRect/>
        </a:stretch>
      </xdr:blipFill>
      <xdr:spPr>
        <a:xfrm>
          <a:off x="24212550" y="40852725"/>
          <a:ext cx="883997" cy="294648"/>
        </a:xfrm>
        <a:prstGeom prst="rect">
          <a:avLst/>
        </a:prstGeom>
      </xdr:spPr>
    </xdr:pic>
    <xdr:clientData/>
  </xdr:twoCellAnchor>
  <xdr:twoCellAnchor editAs="oneCell">
    <xdr:from>
      <xdr:col>22</xdr:col>
      <xdr:colOff>0</xdr:colOff>
      <xdr:row>135</xdr:row>
      <xdr:rowOff>0</xdr:rowOff>
    </xdr:from>
    <xdr:to>
      <xdr:col>22</xdr:col>
      <xdr:colOff>883997</xdr:colOff>
      <xdr:row>136</xdr:row>
      <xdr:rowOff>94623</xdr:rowOff>
    </xdr:to>
    <xdr:pic>
      <xdr:nvPicPr>
        <xdr:cNvPr id="8" name="Picture 7">
          <a:extLst>
            <a:ext uri="{FF2B5EF4-FFF2-40B4-BE49-F238E27FC236}">
              <a16:creationId xmlns:a16="http://schemas.microsoft.com/office/drawing/2014/main" id="{5F08D869-6D0F-4353-B31B-E24FB03752FB}"/>
            </a:ext>
          </a:extLst>
        </xdr:cNvPr>
        <xdr:cNvPicPr>
          <a:picLocks noChangeAspect="1"/>
        </xdr:cNvPicPr>
      </xdr:nvPicPr>
      <xdr:blipFill>
        <a:blip xmlns:r="http://schemas.openxmlformats.org/officeDocument/2006/relationships" r:embed="rId3"/>
        <a:stretch>
          <a:fillRect/>
        </a:stretch>
      </xdr:blipFill>
      <xdr:spPr>
        <a:xfrm>
          <a:off x="24212550" y="27565350"/>
          <a:ext cx="883997" cy="294648"/>
        </a:xfrm>
        <a:prstGeom prst="rect">
          <a:avLst/>
        </a:prstGeom>
      </xdr:spPr>
    </xdr:pic>
    <xdr:clientData/>
  </xdr:twoCellAnchor>
  <xdr:twoCellAnchor editAs="oneCell">
    <xdr:from>
      <xdr:col>22</xdr:col>
      <xdr:colOff>27214</xdr:colOff>
      <xdr:row>61</xdr:row>
      <xdr:rowOff>40822</xdr:rowOff>
    </xdr:from>
    <xdr:to>
      <xdr:col>22</xdr:col>
      <xdr:colOff>911211</xdr:colOff>
      <xdr:row>62</xdr:row>
      <xdr:rowOff>135445</xdr:rowOff>
    </xdr:to>
    <xdr:pic>
      <xdr:nvPicPr>
        <xdr:cNvPr id="9" name="Picture 8">
          <a:extLst>
            <a:ext uri="{FF2B5EF4-FFF2-40B4-BE49-F238E27FC236}">
              <a16:creationId xmlns:a16="http://schemas.microsoft.com/office/drawing/2014/main" id="{7D9B1041-B1E4-4985-98A2-2679157308D5}"/>
            </a:ext>
          </a:extLst>
        </xdr:cNvPr>
        <xdr:cNvPicPr>
          <a:picLocks noChangeAspect="1"/>
        </xdr:cNvPicPr>
      </xdr:nvPicPr>
      <xdr:blipFill>
        <a:blip xmlns:r="http://schemas.openxmlformats.org/officeDocument/2006/relationships" r:embed="rId3"/>
        <a:stretch>
          <a:fillRect/>
        </a:stretch>
      </xdr:blipFill>
      <xdr:spPr>
        <a:xfrm>
          <a:off x="24239764" y="12356647"/>
          <a:ext cx="883997" cy="294648"/>
        </a:xfrm>
        <a:prstGeom prst="rect">
          <a:avLst/>
        </a:prstGeom>
      </xdr:spPr>
    </xdr:pic>
    <xdr:clientData/>
  </xdr:twoCellAnchor>
  <xdr:twoCellAnchor editAs="oneCell">
    <xdr:from>
      <xdr:col>0</xdr:col>
      <xdr:colOff>163286</xdr:colOff>
      <xdr:row>61</xdr:row>
      <xdr:rowOff>136072</xdr:rowOff>
    </xdr:from>
    <xdr:to>
      <xdr:col>0</xdr:col>
      <xdr:colOff>333989</xdr:colOff>
      <xdr:row>62</xdr:row>
      <xdr:rowOff>157537</xdr:rowOff>
    </xdr:to>
    <xdr:pic>
      <xdr:nvPicPr>
        <xdr:cNvPr id="10" name="Picture 9">
          <a:extLst>
            <a:ext uri="{FF2B5EF4-FFF2-40B4-BE49-F238E27FC236}">
              <a16:creationId xmlns:a16="http://schemas.microsoft.com/office/drawing/2014/main" id="{5DBC5929-5960-40E3-B062-DD919B60D013}"/>
            </a:ext>
          </a:extLst>
        </xdr:cNvPr>
        <xdr:cNvPicPr>
          <a:picLocks noChangeAspect="1"/>
        </xdr:cNvPicPr>
      </xdr:nvPicPr>
      <xdr:blipFill>
        <a:blip xmlns:r="http://schemas.openxmlformats.org/officeDocument/2006/relationships" r:embed="rId4"/>
        <a:stretch>
          <a:fillRect/>
        </a:stretch>
      </xdr:blipFill>
      <xdr:spPr>
        <a:xfrm>
          <a:off x="163286" y="12451897"/>
          <a:ext cx="170703" cy="221490"/>
        </a:xfrm>
        <a:prstGeom prst="rect">
          <a:avLst/>
        </a:prstGeom>
      </xdr:spPr>
    </xdr:pic>
    <xdr:clientData/>
  </xdr:twoCellAnchor>
  <xdr:twoCellAnchor editAs="oneCell">
    <xdr:from>
      <xdr:col>0</xdr:col>
      <xdr:colOff>217714</xdr:colOff>
      <xdr:row>135</xdr:row>
      <xdr:rowOff>40821</xdr:rowOff>
    </xdr:from>
    <xdr:to>
      <xdr:col>1</xdr:col>
      <xdr:colOff>48238</xdr:colOff>
      <xdr:row>136</xdr:row>
      <xdr:rowOff>62286</xdr:rowOff>
    </xdr:to>
    <xdr:pic>
      <xdr:nvPicPr>
        <xdr:cNvPr id="11" name="Picture 10">
          <a:extLst>
            <a:ext uri="{FF2B5EF4-FFF2-40B4-BE49-F238E27FC236}">
              <a16:creationId xmlns:a16="http://schemas.microsoft.com/office/drawing/2014/main" id="{091ACEB5-1298-4325-8AEB-B945740EE18F}"/>
            </a:ext>
          </a:extLst>
        </xdr:cNvPr>
        <xdr:cNvPicPr>
          <a:picLocks noChangeAspect="1"/>
        </xdr:cNvPicPr>
      </xdr:nvPicPr>
      <xdr:blipFill>
        <a:blip xmlns:r="http://schemas.openxmlformats.org/officeDocument/2006/relationships" r:embed="rId4"/>
        <a:stretch>
          <a:fillRect/>
        </a:stretch>
      </xdr:blipFill>
      <xdr:spPr>
        <a:xfrm>
          <a:off x="217714" y="27606171"/>
          <a:ext cx="173424" cy="221490"/>
        </a:xfrm>
        <a:prstGeom prst="rect">
          <a:avLst/>
        </a:prstGeom>
      </xdr:spPr>
    </xdr:pic>
    <xdr:clientData/>
  </xdr:twoCellAnchor>
  <xdr:twoCellAnchor editAs="oneCell">
    <xdr:from>
      <xdr:col>0</xdr:col>
      <xdr:colOff>190500</xdr:colOff>
      <xdr:row>201</xdr:row>
      <xdr:rowOff>136071</xdr:rowOff>
    </xdr:from>
    <xdr:to>
      <xdr:col>1</xdr:col>
      <xdr:colOff>21024</xdr:colOff>
      <xdr:row>202</xdr:row>
      <xdr:rowOff>157536</xdr:rowOff>
    </xdr:to>
    <xdr:pic>
      <xdr:nvPicPr>
        <xdr:cNvPr id="12" name="Picture 11">
          <a:extLst>
            <a:ext uri="{FF2B5EF4-FFF2-40B4-BE49-F238E27FC236}">
              <a16:creationId xmlns:a16="http://schemas.microsoft.com/office/drawing/2014/main" id="{375126A4-A2E5-4BAB-A9EF-03B9196E08DB}"/>
            </a:ext>
          </a:extLst>
        </xdr:cNvPr>
        <xdr:cNvPicPr>
          <a:picLocks noChangeAspect="1"/>
        </xdr:cNvPicPr>
      </xdr:nvPicPr>
      <xdr:blipFill>
        <a:blip xmlns:r="http://schemas.openxmlformats.org/officeDocument/2006/relationships" r:embed="rId4"/>
        <a:stretch>
          <a:fillRect/>
        </a:stretch>
      </xdr:blipFill>
      <xdr:spPr>
        <a:xfrm>
          <a:off x="190500" y="40988796"/>
          <a:ext cx="173424" cy="221490"/>
        </a:xfrm>
        <a:prstGeom prst="rect">
          <a:avLst/>
        </a:prstGeom>
      </xdr:spPr>
    </xdr:pic>
    <xdr:clientData/>
  </xdr:twoCellAnchor>
  <xdr:twoCellAnchor editAs="oneCell">
    <xdr:from>
      <xdr:col>0</xdr:col>
      <xdr:colOff>217715</xdr:colOff>
      <xdr:row>301</xdr:row>
      <xdr:rowOff>136073</xdr:rowOff>
    </xdr:from>
    <xdr:to>
      <xdr:col>1</xdr:col>
      <xdr:colOff>48239</xdr:colOff>
      <xdr:row>302</xdr:row>
      <xdr:rowOff>157537</xdr:rowOff>
    </xdr:to>
    <xdr:pic>
      <xdr:nvPicPr>
        <xdr:cNvPr id="13" name="Picture 12">
          <a:extLst>
            <a:ext uri="{FF2B5EF4-FFF2-40B4-BE49-F238E27FC236}">
              <a16:creationId xmlns:a16="http://schemas.microsoft.com/office/drawing/2014/main" id="{9CD0B681-F5FC-4A29-ABE5-132773A6013D}"/>
            </a:ext>
          </a:extLst>
        </xdr:cNvPr>
        <xdr:cNvPicPr>
          <a:picLocks noChangeAspect="1"/>
        </xdr:cNvPicPr>
      </xdr:nvPicPr>
      <xdr:blipFill>
        <a:blip xmlns:r="http://schemas.openxmlformats.org/officeDocument/2006/relationships" r:embed="rId4"/>
        <a:stretch>
          <a:fillRect/>
        </a:stretch>
      </xdr:blipFill>
      <xdr:spPr>
        <a:xfrm>
          <a:off x="217715" y="61115123"/>
          <a:ext cx="173424" cy="221489"/>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22</xdr:col>
      <xdr:colOff>1095375</xdr:colOff>
      <xdr:row>301</xdr:row>
      <xdr:rowOff>123825</xdr:rowOff>
    </xdr:from>
    <xdr:to>
      <xdr:col>22</xdr:col>
      <xdr:colOff>1895475</xdr:colOff>
      <xdr:row>302</xdr:row>
      <xdr:rowOff>152400</xdr:rowOff>
    </xdr:to>
    <xdr:pic>
      <xdr:nvPicPr>
        <xdr:cNvPr id="2" name="Picture 1" descr="C:\WINDOWS\TEMP\~0003946.gif">
          <a:extLst>
            <a:ext uri="{FF2B5EF4-FFF2-40B4-BE49-F238E27FC236}">
              <a16:creationId xmlns:a16="http://schemas.microsoft.com/office/drawing/2014/main" id="{98175A1F-C193-4BCE-9301-C94A9EFD708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61102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201</xdr:row>
      <xdr:rowOff>152400</xdr:rowOff>
    </xdr:from>
    <xdr:to>
      <xdr:col>22</xdr:col>
      <xdr:colOff>1924050</xdr:colOff>
      <xdr:row>202</xdr:row>
      <xdr:rowOff>180975</xdr:rowOff>
    </xdr:to>
    <xdr:pic>
      <xdr:nvPicPr>
        <xdr:cNvPr id="3" name="Picture 2" descr="C:\WINDOWS\TEMP\~0003946.gif">
          <a:extLst>
            <a:ext uri="{FF2B5EF4-FFF2-40B4-BE49-F238E27FC236}">
              <a16:creationId xmlns:a16="http://schemas.microsoft.com/office/drawing/2014/main" id="{D00ABBCE-8A99-4357-87E8-3A775A3458A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410051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135</xdr:row>
      <xdr:rowOff>161925</xdr:rowOff>
    </xdr:from>
    <xdr:to>
      <xdr:col>22</xdr:col>
      <xdr:colOff>1952625</xdr:colOff>
      <xdr:row>136</xdr:row>
      <xdr:rowOff>190500</xdr:rowOff>
    </xdr:to>
    <xdr:pic>
      <xdr:nvPicPr>
        <xdr:cNvPr id="4" name="Picture 3" descr="C:\WINDOWS\TEMP\~0003946.gif">
          <a:extLst>
            <a:ext uri="{FF2B5EF4-FFF2-40B4-BE49-F238E27FC236}">
              <a16:creationId xmlns:a16="http://schemas.microsoft.com/office/drawing/2014/main" id="{0DBC7361-3248-45F8-BF92-6EE8F32D9AB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277272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61</xdr:row>
      <xdr:rowOff>161925</xdr:rowOff>
    </xdr:from>
    <xdr:to>
      <xdr:col>22</xdr:col>
      <xdr:colOff>1952625</xdr:colOff>
      <xdr:row>62</xdr:row>
      <xdr:rowOff>190500</xdr:rowOff>
    </xdr:to>
    <xdr:pic>
      <xdr:nvPicPr>
        <xdr:cNvPr id="5" name="Picture 4" descr="C:\WINDOWS\TEMP\~0003946.gif">
          <a:extLst>
            <a:ext uri="{FF2B5EF4-FFF2-40B4-BE49-F238E27FC236}">
              <a16:creationId xmlns:a16="http://schemas.microsoft.com/office/drawing/2014/main" id="{21E774C5-9206-433C-9DD7-A7566EB5A6BD}"/>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124777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0</xdr:colOff>
      <xdr:row>301</xdr:row>
      <xdr:rowOff>0</xdr:rowOff>
    </xdr:from>
    <xdr:to>
      <xdr:col>22</xdr:col>
      <xdr:colOff>883997</xdr:colOff>
      <xdr:row>302</xdr:row>
      <xdr:rowOff>94622</xdr:rowOff>
    </xdr:to>
    <xdr:pic>
      <xdr:nvPicPr>
        <xdr:cNvPr id="6" name="Picture 5">
          <a:extLst>
            <a:ext uri="{FF2B5EF4-FFF2-40B4-BE49-F238E27FC236}">
              <a16:creationId xmlns:a16="http://schemas.microsoft.com/office/drawing/2014/main" id="{1D8172A8-60E2-4682-9D97-7FD7C2127E3F}"/>
            </a:ext>
          </a:extLst>
        </xdr:cNvPr>
        <xdr:cNvPicPr>
          <a:picLocks noChangeAspect="1"/>
        </xdr:cNvPicPr>
      </xdr:nvPicPr>
      <xdr:blipFill>
        <a:blip xmlns:r="http://schemas.openxmlformats.org/officeDocument/2006/relationships" r:embed="rId3"/>
        <a:stretch>
          <a:fillRect/>
        </a:stretch>
      </xdr:blipFill>
      <xdr:spPr>
        <a:xfrm>
          <a:off x="24212550" y="60979050"/>
          <a:ext cx="883997" cy="294647"/>
        </a:xfrm>
        <a:prstGeom prst="rect">
          <a:avLst/>
        </a:prstGeom>
      </xdr:spPr>
    </xdr:pic>
    <xdr:clientData/>
  </xdr:twoCellAnchor>
  <xdr:twoCellAnchor editAs="oneCell">
    <xdr:from>
      <xdr:col>22</xdr:col>
      <xdr:colOff>0</xdr:colOff>
      <xdr:row>201</xdr:row>
      <xdr:rowOff>0</xdr:rowOff>
    </xdr:from>
    <xdr:to>
      <xdr:col>22</xdr:col>
      <xdr:colOff>883997</xdr:colOff>
      <xdr:row>202</xdr:row>
      <xdr:rowOff>94623</xdr:rowOff>
    </xdr:to>
    <xdr:pic>
      <xdr:nvPicPr>
        <xdr:cNvPr id="7" name="Picture 6">
          <a:extLst>
            <a:ext uri="{FF2B5EF4-FFF2-40B4-BE49-F238E27FC236}">
              <a16:creationId xmlns:a16="http://schemas.microsoft.com/office/drawing/2014/main" id="{3DC4B88D-F4FC-4A0A-8B4B-785F2D1987D6}"/>
            </a:ext>
          </a:extLst>
        </xdr:cNvPr>
        <xdr:cNvPicPr>
          <a:picLocks noChangeAspect="1"/>
        </xdr:cNvPicPr>
      </xdr:nvPicPr>
      <xdr:blipFill>
        <a:blip xmlns:r="http://schemas.openxmlformats.org/officeDocument/2006/relationships" r:embed="rId3"/>
        <a:stretch>
          <a:fillRect/>
        </a:stretch>
      </xdr:blipFill>
      <xdr:spPr>
        <a:xfrm>
          <a:off x="24212550" y="40852725"/>
          <a:ext cx="883997" cy="294648"/>
        </a:xfrm>
        <a:prstGeom prst="rect">
          <a:avLst/>
        </a:prstGeom>
      </xdr:spPr>
    </xdr:pic>
    <xdr:clientData/>
  </xdr:twoCellAnchor>
  <xdr:twoCellAnchor editAs="oneCell">
    <xdr:from>
      <xdr:col>22</xdr:col>
      <xdr:colOff>0</xdr:colOff>
      <xdr:row>135</xdr:row>
      <xdr:rowOff>0</xdr:rowOff>
    </xdr:from>
    <xdr:to>
      <xdr:col>22</xdr:col>
      <xdr:colOff>883997</xdr:colOff>
      <xdr:row>136</xdr:row>
      <xdr:rowOff>94623</xdr:rowOff>
    </xdr:to>
    <xdr:pic>
      <xdr:nvPicPr>
        <xdr:cNvPr id="8" name="Picture 7">
          <a:extLst>
            <a:ext uri="{FF2B5EF4-FFF2-40B4-BE49-F238E27FC236}">
              <a16:creationId xmlns:a16="http://schemas.microsoft.com/office/drawing/2014/main" id="{33DCEE65-7FD2-430E-B1D5-E5949EC37AC4}"/>
            </a:ext>
          </a:extLst>
        </xdr:cNvPr>
        <xdr:cNvPicPr>
          <a:picLocks noChangeAspect="1"/>
        </xdr:cNvPicPr>
      </xdr:nvPicPr>
      <xdr:blipFill>
        <a:blip xmlns:r="http://schemas.openxmlformats.org/officeDocument/2006/relationships" r:embed="rId3"/>
        <a:stretch>
          <a:fillRect/>
        </a:stretch>
      </xdr:blipFill>
      <xdr:spPr>
        <a:xfrm>
          <a:off x="24212550" y="27565350"/>
          <a:ext cx="883997" cy="294648"/>
        </a:xfrm>
        <a:prstGeom prst="rect">
          <a:avLst/>
        </a:prstGeom>
      </xdr:spPr>
    </xdr:pic>
    <xdr:clientData/>
  </xdr:twoCellAnchor>
  <xdr:twoCellAnchor editAs="oneCell">
    <xdr:from>
      <xdr:col>22</xdr:col>
      <xdr:colOff>27214</xdr:colOff>
      <xdr:row>61</xdr:row>
      <xdr:rowOff>40822</xdr:rowOff>
    </xdr:from>
    <xdr:to>
      <xdr:col>22</xdr:col>
      <xdr:colOff>911211</xdr:colOff>
      <xdr:row>62</xdr:row>
      <xdr:rowOff>135445</xdr:rowOff>
    </xdr:to>
    <xdr:pic>
      <xdr:nvPicPr>
        <xdr:cNvPr id="9" name="Picture 8">
          <a:extLst>
            <a:ext uri="{FF2B5EF4-FFF2-40B4-BE49-F238E27FC236}">
              <a16:creationId xmlns:a16="http://schemas.microsoft.com/office/drawing/2014/main" id="{F4D8D135-44C7-47AF-A0B6-B7CBCC582608}"/>
            </a:ext>
          </a:extLst>
        </xdr:cNvPr>
        <xdr:cNvPicPr>
          <a:picLocks noChangeAspect="1"/>
        </xdr:cNvPicPr>
      </xdr:nvPicPr>
      <xdr:blipFill>
        <a:blip xmlns:r="http://schemas.openxmlformats.org/officeDocument/2006/relationships" r:embed="rId3"/>
        <a:stretch>
          <a:fillRect/>
        </a:stretch>
      </xdr:blipFill>
      <xdr:spPr>
        <a:xfrm>
          <a:off x="24239764" y="12356647"/>
          <a:ext cx="883997" cy="294648"/>
        </a:xfrm>
        <a:prstGeom prst="rect">
          <a:avLst/>
        </a:prstGeom>
      </xdr:spPr>
    </xdr:pic>
    <xdr:clientData/>
  </xdr:twoCellAnchor>
  <xdr:twoCellAnchor editAs="oneCell">
    <xdr:from>
      <xdr:col>0</xdr:col>
      <xdr:colOff>163286</xdr:colOff>
      <xdr:row>61</xdr:row>
      <xdr:rowOff>136072</xdr:rowOff>
    </xdr:from>
    <xdr:to>
      <xdr:col>0</xdr:col>
      <xdr:colOff>333989</xdr:colOff>
      <xdr:row>62</xdr:row>
      <xdr:rowOff>157537</xdr:rowOff>
    </xdr:to>
    <xdr:pic>
      <xdr:nvPicPr>
        <xdr:cNvPr id="10" name="Picture 9">
          <a:extLst>
            <a:ext uri="{FF2B5EF4-FFF2-40B4-BE49-F238E27FC236}">
              <a16:creationId xmlns:a16="http://schemas.microsoft.com/office/drawing/2014/main" id="{1EB55D2D-5CF4-4F53-991A-81519C341BB8}"/>
            </a:ext>
          </a:extLst>
        </xdr:cNvPr>
        <xdr:cNvPicPr>
          <a:picLocks noChangeAspect="1"/>
        </xdr:cNvPicPr>
      </xdr:nvPicPr>
      <xdr:blipFill>
        <a:blip xmlns:r="http://schemas.openxmlformats.org/officeDocument/2006/relationships" r:embed="rId4"/>
        <a:stretch>
          <a:fillRect/>
        </a:stretch>
      </xdr:blipFill>
      <xdr:spPr>
        <a:xfrm>
          <a:off x="163286" y="12451897"/>
          <a:ext cx="170703" cy="221490"/>
        </a:xfrm>
        <a:prstGeom prst="rect">
          <a:avLst/>
        </a:prstGeom>
      </xdr:spPr>
    </xdr:pic>
    <xdr:clientData/>
  </xdr:twoCellAnchor>
  <xdr:twoCellAnchor editAs="oneCell">
    <xdr:from>
      <xdr:col>0</xdr:col>
      <xdr:colOff>217714</xdr:colOff>
      <xdr:row>135</xdr:row>
      <xdr:rowOff>40821</xdr:rowOff>
    </xdr:from>
    <xdr:to>
      <xdr:col>1</xdr:col>
      <xdr:colOff>48238</xdr:colOff>
      <xdr:row>136</xdr:row>
      <xdr:rowOff>62286</xdr:rowOff>
    </xdr:to>
    <xdr:pic>
      <xdr:nvPicPr>
        <xdr:cNvPr id="11" name="Picture 10">
          <a:extLst>
            <a:ext uri="{FF2B5EF4-FFF2-40B4-BE49-F238E27FC236}">
              <a16:creationId xmlns:a16="http://schemas.microsoft.com/office/drawing/2014/main" id="{3F354092-69FE-4642-8F0F-BC88DE121E73}"/>
            </a:ext>
          </a:extLst>
        </xdr:cNvPr>
        <xdr:cNvPicPr>
          <a:picLocks noChangeAspect="1"/>
        </xdr:cNvPicPr>
      </xdr:nvPicPr>
      <xdr:blipFill>
        <a:blip xmlns:r="http://schemas.openxmlformats.org/officeDocument/2006/relationships" r:embed="rId4"/>
        <a:stretch>
          <a:fillRect/>
        </a:stretch>
      </xdr:blipFill>
      <xdr:spPr>
        <a:xfrm>
          <a:off x="217714" y="27606171"/>
          <a:ext cx="173424" cy="221490"/>
        </a:xfrm>
        <a:prstGeom prst="rect">
          <a:avLst/>
        </a:prstGeom>
      </xdr:spPr>
    </xdr:pic>
    <xdr:clientData/>
  </xdr:twoCellAnchor>
  <xdr:twoCellAnchor editAs="oneCell">
    <xdr:from>
      <xdr:col>0</xdr:col>
      <xdr:colOff>190500</xdr:colOff>
      <xdr:row>201</xdr:row>
      <xdr:rowOff>136071</xdr:rowOff>
    </xdr:from>
    <xdr:to>
      <xdr:col>1</xdr:col>
      <xdr:colOff>21024</xdr:colOff>
      <xdr:row>202</xdr:row>
      <xdr:rowOff>157536</xdr:rowOff>
    </xdr:to>
    <xdr:pic>
      <xdr:nvPicPr>
        <xdr:cNvPr id="12" name="Picture 11">
          <a:extLst>
            <a:ext uri="{FF2B5EF4-FFF2-40B4-BE49-F238E27FC236}">
              <a16:creationId xmlns:a16="http://schemas.microsoft.com/office/drawing/2014/main" id="{BB696D9E-D4A3-42C3-BE21-290EC19B39A9}"/>
            </a:ext>
          </a:extLst>
        </xdr:cNvPr>
        <xdr:cNvPicPr>
          <a:picLocks noChangeAspect="1"/>
        </xdr:cNvPicPr>
      </xdr:nvPicPr>
      <xdr:blipFill>
        <a:blip xmlns:r="http://schemas.openxmlformats.org/officeDocument/2006/relationships" r:embed="rId4"/>
        <a:stretch>
          <a:fillRect/>
        </a:stretch>
      </xdr:blipFill>
      <xdr:spPr>
        <a:xfrm>
          <a:off x="190500" y="40988796"/>
          <a:ext cx="173424" cy="221490"/>
        </a:xfrm>
        <a:prstGeom prst="rect">
          <a:avLst/>
        </a:prstGeom>
      </xdr:spPr>
    </xdr:pic>
    <xdr:clientData/>
  </xdr:twoCellAnchor>
  <xdr:twoCellAnchor editAs="oneCell">
    <xdr:from>
      <xdr:col>0</xdr:col>
      <xdr:colOff>217715</xdr:colOff>
      <xdr:row>301</xdr:row>
      <xdr:rowOff>136073</xdr:rowOff>
    </xdr:from>
    <xdr:to>
      <xdr:col>1</xdr:col>
      <xdr:colOff>48239</xdr:colOff>
      <xdr:row>302</xdr:row>
      <xdr:rowOff>157537</xdr:rowOff>
    </xdr:to>
    <xdr:pic>
      <xdr:nvPicPr>
        <xdr:cNvPr id="13" name="Picture 12">
          <a:extLst>
            <a:ext uri="{FF2B5EF4-FFF2-40B4-BE49-F238E27FC236}">
              <a16:creationId xmlns:a16="http://schemas.microsoft.com/office/drawing/2014/main" id="{EC915131-F0E0-4B12-A2FB-7A70D67F342C}"/>
            </a:ext>
          </a:extLst>
        </xdr:cNvPr>
        <xdr:cNvPicPr>
          <a:picLocks noChangeAspect="1"/>
        </xdr:cNvPicPr>
      </xdr:nvPicPr>
      <xdr:blipFill>
        <a:blip xmlns:r="http://schemas.openxmlformats.org/officeDocument/2006/relationships" r:embed="rId4"/>
        <a:stretch>
          <a:fillRect/>
        </a:stretch>
      </xdr:blipFill>
      <xdr:spPr>
        <a:xfrm>
          <a:off x="217715" y="61115123"/>
          <a:ext cx="173424" cy="221489"/>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22</xdr:col>
      <xdr:colOff>1095375</xdr:colOff>
      <xdr:row>301</xdr:row>
      <xdr:rowOff>123825</xdr:rowOff>
    </xdr:from>
    <xdr:to>
      <xdr:col>22</xdr:col>
      <xdr:colOff>1895475</xdr:colOff>
      <xdr:row>302</xdr:row>
      <xdr:rowOff>152400</xdr:rowOff>
    </xdr:to>
    <xdr:pic>
      <xdr:nvPicPr>
        <xdr:cNvPr id="2" name="Picture 1" descr="C:\WINDOWS\TEMP\~0003946.gif">
          <a:extLst>
            <a:ext uri="{FF2B5EF4-FFF2-40B4-BE49-F238E27FC236}">
              <a16:creationId xmlns:a16="http://schemas.microsoft.com/office/drawing/2014/main" id="{9CC51C34-2CE6-4B30-9627-E35D1107EF8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61102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201</xdr:row>
      <xdr:rowOff>152400</xdr:rowOff>
    </xdr:from>
    <xdr:to>
      <xdr:col>22</xdr:col>
      <xdr:colOff>1924050</xdr:colOff>
      <xdr:row>202</xdr:row>
      <xdr:rowOff>180975</xdr:rowOff>
    </xdr:to>
    <xdr:pic>
      <xdr:nvPicPr>
        <xdr:cNvPr id="3" name="Picture 2" descr="C:\WINDOWS\TEMP\~0003946.gif">
          <a:extLst>
            <a:ext uri="{FF2B5EF4-FFF2-40B4-BE49-F238E27FC236}">
              <a16:creationId xmlns:a16="http://schemas.microsoft.com/office/drawing/2014/main" id="{967B55B6-C5EA-4F3D-BDFA-7B916812231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410051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135</xdr:row>
      <xdr:rowOff>161925</xdr:rowOff>
    </xdr:from>
    <xdr:to>
      <xdr:col>22</xdr:col>
      <xdr:colOff>1952625</xdr:colOff>
      <xdr:row>136</xdr:row>
      <xdr:rowOff>190500</xdr:rowOff>
    </xdr:to>
    <xdr:pic>
      <xdr:nvPicPr>
        <xdr:cNvPr id="4" name="Picture 3" descr="C:\WINDOWS\TEMP\~0003946.gif">
          <a:extLst>
            <a:ext uri="{FF2B5EF4-FFF2-40B4-BE49-F238E27FC236}">
              <a16:creationId xmlns:a16="http://schemas.microsoft.com/office/drawing/2014/main" id="{A9D58E42-FE48-4AA7-86F1-8B0F1C10D88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277272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61</xdr:row>
      <xdr:rowOff>161925</xdr:rowOff>
    </xdr:from>
    <xdr:to>
      <xdr:col>22</xdr:col>
      <xdr:colOff>1952625</xdr:colOff>
      <xdr:row>62</xdr:row>
      <xdr:rowOff>190500</xdr:rowOff>
    </xdr:to>
    <xdr:pic>
      <xdr:nvPicPr>
        <xdr:cNvPr id="5" name="Picture 4" descr="C:\WINDOWS\TEMP\~0003946.gif">
          <a:extLst>
            <a:ext uri="{FF2B5EF4-FFF2-40B4-BE49-F238E27FC236}">
              <a16:creationId xmlns:a16="http://schemas.microsoft.com/office/drawing/2014/main" id="{21AA5261-452A-44CE-AAFE-168789CDE39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124777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0</xdr:colOff>
      <xdr:row>301</xdr:row>
      <xdr:rowOff>0</xdr:rowOff>
    </xdr:from>
    <xdr:to>
      <xdr:col>22</xdr:col>
      <xdr:colOff>887172</xdr:colOff>
      <xdr:row>302</xdr:row>
      <xdr:rowOff>94622</xdr:rowOff>
    </xdr:to>
    <xdr:pic>
      <xdr:nvPicPr>
        <xdr:cNvPr id="6" name="Picture 5">
          <a:extLst>
            <a:ext uri="{FF2B5EF4-FFF2-40B4-BE49-F238E27FC236}">
              <a16:creationId xmlns:a16="http://schemas.microsoft.com/office/drawing/2014/main" id="{3D60DD71-1C7E-49E3-8F90-559D730660F4}"/>
            </a:ext>
          </a:extLst>
        </xdr:cNvPr>
        <xdr:cNvPicPr>
          <a:picLocks noChangeAspect="1"/>
        </xdr:cNvPicPr>
      </xdr:nvPicPr>
      <xdr:blipFill>
        <a:blip xmlns:r="http://schemas.openxmlformats.org/officeDocument/2006/relationships" r:embed="rId3"/>
        <a:stretch>
          <a:fillRect/>
        </a:stretch>
      </xdr:blipFill>
      <xdr:spPr>
        <a:xfrm>
          <a:off x="24212550" y="60979050"/>
          <a:ext cx="883997" cy="294647"/>
        </a:xfrm>
        <a:prstGeom prst="rect">
          <a:avLst/>
        </a:prstGeom>
      </xdr:spPr>
    </xdr:pic>
    <xdr:clientData/>
  </xdr:twoCellAnchor>
  <xdr:twoCellAnchor editAs="oneCell">
    <xdr:from>
      <xdr:col>22</xdr:col>
      <xdr:colOff>0</xdr:colOff>
      <xdr:row>201</xdr:row>
      <xdr:rowOff>0</xdr:rowOff>
    </xdr:from>
    <xdr:to>
      <xdr:col>22</xdr:col>
      <xdr:colOff>887172</xdr:colOff>
      <xdr:row>202</xdr:row>
      <xdr:rowOff>94623</xdr:rowOff>
    </xdr:to>
    <xdr:pic>
      <xdr:nvPicPr>
        <xdr:cNvPr id="7" name="Picture 6">
          <a:extLst>
            <a:ext uri="{FF2B5EF4-FFF2-40B4-BE49-F238E27FC236}">
              <a16:creationId xmlns:a16="http://schemas.microsoft.com/office/drawing/2014/main" id="{F9BFB99D-021B-4216-B678-022C42BED8FF}"/>
            </a:ext>
          </a:extLst>
        </xdr:cNvPr>
        <xdr:cNvPicPr>
          <a:picLocks noChangeAspect="1"/>
        </xdr:cNvPicPr>
      </xdr:nvPicPr>
      <xdr:blipFill>
        <a:blip xmlns:r="http://schemas.openxmlformats.org/officeDocument/2006/relationships" r:embed="rId3"/>
        <a:stretch>
          <a:fillRect/>
        </a:stretch>
      </xdr:blipFill>
      <xdr:spPr>
        <a:xfrm>
          <a:off x="24212550" y="40852725"/>
          <a:ext cx="883997" cy="294648"/>
        </a:xfrm>
        <a:prstGeom prst="rect">
          <a:avLst/>
        </a:prstGeom>
      </xdr:spPr>
    </xdr:pic>
    <xdr:clientData/>
  </xdr:twoCellAnchor>
  <xdr:twoCellAnchor editAs="oneCell">
    <xdr:from>
      <xdr:col>22</xdr:col>
      <xdr:colOff>0</xdr:colOff>
      <xdr:row>135</xdr:row>
      <xdr:rowOff>0</xdr:rowOff>
    </xdr:from>
    <xdr:to>
      <xdr:col>22</xdr:col>
      <xdr:colOff>887172</xdr:colOff>
      <xdr:row>136</xdr:row>
      <xdr:rowOff>94623</xdr:rowOff>
    </xdr:to>
    <xdr:pic>
      <xdr:nvPicPr>
        <xdr:cNvPr id="8" name="Picture 7">
          <a:extLst>
            <a:ext uri="{FF2B5EF4-FFF2-40B4-BE49-F238E27FC236}">
              <a16:creationId xmlns:a16="http://schemas.microsoft.com/office/drawing/2014/main" id="{027451A0-7A63-46CE-8099-D60FCC774CEA}"/>
            </a:ext>
          </a:extLst>
        </xdr:cNvPr>
        <xdr:cNvPicPr>
          <a:picLocks noChangeAspect="1"/>
        </xdr:cNvPicPr>
      </xdr:nvPicPr>
      <xdr:blipFill>
        <a:blip xmlns:r="http://schemas.openxmlformats.org/officeDocument/2006/relationships" r:embed="rId3"/>
        <a:stretch>
          <a:fillRect/>
        </a:stretch>
      </xdr:blipFill>
      <xdr:spPr>
        <a:xfrm>
          <a:off x="24212550" y="27565350"/>
          <a:ext cx="883997" cy="294648"/>
        </a:xfrm>
        <a:prstGeom prst="rect">
          <a:avLst/>
        </a:prstGeom>
      </xdr:spPr>
    </xdr:pic>
    <xdr:clientData/>
  </xdr:twoCellAnchor>
  <xdr:twoCellAnchor editAs="oneCell">
    <xdr:from>
      <xdr:col>22</xdr:col>
      <xdr:colOff>27214</xdr:colOff>
      <xdr:row>61</xdr:row>
      <xdr:rowOff>40822</xdr:rowOff>
    </xdr:from>
    <xdr:to>
      <xdr:col>22</xdr:col>
      <xdr:colOff>908036</xdr:colOff>
      <xdr:row>62</xdr:row>
      <xdr:rowOff>135445</xdr:rowOff>
    </xdr:to>
    <xdr:pic>
      <xdr:nvPicPr>
        <xdr:cNvPr id="9" name="Picture 8">
          <a:extLst>
            <a:ext uri="{FF2B5EF4-FFF2-40B4-BE49-F238E27FC236}">
              <a16:creationId xmlns:a16="http://schemas.microsoft.com/office/drawing/2014/main" id="{DC386A42-0046-4189-B674-A04C6AB5296B}"/>
            </a:ext>
          </a:extLst>
        </xdr:cNvPr>
        <xdr:cNvPicPr>
          <a:picLocks noChangeAspect="1"/>
        </xdr:cNvPicPr>
      </xdr:nvPicPr>
      <xdr:blipFill>
        <a:blip xmlns:r="http://schemas.openxmlformats.org/officeDocument/2006/relationships" r:embed="rId3"/>
        <a:stretch>
          <a:fillRect/>
        </a:stretch>
      </xdr:blipFill>
      <xdr:spPr>
        <a:xfrm>
          <a:off x="24239764" y="12356647"/>
          <a:ext cx="883997" cy="294648"/>
        </a:xfrm>
        <a:prstGeom prst="rect">
          <a:avLst/>
        </a:prstGeom>
      </xdr:spPr>
    </xdr:pic>
    <xdr:clientData/>
  </xdr:twoCellAnchor>
  <xdr:twoCellAnchor editAs="oneCell">
    <xdr:from>
      <xdr:col>0</xdr:col>
      <xdr:colOff>163286</xdr:colOff>
      <xdr:row>61</xdr:row>
      <xdr:rowOff>136072</xdr:rowOff>
    </xdr:from>
    <xdr:to>
      <xdr:col>0</xdr:col>
      <xdr:colOff>330814</xdr:colOff>
      <xdr:row>62</xdr:row>
      <xdr:rowOff>160712</xdr:rowOff>
    </xdr:to>
    <xdr:pic>
      <xdr:nvPicPr>
        <xdr:cNvPr id="10" name="Picture 9">
          <a:extLst>
            <a:ext uri="{FF2B5EF4-FFF2-40B4-BE49-F238E27FC236}">
              <a16:creationId xmlns:a16="http://schemas.microsoft.com/office/drawing/2014/main" id="{28303EE4-CCA3-4076-8675-6D8F3CA6261C}"/>
            </a:ext>
          </a:extLst>
        </xdr:cNvPr>
        <xdr:cNvPicPr>
          <a:picLocks noChangeAspect="1"/>
        </xdr:cNvPicPr>
      </xdr:nvPicPr>
      <xdr:blipFill>
        <a:blip xmlns:r="http://schemas.openxmlformats.org/officeDocument/2006/relationships" r:embed="rId4"/>
        <a:stretch>
          <a:fillRect/>
        </a:stretch>
      </xdr:blipFill>
      <xdr:spPr>
        <a:xfrm>
          <a:off x="163286" y="12451897"/>
          <a:ext cx="170703" cy="221490"/>
        </a:xfrm>
        <a:prstGeom prst="rect">
          <a:avLst/>
        </a:prstGeom>
      </xdr:spPr>
    </xdr:pic>
    <xdr:clientData/>
  </xdr:twoCellAnchor>
  <xdr:twoCellAnchor editAs="oneCell">
    <xdr:from>
      <xdr:col>0</xdr:col>
      <xdr:colOff>217714</xdr:colOff>
      <xdr:row>135</xdr:row>
      <xdr:rowOff>40821</xdr:rowOff>
    </xdr:from>
    <xdr:to>
      <xdr:col>1</xdr:col>
      <xdr:colOff>45063</xdr:colOff>
      <xdr:row>136</xdr:row>
      <xdr:rowOff>65461</xdr:rowOff>
    </xdr:to>
    <xdr:pic>
      <xdr:nvPicPr>
        <xdr:cNvPr id="11" name="Picture 10">
          <a:extLst>
            <a:ext uri="{FF2B5EF4-FFF2-40B4-BE49-F238E27FC236}">
              <a16:creationId xmlns:a16="http://schemas.microsoft.com/office/drawing/2014/main" id="{988645EE-ECE7-4D42-9CEC-B7215C27A66D}"/>
            </a:ext>
          </a:extLst>
        </xdr:cNvPr>
        <xdr:cNvPicPr>
          <a:picLocks noChangeAspect="1"/>
        </xdr:cNvPicPr>
      </xdr:nvPicPr>
      <xdr:blipFill>
        <a:blip xmlns:r="http://schemas.openxmlformats.org/officeDocument/2006/relationships" r:embed="rId4"/>
        <a:stretch>
          <a:fillRect/>
        </a:stretch>
      </xdr:blipFill>
      <xdr:spPr>
        <a:xfrm>
          <a:off x="217714" y="27606171"/>
          <a:ext cx="173424" cy="221490"/>
        </a:xfrm>
        <a:prstGeom prst="rect">
          <a:avLst/>
        </a:prstGeom>
      </xdr:spPr>
    </xdr:pic>
    <xdr:clientData/>
  </xdr:twoCellAnchor>
  <xdr:twoCellAnchor editAs="oneCell">
    <xdr:from>
      <xdr:col>0</xdr:col>
      <xdr:colOff>190500</xdr:colOff>
      <xdr:row>201</xdr:row>
      <xdr:rowOff>136071</xdr:rowOff>
    </xdr:from>
    <xdr:to>
      <xdr:col>1</xdr:col>
      <xdr:colOff>21024</xdr:colOff>
      <xdr:row>202</xdr:row>
      <xdr:rowOff>160711</xdr:rowOff>
    </xdr:to>
    <xdr:pic>
      <xdr:nvPicPr>
        <xdr:cNvPr id="12" name="Picture 11">
          <a:extLst>
            <a:ext uri="{FF2B5EF4-FFF2-40B4-BE49-F238E27FC236}">
              <a16:creationId xmlns:a16="http://schemas.microsoft.com/office/drawing/2014/main" id="{271A930D-0A36-437C-A7E7-229B3EA21588}"/>
            </a:ext>
          </a:extLst>
        </xdr:cNvPr>
        <xdr:cNvPicPr>
          <a:picLocks noChangeAspect="1"/>
        </xdr:cNvPicPr>
      </xdr:nvPicPr>
      <xdr:blipFill>
        <a:blip xmlns:r="http://schemas.openxmlformats.org/officeDocument/2006/relationships" r:embed="rId4"/>
        <a:stretch>
          <a:fillRect/>
        </a:stretch>
      </xdr:blipFill>
      <xdr:spPr>
        <a:xfrm>
          <a:off x="190500" y="40988796"/>
          <a:ext cx="173424" cy="221490"/>
        </a:xfrm>
        <a:prstGeom prst="rect">
          <a:avLst/>
        </a:prstGeom>
      </xdr:spPr>
    </xdr:pic>
    <xdr:clientData/>
  </xdr:twoCellAnchor>
  <xdr:twoCellAnchor editAs="oneCell">
    <xdr:from>
      <xdr:col>0</xdr:col>
      <xdr:colOff>217715</xdr:colOff>
      <xdr:row>301</xdr:row>
      <xdr:rowOff>136073</xdr:rowOff>
    </xdr:from>
    <xdr:to>
      <xdr:col>1</xdr:col>
      <xdr:colOff>45064</xdr:colOff>
      <xdr:row>302</xdr:row>
      <xdr:rowOff>160712</xdr:rowOff>
    </xdr:to>
    <xdr:pic>
      <xdr:nvPicPr>
        <xdr:cNvPr id="13" name="Picture 12">
          <a:extLst>
            <a:ext uri="{FF2B5EF4-FFF2-40B4-BE49-F238E27FC236}">
              <a16:creationId xmlns:a16="http://schemas.microsoft.com/office/drawing/2014/main" id="{DD13188B-055A-425A-BE79-1992A4BEA8FF}"/>
            </a:ext>
          </a:extLst>
        </xdr:cNvPr>
        <xdr:cNvPicPr>
          <a:picLocks noChangeAspect="1"/>
        </xdr:cNvPicPr>
      </xdr:nvPicPr>
      <xdr:blipFill>
        <a:blip xmlns:r="http://schemas.openxmlformats.org/officeDocument/2006/relationships" r:embed="rId4"/>
        <a:stretch>
          <a:fillRect/>
        </a:stretch>
      </xdr:blipFill>
      <xdr:spPr>
        <a:xfrm>
          <a:off x="217715" y="61115123"/>
          <a:ext cx="173424" cy="221489"/>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22</xdr:col>
      <xdr:colOff>1095375</xdr:colOff>
      <xdr:row>304</xdr:row>
      <xdr:rowOff>123825</xdr:rowOff>
    </xdr:from>
    <xdr:to>
      <xdr:col>22</xdr:col>
      <xdr:colOff>1895475</xdr:colOff>
      <xdr:row>305</xdr:row>
      <xdr:rowOff>152400</xdr:rowOff>
    </xdr:to>
    <xdr:pic>
      <xdr:nvPicPr>
        <xdr:cNvPr id="2" name="Picture 1" descr="C:\WINDOWS\TEMP\~0003946.gif">
          <a:extLst>
            <a:ext uri="{FF2B5EF4-FFF2-40B4-BE49-F238E27FC236}">
              <a16:creationId xmlns:a16="http://schemas.microsoft.com/office/drawing/2014/main" id="{E5E04790-6374-4796-BB56-EBFE8AC33C7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61102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204</xdr:row>
      <xdr:rowOff>152400</xdr:rowOff>
    </xdr:from>
    <xdr:to>
      <xdr:col>22</xdr:col>
      <xdr:colOff>1924050</xdr:colOff>
      <xdr:row>205</xdr:row>
      <xdr:rowOff>180975</xdr:rowOff>
    </xdr:to>
    <xdr:pic>
      <xdr:nvPicPr>
        <xdr:cNvPr id="3" name="Picture 2" descr="C:\WINDOWS\TEMP\~0003946.gif">
          <a:extLst>
            <a:ext uri="{FF2B5EF4-FFF2-40B4-BE49-F238E27FC236}">
              <a16:creationId xmlns:a16="http://schemas.microsoft.com/office/drawing/2014/main" id="{3D8857AD-6DB7-48B5-97BA-2EE56855BC81}"/>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410051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138</xdr:row>
      <xdr:rowOff>161925</xdr:rowOff>
    </xdr:from>
    <xdr:to>
      <xdr:col>22</xdr:col>
      <xdr:colOff>1952625</xdr:colOff>
      <xdr:row>139</xdr:row>
      <xdr:rowOff>190500</xdr:rowOff>
    </xdr:to>
    <xdr:pic>
      <xdr:nvPicPr>
        <xdr:cNvPr id="4" name="Picture 3" descr="C:\WINDOWS\TEMP\~0003946.gif">
          <a:extLst>
            <a:ext uri="{FF2B5EF4-FFF2-40B4-BE49-F238E27FC236}">
              <a16:creationId xmlns:a16="http://schemas.microsoft.com/office/drawing/2014/main" id="{FCED0492-7412-4802-BA34-8FA40F78AFC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277272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61</xdr:row>
      <xdr:rowOff>161925</xdr:rowOff>
    </xdr:from>
    <xdr:to>
      <xdr:col>22</xdr:col>
      <xdr:colOff>1952625</xdr:colOff>
      <xdr:row>62</xdr:row>
      <xdr:rowOff>190500</xdr:rowOff>
    </xdr:to>
    <xdr:pic>
      <xdr:nvPicPr>
        <xdr:cNvPr id="5" name="Picture 4" descr="C:\WINDOWS\TEMP\~0003946.gif">
          <a:extLst>
            <a:ext uri="{FF2B5EF4-FFF2-40B4-BE49-F238E27FC236}">
              <a16:creationId xmlns:a16="http://schemas.microsoft.com/office/drawing/2014/main" id="{9581F53D-005C-46F3-90BC-B6C85100AB9B}"/>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124777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0</xdr:colOff>
      <xdr:row>304</xdr:row>
      <xdr:rowOff>0</xdr:rowOff>
    </xdr:from>
    <xdr:to>
      <xdr:col>22</xdr:col>
      <xdr:colOff>887172</xdr:colOff>
      <xdr:row>305</xdr:row>
      <xdr:rowOff>94623</xdr:rowOff>
    </xdr:to>
    <xdr:pic>
      <xdr:nvPicPr>
        <xdr:cNvPr id="6" name="Picture 5">
          <a:extLst>
            <a:ext uri="{FF2B5EF4-FFF2-40B4-BE49-F238E27FC236}">
              <a16:creationId xmlns:a16="http://schemas.microsoft.com/office/drawing/2014/main" id="{FBFC4B9E-0F88-4A6B-891D-09D3B905CF54}"/>
            </a:ext>
          </a:extLst>
        </xdr:cNvPr>
        <xdr:cNvPicPr>
          <a:picLocks noChangeAspect="1"/>
        </xdr:cNvPicPr>
      </xdr:nvPicPr>
      <xdr:blipFill>
        <a:blip xmlns:r="http://schemas.openxmlformats.org/officeDocument/2006/relationships" r:embed="rId3"/>
        <a:stretch>
          <a:fillRect/>
        </a:stretch>
      </xdr:blipFill>
      <xdr:spPr>
        <a:xfrm>
          <a:off x="24212550" y="60979050"/>
          <a:ext cx="887172" cy="294647"/>
        </a:xfrm>
        <a:prstGeom prst="rect">
          <a:avLst/>
        </a:prstGeom>
      </xdr:spPr>
    </xdr:pic>
    <xdr:clientData/>
  </xdr:twoCellAnchor>
  <xdr:twoCellAnchor editAs="oneCell">
    <xdr:from>
      <xdr:col>22</xdr:col>
      <xdr:colOff>0</xdr:colOff>
      <xdr:row>204</xdr:row>
      <xdr:rowOff>0</xdr:rowOff>
    </xdr:from>
    <xdr:to>
      <xdr:col>22</xdr:col>
      <xdr:colOff>887172</xdr:colOff>
      <xdr:row>205</xdr:row>
      <xdr:rowOff>94623</xdr:rowOff>
    </xdr:to>
    <xdr:pic>
      <xdr:nvPicPr>
        <xdr:cNvPr id="7" name="Picture 6">
          <a:extLst>
            <a:ext uri="{FF2B5EF4-FFF2-40B4-BE49-F238E27FC236}">
              <a16:creationId xmlns:a16="http://schemas.microsoft.com/office/drawing/2014/main" id="{CD4D4FC2-8EAA-4063-9AD1-9D57CA151C9F}"/>
            </a:ext>
          </a:extLst>
        </xdr:cNvPr>
        <xdr:cNvPicPr>
          <a:picLocks noChangeAspect="1"/>
        </xdr:cNvPicPr>
      </xdr:nvPicPr>
      <xdr:blipFill>
        <a:blip xmlns:r="http://schemas.openxmlformats.org/officeDocument/2006/relationships" r:embed="rId3"/>
        <a:stretch>
          <a:fillRect/>
        </a:stretch>
      </xdr:blipFill>
      <xdr:spPr>
        <a:xfrm>
          <a:off x="24212550" y="40852725"/>
          <a:ext cx="887172" cy="294648"/>
        </a:xfrm>
        <a:prstGeom prst="rect">
          <a:avLst/>
        </a:prstGeom>
      </xdr:spPr>
    </xdr:pic>
    <xdr:clientData/>
  </xdr:twoCellAnchor>
  <xdr:twoCellAnchor editAs="oneCell">
    <xdr:from>
      <xdr:col>22</xdr:col>
      <xdr:colOff>0</xdr:colOff>
      <xdr:row>138</xdr:row>
      <xdr:rowOff>0</xdr:rowOff>
    </xdr:from>
    <xdr:to>
      <xdr:col>22</xdr:col>
      <xdr:colOff>887172</xdr:colOff>
      <xdr:row>139</xdr:row>
      <xdr:rowOff>94623</xdr:rowOff>
    </xdr:to>
    <xdr:pic>
      <xdr:nvPicPr>
        <xdr:cNvPr id="8" name="Picture 7">
          <a:extLst>
            <a:ext uri="{FF2B5EF4-FFF2-40B4-BE49-F238E27FC236}">
              <a16:creationId xmlns:a16="http://schemas.microsoft.com/office/drawing/2014/main" id="{F6EA7A2E-874B-4757-A412-3C37580D00EA}"/>
            </a:ext>
          </a:extLst>
        </xdr:cNvPr>
        <xdr:cNvPicPr>
          <a:picLocks noChangeAspect="1"/>
        </xdr:cNvPicPr>
      </xdr:nvPicPr>
      <xdr:blipFill>
        <a:blip xmlns:r="http://schemas.openxmlformats.org/officeDocument/2006/relationships" r:embed="rId3"/>
        <a:stretch>
          <a:fillRect/>
        </a:stretch>
      </xdr:blipFill>
      <xdr:spPr>
        <a:xfrm>
          <a:off x="24212550" y="27565350"/>
          <a:ext cx="887172" cy="294648"/>
        </a:xfrm>
        <a:prstGeom prst="rect">
          <a:avLst/>
        </a:prstGeom>
      </xdr:spPr>
    </xdr:pic>
    <xdr:clientData/>
  </xdr:twoCellAnchor>
  <xdr:twoCellAnchor editAs="oneCell">
    <xdr:from>
      <xdr:col>22</xdr:col>
      <xdr:colOff>27214</xdr:colOff>
      <xdr:row>61</xdr:row>
      <xdr:rowOff>40822</xdr:rowOff>
    </xdr:from>
    <xdr:to>
      <xdr:col>22</xdr:col>
      <xdr:colOff>908036</xdr:colOff>
      <xdr:row>62</xdr:row>
      <xdr:rowOff>135445</xdr:rowOff>
    </xdr:to>
    <xdr:pic>
      <xdr:nvPicPr>
        <xdr:cNvPr id="9" name="Picture 8">
          <a:extLst>
            <a:ext uri="{FF2B5EF4-FFF2-40B4-BE49-F238E27FC236}">
              <a16:creationId xmlns:a16="http://schemas.microsoft.com/office/drawing/2014/main" id="{5B474333-8B85-4699-9863-F58D94A470BD}"/>
            </a:ext>
          </a:extLst>
        </xdr:cNvPr>
        <xdr:cNvPicPr>
          <a:picLocks noChangeAspect="1"/>
        </xdr:cNvPicPr>
      </xdr:nvPicPr>
      <xdr:blipFill>
        <a:blip xmlns:r="http://schemas.openxmlformats.org/officeDocument/2006/relationships" r:embed="rId3"/>
        <a:stretch>
          <a:fillRect/>
        </a:stretch>
      </xdr:blipFill>
      <xdr:spPr>
        <a:xfrm>
          <a:off x="24239764" y="12356647"/>
          <a:ext cx="880822" cy="294648"/>
        </a:xfrm>
        <a:prstGeom prst="rect">
          <a:avLst/>
        </a:prstGeom>
      </xdr:spPr>
    </xdr:pic>
    <xdr:clientData/>
  </xdr:twoCellAnchor>
  <xdr:twoCellAnchor editAs="oneCell">
    <xdr:from>
      <xdr:col>0</xdr:col>
      <xdr:colOff>163286</xdr:colOff>
      <xdr:row>61</xdr:row>
      <xdr:rowOff>136072</xdr:rowOff>
    </xdr:from>
    <xdr:to>
      <xdr:col>0</xdr:col>
      <xdr:colOff>330814</xdr:colOff>
      <xdr:row>62</xdr:row>
      <xdr:rowOff>160712</xdr:rowOff>
    </xdr:to>
    <xdr:pic>
      <xdr:nvPicPr>
        <xdr:cNvPr id="10" name="Picture 9">
          <a:extLst>
            <a:ext uri="{FF2B5EF4-FFF2-40B4-BE49-F238E27FC236}">
              <a16:creationId xmlns:a16="http://schemas.microsoft.com/office/drawing/2014/main" id="{DF67FD09-BDF9-4259-9603-4BA3D2AED2CE}"/>
            </a:ext>
          </a:extLst>
        </xdr:cNvPr>
        <xdr:cNvPicPr>
          <a:picLocks noChangeAspect="1"/>
        </xdr:cNvPicPr>
      </xdr:nvPicPr>
      <xdr:blipFill>
        <a:blip xmlns:r="http://schemas.openxmlformats.org/officeDocument/2006/relationships" r:embed="rId4"/>
        <a:stretch>
          <a:fillRect/>
        </a:stretch>
      </xdr:blipFill>
      <xdr:spPr>
        <a:xfrm>
          <a:off x="163286" y="12451897"/>
          <a:ext cx="167528" cy="224665"/>
        </a:xfrm>
        <a:prstGeom prst="rect">
          <a:avLst/>
        </a:prstGeom>
      </xdr:spPr>
    </xdr:pic>
    <xdr:clientData/>
  </xdr:twoCellAnchor>
  <xdr:twoCellAnchor editAs="oneCell">
    <xdr:from>
      <xdr:col>0</xdr:col>
      <xdr:colOff>217714</xdr:colOff>
      <xdr:row>138</xdr:row>
      <xdr:rowOff>40821</xdr:rowOff>
    </xdr:from>
    <xdr:to>
      <xdr:col>1</xdr:col>
      <xdr:colOff>45063</xdr:colOff>
      <xdr:row>139</xdr:row>
      <xdr:rowOff>65461</xdr:rowOff>
    </xdr:to>
    <xdr:pic>
      <xdr:nvPicPr>
        <xdr:cNvPr id="11" name="Picture 10">
          <a:extLst>
            <a:ext uri="{FF2B5EF4-FFF2-40B4-BE49-F238E27FC236}">
              <a16:creationId xmlns:a16="http://schemas.microsoft.com/office/drawing/2014/main" id="{A1224EB1-D355-4068-B3A9-EF874D4274CB}"/>
            </a:ext>
          </a:extLst>
        </xdr:cNvPr>
        <xdr:cNvPicPr>
          <a:picLocks noChangeAspect="1"/>
        </xdr:cNvPicPr>
      </xdr:nvPicPr>
      <xdr:blipFill>
        <a:blip xmlns:r="http://schemas.openxmlformats.org/officeDocument/2006/relationships" r:embed="rId4"/>
        <a:stretch>
          <a:fillRect/>
        </a:stretch>
      </xdr:blipFill>
      <xdr:spPr>
        <a:xfrm>
          <a:off x="217714" y="27606171"/>
          <a:ext cx="170249" cy="224665"/>
        </a:xfrm>
        <a:prstGeom prst="rect">
          <a:avLst/>
        </a:prstGeom>
      </xdr:spPr>
    </xdr:pic>
    <xdr:clientData/>
  </xdr:twoCellAnchor>
  <xdr:twoCellAnchor editAs="oneCell">
    <xdr:from>
      <xdr:col>0</xdr:col>
      <xdr:colOff>190500</xdr:colOff>
      <xdr:row>204</xdr:row>
      <xdr:rowOff>136071</xdr:rowOff>
    </xdr:from>
    <xdr:to>
      <xdr:col>1</xdr:col>
      <xdr:colOff>21024</xdr:colOff>
      <xdr:row>205</xdr:row>
      <xdr:rowOff>160711</xdr:rowOff>
    </xdr:to>
    <xdr:pic>
      <xdr:nvPicPr>
        <xdr:cNvPr id="12" name="Picture 11">
          <a:extLst>
            <a:ext uri="{FF2B5EF4-FFF2-40B4-BE49-F238E27FC236}">
              <a16:creationId xmlns:a16="http://schemas.microsoft.com/office/drawing/2014/main" id="{644E680D-3636-4ECC-B3AC-210CBB796216}"/>
            </a:ext>
          </a:extLst>
        </xdr:cNvPr>
        <xdr:cNvPicPr>
          <a:picLocks noChangeAspect="1"/>
        </xdr:cNvPicPr>
      </xdr:nvPicPr>
      <xdr:blipFill>
        <a:blip xmlns:r="http://schemas.openxmlformats.org/officeDocument/2006/relationships" r:embed="rId4"/>
        <a:stretch>
          <a:fillRect/>
        </a:stretch>
      </xdr:blipFill>
      <xdr:spPr>
        <a:xfrm>
          <a:off x="190500" y="40988796"/>
          <a:ext cx="173424" cy="224665"/>
        </a:xfrm>
        <a:prstGeom prst="rect">
          <a:avLst/>
        </a:prstGeom>
      </xdr:spPr>
    </xdr:pic>
    <xdr:clientData/>
  </xdr:twoCellAnchor>
  <xdr:twoCellAnchor editAs="oneCell">
    <xdr:from>
      <xdr:col>0</xdr:col>
      <xdr:colOff>217715</xdr:colOff>
      <xdr:row>304</xdr:row>
      <xdr:rowOff>136073</xdr:rowOff>
    </xdr:from>
    <xdr:to>
      <xdr:col>1</xdr:col>
      <xdr:colOff>45064</xdr:colOff>
      <xdr:row>305</xdr:row>
      <xdr:rowOff>160713</xdr:rowOff>
    </xdr:to>
    <xdr:pic>
      <xdr:nvPicPr>
        <xdr:cNvPr id="13" name="Picture 12">
          <a:extLst>
            <a:ext uri="{FF2B5EF4-FFF2-40B4-BE49-F238E27FC236}">
              <a16:creationId xmlns:a16="http://schemas.microsoft.com/office/drawing/2014/main" id="{452BAAE9-F67E-4D7E-81CF-F4E998F1F5F6}"/>
            </a:ext>
          </a:extLst>
        </xdr:cNvPr>
        <xdr:cNvPicPr>
          <a:picLocks noChangeAspect="1"/>
        </xdr:cNvPicPr>
      </xdr:nvPicPr>
      <xdr:blipFill>
        <a:blip xmlns:r="http://schemas.openxmlformats.org/officeDocument/2006/relationships" r:embed="rId4"/>
        <a:stretch>
          <a:fillRect/>
        </a:stretch>
      </xdr:blipFill>
      <xdr:spPr>
        <a:xfrm>
          <a:off x="217715" y="61115123"/>
          <a:ext cx="170249" cy="2246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8609" name="Picture 1" descr="C:\WINDOWS\TEMP\Symbol.gif">
          <a:extLst>
            <a:ext uri="{FF2B5EF4-FFF2-40B4-BE49-F238E27FC236}">
              <a16:creationId xmlns:a16="http://schemas.microsoft.com/office/drawing/2014/main" id="{00000000-0008-0000-0400-0000C16F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137</xdr:row>
      <xdr:rowOff>161925</xdr:rowOff>
    </xdr:from>
    <xdr:to>
      <xdr:col>1</xdr:col>
      <xdr:colOff>28575</xdr:colOff>
      <xdr:row>138</xdr:row>
      <xdr:rowOff>200025</xdr:rowOff>
    </xdr:to>
    <xdr:pic>
      <xdr:nvPicPr>
        <xdr:cNvPr id="28610" name="Picture 2" descr="C:\WINDOWS\TEMP\Symbol.gif">
          <a:extLst>
            <a:ext uri="{FF2B5EF4-FFF2-40B4-BE49-F238E27FC236}">
              <a16:creationId xmlns:a16="http://schemas.microsoft.com/office/drawing/2014/main" id="{00000000-0008-0000-0400-0000C26F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81178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202</xdr:row>
      <xdr:rowOff>171450</xdr:rowOff>
    </xdr:from>
    <xdr:to>
      <xdr:col>1</xdr:col>
      <xdr:colOff>47625</xdr:colOff>
      <xdr:row>203</xdr:row>
      <xdr:rowOff>209550</xdr:rowOff>
    </xdr:to>
    <xdr:pic>
      <xdr:nvPicPr>
        <xdr:cNvPr id="28611" name="Picture 3" descr="C:\WINDOWS\TEMP\Symbol.gif">
          <a:extLst>
            <a:ext uri="{FF2B5EF4-FFF2-40B4-BE49-F238E27FC236}">
              <a16:creationId xmlns:a16="http://schemas.microsoft.com/office/drawing/2014/main" id="{00000000-0008-0000-0400-0000C36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47625" y="41214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286</xdr:row>
      <xdr:rowOff>161925</xdr:rowOff>
    </xdr:from>
    <xdr:to>
      <xdr:col>1</xdr:col>
      <xdr:colOff>19050</xdr:colOff>
      <xdr:row>287</xdr:row>
      <xdr:rowOff>200025</xdr:rowOff>
    </xdr:to>
    <xdr:pic>
      <xdr:nvPicPr>
        <xdr:cNvPr id="28612" name="Picture 4" descr="C:\WINDOWS\TEMP\Symbol.gif">
          <a:extLst>
            <a:ext uri="{FF2B5EF4-FFF2-40B4-BE49-F238E27FC236}">
              <a16:creationId xmlns:a16="http://schemas.microsoft.com/office/drawing/2014/main" id="{00000000-0008-0000-0400-0000C46F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0929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286</xdr:row>
      <xdr:rowOff>123825</xdr:rowOff>
    </xdr:from>
    <xdr:to>
      <xdr:col>22</xdr:col>
      <xdr:colOff>1895475</xdr:colOff>
      <xdr:row>287</xdr:row>
      <xdr:rowOff>152400</xdr:rowOff>
    </xdr:to>
    <xdr:pic>
      <xdr:nvPicPr>
        <xdr:cNvPr id="28613" name="Picture 5" descr="C:\WINDOWS\TEMP\~0003946.gif">
          <a:extLst>
            <a:ext uri="{FF2B5EF4-FFF2-40B4-BE49-F238E27FC236}">
              <a16:creationId xmlns:a16="http://schemas.microsoft.com/office/drawing/2014/main" id="{00000000-0008-0000-0400-0000C56F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58054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202</xdr:row>
      <xdr:rowOff>152400</xdr:rowOff>
    </xdr:from>
    <xdr:to>
      <xdr:col>22</xdr:col>
      <xdr:colOff>1924050</xdr:colOff>
      <xdr:row>203</xdr:row>
      <xdr:rowOff>180975</xdr:rowOff>
    </xdr:to>
    <xdr:pic>
      <xdr:nvPicPr>
        <xdr:cNvPr id="28614" name="Picture 6" descr="C:\WINDOWS\TEMP\~0003946.gif">
          <a:extLst>
            <a:ext uri="{FF2B5EF4-FFF2-40B4-BE49-F238E27FC236}">
              <a16:creationId xmlns:a16="http://schemas.microsoft.com/office/drawing/2014/main" id="{00000000-0008-0000-0400-0000C66F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41195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137</xdr:row>
      <xdr:rowOff>161925</xdr:rowOff>
    </xdr:from>
    <xdr:to>
      <xdr:col>22</xdr:col>
      <xdr:colOff>1952625</xdr:colOff>
      <xdr:row>138</xdr:row>
      <xdr:rowOff>190500</xdr:rowOff>
    </xdr:to>
    <xdr:pic>
      <xdr:nvPicPr>
        <xdr:cNvPr id="28615" name="Picture 7" descr="C:\WINDOWS\TEMP\~0003946.gif">
          <a:extLst>
            <a:ext uri="{FF2B5EF4-FFF2-40B4-BE49-F238E27FC236}">
              <a16:creationId xmlns:a16="http://schemas.microsoft.com/office/drawing/2014/main" id="{00000000-0008-0000-0400-0000C76F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222200" y="28117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28616" name="Picture 8" descr="C:\WINDOWS\TEMP\~0003946.gif">
          <a:extLst>
            <a:ext uri="{FF2B5EF4-FFF2-40B4-BE49-F238E27FC236}">
              <a16:creationId xmlns:a16="http://schemas.microsoft.com/office/drawing/2014/main" id="{00000000-0008-0000-0400-0000C86F0000}"/>
            </a:ext>
          </a:extLst>
        </xdr:cNvPr>
        <xdr:cNvPicPr>
          <a:picLocks noChangeAspect="1" noChangeArrowheads="1"/>
        </xdr:cNvPicPr>
      </xdr:nvPicPr>
      <xdr:blipFill>
        <a:blip xmlns:r="http://schemas.openxmlformats.org/officeDocument/2006/relationships" r:link="rId4">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28617" name="Picture 9" descr="C:\WINDOWS\TEMP\~0003946.gif">
          <a:extLst>
            <a:ext uri="{FF2B5EF4-FFF2-40B4-BE49-F238E27FC236}">
              <a16:creationId xmlns:a16="http://schemas.microsoft.com/office/drawing/2014/main" id="{00000000-0008-0000-0400-0000C96F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137</xdr:row>
      <xdr:rowOff>123825</xdr:rowOff>
    </xdr:from>
    <xdr:to>
      <xdr:col>22</xdr:col>
      <xdr:colOff>895350</xdr:colOff>
      <xdr:row>138</xdr:row>
      <xdr:rowOff>152400</xdr:rowOff>
    </xdr:to>
    <xdr:pic>
      <xdr:nvPicPr>
        <xdr:cNvPr id="28618" name="Picture 10" descr="C:\WINDOWS\TEMP\~0003946.gif">
          <a:extLst>
            <a:ext uri="{FF2B5EF4-FFF2-40B4-BE49-F238E27FC236}">
              <a16:creationId xmlns:a16="http://schemas.microsoft.com/office/drawing/2014/main" id="{00000000-0008-0000-0400-0000CA6F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280797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202</xdr:row>
      <xdr:rowOff>104775</xdr:rowOff>
    </xdr:from>
    <xdr:to>
      <xdr:col>22</xdr:col>
      <xdr:colOff>809625</xdr:colOff>
      <xdr:row>203</xdr:row>
      <xdr:rowOff>133350</xdr:rowOff>
    </xdr:to>
    <xdr:pic>
      <xdr:nvPicPr>
        <xdr:cNvPr id="28619" name="Picture 11" descr="C:\WINDOWS\TEMP\~0003946.gif">
          <a:extLst>
            <a:ext uri="{FF2B5EF4-FFF2-40B4-BE49-F238E27FC236}">
              <a16:creationId xmlns:a16="http://schemas.microsoft.com/office/drawing/2014/main" id="{00000000-0008-0000-0400-0000CB6F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222075" y="4114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286</xdr:row>
      <xdr:rowOff>104775</xdr:rowOff>
    </xdr:from>
    <xdr:to>
      <xdr:col>22</xdr:col>
      <xdr:colOff>895350</xdr:colOff>
      <xdr:row>287</xdr:row>
      <xdr:rowOff>133350</xdr:rowOff>
    </xdr:to>
    <xdr:pic>
      <xdr:nvPicPr>
        <xdr:cNvPr id="28620" name="Picture 12" descr="C:\WINDOWS\TEMP\~0003946.gif">
          <a:extLst>
            <a:ext uri="{FF2B5EF4-FFF2-40B4-BE49-F238E27FC236}">
              <a16:creationId xmlns:a16="http://schemas.microsoft.com/office/drawing/2014/main" id="{00000000-0008-0000-0400-0000CC6F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4307800" y="580358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28621" name="Picture 13" descr="logoMTL">
          <a:extLst>
            <a:ext uri="{FF2B5EF4-FFF2-40B4-BE49-F238E27FC236}">
              <a16:creationId xmlns:a16="http://schemas.microsoft.com/office/drawing/2014/main" id="{00000000-0008-0000-0400-0000CD6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137</xdr:row>
      <xdr:rowOff>38100</xdr:rowOff>
    </xdr:from>
    <xdr:to>
      <xdr:col>21</xdr:col>
      <xdr:colOff>1171575</xdr:colOff>
      <xdr:row>138</xdr:row>
      <xdr:rowOff>161925</xdr:rowOff>
    </xdr:to>
    <xdr:pic>
      <xdr:nvPicPr>
        <xdr:cNvPr id="28622" name="Picture 14" descr="logoMTL">
          <a:extLst>
            <a:ext uri="{FF2B5EF4-FFF2-40B4-BE49-F238E27FC236}">
              <a16:creationId xmlns:a16="http://schemas.microsoft.com/office/drawing/2014/main" id="{00000000-0008-0000-0400-0000CE6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279939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202</xdr:row>
      <xdr:rowOff>28575</xdr:rowOff>
    </xdr:from>
    <xdr:to>
      <xdr:col>21</xdr:col>
      <xdr:colOff>1171575</xdr:colOff>
      <xdr:row>203</xdr:row>
      <xdr:rowOff>152400</xdr:rowOff>
    </xdr:to>
    <xdr:pic>
      <xdr:nvPicPr>
        <xdr:cNvPr id="28623" name="Picture 15" descr="logoMTL">
          <a:extLst>
            <a:ext uri="{FF2B5EF4-FFF2-40B4-BE49-F238E27FC236}">
              <a16:creationId xmlns:a16="http://schemas.microsoft.com/office/drawing/2014/main" id="{00000000-0008-0000-0400-0000CF6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26725" y="41071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286</xdr:row>
      <xdr:rowOff>0</xdr:rowOff>
    </xdr:from>
    <xdr:to>
      <xdr:col>21</xdr:col>
      <xdr:colOff>1228725</xdr:colOff>
      <xdr:row>287</xdr:row>
      <xdr:rowOff>123825</xdr:rowOff>
    </xdr:to>
    <xdr:pic>
      <xdr:nvPicPr>
        <xdr:cNvPr id="28624" name="Picture 16" descr="logoMTL">
          <a:extLst>
            <a:ext uri="{FF2B5EF4-FFF2-40B4-BE49-F238E27FC236}">
              <a16:creationId xmlns:a16="http://schemas.microsoft.com/office/drawing/2014/main" id="{00000000-0008-0000-0400-0000D06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74350" y="579310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22</xdr:col>
      <xdr:colOff>1095375</xdr:colOff>
      <xdr:row>304</xdr:row>
      <xdr:rowOff>123825</xdr:rowOff>
    </xdr:from>
    <xdr:to>
      <xdr:col>22</xdr:col>
      <xdr:colOff>1895475</xdr:colOff>
      <xdr:row>305</xdr:row>
      <xdr:rowOff>152400</xdr:rowOff>
    </xdr:to>
    <xdr:pic>
      <xdr:nvPicPr>
        <xdr:cNvPr id="2" name="Picture 1" descr="C:\WINDOWS\TEMP\~0003946.gif">
          <a:extLst>
            <a:ext uri="{FF2B5EF4-FFF2-40B4-BE49-F238E27FC236}">
              <a16:creationId xmlns:a16="http://schemas.microsoft.com/office/drawing/2014/main" id="{A370E27F-1CA5-4FCF-B716-4C0C7D18908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61702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204</xdr:row>
      <xdr:rowOff>152400</xdr:rowOff>
    </xdr:from>
    <xdr:to>
      <xdr:col>22</xdr:col>
      <xdr:colOff>1924050</xdr:colOff>
      <xdr:row>205</xdr:row>
      <xdr:rowOff>180975</xdr:rowOff>
    </xdr:to>
    <xdr:pic>
      <xdr:nvPicPr>
        <xdr:cNvPr id="3" name="Picture 2" descr="C:\WINDOWS\TEMP\~0003946.gif">
          <a:extLst>
            <a:ext uri="{FF2B5EF4-FFF2-40B4-BE49-F238E27FC236}">
              <a16:creationId xmlns:a16="http://schemas.microsoft.com/office/drawing/2014/main" id="{4B0E4C0F-BCEA-426A-8FC8-C96F6793216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41605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138</xdr:row>
      <xdr:rowOff>161925</xdr:rowOff>
    </xdr:from>
    <xdr:to>
      <xdr:col>22</xdr:col>
      <xdr:colOff>1952625</xdr:colOff>
      <xdr:row>139</xdr:row>
      <xdr:rowOff>190500</xdr:rowOff>
    </xdr:to>
    <xdr:pic>
      <xdr:nvPicPr>
        <xdr:cNvPr id="4" name="Picture 3" descr="C:\WINDOWS\TEMP\~0003946.gif">
          <a:extLst>
            <a:ext uri="{FF2B5EF4-FFF2-40B4-BE49-F238E27FC236}">
              <a16:creationId xmlns:a16="http://schemas.microsoft.com/office/drawing/2014/main" id="{F728094E-408C-491D-9A5C-B772E9CA32B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283273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61</xdr:row>
      <xdr:rowOff>161925</xdr:rowOff>
    </xdr:from>
    <xdr:to>
      <xdr:col>22</xdr:col>
      <xdr:colOff>1952625</xdr:colOff>
      <xdr:row>62</xdr:row>
      <xdr:rowOff>190500</xdr:rowOff>
    </xdr:to>
    <xdr:pic>
      <xdr:nvPicPr>
        <xdr:cNvPr id="5" name="Picture 4" descr="C:\WINDOWS\TEMP\~0003946.gif">
          <a:extLst>
            <a:ext uri="{FF2B5EF4-FFF2-40B4-BE49-F238E27FC236}">
              <a16:creationId xmlns:a16="http://schemas.microsoft.com/office/drawing/2014/main" id="{7AFA435C-9891-4457-8222-78BB11F1C0A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124777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0</xdr:colOff>
      <xdr:row>304</xdr:row>
      <xdr:rowOff>0</xdr:rowOff>
    </xdr:from>
    <xdr:to>
      <xdr:col>22</xdr:col>
      <xdr:colOff>887172</xdr:colOff>
      <xdr:row>305</xdr:row>
      <xdr:rowOff>94623</xdr:rowOff>
    </xdr:to>
    <xdr:pic>
      <xdr:nvPicPr>
        <xdr:cNvPr id="6" name="Picture 5">
          <a:extLst>
            <a:ext uri="{FF2B5EF4-FFF2-40B4-BE49-F238E27FC236}">
              <a16:creationId xmlns:a16="http://schemas.microsoft.com/office/drawing/2014/main" id="{467E5EA7-F64E-4B2F-B853-09B296057B96}"/>
            </a:ext>
          </a:extLst>
        </xdr:cNvPr>
        <xdr:cNvPicPr>
          <a:picLocks noChangeAspect="1"/>
        </xdr:cNvPicPr>
      </xdr:nvPicPr>
      <xdr:blipFill>
        <a:blip xmlns:r="http://schemas.openxmlformats.org/officeDocument/2006/relationships" r:embed="rId3"/>
        <a:stretch>
          <a:fillRect/>
        </a:stretch>
      </xdr:blipFill>
      <xdr:spPr>
        <a:xfrm>
          <a:off x="24212550" y="61579125"/>
          <a:ext cx="887172" cy="294648"/>
        </a:xfrm>
        <a:prstGeom prst="rect">
          <a:avLst/>
        </a:prstGeom>
      </xdr:spPr>
    </xdr:pic>
    <xdr:clientData/>
  </xdr:twoCellAnchor>
  <xdr:twoCellAnchor editAs="oneCell">
    <xdr:from>
      <xdr:col>22</xdr:col>
      <xdr:colOff>0</xdr:colOff>
      <xdr:row>204</xdr:row>
      <xdr:rowOff>0</xdr:rowOff>
    </xdr:from>
    <xdr:to>
      <xdr:col>22</xdr:col>
      <xdr:colOff>887172</xdr:colOff>
      <xdr:row>205</xdr:row>
      <xdr:rowOff>94623</xdr:rowOff>
    </xdr:to>
    <xdr:pic>
      <xdr:nvPicPr>
        <xdr:cNvPr id="7" name="Picture 6">
          <a:extLst>
            <a:ext uri="{FF2B5EF4-FFF2-40B4-BE49-F238E27FC236}">
              <a16:creationId xmlns:a16="http://schemas.microsoft.com/office/drawing/2014/main" id="{57AD9E2A-EC8A-45C3-A7B6-B00809FC771B}"/>
            </a:ext>
          </a:extLst>
        </xdr:cNvPr>
        <xdr:cNvPicPr>
          <a:picLocks noChangeAspect="1"/>
        </xdr:cNvPicPr>
      </xdr:nvPicPr>
      <xdr:blipFill>
        <a:blip xmlns:r="http://schemas.openxmlformats.org/officeDocument/2006/relationships" r:embed="rId3"/>
        <a:stretch>
          <a:fillRect/>
        </a:stretch>
      </xdr:blipFill>
      <xdr:spPr>
        <a:xfrm>
          <a:off x="24212550" y="41452800"/>
          <a:ext cx="887172" cy="294648"/>
        </a:xfrm>
        <a:prstGeom prst="rect">
          <a:avLst/>
        </a:prstGeom>
      </xdr:spPr>
    </xdr:pic>
    <xdr:clientData/>
  </xdr:twoCellAnchor>
  <xdr:twoCellAnchor editAs="oneCell">
    <xdr:from>
      <xdr:col>22</xdr:col>
      <xdr:colOff>0</xdr:colOff>
      <xdr:row>138</xdr:row>
      <xdr:rowOff>0</xdr:rowOff>
    </xdr:from>
    <xdr:to>
      <xdr:col>22</xdr:col>
      <xdr:colOff>887172</xdr:colOff>
      <xdr:row>139</xdr:row>
      <xdr:rowOff>94623</xdr:rowOff>
    </xdr:to>
    <xdr:pic>
      <xdr:nvPicPr>
        <xdr:cNvPr id="8" name="Picture 7">
          <a:extLst>
            <a:ext uri="{FF2B5EF4-FFF2-40B4-BE49-F238E27FC236}">
              <a16:creationId xmlns:a16="http://schemas.microsoft.com/office/drawing/2014/main" id="{703BEE83-BB50-431E-88C8-F2368CFC6C03}"/>
            </a:ext>
          </a:extLst>
        </xdr:cNvPr>
        <xdr:cNvPicPr>
          <a:picLocks noChangeAspect="1"/>
        </xdr:cNvPicPr>
      </xdr:nvPicPr>
      <xdr:blipFill>
        <a:blip xmlns:r="http://schemas.openxmlformats.org/officeDocument/2006/relationships" r:embed="rId3"/>
        <a:stretch>
          <a:fillRect/>
        </a:stretch>
      </xdr:blipFill>
      <xdr:spPr>
        <a:xfrm>
          <a:off x="24212550" y="28165425"/>
          <a:ext cx="887172" cy="294648"/>
        </a:xfrm>
        <a:prstGeom prst="rect">
          <a:avLst/>
        </a:prstGeom>
      </xdr:spPr>
    </xdr:pic>
    <xdr:clientData/>
  </xdr:twoCellAnchor>
  <xdr:twoCellAnchor editAs="oneCell">
    <xdr:from>
      <xdr:col>22</xdr:col>
      <xdr:colOff>27214</xdr:colOff>
      <xdr:row>61</xdr:row>
      <xdr:rowOff>40822</xdr:rowOff>
    </xdr:from>
    <xdr:to>
      <xdr:col>22</xdr:col>
      <xdr:colOff>908036</xdr:colOff>
      <xdr:row>62</xdr:row>
      <xdr:rowOff>135445</xdr:rowOff>
    </xdr:to>
    <xdr:pic>
      <xdr:nvPicPr>
        <xdr:cNvPr id="9" name="Picture 8">
          <a:extLst>
            <a:ext uri="{FF2B5EF4-FFF2-40B4-BE49-F238E27FC236}">
              <a16:creationId xmlns:a16="http://schemas.microsoft.com/office/drawing/2014/main" id="{7353C6DE-4824-425D-BCBE-58F04C41934B}"/>
            </a:ext>
          </a:extLst>
        </xdr:cNvPr>
        <xdr:cNvPicPr>
          <a:picLocks noChangeAspect="1"/>
        </xdr:cNvPicPr>
      </xdr:nvPicPr>
      <xdr:blipFill>
        <a:blip xmlns:r="http://schemas.openxmlformats.org/officeDocument/2006/relationships" r:embed="rId3"/>
        <a:stretch>
          <a:fillRect/>
        </a:stretch>
      </xdr:blipFill>
      <xdr:spPr>
        <a:xfrm>
          <a:off x="24239764" y="12356647"/>
          <a:ext cx="880822" cy="294648"/>
        </a:xfrm>
        <a:prstGeom prst="rect">
          <a:avLst/>
        </a:prstGeom>
      </xdr:spPr>
    </xdr:pic>
    <xdr:clientData/>
  </xdr:twoCellAnchor>
  <xdr:twoCellAnchor editAs="oneCell">
    <xdr:from>
      <xdr:col>0</xdr:col>
      <xdr:colOff>163286</xdr:colOff>
      <xdr:row>61</xdr:row>
      <xdr:rowOff>136072</xdr:rowOff>
    </xdr:from>
    <xdr:to>
      <xdr:col>0</xdr:col>
      <xdr:colOff>330814</xdr:colOff>
      <xdr:row>62</xdr:row>
      <xdr:rowOff>160712</xdr:rowOff>
    </xdr:to>
    <xdr:pic>
      <xdr:nvPicPr>
        <xdr:cNvPr id="10" name="Picture 9">
          <a:extLst>
            <a:ext uri="{FF2B5EF4-FFF2-40B4-BE49-F238E27FC236}">
              <a16:creationId xmlns:a16="http://schemas.microsoft.com/office/drawing/2014/main" id="{1EC8E391-547E-4A88-A628-7A0F7E057911}"/>
            </a:ext>
          </a:extLst>
        </xdr:cNvPr>
        <xdr:cNvPicPr>
          <a:picLocks noChangeAspect="1"/>
        </xdr:cNvPicPr>
      </xdr:nvPicPr>
      <xdr:blipFill>
        <a:blip xmlns:r="http://schemas.openxmlformats.org/officeDocument/2006/relationships" r:embed="rId4"/>
        <a:stretch>
          <a:fillRect/>
        </a:stretch>
      </xdr:blipFill>
      <xdr:spPr>
        <a:xfrm>
          <a:off x="163286" y="12451897"/>
          <a:ext cx="167528" cy="224665"/>
        </a:xfrm>
        <a:prstGeom prst="rect">
          <a:avLst/>
        </a:prstGeom>
      </xdr:spPr>
    </xdr:pic>
    <xdr:clientData/>
  </xdr:twoCellAnchor>
  <xdr:twoCellAnchor editAs="oneCell">
    <xdr:from>
      <xdr:col>0</xdr:col>
      <xdr:colOff>217714</xdr:colOff>
      <xdr:row>138</xdr:row>
      <xdr:rowOff>40821</xdr:rowOff>
    </xdr:from>
    <xdr:to>
      <xdr:col>1</xdr:col>
      <xdr:colOff>45063</xdr:colOff>
      <xdr:row>139</xdr:row>
      <xdr:rowOff>65461</xdr:rowOff>
    </xdr:to>
    <xdr:pic>
      <xdr:nvPicPr>
        <xdr:cNvPr id="11" name="Picture 10">
          <a:extLst>
            <a:ext uri="{FF2B5EF4-FFF2-40B4-BE49-F238E27FC236}">
              <a16:creationId xmlns:a16="http://schemas.microsoft.com/office/drawing/2014/main" id="{6AC72D2A-0931-4999-93ED-7FFCCBC1B7B6}"/>
            </a:ext>
          </a:extLst>
        </xdr:cNvPr>
        <xdr:cNvPicPr>
          <a:picLocks noChangeAspect="1"/>
        </xdr:cNvPicPr>
      </xdr:nvPicPr>
      <xdr:blipFill>
        <a:blip xmlns:r="http://schemas.openxmlformats.org/officeDocument/2006/relationships" r:embed="rId4"/>
        <a:stretch>
          <a:fillRect/>
        </a:stretch>
      </xdr:blipFill>
      <xdr:spPr>
        <a:xfrm>
          <a:off x="217714" y="28206246"/>
          <a:ext cx="170249" cy="224665"/>
        </a:xfrm>
        <a:prstGeom prst="rect">
          <a:avLst/>
        </a:prstGeom>
      </xdr:spPr>
    </xdr:pic>
    <xdr:clientData/>
  </xdr:twoCellAnchor>
  <xdr:twoCellAnchor editAs="oneCell">
    <xdr:from>
      <xdr:col>0</xdr:col>
      <xdr:colOff>190500</xdr:colOff>
      <xdr:row>204</xdr:row>
      <xdr:rowOff>136071</xdr:rowOff>
    </xdr:from>
    <xdr:to>
      <xdr:col>1</xdr:col>
      <xdr:colOff>21024</xdr:colOff>
      <xdr:row>205</xdr:row>
      <xdr:rowOff>160711</xdr:rowOff>
    </xdr:to>
    <xdr:pic>
      <xdr:nvPicPr>
        <xdr:cNvPr id="12" name="Picture 11">
          <a:extLst>
            <a:ext uri="{FF2B5EF4-FFF2-40B4-BE49-F238E27FC236}">
              <a16:creationId xmlns:a16="http://schemas.microsoft.com/office/drawing/2014/main" id="{6499EC7D-D178-41B1-B6C1-8D8E6D32F8FB}"/>
            </a:ext>
          </a:extLst>
        </xdr:cNvPr>
        <xdr:cNvPicPr>
          <a:picLocks noChangeAspect="1"/>
        </xdr:cNvPicPr>
      </xdr:nvPicPr>
      <xdr:blipFill>
        <a:blip xmlns:r="http://schemas.openxmlformats.org/officeDocument/2006/relationships" r:embed="rId4"/>
        <a:stretch>
          <a:fillRect/>
        </a:stretch>
      </xdr:blipFill>
      <xdr:spPr>
        <a:xfrm>
          <a:off x="190500" y="41588871"/>
          <a:ext cx="173424" cy="224665"/>
        </a:xfrm>
        <a:prstGeom prst="rect">
          <a:avLst/>
        </a:prstGeom>
      </xdr:spPr>
    </xdr:pic>
    <xdr:clientData/>
  </xdr:twoCellAnchor>
  <xdr:twoCellAnchor editAs="oneCell">
    <xdr:from>
      <xdr:col>0</xdr:col>
      <xdr:colOff>217715</xdr:colOff>
      <xdr:row>304</xdr:row>
      <xdr:rowOff>136073</xdr:rowOff>
    </xdr:from>
    <xdr:to>
      <xdr:col>1</xdr:col>
      <xdr:colOff>45064</xdr:colOff>
      <xdr:row>305</xdr:row>
      <xdr:rowOff>160713</xdr:rowOff>
    </xdr:to>
    <xdr:pic>
      <xdr:nvPicPr>
        <xdr:cNvPr id="13" name="Picture 12">
          <a:extLst>
            <a:ext uri="{FF2B5EF4-FFF2-40B4-BE49-F238E27FC236}">
              <a16:creationId xmlns:a16="http://schemas.microsoft.com/office/drawing/2014/main" id="{6D0A8AB8-F3A8-4C42-98A9-6A4B332F041F}"/>
            </a:ext>
          </a:extLst>
        </xdr:cNvPr>
        <xdr:cNvPicPr>
          <a:picLocks noChangeAspect="1"/>
        </xdr:cNvPicPr>
      </xdr:nvPicPr>
      <xdr:blipFill>
        <a:blip xmlns:r="http://schemas.openxmlformats.org/officeDocument/2006/relationships" r:embed="rId4"/>
        <a:stretch>
          <a:fillRect/>
        </a:stretch>
      </xdr:blipFill>
      <xdr:spPr>
        <a:xfrm>
          <a:off x="217715" y="61715198"/>
          <a:ext cx="170249" cy="224665"/>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22</xdr:col>
      <xdr:colOff>1095375</xdr:colOff>
      <xdr:row>304</xdr:row>
      <xdr:rowOff>123825</xdr:rowOff>
    </xdr:from>
    <xdr:to>
      <xdr:col>22</xdr:col>
      <xdr:colOff>1895475</xdr:colOff>
      <xdr:row>305</xdr:row>
      <xdr:rowOff>152400</xdr:rowOff>
    </xdr:to>
    <xdr:pic>
      <xdr:nvPicPr>
        <xdr:cNvPr id="2" name="Picture 1" descr="C:\WINDOWS\TEMP\~0003946.gif">
          <a:extLst>
            <a:ext uri="{FF2B5EF4-FFF2-40B4-BE49-F238E27FC236}">
              <a16:creationId xmlns:a16="http://schemas.microsoft.com/office/drawing/2014/main" id="{6666068C-D22E-40AC-998E-4D1668C6846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61702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204</xdr:row>
      <xdr:rowOff>152400</xdr:rowOff>
    </xdr:from>
    <xdr:to>
      <xdr:col>22</xdr:col>
      <xdr:colOff>1924050</xdr:colOff>
      <xdr:row>205</xdr:row>
      <xdr:rowOff>180975</xdr:rowOff>
    </xdr:to>
    <xdr:pic>
      <xdr:nvPicPr>
        <xdr:cNvPr id="3" name="Picture 2" descr="C:\WINDOWS\TEMP\~0003946.gif">
          <a:extLst>
            <a:ext uri="{FF2B5EF4-FFF2-40B4-BE49-F238E27FC236}">
              <a16:creationId xmlns:a16="http://schemas.microsoft.com/office/drawing/2014/main" id="{710B4CFB-D1A4-4901-8415-B06DDF9B446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41605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138</xdr:row>
      <xdr:rowOff>161925</xdr:rowOff>
    </xdr:from>
    <xdr:to>
      <xdr:col>22</xdr:col>
      <xdr:colOff>1952625</xdr:colOff>
      <xdr:row>139</xdr:row>
      <xdr:rowOff>190500</xdr:rowOff>
    </xdr:to>
    <xdr:pic>
      <xdr:nvPicPr>
        <xdr:cNvPr id="4" name="Picture 3" descr="C:\WINDOWS\TEMP\~0003946.gif">
          <a:extLst>
            <a:ext uri="{FF2B5EF4-FFF2-40B4-BE49-F238E27FC236}">
              <a16:creationId xmlns:a16="http://schemas.microsoft.com/office/drawing/2014/main" id="{B9451515-9D3A-4639-BB9D-C71FBDC5446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283273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61</xdr:row>
      <xdr:rowOff>161925</xdr:rowOff>
    </xdr:from>
    <xdr:to>
      <xdr:col>22</xdr:col>
      <xdr:colOff>1952625</xdr:colOff>
      <xdr:row>62</xdr:row>
      <xdr:rowOff>190500</xdr:rowOff>
    </xdr:to>
    <xdr:pic>
      <xdr:nvPicPr>
        <xdr:cNvPr id="5" name="Picture 4" descr="C:\WINDOWS\TEMP\~0003946.gif">
          <a:extLst>
            <a:ext uri="{FF2B5EF4-FFF2-40B4-BE49-F238E27FC236}">
              <a16:creationId xmlns:a16="http://schemas.microsoft.com/office/drawing/2014/main" id="{E3A4FD63-6B3D-4BFF-B98F-10992DAC572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5222200" y="124777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0</xdr:colOff>
      <xdr:row>304</xdr:row>
      <xdr:rowOff>0</xdr:rowOff>
    </xdr:from>
    <xdr:to>
      <xdr:col>22</xdr:col>
      <xdr:colOff>887172</xdr:colOff>
      <xdr:row>305</xdr:row>
      <xdr:rowOff>94623</xdr:rowOff>
    </xdr:to>
    <xdr:pic>
      <xdr:nvPicPr>
        <xdr:cNvPr id="6" name="Picture 5">
          <a:extLst>
            <a:ext uri="{FF2B5EF4-FFF2-40B4-BE49-F238E27FC236}">
              <a16:creationId xmlns:a16="http://schemas.microsoft.com/office/drawing/2014/main" id="{C81626A6-EFF3-41DD-88E0-C61B58B4A0FC}"/>
            </a:ext>
          </a:extLst>
        </xdr:cNvPr>
        <xdr:cNvPicPr>
          <a:picLocks noChangeAspect="1"/>
        </xdr:cNvPicPr>
      </xdr:nvPicPr>
      <xdr:blipFill>
        <a:blip xmlns:r="http://schemas.openxmlformats.org/officeDocument/2006/relationships" r:embed="rId3"/>
        <a:stretch>
          <a:fillRect/>
        </a:stretch>
      </xdr:blipFill>
      <xdr:spPr>
        <a:xfrm>
          <a:off x="24212550" y="61579125"/>
          <a:ext cx="887172" cy="294648"/>
        </a:xfrm>
        <a:prstGeom prst="rect">
          <a:avLst/>
        </a:prstGeom>
      </xdr:spPr>
    </xdr:pic>
    <xdr:clientData/>
  </xdr:twoCellAnchor>
  <xdr:twoCellAnchor editAs="oneCell">
    <xdr:from>
      <xdr:col>22</xdr:col>
      <xdr:colOff>0</xdr:colOff>
      <xdr:row>204</xdr:row>
      <xdr:rowOff>0</xdr:rowOff>
    </xdr:from>
    <xdr:to>
      <xdr:col>22</xdr:col>
      <xdr:colOff>887172</xdr:colOff>
      <xdr:row>205</xdr:row>
      <xdr:rowOff>94623</xdr:rowOff>
    </xdr:to>
    <xdr:pic>
      <xdr:nvPicPr>
        <xdr:cNvPr id="7" name="Picture 6">
          <a:extLst>
            <a:ext uri="{FF2B5EF4-FFF2-40B4-BE49-F238E27FC236}">
              <a16:creationId xmlns:a16="http://schemas.microsoft.com/office/drawing/2014/main" id="{9D7BBAAB-C6DE-4927-95B3-B638DCC770D4}"/>
            </a:ext>
          </a:extLst>
        </xdr:cNvPr>
        <xdr:cNvPicPr>
          <a:picLocks noChangeAspect="1"/>
        </xdr:cNvPicPr>
      </xdr:nvPicPr>
      <xdr:blipFill>
        <a:blip xmlns:r="http://schemas.openxmlformats.org/officeDocument/2006/relationships" r:embed="rId3"/>
        <a:stretch>
          <a:fillRect/>
        </a:stretch>
      </xdr:blipFill>
      <xdr:spPr>
        <a:xfrm>
          <a:off x="24212550" y="41452800"/>
          <a:ext cx="887172" cy="294648"/>
        </a:xfrm>
        <a:prstGeom prst="rect">
          <a:avLst/>
        </a:prstGeom>
      </xdr:spPr>
    </xdr:pic>
    <xdr:clientData/>
  </xdr:twoCellAnchor>
  <xdr:twoCellAnchor editAs="oneCell">
    <xdr:from>
      <xdr:col>22</xdr:col>
      <xdr:colOff>0</xdr:colOff>
      <xdr:row>138</xdr:row>
      <xdr:rowOff>0</xdr:rowOff>
    </xdr:from>
    <xdr:to>
      <xdr:col>22</xdr:col>
      <xdr:colOff>887172</xdr:colOff>
      <xdr:row>139</xdr:row>
      <xdr:rowOff>94623</xdr:rowOff>
    </xdr:to>
    <xdr:pic>
      <xdr:nvPicPr>
        <xdr:cNvPr id="8" name="Picture 7">
          <a:extLst>
            <a:ext uri="{FF2B5EF4-FFF2-40B4-BE49-F238E27FC236}">
              <a16:creationId xmlns:a16="http://schemas.microsoft.com/office/drawing/2014/main" id="{B1D33BAB-6CF5-4A45-89EF-8DDF6255B02F}"/>
            </a:ext>
          </a:extLst>
        </xdr:cNvPr>
        <xdr:cNvPicPr>
          <a:picLocks noChangeAspect="1"/>
        </xdr:cNvPicPr>
      </xdr:nvPicPr>
      <xdr:blipFill>
        <a:blip xmlns:r="http://schemas.openxmlformats.org/officeDocument/2006/relationships" r:embed="rId3"/>
        <a:stretch>
          <a:fillRect/>
        </a:stretch>
      </xdr:blipFill>
      <xdr:spPr>
        <a:xfrm>
          <a:off x="24212550" y="28165425"/>
          <a:ext cx="887172" cy="294648"/>
        </a:xfrm>
        <a:prstGeom prst="rect">
          <a:avLst/>
        </a:prstGeom>
      </xdr:spPr>
    </xdr:pic>
    <xdr:clientData/>
  </xdr:twoCellAnchor>
  <xdr:twoCellAnchor editAs="oneCell">
    <xdr:from>
      <xdr:col>22</xdr:col>
      <xdr:colOff>27214</xdr:colOff>
      <xdr:row>61</xdr:row>
      <xdr:rowOff>40822</xdr:rowOff>
    </xdr:from>
    <xdr:to>
      <xdr:col>22</xdr:col>
      <xdr:colOff>908036</xdr:colOff>
      <xdr:row>62</xdr:row>
      <xdr:rowOff>135445</xdr:rowOff>
    </xdr:to>
    <xdr:pic>
      <xdr:nvPicPr>
        <xdr:cNvPr id="9" name="Picture 8">
          <a:extLst>
            <a:ext uri="{FF2B5EF4-FFF2-40B4-BE49-F238E27FC236}">
              <a16:creationId xmlns:a16="http://schemas.microsoft.com/office/drawing/2014/main" id="{3724BEA0-CF16-48AB-89EF-D2622117021E}"/>
            </a:ext>
          </a:extLst>
        </xdr:cNvPr>
        <xdr:cNvPicPr>
          <a:picLocks noChangeAspect="1"/>
        </xdr:cNvPicPr>
      </xdr:nvPicPr>
      <xdr:blipFill>
        <a:blip xmlns:r="http://schemas.openxmlformats.org/officeDocument/2006/relationships" r:embed="rId3"/>
        <a:stretch>
          <a:fillRect/>
        </a:stretch>
      </xdr:blipFill>
      <xdr:spPr>
        <a:xfrm>
          <a:off x="24239764" y="12356647"/>
          <a:ext cx="880822" cy="294648"/>
        </a:xfrm>
        <a:prstGeom prst="rect">
          <a:avLst/>
        </a:prstGeom>
      </xdr:spPr>
    </xdr:pic>
    <xdr:clientData/>
  </xdr:twoCellAnchor>
  <xdr:twoCellAnchor editAs="oneCell">
    <xdr:from>
      <xdr:col>0</xdr:col>
      <xdr:colOff>163286</xdr:colOff>
      <xdr:row>61</xdr:row>
      <xdr:rowOff>136072</xdr:rowOff>
    </xdr:from>
    <xdr:to>
      <xdr:col>0</xdr:col>
      <xdr:colOff>330814</xdr:colOff>
      <xdr:row>62</xdr:row>
      <xdr:rowOff>160712</xdr:rowOff>
    </xdr:to>
    <xdr:pic>
      <xdr:nvPicPr>
        <xdr:cNvPr id="10" name="Picture 9">
          <a:extLst>
            <a:ext uri="{FF2B5EF4-FFF2-40B4-BE49-F238E27FC236}">
              <a16:creationId xmlns:a16="http://schemas.microsoft.com/office/drawing/2014/main" id="{6B398BCB-4EC9-48A6-85D4-3EF7875D4935}"/>
            </a:ext>
          </a:extLst>
        </xdr:cNvPr>
        <xdr:cNvPicPr>
          <a:picLocks noChangeAspect="1"/>
        </xdr:cNvPicPr>
      </xdr:nvPicPr>
      <xdr:blipFill>
        <a:blip xmlns:r="http://schemas.openxmlformats.org/officeDocument/2006/relationships" r:embed="rId4"/>
        <a:stretch>
          <a:fillRect/>
        </a:stretch>
      </xdr:blipFill>
      <xdr:spPr>
        <a:xfrm>
          <a:off x="163286" y="12451897"/>
          <a:ext cx="167528" cy="224665"/>
        </a:xfrm>
        <a:prstGeom prst="rect">
          <a:avLst/>
        </a:prstGeom>
      </xdr:spPr>
    </xdr:pic>
    <xdr:clientData/>
  </xdr:twoCellAnchor>
  <xdr:twoCellAnchor editAs="oneCell">
    <xdr:from>
      <xdr:col>0</xdr:col>
      <xdr:colOff>217714</xdr:colOff>
      <xdr:row>138</xdr:row>
      <xdr:rowOff>40821</xdr:rowOff>
    </xdr:from>
    <xdr:to>
      <xdr:col>1</xdr:col>
      <xdr:colOff>45063</xdr:colOff>
      <xdr:row>139</xdr:row>
      <xdr:rowOff>65461</xdr:rowOff>
    </xdr:to>
    <xdr:pic>
      <xdr:nvPicPr>
        <xdr:cNvPr id="11" name="Picture 10">
          <a:extLst>
            <a:ext uri="{FF2B5EF4-FFF2-40B4-BE49-F238E27FC236}">
              <a16:creationId xmlns:a16="http://schemas.microsoft.com/office/drawing/2014/main" id="{19E6E51C-5B9A-4ABF-BC8E-D1E5EABDD5FE}"/>
            </a:ext>
          </a:extLst>
        </xdr:cNvPr>
        <xdr:cNvPicPr>
          <a:picLocks noChangeAspect="1"/>
        </xdr:cNvPicPr>
      </xdr:nvPicPr>
      <xdr:blipFill>
        <a:blip xmlns:r="http://schemas.openxmlformats.org/officeDocument/2006/relationships" r:embed="rId4"/>
        <a:stretch>
          <a:fillRect/>
        </a:stretch>
      </xdr:blipFill>
      <xdr:spPr>
        <a:xfrm>
          <a:off x="217714" y="28206246"/>
          <a:ext cx="170249" cy="224665"/>
        </a:xfrm>
        <a:prstGeom prst="rect">
          <a:avLst/>
        </a:prstGeom>
      </xdr:spPr>
    </xdr:pic>
    <xdr:clientData/>
  </xdr:twoCellAnchor>
  <xdr:twoCellAnchor editAs="oneCell">
    <xdr:from>
      <xdr:col>0</xdr:col>
      <xdr:colOff>190500</xdr:colOff>
      <xdr:row>204</xdr:row>
      <xdr:rowOff>136071</xdr:rowOff>
    </xdr:from>
    <xdr:to>
      <xdr:col>1</xdr:col>
      <xdr:colOff>21024</xdr:colOff>
      <xdr:row>205</xdr:row>
      <xdr:rowOff>160711</xdr:rowOff>
    </xdr:to>
    <xdr:pic>
      <xdr:nvPicPr>
        <xdr:cNvPr id="12" name="Picture 11">
          <a:extLst>
            <a:ext uri="{FF2B5EF4-FFF2-40B4-BE49-F238E27FC236}">
              <a16:creationId xmlns:a16="http://schemas.microsoft.com/office/drawing/2014/main" id="{19FDD588-636C-4AB8-842B-BD2BC6C06362}"/>
            </a:ext>
          </a:extLst>
        </xdr:cNvPr>
        <xdr:cNvPicPr>
          <a:picLocks noChangeAspect="1"/>
        </xdr:cNvPicPr>
      </xdr:nvPicPr>
      <xdr:blipFill>
        <a:blip xmlns:r="http://schemas.openxmlformats.org/officeDocument/2006/relationships" r:embed="rId4"/>
        <a:stretch>
          <a:fillRect/>
        </a:stretch>
      </xdr:blipFill>
      <xdr:spPr>
        <a:xfrm>
          <a:off x="190500" y="41588871"/>
          <a:ext cx="173424" cy="224665"/>
        </a:xfrm>
        <a:prstGeom prst="rect">
          <a:avLst/>
        </a:prstGeom>
      </xdr:spPr>
    </xdr:pic>
    <xdr:clientData/>
  </xdr:twoCellAnchor>
  <xdr:twoCellAnchor editAs="oneCell">
    <xdr:from>
      <xdr:col>0</xdr:col>
      <xdr:colOff>217715</xdr:colOff>
      <xdr:row>304</xdr:row>
      <xdr:rowOff>136073</xdr:rowOff>
    </xdr:from>
    <xdr:to>
      <xdr:col>1</xdr:col>
      <xdr:colOff>45064</xdr:colOff>
      <xdr:row>305</xdr:row>
      <xdr:rowOff>160713</xdr:rowOff>
    </xdr:to>
    <xdr:pic>
      <xdr:nvPicPr>
        <xdr:cNvPr id="13" name="Picture 12">
          <a:extLst>
            <a:ext uri="{FF2B5EF4-FFF2-40B4-BE49-F238E27FC236}">
              <a16:creationId xmlns:a16="http://schemas.microsoft.com/office/drawing/2014/main" id="{17252077-0822-4A5C-9C83-1CDAEE523561}"/>
            </a:ext>
          </a:extLst>
        </xdr:cNvPr>
        <xdr:cNvPicPr>
          <a:picLocks noChangeAspect="1"/>
        </xdr:cNvPicPr>
      </xdr:nvPicPr>
      <xdr:blipFill>
        <a:blip xmlns:r="http://schemas.openxmlformats.org/officeDocument/2006/relationships" r:embed="rId4"/>
        <a:stretch>
          <a:fillRect/>
        </a:stretch>
      </xdr:blipFill>
      <xdr:spPr>
        <a:xfrm>
          <a:off x="217715" y="61715198"/>
          <a:ext cx="170249" cy="22466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22</xdr:col>
      <xdr:colOff>1095375</xdr:colOff>
      <xdr:row>329</xdr:row>
      <xdr:rowOff>123825</xdr:rowOff>
    </xdr:from>
    <xdr:to>
      <xdr:col>22</xdr:col>
      <xdr:colOff>1895475</xdr:colOff>
      <xdr:row>330</xdr:row>
      <xdr:rowOff>152400</xdr:rowOff>
    </xdr:to>
    <xdr:pic>
      <xdr:nvPicPr>
        <xdr:cNvPr id="2" name="Picture 1" descr="C:\WINDOWS\TEMP\~0003946.gif">
          <a:extLst>
            <a:ext uri="{FF2B5EF4-FFF2-40B4-BE49-F238E27FC236}">
              <a16:creationId xmlns:a16="http://schemas.microsoft.com/office/drawing/2014/main" id="{EFA25D1B-EF95-4CAB-8A91-16FBDCE3FDF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276050" y="6161405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204</xdr:row>
      <xdr:rowOff>152400</xdr:rowOff>
    </xdr:from>
    <xdr:to>
      <xdr:col>22</xdr:col>
      <xdr:colOff>1924050</xdr:colOff>
      <xdr:row>205</xdr:row>
      <xdr:rowOff>180975</xdr:rowOff>
    </xdr:to>
    <xdr:pic>
      <xdr:nvPicPr>
        <xdr:cNvPr id="3" name="Picture 2" descr="C:\WINDOWS\TEMP\~0003946.gif">
          <a:extLst>
            <a:ext uri="{FF2B5EF4-FFF2-40B4-BE49-F238E27FC236}">
              <a16:creationId xmlns:a16="http://schemas.microsoft.com/office/drawing/2014/main" id="{3E300693-60BC-41FC-ACA3-5A820752DE4D}"/>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279225" y="4152900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138</xdr:row>
      <xdr:rowOff>161925</xdr:rowOff>
    </xdr:from>
    <xdr:to>
      <xdr:col>22</xdr:col>
      <xdr:colOff>1952625</xdr:colOff>
      <xdr:row>139</xdr:row>
      <xdr:rowOff>190500</xdr:rowOff>
    </xdr:to>
    <xdr:pic>
      <xdr:nvPicPr>
        <xdr:cNvPr id="4" name="Picture 3" descr="C:\WINDOWS\TEMP\~0003946.gif">
          <a:extLst>
            <a:ext uri="{FF2B5EF4-FFF2-40B4-BE49-F238E27FC236}">
              <a16:creationId xmlns:a16="http://schemas.microsoft.com/office/drawing/2014/main" id="{9FE20C3E-8648-4D16-98F0-E6BB9E7A8D0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276050" y="2829560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61</xdr:row>
      <xdr:rowOff>161925</xdr:rowOff>
    </xdr:from>
    <xdr:to>
      <xdr:col>22</xdr:col>
      <xdr:colOff>1952625</xdr:colOff>
      <xdr:row>62</xdr:row>
      <xdr:rowOff>190500</xdr:rowOff>
    </xdr:to>
    <xdr:pic>
      <xdr:nvPicPr>
        <xdr:cNvPr id="5" name="Picture 4" descr="C:\WINDOWS\TEMP\~0003946.gif">
          <a:extLst>
            <a:ext uri="{FF2B5EF4-FFF2-40B4-BE49-F238E27FC236}">
              <a16:creationId xmlns:a16="http://schemas.microsoft.com/office/drawing/2014/main" id="{5658C49E-512B-455B-94AE-8F91B9924AD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276050" y="1246505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0</xdr:colOff>
      <xdr:row>329</xdr:row>
      <xdr:rowOff>0</xdr:rowOff>
    </xdr:from>
    <xdr:to>
      <xdr:col>22</xdr:col>
      <xdr:colOff>883997</xdr:colOff>
      <xdr:row>330</xdr:row>
      <xdr:rowOff>94623</xdr:rowOff>
    </xdr:to>
    <xdr:pic>
      <xdr:nvPicPr>
        <xdr:cNvPr id="6" name="Picture 5">
          <a:extLst>
            <a:ext uri="{FF2B5EF4-FFF2-40B4-BE49-F238E27FC236}">
              <a16:creationId xmlns:a16="http://schemas.microsoft.com/office/drawing/2014/main" id="{5A61B9F4-4B59-4095-A5FF-0C5A799C9117}"/>
            </a:ext>
          </a:extLst>
        </xdr:cNvPr>
        <xdr:cNvPicPr>
          <a:picLocks noChangeAspect="1"/>
        </xdr:cNvPicPr>
      </xdr:nvPicPr>
      <xdr:blipFill>
        <a:blip xmlns:r="http://schemas.openxmlformats.org/officeDocument/2006/relationships" r:embed="rId3"/>
        <a:stretch>
          <a:fillRect/>
        </a:stretch>
      </xdr:blipFill>
      <xdr:spPr>
        <a:xfrm>
          <a:off x="23298150" y="61493400"/>
          <a:ext cx="883997" cy="294648"/>
        </a:xfrm>
        <a:prstGeom prst="rect">
          <a:avLst/>
        </a:prstGeom>
      </xdr:spPr>
    </xdr:pic>
    <xdr:clientData/>
  </xdr:twoCellAnchor>
  <xdr:twoCellAnchor editAs="oneCell">
    <xdr:from>
      <xdr:col>22</xdr:col>
      <xdr:colOff>0</xdr:colOff>
      <xdr:row>204</xdr:row>
      <xdr:rowOff>0</xdr:rowOff>
    </xdr:from>
    <xdr:to>
      <xdr:col>22</xdr:col>
      <xdr:colOff>883997</xdr:colOff>
      <xdr:row>205</xdr:row>
      <xdr:rowOff>94623</xdr:rowOff>
    </xdr:to>
    <xdr:pic>
      <xdr:nvPicPr>
        <xdr:cNvPr id="7" name="Picture 6">
          <a:extLst>
            <a:ext uri="{FF2B5EF4-FFF2-40B4-BE49-F238E27FC236}">
              <a16:creationId xmlns:a16="http://schemas.microsoft.com/office/drawing/2014/main" id="{92A9943D-8721-4081-9E60-E0AD346B2A17}"/>
            </a:ext>
          </a:extLst>
        </xdr:cNvPr>
        <xdr:cNvPicPr>
          <a:picLocks noChangeAspect="1"/>
        </xdr:cNvPicPr>
      </xdr:nvPicPr>
      <xdr:blipFill>
        <a:blip xmlns:r="http://schemas.openxmlformats.org/officeDocument/2006/relationships" r:embed="rId3"/>
        <a:stretch>
          <a:fillRect/>
        </a:stretch>
      </xdr:blipFill>
      <xdr:spPr>
        <a:xfrm>
          <a:off x="23298150" y="41376600"/>
          <a:ext cx="883997" cy="294648"/>
        </a:xfrm>
        <a:prstGeom prst="rect">
          <a:avLst/>
        </a:prstGeom>
      </xdr:spPr>
    </xdr:pic>
    <xdr:clientData/>
  </xdr:twoCellAnchor>
  <xdr:twoCellAnchor editAs="oneCell">
    <xdr:from>
      <xdr:col>22</xdr:col>
      <xdr:colOff>0</xdr:colOff>
      <xdr:row>138</xdr:row>
      <xdr:rowOff>0</xdr:rowOff>
    </xdr:from>
    <xdr:to>
      <xdr:col>22</xdr:col>
      <xdr:colOff>883997</xdr:colOff>
      <xdr:row>139</xdr:row>
      <xdr:rowOff>94623</xdr:rowOff>
    </xdr:to>
    <xdr:pic>
      <xdr:nvPicPr>
        <xdr:cNvPr id="8" name="Picture 7">
          <a:extLst>
            <a:ext uri="{FF2B5EF4-FFF2-40B4-BE49-F238E27FC236}">
              <a16:creationId xmlns:a16="http://schemas.microsoft.com/office/drawing/2014/main" id="{804036CC-BE37-4515-AA33-1CEBC6656010}"/>
            </a:ext>
          </a:extLst>
        </xdr:cNvPr>
        <xdr:cNvPicPr>
          <a:picLocks noChangeAspect="1"/>
        </xdr:cNvPicPr>
      </xdr:nvPicPr>
      <xdr:blipFill>
        <a:blip xmlns:r="http://schemas.openxmlformats.org/officeDocument/2006/relationships" r:embed="rId3"/>
        <a:stretch>
          <a:fillRect/>
        </a:stretch>
      </xdr:blipFill>
      <xdr:spPr>
        <a:xfrm>
          <a:off x="23298150" y="28136850"/>
          <a:ext cx="883997" cy="294648"/>
        </a:xfrm>
        <a:prstGeom prst="rect">
          <a:avLst/>
        </a:prstGeom>
      </xdr:spPr>
    </xdr:pic>
    <xdr:clientData/>
  </xdr:twoCellAnchor>
  <xdr:twoCellAnchor editAs="oneCell">
    <xdr:from>
      <xdr:col>22</xdr:col>
      <xdr:colOff>27214</xdr:colOff>
      <xdr:row>61</xdr:row>
      <xdr:rowOff>40822</xdr:rowOff>
    </xdr:from>
    <xdr:to>
      <xdr:col>22</xdr:col>
      <xdr:colOff>904861</xdr:colOff>
      <xdr:row>62</xdr:row>
      <xdr:rowOff>135445</xdr:rowOff>
    </xdr:to>
    <xdr:pic>
      <xdr:nvPicPr>
        <xdr:cNvPr id="9" name="Picture 8">
          <a:extLst>
            <a:ext uri="{FF2B5EF4-FFF2-40B4-BE49-F238E27FC236}">
              <a16:creationId xmlns:a16="http://schemas.microsoft.com/office/drawing/2014/main" id="{D232E15B-FBB0-4A7B-BCC3-A5032AA4F82E}"/>
            </a:ext>
          </a:extLst>
        </xdr:cNvPr>
        <xdr:cNvPicPr>
          <a:picLocks noChangeAspect="1"/>
        </xdr:cNvPicPr>
      </xdr:nvPicPr>
      <xdr:blipFill>
        <a:blip xmlns:r="http://schemas.openxmlformats.org/officeDocument/2006/relationships" r:embed="rId3"/>
        <a:stretch>
          <a:fillRect/>
        </a:stretch>
      </xdr:blipFill>
      <xdr:spPr>
        <a:xfrm>
          <a:off x="23328539" y="12347122"/>
          <a:ext cx="874472" cy="294648"/>
        </a:xfrm>
        <a:prstGeom prst="rect">
          <a:avLst/>
        </a:prstGeom>
      </xdr:spPr>
    </xdr:pic>
    <xdr:clientData/>
  </xdr:twoCellAnchor>
  <xdr:twoCellAnchor editAs="oneCell">
    <xdr:from>
      <xdr:col>0</xdr:col>
      <xdr:colOff>163286</xdr:colOff>
      <xdr:row>61</xdr:row>
      <xdr:rowOff>136072</xdr:rowOff>
    </xdr:from>
    <xdr:to>
      <xdr:col>1</xdr:col>
      <xdr:colOff>614</xdr:colOff>
      <xdr:row>62</xdr:row>
      <xdr:rowOff>163887</xdr:rowOff>
    </xdr:to>
    <xdr:pic>
      <xdr:nvPicPr>
        <xdr:cNvPr id="10" name="Picture 9">
          <a:extLst>
            <a:ext uri="{FF2B5EF4-FFF2-40B4-BE49-F238E27FC236}">
              <a16:creationId xmlns:a16="http://schemas.microsoft.com/office/drawing/2014/main" id="{0AF3AD26-73DC-4B9B-A5B8-CF9AD07B77D4}"/>
            </a:ext>
          </a:extLst>
        </xdr:cNvPr>
        <xdr:cNvPicPr>
          <a:picLocks noChangeAspect="1"/>
        </xdr:cNvPicPr>
      </xdr:nvPicPr>
      <xdr:blipFill>
        <a:blip xmlns:r="http://schemas.openxmlformats.org/officeDocument/2006/relationships" r:embed="rId4"/>
        <a:stretch>
          <a:fillRect/>
        </a:stretch>
      </xdr:blipFill>
      <xdr:spPr>
        <a:xfrm>
          <a:off x="160111" y="12442372"/>
          <a:ext cx="173878" cy="227840"/>
        </a:xfrm>
        <a:prstGeom prst="rect">
          <a:avLst/>
        </a:prstGeom>
      </xdr:spPr>
    </xdr:pic>
    <xdr:clientData/>
  </xdr:twoCellAnchor>
  <xdr:twoCellAnchor editAs="oneCell">
    <xdr:from>
      <xdr:col>0</xdr:col>
      <xdr:colOff>217714</xdr:colOff>
      <xdr:row>138</xdr:row>
      <xdr:rowOff>40821</xdr:rowOff>
    </xdr:from>
    <xdr:to>
      <xdr:col>1</xdr:col>
      <xdr:colOff>48238</xdr:colOff>
      <xdr:row>139</xdr:row>
      <xdr:rowOff>68636</xdr:rowOff>
    </xdr:to>
    <xdr:pic>
      <xdr:nvPicPr>
        <xdr:cNvPr id="11" name="Picture 10">
          <a:extLst>
            <a:ext uri="{FF2B5EF4-FFF2-40B4-BE49-F238E27FC236}">
              <a16:creationId xmlns:a16="http://schemas.microsoft.com/office/drawing/2014/main" id="{F1B373AD-295E-4F66-A362-16523F573091}"/>
            </a:ext>
          </a:extLst>
        </xdr:cNvPr>
        <xdr:cNvPicPr>
          <a:picLocks noChangeAspect="1"/>
        </xdr:cNvPicPr>
      </xdr:nvPicPr>
      <xdr:blipFill>
        <a:blip xmlns:r="http://schemas.openxmlformats.org/officeDocument/2006/relationships" r:embed="rId4"/>
        <a:stretch>
          <a:fillRect/>
        </a:stretch>
      </xdr:blipFill>
      <xdr:spPr>
        <a:xfrm>
          <a:off x="220889" y="28177671"/>
          <a:ext cx="160724" cy="227840"/>
        </a:xfrm>
        <a:prstGeom prst="rect">
          <a:avLst/>
        </a:prstGeom>
      </xdr:spPr>
    </xdr:pic>
    <xdr:clientData/>
  </xdr:twoCellAnchor>
  <xdr:twoCellAnchor editAs="oneCell">
    <xdr:from>
      <xdr:col>0</xdr:col>
      <xdr:colOff>190500</xdr:colOff>
      <xdr:row>204</xdr:row>
      <xdr:rowOff>136071</xdr:rowOff>
    </xdr:from>
    <xdr:to>
      <xdr:col>1</xdr:col>
      <xdr:colOff>21024</xdr:colOff>
      <xdr:row>205</xdr:row>
      <xdr:rowOff>163886</xdr:rowOff>
    </xdr:to>
    <xdr:pic>
      <xdr:nvPicPr>
        <xdr:cNvPr id="12" name="Picture 11">
          <a:extLst>
            <a:ext uri="{FF2B5EF4-FFF2-40B4-BE49-F238E27FC236}">
              <a16:creationId xmlns:a16="http://schemas.microsoft.com/office/drawing/2014/main" id="{DF7C1874-649F-4A88-9E50-D160AEE9B23D}"/>
            </a:ext>
          </a:extLst>
        </xdr:cNvPr>
        <xdr:cNvPicPr>
          <a:picLocks noChangeAspect="1"/>
        </xdr:cNvPicPr>
      </xdr:nvPicPr>
      <xdr:blipFill>
        <a:blip xmlns:r="http://schemas.openxmlformats.org/officeDocument/2006/relationships" r:embed="rId4"/>
        <a:stretch>
          <a:fillRect/>
        </a:stretch>
      </xdr:blipFill>
      <xdr:spPr>
        <a:xfrm>
          <a:off x="190500" y="41512671"/>
          <a:ext cx="163899" cy="227840"/>
        </a:xfrm>
        <a:prstGeom prst="rect">
          <a:avLst/>
        </a:prstGeom>
      </xdr:spPr>
    </xdr:pic>
    <xdr:clientData/>
  </xdr:twoCellAnchor>
  <xdr:twoCellAnchor editAs="oneCell">
    <xdr:from>
      <xdr:col>0</xdr:col>
      <xdr:colOff>217715</xdr:colOff>
      <xdr:row>329</xdr:row>
      <xdr:rowOff>136073</xdr:rowOff>
    </xdr:from>
    <xdr:to>
      <xdr:col>1</xdr:col>
      <xdr:colOff>48239</xdr:colOff>
      <xdr:row>330</xdr:row>
      <xdr:rowOff>163888</xdr:rowOff>
    </xdr:to>
    <xdr:pic>
      <xdr:nvPicPr>
        <xdr:cNvPr id="13" name="Picture 12">
          <a:extLst>
            <a:ext uri="{FF2B5EF4-FFF2-40B4-BE49-F238E27FC236}">
              <a16:creationId xmlns:a16="http://schemas.microsoft.com/office/drawing/2014/main" id="{09948795-8C1B-4B90-B346-B8D522A4A3D6}"/>
            </a:ext>
          </a:extLst>
        </xdr:cNvPr>
        <xdr:cNvPicPr>
          <a:picLocks noChangeAspect="1"/>
        </xdr:cNvPicPr>
      </xdr:nvPicPr>
      <xdr:blipFill>
        <a:blip xmlns:r="http://schemas.openxmlformats.org/officeDocument/2006/relationships" r:embed="rId4"/>
        <a:stretch>
          <a:fillRect/>
        </a:stretch>
      </xdr:blipFill>
      <xdr:spPr>
        <a:xfrm>
          <a:off x="220890" y="61629473"/>
          <a:ext cx="160724" cy="22784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22</xdr:col>
      <xdr:colOff>1095375</xdr:colOff>
      <xdr:row>331</xdr:row>
      <xdr:rowOff>123825</xdr:rowOff>
    </xdr:from>
    <xdr:to>
      <xdr:col>22</xdr:col>
      <xdr:colOff>1895475</xdr:colOff>
      <xdr:row>332</xdr:row>
      <xdr:rowOff>152400</xdr:rowOff>
    </xdr:to>
    <xdr:pic>
      <xdr:nvPicPr>
        <xdr:cNvPr id="2" name="Picture 1" descr="C:\WINDOWS\TEMP\~0003946.gif">
          <a:extLst>
            <a:ext uri="{FF2B5EF4-FFF2-40B4-BE49-F238E27FC236}">
              <a16:creationId xmlns:a16="http://schemas.microsoft.com/office/drawing/2014/main" id="{2536AECD-EFF7-4411-AD27-42CC5B50C80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276050" y="6661467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204</xdr:row>
      <xdr:rowOff>152400</xdr:rowOff>
    </xdr:from>
    <xdr:to>
      <xdr:col>22</xdr:col>
      <xdr:colOff>1924050</xdr:colOff>
      <xdr:row>205</xdr:row>
      <xdr:rowOff>180975</xdr:rowOff>
    </xdr:to>
    <xdr:pic>
      <xdr:nvPicPr>
        <xdr:cNvPr id="3" name="Picture 2" descr="C:\WINDOWS\TEMP\~0003946.gif">
          <a:extLst>
            <a:ext uri="{FF2B5EF4-FFF2-40B4-BE49-F238E27FC236}">
              <a16:creationId xmlns:a16="http://schemas.microsoft.com/office/drawing/2014/main" id="{C63A58BC-C66B-41E6-9175-58C1EF14868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279225" y="4152900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138</xdr:row>
      <xdr:rowOff>161925</xdr:rowOff>
    </xdr:from>
    <xdr:to>
      <xdr:col>22</xdr:col>
      <xdr:colOff>1952625</xdr:colOff>
      <xdr:row>139</xdr:row>
      <xdr:rowOff>190500</xdr:rowOff>
    </xdr:to>
    <xdr:pic>
      <xdr:nvPicPr>
        <xdr:cNvPr id="4" name="Picture 3" descr="C:\WINDOWS\TEMP\~0003946.gif">
          <a:extLst>
            <a:ext uri="{FF2B5EF4-FFF2-40B4-BE49-F238E27FC236}">
              <a16:creationId xmlns:a16="http://schemas.microsoft.com/office/drawing/2014/main" id="{15502F1F-8A95-4BB4-8C0A-58936F19AFC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276050" y="2829560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61</xdr:row>
      <xdr:rowOff>161925</xdr:rowOff>
    </xdr:from>
    <xdr:to>
      <xdr:col>22</xdr:col>
      <xdr:colOff>1952625</xdr:colOff>
      <xdr:row>62</xdr:row>
      <xdr:rowOff>190500</xdr:rowOff>
    </xdr:to>
    <xdr:pic>
      <xdr:nvPicPr>
        <xdr:cNvPr id="5" name="Picture 4" descr="C:\WINDOWS\TEMP\~0003946.gif">
          <a:extLst>
            <a:ext uri="{FF2B5EF4-FFF2-40B4-BE49-F238E27FC236}">
              <a16:creationId xmlns:a16="http://schemas.microsoft.com/office/drawing/2014/main" id="{4F0E65C0-75B9-418A-9C51-7020001D225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276050" y="1246505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0</xdr:colOff>
      <xdr:row>331</xdr:row>
      <xdr:rowOff>0</xdr:rowOff>
    </xdr:from>
    <xdr:to>
      <xdr:col>22</xdr:col>
      <xdr:colOff>883997</xdr:colOff>
      <xdr:row>332</xdr:row>
      <xdr:rowOff>94623</xdr:rowOff>
    </xdr:to>
    <xdr:pic>
      <xdr:nvPicPr>
        <xdr:cNvPr id="6" name="Picture 5">
          <a:extLst>
            <a:ext uri="{FF2B5EF4-FFF2-40B4-BE49-F238E27FC236}">
              <a16:creationId xmlns:a16="http://schemas.microsoft.com/office/drawing/2014/main" id="{DD86AD71-311A-4DD3-816E-093A3533DA8C}"/>
            </a:ext>
          </a:extLst>
        </xdr:cNvPr>
        <xdr:cNvPicPr>
          <a:picLocks noChangeAspect="1"/>
        </xdr:cNvPicPr>
      </xdr:nvPicPr>
      <xdr:blipFill>
        <a:blip xmlns:r="http://schemas.openxmlformats.org/officeDocument/2006/relationships" r:embed="rId3"/>
        <a:stretch>
          <a:fillRect/>
        </a:stretch>
      </xdr:blipFill>
      <xdr:spPr>
        <a:xfrm>
          <a:off x="23298150" y="66494025"/>
          <a:ext cx="887172" cy="294648"/>
        </a:xfrm>
        <a:prstGeom prst="rect">
          <a:avLst/>
        </a:prstGeom>
      </xdr:spPr>
    </xdr:pic>
    <xdr:clientData/>
  </xdr:twoCellAnchor>
  <xdr:twoCellAnchor editAs="oneCell">
    <xdr:from>
      <xdr:col>22</xdr:col>
      <xdr:colOff>0</xdr:colOff>
      <xdr:row>204</xdr:row>
      <xdr:rowOff>0</xdr:rowOff>
    </xdr:from>
    <xdr:to>
      <xdr:col>22</xdr:col>
      <xdr:colOff>883997</xdr:colOff>
      <xdr:row>205</xdr:row>
      <xdr:rowOff>94623</xdr:rowOff>
    </xdr:to>
    <xdr:pic>
      <xdr:nvPicPr>
        <xdr:cNvPr id="7" name="Picture 6">
          <a:extLst>
            <a:ext uri="{FF2B5EF4-FFF2-40B4-BE49-F238E27FC236}">
              <a16:creationId xmlns:a16="http://schemas.microsoft.com/office/drawing/2014/main" id="{DC296C12-B2DA-4820-B9FD-0BA3261362CF}"/>
            </a:ext>
          </a:extLst>
        </xdr:cNvPr>
        <xdr:cNvPicPr>
          <a:picLocks noChangeAspect="1"/>
        </xdr:cNvPicPr>
      </xdr:nvPicPr>
      <xdr:blipFill>
        <a:blip xmlns:r="http://schemas.openxmlformats.org/officeDocument/2006/relationships" r:embed="rId3"/>
        <a:stretch>
          <a:fillRect/>
        </a:stretch>
      </xdr:blipFill>
      <xdr:spPr>
        <a:xfrm>
          <a:off x="23298150" y="41376600"/>
          <a:ext cx="887172" cy="294648"/>
        </a:xfrm>
        <a:prstGeom prst="rect">
          <a:avLst/>
        </a:prstGeom>
      </xdr:spPr>
    </xdr:pic>
    <xdr:clientData/>
  </xdr:twoCellAnchor>
  <xdr:twoCellAnchor editAs="oneCell">
    <xdr:from>
      <xdr:col>22</xdr:col>
      <xdr:colOff>0</xdr:colOff>
      <xdr:row>138</xdr:row>
      <xdr:rowOff>0</xdr:rowOff>
    </xdr:from>
    <xdr:to>
      <xdr:col>22</xdr:col>
      <xdr:colOff>883997</xdr:colOff>
      <xdr:row>139</xdr:row>
      <xdr:rowOff>94623</xdr:rowOff>
    </xdr:to>
    <xdr:pic>
      <xdr:nvPicPr>
        <xdr:cNvPr id="8" name="Picture 7">
          <a:extLst>
            <a:ext uri="{FF2B5EF4-FFF2-40B4-BE49-F238E27FC236}">
              <a16:creationId xmlns:a16="http://schemas.microsoft.com/office/drawing/2014/main" id="{D155A1F2-D876-4314-AA3A-B648276D9D09}"/>
            </a:ext>
          </a:extLst>
        </xdr:cNvPr>
        <xdr:cNvPicPr>
          <a:picLocks noChangeAspect="1"/>
        </xdr:cNvPicPr>
      </xdr:nvPicPr>
      <xdr:blipFill>
        <a:blip xmlns:r="http://schemas.openxmlformats.org/officeDocument/2006/relationships" r:embed="rId3"/>
        <a:stretch>
          <a:fillRect/>
        </a:stretch>
      </xdr:blipFill>
      <xdr:spPr>
        <a:xfrm>
          <a:off x="23298150" y="28136850"/>
          <a:ext cx="887172" cy="294648"/>
        </a:xfrm>
        <a:prstGeom prst="rect">
          <a:avLst/>
        </a:prstGeom>
      </xdr:spPr>
    </xdr:pic>
    <xdr:clientData/>
  </xdr:twoCellAnchor>
  <xdr:twoCellAnchor editAs="oneCell">
    <xdr:from>
      <xdr:col>22</xdr:col>
      <xdr:colOff>27214</xdr:colOff>
      <xdr:row>61</xdr:row>
      <xdr:rowOff>40822</xdr:rowOff>
    </xdr:from>
    <xdr:to>
      <xdr:col>22</xdr:col>
      <xdr:colOff>904861</xdr:colOff>
      <xdr:row>62</xdr:row>
      <xdr:rowOff>135445</xdr:rowOff>
    </xdr:to>
    <xdr:pic>
      <xdr:nvPicPr>
        <xdr:cNvPr id="9" name="Picture 8">
          <a:extLst>
            <a:ext uri="{FF2B5EF4-FFF2-40B4-BE49-F238E27FC236}">
              <a16:creationId xmlns:a16="http://schemas.microsoft.com/office/drawing/2014/main" id="{D5770D29-9732-4EAA-AA8F-27F33B483E95}"/>
            </a:ext>
          </a:extLst>
        </xdr:cNvPr>
        <xdr:cNvPicPr>
          <a:picLocks noChangeAspect="1"/>
        </xdr:cNvPicPr>
      </xdr:nvPicPr>
      <xdr:blipFill>
        <a:blip xmlns:r="http://schemas.openxmlformats.org/officeDocument/2006/relationships" r:embed="rId3"/>
        <a:stretch>
          <a:fillRect/>
        </a:stretch>
      </xdr:blipFill>
      <xdr:spPr>
        <a:xfrm>
          <a:off x="23328539" y="12347122"/>
          <a:ext cx="877647" cy="294648"/>
        </a:xfrm>
        <a:prstGeom prst="rect">
          <a:avLst/>
        </a:prstGeom>
      </xdr:spPr>
    </xdr:pic>
    <xdr:clientData/>
  </xdr:twoCellAnchor>
  <xdr:twoCellAnchor editAs="oneCell">
    <xdr:from>
      <xdr:col>0</xdr:col>
      <xdr:colOff>163286</xdr:colOff>
      <xdr:row>61</xdr:row>
      <xdr:rowOff>136072</xdr:rowOff>
    </xdr:from>
    <xdr:to>
      <xdr:col>1</xdr:col>
      <xdr:colOff>614</xdr:colOff>
      <xdr:row>62</xdr:row>
      <xdr:rowOff>163887</xdr:rowOff>
    </xdr:to>
    <xdr:pic>
      <xdr:nvPicPr>
        <xdr:cNvPr id="10" name="Picture 9">
          <a:extLst>
            <a:ext uri="{FF2B5EF4-FFF2-40B4-BE49-F238E27FC236}">
              <a16:creationId xmlns:a16="http://schemas.microsoft.com/office/drawing/2014/main" id="{A3BF8154-F473-462C-8572-ACDAA647D23E}"/>
            </a:ext>
          </a:extLst>
        </xdr:cNvPr>
        <xdr:cNvPicPr>
          <a:picLocks noChangeAspect="1"/>
        </xdr:cNvPicPr>
      </xdr:nvPicPr>
      <xdr:blipFill>
        <a:blip xmlns:r="http://schemas.openxmlformats.org/officeDocument/2006/relationships" r:embed="rId4"/>
        <a:stretch>
          <a:fillRect/>
        </a:stretch>
      </xdr:blipFill>
      <xdr:spPr>
        <a:xfrm>
          <a:off x="160111" y="12442372"/>
          <a:ext cx="173878" cy="224665"/>
        </a:xfrm>
        <a:prstGeom prst="rect">
          <a:avLst/>
        </a:prstGeom>
      </xdr:spPr>
    </xdr:pic>
    <xdr:clientData/>
  </xdr:twoCellAnchor>
  <xdr:twoCellAnchor editAs="oneCell">
    <xdr:from>
      <xdr:col>0</xdr:col>
      <xdr:colOff>217714</xdr:colOff>
      <xdr:row>138</xdr:row>
      <xdr:rowOff>40821</xdr:rowOff>
    </xdr:from>
    <xdr:to>
      <xdr:col>1</xdr:col>
      <xdr:colOff>48238</xdr:colOff>
      <xdr:row>139</xdr:row>
      <xdr:rowOff>68636</xdr:rowOff>
    </xdr:to>
    <xdr:pic>
      <xdr:nvPicPr>
        <xdr:cNvPr id="11" name="Picture 10">
          <a:extLst>
            <a:ext uri="{FF2B5EF4-FFF2-40B4-BE49-F238E27FC236}">
              <a16:creationId xmlns:a16="http://schemas.microsoft.com/office/drawing/2014/main" id="{E3029762-D55B-4003-AB68-176A51601DAC}"/>
            </a:ext>
          </a:extLst>
        </xdr:cNvPr>
        <xdr:cNvPicPr>
          <a:picLocks noChangeAspect="1"/>
        </xdr:cNvPicPr>
      </xdr:nvPicPr>
      <xdr:blipFill>
        <a:blip xmlns:r="http://schemas.openxmlformats.org/officeDocument/2006/relationships" r:embed="rId4"/>
        <a:stretch>
          <a:fillRect/>
        </a:stretch>
      </xdr:blipFill>
      <xdr:spPr>
        <a:xfrm>
          <a:off x="220889" y="28177671"/>
          <a:ext cx="157549" cy="224665"/>
        </a:xfrm>
        <a:prstGeom prst="rect">
          <a:avLst/>
        </a:prstGeom>
      </xdr:spPr>
    </xdr:pic>
    <xdr:clientData/>
  </xdr:twoCellAnchor>
  <xdr:twoCellAnchor editAs="oneCell">
    <xdr:from>
      <xdr:col>0</xdr:col>
      <xdr:colOff>190500</xdr:colOff>
      <xdr:row>204</xdr:row>
      <xdr:rowOff>136071</xdr:rowOff>
    </xdr:from>
    <xdr:to>
      <xdr:col>1</xdr:col>
      <xdr:colOff>21024</xdr:colOff>
      <xdr:row>205</xdr:row>
      <xdr:rowOff>163886</xdr:rowOff>
    </xdr:to>
    <xdr:pic>
      <xdr:nvPicPr>
        <xdr:cNvPr id="12" name="Picture 11">
          <a:extLst>
            <a:ext uri="{FF2B5EF4-FFF2-40B4-BE49-F238E27FC236}">
              <a16:creationId xmlns:a16="http://schemas.microsoft.com/office/drawing/2014/main" id="{F0CADCAE-C4BF-4008-9E99-268A1A60D158}"/>
            </a:ext>
          </a:extLst>
        </xdr:cNvPr>
        <xdr:cNvPicPr>
          <a:picLocks noChangeAspect="1"/>
        </xdr:cNvPicPr>
      </xdr:nvPicPr>
      <xdr:blipFill>
        <a:blip xmlns:r="http://schemas.openxmlformats.org/officeDocument/2006/relationships" r:embed="rId4"/>
        <a:stretch>
          <a:fillRect/>
        </a:stretch>
      </xdr:blipFill>
      <xdr:spPr>
        <a:xfrm>
          <a:off x="190500" y="41512671"/>
          <a:ext cx="163899" cy="224665"/>
        </a:xfrm>
        <a:prstGeom prst="rect">
          <a:avLst/>
        </a:prstGeom>
      </xdr:spPr>
    </xdr:pic>
    <xdr:clientData/>
  </xdr:twoCellAnchor>
  <xdr:twoCellAnchor editAs="oneCell">
    <xdr:from>
      <xdr:col>0</xdr:col>
      <xdr:colOff>217715</xdr:colOff>
      <xdr:row>331</xdr:row>
      <xdr:rowOff>136073</xdr:rowOff>
    </xdr:from>
    <xdr:to>
      <xdr:col>1</xdr:col>
      <xdr:colOff>48239</xdr:colOff>
      <xdr:row>332</xdr:row>
      <xdr:rowOff>163888</xdr:rowOff>
    </xdr:to>
    <xdr:pic>
      <xdr:nvPicPr>
        <xdr:cNvPr id="13" name="Picture 12">
          <a:extLst>
            <a:ext uri="{FF2B5EF4-FFF2-40B4-BE49-F238E27FC236}">
              <a16:creationId xmlns:a16="http://schemas.microsoft.com/office/drawing/2014/main" id="{8136F517-8EE8-4398-8611-52004626571A}"/>
            </a:ext>
          </a:extLst>
        </xdr:cNvPr>
        <xdr:cNvPicPr>
          <a:picLocks noChangeAspect="1"/>
        </xdr:cNvPicPr>
      </xdr:nvPicPr>
      <xdr:blipFill>
        <a:blip xmlns:r="http://schemas.openxmlformats.org/officeDocument/2006/relationships" r:embed="rId4"/>
        <a:stretch>
          <a:fillRect/>
        </a:stretch>
      </xdr:blipFill>
      <xdr:spPr>
        <a:xfrm>
          <a:off x="220890" y="66630098"/>
          <a:ext cx="157549" cy="224665"/>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22</xdr:col>
      <xdr:colOff>1095375</xdr:colOff>
      <xdr:row>331</xdr:row>
      <xdr:rowOff>123825</xdr:rowOff>
    </xdr:from>
    <xdr:to>
      <xdr:col>22</xdr:col>
      <xdr:colOff>1895475</xdr:colOff>
      <xdr:row>332</xdr:row>
      <xdr:rowOff>152400</xdr:rowOff>
    </xdr:to>
    <xdr:pic>
      <xdr:nvPicPr>
        <xdr:cNvPr id="2" name="Picture 1" descr="C:\WINDOWS\TEMP\~0003946.gif">
          <a:extLst>
            <a:ext uri="{FF2B5EF4-FFF2-40B4-BE49-F238E27FC236}">
              <a16:creationId xmlns:a16="http://schemas.microsoft.com/office/drawing/2014/main" id="{193BEABB-B565-4401-B120-9512632394E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276050" y="6701472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204</xdr:row>
      <xdr:rowOff>152400</xdr:rowOff>
    </xdr:from>
    <xdr:to>
      <xdr:col>22</xdr:col>
      <xdr:colOff>1924050</xdr:colOff>
      <xdr:row>205</xdr:row>
      <xdr:rowOff>180975</xdr:rowOff>
    </xdr:to>
    <xdr:pic>
      <xdr:nvPicPr>
        <xdr:cNvPr id="3" name="Picture 2" descr="C:\WINDOWS\TEMP\~0003946.gif">
          <a:extLst>
            <a:ext uri="{FF2B5EF4-FFF2-40B4-BE49-F238E27FC236}">
              <a16:creationId xmlns:a16="http://schemas.microsoft.com/office/drawing/2014/main" id="{DD7B4A4E-67A5-4E32-A3D2-FF2355F40B3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279225" y="4152900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138</xdr:row>
      <xdr:rowOff>161925</xdr:rowOff>
    </xdr:from>
    <xdr:to>
      <xdr:col>22</xdr:col>
      <xdr:colOff>1952625</xdr:colOff>
      <xdr:row>139</xdr:row>
      <xdr:rowOff>190500</xdr:rowOff>
    </xdr:to>
    <xdr:pic>
      <xdr:nvPicPr>
        <xdr:cNvPr id="4" name="Picture 3" descr="C:\WINDOWS\TEMP\~0003946.gif">
          <a:extLst>
            <a:ext uri="{FF2B5EF4-FFF2-40B4-BE49-F238E27FC236}">
              <a16:creationId xmlns:a16="http://schemas.microsoft.com/office/drawing/2014/main" id="{2B8A9CBB-1857-4E40-9B73-C678A00C8C1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276050" y="2829560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61</xdr:row>
      <xdr:rowOff>161925</xdr:rowOff>
    </xdr:from>
    <xdr:to>
      <xdr:col>22</xdr:col>
      <xdr:colOff>1952625</xdr:colOff>
      <xdr:row>62</xdr:row>
      <xdr:rowOff>190500</xdr:rowOff>
    </xdr:to>
    <xdr:pic>
      <xdr:nvPicPr>
        <xdr:cNvPr id="5" name="Picture 4" descr="C:\WINDOWS\TEMP\~0003946.gif">
          <a:extLst>
            <a:ext uri="{FF2B5EF4-FFF2-40B4-BE49-F238E27FC236}">
              <a16:creationId xmlns:a16="http://schemas.microsoft.com/office/drawing/2014/main" id="{85DC84A7-C2B4-4F7D-9137-40077E7A48FB}"/>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276050" y="1246505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0</xdr:colOff>
      <xdr:row>331</xdr:row>
      <xdr:rowOff>0</xdr:rowOff>
    </xdr:from>
    <xdr:to>
      <xdr:col>22</xdr:col>
      <xdr:colOff>883997</xdr:colOff>
      <xdr:row>332</xdr:row>
      <xdr:rowOff>94623</xdr:rowOff>
    </xdr:to>
    <xdr:pic>
      <xdr:nvPicPr>
        <xdr:cNvPr id="6" name="Picture 5">
          <a:extLst>
            <a:ext uri="{FF2B5EF4-FFF2-40B4-BE49-F238E27FC236}">
              <a16:creationId xmlns:a16="http://schemas.microsoft.com/office/drawing/2014/main" id="{8B3A88BA-AB2D-4967-AE79-CE74649983F2}"/>
            </a:ext>
          </a:extLst>
        </xdr:cNvPr>
        <xdr:cNvPicPr>
          <a:picLocks noChangeAspect="1"/>
        </xdr:cNvPicPr>
      </xdr:nvPicPr>
      <xdr:blipFill>
        <a:blip xmlns:r="http://schemas.openxmlformats.org/officeDocument/2006/relationships" r:embed="rId3"/>
        <a:stretch>
          <a:fillRect/>
        </a:stretch>
      </xdr:blipFill>
      <xdr:spPr>
        <a:xfrm>
          <a:off x="23298150" y="66894075"/>
          <a:ext cx="887172" cy="294648"/>
        </a:xfrm>
        <a:prstGeom prst="rect">
          <a:avLst/>
        </a:prstGeom>
      </xdr:spPr>
    </xdr:pic>
    <xdr:clientData/>
  </xdr:twoCellAnchor>
  <xdr:twoCellAnchor editAs="oneCell">
    <xdr:from>
      <xdr:col>22</xdr:col>
      <xdr:colOff>0</xdr:colOff>
      <xdr:row>204</xdr:row>
      <xdr:rowOff>0</xdr:rowOff>
    </xdr:from>
    <xdr:to>
      <xdr:col>22</xdr:col>
      <xdr:colOff>883997</xdr:colOff>
      <xdr:row>205</xdr:row>
      <xdr:rowOff>94623</xdr:rowOff>
    </xdr:to>
    <xdr:pic>
      <xdr:nvPicPr>
        <xdr:cNvPr id="7" name="Picture 6">
          <a:extLst>
            <a:ext uri="{FF2B5EF4-FFF2-40B4-BE49-F238E27FC236}">
              <a16:creationId xmlns:a16="http://schemas.microsoft.com/office/drawing/2014/main" id="{F7861110-B73F-459D-9DE1-8301996CBA0F}"/>
            </a:ext>
          </a:extLst>
        </xdr:cNvPr>
        <xdr:cNvPicPr>
          <a:picLocks noChangeAspect="1"/>
        </xdr:cNvPicPr>
      </xdr:nvPicPr>
      <xdr:blipFill>
        <a:blip xmlns:r="http://schemas.openxmlformats.org/officeDocument/2006/relationships" r:embed="rId3"/>
        <a:stretch>
          <a:fillRect/>
        </a:stretch>
      </xdr:blipFill>
      <xdr:spPr>
        <a:xfrm>
          <a:off x="23298150" y="41376600"/>
          <a:ext cx="887172" cy="294648"/>
        </a:xfrm>
        <a:prstGeom prst="rect">
          <a:avLst/>
        </a:prstGeom>
      </xdr:spPr>
    </xdr:pic>
    <xdr:clientData/>
  </xdr:twoCellAnchor>
  <xdr:twoCellAnchor editAs="oneCell">
    <xdr:from>
      <xdr:col>22</xdr:col>
      <xdr:colOff>0</xdr:colOff>
      <xdr:row>138</xdr:row>
      <xdr:rowOff>0</xdr:rowOff>
    </xdr:from>
    <xdr:to>
      <xdr:col>22</xdr:col>
      <xdr:colOff>883997</xdr:colOff>
      <xdr:row>139</xdr:row>
      <xdr:rowOff>94623</xdr:rowOff>
    </xdr:to>
    <xdr:pic>
      <xdr:nvPicPr>
        <xdr:cNvPr id="8" name="Picture 7">
          <a:extLst>
            <a:ext uri="{FF2B5EF4-FFF2-40B4-BE49-F238E27FC236}">
              <a16:creationId xmlns:a16="http://schemas.microsoft.com/office/drawing/2014/main" id="{9E826EFA-D8BC-472D-BCCD-84B5BE70EBED}"/>
            </a:ext>
          </a:extLst>
        </xdr:cNvPr>
        <xdr:cNvPicPr>
          <a:picLocks noChangeAspect="1"/>
        </xdr:cNvPicPr>
      </xdr:nvPicPr>
      <xdr:blipFill>
        <a:blip xmlns:r="http://schemas.openxmlformats.org/officeDocument/2006/relationships" r:embed="rId3"/>
        <a:stretch>
          <a:fillRect/>
        </a:stretch>
      </xdr:blipFill>
      <xdr:spPr>
        <a:xfrm>
          <a:off x="23298150" y="28136850"/>
          <a:ext cx="887172" cy="294648"/>
        </a:xfrm>
        <a:prstGeom prst="rect">
          <a:avLst/>
        </a:prstGeom>
      </xdr:spPr>
    </xdr:pic>
    <xdr:clientData/>
  </xdr:twoCellAnchor>
  <xdr:twoCellAnchor editAs="oneCell">
    <xdr:from>
      <xdr:col>22</xdr:col>
      <xdr:colOff>27214</xdr:colOff>
      <xdr:row>61</xdr:row>
      <xdr:rowOff>40822</xdr:rowOff>
    </xdr:from>
    <xdr:to>
      <xdr:col>22</xdr:col>
      <xdr:colOff>904861</xdr:colOff>
      <xdr:row>62</xdr:row>
      <xdr:rowOff>135445</xdr:rowOff>
    </xdr:to>
    <xdr:pic>
      <xdr:nvPicPr>
        <xdr:cNvPr id="9" name="Picture 8">
          <a:extLst>
            <a:ext uri="{FF2B5EF4-FFF2-40B4-BE49-F238E27FC236}">
              <a16:creationId xmlns:a16="http://schemas.microsoft.com/office/drawing/2014/main" id="{4D4D36D4-B528-446D-B745-1C57CB7D41C1}"/>
            </a:ext>
          </a:extLst>
        </xdr:cNvPr>
        <xdr:cNvPicPr>
          <a:picLocks noChangeAspect="1"/>
        </xdr:cNvPicPr>
      </xdr:nvPicPr>
      <xdr:blipFill>
        <a:blip xmlns:r="http://schemas.openxmlformats.org/officeDocument/2006/relationships" r:embed="rId3"/>
        <a:stretch>
          <a:fillRect/>
        </a:stretch>
      </xdr:blipFill>
      <xdr:spPr>
        <a:xfrm>
          <a:off x="23328539" y="12347122"/>
          <a:ext cx="877647" cy="294648"/>
        </a:xfrm>
        <a:prstGeom prst="rect">
          <a:avLst/>
        </a:prstGeom>
      </xdr:spPr>
    </xdr:pic>
    <xdr:clientData/>
  </xdr:twoCellAnchor>
  <xdr:twoCellAnchor editAs="oneCell">
    <xdr:from>
      <xdr:col>0</xdr:col>
      <xdr:colOff>163286</xdr:colOff>
      <xdr:row>61</xdr:row>
      <xdr:rowOff>136072</xdr:rowOff>
    </xdr:from>
    <xdr:to>
      <xdr:col>1</xdr:col>
      <xdr:colOff>614</xdr:colOff>
      <xdr:row>62</xdr:row>
      <xdr:rowOff>163887</xdr:rowOff>
    </xdr:to>
    <xdr:pic>
      <xdr:nvPicPr>
        <xdr:cNvPr id="10" name="Picture 9">
          <a:extLst>
            <a:ext uri="{FF2B5EF4-FFF2-40B4-BE49-F238E27FC236}">
              <a16:creationId xmlns:a16="http://schemas.microsoft.com/office/drawing/2014/main" id="{8AEE659C-5694-4453-BA3D-1CD3668C01A4}"/>
            </a:ext>
          </a:extLst>
        </xdr:cNvPr>
        <xdr:cNvPicPr>
          <a:picLocks noChangeAspect="1"/>
        </xdr:cNvPicPr>
      </xdr:nvPicPr>
      <xdr:blipFill>
        <a:blip xmlns:r="http://schemas.openxmlformats.org/officeDocument/2006/relationships" r:embed="rId4"/>
        <a:stretch>
          <a:fillRect/>
        </a:stretch>
      </xdr:blipFill>
      <xdr:spPr>
        <a:xfrm>
          <a:off x="160111" y="12442372"/>
          <a:ext cx="173878" cy="224665"/>
        </a:xfrm>
        <a:prstGeom prst="rect">
          <a:avLst/>
        </a:prstGeom>
      </xdr:spPr>
    </xdr:pic>
    <xdr:clientData/>
  </xdr:twoCellAnchor>
  <xdr:twoCellAnchor editAs="oneCell">
    <xdr:from>
      <xdr:col>0</xdr:col>
      <xdr:colOff>217714</xdr:colOff>
      <xdr:row>138</xdr:row>
      <xdr:rowOff>40821</xdr:rowOff>
    </xdr:from>
    <xdr:to>
      <xdr:col>1</xdr:col>
      <xdr:colOff>48238</xdr:colOff>
      <xdr:row>139</xdr:row>
      <xdr:rowOff>68636</xdr:rowOff>
    </xdr:to>
    <xdr:pic>
      <xdr:nvPicPr>
        <xdr:cNvPr id="11" name="Picture 10">
          <a:extLst>
            <a:ext uri="{FF2B5EF4-FFF2-40B4-BE49-F238E27FC236}">
              <a16:creationId xmlns:a16="http://schemas.microsoft.com/office/drawing/2014/main" id="{CFC33353-C9A1-438E-B634-40FAEA0D22F1}"/>
            </a:ext>
          </a:extLst>
        </xdr:cNvPr>
        <xdr:cNvPicPr>
          <a:picLocks noChangeAspect="1"/>
        </xdr:cNvPicPr>
      </xdr:nvPicPr>
      <xdr:blipFill>
        <a:blip xmlns:r="http://schemas.openxmlformats.org/officeDocument/2006/relationships" r:embed="rId4"/>
        <a:stretch>
          <a:fillRect/>
        </a:stretch>
      </xdr:blipFill>
      <xdr:spPr>
        <a:xfrm>
          <a:off x="220889" y="28177671"/>
          <a:ext cx="157549" cy="224665"/>
        </a:xfrm>
        <a:prstGeom prst="rect">
          <a:avLst/>
        </a:prstGeom>
      </xdr:spPr>
    </xdr:pic>
    <xdr:clientData/>
  </xdr:twoCellAnchor>
  <xdr:twoCellAnchor editAs="oneCell">
    <xdr:from>
      <xdr:col>0</xdr:col>
      <xdr:colOff>190500</xdr:colOff>
      <xdr:row>204</xdr:row>
      <xdr:rowOff>136071</xdr:rowOff>
    </xdr:from>
    <xdr:to>
      <xdr:col>1</xdr:col>
      <xdr:colOff>21024</xdr:colOff>
      <xdr:row>205</xdr:row>
      <xdr:rowOff>163886</xdr:rowOff>
    </xdr:to>
    <xdr:pic>
      <xdr:nvPicPr>
        <xdr:cNvPr id="12" name="Picture 11">
          <a:extLst>
            <a:ext uri="{FF2B5EF4-FFF2-40B4-BE49-F238E27FC236}">
              <a16:creationId xmlns:a16="http://schemas.microsoft.com/office/drawing/2014/main" id="{FCFCCC06-A254-41D7-B477-545FF2F58E6D}"/>
            </a:ext>
          </a:extLst>
        </xdr:cNvPr>
        <xdr:cNvPicPr>
          <a:picLocks noChangeAspect="1"/>
        </xdr:cNvPicPr>
      </xdr:nvPicPr>
      <xdr:blipFill>
        <a:blip xmlns:r="http://schemas.openxmlformats.org/officeDocument/2006/relationships" r:embed="rId4"/>
        <a:stretch>
          <a:fillRect/>
        </a:stretch>
      </xdr:blipFill>
      <xdr:spPr>
        <a:xfrm>
          <a:off x="190500" y="41512671"/>
          <a:ext cx="163899" cy="224665"/>
        </a:xfrm>
        <a:prstGeom prst="rect">
          <a:avLst/>
        </a:prstGeom>
      </xdr:spPr>
    </xdr:pic>
    <xdr:clientData/>
  </xdr:twoCellAnchor>
  <xdr:twoCellAnchor editAs="oneCell">
    <xdr:from>
      <xdr:col>0</xdr:col>
      <xdr:colOff>217715</xdr:colOff>
      <xdr:row>331</xdr:row>
      <xdr:rowOff>136073</xdr:rowOff>
    </xdr:from>
    <xdr:to>
      <xdr:col>1</xdr:col>
      <xdr:colOff>48239</xdr:colOff>
      <xdr:row>332</xdr:row>
      <xdr:rowOff>163888</xdr:rowOff>
    </xdr:to>
    <xdr:pic>
      <xdr:nvPicPr>
        <xdr:cNvPr id="13" name="Picture 12">
          <a:extLst>
            <a:ext uri="{FF2B5EF4-FFF2-40B4-BE49-F238E27FC236}">
              <a16:creationId xmlns:a16="http://schemas.microsoft.com/office/drawing/2014/main" id="{CF1E3601-56D9-49AB-AED6-10DBAD74DEB1}"/>
            </a:ext>
          </a:extLst>
        </xdr:cNvPr>
        <xdr:cNvPicPr>
          <a:picLocks noChangeAspect="1"/>
        </xdr:cNvPicPr>
      </xdr:nvPicPr>
      <xdr:blipFill>
        <a:blip xmlns:r="http://schemas.openxmlformats.org/officeDocument/2006/relationships" r:embed="rId4"/>
        <a:stretch>
          <a:fillRect/>
        </a:stretch>
      </xdr:blipFill>
      <xdr:spPr>
        <a:xfrm>
          <a:off x="220890" y="67030148"/>
          <a:ext cx="157549" cy="224665"/>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22</xdr:col>
      <xdr:colOff>1095375</xdr:colOff>
      <xdr:row>331</xdr:row>
      <xdr:rowOff>123825</xdr:rowOff>
    </xdr:from>
    <xdr:to>
      <xdr:col>22</xdr:col>
      <xdr:colOff>1895475</xdr:colOff>
      <xdr:row>332</xdr:row>
      <xdr:rowOff>152400</xdr:rowOff>
    </xdr:to>
    <xdr:pic>
      <xdr:nvPicPr>
        <xdr:cNvPr id="2" name="Picture 1" descr="C:\WINDOWS\TEMP\~0003946.gif">
          <a:extLst>
            <a:ext uri="{FF2B5EF4-FFF2-40B4-BE49-F238E27FC236}">
              <a16:creationId xmlns:a16="http://schemas.microsoft.com/office/drawing/2014/main" id="{9B0A6264-FF9C-4524-AC73-035A0C8A472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190325" y="6701472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204</xdr:row>
      <xdr:rowOff>152400</xdr:rowOff>
    </xdr:from>
    <xdr:to>
      <xdr:col>22</xdr:col>
      <xdr:colOff>1924050</xdr:colOff>
      <xdr:row>205</xdr:row>
      <xdr:rowOff>180975</xdr:rowOff>
    </xdr:to>
    <xdr:pic>
      <xdr:nvPicPr>
        <xdr:cNvPr id="3" name="Picture 2" descr="C:\WINDOWS\TEMP\~0003946.gif">
          <a:extLst>
            <a:ext uri="{FF2B5EF4-FFF2-40B4-BE49-F238E27FC236}">
              <a16:creationId xmlns:a16="http://schemas.microsoft.com/office/drawing/2014/main" id="{882AC77B-D070-408A-9A70-A2EAA9FF765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193500" y="4152900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138</xdr:row>
      <xdr:rowOff>161925</xdr:rowOff>
    </xdr:from>
    <xdr:to>
      <xdr:col>22</xdr:col>
      <xdr:colOff>1952625</xdr:colOff>
      <xdr:row>139</xdr:row>
      <xdr:rowOff>190500</xdr:rowOff>
    </xdr:to>
    <xdr:pic>
      <xdr:nvPicPr>
        <xdr:cNvPr id="4" name="Picture 3" descr="C:\WINDOWS\TEMP\~0003946.gif">
          <a:extLst>
            <a:ext uri="{FF2B5EF4-FFF2-40B4-BE49-F238E27FC236}">
              <a16:creationId xmlns:a16="http://schemas.microsoft.com/office/drawing/2014/main" id="{E5EB1D77-E213-4747-820C-BE1E8FD2874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190325" y="2829560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61</xdr:row>
      <xdr:rowOff>161925</xdr:rowOff>
    </xdr:from>
    <xdr:to>
      <xdr:col>22</xdr:col>
      <xdr:colOff>1952625</xdr:colOff>
      <xdr:row>62</xdr:row>
      <xdr:rowOff>190500</xdr:rowOff>
    </xdr:to>
    <xdr:pic>
      <xdr:nvPicPr>
        <xdr:cNvPr id="5" name="Picture 4" descr="C:\WINDOWS\TEMP\~0003946.gif">
          <a:extLst>
            <a:ext uri="{FF2B5EF4-FFF2-40B4-BE49-F238E27FC236}">
              <a16:creationId xmlns:a16="http://schemas.microsoft.com/office/drawing/2014/main" id="{4A6D4482-0CA4-4FA9-B1A0-C52352F3C6FB}"/>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190325" y="1246505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0</xdr:colOff>
      <xdr:row>331</xdr:row>
      <xdr:rowOff>0</xdr:rowOff>
    </xdr:from>
    <xdr:to>
      <xdr:col>22</xdr:col>
      <xdr:colOff>887172</xdr:colOff>
      <xdr:row>332</xdr:row>
      <xdr:rowOff>94623</xdr:rowOff>
    </xdr:to>
    <xdr:pic>
      <xdr:nvPicPr>
        <xdr:cNvPr id="6" name="Picture 5">
          <a:extLst>
            <a:ext uri="{FF2B5EF4-FFF2-40B4-BE49-F238E27FC236}">
              <a16:creationId xmlns:a16="http://schemas.microsoft.com/office/drawing/2014/main" id="{351F2F6A-7430-4FBC-ACF5-8BA39FFBC611}"/>
            </a:ext>
          </a:extLst>
        </xdr:cNvPr>
        <xdr:cNvPicPr>
          <a:picLocks noChangeAspect="1"/>
        </xdr:cNvPicPr>
      </xdr:nvPicPr>
      <xdr:blipFill>
        <a:blip xmlns:r="http://schemas.openxmlformats.org/officeDocument/2006/relationships" r:embed="rId3"/>
        <a:stretch>
          <a:fillRect/>
        </a:stretch>
      </xdr:blipFill>
      <xdr:spPr>
        <a:xfrm>
          <a:off x="23212425" y="66894075"/>
          <a:ext cx="887172" cy="294648"/>
        </a:xfrm>
        <a:prstGeom prst="rect">
          <a:avLst/>
        </a:prstGeom>
      </xdr:spPr>
    </xdr:pic>
    <xdr:clientData/>
  </xdr:twoCellAnchor>
  <xdr:twoCellAnchor editAs="oneCell">
    <xdr:from>
      <xdr:col>22</xdr:col>
      <xdr:colOff>0</xdr:colOff>
      <xdr:row>204</xdr:row>
      <xdr:rowOff>0</xdr:rowOff>
    </xdr:from>
    <xdr:to>
      <xdr:col>22</xdr:col>
      <xdr:colOff>887172</xdr:colOff>
      <xdr:row>205</xdr:row>
      <xdr:rowOff>94623</xdr:rowOff>
    </xdr:to>
    <xdr:pic>
      <xdr:nvPicPr>
        <xdr:cNvPr id="7" name="Picture 6">
          <a:extLst>
            <a:ext uri="{FF2B5EF4-FFF2-40B4-BE49-F238E27FC236}">
              <a16:creationId xmlns:a16="http://schemas.microsoft.com/office/drawing/2014/main" id="{56758536-B5A5-48CC-8F7C-76AB9EB4F688}"/>
            </a:ext>
          </a:extLst>
        </xdr:cNvPr>
        <xdr:cNvPicPr>
          <a:picLocks noChangeAspect="1"/>
        </xdr:cNvPicPr>
      </xdr:nvPicPr>
      <xdr:blipFill>
        <a:blip xmlns:r="http://schemas.openxmlformats.org/officeDocument/2006/relationships" r:embed="rId3"/>
        <a:stretch>
          <a:fillRect/>
        </a:stretch>
      </xdr:blipFill>
      <xdr:spPr>
        <a:xfrm>
          <a:off x="23212425" y="41376600"/>
          <a:ext cx="887172" cy="294648"/>
        </a:xfrm>
        <a:prstGeom prst="rect">
          <a:avLst/>
        </a:prstGeom>
      </xdr:spPr>
    </xdr:pic>
    <xdr:clientData/>
  </xdr:twoCellAnchor>
  <xdr:twoCellAnchor editAs="oneCell">
    <xdr:from>
      <xdr:col>22</xdr:col>
      <xdr:colOff>0</xdr:colOff>
      <xdr:row>138</xdr:row>
      <xdr:rowOff>0</xdr:rowOff>
    </xdr:from>
    <xdr:to>
      <xdr:col>22</xdr:col>
      <xdr:colOff>887172</xdr:colOff>
      <xdr:row>139</xdr:row>
      <xdr:rowOff>94623</xdr:rowOff>
    </xdr:to>
    <xdr:pic>
      <xdr:nvPicPr>
        <xdr:cNvPr id="8" name="Picture 7">
          <a:extLst>
            <a:ext uri="{FF2B5EF4-FFF2-40B4-BE49-F238E27FC236}">
              <a16:creationId xmlns:a16="http://schemas.microsoft.com/office/drawing/2014/main" id="{F1589A31-4C8C-4A1F-A3E2-B2AF6858AB82}"/>
            </a:ext>
          </a:extLst>
        </xdr:cNvPr>
        <xdr:cNvPicPr>
          <a:picLocks noChangeAspect="1"/>
        </xdr:cNvPicPr>
      </xdr:nvPicPr>
      <xdr:blipFill>
        <a:blip xmlns:r="http://schemas.openxmlformats.org/officeDocument/2006/relationships" r:embed="rId3"/>
        <a:stretch>
          <a:fillRect/>
        </a:stretch>
      </xdr:blipFill>
      <xdr:spPr>
        <a:xfrm>
          <a:off x="23212425" y="28136850"/>
          <a:ext cx="887172" cy="294648"/>
        </a:xfrm>
        <a:prstGeom prst="rect">
          <a:avLst/>
        </a:prstGeom>
      </xdr:spPr>
    </xdr:pic>
    <xdr:clientData/>
  </xdr:twoCellAnchor>
  <xdr:twoCellAnchor editAs="oneCell">
    <xdr:from>
      <xdr:col>22</xdr:col>
      <xdr:colOff>27214</xdr:colOff>
      <xdr:row>61</xdr:row>
      <xdr:rowOff>40822</xdr:rowOff>
    </xdr:from>
    <xdr:to>
      <xdr:col>22</xdr:col>
      <xdr:colOff>908036</xdr:colOff>
      <xdr:row>62</xdr:row>
      <xdr:rowOff>135445</xdr:rowOff>
    </xdr:to>
    <xdr:pic>
      <xdr:nvPicPr>
        <xdr:cNvPr id="9" name="Picture 8">
          <a:extLst>
            <a:ext uri="{FF2B5EF4-FFF2-40B4-BE49-F238E27FC236}">
              <a16:creationId xmlns:a16="http://schemas.microsoft.com/office/drawing/2014/main" id="{B8379400-FD01-44CA-AF5D-BA872C3A6ABB}"/>
            </a:ext>
          </a:extLst>
        </xdr:cNvPr>
        <xdr:cNvPicPr>
          <a:picLocks noChangeAspect="1"/>
        </xdr:cNvPicPr>
      </xdr:nvPicPr>
      <xdr:blipFill>
        <a:blip xmlns:r="http://schemas.openxmlformats.org/officeDocument/2006/relationships" r:embed="rId3"/>
        <a:stretch>
          <a:fillRect/>
        </a:stretch>
      </xdr:blipFill>
      <xdr:spPr>
        <a:xfrm>
          <a:off x="23242814" y="12347122"/>
          <a:ext cx="877647" cy="294648"/>
        </a:xfrm>
        <a:prstGeom prst="rect">
          <a:avLst/>
        </a:prstGeom>
      </xdr:spPr>
    </xdr:pic>
    <xdr:clientData/>
  </xdr:twoCellAnchor>
  <xdr:twoCellAnchor editAs="oneCell">
    <xdr:from>
      <xdr:col>0</xdr:col>
      <xdr:colOff>163286</xdr:colOff>
      <xdr:row>61</xdr:row>
      <xdr:rowOff>136072</xdr:rowOff>
    </xdr:from>
    <xdr:to>
      <xdr:col>1</xdr:col>
      <xdr:colOff>614</xdr:colOff>
      <xdr:row>62</xdr:row>
      <xdr:rowOff>160712</xdr:rowOff>
    </xdr:to>
    <xdr:pic>
      <xdr:nvPicPr>
        <xdr:cNvPr id="10" name="Picture 9">
          <a:extLst>
            <a:ext uri="{FF2B5EF4-FFF2-40B4-BE49-F238E27FC236}">
              <a16:creationId xmlns:a16="http://schemas.microsoft.com/office/drawing/2014/main" id="{EFD69B4A-FA78-4E5D-9057-7BD730B6F81B}"/>
            </a:ext>
          </a:extLst>
        </xdr:cNvPr>
        <xdr:cNvPicPr>
          <a:picLocks noChangeAspect="1"/>
        </xdr:cNvPicPr>
      </xdr:nvPicPr>
      <xdr:blipFill>
        <a:blip xmlns:r="http://schemas.openxmlformats.org/officeDocument/2006/relationships" r:embed="rId4"/>
        <a:stretch>
          <a:fillRect/>
        </a:stretch>
      </xdr:blipFill>
      <xdr:spPr>
        <a:xfrm>
          <a:off x="160111" y="12442372"/>
          <a:ext cx="173878" cy="224665"/>
        </a:xfrm>
        <a:prstGeom prst="rect">
          <a:avLst/>
        </a:prstGeom>
      </xdr:spPr>
    </xdr:pic>
    <xdr:clientData/>
  </xdr:twoCellAnchor>
  <xdr:twoCellAnchor editAs="oneCell">
    <xdr:from>
      <xdr:col>0</xdr:col>
      <xdr:colOff>217714</xdr:colOff>
      <xdr:row>138</xdr:row>
      <xdr:rowOff>40821</xdr:rowOff>
    </xdr:from>
    <xdr:to>
      <xdr:col>1</xdr:col>
      <xdr:colOff>45063</xdr:colOff>
      <xdr:row>139</xdr:row>
      <xdr:rowOff>65461</xdr:rowOff>
    </xdr:to>
    <xdr:pic>
      <xdr:nvPicPr>
        <xdr:cNvPr id="11" name="Picture 10">
          <a:extLst>
            <a:ext uri="{FF2B5EF4-FFF2-40B4-BE49-F238E27FC236}">
              <a16:creationId xmlns:a16="http://schemas.microsoft.com/office/drawing/2014/main" id="{D94121D0-4FF2-440D-A818-F9A18718A442}"/>
            </a:ext>
          </a:extLst>
        </xdr:cNvPr>
        <xdr:cNvPicPr>
          <a:picLocks noChangeAspect="1"/>
        </xdr:cNvPicPr>
      </xdr:nvPicPr>
      <xdr:blipFill>
        <a:blip xmlns:r="http://schemas.openxmlformats.org/officeDocument/2006/relationships" r:embed="rId4"/>
        <a:stretch>
          <a:fillRect/>
        </a:stretch>
      </xdr:blipFill>
      <xdr:spPr>
        <a:xfrm>
          <a:off x="220889" y="28177671"/>
          <a:ext cx="157549" cy="224665"/>
        </a:xfrm>
        <a:prstGeom prst="rect">
          <a:avLst/>
        </a:prstGeom>
      </xdr:spPr>
    </xdr:pic>
    <xdr:clientData/>
  </xdr:twoCellAnchor>
  <xdr:twoCellAnchor editAs="oneCell">
    <xdr:from>
      <xdr:col>0</xdr:col>
      <xdr:colOff>190500</xdr:colOff>
      <xdr:row>204</xdr:row>
      <xdr:rowOff>136071</xdr:rowOff>
    </xdr:from>
    <xdr:to>
      <xdr:col>1</xdr:col>
      <xdr:colOff>21024</xdr:colOff>
      <xdr:row>205</xdr:row>
      <xdr:rowOff>160711</xdr:rowOff>
    </xdr:to>
    <xdr:pic>
      <xdr:nvPicPr>
        <xdr:cNvPr id="12" name="Picture 11">
          <a:extLst>
            <a:ext uri="{FF2B5EF4-FFF2-40B4-BE49-F238E27FC236}">
              <a16:creationId xmlns:a16="http://schemas.microsoft.com/office/drawing/2014/main" id="{9EFC4F15-F804-4171-9F60-90C80CAED0E8}"/>
            </a:ext>
          </a:extLst>
        </xdr:cNvPr>
        <xdr:cNvPicPr>
          <a:picLocks noChangeAspect="1"/>
        </xdr:cNvPicPr>
      </xdr:nvPicPr>
      <xdr:blipFill>
        <a:blip xmlns:r="http://schemas.openxmlformats.org/officeDocument/2006/relationships" r:embed="rId4"/>
        <a:stretch>
          <a:fillRect/>
        </a:stretch>
      </xdr:blipFill>
      <xdr:spPr>
        <a:xfrm>
          <a:off x="190500" y="41512671"/>
          <a:ext cx="163899" cy="224665"/>
        </a:xfrm>
        <a:prstGeom prst="rect">
          <a:avLst/>
        </a:prstGeom>
      </xdr:spPr>
    </xdr:pic>
    <xdr:clientData/>
  </xdr:twoCellAnchor>
  <xdr:twoCellAnchor editAs="oneCell">
    <xdr:from>
      <xdr:col>0</xdr:col>
      <xdr:colOff>217715</xdr:colOff>
      <xdr:row>331</xdr:row>
      <xdr:rowOff>136073</xdr:rowOff>
    </xdr:from>
    <xdr:to>
      <xdr:col>1</xdr:col>
      <xdr:colOff>45064</xdr:colOff>
      <xdr:row>332</xdr:row>
      <xdr:rowOff>160713</xdr:rowOff>
    </xdr:to>
    <xdr:pic>
      <xdr:nvPicPr>
        <xdr:cNvPr id="13" name="Picture 12">
          <a:extLst>
            <a:ext uri="{FF2B5EF4-FFF2-40B4-BE49-F238E27FC236}">
              <a16:creationId xmlns:a16="http://schemas.microsoft.com/office/drawing/2014/main" id="{5C8E34B4-8CB5-4C2F-9A35-9AE850C31275}"/>
            </a:ext>
          </a:extLst>
        </xdr:cNvPr>
        <xdr:cNvPicPr>
          <a:picLocks noChangeAspect="1"/>
        </xdr:cNvPicPr>
      </xdr:nvPicPr>
      <xdr:blipFill>
        <a:blip xmlns:r="http://schemas.openxmlformats.org/officeDocument/2006/relationships" r:embed="rId4"/>
        <a:stretch>
          <a:fillRect/>
        </a:stretch>
      </xdr:blipFill>
      <xdr:spPr>
        <a:xfrm>
          <a:off x="220890" y="67030148"/>
          <a:ext cx="157549" cy="224665"/>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xdr:from>
      <xdr:col>22</xdr:col>
      <xdr:colOff>1095375</xdr:colOff>
      <xdr:row>332</xdr:row>
      <xdr:rowOff>123825</xdr:rowOff>
    </xdr:from>
    <xdr:to>
      <xdr:col>22</xdr:col>
      <xdr:colOff>1895475</xdr:colOff>
      <xdr:row>333</xdr:row>
      <xdr:rowOff>152400</xdr:rowOff>
    </xdr:to>
    <xdr:pic>
      <xdr:nvPicPr>
        <xdr:cNvPr id="2" name="Picture 1" descr="C:\WINDOWS\TEMP\~0003946.gif">
          <a:extLst>
            <a:ext uri="{FF2B5EF4-FFF2-40B4-BE49-F238E27FC236}">
              <a16:creationId xmlns:a16="http://schemas.microsoft.com/office/drawing/2014/main" id="{D5C18F70-1000-4DF0-8D27-7CE749044F7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199850" y="6701472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205</xdr:row>
      <xdr:rowOff>152400</xdr:rowOff>
    </xdr:from>
    <xdr:to>
      <xdr:col>22</xdr:col>
      <xdr:colOff>1924050</xdr:colOff>
      <xdr:row>206</xdr:row>
      <xdr:rowOff>180975</xdr:rowOff>
    </xdr:to>
    <xdr:pic>
      <xdr:nvPicPr>
        <xdr:cNvPr id="3" name="Picture 2" descr="C:\WINDOWS\TEMP\~0003946.gif">
          <a:extLst>
            <a:ext uri="{FF2B5EF4-FFF2-40B4-BE49-F238E27FC236}">
              <a16:creationId xmlns:a16="http://schemas.microsoft.com/office/drawing/2014/main" id="{E4FD3499-D8EF-4431-B0E3-256892C98DD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203025" y="4152900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139</xdr:row>
      <xdr:rowOff>161925</xdr:rowOff>
    </xdr:from>
    <xdr:to>
      <xdr:col>22</xdr:col>
      <xdr:colOff>1952625</xdr:colOff>
      <xdr:row>140</xdr:row>
      <xdr:rowOff>190500</xdr:rowOff>
    </xdr:to>
    <xdr:pic>
      <xdr:nvPicPr>
        <xdr:cNvPr id="4" name="Picture 3" descr="C:\WINDOWS\TEMP\~0003946.gif">
          <a:extLst>
            <a:ext uri="{FF2B5EF4-FFF2-40B4-BE49-F238E27FC236}">
              <a16:creationId xmlns:a16="http://schemas.microsoft.com/office/drawing/2014/main" id="{AFBB1961-CB65-4A4E-AE3D-35F43F9B125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199850" y="2829560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61</xdr:row>
      <xdr:rowOff>161925</xdr:rowOff>
    </xdr:from>
    <xdr:to>
      <xdr:col>22</xdr:col>
      <xdr:colOff>1952625</xdr:colOff>
      <xdr:row>62</xdr:row>
      <xdr:rowOff>190500</xdr:rowOff>
    </xdr:to>
    <xdr:pic>
      <xdr:nvPicPr>
        <xdr:cNvPr id="5" name="Picture 4" descr="C:\WINDOWS\TEMP\~0003946.gif">
          <a:extLst>
            <a:ext uri="{FF2B5EF4-FFF2-40B4-BE49-F238E27FC236}">
              <a16:creationId xmlns:a16="http://schemas.microsoft.com/office/drawing/2014/main" id="{CB42627F-7FA3-4D48-986A-941266ED7AF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199850" y="1246505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0</xdr:colOff>
      <xdr:row>332</xdr:row>
      <xdr:rowOff>0</xdr:rowOff>
    </xdr:from>
    <xdr:to>
      <xdr:col>22</xdr:col>
      <xdr:colOff>883997</xdr:colOff>
      <xdr:row>333</xdr:row>
      <xdr:rowOff>94622</xdr:rowOff>
    </xdr:to>
    <xdr:pic>
      <xdr:nvPicPr>
        <xdr:cNvPr id="6" name="Picture 5">
          <a:extLst>
            <a:ext uri="{FF2B5EF4-FFF2-40B4-BE49-F238E27FC236}">
              <a16:creationId xmlns:a16="http://schemas.microsoft.com/office/drawing/2014/main" id="{CF12D303-5E26-4DB7-8848-CB4FD4677CC7}"/>
            </a:ext>
          </a:extLst>
        </xdr:cNvPr>
        <xdr:cNvPicPr>
          <a:picLocks noChangeAspect="1"/>
        </xdr:cNvPicPr>
      </xdr:nvPicPr>
      <xdr:blipFill>
        <a:blip xmlns:r="http://schemas.openxmlformats.org/officeDocument/2006/relationships" r:embed="rId3"/>
        <a:stretch>
          <a:fillRect/>
        </a:stretch>
      </xdr:blipFill>
      <xdr:spPr>
        <a:xfrm>
          <a:off x="23221950" y="66894075"/>
          <a:ext cx="883997" cy="294648"/>
        </a:xfrm>
        <a:prstGeom prst="rect">
          <a:avLst/>
        </a:prstGeom>
      </xdr:spPr>
    </xdr:pic>
    <xdr:clientData/>
  </xdr:twoCellAnchor>
  <xdr:twoCellAnchor editAs="oneCell">
    <xdr:from>
      <xdr:col>22</xdr:col>
      <xdr:colOff>0</xdr:colOff>
      <xdr:row>205</xdr:row>
      <xdr:rowOff>0</xdr:rowOff>
    </xdr:from>
    <xdr:to>
      <xdr:col>22</xdr:col>
      <xdr:colOff>883997</xdr:colOff>
      <xdr:row>206</xdr:row>
      <xdr:rowOff>94624</xdr:rowOff>
    </xdr:to>
    <xdr:pic>
      <xdr:nvPicPr>
        <xdr:cNvPr id="7" name="Picture 6">
          <a:extLst>
            <a:ext uri="{FF2B5EF4-FFF2-40B4-BE49-F238E27FC236}">
              <a16:creationId xmlns:a16="http://schemas.microsoft.com/office/drawing/2014/main" id="{494910F5-C31D-4462-AD22-61AD8A2A513B}"/>
            </a:ext>
          </a:extLst>
        </xdr:cNvPr>
        <xdr:cNvPicPr>
          <a:picLocks noChangeAspect="1"/>
        </xdr:cNvPicPr>
      </xdr:nvPicPr>
      <xdr:blipFill>
        <a:blip xmlns:r="http://schemas.openxmlformats.org/officeDocument/2006/relationships" r:embed="rId3"/>
        <a:stretch>
          <a:fillRect/>
        </a:stretch>
      </xdr:blipFill>
      <xdr:spPr>
        <a:xfrm>
          <a:off x="23221950" y="41376600"/>
          <a:ext cx="883997" cy="294648"/>
        </a:xfrm>
        <a:prstGeom prst="rect">
          <a:avLst/>
        </a:prstGeom>
      </xdr:spPr>
    </xdr:pic>
    <xdr:clientData/>
  </xdr:twoCellAnchor>
  <xdr:twoCellAnchor editAs="oneCell">
    <xdr:from>
      <xdr:col>22</xdr:col>
      <xdr:colOff>0</xdr:colOff>
      <xdr:row>139</xdr:row>
      <xdr:rowOff>0</xdr:rowOff>
    </xdr:from>
    <xdr:to>
      <xdr:col>22</xdr:col>
      <xdr:colOff>883997</xdr:colOff>
      <xdr:row>140</xdr:row>
      <xdr:rowOff>94623</xdr:rowOff>
    </xdr:to>
    <xdr:pic>
      <xdr:nvPicPr>
        <xdr:cNvPr id="8" name="Picture 7">
          <a:extLst>
            <a:ext uri="{FF2B5EF4-FFF2-40B4-BE49-F238E27FC236}">
              <a16:creationId xmlns:a16="http://schemas.microsoft.com/office/drawing/2014/main" id="{B2FB12F8-05F0-4F45-AC13-96D3C0A5203F}"/>
            </a:ext>
          </a:extLst>
        </xdr:cNvPr>
        <xdr:cNvPicPr>
          <a:picLocks noChangeAspect="1"/>
        </xdr:cNvPicPr>
      </xdr:nvPicPr>
      <xdr:blipFill>
        <a:blip xmlns:r="http://schemas.openxmlformats.org/officeDocument/2006/relationships" r:embed="rId3"/>
        <a:stretch>
          <a:fillRect/>
        </a:stretch>
      </xdr:blipFill>
      <xdr:spPr>
        <a:xfrm>
          <a:off x="23221950" y="28136850"/>
          <a:ext cx="883997" cy="294648"/>
        </a:xfrm>
        <a:prstGeom prst="rect">
          <a:avLst/>
        </a:prstGeom>
      </xdr:spPr>
    </xdr:pic>
    <xdr:clientData/>
  </xdr:twoCellAnchor>
  <xdr:twoCellAnchor editAs="oneCell">
    <xdr:from>
      <xdr:col>22</xdr:col>
      <xdr:colOff>27214</xdr:colOff>
      <xdr:row>61</xdr:row>
      <xdr:rowOff>40822</xdr:rowOff>
    </xdr:from>
    <xdr:to>
      <xdr:col>22</xdr:col>
      <xdr:colOff>904861</xdr:colOff>
      <xdr:row>62</xdr:row>
      <xdr:rowOff>135445</xdr:rowOff>
    </xdr:to>
    <xdr:pic>
      <xdr:nvPicPr>
        <xdr:cNvPr id="9" name="Picture 8">
          <a:extLst>
            <a:ext uri="{FF2B5EF4-FFF2-40B4-BE49-F238E27FC236}">
              <a16:creationId xmlns:a16="http://schemas.microsoft.com/office/drawing/2014/main" id="{6E2F328E-86C0-43DC-9B20-0AF4497F5AFC}"/>
            </a:ext>
          </a:extLst>
        </xdr:cNvPr>
        <xdr:cNvPicPr>
          <a:picLocks noChangeAspect="1"/>
        </xdr:cNvPicPr>
      </xdr:nvPicPr>
      <xdr:blipFill>
        <a:blip xmlns:r="http://schemas.openxmlformats.org/officeDocument/2006/relationships" r:embed="rId3"/>
        <a:stretch>
          <a:fillRect/>
        </a:stretch>
      </xdr:blipFill>
      <xdr:spPr>
        <a:xfrm>
          <a:off x="23252339" y="12347122"/>
          <a:ext cx="874472" cy="294648"/>
        </a:xfrm>
        <a:prstGeom prst="rect">
          <a:avLst/>
        </a:prstGeom>
      </xdr:spPr>
    </xdr:pic>
    <xdr:clientData/>
  </xdr:twoCellAnchor>
  <xdr:twoCellAnchor editAs="oneCell">
    <xdr:from>
      <xdr:col>0</xdr:col>
      <xdr:colOff>163286</xdr:colOff>
      <xdr:row>61</xdr:row>
      <xdr:rowOff>136072</xdr:rowOff>
    </xdr:from>
    <xdr:to>
      <xdr:col>1</xdr:col>
      <xdr:colOff>614</xdr:colOff>
      <xdr:row>62</xdr:row>
      <xdr:rowOff>163887</xdr:rowOff>
    </xdr:to>
    <xdr:pic>
      <xdr:nvPicPr>
        <xdr:cNvPr id="10" name="Picture 9">
          <a:extLst>
            <a:ext uri="{FF2B5EF4-FFF2-40B4-BE49-F238E27FC236}">
              <a16:creationId xmlns:a16="http://schemas.microsoft.com/office/drawing/2014/main" id="{F31301B4-ED3B-4F01-B600-A9C7F5807244}"/>
            </a:ext>
          </a:extLst>
        </xdr:cNvPr>
        <xdr:cNvPicPr>
          <a:picLocks noChangeAspect="1"/>
        </xdr:cNvPicPr>
      </xdr:nvPicPr>
      <xdr:blipFill>
        <a:blip xmlns:r="http://schemas.openxmlformats.org/officeDocument/2006/relationships" r:embed="rId4"/>
        <a:stretch>
          <a:fillRect/>
        </a:stretch>
      </xdr:blipFill>
      <xdr:spPr>
        <a:xfrm>
          <a:off x="160111" y="12442372"/>
          <a:ext cx="173878" cy="227840"/>
        </a:xfrm>
        <a:prstGeom prst="rect">
          <a:avLst/>
        </a:prstGeom>
      </xdr:spPr>
    </xdr:pic>
    <xdr:clientData/>
  </xdr:twoCellAnchor>
  <xdr:twoCellAnchor editAs="oneCell">
    <xdr:from>
      <xdr:col>0</xdr:col>
      <xdr:colOff>217714</xdr:colOff>
      <xdr:row>139</xdr:row>
      <xdr:rowOff>40821</xdr:rowOff>
    </xdr:from>
    <xdr:to>
      <xdr:col>1</xdr:col>
      <xdr:colOff>48238</xdr:colOff>
      <xdr:row>140</xdr:row>
      <xdr:rowOff>68636</xdr:rowOff>
    </xdr:to>
    <xdr:pic>
      <xdr:nvPicPr>
        <xdr:cNvPr id="11" name="Picture 10">
          <a:extLst>
            <a:ext uri="{FF2B5EF4-FFF2-40B4-BE49-F238E27FC236}">
              <a16:creationId xmlns:a16="http://schemas.microsoft.com/office/drawing/2014/main" id="{29705E03-77AB-4D13-A973-7B9AF15944C8}"/>
            </a:ext>
          </a:extLst>
        </xdr:cNvPr>
        <xdr:cNvPicPr>
          <a:picLocks noChangeAspect="1"/>
        </xdr:cNvPicPr>
      </xdr:nvPicPr>
      <xdr:blipFill>
        <a:blip xmlns:r="http://schemas.openxmlformats.org/officeDocument/2006/relationships" r:embed="rId4"/>
        <a:stretch>
          <a:fillRect/>
        </a:stretch>
      </xdr:blipFill>
      <xdr:spPr>
        <a:xfrm>
          <a:off x="220889" y="28177671"/>
          <a:ext cx="160724" cy="227840"/>
        </a:xfrm>
        <a:prstGeom prst="rect">
          <a:avLst/>
        </a:prstGeom>
      </xdr:spPr>
    </xdr:pic>
    <xdr:clientData/>
  </xdr:twoCellAnchor>
  <xdr:twoCellAnchor editAs="oneCell">
    <xdr:from>
      <xdr:col>0</xdr:col>
      <xdr:colOff>190500</xdr:colOff>
      <xdr:row>205</xdr:row>
      <xdr:rowOff>136071</xdr:rowOff>
    </xdr:from>
    <xdr:to>
      <xdr:col>1</xdr:col>
      <xdr:colOff>21024</xdr:colOff>
      <xdr:row>206</xdr:row>
      <xdr:rowOff>163887</xdr:rowOff>
    </xdr:to>
    <xdr:pic>
      <xdr:nvPicPr>
        <xdr:cNvPr id="12" name="Picture 11">
          <a:extLst>
            <a:ext uri="{FF2B5EF4-FFF2-40B4-BE49-F238E27FC236}">
              <a16:creationId xmlns:a16="http://schemas.microsoft.com/office/drawing/2014/main" id="{CE81DEBC-E9AD-43F7-8856-7E05B431B259}"/>
            </a:ext>
          </a:extLst>
        </xdr:cNvPr>
        <xdr:cNvPicPr>
          <a:picLocks noChangeAspect="1"/>
        </xdr:cNvPicPr>
      </xdr:nvPicPr>
      <xdr:blipFill>
        <a:blip xmlns:r="http://schemas.openxmlformats.org/officeDocument/2006/relationships" r:embed="rId4"/>
        <a:stretch>
          <a:fillRect/>
        </a:stretch>
      </xdr:blipFill>
      <xdr:spPr>
        <a:xfrm>
          <a:off x="190500" y="41512671"/>
          <a:ext cx="163899" cy="227840"/>
        </a:xfrm>
        <a:prstGeom prst="rect">
          <a:avLst/>
        </a:prstGeom>
      </xdr:spPr>
    </xdr:pic>
    <xdr:clientData/>
  </xdr:twoCellAnchor>
  <xdr:twoCellAnchor editAs="oneCell">
    <xdr:from>
      <xdr:col>0</xdr:col>
      <xdr:colOff>217715</xdr:colOff>
      <xdr:row>332</xdr:row>
      <xdr:rowOff>136073</xdr:rowOff>
    </xdr:from>
    <xdr:to>
      <xdr:col>1</xdr:col>
      <xdr:colOff>48239</xdr:colOff>
      <xdr:row>333</xdr:row>
      <xdr:rowOff>163887</xdr:rowOff>
    </xdr:to>
    <xdr:pic>
      <xdr:nvPicPr>
        <xdr:cNvPr id="13" name="Picture 12">
          <a:extLst>
            <a:ext uri="{FF2B5EF4-FFF2-40B4-BE49-F238E27FC236}">
              <a16:creationId xmlns:a16="http://schemas.microsoft.com/office/drawing/2014/main" id="{D41CA7EF-D822-4276-9089-90134D9D4671}"/>
            </a:ext>
          </a:extLst>
        </xdr:cNvPr>
        <xdr:cNvPicPr>
          <a:picLocks noChangeAspect="1"/>
        </xdr:cNvPicPr>
      </xdr:nvPicPr>
      <xdr:blipFill>
        <a:blip xmlns:r="http://schemas.openxmlformats.org/officeDocument/2006/relationships" r:embed="rId4"/>
        <a:stretch>
          <a:fillRect/>
        </a:stretch>
      </xdr:blipFill>
      <xdr:spPr>
        <a:xfrm>
          <a:off x="220890" y="67030148"/>
          <a:ext cx="160724" cy="2278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9633" name="Picture 1" descr="C:\WINDOWS\TEMP\Symbol.gif">
          <a:extLst>
            <a:ext uri="{FF2B5EF4-FFF2-40B4-BE49-F238E27FC236}">
              <a16:creationId xmlns:a16="http://schemas.microsoft.com/office/drawing/2014/main" id="{00000000-0008-0000-0500-0000C17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137</xdr:row>
      <xdr:rowOff>161925</xdr:rowOff>
    </xdr:from>
    <xdr:to>
      <xdr:col>1</xdr:col>
      <xdr:colOff>28575</xdr:colOff>
      <xdr:row>138</xdr:row>
      <xdr:rowOff>200025</xdr:rowOff>
    </xdr:to>
    <xdr:pic>
      <xdr:nvPicPr>
        <xdr:cNvPr id="29634" name="Picture 2" descr="C:\WINDOWS\TEMP\Symbol.gif">
          <a:extLst>
            <a:ext uri="{FF2B5EF4-FFF2-40B4-BE49-F238E27FC236}">
              <a16:creationId xmlns:a16="http://schemas.microsoft.com/office/drawing/2014/main" id="{00000000-0008-0000-0500-0000C27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8575" y="281178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202</xdr:row>
      <xdr:rowOff>171450</xdr:rowOff>
    </xdr:from>
    <xdr:to>
      <xdr:col>1</xdr:col>
      <xdr:colOff>47625</xdr:colOff>
      <xdr:row>203</xdr:row>
      <xdr:rowOff>209550</xdr:rowOff>
    </xdr:to>
    <xdr:pic>
      <xdr:nvPicPr>
        <xdr:cNvPr id="29635" name="Picture 3" descr="C:\WINDOWS\TEMP\Symbol.gif">
          <a:extLst>
            <a:ext uri="{FF2B5EF4-FFF2-40B4-BE49-F238E27FC236}">
              <a16:creationId xmlns:a16="http://schemas.microsoft.com/office/drawing/2014/main" id="{00000000-0008-0000-0500-0000C37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47625" y="41214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286</xdr:row>
      <xdr:rowOff>161925</xdr:rowOff>
    </xdr:from>
    <xdr:to>
      <xdr:col>1</xdr:col>
      <xdr:colOff>19050</xdr:colOff>
      <xdr:row>287</xdr:row>
      <xdr:rowOff>200025</xdr:rowOff>
    </xdr:to>
    <xdr:pic>
      <xdr:nvPicPr>
        <xdr:cNvPr id="29636" name="Picture 4" descr="C:\WINDOWS\TEMP\Symbol.gif">
          <a:extLst>
            <a:ext uri="{FF2B5EF4-FFF2-40B4-BE49-F238E27FC236}">
              <a16:creationId xmlns:a16="http://schemas.microsoft.com/office/drawing/2014/main" id="{00000000-0008-0000-0500-0000C47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9525" y="580929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286</xdr:row>
      <xdr:rowOff>123825</xdr:rowOff>
    </xdr:from>
    <xdr:to>
      <xdr:col>22</xdr:col>
      <xdr:colOff>1895475</xdr:colOff>
      <xdr:row>287</xdr:row>
      <xdr:rowOff>152400</xdr:rowOff>
    </xdr:to>
    <xdr:pic>
      <xdr:nvPicPr>
        <xdr:cNvPr id="29637" name="Picture 5" descr="C:\WINDOWS\TEMP\~0003946.gif">
          <a:extLst>
            <a:ext uri="{FF2B5EF4-FFF2-40B4-BE49-F238E27FC236}">
              <a16:creationId xmlns:a16="http://schemas.microsoft.com/office/drawing/2014/main" id="{00000000-0008-0000-0500-0000C573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5222200" y="58054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202</xdr:row>
      <xdr:rowOff>152400</xdr:rowOff>
    </xdr:from>
    <xdr:to>
      <xdr:col>22</xdr:col>
      <xdr:colOff>1924050</xdr:colOff>
      <xdr:row>203</xdr:row>
      <xdr:rowOff>180975</xdr:rowOff>
    </xdr:to>
    <xdr:pic>
      <xdr:nvPicPr>
        <xdr:cNvPr id="29638" name="Picture 6" descr="C:\WINDOWS\TEMP\~0003946.gif">
          <a:extLst>
            <a:ext uri="{FF2B5EF4-FFF2-40B4-BE49-F238E27FC236}">
              <a16:creationId xmlns:a16="http://schemas.microsoft.com/office/drawing/2014/main" id="{00000000-0008-0000-0500-0000C673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5222200" y="41195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137</xdr:row>
      <xdr:rowOff>161925</xdr:rowOff>
    </xdr:from>
    <xdr:to>
      <xdr:col>22</xdr:col>
      <xdr:colOff>1952625</xdr:colOff>
      <xdr:row>138</xdr:row>
      <xdr:rowOff>190500</xdr:rowOff>
    </xdr:to>
    <xdr:pic>
      <xdr:nvPicPr>
        <xdr:cNvPr id="29639" name="Picture 7" descr="C:\WINDOWS\TEMP\~0003946.gif">
          <a:extLst>
            <a:ext uri="{FF2B5EF4-FFF2-40B4-BE49-F238E27FC236}">
              <a16:creationId xmlns:a16="http://schemas.microsoft.com/office/drawing/2014/main" id="{00000000-0008-0000-0500-0000C773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5222200" y="28117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29640" name="Picture 8" descr="C:\WINDOWS\TEMP\~0003946.gif">
          <a:extLst>
            <a:ext uri="{FF2B5EF4-FFF2-40B4-BE49-F238E27FC236}">
              <a16:creationId xmlns:a16="http://schemas.microsoft.com/office/drawing/2014/main" id="{00000000-0008-0000-0500-0000C873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29641" name="Picture 9" descr="C:\WINDOWS\TEMP\~0003946.gif">
          <a:extLst>
            <a:ext uri="{FF2B5EF4-FFF2-40B4-BE49-F238E27FC236}">
              <a16:creationId xmlns:a16="http://schemas.microsoft.com/office/drawing/2014/main" id="{00000000-0008-0000-0500-0000C973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137</xdr:row>
      <xdr:rowOff>123825</xdr:rowOff>
    </xdr:from>
    <xdr:to>
      <xdr:col>22</xdr:col>
      <xdr:colOff>895350</xdr:colOff>
      <xdr:row>138</xdr:row>
      <xdr:rowOff>152400</xdr:rowOff>
    </xdr:to>
    <xdr:pic>
      <xdr:nvPicPr>
        <xdr:cNvPr id="29642" name="Picture 10" descr="C:\WINDOWS\TEMP\~0003946.gif">
          <a:extLst>
            <a:ext uri="{FF2B5EF4-FFF2-40B4-BE49-F238E27FC236}">
              <a16:creationId xmlns:a16="http://schemas.microsoft.com/office/drawing/2014/main" id="{00000000-0008-0000-0500-0000CA73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4307800" y="280797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202</xdr:row>
      <xdr:rowOff>104775</xdr:rowOff>
    </xdr:from>
    <xdr:to>
      <xdr:col>22</xdr:col>
      <xdr:colOff>809625</xdr:colOff>
      <xdr:row>203</xdr:row>
      <xdr:rowOff>133350</xdr:rowOff>
    </xdr:to>
    <xdr:pic>
      <xdr:nvPicPr>
        <xdr:cNvPr id="29643" name="Picture 11" descr="C:\WINDOWS\TEMP\~0003946.gif">
          <a:extLst>
            <a:ext uri="{FF2B5EF4-FFF2-40B4-BE49-F238E27FC236}">
              <a16:creationId xmlns:a16="http://schemas.microsoft.com/office/drawing/2014/main" id="{00000000-0008-0000-0500-0000CB73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4222075" y="4114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286</xdr:row>
      <xdr:rowOff>104775</xdr:rowOff>
    </xdr:from>
    <xdr:to>
      <xdr:col>22</xdr:col>
      <xdr:colOff>895350</xdr:colOff>
      <xdr:row>287</xdr:row>
      <xdr:rowOff>133350</xdr:rowOff>
    </xdr:to>
    <xdr:pic>
      <xdr:nvPicPr>
        <xdr:cNvPr id="29644" name="Picture 12" descr="C:\WINDOWS\TEMP\~0003946.gif">
          <a:extLst>
            <a:ext uri="{FF2B5EF4-FFF2-40B4-BE49-F238E27FC236}">
              <a16:creationId xmlns:a16="http://schemas.microsoft.com/office/drawing/2014/main" id="{00000000-0008-0000-0500-0000CC73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4307800" y="580358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29645" name="Picture 13" descr="logoMTL">
          <a:extLst>
            <a:ext uri="{FF2B5EF4-FFF2-40B4-BE49-F238E27FC236}">
              <a16:creationId xmlns:a16="http://schemas.microsoft.com/office/drawing/2014/main" id="{00000000-0008-0000-0500-0000CD7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137</xdr:row>
      <xdr:rowOff>38100</xdr:rowOff>
    </xdr:from>
    <xdr:to>
      <xdr:col>21</xdr:col>
      <xdr:colOff>1171575</xdr:colOff>
      <xdr:row>138</xdr:row>
      <xdr:rowOff>161925</xdr:rowOff>
    </xdr:to>
    <xdr:pic>
      <xdr:nvPicPr>
        <xdr:cNvPr id="29646" name="Picture 14" descr="logoMTL">
          <a:extLst>
            <a:ext uri="{FF2B5EF4-FFF2-40B4-BE49-F238E27FC236}">
              <a16:creationId xmlns:a16="http://schemas.microsoft.com/office/drawing/2014/main" id="{00000000-0008-0000-0500-0000CE7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326725" y="279939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202</xdr:row>
      <xdr:rowOff>28575</xdr:rowOff>
    </xdr:from>
    <xdr:to>
      <xdr:col>21</xdr:col>
      <xdr:colOff>1171575</xdr:colOff>
      <xdr:row>203</xdr:row>
      <xdr:rowOff>152400</xdr:rowOff>
    </xdr:to>
    <xdr:pic>
      <xdr:nvPicPr>
        <xdr:cNvPr id="29647" name="Picture 15" descr="logoMTL">
          <a:extLst>
            <a:ext uri="{FF2B5EF4-FFF2-40B4-BE49-F238E27FC236}">
              <a16:creationId xmlns:a16="http://schemas.microsoft.com/office/drawing/2014/main" id="{00000000-0008-0000-0500-0000CF7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326725" y="41071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286</xdr:row>
      <xdr:rowOff>0</xdr:rowOff>
    </xdr:from>
    <xdr:to>
      <xdr:col>21</xdr:col>
      <xdr:colOff>1228725</xdr:colOff>
      <xdr:row>287</xdr:row>
      <xdr:rowOff>123825</xdr:rowOff>
    </xdr:to>
    <xdr:pic>
      <xdr:nvPicPr>
        <xdr:cNvPr id="29648" name="Picture 16" descr="logoMTL">
          <a:extLst>
            <a:ext uri="{FF2B5EF4-FFF2-40B4-BE49-F238E27FC236}">
              <a16:creationId xmlns:a16="http://schemas.microsoft.com/office/drawing/2014/main" id="{00000000-0008-0000-0500-0000D07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374350" y="579310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30657" name="Picture 1" descr="C:\WINDOWS\TEMP\Symbol.gif">
          <a:extLst>
            <a:ext uri="{FF2B5EF4-FFF2-40B4-BE49-F238E27FC236}">
              <a16:creationId xmlns:a16="http://schemas.microsoft.com/office/drawing/2014/main" id="{00000000-0008-0000-0600-0000C17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137</xdr:row>
      <xdr:rowOff>161925</xdr:rowOff>
    </xdr:from>
    <xdr:to>
      <xdr:col>1</xdr:col>
      <xdr:colOff>28575</xdr:colOff>
      <xdr:row>138</xdr:row>
      <xdr:rowOff>200025</xdr:rowOff>
    </xdr:to>
    <xdr:pic>
      <xdr:nvPicPr>
        <xdr:cNvPr id="30658" name="Picture 2" descr="C:\WINDOWS\TEMP\Symbol.gif">
          <a:extLst>
            <a:ext uri="{FF2B5EF4-FFF2-40B4-BE49-F238E27FC236}">
              <a16:creationId xmlns:a16="http://schemas.microsoft.com/office/drawing/2014/main" id="{00000000-0008-0000-0600-0000C27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81178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202</xdr:row>
      <xdr:rowOff>171450</xdr:rowOff>
    </xdr:from>
    <xdr:to>
      <xdr:col>1</xdr:col>
      <xdr:colOff>47625</xdr:colOff>
      <xdr:row>203</xdr:row>
      <xdr:rowOff>209550</xdr:rowOff>
    </xdr:to>
    <xdr:pic>
      <xdr:nvPicPr>
        <xdr:cNvPr id="30659" name="Picture 3" descr="C:\WINDOWS\TEMP\Symbol.gif">
          <a:extLst>
            <a:ext uri="{FF2B5EF4-FFF2-40B4-BE49-F238E27FC236}">
              <a16:creationId xmlns:a16="http://schemas.microsoft.com/office/drawing/2014/main" id="{00000000-0008-0000-0600-0000C37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41214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286</xdr:row>
      <xdr:rowOff>161925</xdr:rowOff>
    </xdr:from>
    <xdr:to>
      <xdr:col>1</xdr:col>
      <xdr:colOff>19050</xdr:colOff>
      <xdr:row>287</xdr:row>
      <xdr:rowOff>200025</xdr:rowOff>
    </xdr:to>
    <xdr:pic>
      <xdr:nvPicPr>
        <xdr:cNvPr id="30660" name="Picture 4" descr="C:\WINDOWS\TEMP\Symbol.gif">
          <a:extLst>
            <a:ext uri="{FF2B5EF4-FFF2-40B4-BE49-F238E27FC236}">
              <a16:creationId xmlns:a16="http://schemas.microsoft.com/office/drawing/2014/main" id="{00000000-0008-0000-0600-0000C47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80929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286</xdr:row>
      <xdr:rowOff>123825</xdr:rowOff>
    </xdr:from>
    <xdr:to>
      <xdr:col>22</xdr:col>
      <xdr:colOff>1895475</xdr:colOff>
      <xdr:row>287</xdr:row>
      <xdr:rowOff>152400</xdr:rowOff>
    </xdr:to>
    <xdr:pic>
      <xdr:nvPicPr>
        <xdr:cNvPr id="30661" name="Picture 5" descr="C:\WINDOWS\TEMP\~0003946.gif">
          <a:extLst>
            <a:ext uri="{FF2B5EF4-FFF2-40B4-BE49-F238E27FC236}">
              <a16:creationId xmlns:a16="http://schemas.microsoft.com/office/drawing/2014/main" id="{00000000-0008-0000-0600-0000C57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8054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202</xdr:row>
      <xdr:rowOff>152400</xdr:rowOff>
    </xdr:from>
    <xdr:to>
      <xdr:col>22</xdr:col>
      <xdr:colOff>1924050</xdr:colOff>
      <xdr:row>203</xdr:row>
      <xdr:rowOff>180975</xdr:rowOff>
    </xdr:to>
    <xdr:pic>
      <xdr:nvPicPr>
        <xdr:cNvPr id="30662" name="Picture 6" descr="C:\WINDOWS\TEMP\~0003946.gif">
          <a:extLst>
            <a:ext uri="{FF2B5EF4-FFF2-40B4-BE49-F238E27FC236}">
              <a16:creationId xmlns:a16="http://schemas.microsoft.com/office/drawing/2014/main" id="{00000000-0008-0000-0600-0000C67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41195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137</xdr:row>
      <xdr:rowOff>161925</xdr:rowOff>
    </xdr:from>
    <xdr:to>
      <xdr:col>22</xdr:col>
      <xdr:colOff>1952625</xdr:colOff>
      <xdr:row>138</xdr:row>
      <xdr:rowOff>190500</xdr:rowOff>
    </xdr:to>
    <xdr:pic>
      <xdr:nvPicPr>
        <xdr:cNvPr id="30663" name="Picture 7" descr="C:\WINDOWS\TEMP\~0003946.gif">
          <a:extLst>
            <a:ext uri="{FF2B5EF4-FFF2-40B4-BE49-F238E27FC236}">
              <a16:creationId xmlns:a16="http://schemas.microsoft.com/office/drawing/2014/main" id="{00000000-0008-0000-0600-0000C77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8117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30664" name="Picture 8" descr="C:\WINDOWS\TEMP\~0003946.gif">
          <a:extLst>
            <a:ext uri="{FF2B5EF4-FFF2-40B4-BE49-F238E27FC236}">
              <a16:creationId xmlns:a16="http://schemas.microsoft.com/office/drawing/2014/main" id="{00000000-0008-0000-0600-0000C87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30665" name="Picture 9" descr="C:\WINDOWS\TEMP\~0003946.gif">
          <a:extLst>
            <a:ext uri="{FF2B5EF4-FFF2-40B4-BE49-F238E27FC236}">
              <a16:creationId xmlns:a16="http://schemas.microsoft.com/office/drawing/2014/main" id="{00000000-0008-0000-0600-0000C97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137</xdr:row>
      <xdr:rowOff>123825</xdr:rowOff>
    </xdr:from>
    <xdr:to>
      <xdr:col>22</xdr:col>
      <xdr:colOff>895350</xdr:colOff>
      <xdr:row>138</xdr:row>
      <xdr:rowOff>152400</xdr:rowOff>
    </xdr:to>
    <xdr:pic>
      <xdr:nvPicPr>
        <xdr:cNvPr id="30666" name="Picture 10" descr="C:\WINDOWS\TEMP\~0003946.gif">
          <a:extLst>
            <a:ext uri="{FF2B5EF4-FFF2-40B4-BE49-F238E27FC236}">
              <a16:creationId xmlns:a16="http://schemas.microsoft.com/office/drawing/2014/main" id="{00000000-0008-0000-0600-0000CA7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80797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202</xdr:row>
      <xdr:rowOff>104775</xdr:rowOff>
    </xdr:from>
    <xdr:to>
      <xdr:col>22</xdr:col>
      <xdr:colOff>809625</xdr:colOff>
      <xdr:row>203</xdr:row>
      <xdr:rowOff>133350</xdr:rowOff>
    </xdr:to>
    <xdr:pic>
      <xdr:nvPicPr>
        <xdr:cNvPr id="30667" name="Picture 11" descr="C:\WINDOWS\TEMP\~0003946.gif">
          <a:extLst>
            <a:ext uri="{FF2B5EF4-FFF2-40B4-BE49-F238E27FC236}">
              <a16:creationId xmlns:a16="http://schemas.microsoft.com/office/drawing/2014/main" id="{00000000-0008-0000-0600-0000CB7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4114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286</xdr:row>
      <xdr:rowOff>104775</xdr:rowOff>
    </xdr:from>
    <xdr:to>
      <xdr:col>22</xdr:col>
      <xdr:colOff>895350</xdr:colOff>
      <xdr:row>287</xdr:row>
      <xdr:rowOff>133350</xdr:rowOff>
    </xdr:to>
    <xdr:pic>
      <xdr:nvPicPr>
        <xdr:cNvPr id="30668" name="Picture 12" descr="C:\WINDOWS\TEMP\~0003946.gif">
          <a:extLst>
            <a:ext uri="{FF2B5EF4-FFF2-40B4-BE49-F238E27FC236}">
              <a16:creationId xmlns:a16="http://schemas.microsoft.com/office/drawing/2014/main" id="{00000000-0008-0000-0600-0000CC7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80358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30669" name="Picture 13" descr="logoMTL">
          <a:extLst>
            <a:ext uri="{FF2B5EF4-FFF2-40B4-BE49-F238E27FC236}">
              <a16:creationId xmlns:a16="http://schemas.microsoft.com/office/drawing/2014/main" id="{00000000-0008-0000-0600-0000CD7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137</xdr:row>
      <xdr:rowOff>38100</xdr:rowOff>
    </xdr:from>
    <xdr:to>
      <xdr:col>21</xdr:col>
      <xdr:colOff>1171575</xdr:colOff>
      <xdr:row>138</xdr:row>
      <xdr:rowOff>161925</xdr:rowOff>
    </xdr:to>
    <xdr:pic>
      <xdr:nvPicPr>
        <xdr:cNvPr id="30670" name="Picture 14" descr="logoMTL">
          <a:extLst>
            <a:ext uri="{FF2B5EF4-FFF2-40B4-BE49-F238E27FC236}">
              <a16:creationId xmlns:a16="http://schemas.microsoft.com/office/drawing/2014/main" id="{00000000-0008-0000-0600-0000CE7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9939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202</xdr:row>
      <xdr:rowOff>28575</xdr:rowOff>
    </xdr:from>
    <xdr:to>
      <xdr:col>21</xdr:col>
      <xdr:colOff>1171575</xdr:colOff>
      <xdr:row>203</xdr:row>
      <xdr:rowOff>152400</xdr:rowOff>
    </xdr:to>
    <xdr:pic>
      <xdr:nvPicPr>
        <xdr:cNvPr id="30671" name="Picture 15" descr="logoMTL">
          <a:extLst>
            <a:ext uri="{FF2B5EF4-FFF2-40B4-BE49-F238E27FC236}">
              <a16:creationId xmlns:a16="http://schemas.microsoft.com/office/drawing/2014/main" id="{00000000-0008-0000-0600-0000CF7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41071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286</xdr:row>
      <xdr:rowOff>0</xdr:rowOff>
    </xdr:from>
    <xdr:to>
      <xdr:col>21</xdr:col>
      <xdr:colOff>1228725</xdr:colOff>
      <xdr:row>287</xdr:row>
      <xdr:rowOff>123825</xdr:rowOff>
    </xdr:to>
    <xdr:pic>
      <xdr:nvPicPr>
        <xdr:cNvPr id="30672" name="Picture 16" descr="logoMTL">
          <a:extLst>
            <a:ext uri="{FF2B5EF4-FFF2-40B4-BE49-F238E27FC236}">
              <a16:creationId xmlns:a16="http://schemas.microsoft.com/office/drawing/2014/main" id="{00000000-0008-0000-0600-0000D07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79310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31681" name="Picture 1" descr="C:\WINDOWS\TEMP\Symbol.gif">
          <a:extLst>
            <a:ext uri="{FF2B5EF4-FFF2-40B4-BE49-F238E27FC236}">
              <a16:creationId xmlns:a16="http://schemas.microsoft.com/office/drawing/2014/main" id="{00000000-0008-0000-0700-0000C17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137</xdr:row>
      <xdr:rowOff>161925</xdr:rowOff>
    </xdr:from>
    <xdr:to>
      <xdr:col>1</xdr:col>
      <xdr:colOff>28575</xdr:colOff>
      <xdr:row>138</xdr:row>
      <xdr:rowOff>200025</xdr:rowOff>
    </xdr:to>
    <xdr:pic>
      <xdr:nvPicPr>
        <xdr:cNvPr id="31682" name="Picture 2" descr="C:\WINDOWS\TEMP\Symbol.gif">
          <a:extLst>
            <a:ext uri="{FF2B5EF4-FFF2-40B4-BE49-F238E27FC236}">
              <a16:creationId xmlns:a16="http://schemas.microsoft.com/office/drawing/2014/main" id="{00000000-0008-0000-0700-0000C27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81178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202</xdr:row>
      <xdr:rowOff>171450</xdr:rowOff>
    </xdr:from>
    <xdr:to>
      <xdr:col>1</xdr:col>
      <xdr:colOff>47625</xdr:colOff>
      <xdr:row>203</xdr:row>
      <xdr:rowOff>209550</xdr:rowOff>
    </xdr:to>
    <xdr:pic>
      <xdr:nvPicPr>
        <xdr:cNvPr id="31683" name="Picture 3" descr="C:\WINDOWS\TEMP\Symbol.gif">
          <a:extLst>
            <a:ext uri="{FF2B5EF4-FFF2-40B4-BE49-F238E27FC236}">
              <a16:creationId xmlns:a16="http://schemas.microsoft.com/office/drawing/2014/main" id="{00000000-0008-0000-0700-0000C37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41214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286</xdr:row>
      <xdr:rowOff>161925</xdr:rowOff>
    </xdr:from>
    <xdr:to>
      <xdr:col>1</xdr:col>
      <xdr:colOff>19050</xdr:colOff>
      <xdr:row>287</xdr:row>
      <xdr:rowOff>200025</xdr:rowOff>
    </xdr:to>
    <xdr:pic>
      <xdr:nvPicPr>
        <xdr:cNvPr id="31684" name="Picture 4" descr="C:\WINDOWS\TEMP\Symbol.gif">
          <a:extLst>
            <a:ext uri="{FF2B5EF4-FFF2-40B4-BE49-F238E27FC236}">
              <a16:creationId xmlns:a16="http://schemas.microsoft.com/office/drawing/2014/main" id="{00000000-0008-0000-0700-0000C47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80929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286</xdr:row>
      <xdr:rowOff>123825</xdr:rowOff>
    </xdr:from>
    <xdr:to>
      <xdr:col>22</xdr:col>
      <xdr:colOff>1895475</xdr:colOff>
      <xdr:row>287</xdr:row>
      <xdr:rowOff>152400</xdr:rowOff>
    </xdr:to>
    <xdr:pic>
      <xdr:nvPicPr>
        <xdr:cNvPr id="31685" name="Picture 5" descr="C:\WINDOWS\TEMP\~0003946.gif">
          <a:extLst>
            <a:ext uri="{FF2B5EF4-FFF2-40B4-BE49-F238E27FC236}">
              <a16:creationId xmlns:a16="http://schemas.microsoft.com/office/drawing/2014/main" id="{00000000-0008-0000-0700-0000C57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8054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202</xdr:row>
      <xdr:rowOff>152400</xdr:rowOff>
    </xdr:from>
    <xdr:to>
      <xdr:col>22</xdr:col>
      <xdr:colOff>1924050</xdr:colOff>
      <xdr:row>203</xdr:row>
      <xdr:rowOff>180975</xdr:rowOff>
    </xdr:to>
    <xdr:pic>
      <xdr:nvPicPr>
        <xdr:cNvPr id="31686" name="Picture 6" descr="C:\WINDOWS\TEMP\~0003946.gif">
          <a:extLst>
            <a:ext uri="{FF2B5EF4-FFF2-40B4-BE49-F238E27FC236}">
              <a16:creationId xmlns:a16="http://schemas.microsoft.com/office/drawing/2014/main" id="{00000000-0008-0000-0700-0000C67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41195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137</xdr:row>
      <xdr:rowOff>161925</xdr:rowOff>
    </xdr:from>
    <xdr:to>
      <xdr:col>22</xdr:col>
      <xdr:colOff>1952625</xdr:colOff>
      <xdr:row>138</xdr:row>
      <xdr:rowOff>190500</xdr:rowOff>
    </xdr:to>
    <xdr:pic>
      <xdr:nvPicPr>
        <xdr:cNvPr id="31687" name="Picture 7" descr="C:\WINDOWS\TEMP\~0003946.gif">
          <a:extLst>
            <a:ext uri="{FF2B5EF4-FFF2-40B4-BE49-F238E27FC236}">
              <a16:creationId xmlns:a16="http://schemas.microsoft.com/office/drawing/2014/main" id="{00000000-0008-0000-0700-0000C77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8117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31688" name="Picture 8" descr="C:\WINDOWS\TEMP\~0003946.gif">
          <a:extLst>
            <a:ext uri="{FF2B5EF4-FFF2-40B4-BE49-F238E27FC236}">
              <a16:creationId xmlns:a16="http://schemas.microsoft.com/office/drawing/2014/main" id="{00000000-0008-0000-0700-0000C87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31689" name="Picture 9" descr="C:\WINDOWS\TEMP\~0003946.gif">
          <a:extLst>
            <a:ext uri="{FF2B5EF4-FFF2-40B4-BE49-F238E27FC236}">
              <a16:creationId xmlns:a16="http://schemas.microsoft.com/office/drawing/2014/main" id="{00000000-0008-0000-0700-0000C97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137</xdr:row>
      <xdr:rowOff>123825</xdr:rowOff>
    </xdr:from>
    <xdr:to>
      <xdr:col>22</xdr:col>
      <xdr:colOff>895350</xdr:colOff>
      <xdr:row>138</xdr:row>
      <xdr:rowOff>152400</xdr:rowOff>
    </xdr:to>
    <xdr:pic>
      <xdr:nvPicPr>
        <xdr:cNvPr id="31690" name="Picture 10" descr="C:\WINDOWS\TEMP\~0003946.gif">
          <a:extLst>
            <a:ext uri="{FF2B5EF4-FFF2-40B4-BE49-F238E27FC236}">
              <a16:creationId xmlns:a16="http://schemas.microsoft.com/office/drawing/2014/main" id="{00000000-0008-0000-0700-0000CA7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80797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202</xdr:row>
      <xdr:rowOff>104775</xdr:rowOff>
    </xdr:from>
    <xdr:to>
      <xdr:col>22</xdr:col>
      <xdr:colOff>809625</xdr:colOff>
      <xdr:row>203</xdr:row>
      <xdr:rowOff>133350</xdr:rowOff>
    </xdr:to>
    <xdr:pic>
      <xdr:nvPicPr>
        <xdr:cNvPr id="31691" name="Picture 11" descr="C:\WINDOWS\TEMP\~0003946.gif">
          <a:extLst>
            <a:ext uri="{FF2B5EF4-FFF2-40B4-BE49-F238E27FC236}">
              <a16:creationId xmlns:a16="http://schemas.microsoft.com/office/drawing/2014/main" id="{00000000-0008-0000-0700-0000CB7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4114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286</xdr:row>
      <xdr:rowOff>104775</xdr:rowOff>
    </xdr:from>
    <xdr:to>
      <xdr:col>22</xdr:col>
      <xdr:colOff>895350</xdr:colOff>
      <xdr:row>287</xdr:row>
      <xdr:rowOff>133350</xdr:rowOff>
    </xdr:to>
    <xdr:pic>
      <xdr:nvPicPr>
        <xdr:cNvPr id="31692" name="Picture 12" descr="C:\WINDOWS\TEMP\~0003946.gif">
          <a:extLst>
            <a:ext uri="{FF2B5EF4-FFF2-40B4-BE49-F238E27FC236}">
              <a16:creationId xmlns:a16="http://schemas.microsoft.com/office/drawing/2014/main" id="{00000000-0008-0000-0700-0000CC7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80358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31693" name="Picture 13" descr="logoMTL">
          <a:extLst>
            <a:ext uri="{FF2B5EF4-FFF2-40B4-BE49-F238E27FC236}">
              <a16:creationId xmlns:a16="http://schemas.microsoft.com/office/drawing/2014/main" id="{00000000-0008-0000-0700-0000CD7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137</xdr:row>
      <xdr:rowOff>38100</xdr:rowOff>
    </xdr:from>
    <xdr:to>
      <xdr:col>21</xdr:col>
      <xdr:colOff>1171575</xdr:colOff>
      <xdr:row>138</xdr:row>
      <xdr:rowOff>161925</xdr:rowOff>
    </xdr:to>
    <xdr:pic>
      <xdr:nvPicPr>
        <xdr:cNvPr id="31694" name="Picture 14" descr="logoMTL">
          <a:extLst>
            <a:ext uri="{FF2B5EF4-FFF2-40B4-BE49-F238E27FC236}">
              <a16:creationId xmlns:a16="http://schemas.microsoft.com/office/drawing/2014/main" id="{00000000-0008-0000-0700-0000CE7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9939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202</xdr:row>
      <xdr:rowOff>28575</xdr:rowOff>
    </xdr:from>
    <xdr:to>
      <xdr:col>21</xdr:col>
      <xdr:colOff>1171575</xdr:colOff>
      <xdr:row>203</xdr:row>
      <xdr:rowOff>152400</xdr:rowOff>
    </xdr:to>
    <xdr:pic>
      <xdr:nvPicPr>
        <xdr:cNvPr id="31695" name="Picture 15" descr="logoMTL">
          <a:extLst>
            <a:ext uri="{FF2B5EF4-FFF2-40B4-BE49-F238E27FC236}">
              <a16:creationId xmlns:a16="http://schemas.microsoft.com/office/drawing/2014/main" id="{00000000-0008-0000-0700-0000CF7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41071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286</xdr:row>
      <xdr:rowOff>0</xdr:rowOff>
    </xdr:from>
    <xdr:to>
      <xdr:col>21</xdr:col>
      <xdr:colOff>1228725</xdr:colOff>
      <xdr:row>287</xdr:row>
      <xdr:rowOff>123825</xdr:rowOff>
    </xdr:to>
    <xdr:pic>
      <xdr:nvPicPr>
        <xdr:cNvPr id="31696" name="Picture 16" descr="logoMTL">
          <a:extLst>
            <a:ext uri="{FF2B5EF4-FFF2-40B4-BE49-F238E27FC236}">
              <a16:creationId xmlns:a16="http://schemas.microsoft.com/office/drawing/2014/main" id="{00000000-0008-0000-0700-0000D07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79310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32705" name="Picture 1" descr="C:\WINDOWS\TEMP\Symbol.gif">
          <a:extLst>
            <a:ext uri="{FF2B5EF4-FFF2-40B4-BE49-F238E27FC236}">
              <a16:creationId xmlns:a16="http://schemas.microsoft.com/office/drawing/2014/main" id="{00000000-0008-0000-0800-0000C17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137</xdr:row>
      <xdr:rowOff>161925</xdr:rowOff>
    </xdr:from>
    <xdr:to>
      <xdr:col>1</xdr:col>
      <xdr:colOff>28575</xdr:colOff>
      <xdr:row>138</xdr:row>
      <xdr:rowOff>200025</xdr:rowOff>
    </xdr:to>
    <xdr:pic>
      <xdr:nvPicPr>
        <xdr:cNvPr id="32706" name="Picture 2" descr="C:\WINDOWS\TEMP\Symbol.gif">
          <a:extLst>
            <a:ext uri="{FF2B5EF4-FFF2-40B4-BE49-F238E27FC236}">
              <a16:creationId xmlns:a16="http://schemas.microsoft.com/office/drawing/2014/main" id="{00000000-0008-0000-0800-0000C27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81178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202</xdr:row>
      <xdr:rowOff>171450</xdr:rowOff>
    </xdr:from>
    <xdr:to>
      <xdr:col>1</xdr:col>
      <xdr:colOff>47625</xdr:colOff>
      <xdr:row>203</xdr:row>
      <xdr:rowOff>209550</xdr:rowOff>
    </xdr:to>
    <xdr:pic>
      <xdr:nvPicPr>
        <xdr:cNvPr id="32707" name="Picture 3" descr="C:\WINDOWS\TEMP\Symbol.gif">
          <a:extLst>
            <a:ext uri="{FF2B5EF4-FFF2-40B4-BE49-F238E27FC236}">
              <a16:creationId xmlns:a16="http://schemas.microsoft.com/office/drawing/2014/main" id="{00000000-0008-0000-0800-0000C37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41214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286</xdr:row>
      <xdr:rowOff>161925</xdr:rowOff>
    </xdr:from>
    <xdr:to>
      <xdr:col>1</xdr:col>
      <xdr:colOff>19050</xdr:colOff>
      <xdr:row>287</xdr:row>
      <xdr:rowOff>200025</xdr:rowOff>
    </xdr:to>
    <xdr:pic>
      <xdr:nvPicPr>
        <xdr:cNvPr id="32708" name="Picture 4" descr="C:\WINDOWS\TEMP\Symbol.gif">
          <a:extLst>
            <a:ext uri="{FF2B5EF4-FFF2-40B4-BE49-F238E27FC236}">
              <a16:creationId xmlns:a16="http://schemas.microsoft.com/office/drawing/2014/main" id="{00000000-0008-0000-0800-0000C47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80929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1095375</xdr:colOff>
      <xdr:row>286</xdr:row>
      <xdr:rowOff>123825</xdr:rowOff>
    </xdr:from>
    <xdr:to>
      <xdr:col>22</xdr:col>
      <xdr:colOff>1895475</xdr:colOff>
      <xdr:row>287</xdr:row>
      <xdr:rowOff>152400</xdr:rowOff>
    </xdr:to>
    <xdr:pic>
      <xdr:nvPicPr>
        <xdr:cNvPr id="32709" name="Picture 5" descr="C:\WINDOWS\TEMP\~0003946.gif">
          <a:extLst>
            <a:ext uri="{FF2B5EF4-FFF2-40B4-BE49-F238E27FC236}">
              <a16:creationId xmlns:a16="http://schemas.microsoft.com/office/drawing/2014/main" id="{00000000-0008-0000-0800-0000C57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58054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1123950</xdr:colOff>
      <xdr:row>202</xdr:row>
      <xdr:rowOff>152400</xdr:rowOff>
    </xdr:from>
    <xdr:to>
      <xdr:col>22</xdr:col>
      <xdr:colOff>1924050</xdr:colOff>
      <xdr:row>203</xdr:row>
      <xdr:rowOff>180975</xdr:rowOff>
    </xdr:to>
    <xdr:pic>
      <xdr:nvPicPr>
        <xdr:cNvPr id="32710" name="Picture 6" descr="C:\WINDOWS\TEMP\~0003946.gif">
          <a:extLst>
            <a:ext uri="{FF2B5EF4-FFF2-40B4-BE49-F238E27FC236}">
              <a16:creationId xmlns:a16="http://schemas.microsoft.com/office/drawing/2014/main" id="{00000000-0008-0000-0800-0000C67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41195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137</xdr:row>
      <xdr:rowOff>161925</xdr:rowOff>
    </xdr:from>
    <xdr:to>
      <xdr:col>22</xdr:col>
      <xdr:colOff>1952625</xdr:colOff>
      <xdr:row>138</xdr:row>
      <xdr:rowOff>190500</xdr:rowOff>
    </xdr:to>
    <xdr:pic>
      <xdr:nvPicPr>
        <xdr:cNvPr id="32711" name="Picture 7" descr="C:\WINDOWS\TEMP\~0003946.gif">
          <a:extLst>
            <a:ext uri="{FF2B5EF4-FFF2-40B4-BE49-F238E27FC236}">
              <a16:creationId xmlns:a16="http://schemas.microsoft.com/office/drawing/2014/main" id="{00000000-0008-0000-0800-0000C77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28117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1152525</xdr:colOff>
      <xdr:row>62</xdr:row>
      <xdr:rowOff>161925</xdr:rowOff>
    </xdr:from>
    <xdr:to>
      <xdr:col>22</xdr:col>
      <xdr:colOff>1952625</xdr:colOff>
      <xdr:row>63</xdr:row>
      <xdr:rowOff>190500</xdr:rowOff>
    </xdr:to>
    <xdr:pic>
      <xdr:nvPicPr>
        <xdr:cNvPr id="32712" name="Picture 8" descr="C:\WINDOWS\TEMP\~0003946.gif">
          <a:extLst>
            <a:ext uri="{FF2B5EF4-FFF2-40B4-BE49-F238E27FC236}">
              <a16:creationId xmlns:a16="http://schemas.microsoft.com/office/drawing/2014/main" id="{00000000-0008-0000-0800-0000C87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52222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85725</xdr:colOff>
      <xdr:row>62</xdr:row>
      <xdr:rowOff>123825</xdr:rowOff>
    </xdr:from>
    <xdr:to>
      <xdr:col>22</xdr:col>
      <xdr:colOff>885825</xdr:colOff>
      <xdr:row>63</xdr:row>
      <xdr:rowOff>152400</xdr:rowOff>
    </xdr:to>
    <xdr:pic>
      <xdr:nvPicPr>
        <xdr:cNvPr id="32713" name="Picture 9" descr="C:\WINDOWS\TEMP\~0003946.gif">
          <a:extLst>
            <a:ext uri="{FF2B5EF4-FFF2-40B4-BE49-F238E27FC236}">
              <a16:creationId xmlns:a16="http://schemas.microsoft.com/office/drawing/2014/main" id="{00000000-0008-0000-0800-0000C97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982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137</xdr:row>
      <xdr:rowOff>123825</xdr:rowOff>
    </xdr:from>
    <xdr:to>
      <xdr:col>22</xdr:col>
      <xdr:colOff>895350</xdr:colOff>
      <xdr:row>138</xdr:row>
      <xdr:rowOff>152400</xdr:rowOff>
    </xdr:to>
    <xdr:pic>
      <xdr:nvPicPr>
        <xdr:cNvPr id="32714" name="Picture 10" descr="C:\WINDOWS\TEMP\~0003946.gif">
          <a:extLst>
            <a:ext uri="{FF2B5EF4-FFF2-40B4-BE49-F238E27FC236}">
              <a16:creationId xmlns:a16="http://schemas.microsoft.com/office/drawing/2014/main" id="{00000000-0008-0000-0800-0000CA7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280797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202</xdr:row>
      <xdr:rowOff>104775</xdr:rowOff>
    </xdr:from>
    <xdr:to>
      <xdr:col>22</xdr:col>
      <xdr:colOff>809625</xdr:colOff>
      <xdr:row>203</xdr:row>
      <xdr:rowOff>133350</xdr:rowOff>
    </xdr:to>
    <xdr:pic>
      <xdr:nvPicPr>
        <xdr:cNvPr id="32715" name="Picture 11" descr="C:\WINDOWS\TEMP\~0003946.gif">
          <a:extLst>
            <a:ext uri="{FF2B5EF4-FFF2-40B4-BE49-F238E27FC236}">
              <a16:creationId xmlns:a16="http://schemas.microsoft.com/office/drawing/2014/main" id="{00000000-0008-0000-0800-0000CB7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222075" y="41148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95250</xdr:colOff>
      <xdr:row>286</xdr:row>
      <xdr:rowOff>104775</xdr:rowOff>
    </xdr:from>
    <xdr:to>
      <xdr:col>22</xdr:col>
      <xdr:colOff>895350</xdr:colOff>
      <xdr:row>287</xdr:row>
      <xdr:rowOff>133350</xdr:rowOff>
    </xdr:to>
    <xdr:pic>
      <xdr:nvPicPr>
        <xdr:cNvPr id="32716" name="Picture 12" descr="C:\WINDOWS\TEMP\~0003946.gif">
          <a:extLst>
            <a:ext uri="{FF2B5EF4-FFF2-40B4-BE49-F238E27FC236}">
              <a16:creationId xmlns:a16="http://schemas.microsoft.com/office/drawing/2014/main" id="{00000000-0008-0000-0800-0000CC7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4307800" y="580358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447675</xdr:colOff>
      <xdr:row>62</xdr:row>
      <xdr:rowOff>38100</xdr:rowOff>
    </xdr:from>
    <xdr:to>
      <xdr:col>22</xdr:col>
      <xdr:colOff>0</xdr:colOff>
      <xdr:row>63</xdr:row>
      <xdr:rowOff>161925</xdr:rowOff>
    </xdr:to>
    <xdr:pic>
      <xdr:nvPicPr>
        <xdr:cNvPr id="32717" name="Picture 13" descr="logoMTL">
          <a:extLst>
            <a:ext uri="{FF2B5EF4-FFF2-40B4-BE49-F238E27FC236}">
              <a16:creationId xmlns:a16="http://schemas.microsoft.com/office/drawing/2014/main" id="{00000000-0008-0000-0800-0000CD7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4029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137</xdr:row>
      <xdr:rowOff>38100</xdr:rowOff>
    </xdr:from>
    <xdr:to>
      <xdr:col>21</xdr:col>
      <xdr:colOff>1171575</xdr:colOff>
      <xdr:row>138</xdr:row>
      <xdr:rowOff>161925</xdr:rowOff>
    </xdr:to>
    <xdr:pic>
      <xdr:nvPicPr>
        <xdr:cNvPr id="32718" name="Picture 14" descr="logoMTL">
          <a:extLst>
            <a:ext uri="{FF2B5EF4-FFF2-40B4-BE49-F238E27FC236}">
              <a16:creationId xmlns:a16="http://schemas.microsoft.com/office/drawing/2014/main" id="{00000000-0008-0000-0800-0000CE7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279939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371475</xdr:colOff>
      <xdr:row>202</xdr:row>
      <xdr:rowOff>28575</xdr:rowOff>
    </xdr:from>
    <xdr:to>
      <xdr:col>21</xdr:col>
      <xdr:colOff>1171575</xdr:colOff>
      <xdr:row>203</xdr:row>
      <xdr:rowOff>152400</xdr:rowOff>
    </xdr:to>
    <xdr:pic>
      <xdr:nvPicPr>
        <xdr:cNvPr id="32719" name="Picture 15" descr="logoMTL">
          <a:extLst>
            <a:ext uri="{FF2B5EF4-FFF2-40B4-BE49-F238E27FC236}">
              <a16:creationId xmlns:a16="http://schemas.microsoft.com/office/drawing/2014/main" id="{00000000-0008-0000-0800-0000CF7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26725" y="41071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419100</xdr:colOff>
      <xdr:row>286</xdr:row>
      <xdr:rowOff>0</xdr:rowOff>
    </xdr:from>
    <xdr:to>
      <xdr:col>21</xdr:col>
      <xdr:colOff>1228725</xdr:colOff>
      <xdr:row>287</xdr:row>
      <xdr:rowOff>123825</xdr:rowOff>
    </xdr:to>
    <xdr:pic>
      <xdr:nvPicPr>
        <xdr:cNvPr id="32720" name="Picture 16" descr="logoMTL">
          <a:extLst>
            <a:ext uri="{FF2B5EF4-FFF2-40B4-BE49-F238E27FC236}">
              <a16:creationId xmlns:a16="http://schemas.microsoft.com/office/drawing/2014/main" id="{00000000-0008-0000-0800-0000D07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74350" y="579310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New Branding">
      <a:dk1>
        <a:sysClr val="windowText" lastClr="000000"/>
      </a:dk1>
      <a:lt1>
        <a:sysClr val="window" lastClr="FFFFFF"/>
      </a:lt1>
      <a:dk2>
        <a:srgbClr val="44546A"/>
      </a:dk2>
      <a:lt2>
        <a:srgbClr val="E7E6E6"/>
      </a:lt2>
      <a:accent1>
        <a:srgbClr val="89CB31"/>
      </a:accent1>
      <a:accent2>
        <a:srgbClr val="D0EBAB"/>
      </a:accent2>
      <a:accent3>
        <a:srgbClr val="2D2926"/>
      </a:accent3>
      <a:accent4>
        <a:srgbClr val="F0F0F0"/>
      </a:accent4>
      <a:accent5>
        <a:srgbClr val="5B8721"/>
      </a:accent5>
      <a:accent6>
        <a:srgbClr val="009999"/>
      </a:accent6>
      <a:hlink>
        <a:srgbClr val="BDFFEE"/>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3" Type="http://schemas.openxmlformats.org/officeDocument/2006/relationships/hyperlink" Target="http://www.paragon-group.co.uk/" TargetMode="External"/><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39.xml"/><Relationship Id="rId4"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3" Type="http://schemas.openxmlformats.org/officeDocument/2006/relationships/hyperlink" Target="http://www.paragon-group.co.uk/" TargetMode="External"/><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40.xml"/><Relationship Id="rId4"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hyperlink" Target="http://www.paragon-group.co.uk/" TargetMode="External"/><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41.xml"/><Relationship Id="rId4"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5" Type="http://schemas.openxmlformats.org/officeDocument/2006/relationships/drawing" Target="../drawings/drawing42.xml"/><Relationship Id="rId4"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5" Type="http://schemas.openxmlformats.org/officeDocument/2006/relationships/drawing" Target="../drawings/drawing43.xml"/><Relationship Id="rId4"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5" Type="http://schemas.openxmlformats.org/officeDocument/2006/relationships/drawing" Target="../drawings/drawing44.xml"/><Relationship Id="rId4"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5" Type="http://schemas.openxmlformats.org/officeDocument/2006/relationships/drawing" Target="../drawings/drawing45.xml"/><Relationship Id="rId4"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5" Type="http://schemas.openxmlformats.org/officeDocument/2006/relationships/drawing" Target="../drawings/drawing46.xml"/><Relationship Id="rId4"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5" Type="http://schemas.openxmlformats.org/officeDocument/2006/relationships/drawing" Target="../drawings/drawing47.xml"/><Relationship Id="rId4"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5" Type="http://schemas.openxmlformats.org/officeDocument/2006/relationships/drawing" Target="../drawings/drawing48.xml"/><Relationship Id="rId4"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5" Type="http://schemas.openxmlformats.org/officeDocument/2006/relationships/drawing" Target="../drawings/drawing49.xml"/><Relationship Id="rId4"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5" Type="http://schemas.openxmlformats.org/officeDocument/2006/relationships/drawing" Target="../drawings/drawing50.xml"/><Relationship Id="rId4"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5" Type="http://schemas.openxmlformats.org/officeDocument/2006/relationships/drawing" Target="../drawings/drawing51.xml"/><Relationship Id="rId4"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5" Type="http://schemas.openxmlformats.org/officeDocument/2006/relationships/drawing" Target="../drawings/drawing52.xml"/><Relationship Id="rId4"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5" Type="http://schemas.openxmlformats.org/officeDocument/2006/relationships/drawing" Target="../drawings/drawing53.xml"/><Relationship Id="rId4"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5" Type="http://schemas.openxmlformats.org/officeDocument/2006/relationships/drawing" Target="../drawings/drawing54.xml"/><Relationship Id="rId4"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5" Type="http://schemas.openxmlformats.org/officeDocument/2006/relationships/drawing" Target="../drawings/drawing55.xml"/><Relationship Id="rId4"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5" Type="http://schemas.openxmlformats.org/officeDocument/2006/relationships/drawing" Target="../drawings/drawing56.xml"/><Relationship Id="rId4"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6"/>
  </sheetPr>
  <dimension ref="A1:IV288"/>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2"/>
      <c r="B1" s="3" t="s">
        <v>244</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245</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137</v>
      </c>
      <c r="C5" s="8"/>
      <c r="D5" s="8"/>
      <c r="E5" s="8"/>
      <c r="F5" s="8"/>
      <c r="G5" s="8"/>
      <c r="H5" s="8"/>
      <c r="I5" s="8"/>
      <c r="J5" s="8"/>
      <c r="K5" s="8"/>
      <c r="L5" s="8"/>
      <c r="M5" s="8"/>
      <c r="N5" s="8"/>
      <c r="O5" s="8"/>
      <c r="P5" s="8"/>
      <c r="Q5" s="8"/>
      <c r="R5" s="8"/>
      <c r="S5" s="8"/>
      <c r="T5" s="8"/>
      <c r="U5" s="8"/>
      <c r="V5" s="8"/>
      <c r="W5" s="8"/>
      <c r="X5" s="5"/>
    </row>
    <row r="6" spans="1:24" ht="15.6" x14ac:dyDescent="0.3">
      <c r="A6" s="6"/>
      <c r="B6" s="11" t="s">
        <v>139</v>
      </c>
      <c r="C6" s="8"/>
      <c r="D6" s="8"/>
      <c r="E6" s="8"/>
      <c r="F6" s="8"/>
      <c r="G6" s="8"/>
      <c r="H6" s="8"/>
      <c r="I6" s="8"/>
      <c r="J6" s="8"/>
      <c r="K6" s="8"/>
      <c r="L6" s="8"/>
      <c r="M6" s="8"/>
      <c r="N6" s="8"/>
      <c r="O6" s="8"/>
      <c r="P6" s="8"/>
      <c r="Q6" s="8"/>
      <c r="R6" s="8"/>
      <c r="S6" s="8"/>
      <c r="T6" s="8"/>
      <c r="U6" s="8"/>
      <c r="V6" s="8"/>
      <c r="W6" s="8"/>
      <c r="X6" s="5"/>
    </row>
    <row r="7" spans="1:24" ht="15.6" x14ac:dyDescent="0.3">
      <c r="A7" s="6"/>
      <c r="B7" s="11" t="s">
        <v>138</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5" t="s">
        <v>166</v>
      </c>
      <c r="C9" s="8"/>
      <c r="D9" s="8"/>
      <c r="E9" s="8"/>
      <c r="F9" s="8"/>
      <c r="G9" s="8"/>
      <c r="H9" s="8"/>
      <c r="I9" s="146" t="s">
        <v>167</v>
      </c>
      <c r="J9" s="8"/>
      <c r="K9" s="8"/>
      <c r="L9" s="146"/>
      <c r="M9" s="8"/>
      <c r="N9" s="146"/>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246</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104</v>
      </c>
      <c r="S15" s="135">
        <v>0.38300000000000001</v>
      </c>
      <c r="T15" s="17" t="s">
        <v>140</v>
      </c>
      <c r="U15" s="135">
        <v>0.61699999999999999</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104</v>
      </c>
      <c r="S16" s="135">
        <v>0.39600000000000002</v>
      </c>
      <c r="T16" s="17" t="s">
        <v>140</v>
      </c>
      <c r="U16" s="135">
        <v>0.60399999999999998</v>
      </c>
      <c r="V16" s="16"/>
      <c r="W16" s="15"/>
      <c r="X16" s="5"/>
    </row>
    <row r="17" spans="1:24" ht="15.6" x14ac:dyDescent="0.3">
      <c r="A17" s="6"/>
      <c r="B17" s="14" t="s">
        <v>4</v>
      </c>
      <c r="C17" s="15"/>
      <c r="D17" s="15"/>
      <c r="E17" s="15"/>
      <c r="F17" s="15"/>
      <c r="G17" s="15"/>
      <c r="H17" s="15"/>
      <c r="I17" s="15"/>
      <c r="J17" s="15"/>
      <c r="K17" s="15"/>
      <c r="L17" s="15"/>
      <c r="M17" s="15"/>
      <c r="N17" s="15"/>
      <c r="O17" s="15"/>
      <c r="P17" s="15"/>
      <c r="Q17" s="15"/>
      <c r="R17" s="15"/>
      <c r="S17" s="15"/>
      <c r="T17" s="15"/>
      <c r="U17" s="15"/>
      <c r="V17" s="19">
        <v>39163</v>
      </c>
      <c r="W17" s="15"/>
      <c r="X17" s="5"/>
    </row>
    <row r="18" spans="1:24" ht="15.6" x14ac:dyDescent="0.3">
      <c r="A18" s="6"/>
      <c r="B18" s="14" t="s">
        <v>5</v>
      </c>
      <c r="C18" s="15"/>
      <c r="D18" s="15"/>
      <c r="E18" s="15"/>
      <c r="F18" s="15"/>
      <c r="G18" s="15"/>
      <c r="H18" s="15"/>
      <c r="I18" s="15"/>
      <c r="J18" s="15"/>
      <c r="K18" s="15"/>
      <c r="L18" s="15"/>
      <c r="M18" s="15"/>
      <c r="N18" s="15"/>
      <c r="O18" s="15"/>
      <c r="P18" s="15"/>
      <c r="Q18" s="15"/>
      <c r="R18" s="15"/>
      <c r="S18" s="15"/>
      <c r="T18" s="15"/>
      <c r="U18" s="15"/>
      <c r="V18" s="19">
        <v>39349</v>
      </c>
      <c r="W18" s="15"/>
      <c r="X18" s="5"/>
    </row>
    <row r="19" spans="1:24"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4" ht="15.6" x14ac:dyDescent="0.3">
      <c r="A20" s="6"/>
      <c r="B20" s="21" t="s">
        <v>6</v>
      </c>
      <c r="C20" s="8"/>
      <c r="D20" s="8"/>
      <c r="E20" s="8"/>
      <c r="F20" s="8"/>
      <c r="G20" s="8"/>
      <c r="H20" s="8"/>
      <c r="I20" s="8"/>
      <c r="J20" s="8"/>
      <c r="K20" s="8"/>
      <c r="L20" s="8"/>
      <c r="M20" s="8"/>
      <c r="N20" s="8"/>
      <c r="O20" s="8"/>
      <c r="P20" s="8"/>
      <c r="Q20" s="8"/>
      <c r="R20" s="8"/>
      <c r="S20" s="8"/>
      <c r="T20" s="20" t="s">
        <v>105</v>
      </c>
      <c r="U20" s="8"/>
      <c r="V20" s="12"/>
      <c r="W20" s="8"/>
      <c r="X20" s="5"/>
    </row>
    <row r="21" spans="1:24"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4" ht="15.6" x14ac:dyDescent="0.3">
      <c r="A22" s="6"/>
      <c r="B22" s="8"/>
      <c r="C22" s="112"/>
      <c r="D22" s="112" t="s">
        <v>177</v>
      </c>
      <c r="E22" s="112"/>
      <c r="F22" s="112" t="s">
        <v>178</v>
      </c>
      <c r="G22" s="112"/>
      <c r="H22" s="112" t="s">
        <v>179</v>
      </c>
      <c r="I22" s="112"/>
      <c r="J22" s="112" t="s">
        <v>220</v>
      </c>
      <c r="K22" s="112"/>
      <c r="L22" s="112" t="s">
        <v>180</v>
      </c>
      <c r="M22" s="112"/>
      <c r="N22" s="112" t="s">
        <v>181</v>
      </c>
      <c r="O22" s="112"/>
      <c r="P22" s="112" t="s">
        <v>221</v>
      </c>
      <c r="Q22" s="112"/>
      <c r="R22" s="112" t="s">
        <v>182</v>
      </c>
      <c r="S22" s="113"/>
      <c r="T22" s="23"/>
      <c r="U22" s="12"/>
      <c r="V22" s="12"/>
      <c r="W22" s="8"/>
      <c r="X22" s="5"/>
    </row>
    <row r="23" spans="1:24" ht="15.6" x14ac:dyDescent="0.3">
      <c r="A23" s="24"/>
      <c r="B23" s="25" t="s">
        <v>7</v>
      </c>
      <c r="C23" s="26"/>
      <c r="D23" s="26" t="s">
        <v>213</v>
      </c>
      <c r="E23" s="26"/>
      <c r="F23" s="26" t="s">
        <v>141</v>
      </c>
      <c r="G23" s="26"/>
      <c r="H23" s="26" t="s">
        <v>141</v>
      </c>
      <c r="I23" s="26"/>
      <c r="J23" s="26" t="s">
        <v>141</v>
      </c>
      <c r="K23" s="26"/>
      <c r="L23" s="26" t="s">
        <v>183</v>
      </c>
      <c r="M23" s="26"/>
      <c r="N23" s="26" t="s">
        <v>183</v>
      </c>
      <c r="O23" s="26"/>
      <c r="P23" s="26" t="s">
        <v>142</v>
      </c>
      <c r="Q23" s="26"/>
      <c r="R23" s="26" t="s">
        <v>142</v>
      </c>
      <c r="S23" s="26"/>
      <c r="T23" s="26"/>
      <c r="U23" s="27"/>
      <c r="V23" s="27"/>
      <c r="W23" s="25"/>
      <c r="X23" s="5"/>
    </row>
    <row r="24" spans="1:24" ht="15.6" x14ac:dyDescent="0.3">
      <c r="A24" s="24"/>
      <c r="B24" s="25" t="s">
        <v>8</v>
      </c>
      <c r="C24" s="26"/>
      <c r="D24" s="26" t="s">
        <v>214</v>
      </c>
      <c r="E24" s="26"/>
      <c r="F24" s="26" t="s">
        <v>143</v>
      </c>
      <c r="G24" s="26"/>
      <c r="H24" s="26" t="s">
        <v>143</v>
      </c>
      <c r="I24" s="26"/>
      <c r="J24" s="26" t="s">
        <v>143</v>
      </c>
      <c r="K24" s="26"/>
      <c r="L24" s="26" t="s">
        <v>165</v>
      </c>
      <c r="M24" s="26"/>
      <c r="N24" s="26" t="s">
        <v>165</v>
      </c>
      <c r="O24" s="26"/>
      <c r="P24" s="26" t="s">
        <v>144</v>
      </c>
      <c r="Q24" s="26"/>
      <c r="R24" s="26" t="s">
        <v>144</v>
      </c>
      <c r="S24" s="26"/>
      <c r="T24" s="26"/>
      <c r="U24" s="27"/>
      <c r="V24" s="27"/>
      <c r="W24" s="25"/>
      <c r="X24" s="5"/>
    </row>
    <row r="25" spans="1:24" ht="15.6" x14ac:dyDescent="0.3">
      <c r="A25" s="28"/>
      <c r="B25" s="131" t="s">
        <v>190</v>
      </c>
      <c r="C25" s="123"/>
      <c r="D25" s="26" t="s">
        <v>215</v>
      </c>
      <c r="E25" s="26"/>
      <c r="F25" s="26" t="s">
        <v>143</v>
      </c>
      <c r="G25" s="26"/>
      <c r="H25" s="26" t="s">
        <v>143</v>
      </c>
      <c r="I25" s="26"/>
      <c r="J25" s="26" t="s">
        <v>143</v>
      </c>
      <c r="K25" s="26"/>
      <c r="L25" s="26" t="s">
        <v>293</v>
      </c>
      <c r="M25" s="26"/>
      <c r="N25" s="26" t="s">
        <v>293</v>
      </c>
      <c r="O25" s="26"/>
      <c r="P25" s="26" t="s">
        <v>144</v>
      </c>
      <c r="Q25" s="26"/>
      <c r="R25" s="26" t="s">
        <v>144</v>
      </c>
      <c r="S25" s="123"/>
      <c r="T25" s="26"/>
      <c r="U25" s="27"/>
      <c r="V25" s="27"/>
      <c r="W25" s="25"/>
      <c r="X25" s="5"/>
    </row>
    <row r="26" spans="1:24" ht="15.6" x14ac:dyDescent="0.3">
      <c r="A26" s="28"/>
      <c r="B26" s="29" t="s">
        <v>9</v>
      </c>
      <c r="C26" s="123"/>
      <c r="D26" s="123" t="s">
        <v>213</v>
      </c>
      <c r="E26" s="123"/>
      <c r="F26" s="123" t="s">
        <v>141</v>
      </c>
      <c r="G26" s="123"/>
      <c r="H26" s="123" t="s">
        <v>141</v>
      </c>
      <c r="I26" s="123"/>
      <c r="J26" s="123" t="s">
        <v>141</v>
      </c>
      <c r="K26" s="123"/>
      <c r="L26" s="123" t="s">
        <v>183</v>
      </c>
      <c r="M26" s="123"/>
      <c r="N26" s="123" t="s">
        <v>183</v>
      </c>
      <c r="O26" s="123"/>
      <c r="P26" s="123" t="s">
        <v>142</v>
      </c>
      <c r="Q26" s="123"/>
      <c r="R26" s="123" t="s">
        <v>142</v>
      </c>
      <c r="S26" s="123"/>
      <c r="T26" s="26"/>
      <c r="U26" s="27"/>
      <c r="V26" s="27"/>
      <c r="W26" s="25"/>
      <c r="X26" s="5"/>
    </row>
    <row r="27" spans="1:24" ht="15.6" x14ac:dyDescent="0.3">
      <c r="A27" s="24"/>
      <c r="B27" s="29" t="s">
        <v>191</v>
      </c>
      <c r="C27" s="26"/>
      <c r="D27" s="123" t="s">
        <v>214</v>
      </c>
      <c r="E27" s="123"/>
      <c r="F27" s="123" t="s">
        <v>143</v>
      </c>
      <c r="G27" s="123"/>
      <c r="H27" s="123" t="s">
        <v>143</v>
      </c>
      <c r="I27" s="123"/>
      <c r="J27" s="123" t="s">
        <v>143</v>
      </c>
      <c r="K27" s="123"/>
      <c r="L27" s="123" t="s">
        <v>165</v>
      </c>
      <c r="M27" s="123"/>
      <c r="N27" s="123" t="s">
        <v>165</v>
      </c>
      <c r="O27" s="123"/>
      <c r="P27" s="123" t="s">
        <v>144</v>
      </c>
      <c r="Q27" s="123"/>
      <c r="R27" s="123" t="s">
        <v>144</v>
      </c>
      <c r="S27" s="26"/>
      <c r="T27" s="30"/>
      <c r="U27" s="27"/>
      <c r="V27" s="27"/>
      <c r="W27" s="25"/>
      <c r="X27" s="5"/>
    </row>
    <row r="28" spans="1:24" ht="15.6" x14ac:dyDescent="0.3">
      <c r="A28" s="24"/>
      <c r="B28" s="151" t="s">
        <v>192</v>
      </c>
      <c r="C28" s="26"/>
      <c r="D28" s="123" t="s">
        <v>215</v>
      </c>
      <c r="E28" s="123"/>
      <c r="F28" s="123" t="s">
        <v>143</v>
      </c>
      <c r="G28" s="123"/>
      <c r="H28" s="123" t="s">
        <v>143</v>
      </c>
      <c r="I28" s="123"/>
      <c r="J28" s="123" t="s">
        <v>143</v>
      </c>
      <c r="K28" s="123"/>
      <c r="L28" s="123" t="s">
        <v>293</v>
      </c>
      <c r="M28" s="123"/>
      <c r="N28" s="123" t="s">
        <v>293</v>
      </c>
      <c r="O28" s="123"/>
      <c r="P28" s="123" t="s">
        <v>144</v>
      </c>
      <c r="Q28" s="123"/>
      <c r="R28" s="123" t="s">
        <v>144</v>
      </c>
      <c r="S28" s="26"/>
      <c r="T28" s="30"/>
      <c r="U28" s="27"/>
      <c r="V28" s="27"/>
      <c r="W28" s="25"/>
      <c r="X28" s="5"/>
    </row>
    <row r="29" spans="1:24" ht="15.6" x14ac:dyDescent="0.3">
      <c r="A29" s="24"/>
      <c r="B29" s="25" t="s">
        <v>10</v>
      </c>
      <c r="C29" s="32"/>
      <c r="D29" s="26" t="s">
        <v>249</v>
      </c>
      <c r="E29" s="26"/>
      <c r="F29" s="30" t="s">
        <v>250</v>
      </c>
      <c r="G29" s="26"/>
      <c r="H29" s="26" t="s">
        <v>251</v>
      </c>
      <c r="I29" s="26"/>
      <c r="J29" s="26" t="s">
        <v>253</v>
      </c>
      <c r="K29" s="26"/>
      <c r="L29" s="26" t="s">
        <v>254</v>
      </c>
      <c r="M29" s="26"/>
      <c r="N29" s="26" t="s">
        <v>255</v>
      </c>
      <c r="O29" s="26"/>
      <c r="P29" s="26" t="s">
        <v>256</v>
      </c>
      <c r="Q29" s="26"/>
      <c r="R29" s="26" t="s">
        <v>257</v>
      </c>
      <c r="S29" s="31"/>
      <c r="T29" s="31"/>
      <c r="U29" s="33"/>
      <c r="V29" s="31"/>
      <c r="W29" s="34"/>
      <c r="X29" s="5"/>
    </row>
    <row r="30" spans="1:24" ht="15.6" x14ac:dyDescent="0.3">
      <c r="A30" s="24"/>
      <c r="B30" s="25" t="s">
        <v>10</v>
      </c>
      <c r="C30" s="32"/>
      <c r="D30" s="26" t="s">
        <v>248</v>
      </c>
      <c r="E30" s="26"/>
      <c r="F30" s="30" t="s">
        <v>118</v>
      </c>
      <c r="G30" s="26"/>
      <c r="H30" s="26" t="s">
        <v>118</v>
      </c>
      <c r="I30" s="26"/>
      <c r="J30" s="26" t="s">
        <v>252</v>
      </c>
      <c r="K30" s="26"/>
      <c r="L30" s="26" t="s">
        <v>118</v>
      </c>
      <c r="M30" s="26"/>
      <c r="N30" s="26" t="s">
        <v>118</v>
      </c>
      <c r="O30" s="26"/>
      <c r="P30" s="26" t="s">
        <v>118</v>
      </c>
      <c r="Q30" s="26"/>
      <c r="R30" s="26" t="s">
        <v>118</v>
      </c>
      <c r="S30" s="31"/>
      <c r="T30" s="31"/>
      <c r="U30" s="33"/>
      <c r="V30" s="31"/>
      <c r="W30" s="34"/>
      <c r="X30" s="5"/>
    </row>
    <row r="31" spans="1:24" ht="15.6" x14ac:dyDescent="0.3">
      <c r="A31" s="28"/>
      <c r="B31" s="25" t="s">
        <v>133</v>
      </c>
      <c r="C31" s="36"/>
      <c r="D31" s="144">
        <v>1500000</v>
      </c>
      <c r="E31" s="32"/>
      <c r="F31" s="31">
        <v>125000</v>
      </c>
      <c r="G31" s="31"/>
      <c r="H31" s="124">
        <v>246000</v>
      </c>
      <c r="I31" s="124"/>
      <c r="J31" s="144">
        <v>400000</v>
      </c>
      <c r="K31" s="31"/>
      <c r="L31" s="31">
        <v>51900</v>
      </c>
      <c r="M31" s="31"/>
      <c r="N31" s="124">
        <v>88800</v>
      </c>
      <c r="O31" s="31"/>
      <c r="P31" s="31">
        <v>20000</v>
      </c>
      <c r="Q31" s="31"/>
      <c r="R31" s="124">
        <v>135500</v>
      </c>
      <c r="S31" s="35"/>
      <c r="T31" s="35"/>
      <c r="U31" s="37"/>
      <c r="V31" s="35"/>
      <c r="W31" s="34"/>
      <c r="X31" s="5"/>
    </row>
    <row r="32" spans="1:24" ht="15.6" x14ac:dyDescent="0.3">
      <c r="A32" s="24"/>
      <c r="B32" s="25" t="s">
        <v>132</v>
      </c>
      <c r="C32" s="32"/>
      <c r="D32" s="144">
        <v>0</v>
      </c>
      <c r="E32" s="32"/>
      <c r="F32" s="31">
        <v>0</v>
      </c>
      <c r="G32" s="31"/>
      <c r="H32" s="124">
        <v>0</v>
      </c>
      <c r="I32" s="124"/>
      <c r="J32" s="144">
        <v>0</v>
      </c>
      <c r="K32" s="31"/>
      <c r="L32" s="31">
        <v>0</v>
      </c>
      <c r="M32" s="31"/>
      <c r="N32" s="124">
        <v>0</v>
      </c>
      <c r="O32" s="31"/>
      <c r="P32" s="31">
        <v>0</v>
      </c>
      <c r="Q32" s="31"/>
      <c r="R32" s="124">
        <v>0</v>
      </c>
      <c r="S32" s="31"/>
      <c r="T32" s="31"/>
      <c r="U32" s="33"/>
      <c r="V32" s="31"/>
      <c r="W32" s="34"/>
      <c r="X32" s="5"/>
    </row>
    <row r="33" spans="1:24" ht="15.6" x14ac:dyDescent="0.3">
      <c r="A33" s="24"/>
      <c r="B33" s="29" t="s">
        <v>134</v>
      </c>
      <c r="C33" s="32"/>
      <c r="D33" s="149">
        <f>D37*D31</f>
        <v>1465846.5</v>
      </c>
      <c r="E33" s="36"/>
      <c r="F33" s="35">
        <f>F37*F31</f>
        <v>122153.875</v>
      </c>
      <c r="G33" s="35"/>
      <c r="H33" s="125">
        <f>H31*H37</f>
        <v>240398.826</v>
      </c>
      <c r="I33" s="125"/>
      <c r="J33" s="149">
        <f>J37*J31</f>
        <v>390892.39999999997</v>
      </c>
      <c r="K33" s="35"/>
      <c r="L33" s="35">
        <f>L31*L37</f>
        <v>51900</v>
      </c>
      <c r="M33" s="35"/>
      <c r="N33" s="125">
        <f>N31*N37</f>
        <v>88800</v>
      </c>
      <c r="O33" s="35"/>
      <c r="P33" s="35">
        <f>P31*P37</f>
        <v>20000</v>
      </c>
      <c r="Q33" s="35"/>
      <c r="R33" s="125">
        <f>R31*R37</f>
        <v>135500</v>
      </c>
      <c r="S33" s="31"/>
      <c r="T33" s="31"/>
      <c r="U33" s="33"/>
      <c r="V33" s="31"/>
      <c r="W33" s="34"/>
      <c r="X33" s="5"/>
    </row>
    <row r="34" spans="1:24" ht="15.6" x14ac:dyDescent="0.3">
      <c r="A34" s="28"/>
      <c r="B34" s="25" t="s">
        <v>296</v>
      </c>
      <c r="C34" s="36"/>
      <c r="D34" s="31">
        <v>775194</v>
      </c>
      <c r="E34" s="32"/>
      <c r="F34" s="31">
        <v>125000</v>
      </c>
      <c r="G34" s="31"/>
      <c r="H34" s="31">
        <v>168148</v>
      </c>
      <c r="I34" s="31"/>
      <c r="J34" s="31">
        <v>206718</v>
      </c>
      <c r="K34" s="31"/>
      <c r="L34" s="31">
        <v>51900</v>
      </c>
      <c r="M34" s="31"/>
      <c r="N34" s="31">
        <v>60697</v>
      </c>
      <c r="O34" s="31"/>
      <c r="P34" s="31">
        <v>20000</v>
      </c>
      <c r="Q34" s="31"/>
      <c r="R34" s="31">
        <v>92618</v>
      </c>
      <c r="S34" s="35"/>
      <c r="T34" s="35"/>
      <c r="U34" s="37"/>
      <c r="V34" s="152">
        <f>SUM(C34:R34)</f>
        <v>1500275</v>
      </c>
      <c r="W34" s="34"/>
      <c r="X34" s="5"/>
    </row>
    <row r="35" spans="1:24" ht="15.6" x14ac:dyDescent="0.3">
      <c r="A35" s="28"/>
      <c r="B35" s="25" t="s">
        <v>297</v>
      </c>
      <c r="C35" s="126"/>
      <c r="D35" s="31">
        <v>0</v>
      </c>
      <c r="E35" s="32"/>
      <c r="F35" s="31">
        <v>0</v>
      </c>
      <c r="G35" s="31"/>
      <c r="H35" s="31">
        <v>0</v>
      </c>
      <c r="I35" s="31"/>
      <c r="J35" s="31">
        <v>0</v>
      </c>
      <c r="K35" s="31"/>
      <c r="L35" s="31">
        <v>0</v>
      </c>
      <c r="M35" s="31"/>
      <c r="N35" s="31">
        <v>0</v>
      </c>
      <c r="O35" s="31"/>
      <c r="P35" s="31">
        <v>0</v>
      </c>
      <c r="Q35" s="31"/>
      <c r="R35" s="31">
        <v>0</v>
      </c>
      <c r="S35" s="31"/>
      <c r="T35" s="31"/>
      <c r="U35" s="33"/>
      <c r="V35" s="152">
        <f>SUM(C35:R35)</f>
        <v>0</v>
      </c>
      <c r="W35" s="34"/>
      <c r="X35" s="5"/>
    </row>
    <row r="36" spans="1:24" ht="15.6" x14ac:dyDescent="0.3">
      <c r="A36" s="28"/>
      <c r="B36" s="29" t="s">
        <v>298</v>
      </c>
      <c r="C36" s="126"/>
      <c r="D36" s="35">
        <f>D34*D37</f>
        <v>757543.60781399999</v>
      </c>
      <c r="E36" s="36"/>
      <c r="F36" s="35">
        <f>F34*F37</f>
        <v>122153.875</v>
      </c>
      <c r="G36" s="35"/>
      <c r="H36" s="35">
        <f>H34*H37</f>
        <v>164319.438188</v>
      </c>
      <c r="I36" s="35"/>
      <c r="J36" s="35">
        <f>J34*J37</f>
        <v>202011.23785799998</v>
      </c>
      <c r="K36" s="35"/>
      <c r="L36" s="35">
        <f>L34*L37</f>
        <v>51900</v>
      </c>
      <c r="M36" s="35"/>
      <c r="N36" s="35">
        <f>N34*N37</f>
        <v>60697</v>
      </c>
      <c r="O36" s="35"/>
      <c r="P36" s="35">
        <f>P34*P37</f>
        <v>20000</v>
      </c>
      <c r="Q36" s="35"/>
      <c r="R36" s="35">
        <f>R34*R37</f>
        <v>92618</v>
      </c>
      <c r="S36" s="128"/>
      <c r="T36" s="128"/>
      <c r="U36" s="33"/>
      <c r="V36" s="153">
        <f>SUM(C36:R36)</f>
        <v>1471243.1588599999</v>
      </c>
      <c r="W36" s="34"/>
      <c r="X36" s="5"/>
    </row>
    <row r="37" spans="1:24" ht="15.6" x14ac:dyDescent="0.3">
      <c r="A37" s="24"/>
      <c r="B37" s="122" t="s">
        <v>130</v>
      </c>
      <c r="C37" s="25"/>
      <c r="D37" s="171">
        <v>0.97723099999999996</v>
      </c>
      <c r="E37" s="171"/>
      <c r="F37" s="171">
        <v>0.97723099999999996</v>
      </c>
      <c r="G37" s="171"/>
      <c r="H37" s="171">
        <v>0.97723099999999996</v>
      </c>
      <c r="I37" s="171"/>
      <c r="J37" s="171">
        <v>0.97723099999999996</v>
      </c>
      <c r="K37" s="171"/>
      <c r="L37" s="171">
        <v>1</v>
      </c>
      <c r="M37" s="171"/>
      <c r="N37" s="171">
        <v>1</v>
      </c>
      <c r="O37" s="171"/>
      <c r="P37" s="171">
        <v>1</v>
      </c>
      <c r="Q37" s="171"/>
      <c r="R37" s="171">
        <v>1</v>
      </c>
      <c r="S37" s="30"/>
      <c r="T37" s="30"/>
      <c r="U37" s="27"/>
      <c r="V37" s="27"/>
      <c r="W37" s="25"/>
      <c r="X37" s="5"/>
    </row>
    <row r="38" spans="1:24" ht="15.6" x14ac:dyDescent="0.3">
      <c r="A38" s="24"/>
      <c r="B38" s="122" t="s">
        <v>131</v>
      </c>
      <c r="C38" s="25"/>
      <c r="D38" s="171">
        <v>1</v>
      </c>
      <c r="E38" s="172"/>
      <c r="F38" s="171">
        <v>1</v>
      </c>
      <c r="G38" s="171"/>
      <c r="H38" s="171">
        <v>1</v>
      </c>
      <c r="I38" s="171"/>
      <c r="J38" s="171">
        <v>1</v>
      </c>
      <c r="K38" s="171"/>
      <c r="L38" s="171">
        <v>1</v>
      </c>
      <c r="M38" s="171"/>
      <c r="N38" s="171">
        <v>1</v>
      </c>
      <c r="O38" s="171"/>
      <c r="P38" s="171">
        <v>1</v>
      </c>
      <c r="Q38" s="171"/>
      <c r="R38" s="171">
        <v>1</v>
      </c>
      <c r="S38" s="39"/>
      <c r="T38" s="38"/>
      <c r="U38" s="27"/>
      <c r="V38" s="39"/>
      <c r="W38" s="25"/>
      <c r="X38" s="5"/>
    </row>
    <row r="39" spans="1:24" ht="15.6" x14ac:dyDescent="0.3">
      <c r="A39" s="24"/>
      <c r="B39" s="25" t="s">
        <v>11</v>
      </c>
      <c r="C39" s="25"/>
      <c r="D39" s="30" t="s">
        <v>230</v>
      </c>
      <c r="E39" s="25"/>
      <c r="F39" s="30" t="s">
        <v>258</v>
      </c>
      <c r="G39" s="30"/>
      <c r="H39" s="30" t="s">
        <v>258</v>
      </c>
      <c r="I39" s="30"/>
      <c r="J39" s="30" t="s">
        <v>258</v>
      </c>
      <c r="K39" s="30"/>
      <c r="L39" s="30" t="s">
        <v>232</v>
      </c>
      <c r="M39" s="30"/>
      <c r="N39" s="30" t="s">
        <v>232</v>
      </c>
      <c r="O39" s="30"/>
      <c r="P39" s="30" t="s">
        <v>233</v>
      </c>
      <c r="Q39" s="30"/>
      <c r="R39" s="30" t="s">
        <v>233</v>
      </c>
      <c r="S39" s="39"/>
      <c r="T39" s="38"/>
      <c r="U39" s="27"/>
      <c r="V39" s="27"/>
      <c r="W39" s="25"/>
      <c r="X39" s="5"/>
    </row>
    <row r="40" spans="1:24" ht="15.6" x14ac:dyDescent="0.3">
      <c r="A40" s="24"/>
      <c r="B40" s="25" t="s">
        <v>12</v>
      </c>
      <c r="C40" s="25"/>
      <c r="D40" s="38">
        <v>5.6112500000000003E-2</v>
      </c>
      <c r="E40" s="25"/>
      <c r="F40" s="38">
        <v>5.7806299999999998E-2</v>
      </c>
      <c r="G40" s="39"/>
      <c r="H40" s="38">
        <v>4.1059999999999999E-2</v>
      </c>
      <c r="I40" s="38"/>
      <c r="J40" s="38">
        <v>5.4406099999999999E-2</v>
      </c>
      <c r="K40" s="39"/>
      <c r="L40" s="38">
        <v>5.86063E-2</v>
      </c>
      <c r="M40" s="39"/>
      <c r="N40" s="38">
        <v>4.1860000000000001E-2</v>
      </c>
      <c r="O40" s="39"/>
      <c r="P40" s="38">
        <v>6.0606300000000002E-2</v>
      </c>
      <c r="Q40" s="39"/>
      <c r="R40" s="38">
        <v>4.3860000000000003E-2</v>
      </c>
      <c r="S40" s="39"/>
      <c r="T40" s="38"/>
      <c r="U40" s="27"/>
      <c r="V40" s="30"/>
      <c r="W40" s="25"/>
      <c r="X40" s="5"/>
    </row>
    <row r="41" spans="1:24" ht="15.6" x14ac:dyDescent="0.3">
      <c r="A41" s="24"/>
      <c r="B41" s="25" t="s">
        <v>13</v>
      </c>
      <c r="C41" s="25"/>
      <c r="D41" s="38">
        <v>0</v>
      </c>
      <c r="E41" s="25"/>
      <c r="F41" s="38">
        <v>0</v>
      </c>
      <c r="G41" s="39"/>
      <c r="H41" s="38">
        <v>0</v>
      </c>
      <c r="I41" s="38"/>
      <c r="J41" s="38">
        <v>0</v>
      </c>
      <c r="K41" s="38"/>
      <c r="L41" s="38">
        <v>0</v>
      </c>
      <c r="M41" s="38"/>
      <c r="N41" s="38">
        <v>0</v>
      </c>
      <c r="O41" s="38"/>
      <c r="P41" s="38">
        <v>0</v>
      </c>
      <c r="Q41" s="38"/>
      <c r="R41" s="38">
        <v>0</v>
      </c>
      <c r="S41" s="39"/>
      <c r="T41" s="38"/>
      <c r="U41" s="27"/>
      <c r="V41" s="39" t="s">
        <v>193</v>
      </c>
      <c r="W41" s="25"/>
      <c r="X41" s="5"/>
    </row>
    <row r="42" spans="1:24" ht="15.6" x14ac:dyDescent="0.3">
      <c r="A42" s="24"/>
      <c r="B42" s="25" t="s">
        <v>299</v>
      </c>
      <c r="C42" s="25"/>
      <c r="D42" s="30" t="s">
        <v>281</v>
      </c>
      <c r="E42" s="25"/>
      <c r="F42" s="30" t="s">
        <v>258</v>
      </c>
      <c r="G42" s="30"/>
      <c r="H42" s="30" t="s">
        <v>259</v>
      </c>
      <c r="I42" s="30"/>
      <c r="J42" s="30" t="s">
        <v>260</v>
      </c>
      <c r="K42" s="30"/>
      <c r="L42" s="30" t="s">
        <v>232</v>
      </c>
      <c r="M42" s="30"/>
      <c r="N42" s="30" t="s">
        <v>235</v>
      </c>
      <c r="O42" s="30"/>
      <c r="P42" s="30" t="s">
        <v>233</v>
      </c>
      <c r="Q42" s="30"/>
      <c r="R42" s="30" t="s">
        <v>261</v>
      </c>
      <c r="S42" s="39"/>
      <c r="T42" s="38"/>
      <c r="U42" s="27"/>
      <c r="V42" s="27"/>
      <c r="W42" s="25"/>
      <c r="X42" s="5"/>
    </row>
    <row r="43" spans="1:24" ht="15.6" x14ac:dyDescent="0.3">
      <c r="A43" s="24"/>
      <c r="B43" s="25" t="s">
        <v>300</v>
      </c>
      <c r="C43" s="110"/>
      <c r="D43" s="38">
        <v>5.7110300000000003E-2</v>
      </c>
      <c r="E43" s="38"/>
      <c r="F43" s="38">
        <f>+F40</f>
        <v>5.7806299999999998E-2</v>
      </c>
      <c r="G43" s="38"/>
      <c r="H43" s="38">
        <v>5.7946299999999999E-2</v>
      </c>
      <c r="I43" s="38"/>
      <c r="J43" s="38">
        <v>5.81693E-2</v>
      </c>
      <c r="K43" s="38"/>
      <c r="L43" s="38">
        <f>+L40</f>
        <v>5.86063E-2</v>
      </c>
      <c r="M43" s="38"/>
      <c r="N43" s="38">
        <v>5.8902299999999998E-2</v>
      </c>
      <c r="O43" s="38"/>
      <c r="P43" s="38">
        <f>+P40</f>
        <v>6.0606300000000002E-2</v>
      </c>
      <c r="Q43" s="39"/>
      <c r="R43" s="38">
        <v>6.1139300000000001E-2</v>
      </c>
      <c r="S43" s="30"/>
      <c r="T43" s="30"/>
      <c r="U43" s="27"/>
      <c r="V43" s="39">
        <f>SUMPRODUCT(D43:R43,D34:R34)/V34</f>
        <v>5.7827485473329894E-2</v>
      </c>
      <c r="W43" s="25"/>
      <c r="X43" s="5"/>
    </row>
    <row r="44" spans="1:24" ht="15.6" x14ac:dyDescent="0.3">
      <c r="A44" s="24"/>
      <c r="B44" s="25" t="s">
        <v>301</v>
      </c>
      <c r="C44" s="110"/>
      <c r="D44" s="38">
        <v>0</v>
      </c>
      <c r="E44" s="25"/>
      <c r="F44" s="38">
        <v>0</v>
      </c>
      <c r="G44" s="39"/>
      <c r="H44" s="38">
        <v>0</v>
      </c>
      <c r="I44" s="38"/>
      <c r="J44" s="38">
        <v>0</v>
      </c>
      <c r="K44" s="39"/>
      <c r="L44" s="38">
        <v>0</v>
      </c>
      <c r="M44" s="39"/>
      <c r="N44" s="38">
        <v>0</v>
      </c>
      <c r="O44" s="39"/>
      <c r="P44" s="38">
        <v>0</v>
      </c>
      <c r="Q44" s="39"/>
      <c r="R44" s="38">
        <v>0</v>
      </c>
      <c r="S44" s="30"/>
      <c r="T44" s="30"/>
      <c r="U44" s="27"/>
      <c r="V44" s="27"/>
      <c r="W44" s="25"/>
      <c r="X44" s="5"/>
    </row>
    <row r="45" spans="1:24" ht="15.6" x14ac:dyDescent="0.3">
      <c r="A45" s="24"/>
      <c r="B45" s="25" t="s">
        <v>14</v>
      </c>
      <c r="C45" s="25"/>
      <c r="D45" s="110">
        <v>40617</v>
      </c>
      <c r="E45" s="110"/>
      <c r="F45" s="110">
        <v>40617</v>
      </c>
      <c r="G45" s="110"/>
      <c r="H45" s="110">
        <v>40617</v>
      </c>
      <c r="I45" s="110"/>
      <c r="J45" s="110">
        <v>40617</v>
      </c>
      <c r="K45" s="110"/>
      <c r="L45" s="110">
        <v>40617</v>
      </c>
      <c r="M45" s="110"/>
      <c r="N45" s="110">
        <v>40617</v>
      </c>
      <c r="O45" s="110"/>
      <c r="P45" s="110">
        <v>40617</v>
      </c>
      <c r="Q45" s="110"/>
      <c r="R45" s="110">
        <v>40617</v>
      </c>
      <c r="S45" s="30"/>
      <c r="T45" s="30"/>
      <c r="U45" s="27"/>
      <c r="V45" s="27"/>
      <c r="W45" s="25"/>
      <c r="X45" s="5"/>
    </row>
    <row r="46" spans="1:24" ht="15.6" x14ac:dyDescent="0.3">
      <c r="A46" s="24"/>
      <c r="B46" s="25" t="s">
        <v>15</v>
      </c>
      <c r="C46" s="25"/>
      <c r="D46" s="110" t="s">
        <v>118</v>
      </c>
      <c r="E46" s="110"/>
      <c r="F46" s="110">
        <v>40983</v>
      </c>
      <c r="G46" s="110"/>
      <c r="H46" s="110">
        <v>40983</v>
      </c>
      <c r="I46" s="110"/>
      <c r="J46" s="110">
        <v>40983</v>
      </c>
      <c r="K46" s="30"/>
      <c r="L46" s="110">
        <v>40983</v>
      </c>
      <c r="M46" s="30"/>
      <c r="N46" s="110">
        <v>40983</v>
      </c>
      <c r="O46" s="30"/>
      <c r="P46" s="110">
        <v>40983</v>
      </c>
      <c r="Q46" s="30"/>
      <c r="R46" s="110">
        <v>40983</v>
      </c>
      <c r="S46" s="30"/>
      <c r="T46" s="30"/>
      <c r="U46" s="27"/>
      <c r="V46" s="27"/>
      <c r="W46" s="25"/>
      <c r="X46" s="5"/>
    </row>
    <row r="47" spans="1:24" ht="15.6" x14ac:dyDescent="0.3">
      <c r="A47" s="24"/>
      <c r="B47" s="25" t="s">
        <v>119</v>
      </c>
      <c r="C47" s="25"/>
      <c r="D47" s="158" t="s">
        <v>118</v>
      </c>
      <c r="E47" s="25"/>
      <c r="F47" s="30" t="s">
        <v>231</v>
      </c>
      <c r="G47" s="30"/>
      <c r="H47" s="30" t="s">
        <v>231</v>
      </c>
      <c r="I47" s="30"/>
      <c r="J47" s="30" t="s">
        <v>231</v>
      </c>
      <c r="K47" s="30"/>
      <c r="L47" s="30" t="s">
        <v>265</v>
      </c>
      <c r="M47" s="30"/>
      <c r="N47" s="30" t="s">
        <v>265</v>
      </c>
      <c r="O47" s="30"/>
      <c r="P47" s="30" t="s">
        <v>266</v>
      </c>
      <c r="Q47" s="30"/>
      <c r="R47" s="30" t="s">
        <v>266</v>
      </c>
      <c r="S47" s="40"/>
      <c r="T47" s="40"/>
      <c r="U47" s="40"/>
      <c r="V47" s="40"/>
      <c r="W47" s="25"/>
      <c r="X47" s="5"/>
    </row>
    <row r="48" spans="1:24" ht="15.6" x14ac:dyDescent="0.3">
      <c r="A48" s="24"/>
      <c r="B48" s="25" t="s">
        <v>302</v>
      </c>
      <c r="C48" s="25"/>
      <c r="D48" s="30" t="s">
        <v>200</v>
      </c>
      <c r="E48" s="25"/>
      <c r="F48" s="30" t="s">
        <v>231</v>
      </c>
      <c r="G48" s="30"/>
      <c r="H48" s="30" t="s">
        <v>262</v>
      </c>
      <c r="I48" s="30"/>
      <c r="J48" s="30" t="s">
        <v>263</v>
      </c>
      <c r="K48" s="30"/>
      <c r="L48" s="30" t="s">
        <v>265</v>
      </c>
      <c r="M48" s="30"/>
      <c r="N48" s="30" t="s">
        <v>234</v>
      </c>
      <c r="O48" s="30"/>
      <c r="P48" s="30" t="s">
        <v>266</v>
      </c>
      <c r="Q48" s="30"/>
      <c r="R48" s="30" t="s">
        <v>264</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193</v>
      </c>
      <c r="W49" s="25"/>
      <c r="X49" s="5"/>
    </row>
    <row r="50" spans="1:25" ht="15.6" x14ac:dyDescent="0.3">
      <c r="A50" s="24"/>
      <c r="B50" s="25" t="s">
        <v>169</v>
      </c>
      <c r="C50" s="25"/>
      <c r="D50" s="30"/>
      <c r="E50" s="25"/>
      <c r="F50" s="30"/>
      <c r="G50" s="30"/>
      <c r="H50" s="30"/>
      <c r="I50" s="30"/>
      <c r="J50" s="30"/>
      <c r="K50" s="30"/>
      <c r="L50" s="30"/>
      <c r="M50" s="30"/>
      <c r="N50" s="30"/>
      <c r="O50" s="30"/>
      <c r="P50" s="30"/>
      <c r="Q50" s="30"/>
      <c r="R50" s="30"/>
      <c r="S50" s="25"/>
      <c r="T50" s="25"/>
      <c r="U50" s="25"/>
      <c r="V50" s="39">
        <f>SUM(L34:R34)/SUM(D34:J34)</f>
        <v>0.17663090364375009</v>
      </c>
      <c r="W50" s="25"/>
      <c r="X50" s="5"/>
    </row>
    <row r="51" spans="1:25" ht="15.6" x14ac:dyDescent="0.3">
      <c r="A51" s="24"/>
      <c r="B51" s="25" t="s">
        <v>170</v>
      </c>
      <c r="C51" s="25"/>
      <c r="D51" s="25"/>
      <c r="E51" s="25"/>
      <c r="F51" s="41"/>
      <c r="G51" s="25"/>
      <c r="H51" s="25"/>
      <c r="I51" s="25"/>
      <c r="J51" s="25"/>
      <c r="K51" s="25"/>
      <c r="L51" s="25"/>
      <c r="M51" s="25"/>
      <c r="N51" s="25"/>
      <c r="O51" s="25"/>
      <c r="P51" s="25"/>
      <c r="Q51" s="25"/>
      <c r="R51" s="25"/>
      <c r="S51" s="25"/>
      <c r="T51" s="25"/>
      <c r="U51" s="25"/>
      <c r="V51" s="39">
        <f>SUM(L36:R36)/SUM(D36:J36)</f>
        <v>0.18074631652470105</v>
      </c>
      <c r="W51" s="25"/>
      <c r="X51" s="5"/>
    </row>
    <row r="52" spans="1:25" ht="15.6" x14ac:dyDescent="0.3">
      <c r="A52" s="24"/>
      <c r="B52" s="25" t="s">
        <v>171</v>
      </c>
      <c r="C52" s="25"/>
      <c r="D52" s="25"/>
      <c r="E52" s="25"/>
      <c r="F52" s="25"/>
      <c r="G52" s="25"/>
      <c r="H52" s="25"/>
      <c r="I52" s="25"/>
      <c r="J52" s="25"/>
      <c r="K52" s="25"/>
      <c r="L52" s="25"/>
      <c r="M52" s="25"/>
      <c r="N52" s="25"/>
      <c r="O52" s="25"/>
      <c r="P52" s="25"/>
      <c r="Q52" s="25"/>
      <c r="R52" s="25"/>
      <c r="S52" s="25"/>
      <c r="T52" s="30"/>
      <c r="U52" s="30"/>
      <c r="V52" s="31" t="s">
        <v>276</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202</v>
      </c>
      <c r="C54" s="25"/>
      <c r="D54" s="25"/>
      <c r="E54" s="25"/>
      <c r="F54" s="25"/>
      <c r="G54" s="25"/>
      <c r="H54" s="25"/>
      <c r="I54" s="25"/>
      <c r="J54" s="25"/>
      <c r="K54" s="25"/>
      <c r="L54" s="25"/>
      <c r="M54" s="25"/>
      <c r="N54" s="25"/>
      <c r="O54" s="25"/>
      <c r="P54" s="25"/>
      <c r="Q54" s="25"/>
      <c r="R54" s="25"/>
      <c r="S54" s="25"/>
      <c r="T54" s="25"/>
      <c r="U54" s="25"/>
      <c r="V54" s="154" t="s">
        <v>203</v>
      </c>
      <c r="W54" s="25"/>
      <c r="X54" s="5"/>
    </row>
    <row r="55" spans="1:25" ht="15.6" x14ac:dyDescent="0.3">
      <c r="A55" s="24"/>
      <c r="B55" s="25" t="s">
        <v>280</v>
      </c>
      <c r="C55" s="25"/>
      <c r="D55" s="25"/>
      <c r="E55" s="25"/>
      <c r="F55" s="25"/>
      <c r="G55" s="25"/>
      <c r="H55" s="25"/>
      <c r="I55" s="25"/>
      <c r="J55" s="25"/>
      <c r="K55" s="25"/>
      <c r="L55" s="25"/>
      <c r="M55" s="25"/>
      <c r="N55" s="25"/>
      <c r="O55" s="25"/>
      <c r="P55" s="25"/>
      <c r="Q55" s="25"/>
      <c r="R55" s="25"/>
      <c r="S55" s="25"/>
      <c r="T55" s="30"/>
      <c r="U55" s="30"/>
      <c r="V55" s="155" t="s">
        <v>111</v>
      </c>
      <c r="W55" s="25"/>
      <c r="X55" s="5"/>
    </row>
    <row r="56" spans="1:25" ht="15.6" x14ac:dyDescent="0.3">
      <c r="A56" s="24"/>
      <c r="B56" s="29" t="s">
        <v>201</v>
      </c>
      <c r="C56" s="29"/>
      <c r="D56" s="29"/>
      <c r="E56" s="29"/>
      <c r="F56" s="29"/>
      <c r="G56" s="29"/>
      <c r="H56" s="29"/>
      <c r="I56" s="29"/>
      <c r="J56" s="29"/>
      <c r="K56" s="29"/>
      <c r="L56" s="29"/>
      <c r="M56" s="29"/>
      <c r="N56" s="29"/>
      <c r="O56" s="29"/>
      <c r="P56" s="29"/>
      <c r="Q56" s="29"/>
      <c r="R56" s="29"/>
      <c r="S56" s="29"/>
      <c r="T56" s="43"/>
      <c r="U56" s="43"/>
      <c r="V56" s="44">
        <v>39342</v>
      </c>
      <c r="W56" s="25"/>
      <c r="X56" s="5"/>
    </row>
    <row r="57" spans="1:25" ht="15.6" x14ac:dyDescent="0.3">
      <c r="A57" s="24"/>
      <c r="B57" s="25" t="s">
        <v>121</v>
      </c>
      <c r="C57" s="25"/>
      <c r="D57" s="25"/>
      <c r="E57" s="25"/>
      <c r="F57" s="25"/>
      <c r="G57" s="25"/>
      <c r="H57" s="58"/>
      <c r="I57" s="58"/>
      <c r="J57" s="58"/>
      <c r="K57" s="58"/>
      <c r="L57" s="58"/>
      <c r="M57" s="58"/>
      <c r="N57" s="58"/>
      <c r="O57" s="58"/>
      <c r="P57" s="58"/>
      <c r="Q57" s="58"/>
      <c r="R57" s="58"/>
      <c r="S57" s="58"/>
      <c r="T57" s="45"/>
      <c r="U57" s="46"/>
      <c r="V57" s="45"/>
      <c r="W57" s="25"/>
      <c r="X57" s="5"/>
    </row>
    <row r="58" spans="1:25" ht="15.6" x14ac:dyDescent="0.3">
      <c r="A58" s="24"/>
      <c r="B58" s="25" t="s">
        <v>122</v>
      </c>
      <c r="C58" s="25"/>
      <c r="D58" s="25"/>
      <c r="E58" s="25"/>
      <c r="F58" s="25"/>
      <c r="G58" s="25"/>
      <c r="H58" s="25"/>
      <c r="I58" s="25"/>
      <c r="J58" s="25"/>
      <c r="K58" s="25"/>
      <c r="L58" s="25"/>
      <c r="M58" s="25"/>
      <c r="N58" s="25"/>
      <c r="O58" s="25"/>
      <c r="P58" s="25"/>
      <c r="Q58" s="25"/>
      <c r="R58" s="25">
        <f>+V58-T58+1</f>
        <v>179</v>
      </c>
      <c r="S58" s="25"/>
      <c r="T58" s="45">
        <v>39163</v>
      </c>
      <c r="U58" s="46"/>
      <c r="V58" s="45">
        <v>39341</v>
      </c>
      <c r="W58" s="25"/>
      <c r="X58" s="5"/>
    </row>
    <row r="59" spans="1:25" ht="15.6" x14ac:dyDescent="0.3">
      <c r="A59" s="24"/>
      <c r="B59" s="25" t="s">
        <v>229</v>
      </c>
      <c r="C59" s="25"/>
      <c r="D59" s="25"/>
      <c r="E59" s="25"/>
      <c r="F59" s="25"/>
      <c r="G59" s="25"/>
      <c r="H59" s="25"/>
      <c r="I59" s="25"/>
      <c r="J59" s="25"/>
      <c r="K59" s="25"/>
      <c r="L59" s="25"/>
      <c r="M59" s="25"/>
      <c r="N59" s="25"/>
      <c r="O59" s="25"/>
      <c r="P59" s="25"/>
      <c r="Q59" s="25"/>
      <c r="R59" s="25"/>
      <c r="S59" s="25"/>
      <c r="T59" s="45"/>
      <c r="U59" s="46"/>
      <c r="V59" s="45" t="s">
        <v>120</v>
      </c>
      <c r="W59" s="25"/>
      <c r="X59" s="5"/>
    </row>
    <row r="60" spans="1:25" ht="15.6" x14ac:dyDescent="0.3">
      <c r="A60" s="24"/>
      <c r="B60" s="25" t="s">
        <v>228</v>
      </c>
      <c r="C60" s="25"/>
      <c r="D60" s="25"/>
      <c r="E60" s="25"/>
      <c r="F60" s="25"/>
      <c r="G60" s="25"/>
      <c r="H60" s="25"/>
      <c r="I60" s="25"/>
      <c r="J60" s="25"/>
      <c r="K60" s="25"/>
      <c r="L60" s="25"/>
      <c r="M60" s="25"/>
      <c r="N60" s="25"/>
      <c r="O60" s="25"/>
      <c r="P60" s="25"/>
      <c r="Q60" s="25"/>
      <c r="R60" s="25"/>
      <c r="S60" s="25"/>
      <c r="T60" s="45"/>
      <c r="U60" s="46"/>
      <c r="V60" s="45" t="s">
        <v>154</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39328</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247</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94</v>
      </c>
      <c r="M68" s="115"/>
      <c r="N68" s="115" t="s">
        <v>96</v>
      </c>
      <c r="O68" s="115"/>
      <c r="P68" s="115" t="s">
        <v>98</v>
      </c>
      <c r="Q68" s="115"/>
      <c r="R68" s="115" t="s">
        <v>100</v>
      </c>
      <c r="S68" s="115"/>
      <c r="T68" s="115" t="s">
        <v>106</v>
      </c>
      <c r="U68" s="115"/>
      <c r="V68" s="116" t="s">
        <v>112</v>
      </c>
      <c r="W68" s="117"/>
      <c r="X68" s="5"/>
    </row>
    <row r="69" spans="1:24" ht="15.6" x14ac:dyDescent="0.3">
      <c r="A69" s="24"/>
      <c r="B69" s="25" t="s">
        <v>19</v>
      </c>
      <c r="C69" s="34"/>
      <c r="D69" s="34"/>
      <c r="E69" s="34"/>
      <c r="F69" s="34"/>
      <c r="G69" s="34"/>
      <c r="H69" s="34"/>
      <c r="I69" s="34"/>
      <c r="J69" s="34"/>
      <c r="K69" s="34"/>
      <c r="L69" s="34">
        <v>1158015</v>
      </c>
      <c r="M69" s="34"/>
      <c r="N69" s="53">
        <v>1158015</v>
      </c>
      <c r="O69" s="34"/>
      <c r="P69" s="34">
        <f>29032+10436+1692-15</f>
        <v>41145</v>
      </c>
      <c r="Q69" s="34"/>
      <c r="R69" s="34">
        <f>10436+1692+342245</f>
        <v>354373</v>
      </c>
      <c r="S69" s="34"/>
      <c r="T69" s="34">
        <v>0</v>
      </c>
      <c r="U69" s="34"/>
      <c r="V69" s="53">
        <f>+L69-P69+R69-T69</f>
        <v>1471243</v>
      </c>
      <c r="W69" s="25"/>
      <c r="X69" s="5"/>
    </row>
    <row r="70" spans="1:24" ht="15.6" x14ac:dyDescent="0.3">
      <c r="A70" s="24"/>
      <c r="B70" s="25" t="s">
        <v>20</v>
      </c>
      <c r="C70" s="34"/>
      <c r="D70" s="34"/>
      <c r="E70" s="34"/>
      <c r="F70" s="34"/>
      <c r="G70" s="34"/>
      <c r="H70" s="34"/>
      <c r="I70" s="34"/>
      <c r="J70" s="34"/>
      <c r="K70" s="34"/>
      <c r="L70" s="34">
        <v>15</v>
      </c>
      <c r="M70" s="34"/>
      <c r="N70" s="53">
        <v>15</v>
      </c>
      <c r="O70" s="34"/>
      <c r="P70" s="34">
        <v>15</v>
      </c>
      <c r="Q70" s="34"/>
      <c r="R70" s="34">
        <v>0</v>
      </c>
      <c r="S70" s="34"/>
      <c r="T70" s="34">
        <v>0</v>
      </c>
      <c r="U70" s="34"/>
      <c r="V70" s="53">
        <f>+L70-P70</f>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1158030</v>
      </c>
      <c r="M72" s="34"/>
      <c r="N72" s="54">
        <f>N69+N70</f>
        <v>1158030</v>
      </c>
      <c r="O72" s="34"/>
      <c r="P72" s="34">
        <f>SUM(P69:P71)</f>
        <v>41160</v>
      </c>
      <c r="Q72" s="34"/>
      <c r="R72" s="34">
        <f>SUM(R69:R71)</f>
        <v>354373</v>
      </c>
      <c r="S72" s="34"/>
      <c r="T72" s="34">
        <f>SUM(T69:T71)</f>
        <v>0</v>
      </c>
      <c r="U72" s="34"/>
      <c r="V72" s="54">
        <f>SUM(V69:V71)</f>
        <v>1471243</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117</v>
      </c>
      <c r="C82" s="34"/>
      <c r="D82" s="34"/>
      <c r="E82" s="34"/>
      <c r="F82" s="34"/>
      <c r="G82" s="34"/>
      <c r="H82" s="34"/>
      <c r="I82" s="34"/>
      <c r="J82" s="34"/>
      <c r="K82" s="34"/>
      <c r="L82" s="34">
        <v>342245</v>
      </c>
      <c r="M82" s="34"/>
      <c r="N82" s="34">
        <v>342245</v>
      </c>
      <c r="O82" s="34"/>
      <c r="P82" s="34">
        <v>-342245</v>
      </c>
      <c r="Q82" s="34"/>
      <c r="R82" s="34"/>
      <c r="S82" s="34"/>
      <c r="T82" s="34"/>
      <c r="U82" s="34"/>
      <c r="V82" s="54">
        <f>SUM(N82:R82)</f>
        <v>0</v>
      </c>
      <c r="W82" s="25"/>
      <c r="X82" s="5"/>
    </row>
    <row r="83" spans="1:24" ht="15.6" x14ac:dyDescent="0.3">
      <c r="A83" s="24"/>
      <c r="B83" s="25" t="s">
        <v>146</v>
      </c>
      <c r="C83" s="34"/>
      <c r="D83" s="34"/>
      <c r="E83" s="34"/>
      <c r="F83" s="34"/>
      <c r="G83" s="34"/>
      <c r="H83" s="34"/>
      <c r="I83" s="34"/>
      <c r="J83" s="34"/>
      <c r="K83" s="34"/>
      <c r="L83" s="34">
        <v>0</v>
      </c>
      <c r="M83" s="34"/>
      <c r="N83" s="34">
        <v>0</v>
      </c>
      <c r="O83" s="34"/>
      <c r="P83" s="34">
        <v>0</v>
      </c>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1500275</v>
      </c>
      <c r="M85" s="34"/>
      <c r="N85" s="54">
        <f>SUM(N72:N84)</f>
        <v>1500275</v>
      </c>
      <c r="O85" s="34"/>
      <c r="P85" s="34"/>
      <c r="Q85" s="34"/>
      <c r="R85" s="34"/>
      <c r="S85" s="34"/>
      <c r="T85" s="54"/>
      <c r="U85" s="34"/>
      <c r="V85" s="54">
        <f>SUM(V72:V84)</f>
        <v>1471243</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7" t="s">
        <v>95</v>
      </c>
      <c r="M88" s="17"/>
      <c r="N88" s="156">
        <f>+T204</f>
        <v>39325</v>
      </c>
      <c r="O88" s="17"/>
      <c r="P88" s="17"/>
      <c r="Q88" s="17"/>
      <c r="R88" s="17"/>
      <c r="S88" s="17"/>
      <c r="T88" s="17" t="s">
        <v>107</v>
      </c>
      <c r="U88" s="17"/>
      <c r="V88" s="17" t="s">
        <v>113</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12</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v>41140</v>
      </c>
      <c r="U90" s="25"/>
      <c r="V90" s="53"/>
      <c r="W90" s="25"/>
      <c r="X90" s="5"/>
    </row>
    <row r="91" spans="1:24" ht="15.6" x14ac:dyDescent="0.3">
      <c r="A91" s="24"/>
      <c r="B91" s="25" t="s">
        <v>216</v>
      </c>
      <c r="C91" s="25"/>
      <c r="D91" s="25"/>
      <c r="E91" s="25"/>
      <c r="F91" s="25"/>
      <c r="G91" s="25"/>
      <c r="H91" s="40"/>
      <c r="I91" s="40"/>
      <c r="J91" s="40"/>
      <c r="K91" s="57"/>
      <c r="L91" s="40"/>
      <c r="M91" s="25"/>
      <c r="N91" s="127"/>
      <c r="O91" s="25"/>
      <c r="P91" s="25"/>
      <c r="Q91" s="25"/>
      <c r="R91" s="25"/>
      <c r="S91" s="25"/>
      <c r="T91" s="34"/>
      <c r="U91" s="25"/>
      <c r="V91" s="53">
        <f>14504+21538-374-881-9</f>
        <v>34778</v>
      </c>
      <c r="W91" s="25"/>
      <c r="X91" s="5"/>
    </row>
    <row r="92" spans="1:24" ht="15.6" x14ac:dyDescent="0.3">
      <c r="A92" s="24"/>
      <c r="B92" s="25" t="s">
        <v>211</v>
      </c>
      <c r="C92" s="25"/>
      <c r="D92" s="25"/>
      <c r="E92" s="25"/>
      <c r="F92" s="25"/>
      <c r="G92" s="25"/>
      <c r="H92" s="40"/>
      <c r="I92" s="40"/>
      <c r="J92" s="40"/>
      <c r="K92" s="57"/>
      <c r="L92" s="40"/>
      <c r="M92" s="25"/>
      <c r="N92" s="127"/>
      <c r="O92" s="25"/>
      <c r="P92" s="25"/>
      <c r="Q92" s="25"/>
      <c r="R92" s="25"/>
      <c r="S92" s="25"/>
      <c r="T92" s="34"/>
      <c r="U92" s="25"/>
      <c r="V92" s="53">
        <f>224+396</f>
        <v>620</v>
      </c>
      <c r="W92" s="25"/>
      <c r="X92" s="5"/>
    </row>
    <row r="93" spans="1:24" ht="15.6" x14ac:dyDescent="0.3">
      <c r="A93" s="24"/>
      <c r="B93" s="25" t="s">
        <v>212</v>
      </c>
      <c r="C93" s="25"/>
      <c r="D93" s="25"/>
      <c r="E93" s="25"/>
      <c r="F93" s="25"/>
      <c r="G93" s="25"/>
      <c r="H93" s="40"/>
      <c r="I93" s="40"/>
      <c r="J93" s="40"/>
      <c r="K93" s="57"/>
      <c r="L93" s="40"/>
      <c r="M93" s="25"/>
      <c r="N93" s="127"/>
      <c r="O93" s="25"/>
      <c r="P93" s="25"/>
      <c r="Q93" s="25"/>
      <c r="R93" s="25"/>
      <c r="S93" s="25"/>
      <c r="T93" s="34"/>
      <c r="U93" s="25"/>
      <c r="V93" s="53">
        <v>6037</v>
      </c>
      <c r="W93" s="25"/>
      <c r="X93" s="5"/>
    </row>
    <row r="94" spans="1:24" ht="15.6" x14ac:dyDescent="0.3">
      <c r="A94" s="24"/>
      <c r="B94" s="25" t="s">
        <v>272</v>
      </c>
      <c r="C94" s="25"/>
      <c r="D94" s="25"/>
      <c r="E94" s="25"/>
      <c r="F94" s="25"/>
      <c r="G94" s="25"/>
      <c r="H94" s="40"/>
      <c r="I94" s="40"/>
      <c r="J94" s="40"/>
      <c r="K94" s="57"/>
      <c r="L94" s="40"/>
      <c r="M94" s="25"/>
      <c r="N94" s="127"/>
      <c r="O94" s="25"/>
      <c r="P94" s="25"/>
      <c r="Q94" s="25"/>
      <c r="R94" s="25"/>
      <c r="S94" s="25"/>
      <c r="T94" s="34"/>
      <c r="U94" s="25"/>
      <c r="V94" s="53">
        <v>306</v>
      </c>
      <c r="W94" s="25"/>
      <c r="X94" s="5"/>
    </row>
    <row r="95" spans="1:24" ht="15.6" x14ac:dyDescent="0.3">
      <c r="A95" s="24"/>
      <c r="B95" s="25" t="s">
        <v>274</v>
      </c>
      <c r="C95" s="25"/>
      <c r="D95" s="25"/>
      <c r="E95" s="25"/>
      <c r="F95" s="25"/>
      <c r="G95" s="25"/>
      <c r="H95" s="40"/>
      <c r="I95" s="40"/>
      <c r="J95" s="40"/>
      <c r="K95" s="57"/>
      <c r="L95" s="40"/>
      <c r="M95" s="25"/>
      <c r="N95" s="127"/>
      <c r="O95" s="25"/>
      <c r="P95" s="25"/>
      <c r="Q95" s="25"/>
      <c r="R95" s="25"/>
      <c r="S95" s="25"/>
      <c r="T95" s="34"/>
      <c r="U95" s="25"/>
      <c r="V95" s="53">
        <f>V175</f>
        <v>4971</v>
      </c>
      <c r="W95" s="25"/>
      <c r="X95" s="5"/>
    </row>
    <row r="96" spans="1:24" ht="15.6" x14ac:dyDescent="0.3">
      <c r="A96" s="24"/>
      <c r="B96" s="25" t="s">
        <v>135</v>
      </c>
      <c r="C96" s="25"/>
      <c r="D96" s="25"/>
      <c r="E96" s="25"/>
      <c r="F96" s="25"/>
      <c r="G96" s="25"/>
      <c r="H96" s="25"/>
      <c r="I96" s="25"/>
      <c r="J96" s="25"/>
      <c r="K96" s="25"/>
      <c r="L96" s="25"/>
      <c r="M96" s="25"/>
      <c r="N96" s="25"/>
      <c r="O96" s="25"/>
      <c r="P96" s="25"/>
      <c r="Q96" s="25"/>
      <c r="R96" s="25"/>
      <c r="S96" s="25"/>
      <c r="T96" s="34"/>
      <c r="U96" s="25"/>
      <c r="V96" s="53">
        <v>392</v>
      </c>
      <c r="W96" s="25"/>
      <c r="X96" s="5"/>
    </row>
    <row r="97" spans="1:25" ht="15.6" x14ac:dyDescent="0.3">
      <c r="A97" s="24"/>
      <c r="B97" s="25" t="s">
        <v>268</v>
      </c>
      <c r="C97" s="25"/>
      <c r="D97" s="25"/>
      <c r="E97" s="25"/>
      <c r="F97" s="25"/>
      <c r="G97" s="25"/>
      <c r="H97" s="25"/>
      <c r="I97" s="25"/>
      <c r="J97" s="25"/>
      <c r="K97" s="25"/>
      <c r="L97" s="25"/>
      <c r="M97" s="25"/>
      <c r="N97" s="25"/>
      <c r="O97" s="25"/>
      <c r="P97" s="25"/>
      <c r="Q97" s="25"/>
      <c r="R97" s="25"/>
      <c r="S97" s="25"/>
      <c r="T97" s="34"/>
      <c r="U97" s="25"/>
      <c r="V97" s="53">
        <v>0</v>
      </c>
      <c r="W97" s="25"/>
      <c r="X97" s="5"/>
    </row>
    <row r="98" spans="1:25" ht="15.6" x14ac:dyDescent="0.3">
      <c r="A98" s="24"/>
      <c r="B98" s="25" t="s">
        <v>30</v>
      </c>
      <c r="C98" s="25"/>
      <c r="D98" s="25"/>
      <c r="E98" s="25"/>
      <c r="F98" s="25"/>
      <c r="G98" s="25"/>
      <c r="H98" s="25"/>
      <c r="I98" s="25"/>
      <c r="J98" s="25"/>
      <c r="K98" s="25"/>
      <c r="L98" s="25"/>
      <c r="M98" s="25"/>
      <c r="N98" s="25"/>
      <c r="O98" s="25"/>
      <c r="P98" s="25"/>
      <c r="Q98" s="25"/>
      <c r="R98" s="25"/>
      <c r="S98" s="25"/>
      <c r="T98" s="34">
        <f>SUM(T89:T97)</f>
        <v>41140</v>
      </c>
      <c r="U98" s="25"/>
      <c r="V98" s="54">
        <f>SUM(V89:V97)</f>
        <v>47116</v>
      </c>
      <c r="W98" s="25"/>
      <c r="X98" s="5"/>
    </row>
    <row r="99" spans="1:25" ht="15.6" x14ac:dyDescent="0.3">
      <c r="A99" s="24"/>
      <c r="B99" s="25" t="s">
        <v>161</v>
      </c>
      <c r="C99" s="25"/>
      <c r="D99" s="25"/>
      <c r="E99" s="25"/>
      <c r="F99" s="25"/>
      <c r="G99" s="25"/>
      <c r="H99" s="25"/>
      <c r="I99" s="25"/>
      <c r="J99" s="25"/>
      <c r="K99" s="25"/>
      <c r="L99" s="25"/>
      <c r="M99" s="25"/>
      <c r="N99" s="25"/>
      <c r="O99" s="25"/>
      <c r="P99" s="25"/>
      <c r="Q99" s="25"/>
      <c r="R99" s="25"/>
      <c r="S99" s="25"/>
      <c r="T99" s="34">
        <f>-V99</f>
        <v>-93</v>
      </c>
      <c r="U99" s="25"/>
      <c r="V99" s="54">
        <v>93</v>
      </c>
      <c r="W99" s="25"/>
      <c r="X99" s="5"/>
    </row>
    <row r="100" spans="1:25" ht="15.6" x14ac:dyDescent="0.3">
      <c r="A100" s="24"/>
      <c r="B100" s="25" t="s">
        <v>31</v>
      </c>
      <c r="C100" s="25"/>
      <c r="D100" s="25"/>
      <c r="E100" s="25"/>
      <c r="F100" s="25"/>
      <c r="G100" s="25"/>
      <c r="H100" s="25"/>
      <c r="I100" s="25"/>
      <c r="J100" s="25"/>
      <c r="K100" s="25"/>
      <c r="L100" s="25"/>
      <c r="M100" s="25"/>
      <c r="N100" s="25"/>
      <c r="O100" s="25"/>
      <c r="P100" s="25"/>
      <c r="Q100" s="25"/>
      <c r="R100" s="25"/>
      <c r="S100" s="25"/>
      <c r="T100" s="34">
        <f>-V100</f>
        <v>15</v>
      </c>
      <c r="U100" s="25"/>
      <c r="V100" s="53">
        <v>-15</v>
      </c>
      <c r="W100" s="25"/>
      <c r="X100" s="5"/>
    </row>
    <row r="101" spans="1:25" ht="15.6" x14ac:dyDescent="0.3">
      <c r="A101" s="24"/>
      <c r="B101" s="25" t="s">
        <v>32</v>
      </c>
      <c r="C101" s="25"/>
      <c r="D101" s="25"/>
      <c r="E101" s="25"/>
      <c r="F101" s="25"/>
      <c r="G101" s="25"/>
      <c r="H101" s="25"/>
      <c r="I101" s="25"/>
      <c r="J101" s="25"/>
      <c r="K101" s="25"/>
      <c r="L101" s="25"/>
      <c r="M101" s="25"/>
      <c r="N101" s="25"/>
      <c r="O101" s="25"/>
      <c r="P101" s="25"/>
      <c r="Q101" s="25"/>
      <c r="R101" s="25"/>
      <c r="S101" s="25"/>
      <c r="T101" s="34">
        <f>T98+T100+T99</f>
        <v>41062</v>
      </c>
      <c r="U101" s="25"/>
      <c r="V101" s="54">
        <f>V98+V100+V99</f>
        <v>47194</v>
      </c>
      <c r="W101" s="25"/>
      <c r="X101" s="5"/>
    </row>
    <row r="102" spans="1:25" ht="15.6" x14ac:dyDescent="0.3">
      <c r="A102" s="24"/>
      <c r="B102" s="118" t="s">
        <v>33</v>
      </c>
      <c r="C102" s="25"/>
      <c r="D102" s="25"/>
      <c r="E102" s="25"/>
      <c r="F102" s="25"/>
      <c r="G102" s="25"/>
      <c r="H102" s="25"/>
      <c r="I102" s="25"/>
      <c r="J102" s="25"/>
      <c r="K102" s="25"/>
      <c r="L102" s="25"/>
      <c r="M102" s="25"/>
      <c r="N102" s="25"/>
      <c r="O102" s="25"/>
      <c r="P102" s="25"/>
      <c r="Q102" s="25"/>
      <c r="R102" s="25"/>
      <c r="S102" s="25"/>
      <c r="T102" s="34"/>
      <c r="U102" s="25"/>
      <c r="V102" s="53"/>
      <c r="W102" s="25"/>
      <c r="X102" s="5"/>
    </row>
    <row r="103" spans="1:25" ht="15.6" x14ac:dyDescent="0.3">
      <c r="A103" s="24">
        <v>1</v>
      </c>
      <c r="B103" s="25" t="s">
        <v>34</v>
      </c>
      <c r="C103" s="25"/>
      <c r="D103" s="25"/>
      <c r="E103" s="25"/>
      <c r="F103" s="25"/>
      <c r="G103" s="25"/>
      <c r="H103" s="25"/>
      <c r="I103" s="25"/>
      <c r="J103" s="25"/>
      <c r="K103" s="25"/>
      <c r="L103" s="25"/>
      <c r="M103" s="25"/>
      <c r="N103" s="25"/>
      <c r="O103" s="25"/>
      <c r="P103" s="25"/>
      <c r="Q103" s="25"/>
      <c r="R103" s="25"/>
      <c r="S103" s="25"/>
      <c r="T103" s="25"/>
      <c r="U103" s="25"/>
      <c r="V103" s="53">
        <f>-1656-2681</f>
        <v>-4337</v>
      </c>
      <c r="W103" s="25"/>
      <c r="X103" s="5"/>
    </row>
    <row r="104" spans="1:25" ht="15.6" x14ac:dyDescent="0.3">
      <c r="A104" s="24">
        <f>+A103+1</f>
        <v>2</v>
      </c>
      <c r="B104" s="25" t="s">
        <v>225</v>
      </c>
      <c r="C104" s="25"/>
      <c r="D104" s="25"/>
      <c r="E104" s="25"/>
      <c r="F104" s="25"/>
      <c r="G104" s="25"/>
      <c r="H104" s="25"/>
      <c r="I104" s="25"/>
      <c r="J104" s="25"/>
      <c r="K104" s="25"/>
      <c r="L104" s="25"/>
      <c r="M104" s="25"/>
      <c r="N104" s="25"/>
      <c r="O104" s="25"/>
      <c r="P104" s="25"/>
      <c r="Q104" s="25"/>
      <c r="R104" s="25"/>
      <c r="S104" s="25"/>
      <c r="T104" s="25"/>
      <c r="U104" s="25"/>
      <c r="V104" s="53">
        <v>-2</v>
      </c>
      <c r="W104" s="25"/>
      <c r="X104" s="5"/>
    </row>
    <row r="105" spans="1:25" ht="15.6" x14ac:dyDescent="0.3">
      <c r="A105" s="24">
        <f>+A104+1</f>
        <v>3</v>
      </c>
      <c r="B105" s="25" t="s">
        <v>204</v>
      </c>
      <c r="C105" s="25"/>
      <c r="D105" s="25"/>
      <c r="E105" s="25"/>
      <c r="F105" s="25"/>
      <c r="G105" s="25"/>
      <c r="H105" s="25"/>
      <c r="I105" s="25"/>
      <c r="J105" s="25"/>
      <c r="K105" s="25"/>
      <c r="L105" s="25"/>
      <c r="M105" s="25"/>
      <c r="N105" s="25"/>
      <c r="O105" s="25"/>
      <c r="P105" s="25"/>
      <c r="Q105" s="25"/>
      <c r="R105" s="25"/>
      <c r="S105" s="25"/>
      <c r="T105" s="25"/>
      <c r="U105" s="25"/>
      <c r="V105" s="53">
        <f>-259-2-27</f>
        <v>-288</v>
      </c>
      <c r="W105" s="25"/>
      <c r="X105" s="5"/>
    </row>
    <row r="106" spans="1:25" ht="15.6" x14ac:dyDescent="0.3">
      <c r="A106" s="24" t="s">
        <v>127</v>
      </c>
      <c r="B106" s="25" t="s">
        <v>116</v>
      </c>
      <c r="C106" s="25"/>
      <c r="D106" s="25"/>
      <c r="E106" s="25"/>
      <c r="F106" s="25"/>
      <c r="G106" s="25"/>
      <c r="H106" s="25"/>
      <c r="I106" s="25"/>
      <c r="J106" s="25"/>
      <c r="K106" s="25"/>
      <c r="L106" s="25"/>
      <c r="M106" s="25"/>
      <c r="N106" s="25"/>
      <c r="O106" s="25"/>
      <c r="P106" s="25"/>
      <c r="Q106" s="25"/>
      <c r="R106" s="25"/>
      <c r="S106" s="25"/>
      <c r="T106" s="25"/>
      <c r="U106" s="25"/>
      <c r="V106" s="53">
        <v>0</v>
      </c>
      <c r="W106" s="25"/>
      <c r="X106" s="5"/>
    </row>
    <row r="107" spans="1:25" ht="15.6" x14ac:dyDescent="0.3">
      <c r="A107" s="24" t="s">
        <v>128</v>
      </c>
      <c r="B107" s="25" t="s">
        <v>222</v>
      </c>
      <c r="C107" s="25"/>
      <c r="D107" s="25"/>
      <c r="E107" s="25"/>
      <c r="F107" s="25"/>
      <c r="G107" s="25"/>
      <c r="H107" s="25"/>
      <c r="I107" s="25"/>
      <c r="J107" s="25"/>
      <c r="K107" s="25"/>
      <c r="L107" s="25"/>
      <c r="M107" s="25"/>
      <c r="N107" s="25"/>
      <c r="O107" s="25"/>
      <c r="P107" s="25"/>
      <c r="Q107" s="25"/>
      <c r="R107" s="25"/>
      <c r="S107" s="25"/>
      <c r="T107" s="25"/>
      <c r="U107" s="25"/>
      <c r="V107" s="53">
        <v>-32386</v>
      </c>
      <c r="W107" s="25"/>
      <c r="X107" s="5"/>
      <c r="Y107" s="109"/>
    </row>
    <row r="108" spans="1:25" ht="15.6" x14ac:dyDescent="0.3">
      <c r="A108" s="24" t="s">
        <v>150</v>
      </c>
      <c r="B108" s="25" t="s">
        <v>184</v>
      </c>
      <c r="C108" s="25"/>
      <c r="D108" s="25"/>
      <c r="E108" s="25"/>
      <c r="F108" s="25"/>
      <c r="G108" s="25"/>
      <c r="H108" s="25"/>
      <c r="I108" s="25"/>
      <c r="J108" s="25"/>
      <c r="K108" s="25"/>
      <c r="L108" s="25"/>
      <c r="M108" s="25"/>
      <c r="N108" s="25"/>
      <c r="O108" s="25"/>
      <c r="P108" s="25"/>
      <c r="Q108" s="25"/>
      <c r="R108" s="25"/>
      <c r="S108" s="25"/>
      <c r="T108" s="25"/>
      <c r="U108" s="25"/>
      <c r="V108" s="53">
        <v>-3544</v>
      </c>
      <c r="W108" s="25"/>
      <c r="X108" s="5"/>
      <c r="Y108" s="109"/>
    </row>
    <row r="109" spans="1:25" ht="15.6" x14ac:dyDescent="0.3">
      <c r="A109" s="24" t="s">
        <v>236</v>
      </c>
      <c r="B109" s="25" t="s">
        <v>238</v>
      </c>
      <c r="C109" s="25"/>
      <c r="D109" s="25"/>
      <c r="E109" s="25"/>
      <c r="F109" s="25"/>
      <c r="G109" s="25"/>
      <c r="H109" s="25"/>
      <c r="I109" s="25"/>
      <c r="J109" s="25"/>
      <c r="K109" s="25"/>
      <c r="L109" s="25"/>
      <c r="M109" s="25"/>
      <c r="N109" s="25"/>
      <c r="O109" s="25"/>
      <c r="P109" s="25"/>
      <c r="Q109" s="25"/>
      <c r="R109" s="25"/>
      <c r="S109" s="25"/>
      <c r="T109" s="25"/>
      <c r="U109" s="25"/>
      <c r="V109" s="53">
        <v>-4</v>
      </c>
      <c r="W109" s="25"/>
      <c r="X109" s="5"/>
    </row>
    <row r="110" spans="1:25" ht="15.6" x14ac:dyDescent="0.3">
      <c r="A110" s="24" t="s">
        <v>205</v>
      </c>
      <c r="B110" s="25" t="s">
        <v>185</v>
      </c>
      <c r="C110" s="25"/>
      <c r="D110" s="25"/>
      <c r="E110" s="25"/>
      <c r="F110" s="25"/>
      <c r="G110" s="25"/>
      <c r="H110" s="25"/>
      <c r="I110" s="25"/>
      <c r="J110" s="25"/>
      <c r="K110" s="25"/>
      <c r="L110" s="25"/>
      <c r="M110" s="25"/>
      <c r="N110" s="25"/>
      <c r="O110" s="25"/>
      <c r="P110" s="25"/>
      <c r="Q110" s="25"/>
      <c r="R110" s="25"/>
      <c r="S110" s="25"/>
      <c r="T110" s="25"/>
      <c r="U110" s="25"/>
      <c r="V110" s="53">
        <v>-1753</v>
      </c>
      <c r="W110" s="25"/>
      <c r="X110" s="5"/>
      <c r="Y110" s="109"/>
    </row>
    <row r="111" spans="1:25" ht="15.6" x14ac:dyDescent="0.3">
      <c r="A111" s="24" t="s">
        <v>206</v>
      </c>
      <c r="B111" s="25" t="s">
        <v>186</v>
      </c>
      <c r="C111" s="25"/>
      <c r="D111" s="25"/>
      <c r="E111" s="25"/>
      <c r="F111" s="25"/>
      <c r="G111" s="25"/>
      <c r="H111" s="25"/>
      <c r="I111" s="25"/>
      <c r="J111" s="25"/>
      <c r="K111" s="25"/>
      <c r="L111" s="25"/>
      <c r="M111" s="25"/>
      <c r="N111" s="25"/>
      <c r="O111" s="25"/>
      <c r="P111" s="25"/>
      <c r="Q111" s="25"/>
      <c r="R111" s="25"/>
      <c r="S111" s="25"/>
      <c r="T111" s="25"/>
      <c r="U111" s="25"/>
      <c r="V111" s="53">
        <v>-1492</v>
      </c>
      <c r="W111" s="25"/>
      <c r="X111" s="5"/>
      <c r="Y111" s="109"/>
    </row>
    <row r="112" spans="1:25" ht="15.6" x14ac:dyDescent="0.3">
      <c r="A112" s="24" t="s">
        <v>207</v>
      </c>
      <c r="B112" s="25" t="s">
        <v>196</v>
      </c>
      <c r="C112" s="25"/>
      <c r="D112" s="25"/>
      <c r="E112" s="25"/>
      <c r="F112" s="25"/>
      <c r="G112" s="25"/>
      <c r="H112" s="25"/>
      <c r="I112" s="25"/>
      <c r="J112" s="25"/>
      <c r="K112" s="25"/>
      <c r="L112" s="25"/>
      <c r="M112" s="25"/>
      <c r="N112" s="25"/>
      <c r="O112" s="25"/>
      <c r="P112" s="25"/>
      <c r="Q112" s="25"/>
      <c r="R112" s="25"/>
      <c r="S112" s="25"/>
      <c r="T112" s="25"/>
      <c r="U112" s="25"/>
      <c r="V112" s="53">
        <v>-2777</v>
      </c>
      <c r="W112" s="25"/>
      <c r="X112" s="5"/>
      <c r="Y112" s="109"/>
    </row>
    <row r="113" spans="1:25" ht="15.6" x14ac:dyDescent="0.3">
      <c r="A113" s="24" t="s">
        <v>224</v>
      </c>
      <c r="B113" s="25" t="s">
        <v>223</v>
      </c>
      <c r="C113" s="25"/>
      <c r="D113" s="25"/>
      <c r="E113" s="25"/>
      <c r="F113" s="25"/>
      <c r="G113" s="25"/>
      <c r="H113" s="25"/>
      <c r="I113" s="25"/>
      <c r="J113" s="25"/>
      <c r="K113" s="25"/>
      <c r="L113" s="25"/>
      <c r="M113" s="25"/>
      <c r="N113" s="25"/>
      <c r="O113" s="25"/>
      <c r="P113" s="25"/>
      <c r="Q113" s="25"/>
      <c r="R113" s="25"/>
      <c r="S113" s="25"/>
      <c r="T113" s="25"/>
      <c r="U113" s="25"/>
      <c r="V113" s="53">
        <v>-594</v>
      </c>
      <c r="W113" s="25"/>
      <c r="X113" s="5"/>
      <c r="Y113" s="109"/>
    </row>
    <row r="114" spans="1:25" ht="15.6" x14ac:dyDescent="0.3">
      <c r="A114" s="24">
        <v>7</v>
      </c>
      <c r="B114" s="25" t="s">
        <v>35</v>
      </c>
      <c r="C114" s="25"/>
      <c r="D114" s="25"/>
      <c r="E114" s="25"/>
      <c r="F114" s="25"/>
      <c r="G114" s="25"/>
      <c r="H114" s="25"/>
      <c r="I114" s="25"/>
      <c r="J114" s="25"/>
      <c r="K114" s="25"/>
      <c r="L114" s="25"/>
      <c r="M114" s="25"/>
      <c r="N114" s="25"/>
      <c r="O114" s="25"/>
      <c r="P114" s="25"/>
      <c r="Q114" s="25"/>
      <c r="R114" s="25"/>
      <c r="S114" s="25"/>
      <c r="T114" s="25"/>
      <c r="U114" s="25"/>
      <c r="V114" s="53">
        <v>-12</v>
      </c>
      <c r="W114" s="25"/>
      <c r="X114" s="5"/>
    </row>
    <row r="115" spans="1:25" ht="15.6" x14ac:dyDescent="0.3">
      <c r="A115" s="24">
        <f t="shared" ref="A115:A121" si="0">+A114+1</f>
        <v>8</v>
      </c>
      <c r="B115" s="25" t="s">
        <v>45</v>
      </c>
      <c r="C115" s="25"/>
      <c r="D115" s="25"/>
      <c r="E115" s="25"/>
      <c r="F115" s="25"/>
      <c r="G115" s="25"/>
      <c r="H115" s="25"/>
      <c r="I115" s="25"/>
      <c r="J115" s="25"/>
      <c r="K115" s="25"/>
      <c r="L115" s="25"/>
      <c r="M115" s="25"/>
      <c r="N115" s="25"/>
      <c r="O115" s="25"/>
      <c r="P115" s="25"/>
      <c r="Q115" s="25"/>
      <c r="R115" s="25"/>
      <c r="S115" s="25"/>
      <c r="T115" s="34">
        <f>-V115</f>
        <v>5</v>
      </c>
      <c r="U115" s="25"/>
      <c r="V115" s="53">
        <v>-5</v>
      </c>
      <c r="W115" s="25"/>
      <c r="X115" s="5"/>
    </row>
    <row r="116" spans="1:25" ht="15.6" x14ac:dyDescent="0.3">
      <c r="A116" s="24">
        <f t="shared" si="0"/>
        <v>9</v>
      </c>
      <c r="B116" s="25" t="s">
        <v>125</v>
      </c>
      <c r="C116" s="25"/>
      <c r="D116" s="25"/>
      <c r="E116" s="25"/>
      <c r="F116" s="25"/>
      <c r="G116" s="25"/>
      <c r="H116" s="25"/>
      <c r="I116" s="25"/>
      <c r="J116" s="25"/>
      <c r="K116" s="25"/>
      <c r="L116" s="25"/>
      <c r="M116" s="25"/>
      <c r="N116" s="25"/>
      <c r="O116" s="25"/>
      <c r="P116" s="25"/>
      <c r="Q116" s="25"/>
      <c r="R116" s="25"/>
      <c r="S116" s="25"/>
      <c r="T116" s="25"/>
      <c r="U116" s="25"/>
      <c r="V116" s="53">
        <v>0</v>
      </c>
      <c r="W116" s="25"/>
      <c r="X116" s="5"/>
    </row>
    <row r="117" spans="1:25" ht="15.6" x14ac:dyDescent="0.3">
      <c r="A117" s="24">
        <f t="shared" si="0"/>
        <v>10</v>
      </c>
      <c r="B117" s="25" t="s">
        <v>240</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5" ht="15.6" x14ac:dyDescent="0.3">
      <c r="A118" s="24">
        <f t="shared" si="0"/>
        <v>11</v>
      </c>
      <c r="B118" s="25" t="s">
        <v>36</v>
      </c>
      <c r="C118" s="25"/>
      <c r="D118" s="25"/>
      <c r="E118" s="25"/>
      <c r="F118" s="25"/>
      <c r="G118" s="25"/>
      <c r="H118" s="25"/>
      <c r="I118" s="25"/>
      <c r="J118" s="25"/>
      <c r="K118" s="25"/>
      <c r="L118" s="25"/>
      <c r="M118" s="25"/>
      <c r="N118" s="25"/>
      <c r="O118" s="25"/>
      <c r="P118" s="25"/>
      <c r="Q118" s="25"/>
      <c r="R118" s="25"/>
      <c r="S118" s="25"/>
      <c r="T118" s="25"/>
      <c r="U118" s="25"/>
      <c r="V118" s="53">
        <v>0</v>
      </c>
      <c r="W118" s="25"/>
      <c r="X118" s="5"/>
    </row>
    <row r="119" spans="1:25" ht="15.6" x14ac:dyDescent="0.3">
      <c r="A119" s="24">
        <f t="shared" si="0"/>
        <v>12</v>
      </c>
      <c r="B119" s="25" t="s">
        <v>239</v>
      </c>
      <c r="C119" s="25"/>
      <c r="D119" s="25"/>
      <c r="E119" s="25"/>
      <c r="F119" s="25"/>
      <c r="G119" s="25"/>
      <c r="H119" s="25"/>
      <c r="I119" s="25"/>
      <c r="J119" s="25"/>
      <c r="K119" s="25"/>
      <c r="L119" s="25"/>
      <c r="M119" s="25"/>
      <c r="N119" s="25"/>
      <c r="O119" s="25"/>
      <c r="P119" s="25"/>
      <c r="Q119" s="25"/>
      <c r="R119" s="25"/>
      <c r="S119" s="25"/>
      <c r="T119" s="25"/>
      <c r="U119" s="25"/>
      <c r="V119" s="53">
        <v>0</v>
      </c>
      <c r="W119" s="25"/>
      <c r="X119" s="5"/>
    </row>
    <row r="120" spans="1:25" ht="15.6" x14ac:dyDescent="0.3">
      <c r="A120" s="24">
        <f t="shared" si="0"/>
        <v>13</v>
      </c>
      <c r="B120" s="25" t="s">
        <v>149</v>
      </c>
      <c r="C120" s="25"/>
      <c r="D120" s="25"/>
      <c r="E120" s="25"/>
      <c r="F120" s="25"/>
      <c r="G120" s="25"/>
      <c r="H120" s="25"/>
      <c r="I120" s="25"/>
      <c r="J120" s="25"/>
      <c r="K120" s="25"/>
      <c r="L120" s="25"/>
      <c r="M120" s="25"/>
      <c r="N120" s="25"/>
      <c r="O120" s="25"/>
      <c r="P120" s="25"/>
      <c r="Q120" s="25"/>
      <c r="R120" s="25"/>
      <c r="S120" s="25"/>
      <c r="T120" s="25"/>
      <c r="U120" s="25"/>
      <c r="V120" s="53">
        <v>0</v>
      </c>
      <c r="W120" s="25"/>
      <c r="X120" s="5"/>
    </row>
    <row r="121" spans="1:25" ht="15.6" x14ac:dyDescent="0.3">
      <c r="A121" s="24">
        <f t="shared" si="0"/>
        <v>14</v>
      </c>
      <c r="B121" s="25" t="s">
        <v>126</v>
      </c>
      <c r="C121" s="25"/>
      <c r="D121" s="25"/>
      <c r="E121" s="25"/>
      <c r="F121" s="25"/>
      <c r="G121" s="25"/>
      <c r="H121" s="25"/>
      <c r="I121" s="25"/>
      <c r="J121" s="25"/>
      <c r="K121" s="25"/>
      <c r="L121" s="25"/>
      <c r="M121" s="25"/>
      <c r="N121" s="25"/>
      <c r="O121" s="25"/>
      <c r="P121" s="25"/>
      <c r="Q121" s="25"/>
      <c r="R121" s="25"/>
      <c r="S121" s="25"/>
      <c r="T121" s="25"/>
      <c r="U121" s="25"/>
      <c r="V121" s="53">
        <f>-V101-SUM(V103:V120)</f>
        <v>0</v>
      </c>
      <c r="W121" s="25"/>
      <c r="X121" s="5"/>
    </row>
    <row r="122" spans="1:25" ht="15.6" x14ac:dyDescent="0.3">
      <c r="A122" s="24"/>
      <c r="B122" s="118" t="s">
        <v>37</v>
      </c>
      <c r="C122" s="25"/>
      <c r="D122" s="25"/>
      <c r="E122" s="25"/>
      <c r="F122" s="25"/>
      <c r="G122" s="25"/>
      <c r="H122" s="25"/>
      <c r="I122" s="25"/>
      <c r="J122" s="25"/>
      <c r="K122" s="25"/>
      <c r="L122" s="25"/>
      <c r="M122" s="25"/>
      <c r="N122" s="25"/>
      <c r="O122" s="25"/>
      <c r="P122" s="25"/>
      <c r="Q122" s="25"/>
      <c r="R122" s="25"/>
      <c r="S122" s="25"/>
      <c r="T122" s="25"/>
      <c r="U122" s="25"/>
      <c r="V122" s="59"/>
      <c r="W122" s="25"/>
      <c r="X122" s="5"/>
    </row>
    <row r="123" spans="1:25" ht="15.6" x14ac:dyDescent="0.3">
      <c r="A123" s="24"/>
      <c r="B123" s="25" t="s">
        <v>173</v>
      </c>
      <c r="C123" s="25"/>
      <c r="D123" s="25"/>
      <c r="E123" s="25"/>
      <c r="F123" s="25"/>
      <c r="G123" s="25"/>
      <c r="H123" s="25"/>
      <c r="I123" s="25"/>
      <c r="J123" s="25"/>
      <c r="K123" s="25"/>
      <c r="L123" s="25"/>
      <c r="M123" s="25"/>
      <c r="N123" s="25"/>
      <c r="O123" s="25"/>
      <c r="P123" s="25"/>
      <c r="Q123" s="25"/>
      <c r="R123" s="25"/>
      <c r="S123" s="25"/>
      <c r="T123" s="34">
        <f>-T188</f>
        <v>-3405</v>
      </c>
      <c r="U123" s="34"/>
      <c r="V123" s="53"/>
      <c r="W123" s="25"/>
      <c r="X123" s="5"/>
    </row>
    <row r="124" spans="1:25" ht="15.6" x14ac:dyDescent="0.3">
      <c r="A124" s="24"/>
      <c r="B124" s="25" t="s">
        <v>174</v>
      </c>
      <c r="C124" s="25"/>
      <c r="D124" s="25"/>
      <c r="E124" s="25"/>
      <c r="F124" s="25"/>
      <c r="G124" s="25"/>
      <c r="H124" s="25"/>
      <c r="I124" s="25"/>
      <c r="J124" s="25"/>
      <c r="K124" s="25"/>
      <c r="L124" s="25"/>
      <c r="M124" s="25"/>
      <c r="N124" s="25"/>
      <c r="O124" s="25"/>
      <c r="P124" s="25"/>
      <c r="Q124" s="25"/>
      <c r="R124" s="25"/>
      <c r="S124" s="25"/>
      <c r="T124" s="34">
        <v>-200</v>
      </c>
      <c r="U124" s="34"/>
      <c r="V124" s="53"/>
      <c r="W124" s="25"/>
      <c r="X124" s="5"/>
    </row>
    <row r="125" spans="1:25" ht="15.6" x14ac:dyDescent="0.3">
      <c r="A125" s="24"/>
      <c r="B125" s="25" t="s">
        <v>38</v>
      </c>
      <c r="C125" s="25"/>
      <c r="D125" s="25"/>
      <c r="E125" s="25"/>
      <c r="F125" s="25"/>
      <c r="G125" s="25"/>
      <c r="H125" s="25"/>
      <c r="I125" s="25"/>
      <c r="J125" s="25"/>
      <c r="K125" s="25"/>
      <c r="L125" s="25"/>
      <c r="M125" s="25"/>
      <c r="N125" s="25"/>
      <c r="O125" s="25"/>
      <c r="P125" s="25"/>
      <c r="Q125" s="25"/>
      <c r="R125" s="25"/>
      <c r="S125" s="25"/>
      <c r="T125" s="34">
        <f>-S188</f>
        <v>-8430</v>
      </c>
      <c r="U125" s="34"/>
      <c r="V125" s="53"/>
      <c r="W125" s="25"/>
      <c r="X125" s="5"/>
    </row>
    <row r="126" spans="1:25" ht="15.6" x14ac:dyDescent="0.3">
      <c r="A126" s="24"/>
      <c r="B126" s="25" t="s">
        <v>197</v>
      </c>
      <c r="C126" s="25"/>
      <c r="D126" s="25"/>
      <c r="E126" s="25"/>
      <c r="F126" s="25"/>
      <c r="G126" s="25"/>
      <c r="H126" s="25"/>
      <c r="I126" s="25"/>
      <c r="J126" s="25"/>
      <c r="K126" s="25"/>
      <c r="L126" s="25"/>
      <c r="M126" s="25"/>
      <c r="N126" s="25"/>
      <c r="O126" s="25"/>
      <c r="P126" s="25"/>
      <c r="Q126" s="25"/>
      <c r="R126" s="25"/>
      <c r="S126" s="25"/>
      <c r="T126" s="34">
        <v>-17650</v>
      </c>
      <c r="U126" s="34"/>
      <c r="V126" s="53"/>
      <c r="W126" s="25"/>
      <c r="X126" s="5"/>
    </row>
    <row r="127" spans="1:25" ht="15.6" x14ac:dyDescent="0.3">
      <c r="A127" s="24"/>
      <c r="B127" s="25" t="s">
        <v>195</v>
      </c>
      <c r="C127" s="25"/>
      <c r="D127" s="25"/>
      <c r="E127" s="25"/>
      <c r="F127" s="25"/>
      <c r="G127" s="25"/>
      <c r="H127" s="25"/>
      <c r="I127" s="25"/>
      <c r="J127" s="25"/>
      <c r="K127" s="25"/>
      <c r="L127" s="25"/>
      <c r="M127" s="25"/>
      <c r="N127" s="25"/>
      <c r="O127" s="25"/>
      <c r="P127" s="25"/>
      <c r="Q127" s="25"/>
      <c r="R127" s="25"/>
      <c r="S127" s="25"/>
      <c r="T127" s="34">
        <v>-2846</v>
      </c>
      <c r="U127" s="34"/>
      <c r="V127" s="53"/>
      <c r="W127" s="25"/>
      <c r="X127" s="5"/>
    </row>
    <row r="128" spans="1:25" ht="15.6" x14ac:dyDescent="0.3">
      <c r="A128" s="24"/>
      <c r="B128" s="25" t="s">
        <v>194</v>
      </c>
      <c r="C128" s="25"/>
      <c r="D128" s="25"/>
      <c r="E128" s="25"/>
      <c r="F128" s="25"/>
      <c r="G128" s="25"/>
      <c r="H128" s="25"/>
      <c r="I128" s="25"/>
      <c r="J128" s="25"/>
      <c r="K128" s="25"/>
      <c r="L128" s="25"/>
      <c r="M128" s="25"/>
      <c r="N128" s="25"/>
      <c r="O128" s="25"/>
      <c r="P128" s="25"/>
      <c r="Q128" s="25"/>
      <c r="R128" s="25"/>
      <c r="S128" s="25"/>
      <c r="T128" s="34">
        <v>-3829</v>
      </c>
      <c r="U128" s="34"/>
      <c r="V128" s="53"/>
      <c r="W128" s="25"/>
      <c r="X128" s="5"/>
    </row>
    <row r="129" spans="1:24" ht="15.6" x14ac:dyDescent="0.3">
      <c r="A129" s="24"/>
      <c r="B129" s="25" t="s">
        <v>226</v>
      </c>
      <c r="C129" s="25"/>
      <c r="D129" s="25"/>
      <c r="E129" s="25"/>
      <c r="F129" s="25"/>
      <c r="G129" s="25"/>
      <c r="H129" s="25"/>
      <c r="I129" s="25"/>
      <c r="J129" s="25"/>
      <c r="K129" s="25"/>
      <c r="L129" s="25"/>
      <c r="M129" s="25"/>
      <c r="N129" s="25"/>
      <c r="O129" s="25"/>
      <c r="P129" s="25"/>
      <c r="Q129" s="25"/>
      <c r="R129" s="25"/>
      <c r="S129" s="25"/>
      <c r="T129" s="34">
        <v>-4707</v>
      </c>
      <c r="U129" s="34"/>
      <c r="V129" s="53"/>
      <c r="W129" s="25"/>
      <c r="X129" s="5"/>
    </row>
    <row r="130" spans="1:24" ht="15.6" x14ac:dyDescent="0.3">
      <c r="A130" s="24"/>
      <c r="B130" s="25" t="s">
        <v>189</v>
      </c>
      <c r="C130" s="25"/>
      <c r="D130" s="25"/>
      <c r="E130" s="25"/>
      <c r="F130" s="25"/>
      <c r="G130" s="25"/>
      <c r="H130" s="25"/>
      <c r="I130" s="25"/>
      <c r="J130" s="25"/>
      <c r="K130" s="25"/>
      <c r="L130" s="25"/>
      <c r="M130" s="25"/>
      <c r="N130" s="25"/>
      <c r="O130" s="25"/>
      <c r="P130" s="25"/>
      <c r="Q130" s="25"/>
      <c r="R130" s="25"/>
      <c r="S130" s="25"/>
      <c r="T130" s="34">
        <v>0</v>
      </c>
      <c r="U130" s="34"/>
      <c r="V130" s="53"/>
      <c r="W130" s="25"/>
      <c r="X130" s="5"/>
    </row>
    <row r="131" spans="1:24" ht="15.6" x14ac:dyDescent="0.3">
      <c r="A131" s="24"/>
      <c r="B131" s="25" t="s">
        <v>188</v>
      </c>
      <c r="C131" s="25"/>
      <c r="D131" s="25"/>
      <c r="E131" s="25"/>
      <c r="F131" s="25"/>
      <c r="G131" s="25"/>
      <c r="H131" s="25"/>
      <c r="I131" s="25"/>
      <c r="J131" s="25"/>
      <c r="K131" s="25"/>
      <c r="L131" s="25"/>
      <c r="M131" s="25"/>
      <c r="N131" s="25"/>
      <c r="O131" s="25"/>
      <c r="P131" s="25"/>
      <c r="Q131" s="25"/>
      <c r="R131" s="25"/>
      <c r="S131" s="25"/>
      <c r="T131" s="34">
        <v>0</v>
      </c>
      <c r="U131" s="34"/>
      <c r="V131" s="53"/>
      <c r="W131" s="25"/>
      <c r="X131" s="5"/>
    </row>
    <row r="132" spans="1:24" ht="15.6" x14ac:dyDescent="0.3">
      <c r="A132" s="24"/>
      <c r="B132" s="25" t="s">
        <v>227</v>
      </c>
      <c r="C132" s="25"/>
      <c r="D132" s="25"/>
      <c r="E132" s="25"/>
      <c r="F132" s="25"/>
      <c r="G132" s="25"/>
      <c r="H132" s="25"/>
      <c r="I132" s="25"/>
      <c r="J132" s="25"/>
      <c r="K132" s="25"/>
      <c r="L132" s="25"/>
      <c r="M132" s="25"/>
      <c r="N132" s="25"/>
      <c r="O132" s="25"/>
      <c r="P132" s="25"/>
      <c r="Q132" s="25"/>
      <c r="R132" s="25"/>
      <c r="S132" s="25"/>
      <c r="T132" s="34">
        <v>0</v>
      </c>
      <c r="U132" s="34"/>
      <c r="V132" s="53"/>
      <c r="W132" s="25"/>
      <c r="X132" s="5"/>
    </row>
    <row r="133" spans="1:24" ht="15.6" x14ac:dyDescent="0.3">
      <c r="A133" s="24"/>
      <c r="B133" s="25" t="s">
        <v>187</v>
      </c>
      <c r="C133" s="25"/>
      <c r="D133" s="25"/>
      <c r="E133" s="25"/>
      <c r="F133" s="25"/>
      <c r="G133" s="25"/>
      <c r="H133" s="25"/>
      <c r="I133" s="25"/>
      <c r="J133" s="25"/>
      <c r="K133" s="25"/>
      <c r="L133" s="25"/>
      <c r="M133" s="25"/>
      <c r="N133" s="25"/>
      <c r="O133" s="25"/>
      <c r="P133" s="25"/>
      <c r="Q133" s="25"/>
      <c r="R133" s="25"/>
      <c r="S133" s="25"/>
      <c r="T133" s="34">
        <v>0</v>
      </c>
      <c r="U133" s="34"/>
      <c r="V133" s="53"/>
      <c r="W133" s="25"/>
      <c r="X133" s="5"/>
    </row>
    <row r="134" spans="1:24" ht="15.6" x14ac:dyDescent="0.3">
      <c r="A134" s="24"/>
      <c r="B134" s="25" t="s">
        <v>39</v>
      </c>
      <c r="C134" s="25"/>
      <c r="D134" s="25"/>
      <c r="E134" s="25"/>
      <c r="F134" s="25"/>
      <c r="G134" s="25"/>
      <c r="H134" s="25"/>
      <c r="I134" s="25"/>
      <c r="J134" s="25"/>
      <c r="K134" s="25"/>
      <c r="L134" s="25"/>
      <c r="M134" s="25"/>
      <c r="N134" s="25"/>
      <c r="O134" s="25"/>
      <c r="P134" s="25"/>
      <c r="Q134" s="25"/>
      <c r="R134" s="25"/>
      <c r="S134" s="25"/>
      <c r="T134" s="34">
        <f>SUM(T123:T133)</f>
        <v>-41067</v>
      </c>
      <c r="U134" s="34"/>
      <c r="V134" s="34">
        <f>SUM(V102:V131)</f>
        <v>-47194</v>
      </c>
      <c r="W134" s="25"/>
      <c r="X134" s="5"/>
    </row>
    <row r="135" spans="1:24" ht="15.6" x14ac:dyDescent="0.3">
      <c r="A135" s="24"/>
      <c r="B135" s="25" t="s">
        <v>40</v>
      </c>
      <c r="C135" s="25"/>
      <c r="D135" s="25"/>
      <c r="E135" s="25"/>
      <c r="F135" s="25"/>
      <c r="G135" s="25"/>
      <c r="H135" s="25"/>
      <c r="I135" s="25"/>
      <c r="J135" s="25"/>
      <c r="K135" s="25"/>
      <c r="L135" s="25"/>
      <c r="M135" s="25"/>
      <c r="N135" s="25"/>
      <c r="O135" s="25"/>
      <c r="P135" s="25"/>
      <c r="Q135" s="25"/>
      <c r="R135" s="25"/>
      <c r="S135" s="25"/>
      <c r="T135" s="34">
        <f>T101+T134+T115</f>
        <v>0</v>
      </c>
      <c r="U135" s="34"/>
      <c r="V135" s="34">
        <f>V101+V134</f>
        <v>0</v>
      </c>
      <c r="W135" s="25"/>
      <c r="X135" s="5"/>
    </row>
    <row r="136" spans="1:24" ht="15.6" x14ac:dyDescent="0.3">
      <c r="A136" s="24"/>
      <c r="B136" s="25"/>
      <c r="C136" s="25"/>
      <c r="D136" s="25"/>
      <c r="E136" s="25"/>
      <c r="F136" s="25"/>
      <c r="G136" s="25"/>
      <c r="H136" s="25"/>
      <c r="I136" s="25"/>
      <c r="J136" s="25"/>
      <c r="K136" s="25"/>
      <c r="L136" s="25"/>
      <c r="M136" s="25"/>
      <c r="N136" s="25"/>
      <c r="O136" s="25"/>
      <c r="P136" s="25"/>
      <c r="Q136" s="25"/>
      <c r="R136" s="25"/>
      <c r="S136" s="25"/>
      <c r="T136" s="34"/>
      <c r="U136" s="34"/>
      <c r="V136" s="34"/>
      <c r="W136" s="25"/>
      <c r="X136" s="5"/>
    </row>
    <row r="137" spans="1:24" ht="15.6" x14ac:dyDescent="0.3">
      <c r="A137" s="6"/>
      <c r="B137" s="8"/>
      <c r="C137" s="8"/>
      <c r="D137" s="8"/>
      <c r="E137" s="8"/>
      <c r="F137" s="8"/>
      <c r="G137" s="8"/>
      <c r="H137" s="8"/>
      <c r="I137" s="8"/>
      <c r="J137" s="8"/>
      <c r="K137" s="8"/>
      <c r="L137" s="8"/>
      <c r="M137" s="8"/>
      <c r="N137" s="8"/>
      <c r="O137" s="8"/>
      <c r="P137" s="8"/>
      <c r="Q137" s="8"/>
      <c r="R137" s="8"/>
      <c r="S137" s="8"/>
      <c r="T137" s="8"/>
      <c r="U137" s="8"/>
      <c r="V137" s="52"/>
      <c r="W137" s="8"/>
      <c r="X137" s="5"/>
    </row>
    <row r="138" spans="1:24" ht="18" thickBot="1" x14ac:dyDescent="0.35">
      <c r="A138" s="101"/>
      <c r="B138" s="102" t="str">
        <f>B64</f>
        <v>PM14 INVESTOR REPORT QUARTER ENDING AUGUST 2007</v>
      </c>
      <c r="C138" s="103"/>
      <c r="D138" s="103"/>
      <c r="E138" s="103"/>
      <c r="F138" s="103"/>
      <c r="G138" s="103"/>
      <c r="H138" s="103"/>
      <c r="I138" s="103"/>
      <c r="J138" s="103"/>
      <c r="K138" s="103"/>
      <c r="L138" s="103"/>
      <c r="M138" s="103"/>
      <c r="N138" s="103"/>
      <c r="O138" s="103"/>
      <c r="P138" s="103"/>
      <c r="Q138" s="103"/>
      <c r="R138" s="103"/>
      <c r="S138" s="103"/>
      <c r="T138" s="103"/>
      <c r="U138" s="103"/>
      <c r="V138" s="106"/>
      <c r="W138" s="105"/>
      <c r="X138" s="5"/>
    </row>
    <row r="139" spans="1:24" ht="15.6" x14ac:dyDescent="0.3">
      <c r="A139" s="2"/>
      <c r="B139" s="60" t="s">
        <v>41</v>
      </c>
      <c r="C139" s="4"/>
      <c r="D139" s="4"/>
      <c r="E139" s="4"/>
      <c r="F139" s="4"/>
      <c r="G139" s="4"/>
      <c r="H139" s="4"/>
      <c r="I139" s="4"/>
      <c r="J139" s="4"/>
      <c r="K139" s="4"/>
      <c r="L139" s="4"/>
      <c r="M139" s="4"/>
      <c r="N139" s="4"/>
      <c r="O139" s="4"/>
      <c r="P139" s="4"/>
      <c r="Q139" s="4"/>
      <c r="R139" s="4"/>
      <c r="S139" s="4"/>
      <c r="T139" s="4"/>
      <c r="U139" s="4"/>
      <c r="V139" s="50"/>
      <c r="W139" s="4"/>
      <c r="X139" s="5"/>
    </row>
    <row r="140" spans="1:24" ht="15.6" x14ac:dyDescent="0.3">
      <c r="A140" s="6"/>
      <c r="B140" s="21"/>
      <c r="C140" s="8"/>
      <c r="D140" s="8"/>
      <c r="E140" s="8"/>
      <c r="F140" s="8"/>
      <c r="G140" s="8"/>
      <c r="H140" s="8"/>
      <c r="I140" s="8"/>
      <c r="J140" s="8"/>
      <c r="K140" s="8"/>
      <c r="L140" s="8"/>
      <c r="M140" s="8"/>
      <c r="N140" s="8"/>
      <c r="O140" s="8"/>
      <c r="P140" s="8"/>
      <c r="Q140" s="8"/>
      <c r="R140" s="8"/>
      <c r="S140" s="8"/>
      <c r="T140" s="8"/>
      <c r="U140" s="8"/>
      <c r="V140" s="52"/>
      <c r="W140" s="8"/>
      <c r="X140" s="5"/>
    </row>
    <row r="141" spans="1:24" ht="15.6" x14ac:dyDescent="0.3">
      <c r="A141" s="6"/>
      <c r="B141" s="119" t="s">
        <v>42</v>
      </c>
      <c r="C141" s="8"/>
      <c r="D141" s="8"/>
      <c r="E141" s="8"/>
      <c r="F141" s="8"/>
      <c r="G141" s="8"/>
      <c r="H141" s="8"/>
      <c r="I141" s="8"/>
      <c r="J141" s="8"/>
      <c r="K141" s="8"/>
      <c r="L141" s="8"/>
      <c r="M141" s="8"/>
      <c r="N141" s="8"/>
      <c r="O141" s="8"/>
      <c r="P141" s="8"/>
      <c r="Q141" s="8"/>
      <c r="R141" s="8"/>
      <c r="S141" s="8"/>
      <c r="T141" s="8"/>
      <c r="U141" s="8"/>
      <c r="V141" s="52"/>
      <c r="W141" s="8"/>
      <c r="X141" s="5"/>
    </row>
    <row r="142" spans="1:24" ht="15.6" x14ac:dyDescent="0.3">
      <c r="A142" s="24"/>
      <c r="B142" s="25" t="s">
        <v>43</v>
      </c>
      <c r="C142" s="25"/>
      <c r="D142" s="25"/>
      <c r="E142" s="25"/>
      <c r="F142" s="25"/>
      <c r="G142" s="25"/>
      <c r="H142" s="25"/>
      <c r="I142" s="25"/>
      <c r="J142" s="25"/>
      <c r="K142" s="25"/>
      <c r="L142" s="25"/>
      <c r="M142" s="25"/>
      <c r="N142" s="25"/>
      <c r="O142" s="25"/>
      <c r="P142" s="25"/>
      <c r="Q142" s="25"/>
      <c r="R142" s="25"/>
      <c r="S142" s="25"/>
      <c r="T142" s="25"/>
      <c r="U142" s="25"/>
      <c r="V142" s="53">
        <f>+V34*0.019</f>
        <v>28505.224999999999</v>
      </c>
      <c r="W142" s="25"/>
      <c r="X142" s="5"/>
    </row>
    <row r="143" spans="1:24" ht="15.6" x14ac:dyDescent="0.3">
      <c r="A143" s="24"/>
      <c r="B143" s="25" t="s">
        <v>44</v>
      </c>
      <c r="C143" s="25"/>
      <c r="D143" s="25"/>
      <c r="E143" s="25"/>
      <c r="F143" s="25"/>
      <c r="G143" s="25"/>
      <c r="H143" s="25"/>
      <c r="I143" s="25"/>
      <c r="J143" s="25"/>
      <c r="K143" s="25"/>
      <c r="L143" s="25"/>
      <c r="M143" s="25"/>
      <c r="N143" s="25"/>
      <c r="O143" s="25"/>
      <c r="P143" s="25"/>
      <c r="Q143" s="25"/>
      <c r="R143" s="25"/>
      <c r="S143" s="25"/>
      <c r="T143" s="25"/>
      <c r="U143" s="25"/>
      <c r="V143" s="53">
        <v>0</v>
      </c>
      <c r="W143" s="25"/>
      <c r="X143" s="5"/>
    </row>
    <row r="144" spans="1:24" ht="15.6" x14ac:dyDescent="0.3">
      <c r="A144" s="24"/>
      <c r="B144" s="25" t="s">
        <v>136</v>
      </c>
      <c r="C144" s="25"/>
      <c r="D144" s="25"/>
      <c r="E144" s="25"/>
      <c r="F144" s="25"/>
      <c r="G144" s="25"/>
      <c r="H144" s="25"/>
      <c r="I144" s="25"/>
      <c r="J144" s="25"/>
      <c r="K144" s="25"/>
      <c r="L144" s="25"/>
      <c r="M144" s="25"/>
      <c r="N144" s="25"/>
      <c r="O144" s="25"/>
      <c r="P144" s="25"/>
      <c r="Q144" s="25"/>
      <c r="R144" s="25"/>
      <c r="S144" s="25"/>
      <c r="T144" s="25"/>
      <c r="U144" s="25"/>
      <c r="V144" s="53"/>
      <c r="W144" s="25"/>
      <c r="X144" s="5"/>
    </row>
    <row r="145" spans="1:25" ht="15.6" x14ac:dyDescent="0.3">
      <c r="A145" s="24"/>
      <c r="B145" s="25" t="s">
        <v>123</v>
      </c>
      <c r="C145" s="25"/>
      <c r="D145" s="25"/>
      <c r="E145" s="25"/>
      <c r="F145" s="25"/>
      <c r="G145" s="25"/>
      <c r="H145" s="25"/>
      <c r="I145" s="25"/>
      <c r="J145" s="25"/>
      <c r="K145" s="25"/>
      <c r="L145" s="25"/>
      <c r="M145" s="25"/>
      <c r="N145" s="25"/>
      <c r="O145" s="25"/>
      <c r="P145" s="25"/>
      <c r="Q145" s="25"/>
      <c r="R145" s="25"/>
      <c r="S145" s="25"/>
      <c r="T145" s="25"/>
      <c r="U145" s="25"/>
      <c r="V145" s="53">
        <v>0</v>
      </c>
      <c r="W145" s="25"/>
      <c r="X145" s="5"/>
    </row>
    <row r="146" spans="1:25" ht="15.6" x14ac:dyDescent="0.3">
      <c r="A146" s="24"/>
      <c r="B146" s="25" t="s">
        <v>124</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175</v>
      </c>
      <c r="C147" s="25"/>
      <c r="D147" s="25"/>
      <c r="E147" s="25"/>
      <c r="F147" s="25"/>
      <c r="G147" s="25"/>
      <c r="H147" s="25"/>
      <c r="I147" s="25"/>
      <c r="J147" s="25"/>
      <c r="K147" s="25"/>
      <c r="L147" s="25"/>
      <c r="M147" s="25"/>
      <c r="N147" s="25"/>
      <c r="O147" s="25"/>
      <c r="P147" s="25"/>
      <c r="Q147" s="25"/>
      <c r="R147" s="25"/>
      <c r="S147" s="25"/>
      <c r="T147" s="25"/>
      <c r="U147" s="25"/>
      <c r="V147" s="53">
        <v>-387</v>
      </c>
      <c r="W147" s="25"/>
      <c r="X147" s="5"/>
    </row>
    <row r="148" spans="1:25" ht="15.6" x14ac:dyDescent="0.3">
      <c r="A148" s="24"/>
      <c r="B148" s="25" t="s">
        <v>45</v>
      </c>
      <c r="C148" s="25"/>
      <c r="D148" s="25"/>
      <c r="E148" s="25"/>
      <c r="F148" s="25"/>
      <c r="G148" s="25"/>
      <c r="H148" s="25"/>
      <c r="I148" s="25"/>
      <c r="J148" s="25"/>
      <c r="K148" s="25"/>
      <c r="L148" s="25"/>
      <c r="M148" s="25"/>
      <c r="N148" s="25"/>
      <c r="O148" s="25"/>
      <c r="P148" s="25"/>
      <c r="Q148" s="25"/>
      <c r="R148" s="25"/>
      <c r="S148" s="25"/>
      <c r="T148" s="25"/>
      <c r="U148" s="25"/>
      <c r="V148" s="53">
        <v>-5</v>
      </c>
      <c r="W148" s="25"/>
      <c r="X148" s="5"/>
    </row>
    <row r="149" spans="1:25" ht="15.6" x14ac:dyDescent="0.3">
      <c r="A149" s="24"/>
      <c r="B149" s="25" t="s">
        <v>129</v>
      </c>
      <c r="C149" s="25"/>
      <c r="D149" s="25"/>
      <c r="E149" s="25"/>
      <c r="F149" s="25"/>
      <c r="G149" s="25"/>
      <c r="H149" s="25"/>
      <c r="I149" s="25"/>
      <c r="J149" s="25"/>
      <c r="K149" s="25"/>
      <c r="L149" s="25"/>
      <c r="M149" s="25"/>
      <c r="N149" s="25"/>
      <c r="O149" s="25"/>
      <c r="P149" s="25"/>
      <c r="Q149" s="25"/>
      <c r="R149" s="25"/>
      <c r="S149" s="25"/>
      <c r="T149" s="25"/>
      <c r="U149" s="25"/>
      <c r="V149" s="53">
        <v>0</v>
      </c>
      <c r="W149" s="25"/>
      <c r="X149" s="5"/>
    </row>
    <row r="150" spans="1:25" ht="15.6" x14ac:dyDescent="0.3">
      <c r="A150" s="24"/>
      <c r="B150" s="25" t="s">
        <v>267</v>
      </c>
      <c r="C150" s="25"/>
      <c r="D150" s="25"/>
      <c r="E150" s="25"/>
      <c r="F150" s="25"/>
      <c r="G150" s="25"/>
      <c r="H150" s="25"/>
      <c r="I150" s="25"/>
      <c r="J150" s="25"/>
      <c r="K150" s="25"/>
      <c r="L150" s="25"/>
      <c r="M150" s="25"/>
      <c r="N150" s="25"/>
      <c r="O150" s="25"/>
      <c r="P150" s="25"/>
      <c r="Q150" s="25"/>
      <c r="R150" s="25"/>
      <c r="S150" s="25"/>
      <c r="T150" s="25"/>
      <c r="U150" s="25"/>
      <c r="V150" s="53">
        <v>392</v>
      </c>
      <c r="W150" s="25"/>
      <c r="X150" s="5"/>
      <c r="Y150" s="109"/>
    </row>
    <row r="151" spans="1:25" ht="15.6" x14ac:dyDescent="0.3">
      <c r="A151" s="24"/>
      <c r="B151" s="25" t="s">
        <v>46</v>
      </c>
      <c r="C151" s="25"/>
      <c r="D151" s="25"/>
      <c r="E151" s="25"/>
      <c r="F151" s="25"/>
      <c r="G151" s="25"/>
      <c r="H151" s="25"/>
      <c r="I151" s="25"/>
      <c r="J151" s="25"/>
      <c r="K151" s="25"/>
      <c r="L151" s="25"/>
      <c r="M151" s="25"/>
      <c r="N151" s="25"/>
      <c r="O151" s="25"/>
      <c r="P151" s="25"/>
      <c r="Q151" s="25"/>
      <c r="R151" s="25"/>
      <c r="S151" s="25"/>
      <c r="T151" s="25"/>
      <c r="U151" s="25"/>
      <c r="V151" s="53">
        <f>SUM(V142:V150)</f>
        <v>28505.224999999999</v>
      </c>
      <c r="W151" s="25"/>
      <c r="X151" s="5"/>
    </row>
    <row r="152" spans="1:25" ht="15.6" x14ac:dyDescent="0.3">
      <c r="A152" s="24"/>
      <c r="B152" s="25"/>
      <c r="C152" s="25"/>
      <c r="D152" s="25"/>
      <c r="E152" s="25"/>
      <c r="F152" s="25"/>
      <c r="G152" s="25"/>
      <c r="H152" s="25"/>
      <c r="I152" s="25"/>
      <c r="J152" s="25"/>
      <c r="K152" s="25"/>
      <c r="L152" s="25"/>
      <c r="M152" s="25"/>
      <c r="N152" s="25"/>
      <c r="O152" s="25"/>
      <c r="P152" s="25"/>
      <c r="Q152" s="25"/>
      <c r="R152" s="25"/>
      <c r="S152" s="25"/>
      <c r="T152" s="25"/>
      <c r="U152" s="25"/>
      <c r="V152" s="53"/>
      <c r="W152" s="25"/>
      <c r="X152" s="5"/>
    </row>
    <row r="153" spans="1:25" ht="15.6" x14ac:dyDescent="0.3">
      <c r="A153" s="24"/>
      <c r="B153" s="136" t="s">
        <v>237</v>
      </c>
      <c r="C153" s="25"/>
      <c r="D153" s="25"/>
      <c r="E153" s="25"/>
      <c r="F153" s="25"/>
      <c r="G153" s="25"/>
      <c r="H153" s="25"/>
      <c r="I153" s="25"/>
      <c r="J153" s="25"/>
      <c r="K153" s="25"/>
      <c r="L153" s="25"/>
      <c r="M153" s="25"/>
      <c r="N153" s="25"/>
      <c r="O153" s="25"/>
      <c r="P153" s="25"/>
      <c r="Q153" s="25"/>
      <c r="R153" s="25"/>
      <c r="S153" s="25"/>
      <c r="T153" s="25"/>
      <c r="U153" s="25"/>
      <c r="V153" s="53"/>
      <c r="W153" s="25"/>
      <c r="X153" s="5"/>
    </row>
    <row r="154" spans="1:25" ht="15.6" x14ac:dyDescent="0.3">
      <c r="A154" s="24"/>
      <c r="B154" s="25" t="s">
        <v>155</v>
      </c>
      <c r="C154" s="25"/>
      <c r="D154" s="25"/>
      <c r="E154" s="25"/>
      <c r="F154" s="25"/>
      <c r="G154" s="25"/>
      <c r="H154" s="25"/>
      <c r="I154" s="25"/>
      <c r="J154" s="25"/>
      <c r="K154" s="25"/>
      <c r="L154" s="25"/>
      <c r="M154" s="25"/>
      <c r="N154" s="25"/>
      <c r="O154" s="25"/>
      <c r="P154" s="25"/>
      <c r="Q154" s="25"/>
      <c r="R154" s="25"/>
      <c r="S154" s="25"/>
      <c r="T154" s="25"/>
      <c r="U154" s="25"/>
      <c r="V154" s="53">
        <v>7500</v>
      </c>
      <c r="W154" s="25"/>
      <c r="X154" s="5"/>
    </row>
    <row r="155" spans="1:25" ht="15.6" x14ac:dyDescent="0.3">
      <c r="A155" s="24"/>
      <c r="B155" s="25" t="s">
        <v>172</v>
      </c>
      <c r="C155" s="25"/>
      <c r="D155" s="25"/>
      <c r="E155" s="25"/>
      <c r="F155" s="25"/>
      <c r="G155" s="25"/>
      <c r="H155" s="25"/>
      <c r="I155" s="25"/>
      <c r="J155" s="25"/>
      <c r="K155" s="25"/>
      <c r="L155" s="25"/>
      <c r="M155" s="25"/>
      <c r="N155" s="25"/>
      <c r="O155" s="25"/>
      <c r="P155" s="25"/>
      <c r="Q155" s="25"/>
      <c r="R155" s="25"/>
      <c r="S155" s="25"/>
      <c r="T155" s="25"/>
      <c r="U155" s="25"/>
      <c r="V155" s="53">
        <v>0</v>
      </c>
      <c r="W155" s="25"/>
      <c r="X155" s="5"/>
    </row>
    <row r="156" spans="1:25" ht="15.6" x14ac:dyDescent="0.3">
      <c r="A156" s="24"/>
      <c r="B156" s="25" t="s">
        <v>241</v>
      </c>
      <c r="C156" s="25"/>
      <c r="D156" s="25"/>
      <c r="E156" s="25"/>
      <c r="F156" s="25"/>
      <c r="G156" s="25"/>
      <c r="H156" s="25"/>
      <c r="I156" s="25"/>
      <c r="J156" s="25"/>
      <c r="K156" s="25"/>
      <c r="L156" s="25"/>
      <c r="M156" s="25"/>
      <c r="N156" s="25"/>
      <c r="O156" s="25"/>
      <c r="P156" s="25"/>
      <c r="Q156" s="25"/>
      <c r="R156" s="25"/>
      <c r="S156" s="25"/>
      <c r="T156" s="25"/>
      <c r="U156" s="25"/>
      <c r="V156" s="53">
        <v>6006</v>
      </c>
      <c r="W156" s="25"/>
      <c r="X156" s="5"/>
    </row>
    <row r="157" spans="1:25" ht="15.6" x14ac:dyDescent="0.3">
      <c r="A157" s="24"/>
      <c r="B157" s="25"/>
      <c r="C157" s="25"/>
      <c r="D157" s="25"/>
      <c r="E157" s="25"/>
      <c r="F157" s="25"/>
      <c r="G157" s="25"/>
      <c r="H157" s="25"/>
      <c r="I157" s="25"/>
      <c r="J157" s="25"/>
      <c r="K157" s="25"/>
      <c r="L157" s="25"/>
      <c r="M157" s="25"/>
      <c r="N157" s="25"/>
      <c r="O157" s="25"/>
      <c r="P157" s="25"/>
      <c r="Q157" s="25"/>
      <c r="R157" s="25"/>
      <c r="S157" s="25"/>
      <c r="T157" s="25"/>
      <c r="U157" s="25"/>
      <c r="V157" s="53"/>
      <c r="W157" s="25"/>
      <c r="X157" s="5"/>
    </row>
    <row r="158" spans="1:25" ht="15.6" x14ac:dyDescent="0.3">
      <c r="A158" s="24"/>
      <c r="B158" s="25"/>
      <c r="C158" s="25"/>
      <c r="D158" s="25"/>
      <c r="E158" s="25"/>
      <c r="F158" s="25"/>
      <c r="G158" s="25"/>
      <c r="H158" s="25"/>
      <c r="I158" s="25"/>
      <c r="J158" s="25"/>
      <c r="K158" s="25"/>
      <c r="L158" s="25"/>
      <c r="M158" s="25"/>
      <c r="N158" s="25"/>
      <c r="O158" s="25"/>
      <c r="P158" s="25"/>
      <c r="Q158" s="25"/>
      <c r="R158" s="25"/>
      <c r="S158" s="25"/>
      <c r="T158" s="25"/>
      <c r="U158" s="25"/>
      <c r="V158" s="61"/>
      <c r="W158" s="25"/>
      <c r="X158" s="5"/>
    </row>
    <row r="159" spans="1:25" ht="15.6" x14ac:dyDescent="0.3">
      <c r="A159" s="6"/>
      <c r="B159" s="119" t="s">
        <v>24</v>
      </c>
      <c r="C159" s="8"/>
      <c r="D159" s="8"/>
      <c r="E159" s="8"/>
      <c r="F159" s="8"/>
      <c r="G159" s="8"/>
      <c r="H159" s="8"/>
      <c r="I159" s="8"/>
      <c r="J159" s="8"/>
      <c r="K159" s="8"/>
      <c r="L159" s="8"/>
      <c r="M159" s="8"/>
      <c r="N159" s="8"/>
      <c r="O159" s="8"/>
      <c r="P159" s="8"/>
      <c r="Q159" s="8"/>
      <c r="R159" s="8"/>
      <c r="S159" s="8"/>
      <c r="T159" s="8"/>
      <c r="U159" s="8"/>
      <c r="V159" s="52"/>
      <c r="W159" s="8"/>
      <c r="X159" s="5"/>
    </row>
    <row r="160" spans="1:25" ht="15.6" x14ac:dyDescent="0.3">
      <c r="A160" s="24"/>
      <c r="B160" s="25" t="s">
        <v>47</v>
      </c>
      <c r="C160" s="25"/>
      <c r="D160" s="25"/>
      <c r="E160" s="25"/>
      <c r="F160" s="25"/>
      <c r="G160" s="25"/>
      <c r="H160" s="25"/>
      <c r="I160" s="25"/>
      <c r="J160" s="25"/>
      <c r="K160" s="25"/>
      <c r="L160" s="25"/>
      <c r="M160" s="25"/>
      <c r="N160" s="25"/>
      <c r="O160" s="25"/>
      <c r="P160" s="25"/>
      <c r="Q160" s="25"/>
      <c r="R160" s="25"/>
      <c r="S160" s="25"/>
      <c r="T160" s="25"/>
      <c r="U160" s="25"/>
      <c r="V160" s="59" t="s">
        <v>118</v>
      </c>
      <c r="W160" s="25"/>
      <c r="X160" s="5"/>
    </row>
    <row r="161" spans="1:256" ht="15.6" x14ac:dyDescent="0.3">
      <c r="A161" s="24"/>
      <c r="B161" s="25" t="s">
        <v>48</v>
      </c>
      <c r="C161" s="27"/>
      <c r="D161" s="27"/>
      <c r="E161" s="27"/>
      <c r="F161" s="27"/>
      <c r="G161" s="27"/>
      <c r="H161" s="27"/>
      <c r="I161" s="27"/>
      <c r="J161" s="27"/>
      <c r="K161" s="27"/>
      <c r="L161" s="27"/>
      <c r="M161" s="27"/>
      <c r="N161" s="27"/>
      <c r="O161" s="27"/>
      <c r="P161" s="27"/>
      <c r="Q161" s="27"/>
      <c r="R161" s="27"/>
      <c r="S161" s="27"/>
      <c r="T161" s="27"/>
      <c r="U161" s="27"/>
      <c r="V161" s="59" t="s">
        <v>118</v>
      </c>
      <c r="W161" s="25"/>
      <c r="X161" s="5"/>
    </row>
    <row r="162" spans="1:256" ht="15.6" x14ac:dyDescent="0.3">
      <c r="A162" s="24"/>
      <c r="B162" s="25" t="s">
        <v>49</v>
      </c>
      <c r="C162" s="25"/>
      <c r="D162" s="25"/>
      <c r="E162" s="25"/>
      <c r="F162" s="25"/>
      <c r="G162" s="25"/>
      <c r="H162" s="25"/>
      <c r="I162" s="25"/>
      <c r="J162" s="25"/>
      <c r="K162" s="25"/>
      <c r="L162" s="25"/>
      <c r="M162" s="25"/>
      <c r="N162" s="25"/>
      <c r="O162" s="25"/>
      <c r="P162" s="25"/>
      <c r="Q162" s="25"/>
      <c r="R162" s="25"/>
      <c r="S162" s="25"/>
      <c r="T162" s="25"/>
      <c r="U162" s="25"/>
      <c r="V162" s="59" t="s">
        <v>118</v>
      </c>
      <c r="W162" s="25"/>
      <c r="X162" s="5"/>
    </row>
    <row r="163" spans="1:256" ht="15.6" x14ac:dyDescent="0.3">
      <c r="A163" s="24"/>
      <c r="B163" s="25" t="s">
        <v>50</v>
      </c>
      <c r="C163" s="25"/>
      <c r="D163" s="25"/>
      <c r="E163" s="25"/>
      <c r="F163" s="25"/>
      <c r="G163" s="25"/>
      <c r="H163" s="25"/>
      <c r="I163" s="25"/>
      <c r="J163" s="25"/>
      <c r="K163" s="25"/>
      <c r="L163" s="25"/>
      <c r="M163" s="25"/>
      <c r="N163" s="25"/>
      <c r="O163" s="25"/>
      <c r="P163" s="25"/>
      <c r="Q163" s="25"/>
      <c r="R163" s="25"/>
      <c r="S163" s="25"/>
      <c r="T163" s="25"/>
      <c r="U163" s="25"/>
      <c r="V163" s="59" t="s">
        <v>118</v>
      </c>
      <c r="W163" s="25"/>
      <c r="X163" s="5"/>
    </row>
    <row r="164" spans="1:256" ht="15.6" x14ac:dyDescent="0.3">
      <c r="A164" s="24"/>
      <c r="B164" s="25"/>
      <c r="C164" s="25"/>
      <c r="D164" s="25"/>
      <c r="E164" s="25"/>
      <c r="F164" s="25"/>
      <c r="G164" s="25"/>
      <c r="H164" s="25"/>
      <c r="I164" s="25"/>
      <c r="J164" s="25"/>
      <c r="K164" s="25"/>
      <c r="L164" s="25"/>
      <c r="M164" s="25"/>
      <c r="N164" s="25"/>
      <c r="O164" s="25"/>
      <c r="P164" s="25"/>
      <c r="Q164" s="25"/>
      <c r="R164" s="25"/>
      <c r="S164" s="25"/>
      <c r="T164" s="25"/>
      <c r="U164" s="25"/>
      <c r="V164" s="61"/>
      <c r="W164" s="25"/>
      <c r="X164" s="5"/>
    </row>
    <row r="165" spans="1:256" ht="15.6" x14ac:dyDescent="0.3">
      <c r="A165" s="6"/>
      <c r="B165" s="119" t="s">
        <v>51</v>
      </c>
      <c r="C165" s="8"/>
      <c r="D165" s="8"/>
      <c r="E165" s="8"/>
      <c r="F165" s="8"/>
      <c r="G165" s="8"/>
      <c r="H165" s="8"/>
      <c r="I165" s="8"/>
      <c r="J165" s="8"/>
      <c r="K165" s="8"/>
      <c r="L165" s="8"/>
      <c r="M165" s="8"/>
      <c r="N165" s="8"/>
      <c r="O165" s="8"/>
      <c r="P165" s="8"/>
      <c r="Q165" s="8"/>
      <c r="R165" s="8"/>
      <c r="S165" s="8"/>
      <c r="T165" s="8"/>
      <c r="U165" s="8"/>
      <c r="V165" s="63"/>
      <c r="W165" s="8"/>
      <c r="X165" s="5"/>
    </row>
    <row r="166" spans="1:256" ht="15.6" x14ac:dyDescent="0.3">
      <c r="A166" s="24"/>
      <c r="B166" s="25" t="s">
        <v>52</v>
      </c>
      <c r="C166" s="25"/>
      <c r="D166" s="25"/>
      <c r="E166" s="25"/>
      <c r="F166" s="25"/>
      <c r="G166" s="25"/>
      <c r="H166" s="25"/>
      <c r="I166" s="25"/>
      <c r="J166" s="25"/>
      <c r="K166" s="25"/>
      <c r="L166" s="25"/>
      <c r="M166" s="25"/>
      <c r="N166" s="25"/>
      <c r="O166" s="25"/>
      <c r="P166" s="25"/>
      <c r="Q166" s="25"/>
      <c r="R166" s="25"/>
      <c r="S166" s="25"/>
      <c r="T166" s="25"/>
      <c r="U166" s="25"/>
      <c r="V166" s="53">
        <v>0</v>
      </c>
      <c r="W166" s="25"/>
      <c r="X166" s="5"/>
    </row>
    <row r="167" spans="1:256" ht="15.6" x14ac:dyDescent="0.3">
      <c r="A167" s="24"/>
      <c r="B167" s="25" t="s">
        <v>53</v>
      </c>
      <c r="C167" s="25"/>
      <c r="D167" s="25"/>
      <c r="E167" s="25"/>
      <c r="F167" s="25"/>
      <c r="G167" s="25"/>
      <c r="H167" s="25"/>
      <c r="I167" s="25"/>
      <c r="J167" s="25"/>
      <c r="K167" s="25"/>
      <c r="L167" s="25"/>
      <c r="M167" s="25"/>
      <c r="N167" s="25"/>
      <c r="O167" s="25"/>
      <c r="P167" s="25"/>
      <c r="Q167" s="25"/>
      <c r="R167" s="25"/>
      <c r="S167" s="25"/>
      <c r="T167" s="25"/>
      <c r="U167" s="25"/>
      <c r="V167" s="53">
        <v>5</v>
      </c>
      <c r="W167" s="25"/>
      <c r="X167" s="5"/>
    </row>
    <row r="168" spans="1:256" ht="15.6" x14ac:dyDescent="0.3">
      <c r="A168" s="24"/>
      <c r="B168" s="25" t="s">
        <v>54</v>
      </c>
      <c r="C168" s="25"/>
      <c r="D168" s="25"/>
      <c r="E168" s="25"/>
      <c r="F168" s="25"/>
      <c r="G168" s="25"/>
      <c r="H168" s="25"/>
      <c r="I168" s="25"/>
      <c r="J168" s="25"/>
      <c r="K168" s="25"/>
      <c r="L168" s="25"/>
      <c r="M168" s="25"/>
      <c r="N168" s="25"/>
      <c r="O168" s="25"/>
      <c r="P168" s="25"/>
      <c r="Q168" s="25"/>
      <c r="R168" s="25"/>
      <c r="S168" s="25"/>
      <c r="T168" s="25"/>
      <c r="U168" s="25"/>
      <c r="V168" s="53">
        <f>V167+V166</f>
        <v>5</v>
      </c>
      <c r="W168" s="25"/>
      <c r="X168" s="5"/>
    </row>
    <row r="169" spans="1:256" ht="15.6" x14ac:dyDescent="0.3">
      <c r="A169" s="24"/>
      <c r="B169" s="25" t="s">
        <v>315</v>
      </c>
      <c r="C169" s="25"/>
      <c r="D169" s="25"/>
      <c r="E169" s="25"/>
      <c r="F169" s="25"/>
      <c r="G169" s="25"/>
      <c r="H169" s="25"/>
      <c r="I169" s="25"/>
      <c r="J169" s="25"/>
      <c r="K169" s="25"/>
      <c r="L169" s="25"/>
      <c r="M169" s="25"/>
      <c r="N169" s="25"/>
      <c r="O169" s="25"/>
      <c r="P169" s="25"/>
      <c r="Q169" s="25"/>
      <c r="R169" s="25"/>
      <c r="S169" s="25"/>
      <c r="T169" s="25"/>
      <c r="U169" s="25"/>
      <c r="V169" s="53">
        <f>V115</f>
        <v>-5</v>
      </c>
      <c r="W169" s="25"/>
      <c r="X169" s="5"/>
    </row>
    <row r="170" spans="1:256" ht="15.6" x14ac:dyDescent="0.3">
      <c r="A170" s="24"/>
      <c r="B170" s="25" t="s">
        <v>55</v>
      </c>
      <c r="C170" s="25"/>
      <c r="D170" s="25"/>
      <c r="E170" s="25"/>
      <c r="F170" s="25"/>
      <c r="G170" s="25"/>
      <c r="H170" s="25"/>
      <c r="I170" s="25"/>
      <c r="J170" s="25"/>
      <c r="K170" s="25"/>
      <c r="L170" s="25"/>
      <c r="M170" s="25"/>
      <c r="N170" s="25"/>
      <c r="O170" s="25"/>
      <c r="P170" s="25"/>
      <c r="Q170" s="25"/>
      <c r="R170" s="25"/>
      <c r="S170" s="25"/>
      <c r="T170" s="25"/>
      <c r="U170" s="25"/>
      <c r="V170" s="53">
        <f>V168+V169</f>
        <v>0</v>
      </c>
      <c r="W170" s="25"/>
      <c r="X170" s="5"/>
    </row>
    <row r="171" spans="1:256" ht="16.2" thickBot="1" x14ac:dyDescent="0.35">
      <c r="A171" s="24"/>
      <c r="B171" s="25"/>
      <c r="C171" s="25"/>
      <c r="D171" s="25"/>
      <c r="E171" s="25"/>
      <c r="F171" s="25"/>
      <c r="G171" s="25"/>
      <c r="H171" s="25"/>
      <c r="I171" s="25"/>
      <c r="J171" s="25"/>
      <c r="K171" s="25"/>
      <c r="L171" s="25"/>
      <c r="M171" s="25"/>
      <c r="N171" s="25"/>
      <c r="O171" s="25"/>
      <c r="P171" s="25"/>
      <c r="Q171" s="25"/>
      <c r="R171" s="25"/>
      <c r="S171" s="25"/>
      <c r="T171" s="25"/>
      <c r="U171" s="25"/>
      <c r="V171" s="61"/>
      <c r="W171" s="25"/>
      <c r="X171" s="5"/>
    </row>
    <row r="172" spans="1:256" ht="15.6" x14ac:dyDescent="0.3">
      <c r="A172" s="2"/>
      <c r="B172" s="4"/>
      <c r="C172" s="4"/>
      <c r="D172" s="4"/>
      <c r="E172" s="4"/>
      <c r="F172" s="4"/>
      <c r="G172" s="4"/>
      <c r="H172" s="4"/>
      <c r="I172" s="4"/>
      <c r="J172" s="4"/>
      <c r="K172" s="4"/>
      <c r="L172" s="4"/>
      <c r="M172" s="4"/>
      <c r="N172" s="4"/>
      <c r="O172" s="4"/>
      <c r="P172" s="4"/>
      <c r="Q172" s="4"/>
      <c r="R172" s="4"/>
      <c r="S172" s="4"/>
      <c r="T172" s="4"/>
      <c r="U172" s="4"/>
      <c r="V172" s="50"/>
      <c r="W172" s="4"/>
      <c r="X172" s="5"/>
    </row>
    <row r="173" spans="1:256" s="161" customFormat="1" ht="15.6" x14ac:dyDescent="0.3">
      <c r="A173" s="6"/>
      <c r="B173" s="119" t="s">
        <v>269</v>
      </c>
      <c r="C173" s="160"/>
      <c r="D173" s="160"/>
      <c r="E173" s="160"/>
      <c r="F173" s="160"/>
      <c r="G173" s="160"/>
      <c r="H173" s="160"/>
      <c r="I173" s="160"/>
      <c r="J173" s="160"/>
      <c r="K173" s="160"/>
      <c r="L173" s="160"/>
      <c r="M173" s="160"/>
      <c r="N173" s="160"/>
      <c r="O173" s="160"/>
      <c r="P173" s="160"/>
      <c r="Q173" s="160"/>
      <c r="R173" s="160"/>
      <c r="S173" s="160"/>
      <c r="T173" s="160"/>
      <c r="U173" s="160"/>
      <c r="V173" s="168"/>
      <c r="W173" s="160"/>
      <c r="X173" s="5"/>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s="163" customFormat="1" ht="15.6" x14ac:dyDescent="0.3">
      <c r="A174" s="24"/>
      <c r="B174" s="162" t="s">
        <v>270</v>
      </c>
      <c r="C174" s="162"/>
      <c r="D174" s="162"/>
      <c r="E174" s="162"/>
      <c r="F174" s="162"/>
      <c r="G174" s="162"/>
      <c r="H174" s="162"/>
      <c r="I174" s="162"/>
      <c r="J174" s="162"/>
      <c r="K174" s="162"/>
      <c r="L174" s="162"/>
      <c r="M174" s="162"/>
      <c r="N174" s="162"/>
      <c r="O174" s="162"/>
      <c r="P174" s="162"/>
      <c r="Q174" s="162"/>
      <c r="R174" s="162"/>
      <c r="S174" s="162"/>
      <c r="T174" s="162"/>
      <c r="U174" s="162"/>
      <c r="V174" s="169">
        <v>9489</v>
      </c>
      <c r="W174" s="162"/>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5.6" x14ac:dyDescent="0.3">
      <c r="A175" s="24"/>
      <c r="B175" s="162" t="s">
        <v>273</v>
      </c>
      <c r="C175" s="162"/>
      <c r="D175" s="162"/>
      <c r="E175" s="162"/>
      <c r="F175" s="162"/>
      <c r="G175" s="162"/>
      <c r="H175" s="162"/>
      <c r="I175" s="162"/>
      <c r="J175" s="162"/>
      <c r="K175" s="162"/>
      <c r="L175" s="162"/>
      <c r="M175" s="162"/>
      <c r="N175" s="162"/>
      <c r="O175" s="162"/>
      <c r="P175" s="162"/>
      <c r="Q175" s="162"/>
      <c r="R175" s="162"/>
      <c r="S175" s="162"/>
      <c r="T175" s="162"/>
      <c r="U175" s="162"/>
      <c r="V175" s="169">
        <v>4971</v>
      </c>
      <c r="W175" s="162"/>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3" customFormat="1" ht="15.6" x14ac:dyDescent="0.3">
      <c r="A176" s="24"/>
      <c r="B176" s="162" t="s">
        <v>271</v>
      </c>
      <c r="C176" s="162"/>
      <c r="D176" s="162"/>
      <c r="E176" s="162"/>
      <c r="F176" s="162"/>
      <c r="G176" s="162"/>
      <c r="H176" s="162"/>
      <c r="I176" s="162"/>
      <c r="J176" s="162"/>
      <c r="K176" s="162"/>
      <c r="L176" s="162"/>
      <c r="M176" s="162"/>
      <c r="N176" s="162"/>
      <c r="O176" s="162"/>
      <c r="P176" s="162"/>
      <c r="Q176" s="162"/>
      <c r="R176" s="162"/>
      <c r="S176" s="162"/>
      <c r="T176" s="162"/>
      <c r="U176" s="162"/>
      <c r="V176" s="169">
        <f>+V174-V175</f>
        <v>4518</v>
      </c>
      <c r="W176" s="162"/>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s="166" customFormat="1" ht="16.2" thickBot="1" x14ac:dyDescent="0.35">
      <c r="A177" s="170"/>
      <c r="B177" s="164"/>
      <c r="C177" s="164"/>
      <c r="D177" s="164"/>
      <c r="E177" s="164"/>
      <c r="F177" s="164"/>
      <c r="G177" s="164"/>
      <c r="H177" s="164"/>
      <c r="I177" s="164"/>
      <c r="J177" s="164"/>
      <c r="K177" s="164"/>
      <c r="L177" s="164"/>
      <c r="M177" s="164"/>
      <c r="N177" s="164"/>
      <c r="O177" s="164"/>
      <c r="P177" s="164"/>
      <c r="Q177" s="164"/>
      <c r="R177" s="164"/>
      <c r="S177" s="164"/>
      <c r="T177" s="164"/>
      <c r="U177" s="164"/>
      <c r="V177" s="165"/>
      <c r="W177" s="164"/>
      <c r="X177" s="5"/>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s="167" customFormat="1" ht="15.6" x14ac:dyDescent="0.3">
      <c r="A178" s="2"/>
      <c r="B178" s="4"/>
      <c r="C178" s="4"/>
      <c r="D178" s="4"/>
      <c r="E178" s="4"/>
      <c r="F178" s="4"/>
      <c r="G178" s="4"/>
      <c r="H178" s="4"/>
      <c r="I178" s="4"/>
      <c r="J178" s="4"/>
      <c r="K178" s="4"/>
      <c r="L178" s="4"/>
      <c r="M178" s="4"/>
      <c r="N178" s="4"/>
      <c r="O178" s="4"/>
      <c r="P178" s="4"/>
      <c r="Q178" s="4"/>
      <c r="R178" s="4"/>
      <c r="S178" s="4"/>
      <c r="T178" s="4"/>
      <c r="U178" s="4"/>
      <c r="V178" s="50"/>
      <c r="W178" s="4"/>
      <c r="X178" s="5"/>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ht="15.6" x14ac:dyDescent="0.3">
      <c r="A179" s="6"/>
      <c r="B179" s="119" t="s">
        <v>56</v>
      </c>
      <c r="C179" s="8"/>
      <c r="D179" s="8"/>
      <c r="E179" s="8"/>
      <c r="F179" s="8"/>
      <c r="G179" s="8"/>
      <c r="H179" s="8"/>
      <c r="I179" s="8"/>
      <c r="J179" s="8"/>
      <c r="K179" s="8"/>
      <c r="L179" s="8"/>
      <c r="M179" s="8"/>
      <c r="N179" s="8"/>
      <c r="O179" s="8"/>
      <c r="P179" s="8"/>
      <c r="Q179" s="8"/>
      <c r="R179" s="8"/>
      <c r="S179" s="8"/>
      <c r="T179" s="8"/>
      <c r="U179" s="8"/>
      <c r="V179" s="52"/>
      <c r="W179" s="8"/>
      <c r="X179" s="5"/>
    </row>
    <row r="180" spans="1:256" ht="15.6" x14ac:dyDescent="0.3">
      <c r="A180" s="6"/>
      <c r="B180" s="21"/>
      <c r="C180" s="8"/>
      <c r="D180" s="8"/>
      <c r="E180" s="8"/>
      <c r="F180" s="8"/>
      <c r="G180" s="8"/>
      <c r="H180" s="8"/>
      <c r="I180" s="8"/>
      <c r="J180" s="8"/>
      <c r="K180" s="8"/>
      <c r="L180" s="8"/>
      <c r="M180" s="8"/>
      <c r="N180" s="8"/>
      <c r="O180" s="8"/>
      <c r="P180" s="8"/>
      <c r="Q180" s="8"/>
      <c r="R180" s="8"/>
      <c r="S180" s="8"/>
      <c r="T180" s="8"/>
      <c r="U180" s="8"/>
      <c r="V180" s="52"/>
      <c r="W180" s="8"/>
      <c r="X180" s="5"/>
    </row>
    <row r="181" spans="1:256" ht="15.6" x14ac:dyDescent="0.3">
      <c r="A181" s="24"/>
      <c r="B181" s="25" t="s">
        <v>57</v>
      </c>
      <c r="C181" s="25"/>
      <c r="D181" s="25"/>
      <c r="E181" s="25"/>
      <c r="F181" s="25"/>
      <c r="G181" s="25"/>
      <c r="H181" s="25"/>
      <c r="I181" s="25"/>
      <c r="J181" s="25"/>
      <c r="K181" s="25"/>
      <c r="L181" s="25"/>
      <c r="M181" s="25"/>
      <c r="N181" s="25"/>
      <c r="O181" s="25"/>
      <c r="P181" s="25"/>
      <c r="Q181" s="25"/>
      <c r="R181" s="25"/>
      <c r="S181" s="25"/>
      <c r="T181" s="25"/>
      <c r="U181" s="25"/>
      <c r="V181" s="53">
        <f>V72</f>
        <v>1471243</v>
      </c>
      <c r="W181" s="25"/>
      <c r="X181" s="5"/>
    </row>
    <row r="182" spans="1:256" ht="15.6" x14ac:dyDescent="0.3">
      <c r="A182" s="24"/>
      <c r="B182" s="25" t="s">
        <v>58</v>
      </c>
      <c r="C182" s="25"/>
      <c r="D182" s="25"/>
      <c r="E182" s="25"/>
      <c r="F182" s="25"/>
      <c r="G182" s="25"/>
      <c r="H182" s="25"/>
      <c r="I182" s="25"/>
      <c r="J182" s="25"/>
      <c r="K182" s="25"/>
      <c r="L182" s="25"/>
      <c r="M182" s="25"/>
      <c r="N182" s="25"/>
      <c r="O182" s="25"/>
      <c r="P182" s="25"/>
      <c r="Q182" s="25"/>
      <c r="R182" s="25"/>
      <c r="S182" s="25"/>
      <c r="T182" s="25"/>
      <c r="U182" s="25"/>
      <c r="V182" s="53">
        <f>V85</f>
        <v>1471243</v>
      </c>
      <c r="W182" s="25"/>
      <c r="X182" s="5"/>
    </row>
    <row r="183" spans="1:256" ht="16.2" thickBot="1" x14ac:dyDescent="0.35">
      <c r="A183" s="24"/>
      <c r="B183" s="25"/>
      <c r="C183" s="25"/>
      <c r="D183" s="25"/>
      <c r="E183" s="25"/>
      <c r="F183" s="25"/>
      <c r="G183" s="25"/>
      <c r="H183" s="25"/>
      <c r="I183" s="25"/>
      <c r="J183" s="25"/>
      <c r="K183" s="25"/>
      <c r="L183" s="25"/>
      <c r="M183" s="25"/>
      <c r="N183" s="25"/>
      <c r="O183" s="25"/>
      <c r="P183" s="25"/>
      <c r="Q183" s="25"/>
      <c r="R183" s="25"/>
      <c r="S183" s="25"/>
      <c r="T183" s="25"/>
      <c r="U183" s="25"/>
      <c r="V183" s="61"/>
      <c r="W183" s="25"/>
      <c r="X183" s="5"/>
    </row>
    <row r="184" spans="1:256" ht="15.6" x14ac:dyDescent="0.3">
      <c r="A184" s="2"/>
      <c r="B184" s="4"/>
      <c r="C184" s="4"/>
      <c r="D184" s="4"/>
      <c r="E184" s="4"/>
      <c r="F184" s="4"/>
      <c r="G184" s="4"/>
      <c r="H184" s="4"/>
      <c r="I184" s="4"/>
      <c r="J184" s="4"/>
      <c r="K184" s="4"/>
      <c r="L184" s="4"/>
      <c r="M184" s="4"/>
      <c r="N184" s="4"/>
      <c r="O184" s="4"/>
      <c r="P184" s="4"/>
      <c r="Q184" s="4"/>
      <c r="R184" s="4"/>
      <c r="S184" s="4"/>
      <c r="T184" s="4"/>
      <c r="U184" s="4"/>
      <c r="V184" s="50"/>
      <c r="W184" s="4"/>
      <c r="X184" s="5"/>
    </row>
    <row r="185" spans="1:256" ht="15.6" x14ac:dyDescent="0.3">
      <c r="A185" s="6"/>
      <c r="B185" s="119" t="s">
        <v>59</v>
      </c>
      <c r="C185" s="117"/>
      <c r="D185" s="117"/>
      <c r="E185" s="117"/>
      <c r="F185" s="117"/>
      <c r="G185" s="117"/>
      <c r="H185" s="120"/>
      <c r="I185" s="120"/>
      <c r="J185" s="120"/>
      <c r="K185" s="120"/>
      <c r="L185" s="120"/>
      <c r="M185" s="120"/>
      <c r="N185" s="120"/>
      <c r="O185" s="120"/>
      <c r="P185" s="120"/>
      <c r="Q185" s="120"/>
      <c r="R185" s="120"/>
      <c r="S185" s="120" t="s">
        <v>101</v>
      </c>
      <c r="T185" s="120" t="s">
        <v>176</v>
      </c>
      <c r="U185" s="111"/>
      <c r="V185" s="121" t="s">
        <v>114</v>
      </c>
      <c r="W185" s="10"/>
      <c r="X185" s="5"/>
    </row>
    <row r="186" spans="1:256" ht="15.6" x14ac:dyDescent="0.3">
      <c r="A186" s="24"/>
      <c r="B186" s="25" t="s">
        <v>60</v>
      </c>
      <c r="C186" s="25"/>
      <c r="D186" s="25"/>
      <c r="E186" s="25"/>
      <c r="F186" s="25"/>
      <c r="G186" s="25"/>
      <c r="H186" s="25"/>
      <c r="I186" s="25"/>
      <c r="J186" s="25"/>
      <c r="K186" s="25"/>
      <c r="L186" s="25"/>
      <c r="M186" s="25"/>
      <c r="N186" s="25"/>
      <c r="O186" s="25"/>
      <c r="P186" s="25"/>
      <c r="Q186" s="25"/>
      <c r="R186" s="25"/>
      <c r="S186" s="53">
        <f>+V34*0.16</f>
        <v>240044</v>
      </c>
      <c r="T186" s="40"/>
      <c r="U186" s="25"/>
      <c r="V186" s="53"/>
      <c r="W186" s="25"/>
      <c r="X186" s="5"/>
    </row>
    <row r="187" spans="1:256" ht="15.6" x14ac:dyDescent="0.3">
      <c r="A187" s="24"/>
      <c r="B187" s="25" t="s">
        <v>61</v>
      </c>
      <c r="C187" s="25"/>
      <c r="D187" s="25"/>
      <c r="E187" s="25"/>
      <c r="F187" s="25"/>
      <c r="G187" s="25"/>
      <c r="H187" s="25"/>
      <c r="I187" s="25"/>
      <c r="J187" s="25"/>
      <c r="K187" s="25"/>
      <c r="L187" s="25"/>
      <c r="M187" s="25"/>
      <c r="N187" s="25"/>
      <c r="O187" s="25"/>
      <c r="P187" s="25"/>
      <c r="Q187" s="25"/>
      <c r="R187" s="25"/>
      <c r="S187" s="53">
        <v>0</v>
      </c>
      <c r="T187" s="53">
        <v>0</v>
      </c>
      <c r="U187" s="25"/>
      <c r="V187" s="53">
        <f>S187+T187</f>
        <v>0</v>
      </c>
      <c r="W187" s="25"/>
      <c r="X187" s="5"/>
    </row>
    <row r="188" spans="1:256" ht="15.6" x14ac:dyDescent="0.3">
      <c r="A188" s="24"/>
      <c r="B188" s="25" t="s">
        <v>62</v>
      </c>
      <c r="C188" s="25"/>
      <c r="D188" s="25"/>
      <c r="E188" s="25"/>
      <c r="F188" s="25"/>
      <c r="G188" s="25"/>
      <c r="H188" s="25"/>
      <c r="I188" s="25"/>
      <c r="J188" s="25"/>
      <c r="K188" s="25"/>
      <c r="L188" s="25"/>
      <c r="M188" s="25"/>
      <c r="N188" s="25"/>
      <c r="O188" s="25"/>
      <c r="P188" s="25"/>
      <c r="Q188" s="25"/>
      <c r="R188" s="25"/>
      <c r="S188" s="34">
        <f>7031+1399</f>
        <v>8430</v>
      </c>
      <c r="T188" s="34">
        <v>3405</v>
      </c>
      <c r="U188" s="25"/>
      <c r="V188" s="53">
        <f>S188+T188</f>
        <v>11835</v>
      </c>
      <c r="W188" s="25"/>
      <c r="X188" s="5"/>
    </row>
    <row r="189" spans="1:256" ht="15.6" x14ac:dyDescent="0.3">
      <c r="A189" s="24"/>
      <c r="B189" s="25" t="s">
        <v>63</v>
      </c>
      <c r="C189" s="25"/>
      <c r="D189" s="25"/>
      <c r="E189" s="25"/>
      <c r="F189" s="25"/>
      <c r="G189" s="25"/>
      <c r="H189" s="25"/>
      <c r="I189" s="25"/>
      <c r="J189" s="25"/>
      <c r="K189" s="25"/>
      <c r="L189" s="25"/>
      <c r="M189" s="25"/>
      <c r="N189" s="25"/>
      <c r="O189" s="25"/>
      <c r="P189" s="25"/>
      <c r="Q189" s="25"/>
      <c r="R189" s="25"/>
      <c r="S189" s="53">
        <f>S187+S188</f>
        <v>8430</v>
      </c>
      <c r="T189" s="53">
        <f>T188+T187</f>
        <v>3405</v>
      </c>
      <c r="U189" s="25"/>
      <c r="V189" s="53">
        <f>S189+T189</f>
        <v>11835</v>
      </c>
      <c r="W189" s="25"/>
      <c r="X189" s="5"/>
    </row>
    <row r="190" spans="1:256" ht="15.6" x14ac:dyDescent="0.3">
      <c r="A190" s="24"/>
      <c r="B190" s="25" t="s">
        <v>64</v>
      </c>
      <c r="C190" s="25"/>
      <c r="D190" s="25"/>
      <c r="E190" s="25"/>
      <c r="F190" s="25"/>
      <c r="G190" s="25"/>
      <c r="H190" s="25"/>
      <c r="I190" s="25"/>
      <c r="J190" s="25"/>
      <c r="K190" s="25"/>
      <c r="L190" s="25"/>
      <c r="M190" s="25"/>
      <c r="N190" s="25"/>
      <c r="O190" s="25"/>
      <c r="P190" s="25"/>
      <c r="Q190" s="25"/>
      <c r="R190" s="25"/>
      <c r="S190" s="53">
        <f>S186-S189-T189</f>
        <v>228209</v>
      </c>
      <c r="T190" s="40"/>
      <c r="U190" s="25"/>
      <c r="V190" s="53"/>
      <c r="W190" s="25"/>
      <c r="X190" s="5"/>
    </row>
    <row r="191" spans="1:256" ht="16.2" thickBot="1" x14ac:dyDescent="0.35">
      <c r="A191" s="24"/>
      <c r="B191" s="25"/>
      <c r="C191" s="25"/>
      <c r="D191" s="25"/>
      <c r="E191" s="25"/>
      <c r="F191" s="25"/>
      <c r="G191" s="25"/>
      <c r="H191" s="25"/>
      <c r="I191" s="25"/>
      <c r="J191" s="25"/>
      <c r="K191" s="25"/>
      <c r="L191" s="25"/>
      <c r="M191" s="25"/>
      <c r="N191" s="25"/>
      <c r="O191" s="25"/>
      <c r="P191" s="25"/>
      <c r="Q191" s="25"/>
      <c r="R191" s="25"/>
      <c r="S191" s="25"/>
      <c r="T191" s="25"/>
      <c r="U191" s="25"/>
      <c r="V191" s="61"/>
      <c r="W191" s="25"/>
      <c r="X191" s="5"/>
    </row>
    <row r="192" spans="1:256" ht="15.6" x14ac:dyDescent="0.3">
      <c r="A192" s="2"/>
      <c r="B192" s="4"/>
      <c r="C192" s="4"/>
      <c r="D192" s="4"/>
      <c r="E192" s="4"/>
      <c r="F192" s="4"/>
      <c r="G192" s="4"/>
      <c r="H192" s="4"/>
      <c r="I192" s="4"/>
      <c r="J192" s="4"/>
      <c r="K192" s="4"/>
      <c r="L192" s="4"/>
      <c r="M192" s="4"/>
      <c r="N192" s="4"/>
      <c r="O192" s="4"/>
      <c r="P192" s="4"/>
      <c r="Q192" s="4"/>
      <c r="R192" s="4"/>
      <c r="S192" s="4"/>
      <c r="T192" s="4"/>
      <c r="U192" s="4"/>
      <c r="V192" s="50"/>
      <c r="W192" s="4"/>
      <c r="X192" s="5"/>
    </row>
    <row r="193" spans="1:24" ht="15.6" x14ac:dyDescent="0.3">
      <c r="A193" s="6"/>
      <c r="B193" s="119" t="s">
        <v>65</v>
      </c>
      <c r="C193" s="8"/>
      <c r="D193" s="8"/>
      <c r="E193" s="8"/>
      <c r="F193" s="8"/>
      <c r="G193" s="8"/>
      <c r="H193" s="8"/>
      <c r="I193" s="8"/>
      <c r="J193" s="8"/>
      <c r="K193" s="8"/>
      <c r="L193" s="8"/>
      <c r="M193" s="8"/>
      <c r="N193" s="8"/>
      <c r="O193" s="8"/>
      <c r="P193" s="8"/>
      <c r="Q193" s="8"/>
      <c r="R193" s="8"/>
      <c r="S193" s="8"/>
      <c r="T193" s="8"/>
      <c r="U193" s="8"/>
      <c r="V193" s="65"/>
      <c r="W193" s="8"/>
      <c r="X193" s="5"/>
    </row>
    <row r="194" spans="1:24" ht="15.6" x14ac:dyDescent="0.3">
      <c r="A194" s="24"/>
      <c r="B194" s="25" t="s">
        <v>66</v>
      </c>
      <c r="C194" s="25"/>
      <c r="D194" s="25"/>
      <c r="E194" s="25"/>
      <c r="F194" s="25"/>
      <c r="G194" s="25"/>
      <c r="H194" s="25"/>
      <c r="I194" s="25"/>
      <c r="J194" s="25"/>
      <c r="K194" s="25"/>
      <c r="L194" s="25"/>
      <c r="M194" s="25"/>
      <c r="N194" s="25"/>
      <c r="O194" s="25"/>
      <c r="P194" s="25"/>
      <c r="Q194" s="25"/>
      <c r="R194" s="25"/>
      <c r="S194" s="25"/>
      <c r="T194" s="25"/>
      <c r="U194" s="25"/>
      <c r="V194" s="59">
        <f>(V101+V103+V104+V105+V106)/-(V107+V108)</f>
        <v>1.1847202894517117</v>
      </c>
      <c r="W194" s="25" t="s">
        <v>115</v>
      </c>
      <c r="X194" s="5"/>
    </row>
    <row r="195" spans="1:24" ht="15.6" x14ac:dyDescent="0.3">
      <c r="A195" s="24"/>
      <c r="B195" s="25" t="s">
        <v>67</v>
      </c>
      <c r="C195" s="25"/>
      <c r="D195" s="25"/>
      <c r="E195" s="25"/>
      <c r="F195" s="25"/>
      <c r="G195" s="25"/>
      <c r="H195" s="25"/>
      <c r="I195" s="25"/>
      <c r="J195" s="25"/>
      <c r="K195" s="25"/>
      <c r="L195" s="25"/>
      <c r="M195" s="25"/>
      <c r="N195" s="25"/>
      <c r="O195" s="25"/>
      <c r="P195" s="25"/>
      <c r="Q195" s="25"/>
      <c r="R195" s="25"/>
      <c r="S195" s="25"/>
      <c r="T195" s="25"/>
      <c r="U195" s="25"/>
      <c r="V195" s="66">
        <v>1.18</v>
      </c>
      <c r="W195" s="25" t="s">
        <v>115</v>
      </c>
      <c r="X195" s="5"/>
    </row>
    <row r="196" spans="1:24" ht="15.6" x14ac:dyDescent="0.3">
      <c r="A196" s="24"/>
      <c r="B196" s="25" t="s">
        <v>68</v>
      </c>
      <c r="C196" s="25"/>
      <c r="D196" s="25"/>
      <c r="E196" s="25"/>
      <c r="F196" s="25"/>
      <c r="G196" s="25"/>
      <c r="H196" s="25"/>
      <c r="I196" s="25"/>
      <c r="J196" s="25"/>
      <c r="K196" s="25"/>
      <c r="L196" s="25"/>
      <c r="M196" s="25"/>
      <c r="N196" s="25"/>
      <c r="O196" s="25"/>
      <c r="P196" s="25"/>
      <c r="Q196" s="25"/>
      <c r="R196" s="25"/>
      <c r="S196" s="25"/>
      <c r="T196" s="25"/>
      <c r="U196" s="25"/>
      <c r="V196" s="59">
        <f>(V101+V103+V104+V105+V106+V107+V108)/-(V110+V111)</f>
        <v>2.0453004622496147</v>
      </c>
      <c r="W196" s="25" t="s">
        <v>115</v>
      </c>
      <c r="X196" s="5"/>
    </row>
    <row r="197" spans="1:24" ht="15.6" x14ac:dyDescent="0.3">
      <c r="A197" s="24"/>
      <c r="B197" s="25" t="s">
        <v>69</v>
      </c>
      <c r="C197" s="25"/>
      <c r="D197" s="25"/>
      <c r="E197" s="25"/>
      <c r="F197" s="25"/>
      <c r="G197" s="25"/>
      <c r="H197" s="25"/>
      <c r="I197" s="25"/>
      <c r="J197" s="25"/>
      <c r="K197" s="25"/>
      <c r="L197" s="25"/>
      <c r="M197" s="25"/>
      <c r="N197" s="25"/>
      <c r="O197" s="25"/>
      <c r="P197" s="25"/>
      <c r="Q197" s="25"/>
      <c r="R197" s="25"/>
      <c r="S197" s="25"/>
      <c r="T197" s="25"/>
      <c r="U197" s="25"/>
      <c r="V197" s="66">
        <v>2.0499999999999998</v>
      </c>
      <c r="W197" s="25" t="s">
        <v>115</v>
      </c>
      <c r="X197" s="5"/>
    </row>
    <row r="198" spans="1:24" ht="15.6" x14ac:dyDescent="0.3">
      <c r="A198" s="24"/>
      <c r="B198" s="25" t="s">
        <v>198</v>
      </c>
      <c r="C198" s="25"/>
      <c r="D198" s="25"/>
      <c r="E198" s="25"/>
      <c r="F198" s="25"/>
      <c r="G198" s="25"/>
      <c r="H198" s="25"/>
      <c r="I198" s="25"/>
      <c r="J198" s="25"/>
      <c r="K198" s="25"/>
      <c r="L198" s="25"/>
      <c r="M198" s="25"/>
      <c r="N198" s="25"/>
      <c r="O198" s="25"/>
      <c r="P198" s="25"/>
      <c r="Q198" s="25"/>
      <c r="R198" s="25"/>
      <c r="S198" s="25"/>
      <c r="T198" s="25"/>
      <c r="U198" s="25"/>
      <c r="V198" s="59">
        <f>(V101+V103+V104+V105+V106+V107+V108+V110+V111)/-(V112+V113)</f>
        <v>1.0062296054583211</v>
      </c>
      <c r="W198" s="25" t="s">
        <v>115</v>
      </c>
      <c r="X198" s="5"/>
    </row>
    <row r="199" spans="1:24" ht="15.6" x14ac:dyDescent="0.3">
      <c r="A199" s="24"/>
      <c r="B199" s="25" t="s">
        <v>199</v>
      </c>
      <c r="C199" s="25"/>
      <c r="D199" s="25"/>
      <c r="E199" s="25"/>
      <c r="F199" s="25"/>
      <c r="G199" s="25"/>
      <c r="H199" s="25"/>
      <c r="I199" s="25"/>
      <c r="J199" s="25"/>
      <c r="K199" s="25"/>
      <c r="L199" s="25"/>
      <c r="M199" s="25"/>
      <c r="N199" s="25"/>
      <c r="O199" s="25"/>
      <c r="P199" s="25"/>
      <c r="Q199" s="25"/>
      <c r="R199" s="25"/>
      <c r="S199" s="25"/>
      <c r="T199" s="25"/>
      <c r="U199" s="25"/>
      <c r="V199" s="66">
        <v>1.01</v>
      </c>
      <c r="W199" s="25" t="s">
        <v>115</v>
      </c>
      <c r="X199" s="5"/>
    </row>
    <row r="200" spans="1:24" ht="15.6" x14ac:dyDescent="0.3">
      <c r="A200" s="24"/>
      <c r="B200" s="25"/>
      <c r="C200" s="25"/>
      <c r="D200" s="25"/>
      <c r="E200" s="25"/>
      <c r="F200" s="25"/>
      <c r="G200" s="25"/>
      <c r="H200" s="25"/>
      <c r="I200" s="25"/>
      <c r="J200" s="25"/>
      <c r="K200" s="25"/>
      <c r="L200" s="25"/>
      <c r="M200" s="25"/>
      <c r="N200" s="25"/>
      <c r="O200" s="25"/>
      <c r="P200" s="25"/>
      <c r="Q200" s="25"/>
      <c r="R200" s="25"/>
      <c r="S200" s="25"/>
      <c r="T200" s="25"/>
      <c r="U200" s="25"/>
      <c r="V200" s="25"/>
      <c r="W200" s="25"/>
      <c r="X200" s="5"/>
    </row>
    <row r="201" spans="1:24" ht="15.6" x14ac:dyDescent="0.3">
      <c r="A201" s="24"/>
      <c r="B201" s="25"/>
      <c r="C201" s="25"/>
      <c r="D201" s="25"/>
      <c r="E201" s="25"/>
      <c r="F201" s="25"/>
      <c r="G201" s="25"/>
      <c r="H201" s="25"/>
      <c r="I201" s="25"/>
      <c r="J201" s="25"/>
      <c r="K201" s="25"/>
      <c r="L201" s="25"/>
      <c r="M201" s="25"/>
      <c r="N201" s="25"/>
      <c r="O201" s="25"/>
      <c r="P201" s="25"/>
      <c r="Q201" s="25"/>
      <c r="R201" s="25"/>
      <c r="S201" s="25"/>
      <c r="T201" s="25"/>
      <c r="U201" s="25"/>
      <c r="V201" s="25"/>
      <c r="W201" s="25"/>
      <c r="X201" s="5"/>
    </row>
    <row r="202" spans="1:24" ht="15.6" x14ac:dyDescent="0.3">
      <c r="A202" s="6"/>
      <c r="B202" s="8"/>
      <c r="C202" s="8"/>
      <c r="D202" s="8"/>
      <c r="E202" s="8"/>
      <c r="F202" s="8"/>
      <c r="G202" s="8"/>
      <c r="H202" s="8"/>
      <c r="I202" s="8"/>
      <c r="J202" s="8"/>
      <c r="K202" s="8"/>
      <c r="L202" s="8"/>
      <c r="M202" s="8"/>
      <c r="N202" s="8"/>
      <c r="O202" s="8"/>
      <c r="P202" s="8"/>
      <c r="Q202" s="8"/>
      <c r="R202" s="8"/>
      <c r="S202" s="8"/>
      <c r="T202" s="8"/>
      <c r="U202" s="8"/>
      <c r="V202" s="8"/>
      <c r="W202" s="8"/>
      <c r="X202" s="5"/>
    </row>
    <row r="203" spans="1:24" ht="18" thickBot="1" x14ac:dyDescent="0.35">
      <c r="A203" s="101"/>
      <c r="B203" s="102" t="str">
        <f>B138</f>
        <v>PM14 INVESTOR REPORT QUARTER ENDING AUGUST 2007</v>
      </c>
      <c r="C203" s="107"/>
      <c r="D203" s="107"/>
      <c r="E203" s="107"/>
      <c r="F203" s="107"/>
      <c r="G203" s="107"/>
      <c r="H203" s="107"/>
      <c r="I203" s="107"/>
      <c r="J203" s="107"/>
      <c r="K203" s="107"/>
      <c r="L203" s="107"/>
      <c r="M203" s="107"/>
      <c r="N203" s="107"/>
      <c r="O203" s="107"/>
      <c r="P203" s="107"/>
      <c r="Q203" s="107"/>
      <c r="R203" s="107"/>
      <c r="S203" s="107"/>
      <c r="T203" s="107"/>
      <c r="U203" s="107"/>
      <c r="V203" s="107"/>
      <c r="W203" s="108"/>
      <c r="X203" s="5"/>
    </row>
    <row r="204" spans="1:24" ht="15.6" x14ac:dyDescent="0.3">
      <c r="A204" s="67"/>
      <c r="B204" s="60" t="s">
        <v>70</v>
      </c>
      <c r="C204" s="68"/>
      <c r="D204" s="68"/>
      <c r="E204" s="68"/>
      <c r="F204" s="68"/>
      <c r="G204" s="69"/>
      <c r="H204" s="69"/>
      <c r="I204" s="69"/>
      <c r="J204" s="69"/>
      <c r="K204" s="69"/>
      <c r="L204" s="69"/>
      <c r="M204" s="69"/>
      <c r="N204" s="69"/>
      <c r="O204" s="69"/>
      <c r="P204" s="69"/>
      <c r="Q204" s="69"/>
      <c r="R204" s="69"/>
      <c r="S204" s="69"/>
      <c r="T204" s="70">
        <v>39325</v>
      </c>
      <c r="U204" s="4"/>
      <c r="V204" s="4"/>
      <c r="W204" s="4"/>
      <c r="X204" s="5"/>
    </row>
    <row r="205" spans="1:24" ht="15.6" x14ac:dyDescent="0.3">
      <c r="A205" s="71"/>
      <c r="B205" s="72"/>
      <c r="C205" s="73"/>
      <c r="D205" s="73"/>
      <c r="E205" s="73"/>
      <c r="F205" s="73"/>
      <c r="G205" s="74"/>
      <c r="H205" s="74"/>
      <c r="I205" s="74"/>
      <c r="J205" s="74"/>
      <c r="K205" s="74"/>
      <c r="L205" s="74"/>
      <c r="M205" s="74"/>
      <c r="N205" s="74"/>
      <c r="O205" s="74"/>
      <c r="P205" s="74"/>
      <c r="Q205" s="74"/>
      <c r="R205" s="74"/>
      <c r="S205" s="74"/>
      <c r="T205" s="74"/>
      <c r="U205" s="8"/>
      <c r="V205" s="8"/>
      <c r="W205" s="8"/>
      <c r="X205" s="5"/>
    </row>
    <row r="206" spans="1:24" ht="15.6" x14ac:dyDescent="0.3">
      <c r="A206" s="75"/>
      <c r="B206" s="76" t="s">
        <v>71</v>
      </c>
      <c r="C206" s="77"/>
      <c r="D206" s="77"/>
      <c r="E206" s="77"/>
      <c r="F206" s="77"/>
      <c r="G206" s="64"/>
      <c r="H206" s="64"/>
      <c r="I206" s="64"/>
      <c r="J206" s="64"/>
      <c r="K206" s="64"/>
      <c r="L206" s="64"/>
      <c r="M206" s="64"/>
      <c r="N206" s="64"/>
      <c r="O206" s="64"/>
      <c r="P206" s="64"/>
      <c r="Q206" s="64"/>
      <c r="R206" s="64"/>
      <c r="S206" s="64"/>
      <c r="T206" s="78">
        <v>5.2819999999999999E-2</v>
      </c>
      <c r="U206" s="25"/>
      <c r="V206" s="25"/>
      <c r="W206" s="25"/>
      <c r="X206" s="5"/>
    </row>
    <row r="207" spans="1:24" ht="15.6" x14ac:dyDescent="0.3">
      <c r="A207" s="75"/>
      <c r="B207" s="76" t="s">
        <v>151</v>
      </c>
      <c r="C207" s="77"/>
      <c r="D207" s="77"/>
      <c r="E207" s="77"/>
      <c r="F207" s="77"/>
      <c r="G207" s="64"/>
      <c r="H207" s="64"/>
      <c r="I207" s="64"/>
      <c r="J207" s="64"/>
      <c r="K207" s="64"/>
      <c r="L207" s="64"/>
      <c r="M207" s="64"/>
      <c r="N207" s="64"/>
      <c r="O207" s="64"/>
      <c r="P207" s="64"/>
      <c r="Q207" s="64"/>
      <c r="R207" s="64"/>
      <c r="S207" s="64"/>
      <c r="T207" s="39">
        <f>+V43</f>
        <v>5.7827485473329894E-2</v>
      </c>
      <c r="U207" s="25"/>
      <c r="V207" s="25"/>
      <c r="W207" s="25"/>
      <c r="X207" s="5"/>
    </row>
    <row r="208" spans="1:24" ht="15.6" x14ac:dyDescent="0.3">
      <c r="A208" s="75"/>
      <c r="B208" s="76" t="s">
        <v>72</v>
      </c>
      <c r="C208" s="77"/>
      <c r="D208" s="77"/>
      <c r="E208" s="77"/>
      <c r="F208" s="77"/>
      <c r="G208" s="64"/>
      <c r="H208" s="64"/>
      <c r="I208" s="64"/>
      <c r="J208" s="64"/>
      <c r="K208" s="64"/>
      <c r="L208" s="64"/>
      <c r="M208" s="64"/>
      <c r="N208" s="64"/>
      <c r="O208" s="64"/>
      <c r="P208" s="64"/>
      <c r="Q208" s="64"/>
      <c r="R208" s="64"/>
      <c r="S208" s="64"/>
      <c r="T208" s="78">
        <f>T206-T207</f>
        <v>-5.0074854733298951E-3</v>
      </c>
      <c r="U208" s="25"/>
      <c r="V208" s="25"/>
      <c r="W208" s="25"/>
      <c r="X208" s="5"/>
    </row>
    <row r="209" spans="1:24" ht="15.6" x14ac:dyDescent="0.3">
      <c r="A209" s="75"/>
      <c r="B209" s="76" t="s">
        <v>73</v>
      </c>
      <c r="C209" s="77"/>
      <c r="D209" s="77"/>
      <c r="E209" s="77"/>
      <c r="F209" s="77"/>
      <c r="G209" s="64"/>
      <c r="H209" s="64"/>
      <c r="I209" s="64"/>
      <c r="J209" s="64"/>
      <c r="K209" s="64"/>
      <c r="L209" s="64"/>
      <c r="M209" s="64"/>
      <c r="N209" s="64"/>
      <c r="O209" s="64"/>
      <c r="P209" s="64"/>
      <c r="Q209" s="64"/>
      <c r="R209" s="64"/>
      <c r="S209" s="64"/>
      <c r="T209" s="78">
        <v>5.4129999999999998E-2</v>
      </c>
      <c r="U209" s="25"/>
      <c r="V209" s="25"/>
      <c r="W209" s="25"/>
      <c r="X209" s="5"/>
    </row>
    <row r="210" spans="1:24" ht="15.6" x14ac:dyDescent="0.3">
      <c r="A210" s="75"/>
      <c r="B210" s="76" t="s">
        <v>219</v>
      </c>
      <c r="C210" s="77"/>
      <c r="D210" s="77"/>
      <c r="E210" s="77"/>
      <c r="F210" s="77"/>
      <c r="G210" s="64"/>
      <c r="H210" s="64"/>
      <c r="I210" s="64"/>
      <c r="J210" s="64"/>
      <c r="K210" s="64"/>
      <c r="L210" s="64"/>
      <c r="M210" s="64"/>
      <c r="N210" s="64"/>
      <c r="O210" s="64"/>
      <c r="P210" s="64"/>
      <c r="Q210" s="64"/>
      <c r="R210" s="64"/>
      <c r="S210" s="64"/>
      <c r="T210" s="78">
        <f>V43</f>
        <v>5.7827485473329894E-2</v>
      </c>
      <c r="U210" s="25"/>
      <c r="V210" s="25"/>
      <c r="W210" s="25"/>
      <c r="X210" s="5"/>
    </row>
    <row r="211" spans="1:24" ht="15.6" x14ac:dyDescent="0.3">
      <c r="A211" s="75"/>
      <c r="B211" s="76" t="s">
        <v>74</v>
      </c>
      <c r="C211" s="77"/>
      <c r="D211" s="77"/>
      <c r="E211" s="77"/>
      <c r="F211" s="77"/>
      <c r="G211" s="64"/>
      <c r="H211" s="64"/>
      <c r="I211" s="64"/>
      <c r="J211" s="64"/>
      <c r="K211" s="64"/>
      <c r="L211" s="64"/>
      <c r="M211" s="64"/>
      <c r="N211" s="64"/>
      <c r="O211" s="64"/>
      <c r="P211" s="64"/>
      <c r="Q211" s="64"/>
      <c r="R211" s="64"/>
      <c r="S211" s="64"/>
      <c r="T211" s="78">
        <f>T209-T210</f>
        <v>-3.6974854733298965E-3</v>
      </c>
      <c r="U211" s="25"/>
      <c r="V211" s="25"/>
      <c r="W211" s="25"/>
      <c r="X211" s="5"/>
    </row>
    <row r="212" spans="1:24" ht="15.6" x14ac:dyDescent="0.3">
      <c r="A212" s="75"/>
      <c r="B212" s="76" t="s">
        <v>242</v>
      </c>
      <c r="C212" s="77"/>
      <c r="D212" s="77"/>
      <c r="E212" s="77"/>
      <c r="F212" s="77"/>
      <c r="G212" s="64"/>
      <c r="H212" s="64"/>
      <c r="I212" s="64"/>
      <c r="J212" s="64"/>
      <c r="K212" s="64"/>
      <c r="L212" s="64"/>
      <c r="M212" s="64"/>
      <c r="N212" s="64"/>
      <c r="O212" s="64"/>
      <c r="P212" s="64"/>
      <c r="Q212" s="64"/>
      <c r="R212" s="64"/>
      <c r="S212" s="64"/>
      <c r="T212" s="78">
        <f>(+V101+V103)/L72</f>
        <v>3.700854036596634E-2</v>
      </c>
      <c r="U212" s="25"/>
      <c r="V212" s="25"/>
      <c r="W212" s="25"/>
      <c r="X212" s="5"/>
    </row>
    <row r="213" spans="1:24" ht="15.6" x14ac:dyDescent="0.3">
      <c r="A213" s="75"/>
      <c r="B213" s="76" t="s">
        <v>208</v>
      </c>
      <c r="C213" s="77"/>
      <c r="D213" s="77"/>
      <c r="E213" s="77"/>
      <c r="F213" s="77"/>
      <c r="G213" s="64"/>
      <c r="H213" s="64"/>
      <c r="I213" s="64"/>
      <c r="J213" s="64"/>
      <c r="K213" s="64"/>
      <c r="L213" s="64"/>
      <c r="M213" s="64"/>
      <c r="N213" s="64"/>
      <c r="O213" s="64"/>
      <c r="P213" s="64"/>
      <c r="Q213" s="64"/>
      <c r="R213" s="64"/>
      <c r="S213" s="64"/>
      <c r="T213" s="129">
        <v>51014</v>
      </c>
      <c r="U213" s="25"/>
      <c r="V213" s="25"/>
      <c r="W213" s="25"/>
      <c r="X213" s="5"/>
    </row>
    <row r="214" spans="1:24" ht="15.6" x14ac:dyDescent="0.3">
      <c r="A214" s="75"/>
      <c r="B214" s="76" t="s">
        <v>209</v>
      </c>
      <c r="C214" s="77"/>
      <c r="D214" s="77"/>
      <c r="E214" s="77"/>
      <c r="F214" s="77"/>
      <c r="G214" s="64"/>
      <c r="H214" s="64"/>
      <c r="I214" s="64"/>
      <c r="J214" s="64"/>
      <c r="K214" s="64"/>
      <c r="L214" s="64"/>
      <c r="M214" s="64"/>
      <c r="N214" s="64"/>
      <c r="O214" s="64"/>
      <c r="P214" s="64"/>
      <c r="Q214" s="64"/>
      <c r="R214" s="64"/>
      <c r="S214" s="64"/>
      <c r="T214" s="129">
        <v>51014</v>
      </c>
      <c r="U214" s="25"/>
      <c r="V214" s="25"/>
      <c r="W214" s="25"/>
      <c r="X214" s="5"/>
    </row>
    <row r="215" spans="1:24" ht="15.6" x14ac:dyDescent="0.3">
      <c r="A215" s="75"/>
      <c r="B215" s="76" t="s">
        <v>210</v>
      </c>
      <c r="C215" s="77"/>
      <c r="D215" s="77"/>
      <c r="E215" s="77"/>
      <c r="F215" s="77"/>
      <c r="G215" s="64"/>
      <c r="H215" s="64"/>
      <c r="I215" s="64"/>
      <c r="J215" s="64"/>
      <c r="K215" s="64"/>
      <c r="L215" s="64"/>
      <c r="M215" s="64"/>
      <c r="N215" s="64"/>
      <c r="O215" s="64"/>
      <c r="P215" s="64"/>
      <c r="Q215" s="64"/>
      <c r="R215" s="64"/>
      <c r="S215" s="64"/>
      <c r="T215" s="129">
        <v>51014</v>
      </c>
      <c r="U215" s="25"/>
      <c r="V215" s="25"/>
      <c r="W215" s="25"/>
      <c r="X215" s="5"/>
    </row>
    <row r="216" spans="1:24" ht="15.6" x14ac:dyDescent="0.3">
      <c r="A216" s="75"/>
      <c r="B216" s="76" t="s">
        <v>75</v>
      </c>
      <c r="C216" s="77"/>
      <c r="D216" s="77"/>
      <c r="E216" s="77"/>
      <c r="F216" s="77"/>
      <c r="G216" s="64"/>
      <c r="H216" s="64"/>
      <c r="I216" s="64"/>
      <c r="J216" s="64"/>
      <c r="K216" s="64"/>
      <c r="L216" s="64"/>
      <c r="M216" s="64"/>
      <c r="N216" s="64"/>
      <c r="O216" s="64"/>
      <c r="P216" s="64"/>
      <c r="Q216" s="64"/>
      <c r="R216" s="64"/>
      <c r="S216" s="64"/>
      <c r="T216" s="133">
        <v>20.66</v>
      </c>
      <c r="U216" s="25" t="s">
        <v>110</v>
      </c>
      <c r="V216" s="25"/>
      <c r="W216" s="25"/>
      <c r="X216" s="5"/>
    </row>
    <row r="217" spans="1:24" ht="15.6" x14ac:dyDescent="0.3">
      <c r="A217" s="75"/>
      <c r="B217" s="76" t="s">
        <v>76</v>
      </c>
      <c r="C217" s="77"/>
      <c r="D217" s="77"/>
      <c r="E217" s="77"/>
      <c r="F217" s="77"/>
      <c r="G217" s="64"/>
      <c r="H217" s="64"/>
      <c r="I217" s="64"/>
      <c r="J217" s="64"/>
      <c r="K217" s="64"/>
      <c r="L217" s="64"/>
      <c r="M217" s="64"/>
      <c r="N217" s="64"/>
      <c r="O217" s="64"/>
      <c r="P217" s="64"/>
      <c r="Q217" s="64"/>
      <c r="R217" s="64"/>
      <c r="S217" s="64"/>
      <c r="T217" s="133">
        <v>20.82</v>
      </c>
      <c r="U217" s="25" t="s">
        <v>110</v>
      </c>
      <c r="V217" s="25"/>
      <c r="W217" s="25"/>
      <c r="X217" s="5"/>
    </row>
    <row r="218" spans="1:24" ht="15.6" x14ac:dyDescent="0.3">
      <c r="A218" s="75"/>
      <c r="B218" s="76" t="s">
        <v>77</v>
      </c>
      <c r="C218" s="77"/>
      <c r="D218" s="77"/>
      <c r="E218" s="77"/>
      <c r="F218" s="77"/>
      <c r="G218" s="64"/>
      <c r="H218" s="64"/>
      <c r="I218" s="64"/>
      <c r="J218" s="64"/>
      <c r="K218" s="64"/>
      <c r="L218" s="64"/>
      <c r="M218" s="64"/>
      <c r="N218" s="64"/>
      <c r="O218" s="64"/>
      <c r="P218" s="64"/>
      <c r="Q218" s="64"/>
      <c r="R218" s="64"/>
      <c r="S218" s="64"/>
      <c r="T218" s="78">
        <v>2.7400000000000001E-2</v>
      </c>
      <c r="U218" s="25"/>
      <c r="V218" s="25"/>
      <c r="W218" s="25"/>
      <c r="X218" s="5"/>
    </row>
    <row r="219" spans="1:24" ht="15.6" x14ac:dyDescent="0.3">
      <c r="A219" s="75"/>
      <c r="B219" s="76" t="s">
        <v>78</v>
      </c>
      <c r="C219" s="77"/>
      <c r="D219" s="77"/>
      <c r="E219" s="77"/>
      <c r="F219" s="77"/>
      <c r="G219" s="64"/>
      <c r="H219" s="64"/>
      <c r="I219" s="64"/>
      <c r="J219" s="64"/>
      <c r="K219" s="64"/>
      <c r="L219" s="64"/>
      <c r="M219" s="64"/>
      <c r="N219" s="64"/>
      <c r="O219" s="64"/>
      <c r="P219" s="64"/>
      <c r="Q219" s="64"/>
      <c r="R219" s="64"/>
      <c r="S219" s="64"/>
      <c r="T219" s="78">
        <v>6.0299999999999999E-2</v>
      </c>
      <c r="U219" s="25"/>
      <c r="V219" s="25"/>
      <c r="W219" s="25"/>
      <c r="X219" s="5"/>
    </row>
    <row r="220" spans="1:24" ht="15.6" x14ac:dyDescent="0.3">
      <c r="A220" s="75"/>
      <c r="B220" s="76"/>
      <c r="C220" s="76"/>
      <c r="D220" s="76"/>
      <c r="E220" s="76"/>
      <c r="F220" s="76"/>
      <c r="G220" s="25"/>
      <c r="H220" s="25"/>
      <c r="I220" s="25"/>
      <c r="J220" s="25"/>
      <c r="K220" s="25"/>
      <c r="L220" s="25"/>
      <c r="M220" s="25"/>
      <c r="N220" s="25"/>
      <c r="O220" s="25"/>
      <c r="P220" s="25"/>
      <c r="Q220" s="25"/>
      <c r="R220" s="25"/>
      <c r="S220" s="25"/>
      <c r="T220" s="61"/>
      <c r="U220" s="25"/>
      <c r="V220" s="79"/>
      <c r="W220" s="25"/>
      <c r="X220" s="5"/>
    </row>
    <row r="221" spans="1:24" ht="15.6" x14ac:dyDescent="0.3">
      <c r="A221" s="80"/>
      <c r="B221" s="14" t="s">
        <v>79</v>
      </c>
      <c r="C221" s="81"/>
      <c r="D221" s="81"/>
      <c r="E221" s="81"/>
      <c r="F221" s="82"/>
      <c r="G221" s="81"/>
      <c r="H221" s="17"/>
      <c r="I221" s="17"/>
      <c r="J221" s="17"/>
      <c r="K221" s="17"/>
      <c r="L221" s="17"/>
      <c r="M221" s="17"/>
      <c r="N221" s="17"/>
      <c r="O221" s="17"/>
      <c r="P221" s="17"/>
      <c r="Q221" s="17"/>
      <c r="R221" s="17"/>
      <c r="S221" s="17" t="s">
        <v>102</v>
      </c>
      <c r="T221" s="83" t="s">
        <v>108</v>
      </c>
      <c r="U221" s="8"/>
      <c r="V221" s="8"/>
      <c r="W221" s="8"/>
      <c r="X221" s="5"/>
    </row>
    <row r="222" spans="1:24" ht="15.6" x14ac:dyDescent="0.3">
      <c r="A222" s="84"/>
      <c r="B222" s="76" t="s">
        <v>80</v>
      </c>
      <c r="C222" s="54"/>
      <c r="D222" s="54"/>
      <c r="E222" s="54"/>
      <c r="F222" s="25"/>
      <c r="G222" s="25"/>
      <c r="H222" s="30"/>
      <c r="I222" s="30"/>
      <c r="J222" s="30"/>
      <c r="K222" s="30"/>
      <c r="L222" s="30"/>
      <c r="M222" s="30"/>
      <c r="N222" s="30"/>
      <c r="O222" s="30"/>
      <c r="P222" s="30"/>
      <c r="Q222" s="30"/>
      <c r="R222" s="30"/>
      <c r="S222" s="30">
        <v>0</v>
      </c>
      <c r="T222" s="85">
        <v>0</v>
      </c>
      <c r="U222" s="25"/>
      <c r="V222" s="79"/>
      <c r="W222" s="86"/>
      <c r="X222" s="5"/>
    </row>
    <row r="223" spans="1:24" ht="15.6" x14ac:dyDescent="0.3">
      <c r="A223" s="84"/>
      <c r="B223" s="76" t="s">
        <v>145</v>
      </c>
      <c r="C223" s="54"/>
      <c r="D223" s="54"/>
      <c r="E223" s="54"/>
      <c r="F223" s="25"/>
      <c r="G223" s="25"/>
      <c r="H223" s="30"/>
      <c r="I223" s="30"/>
      <c r="J223" s="30"/>
      <c r="K223" s="30"/>
      <c r="L223" s="30"/>
      <c r="M223" s="30"/>
      <c r="N223" s="30"/>
      <c r="O223" s="30"/>
      <c r="P223" s="30"/>
      <c r="Q223" s="30"/>
      <c r="R223" s="30"/>
      <c r="S223" s="150">
        <f>+R263</f>
        <v>4</v>
      </c>
      <c r="T223" s="85">
        <f>+T263</f>
        <v>857</v>
      </c>
      <c r="U223" s="25"/>
      <c r="V223" s="79"/>
      <c r="W223" s="86"/>
      <c r="X223" s="5"/>
    </row>
    <row r="224" spans="1:24" ht="15.6" x14ac:dyDescent="0.3">
      <c r="A224" s="84"/>
      <c r="B224" s="76" t="s">
        <v>81</v>
      </c>
      <c r="C224" s="54"/>
      <c r="D224" s="54"/>
      <c r="E224" s="54"/>
      <c r="F224" s="25"/>
      <c r="G224" s="25"/>
      <c r="H224" s="30"/>
      <c r="I224" s="30"/>
      <c r="J224" s="30"/>
      <c r="K224" s="30"/>
      <c r="L224" s="30"/>
      <c r="M224" s="30"/>
      <c r="N224" s="30"/>
      <c r="O224" s="30"/>
      <c r="P224" s="30"/>
      <c r="Q224" s="30"/>
      <c r="R224" s="30"/>
      <c r="S224" s="30">
        <v>0</v>
      </c>
      <c r="T224" s="85">
        <v>0</v>
      </c>
      <c r="U224" s="25"/>
      <c r="V224" s="79"/>
      <c r="W224" s="86"/>
      <c r="X224" s="5"/>
    </row>
    <row r="225" spans="1:24" ht="15.6" x14ac:dyDescent="0.3">
      <c r="A225" s="84"/>
      <c r="B225" s="122" t="s">
        <v>82</v>
      </c>
      <c r="C225" s="54"/>
      <c r="D225" s="54"/>
      <c r="E225" s="54"/>
      <c r="F225" s="25"/>
      <c r="G225" s="25"/>
      <c r="H225" s="25"/>
      <c r="I225" s="25"/>
      <c r="J225" s="25"/>
      <c r="K225" s="25"/>
      <c r="L225" s="25"/>
      <c r="M225" s="25"/>
      <c r="N225" s="25"/>
      <c r="O225" s="25"/>
      <c r="P225" s="25"/>
      <c r="Q225" s="25"/>
      <c r="R225" s="25"/>
      <c r="S225" s="25"/>
      <c r="T225" s="85">
        <v>0</v>
      </c>
      <c r="U225" s="25"/>
      <c r="V225" s="79"/>
      <c r="W225" s="86"/>
      <c r="X225" s="5"/>
    </row>
    <row r="226" spans="1:24" ht="15.6" x14ac:dyDescent="0.3">
      <c r="A226" s="84"/>
      <c r="B226" s="122" t="s">
        <v>243</v>
      </c>
      <c r="C226" s="54"/>
      <c r="D226" s="54"/>
      <c r="E226" s="54"/>
      <c r="F226" s="25"/>
      <c r="G226" s="25"/>
      <c r="H226" s="25"/>
      <c r="I226" s="25"/>
      <c r="J226" s="25"/>
      <c r="K226" s="25"/>
      <c r="L226" s="25"/>
      <c r="M226" s="25"/>
      <c r="N226" s="25"/>
      <c r="O226" s="25"/>
      <c r="P226" s="25"/>
      <c r="Q226" s="25"/>
      <c r="R226" s="25"/>
      <c r="S226" s="25"/>
      <c r="T226" s="85">
        <f>+N82</f>
        <v>342245</v>
      </c>
      <c r="U226" s="25"/>
      <c r="V226" s="79"/>
      <c r="W226" s="86"/>
      <c r="X226" s="5"/>
    </row>
    <row r="227" spans="1:24" ht="15.6" x14ac:dyDescent="0.3">
      <c r="A227" s="87"/>
      <c r="B227" s="122" t="s">
        <v>83</v>
      </c>
      <c r="C227" s="76"/>
      <c r="D227" s="76"/>
      <c r="E227" s="76"/>
      <c r="F227" s="76"/>
      <c r="G227" s="25"/>
      <c r="H227" s="25"/>
      <c r="I227" s="25"/>
      <c r="J227" s="25"/>
      <c r="K227" s="25"/>
      <c r="L227" s="25"/>
      <c r="M227" s="25"/>
      <c r="N227" s="25"/>
      <c r="O227" s="25"/>
      <c r="P227" s="25"/>
      <c r="Q227" s="25"/>
      <c r="R227" s="25"/>
      <c r="S227" s="25"/>
      <c r="T227" s="85"/>
      <c r="U227" s="25"/>
      <c r="V227" s="79"/>
      <c r="W227" s="88"/>
      <c r="X227" s="5"/>
    </row>
    <row r="228" spans="1:24" ht="15.6" x14ac:dyDescent="0.3">
      <c r="A228" s="87"/>
      <c r="B228" s="131" t="s">
        <v>84</v>
      </c>
      <c r="C228" s="76"/>
      <c r="D228" s="76"/>
      <c r="E228" s="76"/>
      <c r="F228" s="76"/>
      <c r="G228" s="25"/>
      <c r="H228" s="25"/>
      <c r="I228" s="25"/>
      <c r="J228" s="25"/>
      <c r="K228" s="25"/>
      <c r="L228" s="25"/>
      <c r="M228" s="25"/>
      <c r="N228" s="25"/>
      <c r="O228" s="25"/>
      <c r="P228" s="25"/>
      <c r="Q228" s="25"/>
      <c r="R228" s="25"/>
      <c r="S228" s="30"/>
      <c r="T228" s="85">
        <f>V167</f>
        <v>5</v>
      </c>
      <c r="U228" s="25"/>
      <c r="V228" s="79"/>
      <c r="W228" s="88"/>
      <c r="X228" s="5"/>
    </row>
    <row r="229" spans="1:24" ht="15.6" x14ac:dyDescent="0.3">
      <c r="A229" s="84"/>
      <c r="B229" s="76" t="s">
        <v>85</v>
      </c>
      <c r="C229" s="54"/>
      <c r="D229" s="54"/>
      <c r="E229" s="54"/>
      <c r="F229" s="54"/>
      <c r="G229" s="25"/>
      <c r="H229" s="25"/>
      <c r="I229" s="25"/>
      <c r="J229" s="25"/>
      <c r="K229" s="25"/>
      <c r="L229" s="25"/>
      <c r="M229" s="25"/>
      <c r="N229" s="25"/>
      <c r="O229" s="25"/>
      <c r="P229" s="25"/>
      <c r="Q229" s="25"/>
      <c r="R229" s="25"/>
      <c r="S229" s="30"/>
      <c r="T229" s="85">
        <f>+T228</f>
        <v>5</v>
      </c>
      <c r="U229" s="25"/>
      <c r="V229" s="79"/>
      <c r="W229" s="88"/>
      <c r="X229" s="5"/>
    </row>
    <row r="230" spans="1:24" ht="15.6" x14ac:dyDescent="0.3">
      <c r="A230" s="87"/>
      <c r="B230" s="122" t="s">
        <v>295</v>
      </c>
      <c r="C230" s="76"/>
      <c r="D230" s="76"/>
      <c r="E230" s="76"/>
      <c r="F230" s="76"/>
      <c r="G230" s="25"/>
      <c r="H230" s="25"/>
      <c r="I230" s="25"/>
      <c r="J230" s="25"/>
      <c r="K230" s="25"/>
      <c r="L230" s="25"/>
      <c r="M230" s="25"/>
      <c r="N230" s="25"/>
      <c r="O230" s="25"/>
      <c r="P230" s="25"/>
      <c r="Q230" s="25"/>
      <c r="R230" s="25"/>
      <c r="S230" s="30"/>
      <c r="T230" s="85"/>
      <c r="U230" s="25"/>
      <c r="V230" s="79"/>
      <c r="W230" s="88"/>
      <c r="X230" s="5"/>
    </row>
    <row r="231" spans="1:24" ht="15.6" x14ac:dyDescent="0.3">
      <c r="A231" s="87"/>
      <c r="B231" s="76" t="s">
        <v>291</v>
      </c>
      <c r="C231" s="76"/>
      <c r="D231" s="76"/>
      <c r="E231" s="76"/>
      <c r="F231" s="76"/>
      <c r="G231" s="25"/>
      <c r="H231" s="25"/>
      <c r="I231" s="25"/>
      <c r="J231" s="25"/>
      <c r="K231" s="25"/>
      <c r="L231" s="25"/>
      <c r="M231" s="25"/>
      <c r="N231" s="25"/>
      <c r="O231" s="25"/>
      <c r="P231" s="25"/>
      <c r="Q231" s="25"/>
      <c r="R231" s="25"/>
      <c r="S231" s="30">
        <v>0</v>
      </c>
      <c r="T231" s="85">
        <v>0</v>
      </c>
      <c r="U231" s="25"/>
      <c r="V231" s="79"/>
      <c r="W231" s="88"/>
      <c r="X231" s="5"/>
    </row>
    <row r="232" spans="1:24" ht="15.6" x14ac:dyDescent="0.3">
      <c r="A232" s="84"/>
      <c r="B232" s="76" t="s">
        <v>86</v>
      </c>
      <c r="C232" s="89"/>
      <c r="D232" s="89"/>
      <c r="E232" s="89"/>
      <c r="F232" s="90"/>
      <c r="G232" s="25"/>
      <c r="H232" s="25"/>
      <c r="I232" s="25"/>
      <c r="J232" s="25"/>
      <c r="K232" s="25"/>
      <c r="L232" s="25"/>
      <c r="M232" s="25"/>
      <c r="N232" s="25"/>
      <c r="O232" s="25"/>
      <c r="P232" s="25"/>
      <c r="Q232" s="25"/>
      <c r="R232" s="25"/>
      <c r="S232" s="25"/>
      <c r="T232" s="62">
        <v>0</v>
      </c>
      <c r="U232" s="25"/>
      <c r="V232" s="79"/>
      <c r="W232" s="88"/>
      <c r="X232" s="5"/>
    </row>
    <row r="233" spans="1:24" ht="15.6" x14ac:dyDescent="0.3">
      <c r="A233" s="84"/>
      <c r="B233" s="76" t="s">
        <v>87</v>
      </c>
      <c r="C233" s="89"/>
      <c r="D233" s="89"/>
      <c r="E233" s="89"/>
      <c r="F233" s="90"/>
      <c r="G233" s="25"/>
      <c r="H233" s="25"/>
      <c r="I233" s="25"/>
      <c r="J233" s="25"/>
      <c r="K233" s="25"/>
      <c r="L233" s="25"/>
      <c r="M233" s="25"/>
      <c r="N233" s="25"/>
      <c r="O233" s="25"/>
      <c r="P233" s="25"/>
      <c r="Q233" s="25"/>
      <c r="R233" s="25"/>
      <c r="S233" s="25"/>
      <c r="T233" s="62">
        <v>0</v>
      </c>
      <c r="U233" s="25"/>
      <c r="V233" s="79"/>
      <c r="W233" s="88"/>
      <c r="X233" s="5"/>
    </row>
    <row r="234" spans="1:24" ht="15.6" x14ac:dyDescent="0.3">
      <c r="A234" s="84"/>
      <c r="B234" s="122" t="s">
        <v>217</v>
      </c>
      <c r="C234" s="89"/>
      <c r="D234" s="89"/>
      <c r="E234" s="89"/>
      <c r="F234" s="90"/>
      <c r="G234" s="25"/>
      <c r="H234" s="25"/>
      <c r="I234" s="25"/>
      <c r="J234" s="25"/>
      <c r="K234" s="25"/>
      <c r="L234" s="25"/>
      <c r="M234" s="25"/>
      <c r="N234" s="25"/>
      <c r="O234" s="25"/>
      <c r="P234" s="25"/>
      <c r="Q234" s="25"/>
      <c r="R234" s="25"/>
      <c r="S234" s="25"/>
      <c r="T234" s="91"/>
      <c r="U234" s="25"/>
      <c r="V234" s="79"/>
      <c r="W234" s="88"/>
      <c r="X234" s="5"/>
    </row>
    <row r="235" spans="1:24" ht="15.6" x14ac:dyDescent="0.3">
      <c r="A235" s="84"/>
      <c r="B235" s="76" t="s">
        <v>291</v>
      </c>
      <c r="C235" s="89"/>
      <c r="D235" s="89"/>
      <c r="E235" s="89"/>
      <c r="F235" s="90"/>
      <c r="G235" s="25"/>
      <c r="H235" s="25"/>
      <c r="I235" s="25"/>
      <c r="J235" s="25"/>
      <c r="K235" s="25"/>
      <c r="L235" s="25"/>
      <c r="M235" s="25"/>
      <c r="N235" s="25"/>
      <c r="O235" s="25"/>
      <c r="P235" s="25"/>
      <c r="Q235" s="25"/>
      <c r="R235" s="25"/>
      <c r="S235" s="30">
        <v>0</v>
      </c>
      <c r="T235" s="85">
        <v>0</v>
      </c>
      <c r="U235" s="25"/>
      <c r="V235" s="79"/>
      <c r="W235" s="88"/>
      <c r="X235" s="5"/>
    </row>
    <row r="236" spans="1:24" ht="15.6" x14ac:dyDescent="0.3">
      <c r="A236" s="84"/>
      <c r="B236" s="76" t="s">
        <v>218</v>
      </c>
      <c r="C236" s="89"/>
      <c r="D236" s="89"/>
      <c r="E236" s="89"/>
      <c r="F236" s="90"/>
      <c r="G236" s="25"/>
      <c r="H236" s="25"/>
      <c r="I236" s="25"/>
      <c r="J236" s="25"/>
      <c r="K236" s="25"/>
      <c r="L236" s="25"/>
      <c r="M236" s="25"/>
      <c r="N236" s="25"/>
      <c r="O236" s="25"/>
      <c r="P236" s="25"/>
      <c r="Q236" s="25"/>
      <c r="R236" s="25"/>
      <c r="S236" s="25"/>
      <c r="T236" s="62">
        <v>0</v>
      </c>
      <c r="U236" s="25"/>
      <c r="V236" s="79"/>
      <c r="W236" s="88"/>
      <c r="X236" s="5"/>
    </row>
    <row r="237" spans="1:24" ht="15.6" x14ac:dyDescent="0.3">
      <c r="A237" s="84"/>
      <c r="B237" s="76"/>
      <c r="C237" s="89"/>
      <c r="D237" s="89"/>
      <c r="E237" s="89"/>
      <c r="F237" s="90"/>
      <c r="G237" s="25"/>
      <c r="H237" s="25"/>
      <c r="I237" s="25"/>
      <c r="J237" s="25"/>
      <c r="K237" s="25"/>
      <c r="L237" s="25"/>
      <c r="M237" s="25"/>
      <c r="N237" s="25"/>
      <c r="O237" s="25"/>
      <c r="P237" s="25"/>
      <c r="Q237" s="25"/>
      <c r="R237" s="25"/>
      <c r="S237" s="25"/>
      <c r="T237" s="91"/>
      <c r="U237" s="25"/>
      <c r="V237" s="79"/>
      <c r="W237" s="88"/>
      <c r="X237" s="5"/>
    </row>
    <row r="238" spans="1:24" ht="15.6" x14ac:dyDescent="0.3">
      <c r="A238" s="84"/>
      <c r="B238" s="76"/>
      <c r="C238" s="89"/>
      <c r="D238" s="89"/>
      <c r="E238" s="89"/>
      <c r="F238" s="90"/>
      <c r="G238" s="25"/>
      <c r="H238" s="25"/>
      <c r="I238" s="25"/>
      <c r="J238" s="25"/>
      <c r="K238" s="25"/>
      <c r="L238" s="25"/>
      <c r="M238" s="25"/>
      <c r="N238" s="25"/>
      <c r="O238" s="25"/>
      <c r="P238" s="25"/>
      <c r="Q238" s="25"/>
      <c r="R238" s="25"/>
      <c r="S238" s="25"/>
      <c r="T238" s="91"/>
      <c r="U238" s="25"/>
      <c r="V238" s="79"/>
      <c r="W238" s="88"/>
      <c r="X238" s="5"/>
    </row>
    <row r="239" spans="1:24" ht="17.399999999999999" x14ac:dyDescent="0.3">
      <c r="A239" s="84"/>
      <c r="B239" s="147" t="s">
        <v>168</v>
      </c>
      <c r="C239" s="89"/>
      <c r="D239" s="89"/>
      <c r="E239" s="89"/>
      <c r="F239" s="90"/>
      <c r="G239" s="25"/>
      <c r="H239" s="25"/>
      <c r="I239" s="25"/>
      <c r="J239" s="25"/>
      <c r="K239" s="25"/>
      <c r="L239" s="25"/>
      <c r="M239" s="25"/>
      <c r="N239" s="25"/>
      <c r="O239" s="25"/>
      <c r="P239" s="148" t="s">
        <v>167</v>
      </c>
      <c r="Q239" s="25"/>
      <c r="R239" s="25"/>
      <c r="S239" s="25"/>
      <c r="T239" s="91"/>
      <c r="U239" s="25"/>
      <c r="V239" s="79"/>
      <c r="W239" s="88"/>
      <c r="X239" s="5"/>
    </row>
    <row r="240" spans="1:24" ht="15.6" x14ac:dyDescent="0.3">
      <c r="A240" s="84"/>
      <c r="B240" s="76"/>
      <c r="C240" s="89"/>
      <c r="D240" s="89"/>
      <c r="E240" s="89"/>
      <c r="F240" s="90"/>
      <c r="G240" s="25"/>
      <c r="H240" s="25"/>
      <c r="I240" s="25"/>
      <c r="J240" s="25"/>
      <c r="K240" s="25"/>
      <c r="L240" s="25"/>
      <c r="M240" s="25"/>
      <c r="N240" s="25"/>
      <c r="O240" s="25"/>
      <c r="P240" s="25"/>
      <c r="Q240" s="25"/>
      <c r="R240" s="25"/>
      <c r="S240" s="25"/>
      <c r="T240" s="91"/>
      <c r="U240" s="25"/>
      <c r="V240" s="79"/>
      <c r="W240" s="88"/>
      <c r="X240" s="5"/>
    </row>
    <row r="241" spans="1:25" ht="15.6" x14ac:dyDescent="0.3">
      <c r="A241" s="6"/>
      <c r="B241" s="14" t="s">
        <v>162</v>
      </c>
      <c r="C241" s="81"/>
      <c r="D241" s="81"/>
      <c r="E241" s="81"/>
      <c r="F241" s="82"/>
      <c r="G241" s="81"/>
      <c r="H241" s="17"/>
      <c r="I241" s="17"/>
      <c r="J241" s="17"/>
      <c r="K241" s="17"/>
      <c r="L241" s="17"/>
      <c r="M241" s="17"/>
      <c r="N241" s="17"/>
      <c r="O241" s="17"/>
      <c r="P241" s="17"/>
      <c r="Q241" s="17"/>
      <c r="R241" s="83" t="s">
        <v>102</v>
      </c>
      <c r="S241" s="17" t="s">
        <v>103</v>
      </c>
      <c r="T241" s="83" t="s">
        <v>109</v>
      </c>
      <c r="U241" s="17" t="s">
        <v>103</v>
      </c>
      <c r="V241" s="8"/>
      <c r="W241" s="92"/>
      <c r="X241" s="5"/>
    </row>
    <row r="242" spans="1:25" ht="15.6" x14ac:dyDescent="0.3">
      <c r="A242" s="24"/>
      <c r="B242" s="54" t="s">
        <v>88</v>
      </c>
      <c r="C242" s="93"/>
      <c r="D242" s="93"/>
      <c r="E242" s="93"/>
      <c r="F242" s="25"/>
      <c r="G242" s="93"/>
      <c r="H242" s="93"/>
      <c r="I242" s="93"/>
      <c r="J242" s="93"/>
      <c r="K242" s="93"/>
      <c r="L242" s="93"/>
      <c r="M242" s="93"/>
      <c r="N242" s="93"/>
      <c r="O242" s="93"/>
      <c r="P242" s="93"/>
      <c r="Q242" s="93"/>
      <c r="R242" s="54">
        <v>10109</v>
      </c>
      <c r="S242" s="94">
        <f t="shared" ref="S242:S249" si="1">R242/$R$251</f>
        <v>0.99713947524166502</v>
      </c>
      <c r="T242" s="53">
        <v>1466186</v>
      </c>
      <c r="U242" s="132">
        <f t="shared" ref="U242:U249" si="2">T242/$T$251</f>
        <v>0.99714360718886064</v>
      </c>
      <c r="V242" s="79"/>
      <c r="W242" s="88"/>
      <c r="X242" s="5"/>
    </row>
    <row r="243" spans="1:25" ht="15.6" x14ac:dyDescent="0.3">
      <c r="A243" s="24"/>
      <c r="B243" s="54" t="s">
        <v>89</v>
      </c>
      <c r="C243" s="93"/>
      <c r="D243" s="93"/>
      <c r="E243" s="93"/>
      <c r="F243" s="25"/>
      <c r="G243" s="94"/>
      <c r="H243" s="93"/>
      <c r="I243" s="93"/>
      <c r="J243" s="93"/>
      <c r="K243" s="93"/>
      <c r="L243" s="93"/>
      <c r="M243" s="93"/>
      <c r="N243" s="93"/>
      <c r="O243" s="93"/>
      <c r="P243" s="93"/>
      <c r="Q243" s="93"/>
      <c r="R243" s="54">
        <v>16</v>
      </c>
      <c r="S243" s="94">
        <f t="shared" si="1"/>
        <v>1.5782205563227461E-3</v>
      </c>
      <c r="T243" s="53">
        <v>2502</v>
      </c>
      <c r="U243" s="132">
        <f t="shared" si="2"/>
        <v>1.701594003207321E-3</v>
      </c>
      <c r="V243" s="79"/>
      <c r="W243" s="88"/>
      <c r="X243" s="5"/>
      <c r="Y243" s="109"/>
    </row>
    <row r="244" spans="1:25" ht="15.6" x14ac:dyDescent="0.3">
      <c r="A244" s="24"/>
      <c r="B244" s="54" t="s">
        <v>90</v>
      </c>
      <c r="C244" s="93"/>
      <c r="D244" s="93"/>
      <c r="E244" s="93"/>
      <c r="F244" s="25"/>
      <c r="G244" s="94"/>
      <c r="H244" s="93"/>
      <c r="I244" s="93"/>
      <c r="J244" s="93"/>
      <c r="K244" s="93"/>
      <c r="L244" s="93"/>
      <c r="M244" s="93"/>
      <c r="N244" s="93"/>
      <c r="O244" s="93"/>
      <c r="P244" s="93"/>
      <c r="Q244" s="93"/>
      <c r="R244" s="54">
        <v>4</v>
      </c>
      <c r="S244" s="94">
        <f t="shared" si="1"/>
        <v>3.9455513908068652E-4</v>
      </c>
      <c r="T244" s="53">
        <v>635</v>
      </c>
      <c r="U244" s="132">
        <f t="shared" si="2"/>
        <v>4.3185938930321698E-4</v>
      </c>
      <c r="V244" s="79"/>
      <c r="W244" s="88"/>
      <c r="X244" s="5"/>
    </row>
    <row r="245" spans="1:25" ht="15.6" x14ac:dyDescent="0.3">
      <c r="A245" s="24"/>
      <c r="B245" s="54" t="s">
        <v>156</v>
      </c>
      <c r="C245" s="93"/>
      <c r="D245" s="93"/>
      <c r="E245" s="93"/>
      <c r="F245" s="25"/>
      <c r="G245" s="94"/>
      <c r="H245" s="93"/>
      <c r="I245" s="93"/>
      <c r="J245" s="93"/>
      <c r="K245" s="93"/>
      <c r="L245" s="93"/>
      <c r="M245" s="93"/>
      <c r="N245" s="93"/>
      <c r="O245" s="93"/>
      <c r="P245" s="93"/>
      <c r="Q245" s="93"/>
      <c r="R245" s="54">
        <v>3</v>
      </c>
      <c r="S245" s="94">
        <f t="shared" si="1"/>
        <v>2.9591635431051492E-4</v>
      </c>
      <c r="T245" s="53">
        <v>382</v>
      </c>
      <c r="U245" s="132">
        <f t="shared" si="2"/>
        <v>2.5979572710839194E-4</v>
      </c>
      <c r="V245" s="79"/>
      <c r="W245" s="88"/>
      <c r="X245" s="5"/>
      <c r="Y245" s="109"/>
    </row>
    <row r="246" spans="1:25" ht="15.6" x14ac:dyDescent="0.3">
      <c r="A246" s="24"/>
      <c r="B246" s="54" t="s">
        <v>157</v>
      </c>
      <c r="C246" s="93"/>
      <c r="D246" s="93"/>
      <c r="E246" s="93"/>
      <c r="F246" s="25"/>
      <c r="G246" s="94"/>
      <c r="H246" s="93"/>
      <c r="I246" s="93"/>
      <c r="J246" s="93"/>
      <c r="K246" s="93"/>
      <c r="L246" s="93"/>
      <c r="M246" s="93"/>
      <c r="N246" s="93"/>
      <c r="O246" s="93"/>
      <c r="P246" s="93"/>
      <c r="Q246" s="93"/>
      <c r="R246" s="54">
        <v>0</v>
      </c>
      <c r="S246" s="94">
        <f t="shared" si="1"/>
        <v>0</v>
      </c>
      <c r="T246" s="53">
        <v>0</v>
      </c>
      <c r="U246" s="132">
        <f t="shared" si="2"/>
        <v>0</v>
      </c>
      <c r="V246" s="79"/>
      <c r="W246" s="88"/>
      <c r="X246" s="5"/>
    </row>
    <row r="247" spans="1:25" ht="15.6" x14ac:dyDescent="0.3">
      <c r="A247" s="24"/>
      <c r="B247" s="54" t="s">
        <v>158</v>
      </c>
      <c r="C247" s="93"/>
      <c r="D247" s="93"/>
      <c r="E247" s="93"/>
      <c r="F247" s="25"/>
      <c r="G247" s="94"/>
      <c r="H247" s="93"/>
      <c r="I247" s="93"/>
      <c r="J247" s="93"/>
      <c r="K247" s="93"/>
      <c r="L247" s="93"/>
      <c r="M247" s="93"/>
      <c r="N247" s="93"/>
      <c r="O247" s="93"/>
      <c r="P247" s="93"/>
      <c r="Q247" s="93"/>
      <c r="R247" s="54">
        <v>0</v>
      </c>
      <c r="S247" s="94">
        <f t="shared" si="1"/>
        <v>0</v>
      </c>
      <c r="T247" s="53">
        <v>0</v>
      </c>
      <c r="U247" s="132">
        <f t="shared" si="2"/>
        <v>0</v>
      </c>
      <c r="V247" s="79"/>
      <c r="W247" s="88"/>
      <c r="X247" s="5"/>
      <c r="Y247" s="109"/>
    </row>
    <row r="248" spans="1:25" ht="15.6" x14ac:dyDescent="0.3">
      <c r="A248" s="24"/>
      <c r="B248" s="54" t="s">
        <v>159</v>
      </c>
      <c r="C248" s="93"/>
      <c r="D248" s="93"/>
      <c r="E248" s="93"/>
      <c r="F248" s="25"/>
      <c r="G248" s="94"/>
      <c r="H248" s="93"/>
      <c r="I248" s="93"/>
      <c r="J248" s="93"/>
      <c r="K248" s="93"/>
      <c r="L248" s="93"/>
      <c r="M248" s="93"/>
      <c r="N248" s="93"/>
      <c r="O248" s="93"/>
      <c r="P248" s="93"/>
      <c r="Q248" s="93"/>
      <c r="R248" s="54">
        <v>6</v>
      </c>
      <c r="S248" s="94">
        <f t="shared" si="1"/>
        <v>5.9183270862102984E-4</v>
      </c>
      <c r="T248" s="53">
        <v>681</v>
      </c>
      <c r="U248" s="132">
        <f t="shared" si="2"/>
        <v>4.6314369152045787E-4</v>
      </c>
      <c r="V248" s="79"/>
      <c r="W248" s="88"/>
      <c r="X248" s="5"/>
    </row>
    <row r="249" spans="1:25" ht="15.6" x14ac:dyDescent="0.3">
      <c r="A249" s="24"/>
      <c r="B249" s="54" t="s">
        <v>160</v>
      </c>
      <c r="C249" s="93"/>
      <c r="D249" s="93"/>
      <c r="E249" s="93"/>
      <c r="F249" s="25"/>
      <c r="G249" s="94"/>
      <c r="H249" s="93"/>
      <c r="I249" s="93"/>
      <c r="J249" s="93"/>
      <c r="K249" s="93"/>
      <c r="L249" s="93"/>
      <c r="M249" s="93"/>
      <c r="N249" s="93"/>
      <c r="O249" s="93"/>
      <c r="P249" s="93"/>
      <c r="Q249" s="93"/>
      <c r="R249" s="54">
        <v>0</v>
      </c>
      <c r="S249" s="94">
        <f t="shared" si="1"/>
        <v>0</v>
      </c>
      <c r="T249" s="53">
        <v>0</v>
      </c>
      <c r="U249" s="132">
        <f t="shared" si="2"/>
        <v>0</v>
      </c>
      <c r="V249" s="79"/>
      <c r="W249" s="88"/>
      <c r="X249" s="5"/>
      <c r="Y249" s="109"/>
    </row>
    <row r="250" spans="1:25" ht="15.6" x14ac:dyDescent="0.3">
      <c r="A250" s="24"/>
      <c r="B250" s="54"/>
      <c r="C250" s="93"/>
      <c r="D250" s="93"/>
      <c r="E250" s="93"/>
      <c r="F250" s="25"/>
      <c r="G250" s="94"/>
      <c r="H250" s="93"/>
      <c r="I250" s="93"/>
      <c r="J250" s="93"/>
      <c r="K250" s="93"/>
      <c r="L250" s="93"/>
      <c r="M250" s="93"/>
      <c r="N250" s="93"/>
      <c r="O250" s="93"/>
      <c r="P250" s="93"/>
      <c r="Q250" s="93"/>
      <c r="R250" s="54"/>
      <c r="S250" s="94"/>
      <c r="T250" s="53"/>
      <c r="U250" s="132"/>
      <c r="V250" s="79"/>
      <c r="W250" s="88"/>
      <c r="X250" s="5"/>
    </row>
    <row r="251" spans="1:25" ht="15.6" x14ac:dyDescent="0.3">
      <c r="A251" s="24"/>
      <c r="B251" s="25"/>
      <c r="C251" s="25"/>
      <c r="D251" s="25"/>
      <c r="E251" s="25"/>
      <c r="F251" s="25"/>
      <c r="G251" s="25"/>
      <c r="H251" s="95"/>
      <c r="I251" s="95"/>
      <c r="J251" s="95"/>
      <c r="K251" s="95"/>
      <c r="L251" s="95"/>
      <c r="M251" s="95"/>
      <c r="N251" s="95"/>
      <c r="O251" s="95"/>
      <c r="P251" s="95"/>
      <c r="Q251" s="95"/>
      <c r="R251" s="34">
        <f>SUM(R242:R250)</f>
        <v>10138</v>
      </c>
      <c r="S251" s="132">
        <f>SUM(S242:S250)</f>
        <v>1</v>
      </c>
      <c r="T251" s="53">
        <f>SUM(T242:T250)</f>
        <v>1470386</v>
      </c>
      <c r="U251" s="132">
        <f>SUM(U242:U250)</f>
        <v>1.0000000000000002</v>
      </c>
      <c r="V251" s="25"/>
      <c r="W251" s="25"/>
      <c r="X251" s="5"/>
    </row>
    <row r="252" spans="1:25" ht="15.6" x14ac:dyDescent="0.3">
      <c r="A252" s="24"/>
      <c r="B252" s="25"/>
      <c r="C252" s="25"/>
      <c r="D252" s="25"/>
      <c r="E252" s="25"/>
      <c r="F252" s="25"/>
      <c r="G252" s="25"/>
      <c r="H252" s="95"/>
      <c r="I252" s="95"/>
      <c r="J252" s="95"/>
      <c r="K252" s="95"/>
      <c r="L252" s="95"/>
      <c r="M252" s="95"/>
      <c r="N252" s="95"/>
      <c r="O252" s="95"/>
      <c r="P252" s="95"/>
      <c r="Q252" s="95"/>
      <c r="R252" s="34"/>
      <c r="S252" s="132"/>
      <c r="T252" s="53"/>
      <c r="U252" s="132"/>
      <c r="V252" s="25"/>
      <c r="W252" s="25"/>
      <c r="X252" s="5"/>
    </row>
    <row r="253" spans="1:25" ht="15.6" x14ac:dyDescent="0.3">
      <c r="A253" s="139"/>
      <c r="B253" s="14" t="s">
        <v>275</v>
      </c>
      <c r="C253" s="81"/>
      <c r="D253" s="81"/>
      <c r="E253" s="81"/>
      <c r="F253" s="82"/>
      <c r="G253" s="81"/>
      <c r="H253" s="17"/>
      <c r="I253" s="17"/>
      <c r="J253" s="17"/>
      <c r="K253" s="17"/>
      <c r="L253" s="17"/>
      <c r="M253" s="17"/>
      <c r="N253" s="17"/>
      <c r="O253" s="17"/>
      <c r="P253" s="17"/>
      <c r="Q253" s="17"/>
      <c r="R253" s="83" t="s">
        <v>102</v>
      </c>
      <c r="S253" s="17" t="s">
        <v>103</v>
      </c>
      <c r="T253" s="83" t="s">
        <v>109</v>
      </c>
      <c r="U253" s="17" t="s">
        <v>103</v>
      </c>
      <c r="V253" s="137"/>
      <c r="W253" s="138"/>
      <c r="X253" s="5"/>
    </row>
    <row r="254" spans="1:25" ht="15.6" x14ac:dyDescent="0.3">
      <c r="A254" s="24"/>
      <c r="B254" s="54" t="s">
        <v>88</v>
      </c>
      <c r="C254" s="93"/>
      <c r="D254" s="93"/>
      <c r="E254" s="93"/>
      <c r="F254" s="25"/>
      <c r="G254" s="93"/>
      <c r="H254" s="93"/>
      <c r="I254" s="93"/>
      <c r="J254" s="93"/>
      <c r="K254" s="93"/>
      <c r="L254" s="93"/>
      <c r="M254" s="93"/>
      <c r="N254" s="93"/>
      <c r="O254" s="93"/>
      <c r="P254" s="93"/>
      <c r="Q254" s="93"/>
      <c r="R254" s="54">
        <v>2</v>
      </c>
      <c r="S254" s="94">
        <f t="shared" ref="S254:S261" si="3">R254/$R$263</f>
        <v>0.5</v>
      </c>
      <c r="T254" s="53">
        <v>356</v>
      </c>
      <c r="U254" s="132">
        <f t="shared" ref="U254:U261" si="4">T254/$T$263</f>
        <v>0.41540256709451573</v>
      </c>
      <c r="V254" s="25"/>
      <c r="W254" s="25"/>
      <c r="X254" s="5"/>
    </row>
    <row r="255" spans="1:25" ht="15.6" x14ac:dyDescent="0.3">
      <c r="A255" s="24"/>
      <c r="B255" s="54" t="s">
        <v>89</v>
      </c>
      <c r="C255" s="93"/>
      <c r="D255" s="93"/>
      <c r="E255" s="93"/>
      <c r="F255" s="25"/>
      <c r="G255" s="94"/>
      <c r="H255" s="93"/>
      <c r="I255" s="93"/>
      <c r="J255" s="93"/>
      <c r="K255" s="93"/>
      <c r="L255" s="93"/>
      <c r="M255" s="93"/>
      <c r="N255" s="93"/>
      <c r="O255" s="93"/>
      <c r="P255" s="93"/>
      <c r="Q255" s="93"/>
      <c r="R255" s="54">
        <v>1</v>
      </c>
      <c r="S255" s="94">
        <f t="shared" si="3"/>
        <v>0.25</v>
      </c>
      <c r="T255" s="53">
        <v>350</v>
      </c>
      <c r="U255" s="132">
        <f t="shared" si="4"/>
        <v>0.40840140023337224</v>
      </c>
      <c r="V255" s="25"/>
      <c r="W255" s="25"/>
      <c r="X255" s="5"/>
    </row>
    <row r="256" spans="1:25" ht="15.6" x14ac:dyDescent="0.3">
      <c r="A256" s="24"/>
      <c r="B256" s="54" t="s">
        <v>90</v>
      </c>
      <c r="C256" s="93"/>
      <c r="D256" s="93"/>
      <c r="E256" s="93"/>
      <c r="F256" s="25"/>
      <c r="G256" s="94"/>
      <c r="H256" s="93"/>
      <c r="I256" s="93"/>
      <c r="J256" s="93"/>
      <c r="K256" s="93"/>
      <c r="L256" s="93"/>
      <c r="M256" s="93"/>
      <c r="N256" s="93"/>
      <c r="O256" s="93"/>
      <c r="P256" s="93"/>
      <c r="Q256" s="93"/>
      <c r="R256" s="54">
        <v>0</v>
      </c>
      <c r="S256" s="94">
        <f t="shared" si="3"/>
        <v>0</v>
      </c>
      <c r="T256" s="53">
        <v>0</v>
      </c>
      <c r="U256" s="132">
        <f t="shared" si="4"/>
        <v>0</v>
      </c>
      <c r="V256" s="25"/>
      <c r="W256" s="25"/>
      <c r="X256" s="5"/>
    </row>
    <row r="257" spans="1:24" ht="15.6" x14ac:dyDescent="0.3">
      <c r="A257" s="24"/>
      <c r="B257" s="54" t="s">
        <v>156</v>
      </c>
      <c r="C257" s="93"/>
      <c r="D257" s="93"/>
      <c r="E257" s="93"/>
      <c r="F257" s="25"/>
      <c r="G257" s="94"/>
      <c r="H257" s="93"/>
      <c r="I257" s="93"/>
      <c r="J257" s="93"/>
      <c r="K257" s="93"/>
      <c r="L257" s="93"/>
      <c r="M257" s="93"/>
      <c r="N257" s="93"/>
      <c r="O257" s="93"/>
      <c r="P257" s="93"/>
      <c r="Q257" s="93"/>
      <c r="R257" s="54">
        <v>0</v>
      </c>
      <c r="S257" s="94">
        <f t="shared" si="3"/>
        <v>0</v>
      </c>
      <c r="T257" s="53">
        <v>0</v>
      </c>
      <c r="U257" s="132">
        <f t="shared" si="4"/>
        <v>0</v>
      </c>
      <c r="V257" s="25"/>
      <c r="W257" s="25"/>
      <c r="X257" s="5"/>
    </row>
    <row r="258" spans="1:24" ht="15.6" x14ac:dyDescent="0.3">
      <c r="A258" s="24"/>
      <c r="B258" s="54" t="s">
        <v>157</v>
      </c>
      <c r="C258" s="93"/>
      <c r="D258" s="93"/>
      <c r="E258" s="93"/>
      <c r="F258" s="25"/>
      <c r="G258" s="94"/>
      <c r="H258" s="93"/>
      <c r="I258" s="93"/>
      <c r="J258" s="93"/>
      <c r="K258" s="93"/>
      <c r="L258" s="93"/>
      <c r="M258" s="93"/>
      <c r="N258" s="93"/>
      <c r="O258" s="93"/>
      <c r="P258" s="93"/>
      <c r="Q258" s="93"/>
      <c r="R258" s="54">
        <v>0</v>
      </c>
      <c r="S258" s="94">
        <f t="shared" si="3"/>
        <v>0</v>
      </c>
      <c r="T258" s="53">
        <v>0</v>
      </c>
      <c r="U258" s="132">
        <f t="shared" si="4"/>
        <v>0</v>
      </c>
      <c r="V258" s="25"/>
      <c r="W258" s="25"/>
      <c r="X258" s="5"/>
    </row>
    <row r="259" spans="1:24" ht="15.6" x14ac:dyDescent="0.3">
      <c r="A259" s="24"/>
      <c r="B259" s="54" t="s">
        <v>158</v>
      </c>
      <c r="C259" s="93"/>
      <c r="D259" s="93"/>
      <c r="E259" s="93"/>
      <c r="F259" s="25"/>
      <c r="G259" s="94"/>
      <c r="H259" s="93"/>
      <c r="I259" s="93"/>
      <c r="J259" s="93"/>
      <c r="K259" s="93"/>
      <c r="L259" s="93"/>
      <c r="M259" s="93"/>
      <c r="N259" s="93"/>
      <c r="O259" s="93"/>
      <c r="P259" s="93"/>
      <c r="Q259" s="93"/>
      <c r="R259" s="54">
        <v>1</v>
      </c>
      <c r="S259" s="94">
        <f t="shared" si="3"/>
        <v>0.25</v>
      </c>
      <c r="T259" s="53">
        <v>151</v>
      </c>
      <c r="U259" s="132">
        <f t="shared" si="4"/>
        <v>0.17619603267211201</v>
      </c>
      <c r="V259" s="25"/>
      <c r="W259" s="25"/>
      <c r="X259" s="5"/>
    </row>
    <row r="260" spans="1:24" ht="15.6" x14ac:dyDescent="0.3">
      <c r="A260" s="24"/>
      <c r="B260" s="54" t="s">
        <v>159</v>
      </c>
      <c r="C260" s="93"/>
      <c r="D260" s="93"/>
      <c r="E260" s="93"/>
      <c r="F260" s="25"/>
      <c r="G260" s="94"/>
      <c r="H260" s="93"/>
      <c r="I260" s="93"/>
      <c r="J260" s="93"/>
      <c r="K260" s="93"/>
      <c r="L260" s="93"/>
      <c r="M260" s="93"/>
      <c r="N260" s="93"/>
      <c r="O260" s="93"/>
      <c r="P260" s="93"/>
      <c r="Q260" s="93"/>
      <c r="R260" s="54">
        <v>0</v>
      </c>
      <c r="S260" s="94">
        <f t="shared" si="3"/>
        <v>0</v>
      </c>
      <c r="T260" s="53">
        <v>0</v>
      </c>
      <c r="U260" s="132">
        <f t="shared" si="4"/>
        <v>0</v>
      </c>
      <c r="V260" s="25"/>
      <c r="W260" s="25"/>
      <c r="X260" s="5"/>
    </row>
    <row r="261" spans="1:24" ht="15.6" x14ac:dyDescent="0.3">
      <c r="A261" s="24"/>
      <c r="B261" s="54" t="s">
        <v>160</v>
      </c>
      <c r="C261" s="93"/>
      <c r="D261" s="93"/>
      <c r="E261" s="93"/>
      <c r="F261" s="25"/>
      <c r="G261" s="94"/>
      <c r="H261" s="93"/>
      <c r="I261" s="93"/>
      <c r="J261" s="93"/>
      <c r="K261" s="93"/>
      <c r="L261" s="93"/>
      <c r="M261" s="93"/>
      <c r="N261" s="93"/>
      <c r="O261" s="93"/>
      <c r="P261" s="93"/>
      <c r="Q261" s="93"/>
      <c r="R261" s="54">
        <v>0</v>
      </c>
      <c r="S261" s="94">
        <f t="shared" si="3"/>
        <v>0</v>
      </c>
      <c r="T261" s="53">
        <v>0</v>
      </c>
      <c r="U261" s="132">
        <f t="shared" si="4"/>
        <v>0</v>
      </c>
      <c r="V261" s="25"/>
      <c r="W261" s="25"/>
      <c r="X261" s="5"/>
    </row>
    <row r="262" spans="1:24" ht="15.6" x14ac:dyDescent="0.3">
      <c r="A262" s="24"/>
      <c r="B262" s="54"/>
      <c r="C262" s="93"/>
      <c r="D262" s="93"/>
      <c r="E262" s="93"/>
      <c r="F262" s="25"/>
      <c r="G262" s="94"/>
      <c r="H262" s="93"/>
      <c r="I262" s="93"/>
      <c r="J262" s="93"/>
      <c r="K262" s="93"/>
      <c r="L262" s="93"/>
      <c r="M262" s="93"/>
      <c r="N262" s="93"/>
      <c r="O262" s="93"/>
      <c r="P262" s="93"/>
      <c r="Q262" s="93"/>
      <c r="R262" s="54"/>
      <c r="S262" s="94"/>
      <c r="T262" s="53"/>
      <c r="U262" s="132"/>
      <c r="V262" s="25"/>
      <c r="W262" s="25"/>
      <c r="X262" s="5"/>
    </row>
    <row r="263" spans="1:24" ht="15.6" x14ac:dyDescent="0.3">
      <c r="A263" s="24"/>
      <c r="B263" s="25"/>
      <c r="C263" s="25"/>
      <c r="D263" s="25"/>
      <c r="E263" s="25"/>
      <c r="F263" s="25"/>
      <c r="G263" s="25"/>
      <c r="H263" s="95"/>
      <c r="I263" s="95"/>
      <c r="J263" s="95"/>
      <c r="K263" s="95"/>
      <c r="L263" s="95"/>
      <c r="M263" s="95"/>
      <c r="N263" s="95"/>
      <c r="O263" s="95"/>
      <c r="P263" s="95"/>
      <c r="Q263" s="95"/>
      <c r="R263" s="34">
        <f>SUM(R254:R262)</f>
        <v>4</v>
      </c>
      <c r="S263" s="132">
        <f>SUM(S254:S262)</f>
        <v>1</v>
      </c>
      <c r="T263" s="53">
        <f>SUM(T254:T262)</f>
        <v>857</v>
      </c>
      <c r="U263" s="132">
        <f>SUM(U254:U262)</f>
        <v>1</v>
      </c>
      <c r="V263" s="25"/>
      <c r="W263" s="25"/>
      <c r="X263" s="5"/>
    </row>
    <row r="264" spans="1:24" ht="15.6" x14ac:dyDescent="0.3">
      <c r="A264" s="24"/>
      <c r="B264" s="25"/>
      <c r="C264" s="25"/>
      <c r="D264" s="25"/>
      <c r="E264" s="25"/>
      <c r="F264" s="25"/>
      <c r="G264" s="25"/>
      <c r="H264" s="95"/>
      <c r="I264" s="95"/>
      <c r="J264" s="95"/>
      <c r="K264" s="95"/>
      <c r="L264" s="95"/>
      <c r="M264" s="95"/>
      <c r="N264" s="95"/>
      <c r="O264" s="95"/>
      <c r="P264" s="95"/>
      <c r="Q264" s="95"/>
      <c r="R264" s="34"/>
      <c r="S264" s="132"/>
      <c r="T264" s="53"/>
      <c r="U264" s="132"/>
      <c r="V264" s="25"/>
      <c r="W264" s="25"/>
      <c r="X264" s="5"/>
    </row>
    <row r="265" spans="1:24" ht="15.6" x14ac:dyDescent="0.3">
      <c r="A265" s="139"/>
      <c r="B265" s="14" t="s">
        <v>163</v>
      </c>
      <c r="C265" s="137"/>
      <c r="D265" s="137"/>
      <c r="E265" s="137"/>
      <c r="F265" s="137"/>
      <c r="G265" s="137"/>
      <c r="H265" s="143"/>
      <c r="I265" s="143"/>
      <c r="J265" s="143"/>
      <c r="K265" s="143"/>
      <c r="L265" s="143"/>
      <c r="M265" s="143"/>
      <c r="N265" s="143"/>
      <c r="O265" s="143"/>
      <c r="P265" s="143"/>
      <c r="Q265" s="143"/>
      <c r="R265" s="83" t="s">
        <v>102</v>
      </c>
      <c r="S265" s="17" t="s">
        <v>103</v>
      </c>
      <c r="T265" s="83" t="s">
        <v>109</v>
      </c>
      <c r="U265" s="17" t="s">
        <v>103</v>
      </c>
      <c r="V265" s="137"/>
      <c r="W265" s="138"/>
      <c r="X265" s="5"/>
    </row>
    <row r="266" spans="1:24" ht="15.6" x14ac:dyDescent="0.3">
      <c r="A266" s="24"/>
      <c r="B266" s="54" t="s">
        <v>88</v>
      </c>
      <c r="C266" s="25"/>
      <c r="D266" s="25"/>
      <c r="E266" s="25"/>
      <c r="F266" s="25"/>
      <c r="G266" s="25"/>
      <c r="H266" s="95"/>
      <c r="I266" s="95"/>
      <c r="J266" s="95"/>
      <c r="K266" s="95"/>
      <c r="L266" s="95"/>
      <c r="M266" s="95"/>
      <c r="N266" s="95"/>
      <c r="O266" s="95"/>
      <c r="P266" s="95"/>
      <c r="Q266" s="95"/>
      <c r="R266" s="54">
        <v>0</v>
      </c>
      <c r="S266" s="94">
        <v>0</v>
      </c>
      <c r="T266" s="53">
        <v>0</v>
      </c>
      <c r="U266" s="132">
        <v>0</v>
      </c>
      <c r="V266" s="25"/>
      <c r="W266" s="25"/>
      <c r="X266" s="5"/>
    </row>
    <row r="267" spans="1:24" ht="15.6" x14ac:dyDescent="0.3">
      <c r="A267" s="24"/>
      <c r="B267" s="54" t="s">
        <v>89</v>
      </c>
      <c r="C267" s="25"/>
      <c r="D267" s="25"/>
      <c r="E267" s="25"/>
      <c r="F267" s="25"/>
      <c r="G267" s="25"/>
      <c r="H267" s="95"/>
      <c r="I267" s="95"/>
      <c r="J267" s="95"/>
      <c r="K267" s="95"/>
      <c r="L267" s="95"/>
      <c r="M267" s="95"/>
      <c r="N267" s="95"/>
      <c r="O267" s="95"/>
      <c r="P267" s="95"/>
      <c r="Q267" s="95"/>
      <c r="R267" s="54">
        <v>0</v>
      </c>
      <c r="S267" s="94">
        <v>0</v>
      </c>
      <c r="T267" s="53">
        <v>0</v>
      </c>
      <c r="U267" s="132">
        <v>0</v>
      </c>
      <c r="V267" s="25"/>
      <c r="W267" s="25"/>
      <c r="X267" s="5"/>
    </row>
    <row r="268" spans="1:24" ht="15.6" x14ac:dyDescent="0.3">
      <c r="A268" s="24"/>
      <c r="B268" s="54" t="s">
        <v>90</v>
      </c>
      <c r="C268" s="25"/>
      <c r="D268" s="25"/>
      <c r="E268" s="25"/>
      <c r="F268" s="25"/>
      <c r="G268" s="25"/>
      <c r="H268" s="95"/>
      <c r="I268" s="95"/>
      <c r="J268" s="95"/>
      <c r="K268" s="95"/>
      <c r="L268" s="95"/>
      <c r="M268" s="95"/>
      <c r="N268" s="95"/>
      <c r="O268" s="95"/>
      <c r="P268" s="95"/>
      <c r="Q268" s="95"/>
      <c r="R268" s="54">
        <v>0</v>
      </c>
      <c r="S268" s="94">
        <v>0</v>
      </c>
      <c r="T268" s="53">
        <v>0</v>
      </c>
      <c r="U268" s="132">
        <v>0</v>
      </c>
      <c r="V268" s="25"/>
      <c r="W268" s="25"/>
      <c r="X268" s="5"/>
    </row>
    <row r="269" spans="1:24" ht="15.6" x14ac:dyDescent="0.3">
      <c r="A269" s="24"/>
      <c r="B269" s="54" t="s">
        <v>156</v>
      </c>
      <c r="C269" s="25"/>
      <c r="D269" s="25"/>
      <c r="E269" s="25"/>
      <c r="F269" s="25"/>
      <c r="G269" s="25"/>
      <c r="H269" s="95"/>
      <c r="I269" s="95"/>
      <c r="J269" s="95"/>
      <c r="K269" s="95"/>
      <c r="L269" s="95"/>
      <c r="M269" s="95"/>
      <c r="N269" s="95"/>
      <c r="O269" s="95"/>
      <c r="P269" s="95"/>
      <c r="Q269" s="95"/>
      <c r="R269" s="54">
        <v>0</v>
      </c>
      <c r="S269" s="94">
        <v>0</v>
      </c>
      <c r="T269" s="53">
        <v>0</v>
      </c>
      <c r="U269" s="132">
        <v>0</v>
      </c>
      <c r="V269" s="25"/>
      <c r="W269" s="25"/>
      <c r="X269" s="5"/>
    </row>
    <row r="270" spans="1:24" ht="15.6" x14ac:dyDescent="0.3">
      <c r="A270" s="24"/>
      <c r="B270" s="54" t="s">
        <v>157</v>
      </c>
      <c r="C270" s="25"/>
      <c r="D270" s="25"/>
      <c r="E270" s="25"/>
      <c r="F270" s="25"/>
      <c r="G270" s="25"/>
      <c r="H270" s="95"/>
      <c r="I270" s="95"/>
      <c r="J270" s="95"/>
      <c r="K270" s="95"/>
      <c r="L270" s="95"/>
      <c r="M270" s="95"/>
      <c r="N270" s="95"/>
      <c r="O270" s="95"/>
      <c r="P270" s="95"/>
      <c r="Q270" s="95"/>
      <c r="R270" s="54">
        <v>0</v>
      </c>
      <c r="S270" s="94">
        <v>0</v>
      </c>
      <c r="T270" s="53">
        <v>0</v>
      </c>
      <c r="U270" s="132">
        <v>0</v>
      </c>
      <c r="V270" s="25"/>
      <c r="W270" s="25"/>
      <c r="X270" s="5"/>
    </row>
    <row r="271" spans="1:24" ht="15.6" x14ac:dyDescent="0.3">
      <c r="A271" s="24"/>
      <c r="B271" s="54" t="s">
        <v>158</v>
      </c>
      <c r="C271" s="25"/>
      <c r="D271" s="25"/>
      <c r="E271" s="25"/>
      <c r="F271" s="25"/>
      <c r="G271" s="25"/>
      <c r="H271" s="95"/>
      <c r="I271" s="95"/>
      <c r="J271" s="95"/>
      <c r="K271" s="95"/>
      <c r="L271" s="95"/>
      <c r="M271" s="95"/>
      <c r="N271" s="95"/>
      <c r="O271" s="95"/>
      <c r="P271" s="95"/>
      <c r="Q271" s="95"/>
      <c r="R271" s="54">
        <v>0</v>
      </c>
      <c r="S271" s="94">
        <v>0</v>
      </c>
      <c r="T271" s="53">
        <v>0</v>
      </c>
      <c r="U271" s="132">
        <v>0</v>
      </c>
      <c r="V271" s="25"/>
      <c r="W271" s="25"/>
      <c r="X271" s="5"/>
    </row>
    <row r="272" spans="1:24" ht="15.6" x14ac:dyDescent="0.3">
      <c r="A272" s="24"/>
      <c r="B272" s="54" t="s">
        <v>159</v>
      </c>
      <c r="C272" s="25"/>
      <c r="D272" s="25"/>
      <c r="E272" s="25"/>
      <c r="F272" s="25"/>
      <c r="G272" s="25"/>
      <c r="H272" s="95"/>
      <c r="I272" s="95"/>
      <c r="J272" s="95"/>
      <c r="K272" s="95"/>
      <c r="L272" s="95"/>
      <c r="M272" s="95"/>
      <c r="N272" s="95"/>
      <c r="O272" s="95"/>
      <c r="P272" s="95"/>
      <c r="Q272" s="95"/>
      <c r="R272" s="54">
        <v>0</v>
      </c>
      <c r="S272" s="94">
        <v>0</v>
      </c>
      <c r="T272" s="53">
        <v>0</v>
      </c>
      <c r="U272" s="132">
        <v>0</v>
      </c>
      <c r="V272" s="25"/>
      <c r="W272" s="25"/>
      <c r="X272" s="5"/>
    </row>
    <row r="273" spans="1:24" ht="15.6" x14ac:dyDescent="0.3">
      <c r="A273" s="24"/>
      <c r="B273" s="54" t="s">
        <v>160</v>
      </c>
      <c r="C273" s="25"/>
      <c r="D273" s="25"/>
      <c r="E273" s="25"/>
      <c r="F273" s="25"/>
      <c r="G273" s="25"/>
      <c r="H273" s="95"/>
      <c r="I273" s="95"/>
      <c r="J273" s="95"/>
      <c r="K273" s="95"/>
      <c r="L273" s="95"/>
      <c r="M273" s="95"/>
      <c r="N273" s="95"/>
      <c r="O273" s="95"/>
      <c r="P273" s="95"/>
      <c r="Q273" s="95"/>
      <c r="R273" s="54">
        <v>0</v>
      </c>
      <c r="S273" s="94">
        <v>0</v>
      </c>
      <c r="T273" s="53">
        <v>0</v>
      </c>
      <c r="U273" s="132">
        <v>0</v>
      </c>
      <c r="V273" s="25"/>
      <c r="W273" s="25"/>
      <c r="X273" s="5"/>
    </row>
    <row r="274" spans="1:24" ht="15.6" x14ac:dyDescent="0.3">
      <c r="A274" s="24"/>
      <c r="B274" s="54"/>
      <c r="C274" s="25"/>
      <c r="D274" s="25"/>
      <c r="E274" s="25"/>
      <c r="F274" s="25"/>
      <c r="G274" s="25"/>
      <c r="H274" s="95"/>
      <c r="I274" s="95"/>
      <c r="J274" s="95"/>
      <c r="K274" s="95"/>
      <c r="L274" s="95"/>
      <c r="M274" s="95"/>
      <c r="N274" s="95"/>
      <c r="O274" s="95"/>
      <c r="P274" s="95"/>
      <c r="Q274" s="95"/>
      <c r="R274" s="54"/>
      <c r="S274" s="94"/>
      <c r="T274" s="53"/>
      <c r="U274" s="132"/>
      <c r="V274" s="25"/>
      <c r="W274" s="25"/>
      <c r="X274" s="5"/>
    </row>
    <row r="275" spans="1:24" ht="15.6" x14ac:dyDescent="0.3">
      <c r="A275" s="24"/>
      <c r="B275" s="25" t="s">
        <v>114</v>
      </c>
      <c r="C275" s="25"/>
      <c r="D275" s="25"/>
      <c r="E275" s="25"/>
      <c r="F275" s="25"/>
      <c r="G275" s="25"/>
      <c r="H275" s="95"/>
      <c r="I275" s="95"/>
      <c r="J275" s="95"/>
      <c r="K275" s="95"/>
      <c r="L275" s="95"/>
      <c r="M275" s="95"/>
      <c r="N275" s="95"/>
      <c r="O275" s="95"/>
      <c r="P275" s="95"/>
      <c r="Q275" s="95"/>
      <c r="R275" s="34">
        <f>SUM(R266:R273)</f>
        <v>0</v>
      </c>
      <c r="S275" s="94">
        <f>SUM(S266:S273)</f>
        <v>0</v>
      </c>
      <c r="T275" s="53">
        <f>SUM(T266:T273)</f>
        <v>0</v>
      </c>
      <c r="U275" s="132">
        <f>SUM(U266:U273)</f>
        <v>0</v>
      </c>
      <c r="V275" s="25"/>
      <c r="W275" s="25"/>
      <c r="X275" s="5"/>
    </row>
    <row r="276" spans="1:24" ht="15.6" x14ac:dyDescent="0.3">
      <c r="A276" s="24"/>
      <c r="B276" s="25"/>
      <c r="C276" s="25"/>
      <c r="D276" s="25"/>
      <c r="E276" s="25"/>
      <c r="F276" s="25"/>
      <c r="G276" s="25"/>
      <c r="H276" s="95"/>
      <c r="I276" s="95"/>
      <c r="J276" s="95"/>
      <c r="K276" s="95"/>
      <c r="L276" s="95"/>
      <c r="M276" s="95"/>
      <c r="N276" s="95"/>
      <c r="O276" s="95"/>
      <c r="P276" s="95"/>
      <c r="Q276" s="95"/>
      <c r="R276" s="34"/>
      <c r="S276" s="132"/>
      <c r="T276" s="53"/>
      <c r="U276" s="132"/>
      <c r="V276" s="25"/>
      <c r="W276" s="25"/>
      <c r="X276" s="5"/>
    </row>
    <row r="277" spans="1:24" ht="15.6" x14ac:dyDescent="0.3">
      <c r="A277" s="24"/>
      <c r="B277" s="140" t="s">
        <v>164</v>
      </c>
      <c r="C277" s="25"/>
      <c r="D277" s="25"/>
      <c r="E277" s="25"/>
      <c r="F277" s="25"/>
      <c r="G277" s="25"/>
      <c r="H277" s="95"/>
      <c r="I277" s="95"/>
      <c r="J277" s="95"/>
      <c r="K277" s="95"/>
      <c r="L277" s="95"/>
      <c r="M277" s="95"/>
      <c r="N277" s="95"/>
      <c r="O277" s="95"/>
      <c r="P277" s="95"/>
      <c r="Q277" s="95"/>
      <c r="R277" s="159">
        <f>R275+R263+R251</f>
        <v>10142</v>
      </c>
      <c r="S277" s="141"/>
      <c r="T277" s="142">
        <f>+T275+T263+T251</f>
        <v>1471243</v>
      </c>
      <c r="U277" s="141"/>
      <c r="V277" s="25"/>
      <c r="W277" s="25"/>
      <c r="X277" s="5"/>
    </row>
    <row r="278" spans="1:24" ht="15.6" x14ac:dyDescent="0.3">
      <c r="A278" s="24"/>
      <c r="B278" s="25"/>
      <c r="C278" s="25"/>
      <c r="D278" s="25"/>
      <c r="E278" s="25"/>
      <c r="F278" s="25"/>
      <c r="G278" s="25"/>
      <c r="H278" s="95"/>
      <c r="I278" s="95"/>
      <c r="J278" s="95"/>
      <c r="K278" s="95"/>
      <c r="L278" s="95"/>
      <c r="M278" s="95"/>
      <c r="N278" s="95"/>
      <c r="O278" s="95"/>
      <c r="P278" s="95"/>
      <c r="Q278" s="95"/>
      <c r="R278" s="95"/>
      <c r="S278" s="95"/>
      <c r="T278" s="53"/>
      <c r="U278" s="95"/>
      <c r="V278" s="25"/>
      <c r="W278" s="25"/>
      <c r="X278" s="5"/>
    </row>
    <row r="279" spans="1:24" ht="15.6" x14ac:dyDescent="0.3">
      <c r="A279" s="6"/>
      <c r="B279" s="8"/>
      <c r="C279" s="8"/>
      <c r="D279" s="8"/>
      <c r="E279" s="8"/>
      <c r="F279" s="8"/>
      <c r="G279" s="8"/>
      <c r="H279" s="96"/>
      <c r="I279" s="96"/>
      <c r="J279" s="96"/>
      <c r="K279" s="96"/>
      <c r="L279" s="96"/>
      <c r="M279" s="96"/>
      <c r="N279" s="96"/>
      <c r="O279" s="96"/>
      <c r="P279" s="96"/>
      <c r="Q279" s="96"/>
      <c r="R279" s="96"/>
      <c r="S279" s="96"/>
      <c r="T279" s="97"/>
      <c r="U279" s="96"/>
      <c r="V279" s="8"/>
      <c r="W279" s="8"/>
      <c r="X279" s="5"/>
    </row>
    <row r="280" spans="1:24" ht="15.6" x14ac:dyDescent="0.3">
      <c r="A280" s="98"/>
      <c r="B280" s="14" t="s">
        <v>91</v>
      </c>
      <c r="C280" s="15"/>
      <c r="D280" s="15"/>
      <c r="E280" s="15"/>
      <c r="F280" s="17" t="s">
        <v>97</v>
      </c>
      <c r="G280" s="15"/>
      <c r="H280" s="14" t="s">
        <v>99</v>
      </c>
      <c r="I280" s="14"/>
      <c r="J280" s="14"/>
      <c r="K280" s="12"/>
      <c r="L280" s="12"/>
      <c r="M280" s="12"/>
      <c r="N280" s="12"/>
      <c r="O280" s="12"/>
      <c r="P280" s="12"/>
      <c r="Q280" s="12"/>
      <c r="R280" s="12"/>
      <c r="S280" s="12"/>
      <c r="T280" s="12"/>
      <c r="U280" s="12"/>
      <c r="V280" s="12"/>
      <c r="W280" s="12"/>
      <c r="X280" s="5"/>
    </row>
    <row r="281" spans="1:24" ht="15.6" x14ac:dyDescent="0.3">
      <c r="A281" s="98"/>
      <c r="B281" s="12"/>
      <c r="C281" s="8"/>
      <c r="D281" s="8"/>
      <c r="E281" s="8"/>
      <c r="F281" s="8"/>
      <c r="G281" s="8"/>
      <c r="H281" s="8"/>
      <c r="I281" s="8"/>
      <c r="J281" s="8"/>
      <c r="K281" s="12"/>
      <c r="L281" s="12"/>
      <c r="M281" s="12"/>
      <c r="N281" s="12"/>
      <c r="O281" s="12"/>
      <c r="P281" s="12"/>
      <c r="Q281" s="12"/>
      <c r="R281" s="12"/>
      <c r="S281" s="12"/>
      <c r="T281" s="12"/>
      <c r="U281" s="12"/>
      <c r="V281" s="12"/>
      <c r="W281" s="12"/>
      <c r="X281" s="5"/>
    </row>
    <row r="282" spans="1:24" ht="15.6" x14ac:dyDescent="0.3">
      <c r="A282" s="98"/>
      <c r="B282" s="13" t="s">
        <v>92</v>
      </c>
      <c r="C282" s="13"/>
      <c r="D282" s="13"/>
      <c r="E282" s="13"/>
      <c r="F282" s="130" t="s">
        <v>148</v>
      </c>
      <c r="G282" s="13"/>
      <c r="H282" s="13" t="s">
        <v>152</v>
      </c>
      <c r="I282" s="13"/>
      <c r="J282" s="13"/>
      <c r="K282" s="12"/>
      <c r="L282" s="12"/>
      <c r="M282" s="12"/>
      <c r="N282" s="12"/>
      <c r="O282" s="12"/>
      <c r="P282" s="12"/>
      <c r="Q282" s="12"/>
      <c r="R282" s="12"/>
      <c r="S282" s="12"/>
      <c r="T282" s="12"/>
      <c r="U282" s="12"/>
      <c r="V282" s="12"/>
      <c r="W282" s="12"/>
      <c r="X282" s="5"/>
    </row>
    <row r="283" spans="1:24" ht="15.6" x14ac:dyDescent="0.3">
      <c r="A283" s="98"/>
      <c r="B283" s="13" t="s">
        <v>277</v>
      </c>
      <c r="C283" s="13"/>
      <c r="D283" s="13"/>
      <c r="E283" s="13"/>
      <c r="F283" s="130" t="s">
        <v>278</v>
      </c>
      <c r="G283" s="13"/>
      <c r="H283" s="13" t="s">
        <v>279</v>
      </c>
      <c r="I283" s="173"/>
      <c r="J283" s="13"/>
      <c r="K283" s="12"/>
      <c r="L283" s="12"/>
      <c r="M283" s="12"/>
      <c r="N283" s="12"/>
      <c r="O283" s="12"/>
      <c r="P283" s="12"/>
      <c r="Q283" s="12"/>
      <c r="R283" s="12"/>
      <c r="S283" s="12"/>
      <c r="T283" s="12"/>
      <c r="U283" s="12"/>
      <c r="V283" s="12"/>
      <c r="W283" s="12"/>
      <c r="X283" s="5"/>
    </row>
    <row r="284" spans="1:24" ht="15.6" x14ac:dyDescent="0.3">
      <c r="A284" s="98"/>
      <c r="B284" s="13" t="s">
        <v>93</v>
      </c>
      <c r="C284" s="13"/>
      <c r="D284" s="13"/>
      <c r="E284" s="13"/>
      <c r="F284" s="130" t="s">
        <v>147</v>
      </c>
      <c r="G284" s="13"/>
      <c r="H284" s="13" t="s">
        <v>153</v>
      </c>
      <c r="I284" s="13"/>
      <c r="J284" s="13"/>
      <c r="K284" s="12"/>
      <c r="L284" s="12"/>
      <c r="M284" s="12"/>
      <c r="N284" s="12"/>
      <c r="O284" s="12"/>
      <c r="P284" s="12"/>
      <c r="Q284" s="12"/>
      <c r="R284" s="12"/>
      <c r="S284" s="12"/>
      <c r="T284" s="12"/>
      <c r="U284" s="12"/>
      <c r="V284" s="12"/>
      <c r="W284" s="12"/>
      <c r="X284" s="5"/>
    </row>
    <row r="285" spans="1:24" ht="15.6" x14ac:dyDescent="0.3">
      <c r="A285" s="98"/>
      <c r="B285" s="13"/>
      <c r="C285" s="13"/>
      <c r="D285" s="13"/>
      <c r="E285" s="13"/>
      <c r="F285" s="13"/>
      <c r="G285" s="99"/>
      <c r="H285" s="12"/>
      <c r="I285" s="12"/>
      <c r="J285" s="12"/>
      <c r="K285" s="12"/>
      <c r="L285" s="12"/>
      <c r="M285" s="12"/>
      <c r="N285" s="12"/>
      <c r="O285" s="12"/>
      <c r="P285" s="12"/>
      <c r="Q285" s="12"/>
      <c r="R285" s="12"/>
      <c r="S285" s="12"/>
      <c r="T285" s="12"/>
      <c r="U285" s="12"/>
      <c r="V285" s="12"/>
      <c r="W285" s="12"/>
      <c r="X285" s="5"/>
    </row>
    <row r="286" spans="1:24" ht="15.6" x14ac:dyDescent="0.3">
      <c r="A286" s="98"/>
      <c r="B286" s="13"/>
      <c r="C286" s="13"/>
      <c r="D286" s="13"/>
      <c r="E286" s="13"/>
      <c r="F286" s="13"/>
      <c r="G286" s="99"/>
      <c r="H286" s="12"/>
      <c r="I286" s="12"/>
      <c r="J286" s="12"/>
      <c r="K286" s="12"/>
      <c r="L286" s="12"/>
      <c r="M286" s="12"/>
      <c r="N286" s="12"/>
      <c r="O286" s="12"/>
      <c r="P286" s="12"/>
      <c r="Q286" s="12"/>
      <c r="R286" s="12"/>
      <c r="S286" s="12"/>
      <c r="T286" s="12"/>
      <c r="U286" s="12"/>
      <c r="V286" s="12"/>
      <c r="W286" s="12"/>
      <c r="X286" s="5"/>
    </row>
    <row r="287" spans="1:24" ht="18" thickBot="1" x14ac:dyDescent="0.35">
      <c r="A287" s="98"/>
      <c r="B287" s="49" t="str">
        <f>B203</f>
        <v>PM14 INVESTOR REPORT QUARTER ENDING AUGUST 2007</v>
      </c>
      <c r="C287" s="13"/>
      <c r="D287" s="13"/>
      <c r="E287" s="13"/>
      <c r="F287" s="13"/>
      <c r="G287" s="99"/>
      <c r="H287" s="12"/>
      <c r="I287" s="12"/>
      <c r="J287" s="12"/>
      <c r="K287" s="12"/>
      <c r="L287" s="12"/>
      <c r="M287" s="12"/>
      <c r="N287" s="12"/>
      <c r="O287" s="12"/>
      <c r="P287" s="12"/>
      <c r="Q287" s="12"/>
      <c r="R287" s="12"/>
      <c r="S287" s="12"/>
      <c r="T287" s="12"/>
      <c r="U287" s="12"/>
      <c r="V287" s="12"/>
      <c r="W287" s="12"/>
      <c r="X287" s="5"/>
    </row>
    <row r="288" spans="1:24" x14ac:dyDescent="0.25">
      <c r="A288" s="100"/>
      <c r="B288" s="100"/>
      <c r="C288" s="100"/>
      <c r="D288" s="100"/>
      <c r="E288" s="100"/>
      <c r="F288" s="100"/>
      <c r="G288" s="100"/>
      <c r="H288" s="100"/>
      <c r="I288" s="100"/>
      <c r="J288" s="100"/>
      <c r="K288" s="100"/>
      <c r="L288" s="100"/>
      <c r="M288" s="100"/>
      <c r="N288" s="100"/>
      <c r="O288" s="100"/>
      <c r="P288" s="100"/>
      <c r="Q288" s="100"/>
      <c r="R288" s="100"/>
      <c r="S288" s="100"/>
      <c r="T288" s="100"/>
      <c r="U288" s="100"/>
      <c r="V288" s="100"/>
      <c r="W288" s="100"/>
    </row>
  </sheetData>
  <phoneticPr fontId="0" type="noConversion"/>
  <hyperlinks>
    <hyperlink ref="P239" r:id="rId1" xr:uid="{00000000-0004-0000-0000-000000000000}"/>
    <hyperlink ref="I9" r:id="rId2" xr:uid="{00000000-0004-0000-00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8" max="14" man="1"/>
    <brk id="203" max="14" man="1"/>
  </rowBreak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4"/>
  </sheetPr>
  <dimension ref="A1:IV290"/>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2"/>
      <c r="B1" s="3" t="s">
        <v>244</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245</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137</v>
      </c>
      <c r="C5" s="8"/>
      <c r="D5" s="8"/>
      <c r="E5" s="8"/>
      <c r="F5" s="8"/>
      <c r="G5" s="8"/>
      <c r="H5" s="8"/>
      <c r="I5" s="8"/>
      <c r="J5" s="8"/>
      <c r="K5" s="8"/>
      <c r="L5" s="8"/>
      <c r="M5" s="8"/>
      <c r="N5" s="8"/>
      <c r="O5" s="8"/>
      <c r="P5" s="8"/>
      <c r="Q5" s="8"/>
      <c r="R5" s="8"/>
      <c r="S5" s="8"/>
      <c r="T5" s="8"/>
      <c r="U5" s="8"/>
      <c r="V5" s="8"/>
      <c r="W5" s="8"/>
      <c r="X5" s="5"/>
    </row>
    <row r="6" spans="1:24" ht="15.6" x14ac:dyDescent="0.3">
      <c r="A6" s="6"/>
      <c r="B6" s="11" t="s">
        <v>139</v>
      </c>
      <c r="C6" s="8"/>
      <c r="D6" s="8"/>
      <c r="E6" s="8"/>
      <c r="F6" s="8"/>
      <c r="G6" s="8"/>
      <c r="H6" s="8"/>
      <c r="I6" s="8"/>
      <c r="J6" s="8"/>
      <c r="K6" s="8"/>
      <c r="L6" s="8"/>
      <c r="M6" s="8"/>
      <c r="N6" s="8"/>
      <c r="O6" s="8"/>
      <c r="P6" s="8"/>
      <c r="Q6" s="8"/>
      <c r="R6" s="8"/>
      <c r="S6" s="8"/>
      <c r="T6" s="8"/>
      <c r="U6" s="8"/>
      <c r="V6" s="8"/>
      <c r="W6" s="8"/>
      <c r="X6" s="5"/>
    </row>
    <row r="7" spans="1:24" ht="15.6" x14ac:dyDescent="0.3">
      <c r="A7" s="6"/>
      <c r="B7" s="11" t="s">
        <v>138</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5" t="s">
        <v>166</v>
      </c>
      <c r="C9" s="8"/>
      <c r="D9" s="8"/>
      <c r="E9" s="8"/>
      <c r="F9" s="8"/>
      <c r="G9" s="8"/>
      <c r="H9" s="8"/>
      <c r="I9" s="146" t="s">
        <v>167</v>
      </c>
      <c r="J9" s="8"/>
      <c r="K9" s="8"/>
      <c r="L9" s="146"/>
      <c r="M9" s="8"/>
      <c r="N9" s="146"/>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246</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104</v>
      </c>
      <c r="S15" s="135">
        <v>0.38300000000000001</v>
      </c>
      <c r="T15" s="17" t="s">
        <v>140</v>
      </c>
      <c r="U15" s="135">
        <v>0.61699999999999999</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104</v>
      </c>
      <c r="S16" s="135">
        <v>0.45169999999999999</v>
      </c>
      <c r="T16" s="17" t="s">
        <v>140</v>
      </c>
      <c r="U16" s="135">
        <v>0.54830000000000001</v>
      </c>
      <c r="V16" s="16"/>
      <c r="W16" s="15"/>
      <c r="X16" s="5"/>
    </row>
    <row r="17" spans="1:24" ht="15.6" x14ac:dyDescent="0.3">
      <c r="A17" s="6"/>
      <c r="B17" s="14" t="s">
        <v>4</v>
      </c>
      <c r="C17" s="15"/>
      <c r="D17" s="15"/>
      <c r="E17" s="15"/>
      <c r="F17" s="15"/>
      <c r="G17" s="15"/>
      <c r="H17" s="15"/>
      <c r="I17" s="15"/>
      <c r="J17" s="15"/>
      <c r="K17" s="15"/>
      <c r="L17" s="15"/>
      <c r="M17" s="15"/>
      <c r="N17" s="15"/>
      <c r="O17" s="15"/>
      <c r="P17" s="15"/>
      <c r="Q17" s="15"/>
      <c r="R17" s="15"/>
      <c r="S17" s="15"/>
      <c r="T17" s="15"/>
      <c r="U17" s="15"/>
      <c r="V17" s="19">
        <v>39163</v>
      </c>
      <c r="W17" s="15"/>
      <c r="X17" s="5"/>
    </row>
    <row r="18" spans="1:24" ht="15.6" x14ac:dyDescent="0.3">
      <c r="A18" s="6"/>
      <c r="B18" s="14" t="s">
        <v>5</v>
      </c>
      <c r="C18" s="15"/>
      <c r="D18" s="15"/>
      <c r="E18" s="15"/>
      <c r="F18" s="15"/>
      <c r="G18" s="15"/>
      <c r="H18" s="15"/>
      <c r="I18" s="15"/>
      <c r="J18" s="15"/>
      <c r="K18" s="15"/>
      <c r="L18" s="15"/>
      <c r="M18" s="15"/>
      <c r="N18" s="15"/>
      <c r="O18" s="15"/>
      <c r="P18" s="15"/>
      <c r="Q18" s="15"/>
      <c r="R18" s="15"/>
      <c r="S18" s="15"/>
      <c r="T18" s="15"/>
      <c r="U18" s="15"/>
      <c r="V18" s="19">
        <v>40164</v>
      </c>
      <c r="W18" s="15"/>
      <c r="X18" s="5"/>
    </row>
    <row r="19" spans="1:24"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4" ht="15.6" x14ac:dyDescent="0.3">
      <c r="A20" s="6"/>
      <c r="B20" s="21" t="s">
        <v>6</v>
      </c>
      <c r="C20" s="8"/>
      <c r="D20" s="8"/>
      <c r="E20" s="8"/>
      <c r="F20" s="8"/>
      <c r="G20" s="8"/>
      <c r="H20" s="8"/>
      <c r="I20" s="8"/>
      <c r="J20" s="8"/>
      <c r="K20" s="8"/>
      <c r="L20" s="8"/>
      <c r="M20" s="8"/>
      <c r="N20" s="8"/>
      <c r="O20" s="8"/>
      <c r="P20" s="8"/>
      <c r="Q20" s="8"/>
      <c r="R20" s="8"/>
      <c r="S20" s="8"/>
      <c r="T20" s="20" t="s">
        <v>105</v>
      </c>
      <c r="U20" s="8"/>
      <c r="V20" s="173"/>
      <c r="W20" s="8"/>
      <c r="X20" s="5"/>
    </row>
    <row r="21" spans="1:24"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4" ht="15.6" x14ac:dyDescent="0.3">
      <c r="A22" s="6"/>
      <c r="B22" s="8"/>
      <c r="C22" s="112"/>
      <c r="D22" s="112" t="s">
        <v>177</v>
      </c>
      <c r="E22" s="112"/>
      <c r="F22" s="112" t="s">
        <v>178</v>
      </c>
      <c r="G22" s="112"/>
      <c r="H22" s="112" t="s">
        <v>179</v>
      </c>
      <c r="I22" s="112"/>
      <c r="J22" s="112" t="s">
        <v>220</v>
      </c>
      <c r="K22" s="112"/>
      <c r="L22" s="112" t="s">
        <v>180</v>
      </c>
      <c r="M22" s="112"/>
      <c r="N22" s="112" t="s">
        <v>181</v>
      </c>
      <c r="O22" s="112"/>
      <c r="P22" s="112" t="s">
        <v>221</v>
      </c>
      <c r="Q22" s="112"/>
      <c r="R22" s="112" t="s">
        <v>182</v>
      </c>
      <c r="S22" s="113"/>
      <c r="T22" s="23"/>
      <c r="U22" s="173"/>
      <c r="V22" s="173"/>
      <c r="W22" s="8"/>
      <c r="X22" s="5"/>
    </row>
    <row r="23" spans="1:24" ht="15.6" x14ac:dyDescent="0.3">
      <c r="A23" s="24"/>
      <c r="B23" s="25" t="s">
        <v>7</v>
      </c>
      <c r="C23" s="26"/>
      <c r="D23" s="26" t="s">
        <v>213</v>
      </c>
      <c r="E23" s="26"/>
      <c r="F23" s="26" t="s">
        <v>141</v>
      </c>
      <c r="G23" s="26"/>
      <c r="H23" s="26" t="s">
        <v>141</v>
      </c>
      <c r="I23" s="26"/>
      <c r="J23" s="26" t="s">
        <v>141</v>
      </c>
      <c r="K23" s="26"/>
      <c r="L23" s="26" t="s">
        <v>183</v>
      </c>
      <c r="M23" s="26"/>
      <c r="N23" s="26" t="s">
        <v>183</v>
      </c>
      <c r="O23" s="26"/>
      <c r="P23" s="26" t="s">
        <v>142</v>
      </c>
      <c r="Q23" s="26"/>
      <c r="R23" s="26" t="s">
        <v>142</v>
      </c>
      <c r="S23" s="26"/>
      <c r="T23" s="26"/>
      <c r="U23" s="174"/>
      <c r="V23" s="174"/>
      <c r="W23" s="25"/>
      <c r="X23" s="5"/>
    </row>
    <row r="24" spans="1:24" ht="15.6" x14ac:dyDescent="0.3">
      <c r="A24" s="24"/>
      <c r="B24" s="25" t="s">
        <v>8</v>
      </c>
      <c r="C24" s="26"/>
      <c r="D24" s="26" t="s">
        <v>214</v>
      </c>
      <c r="E24" s="26"/>
      <c r="F24" s="26" t="s">
        <v>143</v>
      </c>
      <c r="G24" s="26"/>
      <c r="H24" s="26" t="s">
        <v>143</v>
      </c>
      <c r="I24" s="26"/>
      <c r="J24" s="26" t="s">
        <v>143</v>
      </c>
      <c r="K24" s="26"/>
      <c r="L24" s="26" t="s">
        <v>165</v>
      </c>
      <c r="M24" s="26"/>
      <c r="N24" s="26" t="s">
        <v>165</v>
      </c>
      <c r="O24" s="26"/>
      <c r="P24" s="26" t="s">
        <v>144</v>
      </c>
      <c r="Q24" s="26"/>
      <c r="R24" s="26" t="s">
        <v>144</v>
      </c>
      <c r="S24" s="26"/>
      <c r="T24" s="26"/>
      <c r="U24" s="174"/>
      <c r="V24" s="174"/>
      <c r="W24" s="25"/>
      <c r="X24" s="5"/>
    </row>
    <row r="25" spans="1:24" ht="15.6" x14ac:dyDescent="0.3">
      <c r="A25" s="28"/>
      <c r="B25" s="131" t="s">
        <v>190</v>
      </c>
      <c r="C25" s="123"/>
      <c r="D25" s="26" t="s">
        <v>215</v>
      </c>
      <c r="E25" s="26"/>
      <c r="F25" s="26" t="s">
        <v>143</v>
      </c>
      <c r="G25" s="26"/>
      <c r="H25" s="26" t="s">
        <v>143</v>
      </c>
      <c r="I25" s="26"/>
      <c r="J25" s="26" t="s">
        <v>143</v>
      </c>
      <c r="K25" s="26"/>
      <c r="L25" s="26" t="s">
        <v>293</v>
      </c>
      <c r="M25" s="26"/>
      <c r="N25" s="26" t="s">
        <v>293</v>
      </c>
      <c r="O25" s="26"/>
      <c r="P25" s="26" t="s">
        <v>144</v>
      </c>
      <c r="Q25" s="26"/>
      <c r="R25" s="26" t="s">
        <v>144</v>
      </c>
      <c r="S25" s="123"/>
      <c r="T25" s="26"/>
      <c r="U25" s="174"/>
      <c r="V25" s="174"/>
      <c r="W25" s="25"/>
      <c r="X25" s="5"/>
    </row>
    <row r="26" spans="1:24" ht="15.6" x14ac:dyDescent="0.3">
      <c r="A26" s="28"/>
      <c r="B26" s="29" t="s">
        <v>9</v>
      </c>
      <c r="C26" s="123"/>
      <c r="D26" s="123" t="s">
        <v>213</v>
      </c>
      <c r="E26" s="123"/>
      <c r="F26" s="123" t="s">
        <v>141</v>
      </c>
      <c r="G26" s="123"/>
      <c r="H26" s="123" t="s">
        <v>141</v>
      </c>
      <c r="I26" s="123"/>
      <c r="J26" s="123" t="s">
        <v>141</v>
      </c>
      <c r="K26" s="123"/>
      <c r="L26" s="123" t="s">
        <v>183</v>
      </c>
      <c r="M26" s="123"/>
      <c r="N26" s="123" t="s">
        <v>183</v>
      </c>
      <c r="O26" s="123"/>
      <c r="P26" s="123" t="s">
        <v>142</v>
      </c>
      <c r="Q26" s="123"/>
      <c r="R26" s="123" t="s">
        <v>142</v>
      </c>
      <c r="S26" s="123"/>
      <c r="T26" s="26"/>
      <c r="U26" s="174"/>
      <c r="V26" s="174"/>
      <c r="W26" s="25"/>
      <c r="X26" s="5"/>
    </row>
    <row r="27" spans="1:24" ht="15.6" x14ac:dyDescent="0.3">
      <c r="A27" s="24"/>
      <c r="B27" s="29" t="s">
        <v>191</v>
      </c>
      <c r="C27" s="26"/>
      <c r="D27" s="123" t="s">
        <v>214</v>
      </c>
      <c r="E27" s="123"/>
      <c r="F27" s="123" t="s">
        <v>143</v>
      </c>
      <c r="G27" s="123"/>
      <c r="H27" s="123" t="s">
        <v>143</v>
      </c>
      <c r="I27" s="123"/>
      <c r="J27" s="123" t="s">
        <v>143</v>
      </c>
      <c r="K27" s="123"/>
      <c r="L27" s="123" t="s">
        <v>165</v>
      </c>
      <c r="M27" s="123"/>
      <c r="N27" s="123" t="s">
        <v>165</v>
      </c>
      <c r="O27" s="123"/>
      <c r="P27" s="123" t="s">
        <v>144</v>
      </c>
      <c r="Q27" s="123"/>
      <c r="R27" s="123" t="s">
        <v>144</v>
      </c>
      <c r="S27" s="26"/>
      <c r="T27" s="30"/>
      <c r="U27" s="174"/>
      <c r="V27" s="174"/>
      <c r="W27" s="25"/>
      <c r="X27" s="5"/>
    </row>
    <row r="28" spans="1:24" ht="15.6" x14ac:dyDescent="0.3">
      <c r="A28" s="24"/>
      <c r="B28" s="151" t="s">
        <v>192</v>
      </c>
      <c r="C28" s="26"/>
      <c r="D28" s="123" t="s">
        <v>215</v>
      </c>
      <c r="E28" s="123"/>
      <c r="F28" s="123" t="s">
        <v>143</v>
      </c>
      <c r="G28" s="123"/>
      <c r="H28" s="123" t="s">
        <v>143</v>
      </c>
      <c r="I28" s="123"/>
      <c r="J28" s="123" t="s">
        <v>143</v>
      </c>
      <c r="K28" s="123"/>
      <c r="L28" s="123" t="s">
        <v>293</v>
      </c>
      <c r="M28" s="123"/>
      <c r="N28" s="123" t="s">
        <v>293</v>
      </c>
      <c r="O28" s="123"/>
      <c r="P28" s="123" t="s">
        <v>144</v>
      </c>
      <c r="Q28" s="123"/>
      <c r="R28" s="123" t="s">
        <v>144</v>
      </c>
      <c r="S28" s="26"/>
      <c r="T28" s="30"/>
      <c r="U28" s="174"/>
      <c r="V28" s="174"/>
      <c r="W28" s="25"/>
      <c r="X28" s="5"/>
    </row>
    <row r="29" spans="1:24" ht="15.6" x14ac:dyDescent="0.3">
      <c r="A29" s="24"/>
      <c r="B29" s="25" t="s">
        <v>10</v>
      </c>
      <c r="C29" s="32"/>
      <c r="D29" s="26" t="s">
        <v>249</v>
      </c>
      <c r="E29" s="26"/>
      <c r="F29" s="30" t="s">
        <v>250</v>
      </c>
      <c r="G29" s="26"/>
      <c r="H29" s="26" t="s">
        <v>251</v>
      </c>
      <c r="I29" s="26"/>
      <c r="J29" s="26" t="s">
        <v>253</v>
      </c>
      <c r="K29" s="26"/>
      <c r="L29" s="26" t="s">
        <v>254</v>
      </c>
      <c r="M29" s="26"/>
      <c r="N29" s="26" t="s">
        <v>255</v>
      </c>
      <c r="O29" s="26"/>
      <c r="P29" s="26" t="s">
        <v>256</v>
      </c>
      <c r="Q29" s="26"/>
      <c r="R29" s="26" t="s">
        <v>257</v>
      </c>
      <c r="S29" s="31"/>
      <c r="T29" s="31"/>
      <c r="U29" s="175"/>
      <c r="V29" s="31"/>
      <c r="W29" s="34"/>
      <c r="X29" s="5"/>
    </row>
    <row r="30" spans="1:24" ht="15.6" x14ac:dyDescent="0.3">
      <c r="A30" s="24"/>
      <c r="B30" s="25" t="s">
        <v>10</v>
      </c>
      <c r="C30" s="32"/>
      <c r="D30" s="26" t="s">
        <v>248</v>
      </c>
      <c r="E30" s="26"/>
      <c r="F30" s="30" t="s">
        <v>118</v>
      </c>
      <c r="G30" s="26"/>
      <c r="H30" s="26" t="s">
        <v>118</v>
      </c>
      <c r="I30" s="26"/>
      <c r="J30" s="26" t="s">
        <v>252</v>
      </c>
      <c r="K30" s="26"/>
      <c r="L30" s="26" t="s">
        <v>118</v>
      </c>
      <c r="M30" s="26"/>
      <c r="N30" s="26" t="s">
        <v>118</v>
      </c>
      <c r="O30" s="26"/>
      <c r="P30" s="26" t="s">
        <v>118</v>
      </c>
      <c r="Q30" s="26"/>
      <c r="R30" s="26" t="s">
        <v>118</v>
      </c>
      <c r="S30" s="31"/>
      <c r="T30" s="31"/>
      <c r="U30" s="175"/>
      <c r="V30" s="31"/>
      <c r="W30" s="34"/>
      <c r="X30" s="5"/>
    </row>
    <row r="31" spans="1:24" ht="15.6" x14ac:dyDescent="0.3">
      <c r="A31" s="28"/>
      <c r="B31" s="25" t="s">
        <v>133</v>
      </c>
      <c r="C31" s="36"/>
      <c r="D31" s="144">
        <v>1500000</v>
      </c>
      <c r="E31" s="32"/>
      <c r="F31" s="31">
        <v>125000</v>
      </c>
      <c r="G31" s="31"/>
      <c r="H31" s="124">
        <v>246000</v>
      </c>
      <c r="I31" s="124"/>
      <c r="J31" s="144">
        <v>400000</v>
      </c>
      <c r="K31" s="31"/>
      <c r="L31" s="31">
        <v>51900</v>
      </c>
      <c r="M31" s="31"/>
      <c r="N31" s="124">
        <v>88800</v>
      </c>
      <c r="O31" s="31"/>
      <c r="P31" s="31">
        <v>20000</v>
      </c>
      <c r="Q31" s="31"/>
      <c r="R31" s="124">
        <v>135500</v>
      </c>
      <c r="S31" s="35"/>
      <c r="T31" s="35"/>
      <c r="U31" s="37"/>
      <c r="V31" s="35"/>
      <c r="W31" s="34"/>
      <c r="X31" s="5"/>
    </row>
    <row r="32" spans="1:24" ht="15.6" x14ac:dyDescent="0.3">
      <c r="A32" s="24"/>
      <c r="B32" s="25" t="s">
        <v>132</v>
      </c>
      <c r="C32" s="32"/>
      <c r="D32" s="144">
        <f>D31*D38</f>
        <v>1148669.1000000001</v>
      </c>
      <c r="E32" s="32"/>
      <c r="F32" s="31">
        <f>F31*F38</f>
        <v>95722.475000000006</v>
      </c>
      <c r="G32" s="31"/>
      <c r="H32" s="124">
        <f>H31*H38</f>
        <v>188381.8308</v>
      </c>
      <c r="I32" s="124"/>
      <c r="J32" s="144">
        <f>J31*J38</f>
        <v>306311.76</v>
      </c>
      <c r="K32" s="31"/>
      <c r="L32" s="31">
        <f>+L31</f>
        <v>51900</v>
      </c>
      <c r="M32" s="31"/>
      <c r="N32" s="124">
        <f>+N31</f>
        <v>88800</v>
      </c>
      <c r="O32" s="31"/>
      <c r="P32" s="31">
        <f>+P31</f>
        <v>20000</v>
      </c>
      <c r="Q32" s="31"/>
      <c r="R32" s="124">
        <f>+R31</f>
        <v>135500</v>
      </c>
      <c r="S32" s="31"/>
      <c r="T32" s="31"/>
      <c r="U32" s="175"/>
      <c r="V32" s="31"/>
      <c r="W32" s="34"/>
      <c r="X32" s="5"/>
    </row>
    <row r="33" spans="1:24" ht="15.6" x14ac:dyDescent="0.3">
      <c r="A33" s="24"/>
      <c r="B33" s="29" t="s">
        <v>134</v>
      </c>
      <c r="C33" s="32"/>
      <c r="D33" s="149">
        <f>D37*D31</f>
        <v>1143810</v>
      </c>
      <c r="E33" s="36"/>
      <c r="F33" s="35">
        <f>F37*F31</f>
        <v>95317.55</v>
      </c>
      <c r="G33" s="35"/>
      <c r="H33" s="125">
        <f>H31*H37</f>
        <v>187584.93840000001</v>
      </c>
      <c r="I33" s="125"/>
      <c r="J33" s="149">
        <f>J37*J31</f>
        <v>305016</v>
      </c>
      <c r="K33" s="35"/>
      <c r="L33" s="35">
        <f>L31*L37</f>
        <v>51900</v>
      </c>
      <c r="M33" s="35"/>
      <c r="N33" s="125">
        <f>N31*N37</f>
        <v>88800</v>
      </c>
      <c r="O33" s="35"/>
      <c r="P33" s="35">
        <f>P31*P37</f>
        <v>20000</v>
      </c>
      <c r="Q33" s="35"/>
      <c r="R33" s="125">
        <f>R31*R37</f>
        <v>135500</v>
      </c>
      <c r="S33" s="31"/>
      <c r="T33" s="31"/>
      <c r="U33" s="175"/>
      <c r="V33" s="31"/>
      <c r="W33" s="34"/>
      <c r="X33" s="5"/>
    </row>
    <row r="34" spans="1:24" ht="15.6" x14ac:dyDescent="0.3">
      <c r="A34" s="28"/>
      <c r="B34" s="25" t="s">
        <v>296</v>
      </c>
      <c r="C34" s="36"/>
      <c r="D34" s="31">
        <v>775194</v>
      </c>
      <c r="E34" s="32"/>
      <c r="F34" s="31">
        <v>125000</v>
      </c>
      <c r="G34" s="31"/>
      <c r="H34" s="31">
        <v>168148</v>
      </c>
      <c r="I34" s="31"/>
      <c r="J34" s="31">
        <v>206718</v>
      </c>
      <c r="K34" s="31"/>
      <c r="L34" s="31">
        <v>51900</v>
      </c>
      <c r="M34" s="31"/>
      <c r="N34" s="31">
        <v>60697</v>
      </c>
      <c r="O34" s="31"/>
      <c r="P34" s="31">
        <v>20000</v>
      </c>
      <c r="Q34" s="31"/>
      <c r="R34" s="31">
        <v>92618</v>
      </c>
      <c r="S34" s="35"/>
      <c r="T34" s="35"/>
      <c r="U34" s="37"/>
      <c r="V34" s="152">
        <f>SUM(C34:R34)</f>
        <v>1500275</v>
      </c>
      <c r="W34" s="34"/>
      <c r="X34" s="5"/>
    </row>
    <row r="35" spans="1:24" ht="15.6" x14ac:dyDescent="0.3">
      <c r="A35" s="28"/>
      <c r="B35" s="25" t="s">
        <v>297</v>
      </c>
      <c r="C35" s="126"/>
      <c r="D35" s="31">
        <f>D34*D38</f>
        <v>593627.59620360006</v>
      </c>
      <c r="E35" s="32"/>
      <c r="F35" s="31">
        <f>F34*F38</f>
        <v>95722.475000000006</v>
      </c>
      <c r="G35" s="31"/>
      <c r="H35" s="31">
        <f>H34*H38</f>
        <v>128764.3418104</v>
      </c>
      <c r="I35" s="31"/>
      <c r="J35" s="31">
        <f>J34*J38</f>
        <v>158300.38600920001</v>
      </c>
      <c r="K35" s="31"/>
      <c r="L35" s="31">
        <f>+L34</f>
        <v>51900</v>
      </c>
      <c r="M35" s="31"/>
      <c r="N35" s="31">
        <f>+N34</f>
        <v>60697</v>
      </c>
      <c r="O35" s="31"/>
      <c r="P35" s="31">
        <f>+P34</f>
        <v>20000</v>
      </c>
      <c r="Q35" s="31"/>
      <c r="R35" s="31">
        <f>+R34</f>
        <v>92618</v>
      </c>
      <c r="S35" s="31"/>
      <c r="T35" s="31"/>
      <c r="U35" s="175"/>
      <c r="V35" s="152">
        <f>SUM(C35:R35)</f>
        <v>1201629.7990232001</v>
      </c>
      <c r="W35" s="34"/>
      <c r="X35" s="5"/>
    </row>
    <row r="36" spans="1:24" ht="15.6" x14ac:dyDescent="0.3">
      <c r="A36" s="28"/>
      <c r="B36" s="29" t="s">
        <v>298</v>
      </c>
      <c r="C36" s="126"/>
      <c r="D36" s="35">
        <f>D34*D37</f>
        <v>591116.43276</v>
      </c>
      <c r="E36" s="36"/>
      <c r="F36" s="35">
        <f>F34*F37</f>
        <v>95317.55</v>
      </c>
      <c r="G36" s="35"/>
      <c r="H36" s="35">
        <f>H34*H37</f>
        <v>128219.64317920001</v>
      </c>
      <c r="I36" s="35"/>
      <c r="J36" s="35">
        <f>J34*J37</f>
        <v>157630.74372</v>
      </c>
      <c r="K36" s="35"/>
      <c r="L36" s="35">
        <f>L34*L37</f>
        <v>51900</v>
      </c>
      <c r="M36" s="35"/>
      <c r="N36" s="35">
        <f>N34*N37</f>
        <v>60697</v>
      </c>
      <c r="O36" s="35"/>
      <c r="P36" s="35">
        <f>P34*P37</f>
        <v>20000</v>
      </c>
      <c r="Q36" s="35"/>
      <c r="R36" s="35">
        <f>R34*R37</f>
        <v>92618</v>
      </c>
      <c r="S36" s="128"/>
      <c r="T36" s="128"/>
      <c r="U36" s="175"/>
      <c r="V36" s="153">
        <f>SUM(C36:R36)</f>
        <v>1197499.3696592001</v>
      </c>
      <c r="W36" s="34"/>
      <c r="X36" s="5"/>
    </row>
    <row r="37" spans="1:24" ht="15.6" x14ac:dyDescent="0.3">
      <c r="A37" s="24"/>
      <c r="B37" s="122" t="s">
        <v>130</v>
      </c>
      <c r="C37" s="25"/>
      <c r="D37" s="171">
        <v>0.76254</v>
      </c>
      <c r="E37" s="171"/>
      <c r="F37" s="171">
        <v>0.76254040000000001</v>
      </c>
      <c r="G37" s="171"/>
      <c r="H37" s="171">
        <v>0.76254040000000001</v>
      </c>
      <c r="I37" s="171"/>
      <c r="J37" s="171">
        <v>0.76254</v>
      </c>
      <c r="K37" s="171"/>
      <c r="L37" s="171">
        <v>1</v>
      </c>
      <c r="M37" s="171"/>
      <c r="N37" s="171">
        <v>1</v>
      </c>
      <c r="O37" s="171"/>
      <c r="P37" s="171">
        <v>1</v>
      </c>
      <c r="Q37" s="171"/>
      <c r="R37" s="171">
        <v>1</v>
      </c>
      <c r="S37" s="30"/>
      <c r="T37" s="30"/>
      <c r="U37" s="174"/>
      <c r="V37" s="174"/>
      <c r="W37" s="25"/>
      <c r="X37" s="5"/>
    </row>
    <row r="38" spans="1:24" ht="15.6" x14ac:dyDescent="0.3">
      <c r="A38" s="24"/>
      <c r="B38" s="122" t="s">
        <v>131</v>
      </c>
      <c r="C38" s="25"/>
      <c r="D38" s="171">
        <v>0.7657794</v>
      </c>
      <c r="E38" s="171"/>
      <c r="F38" s="171">
        <v>0.76577980000000001</v>
      </c>
      <c r="G38" s="171"/>
      <c r="H38" s="171">
        <v>0.76577980000000001</v>
      </c>
      <c r="I38" s="171"/>
      <c r="J38" s="171">
        <v>0.7657794</v>
      </c>
      <c r="K38" s="171"/>
      <c r="L38" s="171">
        <v>1</v>
      </c>
      <c r="M38" s="171"/>
      <c r="N38" s="171">
        <v>1</v>
      </c>
      <c r="O38" s="171"/>
      <c r="P38" s="171">
        <v>1</v>
      </c>
      <c r="Q38" s="171"/>
      <c r="R38" s="171">
        <v>1</v>
      </c>
      <c r="S38" s="39"/>
      <c r="T38" s="38"/>
      <c r="U38" s="174"/>
      <c r="V38" s="39"/>
      <c r="W38" s="25"/>
      <c r="X38" s="5"/>
    </row>
    <row r="39" spans="1:24" ht="15.6" x14ac:dyDescent="0.3">
      <c r="A39" s="24"/>
      <c r="B39" s="25" t="s">
        <v>11</v>
      </c>
      <c r="C39" s="25"/>
      <c r="D39" s="30" t="s">
        <v>285</v>
      </c>
      <c r="E39" s="25"/>
      <c r="F39" s="30" t="s">
        <v>258</v>
      </c>
      <c r="G39" s="30"/>
      <c r="H39" s="30" t="s">
        <v>258</v>
      </c>
      <c r="I39" s="30"/>
      <c r="J39" s="30" t="s">
        <v>258</v>
      </c>
      <c r="K39" s="30"/>
      <c r="L39" s="30" t="s">
        <v>232</v>
      </c>
      <c r="M39" s="30"/>
      <c r="N39" s="30" t="s">
        <v>232</v>
      </c>
      <c r="O39" s="30"/>
      <c r="P39" s="30" t="s">
        <v>233</v>
      </c>
      <c r="Q39" s="30"/>
      <c r="R39" s="30" t="s">
        <v>233</v>
      </c>
      <c r="S39" s="39"/>
      <c r="T39" s="38"/>
      <c r="U39" s="174"/>
      <c r="V39" s="174"/>
      <c r="W39" s="25"/>
      <c r="X39" s="5"/>
    </row>
    <row r="40" spans="1:24" ht="15.6" x14ac:dyDescent="0.3">
      <c r="A40" s="24"/>
      <c r="B40" s="25" t="s">
        <v>12</v>
      </c>
      <c r="C40" s="25"/>
      <c r="D40" s="38">
        <v>3.3874999999999999E-3</v>
      </c>
      <c r="E40" s="25"/>
      <c r="F40" s="38">
        <v>7.1063000000000003E-3</v>
      </c>
      <c r="G40" s="39"/>
      <c r="H40" s="38">
        <v>8.7299999999999999E-3</v>
      </c>
      <c r="I40" s="38"/>
      <c r="J40" s="38">
        <v>3.9899999999999996E-3</v>
      </c>
      <c r="K40" s="39"/>
      <c r="L40" s="38">
        <v>7.9062999999999998E-3</v>
      </c>
      <c r="M40" s="39"/>
      <c r="N40" s="38">
        <v>9.5300000000000003E-3</v>
      </c>
      <c r="O40" s="39"/>
      <c r="P40" s="38">
        <v>9.9062999999999998E-3</v>
      </c>
      <c r="Q40" s="39"/>
      <c r="R40" s="38">
        <v>1.153E-2</v>
      </c>
      <c r="S40" s="39"/>
      <c r="T40" s="38"/>
      <c r="U40" s="174"/>
      <c r="V40" s="30"/>
      <c r="W40" s="25"/>
      <c r="X40" s="5"/>
    </row>
    <row r="41" spans="1:24" ht="15.6" x14ac:dyDescent="0.3">
      <c r="A41" s="24"/>
      <c r="B41" s="25" t="s">
        <v>13</v>
      </c>
      <c r="C41" s="25"/>
      <c r="D41" s="38">
        <v>3.7280999999999998E-3</v>
      </c>
      <c r="E41" s="25"/>
      <c r="F41" s="38">
        <v>1.3518799999999999E-2</v>
      </c>
      <c r="G41" s="39"/>
      <c r="H41" s="38">
        <v>1.3769999999999999E-2</v>
      </c>
      <c r="I41" s="38"/>
      <c r="J41" s="38">
        <v>7.2937999999999996E-3</v>
      </c>
      <c r="K41" s="39"/>
      <c r="L41" s="38">
        <v>1.43188E-2</v>
      </c>
      <c r="M41" s="39"/>
      <c r="N41" s="38">
        <v>1.457E-2</v>
      </c>
      <c r="O41" s="39"/>
      <c r="P41" s="38">
        <v>1.6318800000000001E-2</v>
      </c>
      <c r="Q41" s="39"/>
      <c r="R41" s="38">
        <v>1.6570000000000001E-2</v>
      </c>
      <c r="S41" s="39"/>
      <c r="T41" s="38"/>
      <c r="U41" s="174"/>
      <c r="V41" s="39" t="s">
        <v>193</v>
      </c>
      <c r="W41" s="25"/>
      <c r="X41" s="5"/>
    </row>
    <row r="42" spans="1:24" ht="15.6" x14ac:dyDescent="0.3">
      <c r="A42" s="24"/>
      <c r="B42" s="25" t="s">
        <v>299</v>
      </c>
      <c r="C42" s="25"/>
      <c r="D42" s="30" t="s">
        <v>286</v>
      </c>
      <c r="E42" s="25"/>
      <c r="F42" s="30" t="s">
        <v>258</v>
      </c>
      <c r="G42" s="30"/>
      <c r="H42" s="30" t="s">
        <v>259</v>
      </c>
      <c r="I42" s="30"/>
      <c r="J42" s="30" t="s">
        <v>260</v>
      </c>
      <c r="K42" s="30"/>
      <c r="L42" s="30" t="s">
        <v>232</v>
      </c>
      <c r="M42" s="30"/>
      <c r="N42" s="30" t="s">
        <v>235</v>
      </c>
      <c r="O42" s="30"/>
      <c r="P42" s="30" t="s">
        <v>233</v>
      </c>
      <c r="Q42" s="30"/>
      <c r="R42" s="30" t="s">
        <v>261</v>
      </c>
      <c r="S42" s="39"/>
      <c r="T42" s="38"/>
      <c r="U42" s="174"/>
      <c r="V42" s="174"/>
      <c r="W42" s="25"/>
      <c r="X42" s="5"/>
    </row>
    <row r="43" spans="1:24" ht="15.6" x14ac:dyDescent="0.3">
      <c r="A43" s="24"/>
      <c r="B43" s="25" t="s">
        <v>300</v>
      </c>
      <c r="C43" s="110"/>
      <c r="D43" s="38">
        <v>7.4453000000000002E-3</v>
      </c>
      <c r="E43" s="38"/>
      <c r="F43" s="38">
        <f>+F40</f>
        <v>7.1063000000000003E-3</v>
      </c>
      <c r="G43" s="38"/>
      <c r="H43" s="38">
        <v>7.2462999999999998E-3</v>
      </c>
      <c r="I43" s="38"/>
      <c r="J43" s="38">
        <v>7.4692999999999999E-3</v>
      </c>
      <c r="K43" s="38"/>
      <c r="L43" s="38">
        <f>+L40</f>
        <v>7.9062999999999998E-3</v>
      </c>
      <c r="M43" s="38"/>
      <c r="N43" s="38">
        <v>8.2022999999999992E-3</v>
      </c>
      <c r="O43" s="38"/>
      <c r="P43" s="38">
        <f>+P40</f>
        <v>9.9062999999999998E-3</v>
      </c>
      <c r="Q43" s="39"/>
      <c r="R43" s="38">
        <v>1.04393E-2</v>
      </c>
      <c r="S43" s="30"/>
      <c r="T43" s="30"/>
      <c r="U43" s="174"/>
      <c r="V43" s="39">
        <f>SUMPRODUCT(D43:R43,D35:R35)/V35</f>
        <v>7.7300108215001473E-3</v>
      </c>
      <c r="W43" s="25"/>
      <c r="X43" s="5"/>
    </row>
    <row r="44" spans="1:24" ht="15.6" x14ac:dyDescent="0.3">
      <c r="A44" s="24"/>
      <c r="B44" s="25" t="s">
        <v>301</v>
      </c>
      <c r="C44" s="110"/>
      <c r="D44" s="38">
        <v>1.38578E-2</v>
      </c>
      <c r="E44" s="38"/>
      <c r="F44" s="38">
        <f>+F41</f>
        <v>1.3518799999999999E-2</v>
      </c>
      <c r="G44" s="38"/>
      <c r="H44" s="38">
        <v>1.36588E-2</v>
      </c>
      <c r="I44" s="38"/>
      <c r="J44" s="38">
        <v>1.38818E-2</v>
      </c>
      <c r="K44" s="38"/>
      <c r="L44" s="38">
        <f>+L41</f>
        <v>1.43188E-2</v>
      </c>
      <c r="M44" s="38"/>
      <c r="N44" s="38">
        <v>1.4614800000000001E-2</v>
      </c>
      <c r="O44" s="38"/>
      <c r="P44" s="38">
        <f>+P41</f>
        <v>1.6318800000000001E-2</v>
      </c>
      <c r="Q44" s="39"/>
      <c r="R44" s="38">
        <v>1.68518E-2</v>
      </c>
      <c r="S44" s="30"/>
      <c r="T44" s="30"/>
      <c r="U44" s="174"/>
      <c r="V44" s="174"/>
      <c r="W44" s="25"/>
      <c r="X44" s="5"/>
    </row>
    <row r="45" spans="1:24" ht="15.6" x14ac:dyDescent="0.3">
      <c r="A45" s="24"/>
      <c r="B45" s="25" t="s">
        <v>14</v>
      </c>
      <c r="C45" s="25"/>
      <c r="D45" s="110">
        <v>40617</v>
      </c>
      <c r="E45" s="110"/>
      <c r="F45" s="110">
        <v>40617</v>
      </c>
      <c r="G45" s="110"/>
      <c r="H45" s="110">
        <v>40617</v>
      </c>
      <c r="I45" s="110"/>
      <c r="J45" s="110">
        <v>40617</v>
      </c>
      <c r="K45" s="110"/>
      <c r="L45" s="110">
        <v>40617</v>
      </c>
      <c r="M45" s="110"/>
      <c r="N45" s="110">
        <v>40617</v>
      </c>
      <c r="O45" s="110"/>
      <c r="P45" s="110">
        <v>40617</v>
      </c>
      <c r="Q45" s="110"/>
      <c r="R45" s="110">
        <v>40617</v>
      </c>
      <c r="S45" s="30"/>
      <c r="T45" s="30"/>
      <c r="U45" s="174"/>
      <c r="V45" s="174"/>
      <c r="W45" s="25"/>
      <c r="X45" s="5"/>
    </row>
    <row r="46" spans="1:24" ht="15.6" x14ac:dyDescent="0.3">
      <c r="A46" s="24"/>
      <c r="B46" s="25" t="s">
        <v>15</v>
      </c>
      <c r="C46" s="25"/>
      <c r="D46" s="110" t="s">
        <v>118</v>
      </c>
      <c r="E46" s="110"/>
      <c r="F46" s="110">
        <v>40983</v>
      </c>
      <c r="G46" s="110"/>
      <c r="H46" s="110">
        <v>40983</v>
      </c>
      <c r="I46" s="110"/>
      <c r="J46" s="110">
        <v>40983</v>
      </c>
      <c r="K46" s="30"/>
      <c r="L46" s="110">
        <v>40983</v>
      </c>
      <c r="M46" s="30"/>
      <c r="N46" s="110">
        <v>40983</v>
      </c>
      <c r="O46" s="30"/>
      <c r="P46" s="110">
        <v>40983</v>
      </c>
      <c r="Q46" s="30"/>
      <c r="R46" s="110">
        <v>40983</v>
      </c>
      <c r="S46" s="30"/>
      <c r="T46" s="30"/>
      <c r="U46" s="174"/>
      <c r="V46" s="174"/>
      <c r="W46" s="25"/>
      <c r="X46" s="5"/>
    </row>
    <row r="47" spans="1:24" ht="15.6" x14ac:dyDescent="0.3">
      <c r="A47" s="24"/>
      <c r="B47" s="25" t="s">
        <v>119</v>
      </c>
      <c r="C47" s="25"/>
      <c r="D47" s="158" t="s">
        <v>118</v>
      </c>
      <c r="E47" s="25"/>
      <c r="F47" s="30" t="s">
        <v>231</v>
      </c>
      <c r="G47" s="30"/>
      <c r="H47" s="30" t="s">
        <v>231</v>
      </c>
      <c r="I47" s="30"/>
      <c r="J47" s="30" t="s">
        <v>231</v>
      </c>
      <c r="K47" s="30"/>
      <c r="L47" s="30" t="s">
        <v>265</v>
      </c>
      <c r="M47" s="30"/>
      <c r="N47" s="30" t="s">
        <v>265</v>
      </c>
      <c r="O47" s="30"/>
      <c r="P47" s="30" t="s">
        <v>266</v>
      </c>
      <c r="Q47" s="30"/>
      <c r="R47" s="30" t="s">
        <v>266</v>
      </c>
      <c r="S47" s="40"/>
      <c r="T47" s="40"/>
      <c r="U47" s="40"/>
      <c r="V47" s="40"/>
      <c r="W47" s="25"/>
      <c r="X47" s="5"/>
    </row>
    <row r="48" spans="1:24" ht="15.6" x14ac:dyDescent="0.3">
      <c r="A48" s="24"/>
      <c r="B48" s="25" t="s">
        <v>302</v>
      </c>
      <c r="C48" s="25"/>
      <c r="D48" s="30" t="s">
        <v>200</v>
      </c>
      <c r="E48" s="25"/>
      <c r="F48" s="30" t="s">
        <v>231</v>
      </c>
      <c r="G48" s="30"/>
      <c r="H48" s="30" t="s">
        <v>262</v>
      </c>
      <c r="I48" s="30"/>
      <c r="J48" s="30" t="s">
        <v>263</v>
      </c>
      <c r="K48" s="30"/>
      <c r="L48" s="30" t="s">
        <v>265</v>
      </c>
      <c r="M48" s="30"/>
      <c r="N48" s="30" t="s">
        <v>234</v>
      </c>
      <c r="O48" s="30"/>
      <c r="P48" s="30" t="s">
        <v>266</v>
      </c>
      <c r="Q48" s="30"/>
      <c r="R48" s="30" t="s">
        <v>264</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193</v>
      </c>
      <c r="W49" s="25"/>
      <c r="X49" s="5"/>
    </row>
    <row r="50" spans="1:25" ht="15.6" x14ac:dyDescent="0.3">
      <c r="A50" s="24"/>
      <c r="B50" s="25" t="s">
        <v>169</v>
      </c>
      <c r="C50" s="25"/>
      <c r="D50" s="30"/>
      <c r="E50" s="25"/>
      <c r="F50" s="30"/>
      <c r="G50" s="30"/>
      <c r="H50" s="30"/>
      <c r="I50" s="30"/>
      <c r="J50" s="30"/>
      <c r="K50" s="30"/>
      <c r="L50" s="30"/>
      <c r="M50" s="30"/>
      <c r="N50" s="30"/>
      <c r="O50" s="30"/>
      <c r="P50" s="30"/>
      <c r="Q50" s="30"/>
      <c r="R50" s="30"/>
      <c r="S50" s="25"/>
      <c r="T50" s="25"/>
      <c r="U50" s="25"/>
      <c r="V50" s="39">
        <f>SUM(L34:R34)/SUM(D34:J34)</f>
        <v>0.17663090364375009</v>
      </c>
      <c r="W50" s="25"/>
      <c r="X50" s="5"/>
    </row>
    <row r="51" spans="1:25" ht="15.6" x14ac:dyDescent="0.3">
      <c r="A51" s="24"/>
      <c r="B51" s="25" t="s">
        <v>170</v>
      </c>
      <c r="C51" s="25"/>
      <c r="D51" s="25"/>
      <c r="E51" s="25"/>
      <c r="F51" s="41"/>
      <c r="G51" s="25"/>
      <c r="H51" s="25"/>
      <c r="I51" s="25"/>
      <c r="J51" s="25"/>
      <c r="K51" s="25"/>
      <c r="L51" s="25"/>
      <c r="M51" s="25"/>
      <c r="N51" s="25"/>
      <c r="O51" s="25"/>
      <c r="P51" s="25"/>
      <c r="Q51" s="25"/>
      <c r="R51" s="25"/>
      <c r="S51" s="25"/>
      <c r="T51" s="25"/>
      <c r="U51" s="25"/>
      <c r="V51" s="39">
        <f>SUM(L36:R36)/SUM(D36:J36)</f>
        <v>0.23163490746944862</v>
      </c>
      <c r="W51" s="25"/>
      <c r="X51" s="5"/>
    </row>
    <row r="52" spans="1:25" ht="15.6" x14ac:dyDescent="0.3">
      <c r="A52" s="24"/>
      <c r="B52" s="25" t="s">
        <v>171</v>
      </c>
      <c r="C52" s="25"/>
      <c r="D52" s="25"/>
      <c r="E52" s="25"/>
      <c r="F52" s="25"/>
      <c r="G52" s="25"/>
      <c r="H52" s="25"/>
      <c r="I52" s="25"/>
      <c r="J52" s="25"/>
      <c r="K52" s="25"/>
      <c r="L52" s="25"/>
      <c r="M52" s="25"/>
      <c r="N52" s="25"/>
      <c r="O52" s="25"/>
      <c r="P52" s="25"/>
      <c r="Q52" s="25"/>
      <c r="R52" s="25"/>
      <c r="S52" s="25"/>
      <c r="T52" s="30"/>
      <c r="U52" s="30"/>
      <c r="V52" s="31" t="s">
        <v>276</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202</v>
      </c>
      <c r="C54" s="25"/>
      <c r="D54" s="25"/>
      <c r="E54" s="25"/>
      <c r="F54" s="25"/>
      <c r="G54" s="25"/>
      <c r="H54" s="25"/>
      <c r="I54" s="25"/>
      <c r="J54" s="25"/>
      <c r="K54" s="25"/>
      <c r="L54" s="25"/>
      <c r="M54" s="25"/>
      <c r="N54" s="25"/>
      <c r="O54" s="25"/>
      <c r="P54" s="25"/>
      <c r="Q54" s="25"/>
      <c r="R54" s="25"/>
      <c r="S54" s="25"/>
      <c r="T54" s="25"/>
      <c r="U54" s="25"/>
      <c r="V54" s="154" t="s">
        <v>203</v>
      </c>
      <c r="W54" s="25"/>
      <c r="X54" s="5"/>
    </row>
    <row r="55" spans="1:25" ht="15.6" x14ac:dyDescent="0.3">
      <c r="A55" s="24"/>
      <c r="B55" s="25" t="s">
        <v>280</v>
      </c>
      <c r="C55" s="25"/>
      <c r="D55" s="25"/>
      <c r="E55" s="25"/>
      <c r="F55" s="25"/>
      <c r="G55" s="25"/>
      <c r="H55" s="25"/>
      <c r="I55" s="25"/>
      <c r="J55" s="25"/>
      <c r="K55" s="25"/>
      <c r="L55" s="25"/>
      <c r="M55" s="25"/>
      <c r="N55" s="25"/>
      <c r="O55" s="25"/>
      <c r="P55" s="25"/>
      <c r="Q55" s="25"/>
      <c r="R55" s="25"/>
      <c r="S55" s="25"/>
      <c r="T55" s="30"/>
      <c r="U55" s="30"/>
      <c r="V55" s="155" t="s">
        <v>111</v>
      </c>
      <c r="W55" s="25"/>
      <c r="X55" s="5"/>
    </row>
    <row r="56" spans="1:25" ht="15.6" x14ac:dyDescent="0.3">
      <c r="A56" s="24"/>
      <c r="B56" s="29" t="s">
        <v>201</v>
      </c>
      <c r="C56" s="29"/>
      <c r="D56" s="29"/>
      <c r="E56" s="29"/>
      <c r="F56" s="29"/>
      <c r="G56" s="29"/>
      <c r="H56" s="29"/>
      <c r="I56" s="29"/>
      <c r="J56" s="29"/>
      <c r="K56" s="29"/>
      <c r="L56" s="29"/>
      <c r="M56" s="29"/>
      <c r="N56" s="29"/>
      <c r="O56" s="29"/>
      <c r="P56" s="29"/>
      <c r="Q56" s="29"/>
      <c r="R56" s="29"/>
      <c r="S56" s="29"/>
      <c r="T56" s="43"/>
      <c r="U56" s="43"/>
      <c r="V56" s="44">
        <v>40162</v>
      </c>
      <c r="W56" s="25"/>
      <c r="X56" s="5"/>
    </row>
    <row r="57" spans="1:25" ht="15.6" x14ac:dyDescent="0.3">
      <c r="A57" s="24"/>
      <c r="B57" s="25" t="s">
        <v>121</v>
      </c>
      <c r="C57" s="25"/>
      <c r="D57" s="25"/>
      <c r="E57" s="25"/>
      <c r="F57" s="25"/>
      <c r="G57" s="25"/>
      <c r="H57" s="58"/>
      <c r="I57" s="58"/>
      <c r="J57" s="58"/>
      <c r="K57" s="58"/>
      <c r="L57" s="58"/>
      <c r="M57" s="58"/>
      <c r="N57" s="58"/>
      <c r="O57" s="58"/>
      <c r="P57" s="58"/>
      <c r="Q57" s="58"/>
      <c r="R57" s="25">
        <f>+V57-T57+1</f>
        <v>92</v>
      </c>
      <c r="S57" s="58"/>
      <c r="T57" s="45">
        <v>39979</v>
      </c>
      <c r="U57" s="46"/>
      <c r="V57" s="45">
        <v>40070</v>
      </c>
      <c r="W57" s="25"/>
      <c r="X57" s="5"/>
    </row>
    <row r="58" spans="1:25" ht="15.6" x14ac:dyDescent="0.3">
      <c r="A58" s="24"/>
      <c r="B58" s="25" t="s">
        <v>122</v>
      </c>
      <c r="C58" s="25"/>
      <c r="D58" s="25"/>
      <c r="E58" s="25"/>
      <c r="F58" s="25"/>
      <c r="G58" s="25"/>
      <c r="H58" s="25"/>
      <c r="I58" s="25"/>
      <c r="J58" s="25"/>
      <c r="K58" s="25"/>
      <c r="L58" s="25"/>
      <c r="M58" s="25"/>
      <c r="N58" s="25"/>
      <c r="O58" s="25"/>
      <c r="P58" s="25"/>
      <c r="Q58" s="25"/>
      <c r="R58" s="25">
        <f>+V58-T58+1</f>
        <v>91</v>
      </c>
      <c r="S58" s="25"/>
      <c r="T58" s="45">
        <v>40071</v>
      </c>
      <c r="U58" s="46"/>
      <c r="V58" s="45">
        <v>40161</v>
      </c>
      <c r="W58" s="25"/>
      <c r="X58" s="5"/>
    </row>
    <row r="59" spans="1:25" ht="15.6" x14ac:dyDescent="0.3">
      <c r="A59" s="24"/>
      <c r="B59" s="25" t="s">
        <v>229</v>
      </c>
      <c r="C59" s="25"/>
      <c r="D59" s="25"/>
      <c r="E59" s="25"/>
      <c r="F59" s="25"/>
      <c r="G59" s="25"/>
      <c r="H59" s="25"/>
      <c r="I59" s="25"/>
      <c r="J59" s="25"/>
      <c r="K59" s="25"/>
      <c r="L59" s="25"/>
      <c r="M59" s="25"/>
      <c r="N59" s="25"/>
      <c r="O59" s="25"/>
      <c r="P59" s="25"/>
      <c r="Q59" s="25"/>
      <c r="R59" s="25"/>
      <c r="S59" s="25"/>
      <c r="T59" s="45"/>
      <c r="U59" s="46"/>
      <c r="V59" s="45" t="s">
        <v>120</v>
      </c>
      <c r="W59" s="25"/>
      <c r="X59" s="5"/>
    </row>
    <row r="60" spans="1:25" ht="15.6" x14ac:dyDescent="0.3">
      <c r="A60" s="24"/>
      <c r="B60" s="25" t="s">
        <v>228</v>
      </c>
      <c r="C60" s="25"/>
      <c r="D60" s="25"/>
      <c r="E60" s="25"/>
      <c r="F60" s="25"/>
      <c r="G60" s="25"/>
      <c r="H60" s="25"/>
      <c r="I60" s="25"/>
      <c r="J60" s="25"/>
      <c r="K60" s="25"/>
      <c r="L60" s="25"/>
      <c r="M60" s="25"/>
      <c r="N60" s="25"/>
      <c r="O60" s="25"/>
      <c r="P60" s="25"/>
      <c r="Q60" s="25"/>
      <c r="R60" s="25"/>
      <c r="S60" s="25"/>
      <c r="T60" s="45"/>
      <c r="U60" s="46"/>
      <c r="V60" s="45" t="s">
        <v>154</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40148</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303</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94</v>
      </c>
      <c r="M68" s="115"/>
      <c r="N68" s="115" t="s">
        <v>96</v>
      </c>
      <c r="O68" s="115"/>
      <c r="P68" s="115" t="s">
        <v>98</v>
      </c>
      <c r="Q68" s="115"/>
      <c r="R68" s="115" t="s">
        <v>100</v>
      </c>
      <c r="S68" s="115"/>
      <c r="T68" s="115" t="s">
        <v>106</v>
      </c>
      <c r="U68" s="115"/>
      <c r="V68" s="116" t="s">
        <v>112</v>
      </c>
      <c r="W68" s="117"/>
      <c r="X68" s="5"/>
    </row>
    <row r="69" spans="1:24" ht="15.6" x14ac:dyDescent="0.3">
      <c r="A69" s="24"/>
      <c r="B69" s="25" t="s">
        <v>19</v>
      </c>
      <c r="C69" s="34"/>
      <c r="D69" s="34"/>
      <c r="E69" s="34"/>
      <c r="F69" s="34"/>
      <c r="G69" s="34"/>
      <c r="H69" s="34"/>
      <c r="I69" s="34"/>
      <c r="J69" s="34"/>
      <c r="K69" s="34"/>
      <c r="L69" s="34">
        <v>1158015</v>
      </c>
      <c r="M69" s="34"/>
      <c r="N69" s="53">
        <v>1201630</v>
      </c>
      <c r="O69" s="34"/>
      <c r="P69" s="34">
        <f>4131+456+564</f>
        <v>5151</v>
      </c>
      <c r="Q69" s="34"/>
      <c r="R69" s="34">
        <f>456+564</f>
        <v>1020</v>
      </c>
      <c r="S69" s="34"/>
      <c r="T69" s="34">
        <v>0</v>
      </c>
      <c r="U69" s="34"/>
      <c r="V69" s="53">
        <f>+N69-P69+R69-T69</f>
        <v>1197499</v>
      </c>
      <c r="W69" s="25"/>
      <c r="X69" s="5"/>
    </row>
    <row r="70" spans="1:24" ht="15.6" x14ac:dyDescent="0.3">
      <c r="A70" s="24"/>
      <c r="B70" s="25" t="s">
        <v>20</v>
      </c>
      <c r="C70" s="34"/>
      <c r="D70" s="34"/>
      <c r="E70" s="34"/>
      <c r="F70" s="34"/>
      <c r="G70" s="34"/>
      <c r="H70" s="34"/>
      <c r="I70" s="34"/>
      <c r="J70" s="34"/>
      <c r="K70" s="34"/>
      <c r="L70" s="34">
        <v>15</v>
      </c>
      <c r="M70" s="34"/>
      <c r="N70" s="53">
        <v>0</v>
      </c>
      <c r="O70" s="34"/>
      <c r="P70" s="34">
        <v>0</v>
      </c>
      <c r="Q70" s="34"/>
      <c r="R70" s="34">
        <v>0</v>
      </c>
      <c r="S70" s="34"/>
      <c r="T70" s="34">
        <v>0</v>
      </c>
      <c r="U70" s="34"/>
      <c r="V70" s="53">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1158030</v>
      </c>
      <c r="M72" s="34"/>
      <c r="N72" s="54">
        <f>N69+N70</f>
        <v>1201630</v>
      </c>
      <c r="O72" s="34"/>
      <c r="P72" s="34">
        <f>SUM(P69:P71)</f>
        <v>5151</v>
      </c>
      <c r="Q72" s="34"/>
      <c r="R72" s="34">
        <f>SUM(R69:R71)</f>
        <v>1020</v>
      </c>
      <c r="S72" s="34"/>
      <c r="T72" s="34">
        <f>SUM(T69:T71)</f>
        <v>0</v>
      </c>
      <c r="U72" s="34"/>
      <c r="V72" s="54">
        <f>SUM(V69:V71)</f>
        <v>1197499</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117</v>
      </c>
      <c r="C82" s="34"/>
      <c r="D82" s="34"/>
      <c r="E82" s="34"/>
      <c r="F82" s="34"/>
      <c r="G82" s="34"/>
      <c r="H82" s="34"/>
      <c r="I82" s="34"/>
      <c r="J82" s="34"/>
      <c r="K82" s="34"/>
      <c r="L82" s="34">
        <v>342245</v>
      </c>
      <c r="M82" s="34"/>
      <c r="N82" s="34">
        <v>0</v>
      </c>
      <c r="O82" s="34"/>
      <c r="P82" s="34">
        <v>0</v>
      </c>
      <c r="Q82" s="34"/>
      <c r="R82" s="34"/>
      <c r="S82" s="34"/>
      <c r="T82" s="34"/>
      <c r="U82" s="34"/>
      <c r="V82" s="54">
        <f>SUM(N82:R82)</f>
        <v>0</v>
      </c>
      <c r="W82" s="25"/>
      <c r="X82" s="5"/>
    </row>
    <row r="83" spans="1:24" ht="15.6" x14ac:dyDescent="0.3">
      <c r="A83" s="24"/>
      <c r="B83" s="25" t="s">
        <v>146</v>
      </c>
      <c r="C83" s="34"/>
      <c r="D83" s="34"/>
      <c r="E83" s="34"/>
      <c r="F83" s="34"/>
      <c r="G83" s="34"/>
      <c r="H83" s="34"/>
      <c r="I83" s="34"/>
      <c r="J83" s="34"/>
      <c r="K83" s="34"/>
      <c r="L83" s="34">
        <v>0</v>
      </c>
      <c r="M83" s="34"/>
      <c r="N83" s="34">
        <v>0</v>
      </c>
      <c r="O83" s="34"/>
      <c r="P83" s="34">
        <v>0</v>
      </c>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1500275</v>
      </c>
      <c r="M85" s="34"/>
      <c r="N85" s="54">
        <f>SUM(N72:N84)</f>
        <v>1201630</v>
      </c>
      <c r="O85" s="34"/>
      <c r="P85" s="34"/>
      <c r="Q85" s="34"/>
      <c r="R85" s="34"/>
      <c r="S85" s="34"/>
      <c r="T85" s="54"/>
      <c r="U85" s="34"/>
      <c r="V85" s="54">
        <f>SUM(V72:V84)</f>
        <v>1197499</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7" t="s">
        <v>95</v>
      </c>
      <c r="M88" s="17"/>
      <c r="N88" s="156">
        <f>+T206</f>
        <v>40147</v>
      </c>
      <c r="O88" s="17"/>
      <c r="P88" s="17"/>
      <c r="Q88" s="17"/>
      <c r="R88" s="17"/>
      <c r="S88" s="17"/>
      <c r="T88" s="17" t="s">
        <v>107</v>
      </c>
      <c r="U88" s="17"/>
      <c r="V88" s="17" t="s">
        <v>113</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f>5151-112</f>
        <v>5039</v>
      </c>
      <c r="U90" s="25"/>
      <c r="V90" s="53"/>
      <c r="W90" s="25"/>
      <c r="X90" s="5"/>
    </row>
    <row r="91" spans="1:24" ht="15.6" x14ac:dyDescent="0.3">
      <c r="A91" s="24"/>
      <c r="B91" s="25" t="s">
        <v>216</v>
      </c>
      <c r="C91" s="25"/>
      <c r="D91" s="25"/>
      <c r="E91" s="25"/>
      <c r="F91" s="25"/>
      <c r="G91" s="25"/>
      <c r="H91" s="40"/>
      <c r="I91" s="40"/>
      <c r="J91" s="40"/>
      <c r="K91" s="57"/>
      <c r="L91" s="40"/>
      <c r="M91" s="25"/>
      <c r="N91" s="127"/>
      <c r="O91" s="25"/>
      <c r="P91" s="25"/>
      <c r="Q91" s="25"/>
      <c r="R91" s="25"/>
      <c r="S91" s="25"/>
      <c r="T91" s="34"/>
      <c r="U91" s="25"/>
      <c r="V91" s="53">
        <f>4316+5141-566-692+17+3</f>
        <v>8219</v>
      </c>
      <c r="W91" s="25"/>
      <c r="X91" s="5"/>
    </row>
    <row r="92" spans="1:24" ht="15.6" x14ac:dyDescent="0.3">
      <c r="A92" s="24"/>
      <c r="B92" s="25" t="s">
        <v>211</v>
      </c>
      <c r="C92" s="25"/>
      <c r="D92" s="25"/>
      <c r="E92" s="25"/>
      <c r="F92" s="25"/>
      <c r="G92" s="25"/>
      <c r="H92" s="40"/>
      <c r="I92" s="40"/>
      <c r="J92" s="40"/>
      <c r="K92" s="57"/>
      <c r="L92" s="40"/>
      <c r="M92" s="25"/>
      <c r="N92" s="127"/>
      <c r="O92" s="25"/>
      <c r="P92" s="25"/>
      <c r="Q92" s="25"/>
      <c r="R92" s="25"/>
      <c r="S92" s="25"/>
      <c r="T92" s="34"/>
      <c r="U92" s="25"/>
      <c r="V92" s="53">
        <f>2+26</f>
        <v>28</v>
      </c>
      <c r="W92" s="25"/>
      <c r="X92" s="5"/>
    </row>
    <row r="93" spans="1:24" ht="15.6" x14ac:dyDescent="0.3">
      <c r="A93" s="24"/>
      <c r="B93" s="25" t="s">
        <v>212</v>
      </c>
      <c r="C93" s="25"/>
      <c r="D93" s="25"/>
      <c r="E93" s="25"/>
      <c r="F93" s="25"/>
      <c r="G93" s="25"/>
      <c r="H93" s="40"/>
      <c r="I93" s="40"/>
      <c r="J93" s="40"/>
      <c r="K93" s="57"/>
      <c r="L93" s="40"/>
      <c r="M93" s="25"/>
      <c r="N93" s="127"/>
      <c r="O93" s="25"/>
      <c r="P93" s="25"/>
      <c r="Q93" s="25"/>
      <c r="R93" s="25"/>
      <c r="S93" s="25"/>
      <c r="T93" s="34"/>
      <c r="U93" s="25"/>
      <c r="V93" s="53">
        <v>99</v>
      </c>
      <c r="W93" s="25"/>
      <c r="X93" s="5"/>
    </row>
    <row r="94" spans="1:24" ht="15.6" x14ac:dyDescent="0.3">
      <c r="A94" s="24"/>
      <c r="B94" s="25" t="s">
        <v>272</v>
      </c>
      <c r="C94" s="25"/>
      <c r="D94" s="25"/>
      <c r="E94" s="25"/>
      <c r="F94" s="25"/>
      <c r="G94" s="25"/>
      <c r="H94" s="40"/>
      <c r="I94" s="40"/>
      <c r="J94" s="40"/>
      <c r="K94" s="57"/>
      <c r="L94" s="40"/>
      <c r="M94" s="25"/>
      <c r="N94" s="127"/>
      <c r="O94" s="25"/>
      <c r="P94" s="25"/>
      <c r="Q94" s="25"/>
      <c r="R94" s="25"/>
      <c r="S94" s="25"/>
      <c r="T94" s="34"/>
      <c r="U94" s="25"/>
      <c r="V94" s="53">
        <v>0</v>
      </c>
      <c r="W94" s="25"/>
      <c r="X94" s="5"/>
    </row>
    <row r="95" spans="1:24" ht="15.6" x14ac:dyDescent="0.3">
      <c r="A95" s="24"/>
      <c r="B95" s="25" t="s">
        <v>274</v>
      </c>
      <c r="C95" s="25"/>
      <c r="D95" s="25"/>
      <c r="E95" s="25"/>
      <c r="F95" s="25"/>
      <c r="G95" s="25"/>
      <c r="H95" s="40"/>
      <c r="I95" s="40"/>
      <c r="J95" s="40"/>
      <c r="K95" s="57"/>
      <c r="L95" s="40"/>
      <c r="M95" s="25"/>
      <c r="N95" s="127"/>
      <c r="O95" s="25"/>
      <c r="P95" s="25"/>
      <c r="Q95" s="25"/>
      <c r="R95" s="25"/>
      <c r="S95" s="25"/>
      <c r="T95" s="34"/>
      <c r="U95" s="25"/>
      <c r="V95" s="53">
        <v>0</v>
      </c>
      <c r="W95" s="25"/>
      <c r="X95" s="5"/>
    </row>
    <row r="96" spans="1:24" ht="15.6" x14ac:dyDescent="0.3">
      <c r="A96" s="24"/>
      <c r="B96" s="25" t="s">
        <v>135</v>
      </c>
      <c r="C96" s="25"/>
      <c r="D96" s="25"/>
      <c r="E96" s="25"/>
      <c r="F96" s="25"/>
      <c r="G96" s="25"/>
      <c r="H96" s="25"/>
      <c r="I96" s="25"/>
      <c r="J96" s="25"/>
      <c r="K96" s="25"/>
      <c r="L96" s="25"/>
      <c r="M96" s="25"/>
      <c r="N96" s="25"/>
      <c r="O96" s="25"/>
      <c r="P96" s="25"/>
      <c r="Q96" s="25"/>
      <c r="R96" s="25"/>
      <c r="S96" s="25"/>
      <c r="T96" s="34"/>
      <c r="U96" s="25"/>
      <c r="V96" s="53">
        <v>0</v>
      </c>
      <c r="W96" s="25"/>
      <c r="X96" s="5"/>
    </row>
    <row r="97" spans="1:25" ht="15.6" x14ac:dyDescent="0.3">
      <c r="A97" s="24"/>
      <c r="B97" s="25" t="s">
        <v>268</v>
      </c>
      <c r="C97" s="25"/>
      <c r="D97" s="25"/>
      <c r="E97" s="25"/>
      <c r="F97" s="25"/>
      <c r="G97" s="25"/>
      <c r="H97" s="25"/>
      <c r="I97" s="25"/>
      <c r="J97" s="25"/>
      <c r="K97" s="25"/>
      <c r="L97" s="25"/>
      <c r="M97" s="25"/>
      <c r="N97" s="25"/>
      <c r="O97" s="25"/>
      <c r="P97" s="25"/>
      <c r="Q97" s="25"/>
      <c r="R97" s="25"/>
      <c r="S97" s="25"/>
      <c r="T97" s="34"/>
      <c r="U97" s="25"/>
      <c r="V97" s="53">
        <v>0</v>
      </c>
      <c r="W97" s="25"/>
      <c r="X97" s="5"/>
    </row>
    <row r="98" spans="1:25" ht="15.6" x14ac:dyDescent="0.3">
      <c r="A98" s="24"/>
      <c r="B98" s="25" t="s">
        <v>30</v>
      </c>
      <c r="C98" s="25"/>
      <c r="D98" s="25"/>
      <c r="E98" s="25"/>
      <c r="F98" s="25"/>
      <c r="G98" s="25"/>
      <c r="H98" s="25"/>
      <c r="I98" s="25"/>
      <c r="J98" s="25"/>
      <c r="K98" s="25"/>
      <c r="L98" s="25"/>
      <c r="M98" s="25"/>
      <c r="N98" s="25"/>
      <c r="O98" s="25"/>
      <c r="P98" s="25"/>
      <c r="Q98" s="25"/>
      <c r="R98" s="25"/>
      <c r="S98" s="25"/>
      <c r="T98" s="34">
        <f>SUM(T89:T97)</f>
        <v>5039</v>
      </c>
      <c r="U98" s="25"/>
      <c r="V98" s="54">
        <f>SUM(V89:V97)</f>
        <v>8346</v>
      </c>
      <c r="W98" s="25"/>
      <c r="X98" s="5"/>
    </row>
    <row r="99" spans="1:25" ht="15.6" x14ac:dyDescent="0.3">
      <c r="A99" s="24"/>
      <c r="B99" s="25" t="s">
        <v>161</v>
      </c>
      <c r="C99" s="25"/>
      <c r="D99" s="25"/>
      <c r="E99" s="25"/>
      <c r="F99" s="25"/>
      <c r="G99" s="25"/>
      <c r="H99" s="25"/>
      <c r="I99" s="25"/>
      <c r="J99" s="25"/>
      <c r="K99" s="25"/>
      <c r="L99" s="25"/>
      <c r="M99" s="25"/>
      <c r="N99" s="25"/>
      <c r="O99" s="25"/>
      <c r="P99" s="25"/>
      <c r="Q99" s="25"/>
      <c r="R99" s="25"/>
      <c r="S99" s="25"/>
      <c r="T99" s="34">
        <f>-V99</f>
        <v>-37</v>
      </c>
      <c r="U99" s="25"/>
      <c r="V99" s="54">
        <v>37</v>
      </c>
      <c r="W99" s="25"/>
      <c r="X99" s="5"/>
    </row>
    <row r="100" spans="1:25" ht="15.6" x14ac:dyDescent="0.3">
      <c r="A100" s="24"/>
      <c r="B100" s="25" t="s">
        <v>31</v>
      </c>
      <c r="C100" s="25"/>
      <c r="D100" s="25"/>
      <c r="E100" s="25"/>
      <c r="F100" s="25"/>
      <c r="G100" s="25"/>
      <c r="H100" s="25"/>
      <c r="I100" s="25"/>
      <c r="J100" s="25"/>
      <c r="K100" s="25"/>
      <c r="L100" s="25"/>
      <c r="M100" s="25"/>
      <c r="N100" s="25"/>
      <c r="O100" s="25"/>
      <c r="P100" s="25"/>
      <c r="Q100" s="25"/>
      <c r="R100" s="25"/>
      <c r="S100" s="25"/>
      <c r="T100" s="34">
        <f>-V100</f>
        <v>0</v>
      </c>
      <c r="U100" s="25"/>
      <c r="V100" s="53">
        <v>0</v>
      </c>
      <c r="W100" s="25"/>
      <c r="X100" s="5"/>
    </row>
    <row r="101" spans="1:25" ht="15.6" x14ac:dyDescent="0.3">
      <c r="A101" s="24"/>
      <c r="B101" s="25" t="s">
        <v>283</v>
      </c>
      <c r="C101" s="25"/>
      <c r="D101" s="25"/>
      <c r="E101" s="25"/>
      <c r="F101" s="25"/>
      <c r="G101" s="25"/>
      <c r="H101" s="25"/>
      <c r="I101" s="25"/>
      <c r="J101" s="25"/>
      <c r="K101" s="25"/>
      <c r="L101" s="25"/>
      <c r="M101" s="25"/>
      <c r="N101" s="25"/>
      <c r="O101" s="25"/>
      <c r="P101" s="25"/>
      <c r="Q101" s="25"/>
      <c r="R101" s="25"/>
      <c r="S101" s="25"/>
      <c r="T101" s="34"/>
      <c r="U101" s="25"/>
      <c r="V101" s="53">
        <v>-72</v>
      </c>
      <c r="W101" s="25"/>
      <c r="X101" s="5"/>
    </row>
    <row r="102" spans="1:25" ht="15.6" x14ac:dyDescent="0.3">
      <c r="A102" s="24"/>
      <c r="B102" s="25" t="s">
        <v>32</v>
      </c>
      <c r="C102" s="25"/>
      <c r="D102" s="25"/>
      <c r="E102" s="25"/>
      <c r="F102" s="25"/>
      <c r="G102" s="25"/>
      <c r="H102" s="25"/>
      <c r="I102" s="25"/>
      <c r="J102" s="25"/>
      <c r="K102" s="25"/>
      <c r="L102" s="25"/>
      <c r="M102" s="25"/>
      <c r="N102" s="25"/>
      <c r="O102" s="25"/>
      <c r="P102" s="25"/>
      <c r="Q102" s="25"/>
      <c r="R102" s="25"/>
      <c r="S102" s="25"/>
      <c r="T102" s="34">
        <f>T98+T100+T99</f>
        <v>5002</v>
      </c>
      <c r="U102" s="25"/>
      <c r="V102" s="54">
        <f>V98+V100+V99+V101</f>
        <v>8311</v>
      </c>
      <c r="W102" s="25"/>
      <c r="X102" s="5"/>
    </row>
    <row r="103" spans="1:25" ht="15.6" x14ac:dyDescent="0.3">
      <c r="A103" s="24"/>
      <c r="B103" s="118" t="s">
        <v>33</v>
      </c>
      <c r="C103" s="25"/>
      <c r="D103" s="25"/>
      <c r="E103" s="25"/>
      <c r="F103" s="25"/>
      <c r="G103" s="25"/>
      <c r="H103" s="25"/>
      <c r="I103" s="25"/>
      <c r="J103" s="25"/>
      <c r="K103" s="25"/>
      <c r="L103" s="25"/>
      <c r="M103" s="25"/>
      <c r="N103" s="25"/>
      <c r="O103" s="25"/>
      <c r="P103" s="25"/>
      <c r="Q103" s="25"/>
      <c r="R103" s="25"/>
      <c r="S103" s="25"/>
      <c r="T103" s="34"/>
      <c r="U103" s="25"/>
      <c r="V103" s="53"/>
      <c r="W103" s="25"/>
      <c r="X103" s="5"/>
    </row>
    <row r="104" spans="1:25" ht="15.6" x14ac:dyDescent="0.3">
      <c r="A104" s="24">
        <v>1</v>
      </c>
      <c r="B104" s="25" t="s">
        <v>34</v>
      </c>
      <c r="C104" s="25"/>
      <c r="D104" s="25"/>
      <c r="E104" s="25"/>
      <c r="F104" s="25"/>
      <c r="G104" s="25"/>
      <c r="H104" s="25"/>
      <c r="I104" s="25"/>
      <c r="J104" s="25"/>
      <c r="K104" s="25"/>
      <c r="L104" s="25"/>
      <c r="M104" s="25"/>
      <c r="N104" s="25"/>
      <c r="O104" s="25"/>
      <c r="P104" s="25"/>
      <c r="Q104" s="25"/>
      <c r="R104" s="25"/>
      <c r="S104" s="25"/>
      <c r="T104" s="25"/>
      <c r="U104" s="25"/>
      <c r="V104" s="53">
        <v>0</v>
      </c>
      <c r="W104" s="25"/>
      <c r="X104" s="5"/>
    </row>
    <row r="105" spans="1:25" ht="15.6" x14ac:dyDescent="0.3">
      <c r="A105" s="24">
        <f>+A104+1</f>
        <v>2</v>
      </c>
      <c r="B105" s="25" t="s">
        <v>225</v>
      </c>
      <c r="C105" s="25"/>
      <c r="D105" s="25"/>
      <c r="E105" s="25"/>
      <c r="F105" s="25"/>
      <c r="G105" s="25"/>
      <c r="H105" s="25"/>
      <c r="I105" s="25"/>
      <c r="J105" s="25"/>
      <c r="K105" s="25"/>
      <c r="L105" s="25"/>
      <c r="M105" s="25"/>
      <c r="N105" s="25"/>
      <c r="O105" s="25"/>
      <c r="P105" s="25"/>
      <c r="Q105" s="25"/>
      <c r="R105" s="25"/>
      <c r="S105" s="25"/>
      <c r="T105" s="25"/>
      <c r="U105" s="25"/>
      <c r="V105" s="53">
        <v>-2</v>
      </c>
      <c r="W105" s="25"/>
      <c r="X105" s="5"/>
    </row>
    <row r="106" spans="1:25" ht="15.6" x14ac:dyDescent="0.3">
      <c r="A106" s="24">
        <f>+A105+1</f>
        <v>3</v>
      </c>
      <c r="B106" s="25" t="s">
        <v>204</v>
      </c>
      <c r="C106" s="25"/>
      <c r="D106" s="25"/>
      <c r="E106" s="25"/>
      <c r="F106" s="25"/>
      <c r="G106" s="25"/>
      <c r="H106" s="25"/>
      <c r="I106" s="25"/>
      <c r="J106" s="25"/>
      <c r="K106" s="25"/>
      <c r="L106" s="25"/>
      <c r="M106" s="25"/>
      <c r="N106" s="25"/>
      <c r="O106" s="25"/>
      <c r="P106" s="25"/>
      <c r="Q106" s="25"/>
      <c r="R106" s="25"/>
      <c r="S106" s="25"/>
      <c r="T106" s="25"/>
      <c r="U106" s="25"/>
      <c r="V106" s="53">
        <f>-150-203-14</f>
        <v>-367</v>
      </c>
      <c r="W106" s="25"/>
      <c r="X106" s="5"/>
    </row>
    <row r="107" spans="1:25" ht="15.6" x14ac:dyDescent="0.3">
      <c r="A107" s="24" t="s">
        <v>127</v>
      </c>
      <c r="B107" s="25" t="s">
        <v>116</v>
      </c>
      <c r="C107" s="25"/>
      <c r="D107" s="25"/>
      <c r="E107" s="25"/>
      <c r="F107" s="25"/>
      <c r="G107" s="25"/>
      <c r="H107" s="25"/>
      <c r="I107" s="25"/>
      <c r="J107" s="25"/>
      <c r="K107" s="25"/>
      <c r="L107" s="25"/>
      <c r="M107" s="25"/>
      <c r="N107" s="25"/>
      <c r="O107" s="25"/>
      <c r="P107" s="25"/>
      <c r="Q107" s="25"/>
      <c r="R107" s="25"/>
      <c r="S107" s="25"/>
      <c r="T107" s="25"/>
      <c r="U107" s="25"/>
      <c r="V107" s="53">
        <f>-1553-35</f>
        <v>-1588</v>
      </c>
      <c r="W107" s="25"/>
      <c r="X107" s="5"/>
    </row>
    <row r="108" spans="1:25" ht="15.6" x14ac:dyDescent="0.3">
      <c r="A108" s="24" t="s">
        <v>128</v>
      </c>
      <c r="B108" s="25" t="s">
        <v>222</v>
      </c>
      <c r="C108" s="25"/>
      <c r="D108" s="25"/>
      <c r="E108" s="25"/>
      <c r="F108" s="25"/>
      <c r="G108" s="25"/>
      <c r="H108" s="25"/>
      <c r="I108" s="25"/>
      <c r="J108" s="25"/>
      <c r="K108" s="25"/>
      <c r="L108" s="25"/>
      <c r="M108" s="25"/>
      <c r="N108" s="25"/>
      <c r="O108" s="25"/>
      <c r="P108" s="25"/>
      <c r="Q108" s="25"/>
      <c r="R108" s="25"/>
      <c r="S108" s="25"/>
      <c r="T108" s="25"/>
      <c r="U108" s="25"/>
      <c r="V108" s="53">
        <f>-1799+170</f>
        <v>-1629</v>
      </c>
      <c r="W108" s="25"/>
      <c r="X108" s="5"/>
      <c r="Y108" s="109"/>
    </row>
    <row r="109" spans="1:25" ht="15.6" x14ac:dyDescent="0.3">
      <c r="A109" s="24" t="s">
        <v>150</v>
      </c>
      <c r="B109" s="25" t="s">
        <v>184</v>
      </c>
      <c r="C109" s="25"/>
      <c r="D109" s="25"/>
      <c r="E109" s="25"/>
      <c r="F109" s="25"/>
      <c r="G109" s="25"/>
      <c r="H109" s="25"/>
      <c r="I109" s="25"/>
      <c r="J109" s="25"/>
      <c r="K109" s="25"/>
      <c r="L109" s="25"/>
      <c r="M109" s="25"/>
      <c r="N109" s="25"/>
      <c r="O109" s="25"/>
      <c r="P109" s="25"/>
      <c r="Q109" s="25"/>
      <c r="R109" s="25"/>
      <c r="S109" s="25"/>
      <c r="T109" s="25"/>
      <c r="U109" s="25"/>
      <c r="V109" s="53">
        <v>-170</v>
      </c>
      <c r="W109" s="25"/>
      <c r="X109" s="5"/>
      <c r="Y109" s="109"/>
    </row>
    <row r="110" spans="1:25" ht="15.6" x14ac:dyDescent="0.3">
      <c r="A110" s="24" t="s">
        <v>236</v>
      </c>
      <c r="B110" s="25" t="s">
        <v>238</v>
      </c>
      <c r="C110" s="25"/>
      <c r="D110" s="25"/>
      <c r="E110" s="25"/>
      <c r="F110" s="25"/>
      <c r="G110" s="25"/>
      <c r="H110" s="25"/>
      <c r="I110" s="25"/>
      <c r="J110" s="25"/>
      <c r="K110" s="25"/>
      <c r="L110" s="25"/>
      <c r="M110" s="25"/>
      <c r="N110" s="25"/>
      <c r="O110" s="25"/>
      <c r="P110" s="25"/>
      <c r="Q110" s="25"/>
      <c r="R110" s="25"/>
      <c r="S110" s="25"/>
      <c r="T110" s="25"/>
      <c r="U110" s="25"/>
      <c r="V110" s="53">
        <v>-1</v>
      </c>
      <c r="W110" s="25"/>
      <c r="X110" s="5"/>
    </row>
    <row r="111" spans="1:25" ht="15.6" x14ac:dyDescent="0.3">
      <c r="A111" s="24" t="s">
        <v>205</v>
      </c>
      <c r="B111" s="25" t="s">
        <v>185</v>
      </c>
      <c r="C111" s="25"/>
      <c r="D111" s="25"/>
      <c r="E111" s="25"/>
      <c r="F111" s="25"/>
      <c r="G111" s="25"/>
      <c r="H111" s="25"/>
      <c r="I111" s="25"/>
      <c r="J111" s="25"/>
      <c r="K111" s="25"/>
      <c r="L111" s="25"/>
      <c r="M111" s="25"/>
      <c r="N111" s="25"/>
      <c r="O111" s="25"/>
      <c r="P111" s="25"/>
      <c r="Q111" s="25"/>
      <c r="R111" s="25"/>
      <c r="S111" s="25"/>
      <c r="T111" s="25"/>
      <c r="U111" s="25"/>
      <c r="V111" s="53">
        <v>-124</v>
      </c>
      <c r="W111" s="25"/>
      <c r="X111" s="5"/>
      <c r="Y111" s="109"/>
    </row>
    <row r="112" spans="1:25" ht="15.6" x14ac:dyDescent="0.3">
      <c r="A112" s="24" t="s">
        <v>206</v>
      </c>
      <c r="B112" s="25" t="s">
        <v>186</v>
      </c>
      <c r="C112" s="25"/>
      <c r="D112" s="25"/>
      <c r="E112" s="25"/>
      <c r="F112" s="25"/>
      <c r="G112" s="25"/>
      <c r="H112" s="25"/>
      <c r="I112" s="25"/>
      <c r="J112" s="25"/>
      <c r="K112" s="25"/>
      <c r="L112" s="25"/>
      <c r="M112" s="25"/>
      <c r="N112" s="25"/>
      <c r="O112" s="25"/>
      <c r="P112" s="25"/>
      <c r="Q112" s="25"/>
      <c r="R112" s="25"/>
      <c r="S112" s="25"/>
      <c r="T112" s="25"/>
      <c r="U112" s="25"/>
      <c r="V112" s="53">
        <v>-102</v>
      </c>
      <c r="W112" s="25"/>
      <c r="X112" s="179"/>
      <c r="Y112" s="109"/>
    </row>
    <row r="113" spans="1:25" ht="15.6" x14ac:dyDescent="0.3">
      <c r="A113" s="24" t="s">
        <v>207</v>
      </c>
      <c r="B113" s="25" t="s">
        <v>196</v>
      </c>
      <c r="C113" s="25"/>
      <c r="D113" s="25"/>
      <c r="E113" s="25"/>
      <c r="F113" s="25"/>
      <c r="G113" s="25"/>
      <c r="H113" s="25"/>
      <c r="I113" s="25"/>
      <c r="J113" s="25"/>
      <c r="K113" s="25"/>
      <c r="L113" s="25"/>
      <c r="M113" s="25"/>
      <c r="N113" s="25"/>
      <c r="O113" s="25"/>
      <c r="P113" s="25"/>
      <c r="Q113" s="25"/>
      <c r="R113" s="25"/>
      <c r="S113" s="25"/>
      <c r="T113" s="25"/>
      <c r="U113" s="25"/>
      <c r="V113" s="53">
        <v>-241</v>
      </c>
      <c r="W113" s="25"/>
      <c r="X113" s="5"/>
      <c r="Y113" s="109"/>
    </row>
    <row r="114" spans="1:25" ht="15.6" x14ac:dyDescent="0.3">
      <c r="A114" s="24" t="s">
        <v>224</v>
      </c>
      <c r="B114" s="25" t="s">
        <v>223</v>
      </c>
      <c r="C114" s="25"/>
      <c r="D114" s="25"/>
      <c r="E114" s="25"/>
      <c r="F114" s="25"/>
      <c r="G114" s="25"/>
      <c r="H114" s="25"/>
      <c r="I114" s="25"/>
      <c r="J114" s="25"/>
      <c r="K114" s="25"/>
      <c r="L114" s="25"/>
      <c r="M114" s="25"/>
      <c r="N114" s="25"/>
      <c r="O114" s="25"/>
      <c r="P114" s="25"/>
      <c r="Q114" s="25"/>
      <c r="R114" s="25"/>
      <c r="S114" s="25"/>
      <c r="T114" s="25"/>
      <c r="U114" s="25"/>
      <c r="V114" s="53">
        <v>-49</v>
      </c>
      <c r="W114" s="25"/>
      <c r="X114" s="5"/>
      <c r="Y114" s="109"/>
    </row>
    <row r="115" spans="1:25" ht="15.6" x14ac:dyDescent="0.3">
      <c r="A115" s="24">
        <v>7</v>
      </c>
      <c r="B115" s="25" t="s">
        <v>35</v>
      </c>
      <c r="C115" s="25"/>
      <c r="D115" s="25"/>
      <c r="E115" s="25"/>
      <c r="F115" s="25"/>
      <c r="G115" s="25"/>
      <c r="H115" s="25"/>
      <c r="I115" s="25"/>
      <c r="J115" s="25"/>
      <c r="K115" s="25"/>
      <c r="L115" s="25"/>
      <c r="M115" s="25"/>
      <c r="N115" s="25"/>
      <c r="O115" s="25"/>
      <c r="P115" s="25"/>
      <c r="Q115" s="25"/>
      <c r="R115" s="25"/>
      <c r="S115" s="25"/>
      <c r="T115" s="25"/>
      <c r="U115" s="25"/>
      <c r="V115" s="53">
        <v>-12</v>
      </c>
      <c r="W115" s="25"/>
      <c r="X115" s="5"/>
    </row>
    <row r="116" spans="1:25" ht="15.6" x14ac:dyDescent="0.3">
      <c r="A116" s="24">
        <f t="shared" ref="A116:A122" si="0">+A115+1</f>
        <v>8</v>
      </c>
      <c r="B116" s="25" t="s">
        <v>45</v>
      </c>
      <c r="C116" s="25"/>
      <c r="D116" s="25"/>
      <c r="E116" s="25"/>
      <c r="F116" s="25"/>
      <c r="G116" s="25"/>
      <c r="H116" s="25"/>
      <c r="I116" s="25"/>
      <c r="J116" s="25"/>
      <c r="K116" s="25"/>
      <c r="L116" s="25"/>
      <c r="M116" s="25"/>
      <c r="N116" s="25"/>
      <c r="O116" s="25"/>
      <c r="P116" s="25"/>
      <c r="Q116" s="25"/>
      <c r="R116" s="25"/>
      <c r="S116" s="25"/>
      <c r="T116" s="34">
        <f>-V116</f>
        <v>112</v>
      </c>
      <c r="U116" s="25"/>
      <c r="V116" s="53">
        <v>-112</v>
      </c>
      <c r="W116" s="25"/>
      <c r="X116" s="5"/>
    </row>
    <row r="117" spans="1:25" ht="15.6" x14ac:dyDescent="0.3">
      <c r="A117" s="24">
        <f t="shared" si="0"/>
        <v>9</v>
      </c>
      <c r="B117" s="25" t="s">
        <v>125</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5" ht="15.6" x14ac:dyDescent="0.3">
      <c r="A118" s="24">
        <f t="shared" si="0"/>
        <v>10</v>
      </c>
      <c r="B118" s="25" t="s">
        <v>240</v>
      </c>
      <c r="C118" s="25"/>
      <c r="D118" s="25"/>
      <c r="E118" s="25"/>
      <c r="F118" s="25"/>
      <c r="G118" s="25"/>
      <c r="H118" s="25"/>
      <c r="I118" s="25"/>
      <c r="J118" s="25"/>
      <c r="K118" s="25"/>
      <c r="L118" s="25"/>
      <c r="M118" s="25"/>
      <c r="N118" s="25"/>
      <c r="O118" s="25"/>
      <c r="P118" s="25"/>
      <c r="Q118" s="25"/>
      <c r="R118" s="25"/>
      <c r="S118" s="25"/>
      <c r="T118" s="25"/>
      <c r="U118" s="25"/>
      <c r="V118" s="53">
        <v>0</v>
      </c>
      <c r="W118" s="25"/>
      <c r="X118" s="5"/>
    </row>
    <row r="119" spans="1:25" ht="15.6" x14ac:dyDescent="0.3">
      <c r="A119" s="24">
        <f t="shared" si="0"/>
        <v>11</v>
      </c>
      <c r="B119" s="25" t="s">
        <v>36</v>
      </c>
      <c r="C119" s="25"/>
      <c r="D119" s="25"/>
      <c r="E119" s="25"/>
      <c r="F119" s="25"/>
      <c r="G119" s="25"/>
      <c r="H119" s="25"/>
      <c r="I119" s="25"/>
      <c r="J119" s="25"/>
      <c r="K119" s="25"/>
      <c r="L119" s="25"/>
      <c r="M119" s="25"/>
      <c r="N119" s="25"/>
      <c r="O119" s="25"/>
      <c r="P119" s="25"/>
      <c r="Q119" s="25"/>
      <c r="R119" s="25"/>
      <c r="S119" s="25"/>
      <c r="T119" s="25"/>
      <c r="U119" s="25"/>
      <c r="V119" s="53">
        <v>0</v>
      </c>
      <c r="W119" s="25"/>
      <c r="X119" s="5"/>
    </row>
    <row r="120" spans="1:25" ht="15.6" x14ac:dyDescent="0.3">
      <c r="A120" s="24">
        <f t="shared" si="0"/>
        <v>12</v>
      </c>
      <c r="B120" s="25" t="s">
        <v>239</v>
      </c>
      <c r="C120" s="25"/>
      <c r="D120" s="25"/>
      <c r="E120" s="25"/>
      <c r="F120" s="25"/>
      <c r="G120" s="25"/>
      <c r="H120" s="25"/>
      <c r="I120" s="25"/>
      <c r="J120" s="25"/>
      <c r="K120" s="25"/>
      <c r="L120" s="25"/>
      <c r="M120" s="25"/>
      <c r="N120" s="25"/>
      <c r="O120" s="25"/>
      <c r="P120" s="25"/>
      <c r="Q120" s="25"/>
      <c r="R120" s="25"/>
      <c r="S120" s="25"/>
      <c r="T120" s="25"/>
      <c r="U120" s="25"/>
      <c r="V120" s="53">
        <v>0</v>
      </c>
      <c r="W120" s="25"/>
      <c r="X120" s="5"/>
    </row>
    <row r="121" spans="1:25" ht="15.6" x14ac:dyDescent="0.3">
      <c r="A121" s="24">
        <f t="shared" si="0"/>
        <v>13</v>
      </c>
      <c r="B121" s="25" t="s">
        <v>149</v>
      </c>
      <c r="C121" s="25"/>
      <c r="D121" s="25"/>
      <c r="E121" s="25"/>
      <c r="F121" s="25"/>
      <c r="G121" s="25"/>
      <c r="H121" s="25"/>
      <c r="I121" s="25"/>
      <c r="J121" s="25"/>
      <c r="K121" s="25"/>
      <c r="L121" s="25"/>
      <c r="M121" s="25"/>
      <c r="N121" s="25"/>
      <c r="O121" s="25"/>
      <c r="P121" s="25"/>
      <c r="Q121" s="25"/>
      <c r="R121" s="25"/>
      <c r="S121" s="25"/>
      <c r="T121" s="25"/>
      <c r="U121" s="25"/>
      <c r="V121" s="53">
        <v>-751</v>
      </c>
      <c r="W121" s="25"/>
      <c r="X121" s="5"/>
    </row>
    <row r="122" spans="1:25" ht="15.6" x14ac:dyDescent="0.3">
      <c r="A122" s="24">
        <f t="shared" si="0"/>
        <v>14</v>
      </c>
      <c r="B122" s="25" t="s">
        <v>126</v>
      </c>
      <c r="C122" s="25"/>
      <c r="D122" s="25"/>
      <c r="E122" s="25"/>
      <c r="F122" s="25"/>
      <c r="G122" s="25"/>
      <c r="H122" s="25"/>
      <c r="I122" s="25"/>
      <c r="J122" s="25"/>
      <c r="K122" s="25"/>
      <c r="L122" s="25"/>
      <c r="M122" s="25"/>
      <c r="N122" s="25"/>
      <c r="O122" s="25"/>
      <c r="P122" s="25"/>
      <c r="Q122" s="25"/>
      <c r="R122" s="25"/>
      <c r="S122" s="25"/>
      <c r="T122" s="25"/>
      <c r="U122" s="25"/>
      <c r="V122" s="53">
        <f>-V102-SUM(V104:V121)</f>
        <v>-3163</v>
      </c>
      <c r="W122" s="25"/>
      <c r="X122" s="5"/>
    </row>
    <row r="123" spans="1:25" ht="15.6" x14ac:dyDescent="0.3">
      <c r="A123" s="24"/>
      <c r="B123" s="118" t="s">
        <v>37</v>
      </c>
      <c r="C123" s="25"/>
      <c r="D123" s="25"/>
      <c r="E123" s="25"/>
      <c r="F123" s="25"/>
      <c r="G123" s="25"/>
      <c r="H123" s="25"/>
      <c r="I123" s="25"/>
      <c r="J123" s="25"/>
      <c r="K123" s="25"/>
      <c r="L123" s="25"/>
      <c r="M123" s="25"/>
      <c r="N123" s="25"/>
      <c r="O123" s="25"/>
      <c r="P123" s="25"/>
      <c r="Q123" s="25"/>
      <c r="R123" s="25"/>
      <c r="S123" s="25"/>
      <c r="T123" s="25"/>
      <c r="U123" s="25"/>
      <c r="V123" s="59"/>
      <c r="W123" s="25"/>
      <c r="X123" s="5"/>
    </row>
    <row r="124" spans="1:25" ht="15.6" x14ac:dyDescent="0.3">
      <c r="A124" s="24"/>
      <c r="B124" s="25" t="s">
        <v>173</v>
      </c>
      <c r="C124" s="25"/>
      <c r="D124" s="25"/>
      <c r="E124" s="25"/>
      <c r="F124" s="25"/>
      <c r="G124" s="25"/>
      <c r="H124" s="25"/>
      <c r="I124" s="25"/>
      <c r="J124" s="25"/>
      <c r="K124" s="25"/>
      <c r="L124" s="25"/>
      <c r="M124" s="25"/>
      <c r="N124" s="25"/>
      <c r="O124" s="25"/>
      <c r="P124" s="25"/>
      <c r="Q124" s="25"/>
      <c r="R124" s="25"/>
      <c r="S124" s="25"/>
      <c r="T124" s="34">
        <f>-T190</f>
        <v>0</v>
      </c>
      <c r="U124" s="34"/>
      <c r="V124" s="53"/>
      <c r="W124" s="25"/>
      <c r="X124" s="5"/>
    </row>
    <row r="125" spans="1:25" ht="15.6" x14ac:dyDescent="0.3">
      <c r="A125" s="24"/>
      <c r="B125" s="25" t="s">
        <v>174</v>
      </c>
      <c r="C125" s="25"/>
      <c r="D125" s="25"/>
      <c r="E125" s="25"/>
      <c r="F125" s="25"/>
      <c r="G125" s="25"/>
      <c r="H125" s="25"/>
      <c r="I125" s="25"/>
      <c r="J125" s="25"/>
      <c r="K125" s="25"/>
      <c r="L125" s="25"/>
      <c r="M125" s="25"/>
      <c r="N125" s="25"/>
      <c r="O125" s="25"/>
      <c r="P125" s="25"/>
      <c r="Q125" s="25"/>
      <c r="R125" s="25"/>
      <c r="S125" s="25"/>
      <c r="T125" s="34">
        <v>-360</v>
      </c>
      <c r="U125" s="34"/>
      <c r="V125" s="53"/>
      <c r="W125" s="25"/>
      <c r="X125" s="5"/>
    </row>
    <row r="126" spans="1:25" ht="15.6" x14ac:dyDescent="0.3">
      <c r="A126" s="24"/>
      <c r="B126" s="25" t="s">
        <v>38</v>
      </c>
      <c r="C126" s="25"/>
      <c r="D126" s="25"/>
      <c r="E126" s="25"/>
      <c r="F126" s="25"/>
      <c r="G126" s="25"/>
      <c r="H126" s="25"/>
      <c r="I126" s="25"/>
      <c r="J126" s="25"/>
      <c r="K126" s="25"/>
      <c r="L126" s="25"/>
      <c r="M126" s="25"/>
      <c r="N126" s="25"/>
      <c r="O126" s="25"/>
      <c r="P126" s="25"/>
      <c r="Q126" s="25"/>
      <c r="R126" s="25"/>
      <c r="S126" s="25"/>
      <c r="T126" s="34">
        <f>-S190</f>
        <v>-623</v>
      </c>
      <c r="U126" s="34"/>
      <c r="V126" s="53"/>
      <c r="W126" s="25"/>
      <c r="X126" s="5"/>
    </row>
    <row r="127" spans="1:25" ht="15.6" x14ac:dyDescent="0.3">
      <c r="A127" s="24"/>
      <c r="B127" s="25" t="s">
        <v>197</v>
      </c>
      <c r="C127" s="25"/>
      <c r="D127" s="25"/>
      <c r="E127" s="25"/>
      <c r="F127" s="25"/>
      <c r="G127" s="25"/>
      <c r="H127" s="25"/>
      <c r="I127" s="25"/>
      <c r="J127" s="25"/>
      <c r="K127" s="25"/>
      <c r="L127" s="25"/>
      <c r="M127" s="25"/>
      <c r="N127" s="25"/>
      <c r="O127" s="25"/>
      <c r="P127" s="25"/>
      <c r="Q127" s="25"/>
      <c r="R127" s="25"/>
      <c r="S127" s="25"/>
      <c r="T127" s="34">
        <v>-2511</v>
      </c>
      <c r="U127" s="34"/>
      <c r="V127" s="53"/>
      <c r="W127" s="25"/>
      <c r="X127" s="5"/>
    </row>
    <row r="128" spans="1:25" ht="15.6" x14ac:dyDescent="0.3">
      <c r="A128" s="24"/>
      <c r="B128" s="25" t="s">
        <v>195</v>
      </c>
      <c r="C128" s="25"/>
      <c r="D128" s="25"/>
      <c r="E128" s="25"/>
      <c r="F128" s="25"/>
      <c r="G128" s="25"/>
      <c r="H128" s="25"/>
      <c r="I128" s="25"/>
      <c r="J128" s="25"/>
      <c r="K128" s="25"/>
      <c r="L128" s="25"/>
      <c r="M128" s="25"/>
      <c r="N128" s="25"/>
      <c r="O128" s="25"/>
      <c r="P128" s="25"/>
      <c r="Q128" s="25"/>
      <c r="R128" s="25"/>
      <c r="S128" s="25"/>
      <c r="T128" s="34">
        <v>-405</v>
      </c>
      <c r="U128" s="34"/>
      <c r="V128" s="53"/>
      <c r="W128" s="25"/>
      <c r="X128" s="5"/>
    </row>
    <row r="129" spans="1:24" ht="15.6" x14ac:dyDescent="0.3">
      <c r="A129" s="24"/>
      <c r="B129" s="25" t="s">
        <v>194</v>
      </c>
      <c r="C129" s="25"/>
      <c r="D129" s="25"/>
      <c r="E129" s="25"/>
      <c r="F129" s="25"/>
      <c r="G129" s="25"/>
      <c r="H129" s="25"/>
      <c r="I129" s="25"/>
      <c r="J129" s="25"/>
      <c r="K129" s="25"/>
      <c r="L129" s="25"/>
      <c r="M129" s="25"/>
      <c r="N129" s="25"/>
      <c r="O129" s="25"/>
      <c r="P129" s="25"/>
      <c r="Q129" s="25"/>
      <c r="R129" s="25"/>
      <c r="S129" s="25"/>
      <c r="T129" s="34">
        <v>-545</v>
      </c>
      <c r="U129" s="34"/>
      <c r="V129" s="53"/>
      <c r="W129" s="25"/>
      <c r="X129" s="5"/>
    </row>
    <row r="130" spans="1:24" ht="15.6" x14ac:dyDescent="0.3">
      <c r="A130" s="24"/>
      <c r="B130" s="25" t="s">
        <v>226</v>
      </c>
      <c r="C130" s="25"/>
      <c r="D130" s="25"/>
      <c r="E130" s="25"/>
      <c r="F130" s="25"/>
      <c r="G130" s="25"/>
      <c r="H130" s="25"/>
      <c r="I130" s="25"/>
      <c r="J130" s="25"/>
      <c r="K130" s="25"/>
      <c r="L130" s="25"/>
      <c r="M130" s="25"/>
      <c r="N130" s="25"/>
      <c r="O130" s="25"/>
      <c r="P130" s="25"/>
      <c r="Q130" s="25"/>
      <c r="R130" s="25"/>
      <c r="S130" s="25"/>
      <c r="T130" s="34">
        <v>-670</v>
      </c>
      <c r="U130" s="34"/>
      <c r="V130" s="53"/>
      <c r="W130" s="25"/>
      <c r="X130" s="5"/>
    </row>
    <row r="131" spans="1:24" ht="15.6" x14ac:dyDescent="0.3">
      <c r="A131" s="24"/>
      <c r="B131" s="25" t="s">
        <v>189</v>
      </c>
      <c r="C131" s="25"/>
      <c r="D131" s="25"/>
      <c r="E131" s="25"/>
      <c r="F131" s="25"/>
      <c r="G131" s="25"/>
      <c r="H131" s="25"/>
      <c r="I131" s="25"/>
      <c r="J131" s="25"/>
      <c r="K131" s="25"/>
      <c r="L131" s="25"/>
      <c r="M131" s="25"/>
      <c r="N131" s="25"/>
      <c r="O131" s="25"/>
      <c r="P131" s="25"/>
      <c r="Q131" s="25"/>
      <c r="R131" s="25"/>
      <c r="S131" s="25"/>
      <c r="T131" s="34">
        <v>0</v>
      </c>
      <c r="U131" s="34"/>
      <c r="V131" s="53"/>
      <c r="W131" s="25"/>
      <c r="X131" s="5"/>
    </row>
    <row r="132" spans="1:24" ht="15.6" x14ac:dyDescent="0.3">
      <c r="A132" s="24"/>
      <c r="B132" s="25" t="s">
        <v>188</v>
      </c>
      <c r="C132" s="25"/>
      <c r="D132" s="25"/>
      <c r="E132" s="25"/>
      <c r="F132" s="25"/>
      <c r="G132" s="25"/>
      <c r="H132" s="25"/>
      <c r="I132" s="25"/>
      <c r="J132" s="25"/>
      <c r="K132" s="25"/>
      <c r="L132" s="25"/>
      <c r="M132" s="25"/>
      <c r="N132" s="25"/>
      <c r="O132" s="25"/>
      <c r="P132" s="25"/>
      <c r="Q132" s="25"/>
      <c r="R132" s="25"/>
      <c r="S132" s="25"/>
      <c r="T132" s="34">
        <v>0</v>
      </c>
      <c r="U132" s="34"/>
      <c r="V132" s="53"/>
      <c r="W132" s="25"/>
      <c r="X132" s="5"/>
    </row>
    <row r="133" spans="1:24" ht="15.6" x14ac:dyDescent="0.3">
      <c r="A133" s="24"/>
      <c r="B133" s="25" t="s">
        <v>227</v>
      </c>
      <c r="C133" s="25"/>
      <c r="D133" s="25"/>
      <c r="E133" s="25"/>
      <c r="F133" s="25"/>
      <c r="G133" s="25"/>
      <c r="H133" s="25"/>
      <c r="I133" s="25"/>
      <c r="J133" s="25"/>
      <c r="K133" s="25"/>
      <c r="L133" s="25"/>
      <c r="M133" s="25"/>
      <c r="N133" s="25"/>
      <c r="O133" s="25"/>
      <c r="P133" s="25"/>
      <c r="Q133" s="25"/>
      <c r="R133" s="25"/>
      <c r="S133" s="25"/>
      <c r="T133" s="34">
        <v>0</v>
      </c>
      <c r="U133" s="34"/>
      <c r="V133" s="53"/>
      <c r="W133" s="25"/>
      <c r="X133" s="5"/>
    </row>
    <row r="134" spans="1:24" ht="15.6" x14ac:dyDescent="0.3">
      <c r="A134" s="24"/>
      <c r="B134" s="25" t="s">
        <v>187</v>
      </c>
      <c r="C134" s="25"/>
      <c r="D134" s="25"/>
      <c r="E134" s="25"/>
      <c r="F134" s="25"/>
      <c r="G134" s="25"/>
      <c r="H134" s="25"/>
      <c r="I134" s="25"/>
      <c r="J134" s="25"/>
      <c r="K134" s="25"/>
      <c r="L134" s="25"/>
      <c r="M134" s="25"/>
      <c r="N134" s="25"/>
      <c r="O134" s="25"/>
      <c r="P134" s="25"/>
      <c r="Q134" s="25"/>
      <c r="R134" s="25"/>
      <c r="S134" s="25"/>
      <c r="T134" s="34">
        <v>0</v>
      </c>
      <c r="U134" s="34"/>
      <c r="V134" s="53"/>
      <c r="W134" s="25"/>
      <c r="X134" s="5"/>
    </row>
    <row r="135" spans="1:24" ht="15.6" x14ac:dyDescent="0.3">
      <c r="A135" s="24"/>
      <c r="B135" s="25" t="s">
        <v>39</v>
      </c>
      <c r="C135" s="25"/>
      <c r="D135" s="25"/>
      <c r="E135" s="25"/>
      <c r="F135" s="25"/>
      <c r="G135" s="25"/>
      <c r="H135" s="25"/>
      <c r="I135" s="25"/>
      <c r="J135" s="25"/>
      <c r="K135" s="25"/>
      <c r="L135" s="25"/>
      <c r="M135" s="25"/>
      <c r="N135" s="25"/>
      <c r="O135" s="25"/>
      <c r="P135" s="25"/>
      <c r="Q135" s="25"/>
      <c r="R135" s="25"/>
      <c r="S135" s="25"/>
      <c r="T135" s="34">
        <f>SUM(T124:T134)</f>
        <v>-5114</v>
      </c>
      <c r="U135" s="34"/>
      <c r="V135" s="34">
        <f>SUM(V103:V132)</f>
        <v>-8311</v>
      </c>
      <c r="W135" s="25"/>
      <c r="X135" s="5"/>
    </row>
    <row r="136" spans="1:24" ht="15.6" x14ac:dyDescent="0.3">
      <c r="A136" s="24"/>
      <c r="B136" s="25" t="s">
        <v>40</v>
      </c>
      <c r="C136" s="25"/>
      <c r="D136" s="25"/>
      <c r="E136" s="25"/>
      <c r="F136" s="25"/>
      <c r="G136" s="25"/>
      <c r="H136" s="25"/>
      <c r="I136" s="25"/>
      <c r="J136" s="25"/>
      <c r="K136" s="25"/>
      <c r="L136" s="25"/>
      <c r="M136" s="25"/>
      <c r="N136" s="25"/>
      <c r="O136" s="25"/>
      <c r="P136" s="25"/>
      <c r="Q136" s="25"/>
      <c r="R136" s="25"/>
      <c r="S136" s="25"/>
      <c r="T136" s="34">
        <f>T102+T135+T116</f>
        <v>0</v>
      </c>
      <c r="U136" s="34"/>
      <c r="V136" s="34">
        <f>V102+V135</f>
        <v>0</v>
      </c>
      <c r="W136" s="25"/>
      <c r="X136" s="5"/>
    </row>
    <row r="137" spans="1:24" ht="15.6" x14ac:dyDescent="0.3">
      <c r="A137" s="24"/>
      <c r="B137" s="25"/>
      <c r="C137" s="25"/>
      <c r="D137" s="25"/>
      <c r="E137" s="25"/>
      <c r="F137" s="25"/>
      <c r="G137" s="25"/>
      <c r="H137" s="25"/>
      <c r="I137" s="25"/>
      <c r="J137" s="25"/>
      <c r="K137" s="25"/>
      <c r="L137" s="25"/>
      <c r="M137" s="25"/>
      <c r="N137" s="25"/>
      <c r="O137" s="25"/>
      <c r="P137" s="25"/>
      <c r="Q137" s="25"/>
      <c r="R137" s="25"/>
      <c r="S137" s="25"/>
      <c r="T137" s="34"/>
      <c r="U137" s="34"/>
      <c r="V137" s="34"/>
      <c r="W137" s="25"/>
      <c r="X137" s="5"/>
    </row>
    <row r="138" spans="1:24" ht="15.6" x14ac:dyDescent="0.3">
      <c r="A138" s="6"/>
      <c r="B138" s="8"/>
      <c r="C138" s="8"/>
      <c r="D138" s="8"/>
      <c r="E138" s="8"/>
      <c r="F138" s="8"/>
      <c r="G138" s="8"/>
      <c r="H138" s="8"/>
      <c r="I138" s="8"/>
      <c r="J138" s="8"/>
      <c r="K138" s="8"/>
      <c r="L138" s="8"/>
      <c r="M138" s="8"/>
      <c r="N138" s="8"/>
      <c r="O138" s="8"/>
      <c r="P138" s="8"/>
      <c r="Q138" s="8"/>
      <c r="R138" s="8"/>
      <c r="S138" s="8"/>
      <c r="T138" s="8"/>
      <c r="U138" s="8"/>
      <c r="V138" s="52"/>
      <c r="W138" s="8"/>
      <c r="X138" s="5"/>
    </row>
    <row r="139" spans="1:24" ht="18" thickBot="1" x14ac:dyDescent="0.35">
      <c r="A139" s="101"/>
      <c r="B139" s="102" t="str">
        <f>B64</f>
        <v>PM14 INVESTOR REPORT QUARTER ENDING NOVEMBER 2009</v>
      </c>
      <c r="C139" s="103"/>
      <c r="D139" s="103"/>
      <c r="E139" s="103"/>
      <c r="F139" s="103"/>
      <c r="G139" s="103"/>
      <c r="H139" s="103"/>
      <c r="I139" s="103"/>
      <c r="J139" s="103"/>
      <c r="K139" s="103"/>
      <c r="L139" s="103"/>
      <c r="M139" s="103"/>
      <c r="N139" s="103"/>
      <c r="O139" s="103"/>
      <c r="P139" s="103"/>
      <c r="Q139" s="103"/>
      <c r="R139" s="103"/>
      <c r="S139" s="103"/>
      <c r="T139" s="103"/>
      <c r="U139" s="103"/>
      <c r="V139" s="106"/>
      <c r="W139" s="105"/>
      <c r="X139" s="5"/>
    </row>
    <row r="140" spans="1:24" ht="15.6" x14ac:dyDescent="0.3">
      <c r="A140" s="2"/>
      <c r="B140" s="60" t="s">
        <v>41</v>
      </c>
      <c r="C140" s="4"/>
      <c r="D140" s="4"/>
      <c r="E140" s="4"/>
      <c r="F140" s="4"/>
      <c r="G140" s="4"/>
      <c r="H140" s="4"/>
      <c r="I140" s="4"/>
      <c r="J140" s="4"/>
      <c r="K140" s="4"/>
      <c r="L140" s="4"/>
      <c r="M140" s="4"/>
      <c r="N140" s="4"/>
      <c r="O140" s="4"/>
      <c r="P140" s="4"/>
      <c r="Q140" s="4"/>
      <c r="R140" s="4"/>
      <c r="S140" s="4"/>
      <c r="T140" s="4"/>
      <c r="U140" s="4"/>
      <c r="V140" s="50"/>
      <c r="W140" s="4"/>
      <c r="X140" s="5"/>
    </row>
    <row r="141" spans="1:24" ht="15.6" x14ac:dyDescent="0.3">
      <c r="A141" s="6"/>
      <c r="B141" s="21"/>
      <c r="C141" s="8"/>
      <c r="D141" s="8"/>
      <c r="E141" s="8"/>
      <c r="F141" s="8"/>
      <c r="G141" s="8"/>
      <c r="H141" s="8"/>
      <c r="I141" s="8"/>
      <c r="J141" s="8"/>
      <c r="K141" s="8"/>
      <c r="L141" s="8"/>
      <c r="M141" s="8"/>
      <c r="N141" s="8"/>
      <c r="O141" s="8"/>
      <c r="P141" s="8"/>
      <c r="Q141" s="8"/>
      <c r="R141" s="8"/>
      <c r="S141" s="8"/>
      <c r="T141" s="8"/>
      <c r="U141" s="8"/>
      <c r="V141" s="52"/>
      <c r="W141" s="8"/>
      <c r="X141" s="5"/>
    </row>
    <row r="142" spans="1:24" ht="15.6" x14ac:dyDescent="0.3">
      <c r="A142" s="6"/>
      <c r="B142" s="119" t="s">
        <v>42</v>
      </c>
      <c r="C142" s="8"/>
      <c r="D142" s="8"/>
      <c r="E142" s="8"/>
      <c r="F142" s="8"/>
      <c r="G142" s="8"/>
      <c r="H142" s="8"/>
      <c r="I142" s="8"/>
      <c r="J142" s="8"/>
      <c r="K142" s="8"/>
      <c r="L142" s="8"/>
      <c r="M142" s="8"/>
      <c r="N142" s="8"/>
      <c r="O142" s="8"/>
      <c r="P142" s="8"/>
      <c r="Q142" s="8"/>
      <c r="R142" s="8"/>
      <c r="S142" s="8"/>
      <c r="T142" s="8"/>
      <c r="U142" s="8"/>
      <c r="V142" s="52"/>
      <c r="W142" s="8"/>
      <c r="X142" s="5"/>
    </row>
    <row r="143" spans="1:24" ht="15.6" x14ac:dyDescent="0.3">
      <c r="A143" s="24"/>
      <c r="B143" s="25" t="s">
        <v>43</v>
      </c>
      <c r="C143" s="25"/>
      <c r="D143" s="25"/>
      <c r="E143" s="25"/>
      <c r="F143" s="25"/>
      <c r="G143" s="25"/>
      <c r="H143" s="25"/>
      <c r="I143" s="25"/>
      <c r="J143" s="25"/>
      <c r="K143" s="25"/>
      <c r="L143" s="25"/>
      <c r="M143" s="25"/>
      <c r="N143" s="25"/>
      <c r="O143" s="25"/>
      <c r="P143" s="25"/>
      <c r="Q143" s="25"/>
      <c r="R143" s="25"/>
      <c r="S143" s="25"/>
      <c r="T143" s="25"/>
      <c r="U143" s="25"/>
      <c r="V143" s="53">
        <f>+V34*0.019</f>
        <v>28505.224999999999</v>
      </c>
      <c r="W143" s="25"/>
      <c r="X143" s="5"/>
    </row>
    <row r="144" spans="1:24" ht="15.6" x14ac:dyDescent="0.3">
      <c r="A144" s="24"/>
      <c r="B144" s="25" t="s">
        <v>44</v>
      </c>
      <c r="C144" s="25"/>
      <c r="D144" s="25"/>
      <c r="E144" s="25"/>
      <c r="F144" s="25"/>
      <c r="G144" s="25"/>
      <c r="H144" s="25"/>
      <c r="I144" s="25"/>
      <c r="J144" s="25"/>
      <c r="K144" s="25"/>
      <c r="L144" s="25"/>
      <c r="M144" s="25"/>
      <c r="N144" s="25"/>
      <c r="O144" s="25"/>
      <c r="P144" s="25"/>
      <c r="Q144" s="25"/>
      <c r="R144" s="25"/>
      <c r="S144" s="25"/>
      <c r="T144" s="25"/>
      <c r="U144" s="25"/>
      <c r="V144" s="53">
        <v>28505</v>
      </c>
      <c r="W144" s="25"/>
      <c r="X144" s="5"/>
    </row>
    <row r="145" spans="1:25" ht="15.6" x14ac:dyDescent="0.3">
      <c r="A145" s="24"/>
      <c r="B145" s="25" t="s">
        <v>136</v>
      </c>
      <c r="C145" s="25"/>
      <c r="D145" s="25"/>
      <c r="E145" s="25"/>
      <c r="F145" s="25"/>
      <c r="G145" s="25"/>
      <c r="H145" s="25"/>
      <c r="I145" s="25"/>
      <c r="J145" s="25"/>
      <c r="K145" s="25"/>
      <c r="L145" s="25"/>
      <c r="M145" s="25"/>
      <c r="N145" s="25"/>
      <c r="O145" s="25"/>
      <c r="P145" s="25"/>
      <c r="Q145" s="25"/>
      <c r="R145" s="25"/>
      <c r="S145" s="25"/>
      <c r="T145" s="25"/>
      <c r="U145" s="25"/>
      <c r="V145" s="53"/>
      <c r="W145" s="25"/>
      <c r="X145" s="5"/>
    </row>
    <row r="146" spans="1:25" ht="15.6" x14ac:dyDescent="0.3">
      <c r="A146" s="24"/>
      <c r="B146" s="25" t="s">
        <v>123</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124</v>
      </c>
      <c r="C147" s="25"/>
      <c r="D147" s="25"/>
      <c r="E147" s="25"/>
      <c r="F147" s="25"/>
      <c r="G147" s="25"/>
      <c r="H147" s="25"/>
      <c r="I147" s="25"/>
      <c r="J147" s="25"/>
      <c r="K147" s="25"/>
      <c r="L147" s="25"/>
      <c r="M147" s="25"/>
      <c r="N147" s="25"/>
      <c r="O147" s="25"/>
      <c r="P147" s="25"/>
      <c r="Q147" s="25"/>
      <c r="R147" s="25"/>
      <c r="S147" s="25"/>
      <c r="T147" s="25"/>
      <c r="U147" s="25"/>
      <c r="V147" s="53">
        <v>0</v>
      </c>
      <c r="W147" s="25"/>
      <c r="X147" s="5"/>
    </row>
    <row r="148" spans="1:25" ht="15.6" x14ac:dyDescent="0.3">
      <c r="A148" s="24"/>
      <c r="B148" s="25" t="s">
        <v>175</v>
      </c>
      <c r="C148" s="25"/>
      <c r="D148" s="25"/>
      <c r="E148" s="25"/>
      <c r="F148" s="25"/>
      <c r="G148" s="25"/>
      <c r="H148" s="25"/>
      <c r="I148" s="25"/>
      <c r="J148" s="25"/>
      <c r="K148" s="25"/>
      <c r="L148" s="25"/>
      <c r="M148" s="25"/>
      <c r="N148" s="25"/>
      <c r="O148" s="25"/>
      <c r="P148" s="25"/>
      <c r="Q148" s="25"/>
      <c r="R148" s="25"/>
      <c r="S148" s="25"/>
      <c r="T148" s="25"/>
      <c r="U148" s="25"/>
      <c r="V148" s="53">
        <v>0</v>
      </c>
      <c r="W148" s="25"/>
      <c r="X148" s="5"/>
    </row>
    <row r="149" spans="1:25" ht="15.6" x14ac:dyDescent="0.3">
      <c r="A149" s="24"/>
      <c r="B149" s="25" t="s">
        <v>45</v>
      </c>
      <c r="C149" s="25"/>
      <c r="D149" s="25"/>
      <c r="E149" s="25"/>
      <c r="F149" s="25"/>
      <c r="G149" s="25"/>
      <c r="H149" s="25"/>
      <c r="I149" s="25"/>
      <c r="J149" s="25"/>
      <c r="K149" s="25"/>
      <c r="L149" s="25"/>
      <c r="M149" s="25"/>
      <c r="N149" s="25"/>
      <c r="O149" s="25"/>
      <c r="P149" s="25"/>
      <c r="Q149" s="25"/>
      <c r="R149" s="25"/>
      <c r="S149" s="25"/>
      <c r="T149" s="25"/>
      <c r="U149" s="25"/>
      <c r="V149" s="53">
        <v>0</v>
      </c>
      <c r="W149" s="25"/>
      <c r="X149" s="5"/>
    </row>
    <row r="150" spans="1:25" ht="15.6" x14ac:dyDescent="0.3">
      <c r="A150" s="24"/>
      <c r="B150" s="25" t="s">
        <v>129</v>
      </c>
      <c r="C150" s="25"/>
      <c r="D150" s="25"/>
      <c r="E150" s="25"/>
      <c r="F150" s="25"/>
      <c r="G150" s="25"/>
      <c r="H150" s="25"/>
      <c r="I150" s="25"/>
      <c r="J150" s="25"/>
      <c r="K150" s="25"/>
      <c r="L150" s="25"/>
      <c r="M150" s="25"/>
      <c r="N150" s="25"/>
      <c r="O150" s="25"/>
      <c r="P150" s="25"/>
      <c r="Q150" s="25"/>
      <c r="R150" s="25"/>
      <c r="S150" s="25"/>
      <c r="T150" s="25"/>
      <c r="U150" s="25"/>
      <c r="V150" s="53">
        <v>0</v>
      </c>
      <c r="W150" s="25"/>
      <c r="X150" s="5"/>
    </row>
    <row r="151" spans="1:25" ht="15.6" x14ac:dyDescent="0.3">
      <c r="A151" s="24"/>
      <c r="B151" s="25" t="s">
        <v>267</v>
      </c>
      <c r="C151" s="25"/>
      <c r="D151" s="25"/>
      <c r="E151" s="25"/>
      <c r="F151" s="25"/>
      <c r="G151" s="25"/>
      <c r="H151" s="25"/>
      <c r="I151" s="25"/>
      <c r="J151" s="25"/>
      <c r="K151" s="25"/>
      <c r="L151" s="25"/>
      <c r="M151" s="25"/>
      <c r="N151" s="25"/>
      <c r="O151" s="25"/>
      <c r="P151" s="25"/>
      <c r="Q151" s="25"/>
      <c r="R151" s="25"/>
      <c r="S151" s="25"/>
      <c r="T151" s="25"/>
      <c r="U151" s="25"/>
      <c r="V151" s="53">
        <v>0</v>
      </c>
      <c r="W151" s="25"/>
      <c r="X151" s="5"/>
      <c r="Y151" s="109"/>
    </row>
    <row r="152" spans="1:25" ht="15.6" x14ac:dyDescent="0.3">
      <c r="A152" s="24"/>
      <c r="B152" s="25" t="s">
        <v>46</v>
      </c>
      <c r="C152" s="25"/>
      <c r="D152" s="25"/>
      <c r="E152" s="25"/>
      <c r="F152" s="25"/>
      <c r="G152" s="25"/>
      <c r="H152" s="25"/>
      <c r="I152" s="25"/>
      <c r="J152" s="25"/>
      <c r="K152" s="25"/>
      <c r="L152" s="25"/>
      <c r="M152" s="25"/>
      <c r="N152" s="25"/>
      <c r="O152" s="25"/>
      <c r="P152" s="25"/>
      <c r="Q152" s="25"/>
      <c r="R152" s="25"/>
      <c r="S152" s="25"/>
      <c r="T152" s="25"/>
      <c r="U152" s="25"/>
      <c r="V152" s="53">
        <f>SUM(V144:V151)</f>
        <v>28505</v>
      </c>
      <c r="W152" s="25"/>
      <c r="X152" s="5"/>
    </row>
    <row r="153" spans="1:25" ht="15.6" x14ac:dyDescent="0.3">
      <c r="A153" s="24"/>
      <c r="B153" s="25"/>
      <c r="C153" s="25"/>
      <c r="D153" s="25"/>
      <c r="E153" s="25"/>
      <c r="F153" s="25"/>
      <c r="G153" s="25"/>
      <c r="H153" s="25"/>
      <c r="I153" s="25"/>
      <c r="J153" s="25"/>
      <c r="K153" s="25"/>
      <c r="L153" s="25"/>
      <c r="M153" s="25"/>
      <c r="N153" s="25"/>
      <c r="O153" s="25"/>
      <c r="P153" s="25"/>
      <c r="Q153" s="25"/>
      <c r="R153" s="25"/>
      <c r="S153" s="25"/>
      <c r="T153" s="25"/>
      <c r="U153" s="25"/>
      <c r="V153" s="53"/>
      <c r="W153" s="25"/>
      <c r="X153" s="5"/>
    </row>
    <row r="154" spans="1:25" ht="15.6" x14ac:dyDescent="0.3">
      <c r="A154" s="24"/>
      <c r="B154" s="136" t="s">
        <v>237</v>
      </c>
      <c r="C154" s="25"/>
      <c r="D154" s="25"/>
      <c r="E154" s="25"/>
      <c r="F154" s="25"/>
      <c r="G154" s="25"/>
      <c r="H154" s="25"/>
      <c r="I154" s="25"/>
      <c r="J154" s="25"/>
      <c r="K154" s="25"/>
      <c r="L154" s="25"/>
      <c r="M154" s="25"/>
      <c r="N154" s="25"/>
      <c r="O154" s="25"/>
      <c r="P154" s="25"/>
      <c r="Q154" s="25"/>
      <c r="R154" s="25"/>
      <c r="S154" s="25"/>
      <c r="T154" s="25"/>
      <c r="U154" s="25"/>
      <c r="V154" s="53"/>
      <c r="W154" s="25"/>
      <c r="X154" s="5"/>
    </row>
    <row r="155" spans="1:25" ht="15.6" x14ac:dyDescent="0.3">
      <c r="A155" s="24"/>
      <c r="B155" s="25" t="s">
        <v>155</v>
      </c>
      <c r="C155" s="25"/>
      <c r="D155" s="25"/>
      <c r="E155" s="25"/>
      <c r="F155" s="25"/>
      <c r="G155" s="25"/>
      <c r="H155" s="25"/>
      <c r="I155" s="25"/>
      <c r="J155" s="25"/>
      <c r="K155" s="25"/>
      <c r="L155" s="25"/>
      <c r="M155" s="25"/>
      <c r="N155" s="25"/>
      <c r="O155" s="25"/>
      <c r="P155" s="25"/>
      <c r="Q155" s="25"/>
      <c r="R155" s="25"/>
      <c r="S155" s="25"/>
      <c r="T155" s="25"/>
      <c r="U155" s="25"/>
      <c r="V155" s="53">
        <v>7500</v>
      </c>
      <c r="W155" s="25"/>
      <c r="X155" s="5"/>
    </row>
    <row r="156" spans="1:25" ht="15.6" x14ac:dyDescent="0.3">
      <c r="A156" s="24"/>
      <c r="B156" s="25" t="s">
        <v>172</v>
      </c>
      <c r="C156" s="25"/>
      <c r="D156" s="25"/>
      <c r="E156" s="25"/>
      <c r="F156" s="25"/>
      <c r="G156" s="25"/>
      <c r="H156" s="25"/>
      <c r="I156" s="25"/>
      <c r="J156" s="25"/>
      <c r="K156" s="25"/>
      <c r="L156" s="25"/>
      <c r="M156" s="25"/>
      <c r="N156" s="25"/>
      <c r="O156" s="25"/>
      <c r="P156" s="25"/>
      <c r="Q156" s="25"/>
      <c r="R156" s="25"/>
      <c r="S156" s="25"/>
      <c r="T156" s="25"/>
      <c r="U156" s="25"/>
      <c r="V156" s="53">
        <v>0</v>
      </c>
      <c r="W156" s="25"/>
      <c r="X156" s="5"/>
    </row>
    <row r="157" spans="1:25" ht="15.6" x14ac:dyDescent="0.3">
      <c r="A157" s="24"/>
      <c r="B157" s="25" t="s">
        <v>241</v>
      </c>
      <c r="C157" s="25"/>
      <c r="D157" s="25"/>
      <c r="E157" s="25"/>
      <c r="F157" s="25"/>
      <c r="G157" s="25"/>
      <c r="H157" s="25"/>
      <c r="I157" s="25"/>
      <c r="J157" s="25"/>
      <c r="K157" s="25"/>
      <c r="L157" s="25"/>
      <c r="M157" s="25"/>
      <c r="N157" s="25"/>
      <c r="O157" s="25"/>
      <c r="P157" s="25"/>
      <c r="Q157" s="25"/>
      <c r="R157" s="25"/>
      <c r="S157" s="25"/>
      <c r="T157" s="25"/>
      <c r="U157" s="25"/>
      <c r="V157" s="53">
        <v>3000</v>
      </c>
      <c r="W157" s="25"/>
      <c r="X157" s="5"/>
    </row>
    <row r="158" spans="1:25" ht="15.6" x14ac:dyDescent="0.3">
      <c r="A158" s="24"/>
      <c r="B158" s="25"/>
      <c r="C158" s="25"/>
      <c r="D158" s="25"/>
      <c r="E158" s="25"/>
      <c r="F158" s="25"/>
      <c r="G158" s="25"/>
      <c r="H158" s="25"/>
      <c r="I158" s="25"/>
      <c r="J158" s="25"/>
      <c r="K158" s="25"/>
      <c r="L158" s="25"/>
      <c r="M158" s="25"/>
      <c r="N158" s="25"/>
      <c r="O158" s="25"/>
      <c r="P158" s="25"/>
      <c r="Q158" s="25"/>
      <c r="R158" s="25"/>
      <c r="S158" s="25"/>
      <c r="T158" s="25"/>
      <c r="U158" s="25"/>
      <c r="V158" s="53"/>
      <c r="W158" s="25"/>
      <c r="X158" s="5"/>
    </row>
    <row r="159" spans="1:25" ht="15.6" x14ac:dyDescent="0.3">
      <c r="A159" s="24"/>
      <c r="B159" s="25"/>
      <c r="C159" s="25"/>
      <c r="D159" s="25"/>
      <c r="E159" s="25"/>
      <c r="F159" s="25"/>
      <c r="G159" s="25"/>
      <c r="H159" s="25"/>
      <c r="I159" s="25"/>
      <c r="J159" s="25"/>
      <c r="K159" s="25"/>
      <c r="L159" s="25"/>
      <c r="M159" s="25"/>
      <c r="N159" s="25"/>
      <c r="O159" s="25"/>
      <c r="P159" s="25"/>
      <c r="Q159" s="25"/>
      <c r="R159" s="25"/>
      <c r="S159" s="25"/>
      <c r="T159" s="25"/>
      <c r="U159" s="25"/>
      <c r="V159" s="61"/>
      <c r="W159" s="25"/>
      <c r="X159" s="5"/>
    </row>
    <row r="160" spans="1:25" ht="15.6" x14ac:dyDescent="0.3">
      <c r="A160" s="6"/>
      <c r="B160" s="119" t="s">
        <v>24</v>
      </c>
      <c r="C160" s="8"/>
      <c r="D160" s="8"/>
      <c r="E160" s="8"/>
      <c r="F160" s="8"/>
      <c r="G160" s="8"/>
      <c r="H160" s="8"/>
      <c r="I160" s="8"/>
      <c r="J160" s="8"/>
      <c r="K160" s="8"/>
      <c r="L160" s="8"/>
      <c r="M160" s="8"/>
      <c r="N160" s="8"/>
      <c r="O160" s="8"/>
      <c r="P160" s="8"/>
      <c r="Q160" s="8"/>
      <c r="R160" s="8"/>
      <c r="S160" s="8"/>
      <c r="T160" s="8"/>
      <c r="U160" s="8"/>
      <c r="V160" s="52"/>
      <c r="W160" s="8"/>
      <c r="X160" s="5"/>
    </row>
    <row r="161" spans="1:256" ht="15.6" x14ac:dyDescent="0.3">
      <c r="A161" s="24"/>
      <c r="B161" s="25" t="s">
        <v>47</v>
      </c>
      <c r="C161" s="25"/>
      <c r="D161" s="25"/>
      <c r="E161" s="25"/>
      <c r="F161" s="25"/>
      <c r="G161" s="25"/>
      <c r="H161" s="25"/>
      <c r="I161" s="25"/>
      <c r="J161" s="25"/>
      <c r="K161" s="25"/>
      <c r="L161" s="25"/>
      <c r="M161" s="25"/>
      <c r="N161" s="25"/>
      <c r="O161" s="25"/>
      <c r="P161" s="25"/>
      <c r="Q161" s="25"/>
      <c r="R161" s="25"/>
      <c r="S161" s="25"/>
      <c r="T161" s="25"/>
      <c r="U161" s="25"/>
      <c r="V161" s="59" t="s">
        <v>118</v>
      </c>
      <c r="W161" s="25"/>
      <c r="X161" s="5"/>
    </row>
    <row r="162" spans="1:256" ht="15.6" x14ac:dyDescent="0.3">
      <c r="A162" s="24"/>
      <c r="B162" s="25" t="s">
        <v>48</v>
      </c>
      <c r="C162" s="174"/>
      <c r="D162" s="174"/>
      <c r="E162" s="174"/>
      <c r="F162" s="174"/>
      <c r="G162" s="174"/>
      <c r="H162" s="174"/>
      <c r="I162" s="174"/>
      <c r="J162" s="174"/>
      <c r="K162" s="174"/>
      <c r="L162" s="174"/>
      <c r="M162" s="174"/>
      <c r="N162" s="174"/>
      <c r="O162" s="174"/>
      <c r="P162" s="174"/>
      <c r="Q162" s="174"/>
      <c r="R162" s="174"/>
      <c r="S162" s="174"/>
      <c r="T162" s="174"/>
      <c r="U162" s="174"/>
      <c r="V162" s="59" t="s">
        <v>118</v>
      </c>
      <c r="W162" s="25"/>
      <c r="X162" s="5"/>
    </row>
    <row r="163" spans="1:256" ht="15.6" x14ac:dyDescent="0.3">
      <c r="A163" s="24"/>
      <c r="B163" s="25" t="s">
        <v>49</v>
      </c>
      <c r="C163" s="25"/>
      <c r="D163" s="25"/>
      <c r="E163" s="25"/>
      <c r="F163" s="25"/>
      <c r="G163" s="25"/>
      <c r="H163" s="25"/>
      <c r="I163" s="25"/>
      <c r="J163" s="25"/>
      <c r="K163" s="25"/>
      <c r="L163" s="25"/>
      <c r="M163" s="25"/>
      <c r="N163" s="25"/>
      <c r="O163" s="25"/>
      <c r="P163" s="25"/>
      <c r="Q163" s="25"/>
      <c r="R163" s="25"/>
      <c r="S163" s="25"/>
      <c r="T163" s="25"/>
      <c r="U163" s="25"/>
      <c r="V163" s="59" t="s">
        <v>118</v>
      </c>
      <c r="W163" s="25"/>
      <c r="X163" s="5"/>
    </row>
    <row r="164" spans="1:256" ht="15.6" x14ac:dyDescent="0.3">
      <c r="A164" s="24"/>
      <c r="B164" s="25" t="s">
        <v>50</v>
      </c>
      <c r="C164" s="25"/>
      <c r="D164" s="25"/>
      <c r="E164" s="25"/>
      <c r="F164" s="25"/>
      <c r="G164" s="25"/>
      <c r="H164" s="25"/>
      <c r="I164" s="25"/>
      <c r="J164" s="25"/>
      <c r="K164" s="25"/>
      <c r="L164" s="25"/>
      <c r="M164" s="25"/>
      <c r="N164" s="25"/>
      <c r="O164" s="25"/>
      <c r="P164" s="25"/>
      <c r="Q164" s="25"/>
      <c r="R164" s="25"/>
      <c r="S164" s="25"/>
      <c r="T164" s="25"/>
      <c r="U164" s="25"/>
      <c r="V164" s="59" t="s">
        <v>118</v>
      </c>
      <c r="W164" s="25"/>
      <c r="X164" s="5"/>
    </row>
    <row r="165" spans="1:256" ht="15.6" x14ac:dyDescent="0.3">
      <c r="A165" s="24"/>
      <c r="B165" s="25"/>
      <c r="C165" s="25"/>
      <c r="D165" s="25"/>
      <c r="E165" s="25"/>
      <c r="F165" s="25"/>
      <c r="G165" s="25"/>
      <c r="H165" s="25"/>
      <c r="I165" s="25"/>
      <c r="J165" s="25"/>
      <c r="K165" s="25"/>
      <c r="L165" s="25"/>
      <c r="M165" s="25"/>
      <c r="N165" s="25"/>
      <c r="O165" s="25"/>
      <c r="P165" s="25"/>
      <c r="Q165" s="25"/>
      <c r="R165" s="25"/>
      <c r="S165" s="25"/>
      <c r="T165" s="25"/>
      <c r="U165" s="25"/>
      <c r="V165" s="61"/>
      <c r="W165" s="25"/>
      <c r="X165" s="5"/>
    </row>
    <row r="166" spans="1:256" ht="15.6" x14ac:dyDescent="0.3">
      <c r="A166" s="6"/>
      <c r="B166" s="119" t="s">
        <v>51</v>
      </c>
      <c r="C166" s="8"/>
      <c r="D166" s="8"/>
      <c r="E166" s="8"/>
      <c r="F166" s="8"/>
      <c r="G166" s="8"/>
      <c r="H166" s="8"/>
      <c r="I166" s="8"/>
      <c r="J166" s="8"/>
      <c r="K166" s="8"/>
      <c r="L166" s="8"/>
      <c r="M166" s="8"/>
      <c r="N166" s="8"/>
      <c r="O166" s="8"/>
      <c r="P166" s="8"/>
      <c r="Q166" s="8"/>
      <c r="R166" s="8"/>
      <c r="S166" s="8"/>
      <c r="T166" s="8"/>
      <c r="U166" s="8"/>
      <c r="V166" s="63"/>
      <c r="W166" s="8"/>
      <c r="X166" s="5"/>
    </row>
    <row r="167" spans="1:256" ht="15.6" x14ac:dyDescent="0.3">
      <c r="A167" s="24"/>
      <c r="B167" s="25" t="s">
        <v>52</v>
      </c>
      <c r="C167" s="25"/>
      <c r="D167" s="25"/>
      <c r="E167" s="25"/>
      <c r="F167" s="25"/>
      <c r="G167" s="25"/>
      <c r="H167" s="25"/>
      <c r="I167" s="25"/>
      <c r="J167" s="25"/>
      <c r="K167" s="25"/>
      <c r="L167" s="25"/>
      <c r="M167" s="25"/>
      <c r="N167" s="25"/>
      <c r="O167" s="25"/>
      <c r="P167" s="25"/>
      <c r="Q167" s="25"/>
      <c r="R167" s="25"/>
      <c r="S167" s="25"/>
      <c r="T167" s="25"/>
      <c r="U167" s="25"/>
      <c r="V167" s="53">
        <v>0</v>
      </c>
      <c r="W167" s="25"/>
      <c r="X167" s="5"/>
    </row>
    <row r="168" spans="1:256" ht="15.6" x14ac:dyDescent="0.3">
      <c r="A168" s="24"/>
      <c r="B168" s="25" t="s">
        <v>53</v>
      </c>
      <c r="C168" s="25"/>
      <c r="D168" s="25"/>
      <c r="E168" s="25"/>
      <c r="F168" s="25"/>
      <c r="G168" s="25"/>
      <c r="H168" s="25"/>
      <c r="I168" s="25"/>
      <c r="J168" s="25"/>
      <c r="K168" s="25"/>
      <c r="L168" s="25"/>
      <c r="M168" s="25"/>
      <c r="N168" s="25"/>
      <c r="O168" s="25"/>
      <c r="P168" s="25"/>
      <c r="Q168" s="25"/>
      <c r="R168" s="25"/>
      <c r="S168" s="25"/>
      <c r="T168" s="25"/>
      <c r="U168" s="25"/>
      <c r="V168" s="53">
        <v>112</v>
      </c>
      <c r="W168" s="25"/>
      <c r="X168" s="5"/>
    </row>
    <row r="169" spans="1:256" ht="15.6" x14ac:dyDescent="0.3">
      <c r="A169" s="24"/>
      <c r="B169" s="25" t="s">
        <v>54</v>
      </c>
      <c r="C169" s="25"/>
      <c r="D169" s="25"/>
      <c r="E169" s="25"/>
      <c r="F169" s="25"/>
      <c r="G169" s="25"/>
      <c r="H169" s="25"/>
      <c r="I169" s="25"/>
      <c r="J169" s="25"/>
      <c r="K169" s="25"/>
      <c r="L169" s="25"/>
      <c r="M169" s="25"/>
      <c r="N169" s="25"/>
      <c r="O169" s="25"/>
      <c r="P169" s="25"/>
      <c r="Q169" s="25"/>
      <c r="R169" s="25"/>
      <c r="S169" s="25"/>
      <c r="T169" s="25"/>
      <c r="U169" s="25"/>
      <c r="V169" s="53">
        <f>V168+V167</f>
        <v>112</v>
      </c>
      <c r="W169" s="25"/>
      <c r="X169" s="5"/>
    </row>
    <row r="170" spans="1:256" ht="15.6" x14ac:dyDescent="0.3">
      <c r="A170" s="24"/>
      <c r="B170" s="25" t="s">
        <v>315</v>
      </c>
      <c r="C170" s="25"/>
      <c r="D170" s="25"/>
      <c r="E170" s="25"/>
      <c r="F170" s="25"/>
      <c r="G170" s="25"/>
      <c r="H170" s="25"/>
      <c r="I170" s="25"/>
      <c r="J170" s="25"/>
      <c r="K170" s="25"/>
      <c r="L170" s="25"/>
      <c r="M170" s="25"/>
      <c r="N170" s="25"/>
      <c r="O170" s="25"/>
      <c r="P170" s="25"/>
      <c r="Q170" s="25"/>
      <c r="R170" s="25"/>
      <c r="S170" s="25"/>
      <c r="T170" s="25"/>
      <c r="U170" s="25"/>
      <c r="V170" s="53">
        <f>V116</f>
        <v>-112</v>
      </c>
      <c r="W170" s="25"/>
      <c r="X170" s="5"/>
    </row>
    <row r="171" spans="1:256" ht="15.6" x14ac:dyDescent="0.3">
      <c r="A171" s="24"/>
      <c r="B171" s="25" t="s">
        <v>55</v>
      </c>
      <c r="C171" s="25"/>
      <c r="D171" s="25"/>
      <c r="E171" s="25"/>
      <c r="F171" s="25"/>
      <c r="G171" s="25"/>
      <c r="H171" s="25"/>
      <c r="I171" s="25"/>
      <c r="J171" s="25"/>
      <c r="K171" s="25"/>
      <c r="L171" s="25"/>
      <c r="M171" s="25"/>
      <c r="N171" s="25"/>
      <c r="O171" s="25"/>
      <c r="P171" s="25"/>
      <c r="Q171" s="25"/>
      <c r="R171" s="25"/>
      <c r="S171" s="25"/>
      <c r="T171" s="25"/>
      <c r="U171" s="25"/>
      <c r="V171" s="53">
        <f>V169+V170</f>
        <v>0</v>
      </c>
      <c r="W171" s="25"/>
      <c r="X171" s="5"/>
    </row>
    <row r="172" spans="1:256" ht="15.6" x14ac:dyDescent="0.3">
      <c r="A172" s="24"/>
      <c r="B172" s="25" t="s">
        <v>283</v>
      </c>
      <c r="C172" s="25"/>
      <c r="D172" s="25"/>
      <c r="E172" s="25"/>
      <c r="F172" s="25"/>
      <c r="G172" s="25"/>
      <c r="H172" s="25"/>
      <c r="I172" s="25"/>
      <c r="J172" s="25"/>
      <c r="K172" s="25"/>
      <c r="L172" s="25"/>
      <c r="M172" s="25"/>
      <c r="N172" s="25"/>
      <c r="O172" s="25"/>
      <c r="P172" s="25"/>
      <c r="Q172" s="25"/>
      <c r="R172" s="25"/>
      <c r="S172" s="25"/>
      <c r="T172" s="25"/>
      <c r="U172" s="25"/>
      <c r="V172" s="53">
        <f>-V101</f>
        <v>72</v>
      </c>
      <c r="W172" s="25"/>
      <c r="X172" s="5"/>
    </row>
    <row r="173" spans="1:256" ht="16.2" thickBot="1" x14ac:dyDescent="0.35">
      <c r="A173" s="24"/>
      <c r="B173" s="25"/>
      <c r="C173" s="25"/>
      <c r="D173" s="25"/>
      <c r="E173" s="25"/>
      <c r="F173" s="25"/>
      <c r="G173" s="25"/>
      <c r="H173" s="25"/>
      <c r="I173" s="25"/>
      <c r="J173" s="25"/>
      <c r="K173" s="25"/>
      <c r="L173" s="25"/>
      <c r="M173" s="25"/>
      <c r="N173" s="25"/>
      <c r="O173" s="25"/>
      <c r="P173" s="25"/>
      <c r="Q173" s="25"/>
      <c r="R173" s="25"/>
      <c r="S173" s="25"/>
      <c r="T173" s="25"/>
      <c r="U173" s="25"/>
      <c r="V173" s="61"/>
      <c r="W173" s="25"/>
      <c r="X173" s="5"/>
    </row>
    <row r="174" spans="1:256" ht="15.6" x14ac:dyDescent="0.3">
      <c r="A174" s="2"/>
      <c r="B174" s="4"/>
      <c r="C174" s="4"/>
      <c r="D174" s="4"/>
      <c r="E174" s="4"/>
      <c r="F174" s="4"/>
      <c r="G174" s="4"/>
      <c r="H174" s="4"/>
      <c r="I174" s="4"/>
      <c r="J174" s="4"/>
      <c r="K174" s="4"/>
      <c r="L174" s="4"/>
      <c r="M174" s="4"/>
      <c r="N174" s="4"/>
      <c r="O174" s="4"/>
      <c r="P174" s="4"/>
      <c r="Q174" s="4"/>
      <c r="R174" s="4"/>
      <c r="S174" s="4"/>
      <c r="T174" s="4"/>
      <c r="U174" s="4"/>
      <c r="V174" s="50"/>
      <c r="W174" s="4"/>
      <c r="X174" s="5"/>
    </row>
    <row r="175" spans="1:256" s="161" customFormat="1" ht="15.6" x14ac:dyDescent="0.3">
      <c r="A175" s="6"/>
      <c r="B175" s="119" t="s">
        <v>269</v>
      </c>
      <c r="C175" s="160"/>
      <c r="D175" s="160"/>
      <c r="E175" s="160"/>
      <c r="F175" s="160"/>
      <c r="G175" s="160"/>
      <c r="H175" s="160"/>
      <c r="I175" s="160"/>
      <c r="J175" s="160"/>
      <c r="K175" s="160"/>
      <c r="L175" s="160"/>
      <c r="M175" s="160"/>
      <c r="N175" s="160"/>
      <c r="O175" s="160"/>
      <c r="P175" s="160"/>
      <c r="Q175" s="160"/>
      <c r="R175" s="160"/>
      <c r="S175" s="160"/>
      <c r="T175" s="160"/>
      <c r="U175" s="160"/>
      <c r="V175" s="168"/>
      <c r="W175" s="160"/>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3" customFormat="1" ht="15.6" x14ac:dyDescent="0.3">
      <c r="A176" s="24"/>
      <c r="B176" s="162" t="s">
        <v>270</v>
      </c>
      <c r="C176" s="162"/>
      <c r="D176" s="162"/>
      <c r="E176" s="162"/>
      <c r="F176" s="162"/>
      <c r="G176" s="162"/>
      <c r="H176" s="162"/>
      <c r="I176" s="162"/>
      <c r="J176" s="162"/>
      <c r="K176" s="162"/>
      <c r="L176" s="162"/>
      <c r="M176" s="162"/>
      <c r="N176" s="162"/>
      <c r="O176" s="162"/>
      <c r="P176" s="162"/>
      <c r="Q176" s="162"/>
      <c r="R176" s="162"/>
      <c r="S176" s="162"/>
      <c r="T176" s="162"/>
      <c r="U176" s="162"/>
      <c r="V176" s="169">
        <f>+'Aug 08'!V177</f>
        <v>0</v>
      </c>
      <c r="W176" s="162"/>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s="163" customFormat="1" ht="15.6" x14ac:dyDescent="0.3">
      <c r="A177" s="24"/>
      <c r="B177" s="162" t="s">
        <v>273</v>
      </c>
      <c r="C177" s="162"/>
      <c r="D177" s="162"/>
      <c r="E177" s="162"/>
      <c r="F177" s="162"/>
      <c r="G177" s="162"/>
      <c r="H177" s="162"/>
      <c r="I177" s="162"/>
      <c r="J177" s="162"/>
      <c r="K177" s="162"/>
      <c r="L177" s="162"/>
      <c r="M177" s="162"/>
      <c r="N177" s="162"/>
      <c r="O177" s="162"/>
      <c r="P177" s="162"/>
      <c r="Q177" s="162"/>
      <c r="R177" s="162"/>
      <c r="S177" s="162"/>
      <c r="T177" s="162"/>
      <c r="U177" s="162"/>
      <c r="V177" s="169">
        <f>+V95</f>
        <v>0</v>
      </c>
      <c r="W177" s="162"/>
      <c r="X177" s="5"/>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s="163" customFormat="1" ht="15.6" x14ac:dyDescent="0.3">
      <c r="A178" s="24"/>
      <c r="B178" s="162" t="s">
        <v>271</v>
      </c>
      <c r="C178" s="162"/>
      <c r="D178" s="162"/>
      <c r="E178" s="162"/>
      <c r="F178" s="162"/>
      <c r="G178" s="162"/>
      <c r="H178" s="162"/>
      <c r="I178" s="162"/>
      <c r="J178" s="162"/>
      <c r="K178" s="162"/>
      <c r="L178" s="162"/>
      <c r="M178" s="162"/>
      <c r="N178" s="162"/>
      <c r="O178" s="162"/>
      <c r="P178" s="162"/>
      <c r="Q178" s="162"/>
      <c r="R178" s="162"/>
      <c r="S178" s="162"/>
      <c r="T178" s="162"/>
      <c r="U178" s="162"/>
      <c r="V178" s="169">
        <f>+V176-V177</f>
        <v>0</v>
      </c>
      <c r="W178" s="162"/>
      <c r="X178" s="5"/>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s="166" customFormat="1" ht="16.2" thickBot="1" x14ac:dyDescent="0.35">
      <c r="A179" s="170"/>
      <c r="B179" s="164"/>
      <c r="C179" s="164"/>
      <c r="D179" s="164"/>
      <c r="E179" s="164"/>
      <c r="F179" s="164"/>
      <c r="G179" s="164"/>
      <c r="H179" s="164"/>
      <c r="I179" s="164"/>
      <c r="J179" s="164"/>
      <c r="K179" s="164"/>
      <c r="L179" s="164"/>
      <c r="M179" s="164"/>
      <c r="N179" s="164"/>
      <c r="O179" s="164"/>
      <c r="P179" s="164"/>
      <c r="Q179" s="164"/>
      <c r="R179" s="164"/>
      <c r="S179" s="164"/>
      <c r="T179" s="164"/>
      <c r="U179" s="164"/>
      <c r="V179" s="165"/>
      <c r="W179" s="164"/>
      <c r="X179" s="5"/>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s="167" customFormat="1" ht="15.6" x14ac:dyDescent="0.3">
      <c r="A180" s="2"/>
      <c r="B180" s="4"/>
      <c r="C180" s="4"/>
      <c r="D180" s="4"/>
      <c r="E180" s="4"/>
      <c r="F180" s="4"/>
      <c r="G180" s="4"/>
      <c r="H180" s="4"/>
      <c r="I180" s="4"/>
      <c r="J180" s="4"/>
      <c r="K180" s="4"/>
      <c r="L180" s="4"/>
      <c r="M180" s="4"/>
      <c r="N180" s="4"/>
      <c r="O180" s="4"/>
      <c r="P180" s="4"/>
      <c r="Q180" s="4"/>
      <c r="R180" s="4"/>
      <c r="S180" s="4"/>
      <c r="T180" s="4"/>
      <c r="U180" s="4"/>
      <c r="V180" s="50"/>
      <c r="W180" s="4"/>
      <c r="X180" s="5"/>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ht="15.6" x14ac:dyDescent="0.3">
      <c r="A181" s="6"/>
      <c r="B181" s="119" t="s">
        <v>56</v>
      </c>
      <c r="C181" s="8"/>
      <c r="D181" s="8"/>
      <c r="E181" s="8"/>
      <c r="F181" s="8"/>
      <c r="G181" s="8"/>
      <c r="H181" s="8"/>
      <c r="I181" s="8"/>
      <c r="J181" s="8"/>
      <c r="K181" s="8"/>
      <c r="L181" s="8"/>
      <c r="M181" s="8"/>
      <c r="N181" s="8"/>
      <c r="O181" s="8"/>
      <c r="P181" s="8"/>
      <c r="Q181" s="8"/>
      <c r="R181" s="8"/>
      <c r="S181" s="8"/>
      <c r="T181" s="8"/>
      <c r="U181" s="8"/>
      <c r="V181" s="52"/>
      <c r="W181" s="8"/>
      <c r="X181" s="5"/>
    </row>
    <row r="182" spans="1:256" ht="15.6" x14ac:dyDescent="0.3">
      <c r="A182" s="6"/>
      <c r="B182" s="21"/>
      <c r="C182" s="8"/>
      <c r="D182" s="8"/>
      <c r="E182" s="8"/>
      <c r="F182" s="8"/>
      <c r="G182" s="8"/>
      <c r="H182" s="8"/>
      <c r="I182" s="8"/>
      <c r="J182" s="8"/>
      <c r="K182" s="8"/>
      <c r="L182" s="8"/>
      <c r="M182" s="8"/>
      <c r="N182" s="8"/>
      <c r="O182" s="8"/>
      <c r="P182" s="8"/>
      <c r="Q182" s="8"/>
      <c r="R182" s="8"/>
      <c r="S182" s="8"/>
      <c r="T182" s="8"/>
      <c r="U182" s="8"/>
      <c r="V182" s="52"/>
      <c r="W182" s="8"/>
      <c r="X182" s="5"/>
    </row>
    <row r="183" spans="1:256" ht="15.6" x14ac:dyDescent="0.3">
      <c r="A183" s="24"/>
      <c r="B183" s="25" t="s">
        <v>57</v>
      </c>
      <c r="C183" s="25"/>
      <c r="D183" s="25"/>
      <c r="E183" s="25"/>
      <c r="F183" s="25"/>
      <c r="G183" s="25"/>
      <c r="H183" s="25"/>
      <c r="I183" s="25"/>
      <c r="J183" s="25"/>
      <c r="K183" s="25"/>
      <c r="L183" s="25"/>
      <c r="M183" s="25"/>
      <c r="N183" s="25"/>
      <c r="O183" s="25"/>
      <c r="P183" s="25"/>
      <c r="Q183" s="25"/>
      <c r="R183" s="25"/>
      <c r="S183" s="25"/>
      <c r="T183" s="25"/>
      <c r="U183" s="25"/>
      <c r="V183" s="53">
        <f>V72</f>
        <v>1197499</v>
      </c>
      <c r="W183" s="25"/>
      <c r="X183" s="5"/>
    </row>
    <row r="184" spans="1:256" ht="15.6" x14ac:dyDescent="0.3">
      <c r="A184" s="24"/>
      <c r="B184" s="25" t="s">
        <v>58</v>
      </c>
      <c r="C184" s="25"/>
      <c r="D184" s="25"/>
      <c r="E184" s="25"/>
      <c r="F184" s="25"/>
      <c r="G184" s="25"/>
      <c r="H184" s="25"/>
      <c r="I184" s="25"/>
      <c r="J184" s="25"/>
      <c r="K184" s="25"/>
      <c r="L184" s="25"/>
      <c r="M184" s="25"/>
      <c r="N184" s="25"/>
      <c r="O184" s="25"/>
      <c r="P184" s="25"/>
      <c r="Q184" s="25"/>
      <c r="R184" s="25"/>
      <c r="S184" s="25"/>
      <c r="T184" s="25"/>
      <c r="U184" s="25"/>
      <c r="V184" s="53">
        <f>V85</f>
        <v>1197499</v>
      </c>
      <c r="W184" s="25"/>
      <c r="X184" s="5"/>
    </row>
    <row r="185" spans="1:256" ht="16.2" thickBot="1" x14ac:dyDescent="0.35">
      <c r="A185" s="24"/>
      <c r="B185" s="25"/>
      <c r="C185" s="25"/>
      <c r="D185" s="25"/>
      <c r="E185" s="25"/>
      <c r="F185" s="25"/>
      <c r="G185" s="25"/>
      <c r="H185" s="25"/>
      <c r="I185" s="25"/>
      <c r="J185" s="25"/>
      <c r="K185" s="25"/>
      <c r="L185" s="25"/>
      <c r="M185" s="25"/>
      <c r="N185" s="25"/>
      <c r="O185" s="25"/>
      <c r="P185" s="25"/>
      <c r="Q185" s="25"/>
      <c r="R185" s="25"/>
      <c r="S185" s="25"/>
      <c r="T185" s="25"/>
      <c r="U185" s="25"/>
      <c r="V185" s="61"/>
      <c r="W185" s="25"/>
      <c r="X185" s="5"/>
    </row>
    <row r="186" spans="1:256" ht="15.6" x14ac:dyDescent="0.3">
      <c r="A186" s="2"/>
      <c r="B186" s="4"/>
      <c r="C186" s="4"/>
      <c r="D186" s="4"/>
      <c r="E186" s="4"/>
      <c r="F186" s="4"/>
      <c r="G186" s="4"/>
      <c r="H186" s="4"/>
      <c r="I186" s="4"/>
      <c r="J186" s="4"/>
      <c r="K186" s="4"/>
      <c r="L186" s="4"/>
      <c r="M186" s="4"/>
      <c r="N186" s="4"/>
      <c r="O186" s="4"/>
      <c r="P186" s="4"/>
      <c r="Q186" s="4"/>
      <c r="R186" s="4"/>
      <c r="S186" s="4"/>
      <c r="T186" s="4"/>
      <c r="U186" s="4"/>
      <c r="V186" s="50"/>
      <c r="W186" s="4"/>
      <c r="X186" s="5"/>
    </row>
    <row r="187" spans="1:256" ht="15.6" x14ac:dyDescent="0.3">
      <c r="A187" s="6"/>
      <c r="B187" s="119" t="s">
        <v>59</v>
      </c>
      <c r="C187" s="117"/>
      <c r="D187" s="117"/>
      <c r="E187" s="117"/>
      <c r="F187" s="117"/>
      <c r="G187" s="117"/>
      <c r="H187" s="120"/>
      <c r="I187" s="120"/>
      <c r="J187" s="120"/>
      <c r="K187" s="120"/>
      <c r="L187" s="120"/>
      <c r="M187" s="120"/>
      <c r="N187" s="120"/>
      <c r="O187" s="120"/>
      <c r="P187" s="120"/>
      <c r="Q187" s="120"/>
      <c r="R187" s="120"/>
      <c r="S187" s="120" t="s">
        <v>101</v>
      </c>
      <c r="T187" s="120" t="s">
        <v>176</v>
      </c>
      <c r="U187" s="111"/>
      <c r="V187" s="121" t="s">
        <v>114</v>
      </c>
      <c r="W187" s="10"/>
      <c r="X187" s="5"/>
    </row>
    <row r="188" spans="1:256" ht="15.6" x14ac:dyDescent="0.3">
      <c r="A188" s="24"/>
      <c r="B188" s="25" t="s">
        <v>60</v>
      </c>
      <c r="C188" s="25"/>
      <c r="D188" s="25"/>
      <c r="E188" s="25"/>
      <c r="F188" s="25"/>
      <c r="G188" s="25"/>
      <c r="H188" s="25"/>
      <c r="I188" s="25"/>
      <c r="J188" s="25"/>
      <c r="K188" s="25"/>
      <c r="L188" s="25"/>
      <c r="M188" s="25"/>
      <c r="N188" s="25"/>
      <c r="O188" s="25"/>
      <c r="P188" s="25"/>
      <c r="Q188" s="25"/>
      <c r="R188" s="25"/>
      <c r="S188" s="53">
        <f>+V34*0.16</f>
        <v>240044</v>
      </c>
      <c r="T188" s="40"/>
      <c r="U188" s="25"/>
      <c r="V188" s="53"/>
      <c r="W188" s="25"/>
      <c r="X188" s="5"/>
    </row>
    <row r="189" spans="1:256" ht="15.6" x14ac:dyDescent="0.3">
      <c r="A189" s="24"/>
      <c r="B189" s="25" t="s">
        <v>61</v>
      </c>
      <c r="C189" s="25"/>
      <c r="D189" s="25"/>
      <c r="E189" s="25"/>
      <c r="F189" s="25"/>
      <c r="G189" s="25"/>
      <c r="H189" s="25"/>
      <c r="I189" s="25"/>
      <c r="J189" s="25"/>
      <c r="K189" s="25"/>
      <c r="L189" s="25"/>
      <c r="M189" s="25"/>
      <c r="N189" s="25"/>
      <c r="O189" s="25"/>
      <c r="P189" s="25"/>
      <c r="Q189" s="25"/>
      <c r="R189" s="25"/>
      <c r="S189" s="53">
        <f>+'Aug 09'!S190</f>
        <v>22725</v>
      </c>
      <c r="T189" s="53">
        <f>+'Aug 09'!T190</f>
        <v>5960</v>
      </c>
      <c r="U189" s="25"/>
      <c r="V189" s="53">
        <f>S189+T189</f>
        <v>28685</v>
      </c>
      <c r="W189" s="25"/>
      <c r="X189" s="5"/>
    </row>
    <row r="190" spans="1:256" ht="15.6" x14ac:dyDescent="0.3">
      <c r="A190" s="24"/>
      <c r="B190" s="25" t="s">
        <v>62</v>
      </c>
      <c r="C190" s="25"/>
      <c r="D190" s="25"/>
      <c r="E190" s="25"/>
      <c r="F190" s="25"/>
      <c r="G190" s="25"/>
      <c r="H190" s="25"/>
      <c r="I190" s="25"/>
      <c r="J190" s="25"/>
      <c r="K190" s="25"/>
      <c r="L190" s="25"/>
      <c r="M190" s="25"/>
      <c r="N190" s="25"/>
      <c r="O190" s="25"/>
      <c r="P190" s="25"/>
      <c r="Q190" s="25"/>
      <c r="R190" s="25"/>
      <c r="S190" s="34">
        <f>456+167</f>
        <v>623</v>
      </c>
      <c r="T190" s="34">
        <v>0</v>
      </c>
      <c r="U190" s="25"/>
      <c r="V190" s="53">
        <f>S190+T190</f>
        <v>623</v>
      </c>
      <c r="W190" s="25"/>
      <c r="X190" s="5"/>
    </row>
    <row r="191" spans="1:256" ht="15.6" x14ac:dyDescent="0.3">
      <c r="A191" s="24"/>
      <c r="B191" s="25" t="s">
        <v>63</v>
      </c>
      <c r="C191" s="25"/>
      <c r="D191" s="25"/>
      <c r="E191" s="25"/>
      <c r="F191" s="25"/>
      <c r="G191" s="25"/>
      <c r="H191" s="25"/>
      <c r="I191" s="25"/>
      <c r="J191" s="25"/>
      <c r="K191" s="25"/>
      <c r="L191" s="25"/>
      <c r="M191" s="25"/>
      <c r="N191" s="25"/>
      <c r="O191" s="25"/>
      <c r="P191" s="25"/>
      <c r="Q191" s="25"/>
      <c r="R191" s="25"/>
      <c r="S191" s="53">
        <f>S189+S190</f>
        <v>23348</v>
      </c>
      <c r="T191" s="53">
        <f>T190+T189</f>
        <v>5960</v>
      </c>
      <c r="U191" s="25"/>
      <c r="V191" s="53">
        <f>S191+T191</f>
        <v>29308</v>
      </c>
      <c r="W191" s="25"/>
      <c r="X191" s="5"/>
    </row>
    <row r="192" spans="1:256" ht="15.6" x14ac:dyDescent="0.3">
      <c r="A192" s="24"/>
      <c r="B192" s="25" t="s">
        <v>64</v>
      </c>
      <c r="C192" s="25"/>
      <c r="D192" s="25"/>
      <c r="E192" s="25"/>
      <c r="F192" s="25"/>
      <c r="G192" s="25"/>
      <c r="H192" s="25"/>
      <c r="I192" s="25"/>
      <c r="J192" s="25"/>
      <c r="K192" s="25"/>
      <c r="L192" s="25"/>
      <c r="M192" s="25"/>
      <c r="N192" s="25"/>
      <c r="O192" s="25"/>
      <c r="P192" s="25"/>
      <c r="Q192" s="25"/>
      <c r="R192" s="25"/>
      <c r="S192" s="53">
        <f>S188-S191-T191</f>
        <v>210736</v>
      </c>
      <c r="T192" s="40"/>
      <c r="U192" s="25"/>
      <c r="V192" s="53"/>
      <c r="W192" s="25"/>
      <c r="X192" s="5"/>
    </row>
    <row r="193" spans="1:24" ht="16.2" thickBot="1" x14ac:dyDescent="0.35">
      <c r="A193" s="24"/>
      <c r="B193" s="25"/>
      <c r="C193" s="25"/>
      <c r="D193" s="25"/>
      <c r="E193" s="25"/>
      <c r="F193" s="25"/>
      <c r="G193" s="25"/>
      <c r="H193" s="25"/>
      <c r="I193" s="25"/>
      <c r="J193" s="25"/>
      <c r="K193" s="25"/>
      <c r="L193" s="25"/>
      <c r="M193" s="25"/>
      <c r="N193" s="25"/>
      <c r="O193" s="25"/>
      <c r="P193" s="25"/>
      <c r="Q193" s="25"/>
      <c r="R193" s="25"/>
      <c r="S193" s="25"/>
      <c r="T193" s="25"/>
      <c r="U193" s="25"/>
      <c r="V193" s="61"/>
      <c r="W193" s="25"/>
      <c r="X193" s="5"/>
    </row>
    <row r="194" spans="1:24" ht="15.6" x14ac:dyDescent="0.3">
      <c r="A194" s="2"/>
      <c r="B194" s="4"/>
      <c r="C194" s="4"/>
      <c r="D194" s="4"/>
      <c r="E194" s="4"/>
      <c r="F194" s="4"/>
      <c r="G194" s="4"/>
      <c r="H194" s="4"/>
      <c r="I194" s="4"/>
      <c r="J194" s="4"/>
      <c r="K194" s="4"/>
      <c r="L194" s="4"/>
      <c r="M194" s="4"/>
      <c r="N194" s="4"/>
      <c r="O194" s="4"/>
      <c r="P194" s="4"/>
      <c r="Q194" s="4"/>
      <c r="R194" s="4"/>
      <c r="S194" s="4"/>
      <c r="T194" s="4"/>
      <c r="U194" s="4"/>
      <c r="V194" s="50"/>
      <c r="W194" s="4"/>
      <c r="X194" s="5"/>
    </row>
    <row r="195" spans="1:24" ht="15.6" x14ac:dyDescent="0.3">
      <c r="A195" s="6"/>
      <c r="B195" s="119" t="s">
        <v>65</v>
      </c>
      <c r="C195" s="8"/>
      <c r="D195" s="8"/>
      <c r="E195" s="8"/>
      <c r="F195" s="8"/>
      <c r="G195" s="8"/>
      <c r="H195" s="8"/>
      <c r="I195" s="8"/>
      <c r="J195" s="8"/>
      <c r="K195" s="8"/>
      <c r="L195" s="8"/>
      <c r="M195" s="8"/>
      <c r="N195" s="8"/>
      <c r="O195" s="8"/>
      <c r="P195" s="8"/>
      <c r="Q195" s="8"/>
      <c r="R195" s="8"/>
      <c r="S195" s="8"/>
      <c r="T195" s="8"/>
      <c r="U195" s="8"/>
      <c r="V195" s="65"/>
      <c r="W195" s="8"/>
      <c r="X195" s="5"/>
    </row>
    <row r="196" spans="1:24" ht="15.6" x14ac:dyDescent="0.3">
      <c r="A196" s="24"/>
      <c r="B196" s="25" t="s">
        <v>66</v>
      </c>
      <c r="C196" s="25"/>
      <c r="D196" s="25"/>
      <c r="E196" s="25"/>
      <c r="F196" s="25"/>
      <c r="G196" s="25"/>
      <c r="H196" s="25"/>
      <c r="I196" s="25"/>
      <c r="J196" s="25"/>
      <c r="K196" s="25"/>
      <c r="L196" s="25"/>
      <c r="M196" s="25"/>
      <c r="N196" s="25"/>
      <c r="O196" s="25"/>
      <c r="P196" s="25"/>
      <c r="Q196" s="25"/>
      <c r="R196" s="25"/>
      <c r="S196" s="25"/>
      <c r="T196" s="25"/>
      <c r="U196" s="25"/>
      <c r="V196" s="59">
        <f>(V102+V104+V105+V106+V107)/-(V108+V109)</f>
        <v>3.5319622012229015</v>
      </c>
      <c r="W196" s="25" t="s">
        <v>115</v>
      </c>
      <c r="X196" s="5"/>
    </row>
    <row r="197" spans="1:24" ht="15.6" x14ac:dyDescent="0.3">
      <c r="A197" s="24"/>
      <c r="B197" s="25" t="s">
        <v>67</v>
      </c>
      <c r="C197" s="25"/>
      <c r="D197" s="25"/>
      <c r="E197" s="25"/>
      <c r="F197" s="25"/>
      <c r="G197" s="25"/>
      <c r="H197" s="25"/>
      <c r="I197" s="25"/>
      <c r="J197" s="25"/>
      <c r="K197" s="25"/>
      <c r="L197" s="25"/>
      <c r="M197" s="25"/>
      <c r="N197" s="25"/>
      <c r="O197" s="25"/>
      <c r="P197" s="25"/>
      <c r="Q197" s="25"/>
      <c r="R197" s="25"/>
      <c r="S197" s="25"/>
      <c r="T197" s="25"/>
      <c r="U197" s="25"/>
      <c r="V197" s="66">
        <v>1.45</v>
      </c>
      <c r="W197" s="25" t="s">
        <v>115</v>
      </c>
      <c r="X197" s="5"/>
    </row>
    <row r="198" spans="1:24" ht="15.6" x14ac:dyDescent="0.3">
      <c r="A198" s="24"/>
      <c r="B198" s="25" t="s">
        <v>68</v>
      </c>
      <c r="C198" s="25"/>
      <c r="D198" s="25"/>
      <c r="E198" s="25"/>
      <c r="F198" s="25"/>
      <c r="G198" s="25"/>
      <c r="H198" s="25"/>
      <c r="I198" s="25"/>
      <c r="J198" s="25"/>
      <c r="K198" s="25"/>
      <c r="L198" s="25"/>
      <c r="M198" s="25"/>
      <c r="N198" s="25"/>
      <c r="O198" s="25"/>
      <c r="P198" s="25"/>
      <c r="Q198" s="25"/>
      <c r="R198" s="25"/>
      <c r="S198" s="25"/>
      <c r="T198" s="25"/>
      <c r="U198" s="25"/>
      <c r="V198" s="59">
        <f>(V102+V104+V105+V106+V107+V108+V109)/-(V111+V112)</f>
        <v>20.154867256637168</v>
      </c>
      <c r="W198" s="25" t="s">
        <v>115</v>
      </c>
      <c r="X198" s="5"/>
    </row>
    <row r="199" spans="1:24" ht="15.6" x14ac:dyDescent="0.3">
      <c r="A199" s="24"/>
      <c r="B199" s="25" t="s">
        <v>69</v>
      </c>
      <c r="C199" s="25"/>
      <c r="D199" s="25"/>
      <c r="E199" s="25"/>
      <c r="F199" s="25"/>
      <c r="G199" s="25"/>
      <c r="H199" s="25"/>
      <c r="I199" s="25"/>
      <c r="J199" s="25"/>
      <c r="K199" s="25"/>
      <c r="L199" s="25"/>
      <c r="M199" s="25"/>
      <c r="N199" s="25"/>
      <c r="O199" s="25"/>
      <c r="P199" s="25"/>
      <c r="Q199" s="25"/>
      <c r="R199" s="25"/>
      <c r="S199" s="25"/>
      <c r="T199" s="25"/>
      <c r="U199" s="25"/>
      <c r="V199" s="66">
        <v>4.63</v>
      </c>
      <c r="W199" s="25" t="s">
        <v>115</v>
      </c>
      <c r="X199" s="5"/>
    </row>
    <row r="200" spans="1:24" ht="15.6" x14ac:dyDescent="0.3">
      <c r="A200" s="24"/>
      <c r="B200" s="25" t="s">
        <v>198</v>
      </c>
      <c r="C200" s="25"/>
      <c r="D200" s="25"/>
      <c r="E200" s="25"/>
      <c r="F200" s="25"/>
      <c r="G200" s="25"/>
      <c r="H200" s="25"/>
      <c r="I200" s="25"/>
      <c r="J200" s="25"/>
      <c r="K200" s="25"/>
      <c r="L200" s="25"/>
      <c r="M200" s="25"/>
      <c r="N200" s="25"/>
      <c r="O200" s="25"/>
      <c r="P200" s="25"/>
      <c r="Q200" s="25"/>
      <c r="R200" s="25"/>
      <c r="S200" s="25"/>
      <c r="T200" s="25"/>
      <c r="U200" s="25"/>
      <c r="V200" s="59">
        <f>(V102+V104+V105+V106+V107+V108+V109+V111+V112)/-(V113+V114)</f>
        <v>14.927586206896551</v>
      </c>
      <c r="W200" s="25" t="s">
        <v>115</v>
      </c>
      <c r="X200" s="5"/>
    </row>
    <row r="201" spans="1:24" ht="15.6" x14ac:dyDescent="0.3">
      <c r="A201" s="24"/>
      <c r="B201" s="25" t="s">
        <v>199</v>
      </c>
      <c r="C201" s="25"/>
      <c r="D201" s="25"/>
      <c r="E201" s="25"/>
      <c r="F201" s="25"/>
      <c r="G201" s="25"/>
      <c r="H201" s="25"/>
      <c r="I201" s="25"/>
      <c r="J201" s="25"/>
      <c r="K201" s="25"/>
      <c r="L201" s="25"/>
      <c r="M201" s="25"/>
      <c r="N201" s="25"/>
      <c r="O201" s="25"/>
      <c r="P201" s="25"/>
      <c r="Q201" s="25"/>
      <c r="R201" s="25"/>
      <c r="S201" s="25"/>
      <c r="T201" s="25"/>
      <c r="U201" s="25"/>
      <c r="V201" s="66">
        <v>3.46</v>
      </c>
      <c r="W201" s="25" t="s">
        <v>115</v>
      </c>
      <c r="X201" s="5"/>
    </row>
    <row r="202" spans="1:24" ht="15.6" x14ac:dyDescent="0.3">
      <c r="A202" s="24"/>
      <c r="B202" s="25"/>
      <c r="C202" s="25"/>
      <c r="D202" s="25"/>
      <c r="E202" s="25"/>
      <c r="F202" s="25"/>
      <c r="G202" s="25"/>
      <c r="H202" s="25"/>
      <c r="I202" s="25"/>
      <c r="J202" s="25"/>
      <c r="K202" s="25"/>
      <c r="L202" s="25"/>
      <c r="M202" s="25"/>
      <c r="N202" s="25"/>
      <c r="O202" s="25"/>
      <c r="P202" s="25"/>
      <c r="Q202" s="25"/>
      <c r="R202" s="25"/>
      <c r="S202" s="25"/>
      <c r="T202" s="25"/>
      <c r="U202" s="25"/>
      <c r="V202" s="25"/>
      <c r="W202" s="25"/>
      <c r="X202" s="5"/>
    </row>
    <row r="203" spans="1:24" ht="15.6" x14ac:dyDescent="0.3">
      <c r="A203" s="24"/>
      <c r="B203" s="25"/>
      <c r="C203" s="25"/>
      <c r="D203" s="25"/>
      <c r="E203" s="25"/>
      <c r="F203" s="25"/>
      <c r="G203" s="25"/>
      <c r="H203" s="25"/>
      <c r="I203" s="25"/>
      <c r="J203" s="25"/>
      <c r="K203" s="25"/>
      <c r="L203" s="25"/>
      <c r="M203" s="25"/>
      <c r="N203" s="25"/>
      <c r="O203" s="25"/>
      <c r="P203" s="25"/>
      <c r="Q203" s="25"/>
      <c r="R203" s="25"/>
      <c r="S203" s="25"/>
      <c r="T203" s="25"/>
      <c r="U203" s="25"/>
      <c r="V203" s="25"/>
      <c r="W203" s="25"/>
      <c r="X203" s="5"/>
    </row>
    <row r="204" spans="1:24" ht="15.6" x14ac:dyDescent="0.3">
      <c r="A204" s="6"/>
      <c r="B204" s="8"/>
      <c r="C204" s="8"/>
      <c r="D204" s="8"/>
      <c r="E204" s="8"/>
      <c r="F204" s="8"/>
      <c r="G204" s="8"/>
      <c r="H204" s="8"/>
      <c r="I204" s="8"/>
      <c r="J204" s="8"/>
      <c r="K204" s="8"/>
      <c r="L204" s="8"/>
      <c r="M204" s="8"/>
      <c r="N204" s="8"/>
      <c r="O204" s="8"/>
      <c r="P204" s="8"/>
      <c r="Q204" s="8"/>
      <c r="R204" s="8"/>
      <c r="S204" s="8"/>
      <c r="T204" s="8"/>
      <c r="U204" s="8"/>
      <c r="V204" s="8"/>
      <c r="W204" s="8"/>
      <c r="X204" s="5"/>
    </row>
    <row r="205" spans="1:24" ht="18" thickBot="1" x14ac:dyDescent="0.35">
      <c r="A205" s="101"/>
      <c r="B205" s="102" t="str">
        <f>B139</f>
        <v>PM14 INVESTOR REPORT QUARTER ENDING NOVEMBER 2009</v>
      </c>
      <c r="C205" s="176"/>
      <c r="D205" s="176"/>
      <c r="E205" s="176"/>
      <c r="F205" s="176"/>
      <c r="G205" s="176"/>
      <c r="H205" s="176"/>
      <c r="I205" s="176"/>
      <c r="J205" s="176"/>
      <c r="K205" s="176"/>
      <c r="L205" s="176"/>
      <c r="M205" s="176"/>
      <c r="N205" s="176"/>
      <c r="O205" s="176"/>
      <c r="P205" s="176"/>
      <c r="Q205" s="176"/>
      <c r="R205" s="176"/>
      <c r="S205" s="176"/>
      <c r="T205" s="176"/>
      <c r="U205" s="176"/>
      <c r="V205" s="176"/>
      <c r="W205" s="177"/>
      <c r="X205" s="5"/>
    </row>
    <row r="206" spans="1:24" ht="15.6" x14ac:dyDescent="0.3">
      <c r="A206" s="67"/>
      <c r="B206" s="60" t="s">
        <v>70</v>
      </c>
      <c r="C206" s="68"/>
      <c r="D206" s="68"/>
      <c r="E206" s="68"/>
      <c r="F206" s="68"/>
      <c r="G206" s="69"/>
      <c r="H206" s="69"/>
      <c r="I206" s="69"/>
      <c r="J206" s="69"/>
      <c r="K206" s="69"/>
      <c r="L206" s="69"/>
      <c r="M206" s="69"/>
      <c r="N206" s="69"/>
      <c r="O206" s="69"/>
      <c r="P206" s="69"/>
      <c r="Q206" s="69"/>
      <c r="R206" s="69"/>
      <c r="S206" s="69"/>
      <c r="T206" s="70">
        <v>40147</v>
      </c>
      <c r="U206" s="4"/>
      <c r="V206" s="4"/>
      <c r="W206" s="4"/>
      <c r="X206" s="5"/>
    </row>
    <row r="207" spans="1:24" ht="15.6" x14ac:dyDescent="0.3">
      <c r="A207" s="71"/>
      <c r="B207" s="72"/>
      <c r="C207" s="73"/>
      <c r="D207" s="73"/>
      <c r="E207" s="73"/>
      <c r="F207" s="73"/>
      <c r="G207" s="74"/>
      <c r="H207" s="74"/>
      <c r="I207" s="74"/>
      <c r="J207" s="74"/>
      <c r="K207" s="74"/>
      <c r="L207" s="74"/>
      <c r="M207" s="74"/>
      <c r="N207" s="74"/>
      <c r="O207" s="74"/>
      <c r="P207" s="74"/>
      <c r="Q207" s="74"/>
      <c r="R207" s="74"/>
      <c r="S207" s="74"/>
      <c r="T207" s="74"/>
      <c r="U207" s="8"/>
      <c r="V207" s="8"/>
      <c r="W207" s="8"/>
      <c r="X207" s="5"/>
    </row>
    <row r="208" spans="1:24" ht="15.6" x14ac:dyDescent="0.3">
      <c r="A208" s="75"/>
      <c r="B208" s="76" t="s">
        <v>71</v>
      </c>
      <c r="C208" s="77"/>
      <c r="D208" s="77"/>
      <c r="E208" s="77"/>
      <c r="F208" s="77"/>
      <c r="G208" s="64"/>
      <c r="H208" s="64"/>
      <c r="I208" s="64"/>
      <c r="J208" s="64"/>
      <c r="K208" s="64"/>
      <c r="L208" s="64"/>
      <c r="M208" s="64"/>
      <c r="N208" s="64"/>
      <c r="O208" s="64"/>
      <c r="P208" s="64"/>
      <c r="Q208" s="64"/>
      <c r="R208" s="64"/>
      <c r="S208" s="64"/>
      <c r="T208" s="78">
        <v>5.2819999999999999E-2</v>
      </c>
      <c r="U208" s="25"/>
      <c r="V208" s="25"/>
      <c r="W208" s="25"/>
      <c r="X208" s="5"/>
    </row>
    <row r="209" spans="1:24" ht="15.6" x14ac:dyDescent="0.3">
      <c r="A209" s="75"/>
      <c r="B209" s="76" t="s">
        <v>151</v>
      </c>
      <c r="C209" s="77"/>
      <c r="D209" s="77"/>
      <c r="E209" s="77"/>
      <c r="F209" s="77"/>
      <c r="G209" s="64"/>
      <c r="H209" s="64"/>
      <c r="I209" s="64"/>
      <c r="J209" s="64"/>
      <c r="K209" s="64"/>
      <c r="L209" s="64"/>
      <c r="M209" s="64"/>
      <c r="N209" s="64"/>
      <c r="O209" s="64"/>
      <c r="P209" s="64"/>
      <c r="Q209" s="64"/>
      <c r="R209" s="64"/>
      <c r="S209" s="64"/>
      <c r="T209" s="39">
        <v>5.7799999999999997E-2</v>
      </c>
      <c r="U209" s="25"/>
      <c r="V209" s="25"/>
      <c r="W209" s="25"/>
      <c r="X209" s="5"/>
    </row>
    <row r="210" spans="1:24" ht="15.6" x14ac:dyDescent="0.3">
      <c r="A210" s="75"/>
      <c r="B210" s="76" t="s">
        <v>72</v>
      </c>
      <c r="C210" s="77"/>
      <c r="D210" s="77"/>
      <c r="E210" s="77"/>
      <c r="F210" s="77"/>
      <c r="G210" s="64"/>
      <c r="H210" s="64"/>
      <c r="I210" s="64"/>
      <c r="J210" s="64"/>
      <c r="K210" s="64"/>
      <c r="L210" s="64"/>
      <c r="M210" s="64"/>
      <c r="N210" s="64"/>
      <c r="O210" s="64"/>
      <c r="P210" s="64"/>
      <c r="Q210" s="64"/>
      <c r="R210" s="64"/>
      <c r="S210" s="64"/>
      <c r="T210" s="78">
        <f>T208-T209</f>
        <v>-4.9799999999999983E-3</v>
      </c>
      <c r="U210" s="25"/>
      <c r="V210" s="25"/>
      <c r="W210" s="25"/>
      <c r="X210" s="5"/>
    </row>
    <row r="211" spans="1:24" ht="15.6" x14ac:dyDescent="0.3">
      <c r="A211" s="75"/>
      <c r="B211" s="76" t="s">
        <v>73</v>
      </c>
      <c r="C211" s="77"/>
      <c r="D211" s="77"/>
      <c r="E211" s="77"/>
      <c r="F211" s="77"/>
      <c r="G211" s="64"/>
      <c r="H211" s="64"/>
      <c r="I211" s="64"/>
      <c r="J211" s="64"/>
      <c r="K211" s="64"/>
      <c r="L211" s="64"/>
      <c r="M211" s="64"/>
      <c r="N211" s="64"/>
      <c r="O211" s="64"/>
      <c r="P211" s="64"/>
      <c r="Q211" s="64"/>
      <c r="R211" s="64"/>
      <c r="S211" s="64"/>
      <c r="T211" s="78">
        <v>2.69E-2</v>
      </c>
      <c r="U211" s="25"/>
      <c r="V211" s="25"/>
      <c r="W211" s="25"/>
      <c r="X211" s="5"/>
    </row>
    <row r="212" spans="1:24" ht="15.6" x14ac:dyDescent="0.3">
      <c r="A212" s="75"/>
      <c r="B212" s="76" t="s">
        <v>219</v>
      </c>
      <c r="C212" s="77"/>
      <c r="D212" s="77"/>
      <c r="E212" s="77"/>
      <c r="F212" s="77"/>
      <c r="G212" s="64"/>
      <c r="H212" s="64"/>
      <c r="I212" s="64"/>
      <c r="J212" s="64"/>
      <c r="K212" s="64"/>
      <c r="L212" s="64"/>
      <c r="M212" s="64"/>
      <c r="N212" s="64"/>
      <c r="O212" s="64"/>
      <c r="P212" s="64"/>
      <c r="Q212" s="64"/>
      <c r="R212" s="64"/>
      <c r="S212" s="64"/>
      <c r="T212" s="78">
        <f>V43</f>
        <v>7.7300108215001473E-3</v>
      </c>
      <c r="U212" s="25"/>
      <c r="V212" s="25"/>
      <c r="W212" s="25"/>
      <c r="X212" s="5"/>
    </row>
    <row r="213" spans="1:24" ht="15.6" x14ac:dyDescent="0.3">
      <c r="A213" s="75"/>
      <c r="B213" s="76" t="s">
        <v>74</v>
      </c>
      <c r="C213" s="77"/>
      <c r="D213" s="77"/>
      <c r="E213" s="77"/>
      <c r="F213" s="77"/>
      <c r="G213" s="64"/>
      <c r="H213" s="64"/>
      <c r="I213" s="64"/>
      <c r="J213" s="64"/>
      <c r="K213" s="64"/>
      <c r="L213" s="64"/>
      <c r="M213" s="64"/>
      <c r="N213" s="64"/>
      <c r="O213" s="64"/>
      <c r="P213" s="64"/>
      <c r="Q213" s="64"/>
      <c r="R213" s="64"/>
      <c r="S213" s="64"/>
      <c r="T213" s="78">
        <f>T211-T212</f>
        <v>1.9169989178499852E-2</v>
      </c>
      <c r="U213" s="25"/>
      <c r="V213" s="25"/>
      <c r="W213" s="25"/>
      <c r="X213" s="5"/>
    </row>
    <row r="214" spans="1:24" ht="15.6" x14ac:dyDescent="0.3">
      <c r="A214" s="75"/>
      <c r="B214" s="76" t="s">
        <v>242</v>
      </c>
      <c r="C214" s="77"/>
      <c r="D214" s="77"/>
      <c r="E214" s="77"/>
      <c r="F214" s="77"/>
      <c r="G214" s="64"/>
      <c r="H214" s="64"/>
      <c r="I214" s="64"/>
      <c r="J214" s="64"/>
      <c r="K214" s="64"/>
      <c r="L214" s="64"/>
      <c r="M214" s="64"/>
      <c r="N214" s="64"/>
      <c r="O214" s="64"/>
      <c r="P214" s="64"/>
      <c r="Q214" s="64"/>
      <c r="R214" s="64"/>
      <c r="S214" s="64"/>
      <c r="T214" s="78">
        <f>V102/N72</f>
        <v>6.9164385043649045E-3</v>
      </c>
      <c r="U214" s="25"/>
      <c r="V214" s="25"/>
      <c r="W214" s="25"/>
      <c r="X214" s="5"/>
    </row>
    <row r="215" spans="1:24" ht="15.6" x14ac:dyDescent="0.3">
      <c r="A215" s="75"/>
      <c r="B215" s="76" t="s">
        <v>208</v>
      </c>
      <c r="C215" s="77"/>
      <c r="D215" s="77"/>
      <c r="E215" s="77"/>
      <c r="F215" s="77"/>
      <c r="G215" s="64"/>
      <c r="H215" s="64"/>
      <c r="I215" s="64"/>
      <c r="J215" s="64"/>
      <c r="K215" s="64"/>
      <c r="L215" s="64"/>
      <c r="M215" s="64"/>
      <c r="N215" s="64"/>
      <c r="O215" s="64"/>
      <c r="P215" s="64"/>
      <c r="Q215" s="64"/>
      <c r="R215" s="64"/>
      <c r="S215" s="64"/>
      <c r="T215" s="129">
        <v>51014</v>
      </c>
      <c r="U215" s="25"/>
      <c r="V215" s="25"/>
      <c r="W215" s="25"/>
      <c r="X215" s="5"/>
    </row>
    <row r="216" spans="1:24" ht="15.6" x14ac:dyDescent="0.3">
      <c r="A216" s="75"/>
      <c r="B216" s="76" t="s">
        <v>209</v>
      </c>
      <c r="C216" s="77"/>
      <c r="D216" s="77"/>
      <c r="E216" s="77"/>
      <c r="F216" s="77"/>
      <c r="G216" s="64"/>
      <c r="H216" s="64"/>
      <c r="I216" s="64"/>
      <c r="J216" s="64"/>
      <c r="K216" s="64"/>
      <c r="L216" s="64"/>
      <c r="M216" s="64"/>
      <c r="N216" s="64"/>
      <c r="O216" s="64"/>
      <c r="P216" s="64"/>
      <c r="Q216" s="64"/>
      <c r="R216" s="64"/>
      <c r="S216" s="64"/>
      <c r="T216" s="129">
        <v>51014</v>
      </c>
      <c r="U216" s="25"/>
      <c r="V216" s="25"/>
      <c r="W216" s="25"/>
      <c r="X216" s="5"/>
    </row>
    <row r="217" spans="1:24" ht="15.6" x14ac:dyDescent="0.3">
      <c r="A217" s="75"/>
      <c r="B217" s="76" t="s">
        <v>210</v>
      </c>
      <c r="C217" s="77"/>
      <c r="D217" s="77"/>
      <c r="E217" s="77"/>
      <c r="F217" s="77"/>
      <c r="G217" s="64"/>
      <c r="H217" s="64"/>
      <c r="I217" s="64"/>
      <c r="J217" s="64"/>
      <c r="K217" s="64"/>
      <c r="L217" s="64"/>
      <c r="M217" s="64"/>
      <c r="N217" s="64"/>
      <c r="O217" s="64"/>
      <c r="P217" s="64"/>
      <c r="Q217" s="64"/>
      <c r="R217" s="64"/>
      <c r="S217" s="64"/>
      <c r="T217" s="129">
        <v>51014</v>
      </c>
      <c r="U217" s="25"/>
      <c r="V217" s="25"/>
      <c r="W217" s="25"/>
      <c r="X217" s="5"/>
    </row>
    <row r="218" spans="1:24" ht="15.6" x14ac:dyDescent="0.3">
      <c r="A218" s="75"/>
      <c r="B218" s="76" t="s">
        <v>75</v>
      </c>
      <c r="C218" s="77"/>
      <c r="D218" s="77"/>
      <c r="E218" s="77"/>
      <c r="F218" s="77"/>
      <c r="G218" s="64"/>
      <c r="H218" s="64"/>
      <c r="I218" s="64"/>
      <c r="J218" s="64"/>
      <c r="K218" s="64"/>
      <c r="L218" s="64"/>
      <c r="M218" s="64"/>
      <c r="N218" s="64"/>
      <c r="O218" s="64"/>
      <c r="P218" s="64"/>
      <c r="Q218" s="64"/>
      <c r="R218" s="64"/>
      <c r="S218" s="64"/>
      <c r="T218" s="133">
        <v>20.66</v>
      </c>
      <c r="U218" s="25" t="s">
        <v>110</v>
      </c>
      <c r="V218" s="25"/>
      <c r="W218" s="25"/>
      <c r="X218" s="5"/>
    </row>
    <row r="219" spans="1:24" ht="15.6" x14ac:dyDescent="0.3">
      <c r="A219" s="75"/>
      <c r="B219" s="76" t="s">
        <v>76</v>
      </c>
      <c r="C219" s="77"/>
      <c r="D219" s="77"/>
      <c r="E219" s="77"/>
      <c r="F219" s="77"/>
      <c r="G219" s="64"/>
      <c r="H219" s="64"/>
      <c r="I219" s="64"/>
      <c r="J219" s="64"/>
      <c r="K219" s="64"/>
      <c r="L219" s="64"/>
      <c r="M219" s="64"/>
      <c r="N219" s="64"/>
      <c r="O219" s="64"/>
      <c r="P219" s="64"/>
      <c r="Q219" s="64"/>
      <c r="R219" s="64"/>
      <c r="S219" s="64"/>
      <c r="T219" s="133">
        <v>18.61</v>
      </c>
      <c r="U219" s="25" t="s">
        <v>110</v>
      </c>
      <c r="V219" s="25"/>
      <c r="W219" s="25"/>
      <c r="X219" s="5"/>
    </row>
    <row r="220" spans="1:24" ht="15.6" x14ac:dyDescent="0.3">
      <c r="A220" s="75"/>
      <c r="B220" s="76" t="s">
        <v>77</v>
      </c>
      <c r="C220" s="77"/>
      <c r="D220" s="77"/>
      <c r="E220" s="77"/>
      <c r="F220" s="77"/>
      <c r="G220" s="64"/>
      <c r="H220" s="64"/>
      <c r="I220" s="64"/>
      <c r="J220" s="64"/>
      <c r="K220" s="64"/>
      <c r="L220" s="64"/>
      <c r="M220" s="64"/>
      <c r="N220" s="64"/>
      <c r="O220" s="64"/>
      <c r="P220" s="64"/>
      <c r="Q220" s="64"/>
      <c r="R220" s="64"/>
      <c r="S220" s="64"/>
      <c r="T220" s="78">
        <f>+P69/N69</f>
        <v>4.2866772633839033E-3</v>
      </c>
      <c r="U220" s="25"/>
      <c r="V220" s="25"/>
      <c r="W220" s="25"/>
      <c r="X220" s="5"/>
    </row>
    <row r="221" spans="1:24" ht="15.6" x14ac:dyDescent="0.3">
      <c r="A221" s="75"/>
      <c r="B221" s="76" t="s">
        <v>78</v>
      </c>
      <c r="C221" s="77"/>
      <c r="D221" s="77"/>
      <c r="E221" s="77"/>
      <c r="F221" s="77"/>
      <c r="G221" s="64"/>
      <c r="H221" s="64"/>
      <c r="I221" s="64"/>
      <c r="J221" s="64"/>
      <c r="K221" s="64"/>
      <c r="L221" s="64"/>
      <c r="M221" s="64"/>
      <c r="N221" s="64"/>
      <c r="O221" s="64"/>
      <c r="P221" s="64"/>
      <c r="Q221" s="64"/>
      <c r="R221" s="64"/>
      <c r="S221" s="64"/>
      <c r="T221" s="78">
        <v>8.7499999999999994E-2</v>
      </c>
      <c r="U221" s="25"/>
      <c r="V221" s="25"/>
      <c r="W221" s="25"/>
      <c r="X221" s="5"/>
    </row>
    <row r="222" spans="1:24" ht="15.6" x14ac:dyDescent="0.3">
      <c r="A222" s="75"/>
      <c r="B222" s="76"/>
      <c r="C222" s="76"/>
      <c r="D222" s="76"/>
      <c r="E222" s="76"/>
      <c r="F222" s="76"/>
      <c r="G222" s="25"/>
      <c r="H222" s="25"/>
      <c r="I222" s="25"/>
      <c r="J222" s="25"/>
      <c r="K222" s="25"/>
      <c r="L222" s="25"/>
      <c r="M222" s="25"/>
      <c r="N222" s="25"/>
      <c r="O222" s="25"/>
      <c r="P222" s="25"/>
      <c r="Q222" s="25"/>
      <c r="R222" s="25"/>
      <c r="S222" s="25"/>
      <c r="T222" s="61"/>
      <c r="U222" s="25"/>
      <c r="V222" s="79"/>
      <c r="W222" s="25"/>
      <c r="X222" s="5"/>
    </row>
    <row r="223" spans="1:24" ht="15.6" x14ac:dyDescent="0.3">
      <c r="A223" s="80"/>
      <c r="B223" s="14" t="s">
        <v>79</v>
      </c>
      <c r="C223" s="81"/>
      <c r="D223" s="81"/>
      <c r="E223" s="81"/>
      <c r="F223" s="82"/>
      <c r="G223" s="81"/>
      <c r="H223" s="17"/>
      <c r="I223" s="17"/>
      <c r="J223" s="17"/>
      <c r="K223" s="17"/>
      <c r="L223" s="17"/>
      <c r="M223" s="17"/>
      <c r="N223" s="17"/>
      <c r="O223" s="17"/>
      <c r="P223" s="17"/>
      <c r="Q223" s="17"/>
      <c r="R223" s="17"/>
      <c r="S223" s="17" t="s">
        <v>102</v>
      </c>
      <c r="T223" s="83" t="s">
        <v>108</v>
      </c>
      <c r="U223" s="8"/>
      <c r="V223" s="8"/>
      <c r="W223" s="8"/>
      <c r="X223" s="5"/>
    </row>
    <row r="224" spans="1:24" ht="15.6" x14ac:dyDescent="0.3">
      <c r="A224" s="84"/>
      <c r="B224" s="76" t="s">
        <v>80</v>
      </c>
      <c r="C224" s="54"/>
      <c r="D224" s="54"/>
      <c r="E224" s="54"/>
      <c r="F224" s="25"/>
      <c r="G224" s="25"/>
      <c r="H224" s="30"/>
      <c r="I224" s="30"/>
      <c r="J224" s="30"/>
      <c r="K224" s="30"/>
      <c r="L224" s="30"/>
      <c r="M224" s="30"/>
      <c r="N224" s="30"/>
      <c r="O224" s="30"/>
      <c r="P224" s="30"/>
      <c r="Q224" s="30"/>
      <c r="R224" s="30"/>
      <c r="S224" s="30">
        <v>2</v>
      </c>
      <c r="T224" s="85">
        <v>279</v>
      </c>
      <c r="U224" s="25"/>
      <c r="V224" s="79"/>
      <c r="W224" s="86"/>
      <c r="X224" s="5"/>
    </row>
    <row r="225" spans="1:24" ht="15.6" x14ac:dyDescent="0.3">
      <c r="A225" s="84"/>
      <c r="B225" s="76" t="s">
        <v>145</v>
      </c>
      <c r="C225" s="54"/>
      <c r="D225" s="54"/>
      <c r="E225" s="54"/>
      <c r="F225" s="25"/>
      <c r="G225" s="25"/>
      <c r="H225" s="30"/>
      <c r="I225" s="30"/>
      <c r="J225" s="30"/>
      <c r="K225" s="30"/>
      <c r="L225" s="30"/>
      <c r="M225" s="30"/>
      <c r="N225" s="30"/>
      <c r="O225" s="30"/>
      <c r="P225" s="30"/>
      <c r="Q225" s="30"/>
      <c r="R225" s="30"/>
      <c r="S225" s="150">
        <f>+R265</f>
        <v>200</v>
      </c>
      <c r="T225" s="85">
        <f>+T265</f>
        <v>32222</v>
      </c>
      <c r="U225" s="25"/>
      <c r="V225" s="79"/>
      <c r="W225" s="86"/>
      <c r="X225" s="5"/>
    </row>
    <row r="226" spans="1:24" ht="15.6" x14ac:dyDescent="0.3">
      <c r="A226" s="84"/>
      <c r="B226" s="76" t="s">
        <v>81</v>
      </c>
      <c r="C226" s="54"/>
      <c r="D226" s="54"/>
      <c r="E226" s="54"/>
      <c r="F226" s="25"/>
      <c r="G226" s="25"/>
      <c r="H226" s="30"/>
      <c r="I226" s="30"/>
      <c r="J226" s="30"/>
      <c r="K226" s="30"/>
      <c r="L226" s="30"/>
      <c r="M226" s="30"/>
      <c r="N226" s="30"/>
      <c r="O226" s="30"/>
      <c r="P226" s="30"/>
      <c r="Q226" s="30"/>
      <c r="R226" s="30"/>
      <c r="S226" s="150">
        <f>+R277</f>
        <v>0</v>
      </c>
      <c r="T226" s="85">
        <f>+T277</f>
        <v>0</v>
      </c>
      <c r="U226" s="25"/>
      <c r="V226" s="79"/>
      <c r="W226" s="86"/>
      <c r="X226" s="5"/>
    </row>
    <row r="227" spans="1:24" ht="15.6" x14ac:dyDescent="0.3">
      <c r="A227" s="84"/>
      <c r="B227" s="122" t="s">
        <v>82</v>
      </c>
      <c r="C227" s="54"/>
      <c r="D227" s="54"/>
      <c r="E227" s="54"/>
      <c r="F227" s="25"/>
      <c r="G227" s="25"/>
      <c r="H227" s="25"/>
      <c r="I227" s="25"/>
      <c r="J227" s="25"/>
      <c r="K227" s="25"/>
      <c r="L227" s="25"/>
      <c r="M227" s="25"/>
      <c r="N227" s="25"/>
      <c r="O227" s="25"/>
      <c r="P227" s="25"/>
      <c r="Q227" s="25"/>
      <c r="R227" s="25"/>
      <c r="S227" s="25"/>
      <c r="T227" s="85">
        <v>0</v>
      </c>
      <c r="U227" s="25"/>
      <c r="V227" s="79"/>
      <c r="W227" s="86"/>
      <c r="X227" s="5"/>
    </row>
    <row r="228" spans="1:24" ht="15.6" x14ac:dyDescent="0.3">
      <c r="A228" s="84"/>
      <c r="B228" s="122" t="s">
        <v>243</v>
      </c>
      <c r="C228" s="54"/>
      <c r="D228" s="54"/>
      <c r="E228" s="54"/>
      <c r="F228" s="25"/>
      <c r="G228" s="25"/>
      <c r="H228" s="25"/>
      <c r="I228" s="25"/>
      <c r="J228" s="25"/>
      <c r="K228" s="25"/>
      <c r="L228" s="25"/>
      <c r="M228" s="25"/>
      <c r="N228" s="25"/>
      <c r="O228" s="25"/>
      <c r="P228" s="25"/>
      <c r="Q228" s="25"/>
      <c r="R228" s="25"/>
      <c r="S228" s="25"/>
      <c r="T228" s="85">
        <f>+N82</f>
        <v>0</v>
      </c>
      <c r="U228" s="25"/>
      <c r="V228" s="79"/>
      <c r="W228" s="86"/>
      <c r="X228" s="5"/>
    </row>
    <row r="229" spans="1:24" ht="15.6" x14ac:dyDescent="0.3">
      <c r="A229" s="87"/>
      <c r="B229" s="122" t="s">
        <v>83</v>
      </c>
      <c r="C229" s="76"/>
      <c r="D229" s="76"/>
      <c r="E229" s="76"/>
      <c r="F229" s="76"/>
      <c r="G229" s="25"/>
      <c r="H229" s="25"/>
      <c r="I229" s="25"/>
      <c r="J229" s="25"/>
      <c r="K229" s="25"/>
      <c r="L229" s="25"/>
      <c r="M229" s="25"/>
      <c r="N229" s="25"/>
      <c r="O229" s="25"/>
      <c r="P229" s="25"/>
      <c r="Q229" s="25"/>
      <c r="R229" s="25"/>
      <c r="S229" s="25"/>
      <c r="T229" s="85"/>
      <c r="U229" s="25"/>
      <c r="V229" s="79"/>
      <c r="W229" s="88"/>
      <c r="X229" s="5"/>
    </row>
    <row r="230" spans="1:24" ht="15.6" x14ac:dyDescent="0.3">
      <c r="A230" s="87"/>
      <c r="B230" s="131" t="s">
        <v>84</v>
      </c>
      <c r="C230" s="76"/>
      <c r="D230" s="76"/>
      <c r="E230" s="76"/>
      <c r="F230" s="76"/>
      <c r="G230" s="25"/>
      <c r="H230" s="25"/>
      <c r="I230" s="25"/>
      <c r="J230" s="25"/>
      <c r="K230" s="25"/>
      <c r="L230" s="25"/>
      <c r="M230" s="25"/>
      <c r="N230" s="25"/>
      <c r="O230" s="25"/>
      <c r="P230" s="25"/>
      <c r="Q230" s="25"/>
      <c r="R230" s="25"/>
      <c r="S230" s="30"/>
      <c r="T230" s="85">
        <f>V168</f>
        <v>112</v>
      </c>
      <c r="U230" s="25"/>
      <c r="V230" s="79"/>
      <c r="W230" s="88"/>
      <c r="X230" s="5"/>
    </row>
    <row r="231" spans="1:24" ht="15.6" x14ac:dyDescent="0.3">
      <c r="A231" s="84"/>
      <c r="B231" s="76" t="s">
        <v>85</v>
      </c>
      <c r="C231" s="54"/>
      <c r="D231" s="54"/>
      <c r="E231" s="54"/>
      <c r="F231" s="54"/>
      <c r="G231" s="25"/>
      <c r="H231" s="25"/>
      <c r="I231" s="25"/>
      <c r="J231" s="25"/>
      <c r="K231" s="25"/>
      <c r="L231" s="25"/>
      <c r="M231" s="25"/>
      <c r="N231" s="25"/>
      <c r="O231" s="25"/>
      <c r="P231" s="25"/>
      <c r="Q231" s="25"/>
      <c r="R231" s="25"/>
      <c r="S231" s="30"/>
      <c r="T231" s="85">
        <f>'Aug 09'!T230+T230</f>
        <v>1293</v>
      </c>
      <c r="U231" s="25"/>
      <c r="V231" s="79"/>
      <c r="W231" s="88"/>
      <c r="X231" s="5"/>
    </row>
    <row r="232" spans="1:24" ht="15.6" x14ac:dyDescent="0.3">
      <c r="A232" s="87"/>
      <c r="B232" s="122" t="s">
        <v>295</v>
      </c>
      <c r="C232" s="76"/>
      <c r="D232" s="76"/>
      <c r="E232" s="76"/>
      <c r="F232" s="76"/>
      <c r="G232" s="25"/>
      <c r="H232" s="25"/>
      <c r="I232" s="25"/>
      <c r="J232" s="25"/>
      <c r="K232" s="25"/>
      <c r="L232" s="25"/>
      <c r="M232" s="25"/>
      <c r="N232" s="25"/>
      <c r="O232" s="25"/>
      <c r="P232" s="25"/>
      <c r="Q232" s="25"/>
      <c r="R232" s="25"/>
      <c r="S232" s="30"/>
      <c r="T232" s="85"/>
      <c r="U232" s="25"/>
      <c r="V232" s="79"/>
      <c r="W232" s="88"/>
      <c r="X232" s="5"/>
    </row>
    <row r="233" spans="1:24" ht="15.6" x14ac:dyDescent="0.3">
      <c r="A233" s="87"/>
      <c r="B233" s="76" t="s">
        <v>291</v>
      </c>
      <c r="C233" s="76"/>
      <c r="D233" s="76"/>
      <c r="E233" s="76"/>
      <c r="F233" s="76"/>
      <c r="G233" s="25"/>
      <c r="H233" s="25"/>
      <c r="I233" s="25"/>
      <c r="J233" s="25"/>
      <c r="K233" s="25"/>
      <c r="L233" s="25"/>
      <c r="M233" s="25"/>
      <c r="N233" s="25"/>
      <c r="O233" s="25"/>
      <c r="P233" s="25"/>
      <c r="Q233" s="25"/>
      <c r="R233" s="25"/>
      <c r="S233" s="30">
        <v>0</v>
      </c>
      <c r="T233" s="85">
        <v>0</v>
      </c>
      <c r="U233" s="25"/>
      <c r="V233" s="79"/>
      <c r="W233" s="88"/>
      <c r="X233" s="5"/>
    </row>
    <row r="234" spans="1:24" ht="15.6" x14ac:dyDescent="0.3">
      <c r="A234" s="84"/>
      <c r="B234" s="76" t="s">
        <v>86</v>
      </c>
      <c r="C234" s="89"/>
      <c r="D234" s="89"/>
      <c r="E234" s="89"/>
      <c r="F234" s="90"/>
      <c r="G234" s="25"/>
      <c r="H234" s="25"/>
      <c r="I234" s="25"/>
      <c r="J234" s="25"/>
      <c r="K234" s="25"/>
      <c r="L234" s="25"/>
      <c r="M234" s="25"/>
      <c r="N234" s="25"/>
      <c r="O234" s="25"/>
      <c r="P234" s="25"/>
      <c r="Q234" s="25"/>
      <c r="R234" s="25"/>
      <c r="S234" s="25"/>
      <c r="T234" s="62">
        <v>0</v>
      </c>
      <c r="U234" s="25"/>
      <c r="V234" s="79"/>
      <c r="W234" s="88"/>
      <c r="X234" s="5"/>
    </row>
    <row r="235" spans="1:24" ht="15.6" x14ac:dyDescent="0.3">
      <c r="A235" s="84"/>
      <c r="B235" s="76" t="s">
        <v>87</v>
      </c>
      <c r="C235" s="89"/>
      <c r="D235" s="89"/>
      <c r="E235" s="89"/>
      <c r="F235" s="90"/>
      <c r="G235" s="25"/>
      <c r="H235" s="25"/>
      <c r="I235" s="25"/>
      <c r="J235" s="25"/>
      <c r="K235" s="25"/>
      <c r="L235" s="25"/>
      <c r="M235" s="25"/>
      <c r="N235" s="25"/>
      <c r="O235" s="25"/>
      <c r="P235" s="25"/>
      <c r="Q235" s="25"/>
      <c r="R235" s="25"/>
      <c r="S235" s="25"/>
      <c r="T235" s="62">
        <v>0</v>
      </c>
      <c r="U235" s="25"/>
      <c r="V235" s="79"/>
      <c r="W235" s="88"/>
      <c r="X235" s="5"/>
    </row>
    <row r="236" spans="1:24" ht="15.6" x14ac:dyDescent="0.3">
      <c r="A236" s="84"/>
      <c r="B236" s="122" t="s">
        <v>217</v>
      </c>
      <c r="C236" s="89"/>
      <c r="D236" s="89"/>
      <c r="E236" s="89"/>
      <c r="F236" s="90"/>
      <c r="G236" s="25"/>
      <c r="H236" s="25"/>
      <c r="I236" s="25"/>
      <c r="J236" s="25"/>
      <c r="K236" s="25"/>
      <c r="L236" s="25"/>
      <c r="M236" s="25"/>
      <c r="N236" s="25"/>
      <c r="O236" s="25"/>
      <c r="P236" s="25"/>
      <c r="Q236" s="25"/>
      <c r="R236" s="25"/>
      <c r="S236" s="25"/>
      <c r="T236" s="91"/>
      <c r="U236" s="25"/>
      <c r="V236" s="79"/>
      <c r="W236" s="88"/>
      <c r="X236" s="5"/>
    </row>
    <row r="237" spans="1:24" ht="15.6" x14ac:dyDescent="0.3">
      <c r="A237" s="84"/>
      <c r="B237" s="76" t="s">
        <v>291</v>
      </c>
      <c r="C237" s="89"/>
      <c r="D237" s="89"/>
      <c r="E237" s="89"/>
      <c r="F237" s="90"/>
      <c r="G237" s="25"/>
      <c r="H237" s="25"/>
      <c r="I237" s="25"/>
      <c r="J237" s="25"/>
      <c r="K237" s="25"/>
      <c r="L237" s="25"/>
      <c r="M237" s="25"/>
      <c r="N237" s="25"/>
      <c r="O237" s="25"/>
      <c r="P237" s="25"/>
      <c r="Q237" s="25"/>
      <c r="R237" s="25"/>
      <c r="S237" s="30">
        <v>2</v>
      </c>
      <c r="T237" s="85">
        <v>317</v>
      </c>
      <c r="U237" s="25"/>
      <c r="V237" s="79"/>
      <c r="W237" s="88"/>
      <c r="X237" s="5"/>
    </row>
    <row r="238" spans="1:24" ht="15.6" x14ac:dyDescent="0.3">
      <c r="A238" s="84"/>
      <c r="B238" s="76" t="s">
        <v>218</v>
      </c>
      <c r="C238" s="89"/>
      <c r="D238" s="89"/>
      <c r="E238" s="89"/>
      <c r="F238" s="90"/>
      <c r="G238" s="25"/>
      <c r="H238" s="25"/>
      <c r="I238" s="25"/>
      <c r="J238" s="25"/>
      <c r="K238" s="25"/>
      <c r="L238" s="25"/>
      <c r="M238" s="25"/>
      <c r="N238" s="25"/>
      <c r="O238" s="25"/>
      <c r="P238" s="25"/>
      <c r="Q238" s="25"/>
      <c r="R238" s="25"/>
      <c r="S238" s="25"/>
      <c r="T238" s="62">
        <v>8.4600000000000009</v>
      </c>
      <c r="U238" s="25"/>
      <c r="V238" s="79"/>
      <c r="W238" s="88"/>
      <c r="X238" s="5"/>
    </row>
    <row r="239" spans="1:24" ht="15.6" x14ac:dyDescent="0.3">
      <c r="A239" s="84"/>
      <c r="B239" s="76"/>
      <c r="C239" s="89"/>
      <c r="D239" s="89"/>
      <c r="E239" s="89"/>
      <c r="F239" s="90"/>
      <c r="G239" s="25"/>
      <c r="H239" s="25"/>
      <c r="I239" s="25"/>
      <c r="J239" s="25"/>
      <c r="K239" s="25"/>
      <c r="L239" s="25"/>
      <c r="M239" s="25"/>
      <c r="N239" s="25"/>
      <c r="O239" s="25"/>
      <c r="P239" s="25"/>
      <c r="Q239" s="25"/>
      <c r="R239" s="25"/>
      <c r="S239" s="25"/>
      <c r="T239" s="91"/>
      <c r="U239" s="25"/>
      <c r="V239" s="79"/>
      <c r="W239" s="88"/>
      <c r="X239" s="5"/>
    </row>
    <row r="240" spans="1:24" ht="15.6" x14ac:dyDescent="0.3">
      <c r="A240" s="84"/>
      <c r="B240" s="76"/>
      <c r="C240" s="89"/>
      <c r="D240" s="89"/>
      <c r="E240" s="89"/>
      <c r="F240" s="90"/>
      <c r="G240" s="25"/>
      <c r="H240" s="25"/>
      <c r="I240" s="25"/>
      <c r="J240" s="25"/>
      <c r="K240" s="25"/>
      <c r="L240" s="25"/>
      <c r="M240" s="25"/>
      <c r="N240" s="25"/>
      <c r="O240" s="25"/>
      <c r="P240" s="25"/>
      <c r="Q240" s="25"/>
      <c r="R240" s="25"/>
      <c r="S240" s="25"/>
      <c r="T240" s="91"/>
      <c r="U240" s="25"/>
      <c r="V240" s="79"/>
      <c r="W240" s="88"/>
      <c r="X240" s="5"/>
    </row>
    <row r="241" spans="1:25" ht="17.399999999999999" x14ac:dyDescent="0.3">
      <c r="A241" s="84"/>
      <c r="B241" s="147" t="s">
        <v>168</v>
      </c>
      <c r="C241" s="89"/>
      <c r="D241" s="89"/>
      <c r="E241" s="89"/>
      <c r="F241" s="90"/>
      <c r="G241" s="25"/>
      <c r="H241" s="25"/>
      <c r="I241" s="25"/>
      <c r="J241" s="25"/>
      <c r="K241" s="25"/>
      <c r="L241" s="25"/>
      <c r="M241" s="25"/>
      <c r="N241" s="25"/>
      <c r="O241" s="25"/>
      <c r="P241" s="148" t="s">
        <v>167</v>
      </c>
      <c r="Q241" s="25"/>
      <c r="R241" s="25"/>
      <c r="S241" s="25"/>
      <c r="T241" s="91"/>
      <c r="U241" s="25"/>
      <c r="V241" s="79"/>
      <c r="W241" s="88"/>
      <c r="X241" s="5"/>
    </row>
    <row r="242" spans="1:25" ht="15.6" x14ac:dyDescent="0.3">
      <c r="A242" s="84"/>
      <c r="B242" s="76"/>
      <c r="C242" s="89"/>
      <c r="D242" s="89"/>
      <c r="E242" s="89"/>
      <c r="F242" s="90"/>
      <c r="G242" s="25"/>
      <c r="H242" s="25"/>
      <c r="I242" s="25"/>
      <c r="J242" s="25"/>
      <c r="K242" s="25"/>
      <c r="L242" s="25"/>
      <c r="M242" s="25"/>
      <c r="N242" s="25"/>
      <c r="O242" s="25"/>
      <c r="P242" s="25"/>
      <c r="Q242" s="25"/>
      <c r="R242" s="25"/>
      <c r="S242" s="25"/>
      <c r="T242" s="91"/>
      <c r="U242" s="25"/>
      <c r="V242" s="79"/>
      <c r="W242" s="88"/>
      <c r="X242" s="5"/>
    </row>
    <row r="243" spans="1:25" ht="15.6" x14ac:dyDescent="0.3">
      <c r="A243" s="6"/>
      <c r="B243" s="14" t="s">
        <v>162</v>
      </c>
      <c r="C243" s="81"/>
      <c r="D243" s="81"/>
      <c r="E243" s="81"/>
      <c r="F243" s="82"/>
      <c r="G243" s="81"/>
      <c r="H243" s="17"/>
      <c r="I243" s="17"/>
      <c r="J243" s="17"/>
      <c r="K243" s="17"/>
      <c r="L243" s="17"/>
      <c r="M243" s="17"/>
      <c r="N243" s="17"/>
      <c r="O243" s="17"/>
      <c r="P243" s="17"/>
      <c r="Q243" s="17"/>
      <c r="R243" s="83" t="s">
        <v>102</v>
      </c>
      <c r="S243" s="17" t="s">
        <v>103</v>
      </c>
      <c r="T243" s="83" t="s">
        <v>109</v>
      </c>
      <c r="U243" s="17" t="s">
        <v>103</v>
      </c>
      <c r="V243" s="8"/>
      <c r="W243" s="92"/>
      <c r="X243" s="5"/>
    </row>
    <row r="244" spans="1:25" ht="15.6" x14ac:dyDescent="0.3">
      <c r="A244" s="24"/>
      <c r="B244" s="54" t="s">
        <v>88</v>
      </c>
      <c r="C244" s="93"/>
      <c r="D244" s="93"/>
      <c r="E244" s="93"/>
      <c r="F244" s="25"/>
      <c r="G244" s="93"/>
      <c r="H244" s="93"/>
      <c r="I244" s="93"/>
      <c r="J244" s="93"/>
      <c r="K244" s="93"/>
      <c r="L244" s="93"/>
      <c r="M244" s="93"/>
      <c r="N244" s="93"/>
      <c r="O244" s="93"/>
      <c r="P244" s="93"/>
      <c r="Q244" s="93"/>
      <c r="R244" s="54">
        <v>8086</v>
      </c>
      <c r="S244" s="94">
        <f t="shared" ref="S244:S251" si="1">R244/$R$253</f>
        <v>0.98983963765454763</v>
      </c>
      <c r="T244" s="53">
        <v>1143606</v>
      </c>
      <c r="U244" s="132">
        <f t="shared" ref="U244:U251" si="2">T244/$T$253</f>
        <v>0.98140270510788419</v>
      </c>
      <c r="V244" s="79"/>
      <c r="W244" s="88"/>
      <c r="X244" s="5"/>
    </row>
    <row r="245" spans="1:25" ht="15.6" x14ac:dyDescent="0.3">
      <c r="A245" s="24"/>
      <c r="B245" s="54" t="s">
        <v>89</v>
      </c>
      <c r="C245" s="93"/>
      <c r="D245" s="93"/>
      <c r="E245" s="93"/>
      <c r="F245" s="25"/>
      <c r="G245" s="94"/>
      <c r="H245" s="93"/>
      <c r="I245" s="93"/>
      <c r="J245" s="93"/>
      <c r="K245" s="93"/>
      <c r="L245" s="93"/>
      <c r="M245" s="93"/>
      <c r="N245" s="93"/>
      <c r="O245" s="93"/>
      <c r="P245" s="93"/>
      <c r="Q245" s="93"/>
      <c r="R245" s="54">
        <v>43</v>
      </c>
      <c r="S245" s="94">
        <f t="shared" si="1"/>
        <v>5.263802178969274E-3</v>
      </c>
      <c r="T245" s="53">
        <v>11502</v>
      </c>
      <c r="U245" s="132">
        <f t="shared" si="2"/>
        <v>9.8706144547605415E-3</v>
      </c>
      <c r="V245" s="79"/>
      <c r="W245" s="88"/>
      <c r="X245" s="5"/>
      <c r="Y245" s="109"/>
    </row>
    <row r="246" spans="1:25" ht="15.6" x14ac:dyDescent="0.3">
      <c r="A246" s="24"/>
      <c r="B246" s="54" t="s">
        <v>90</v>
      </c>
      <c r="C246" s="93"/>
      <c r="D246" s="93"/>
      <c r="E246" s="93"/>
      <c r="F246" s="25"/>
      <c r="G246" s="94"/>
      <c r="H246" s="93"/>
      <c r="I246" s="93"/>
      <c r="J246" s="93"/>
      <c r="K246" s="93"/>
      <c r="L246" s="93"/>
      <c r="M246" s="93"/>
      <c r="N246" s="93"/>
      <c r="O246" s="93"/>
      <c r="P246" s="93"/>
      <c r="Q246" s="93"/>
      <c r="R246" s="54">
        <v>10</v>
      </c>
      <c r="S246" s="94">
        <f t="shared" si="1"/>
        <v>1.2241400416207614E-3</v>
      </c>
      <c r="T246" s="53">
        <v>4644</v>
      </c>
      <c r="U246" s="132">
        <f t="shared" si="2"/>
        <v>3.9853185122507356E-3</v>
      </c>
      <c r="V246" s="79"/>
      <c r="W246" s="88"/>
      <c r="X246" s="5"/>
    </row>
    <row r="247" spans="1:25" ht="15.6" x14ac:dyDescent="0.3">
      <c r="A247" s="24"/>
      <c r="B247" s="54" t="s">
        <v>156</v>
      </c>
      <c r="C247" s="93"/>
      <c r="D247" s="93"/>
      <c r="E247" s="93"/>
      <c r="F247" s="25"/>
      <c r="G247" s="94"/>
      <c r="H247" s="93"/>
      <c r="I247" s="93"/>
      <c r="J247" s="93"/>
      <c r="K247" s="93"/>
      <c r="L247" s="93"/>
      <c r="M247" s="93"/>
      <c r="N247" s="93"/>
      <c r="O247" s="93"/>
      <c r="P247" s="93"/>
      <c r="Q247" s="93"/>
      <c r="R247" s="54">
        <v>13</v>
      </c>
      <c r="S247" s="94">
        <f t="shared" si="1"/>
        <v>1.5913820541069898E-3</v>
      </c>
      <c r="T247" s="53">
        <v>2153</v>
      </c>
      <c r="U247" s="132">
        <f t="shared" si="2"/>
        <v>1.8476293619457006E-3</v>
      </c>
      <c r="V247" s="79"/>
      <c r="W247" s="88"/>
      <c r="X247" s="5"/>
      <c r="Y247" s="109"/>
    </row>
    <row r="248" spans="1:25" ht="15.6" x14ac:dyDescent="0.3">
      <c r="A248" s="24"/>
      <c r="B248" s="54" t="s">
        <v>157</v>
      </c>
      <c r="C248" s="93"/>
      <c r="D248" s="93"/>
      <c r="E248" s="93"/>
      <c r="F248" s="25"/>
      <c r="G248" s="94"/>
      <c r="H248" s="93"/>
      <c r="I248" s="93"/>
      <c r="J248" s="93"/>
      <c r="K248" s="93"/>
      <c r="L248" s="93"/>
      <c r="M248" s="93"/>
      <c r="N248" s="93"/>
      <c r="O248" s="93"/>
      <c r="P248" s="93"/>
      <c r="Q248" s="93"/>
      <c r="R248" s="54">
        <v>6</v>
      </c>
      <c r="S248" s="94">
        <f t="shared" si="1"/>
        <v>7.3448402497245681E-4</v>
      </c>
      <c r="T248" s="53">
        <v>682</v>
      </c>
      <c r="U248" s="132">
        <f t="shared" si="2"/>
        <v>5.8526856704457396E-4</v>
      </c>
      <c r="V248" s="79"/>
      <c r="W248" s="88"/>
      <c r="X248" s="5"/>
    </row>
    <row r="249" spans="1:25" ht="15.6" x14ac:dyDescent="0.3">
      <c r="A249" s="24"/>
      <c r="B249" s="54" t="s">
        <v>158</v>
      </c>
      <c r="C249" s="93"/>
      <c r="D249" s="93"/>
      <c r="E249" s="93"/>
      <c r="F249" s="25"/>
      <c r="G249" s="94"/>
      <c r="H249" s="93"/>
      <c r="I249" s="93"/>
      <c r="J249" s="93"/>
      <c r="K249" s="93"/>
      <c r="L249" s="93"/>
      <c r="M249" s="93"/>
      <c r="N249" s="93"/>
      <c r="O249" s="93"/>
      <c r="P249" s="93"/>
      <c r="Q249" s="93"/>
      <c r="R249" s="54">
        <v>2</v>
      </c>
      <c r="S249" s="94">
        <f t="shared" si="1"/>
        <v>2.4482800832415229E-4</v>
      </c>
      <c r="T249" s="53">
        <v>1077</v>
      </c>
      <c r="U249" s="132">
        <f t="shared" si="2"/>
        <v>9.2424376350000903E-4</v>
      </c>
      <c r="V249" s="79"/>
      <c r="W249" s="88"/>
      <c r="X249" s="5"/>
      <c r="Y249" s="109"/>
    </row>
    <row r="250" spans="1:25" ht="15.6" x14ac:dyDescent="0.3">
      <c r="A250" s="24"/>
      <c r="B250" s="54" t="s">
        <v>159</v>
      </c>
      <c r="C250" s="93"/>
      <c r="D250" s="93"/>
      <c r="E250" s="93"/>
      <c r="F250" s="25"/>
      <c r="G250" s="94"/>
      <c r="H250" s="93"/>
      <c r="I250" s="93"/>
      <c r="J250" s="93"/>
      <c r="K250" s="93"/>
      <c r="L250" s="93"/>
      <c r="M250" s="93"/>
      <c r="N250" s="93"/>
      <c r="O250" s="93"/>
      <c r="P250" s="93"/>
      <c r="Q250" s="93"/>
      <c r="R250" s="54">
        <v>3</v>
      </c>
      <c r="S250" s="94">
        <f t="shared" si="1"/>
        <v>3.6724201248622841E-4</v>
      </c>
      <c r="T250" s="53">
        <v>350</v>
      </c>
      <c r="U250" s="132">
        <f t="shared" si="2"/>
        <v>3.0035776901114498E-4</v>
      </c>
      <c r="V250" s="79"/>
      <c r="W250" s="88"/>
      <c r="X250" s="5"/>
    </row>
    <row r="251" spans="1:25" ht="15.6" x14ac:dyDescent="0.3">
      <c r="A251" s="24"/>
      <c r="B251" s="54" t="s">
        <v>160</v>
      </c>
      <c r="C251" s="93"/>
      <c r="D251" s="93"/>
      <c r="E251" s="93"/>
      <c r="F251" s="25"/>
      <c r="G251" s="94"/>
      <c r="H251" s="93"/>
      <c r="I251" s="93"/>
      <c r="J251" s="93"/>
      <c r="K251" s="93"/>
      <c r="L251" s="93"/>
      <c r="M251" s="93"/>
      <c r="N251" s="93"/>
      <c r="O251" s="93"/>
      <c r="P251" s="93"/>
      <c r="Q251" s="93"/>
      <c r="R251" s="54">
        <v>6</v>
      </c>
      <c r="S251" s="94">
        <f t="shared" si="1"/>
        <v>7.3448402497245681E-4</v>
      </c>
      <c r="T251" s="53">
        <v>1263</v>
      </c>
      <c r="U251" s="132">
        <f t="shared" si="2"/>
        <v>1.0838624636030747E-3</v>
      </c>
      <c r="V251" s="79"/>
      <c r="W251" s="88"/>
      <c r="X251" s="5"/>
      <c r="Y251" s="109"/>
    </row>
    <row r="252" spans="1:25" ht="15.6" x14ac:dyDescent="0.3">
      <c r="A252" s="24"/>
      <c r="B252" s="54"/>
      <c r="C252" s="93"/>
      <c r="D252" s="93"/>
      <c r="E252" s="93"/>
      <c r="F252" s="25"/>
      <c r="G252" s="94"/>
      <c r="H252" s="93"/>
      <c r="I252" s="93"/>
      <c r="J252" s="93"/>
      <c r="K252" s="93"/>
      <c r="L252" s="93"/>
      <c r="M252" s="93"/>
      <c r="N252" s="93"/>
      <c r="O252" s="93"/>
      <c r="P252" s="93"/>
      <c r="Q252" s="93"/>
      <c r="R252" s="54"/>
      <c r="S252" s="94"/>
      <c r="T252" s="53"/>
      <c r="U252" s="132"/>
      <c r="V252" s="79"/>
      <c r="W252" s="88"/>
      <c r="X252" s="5"/>
    </row>
    <row r="253" spans="1:25" ht="15.6" x14ac:dyDescent="0.3">
      <c r="A253" s="24"/>
      <c r="B253" s="25"/>
      <c r="C253" s="25"/>
      <c r="D253" s="25"/>
      <c r="E253" s="25"/>
      <c r="F253" s="25"/>
      <c r="G253" s="25"/>
      <c r="H253" s="95"/>
      <c r="I253" s="95"/>
      <c r="J253" s="95"/>
      <c r="K253" s="95"/>
      <c r="L253" s="95"/>
      <c r="M253" s="95"/>
      <c r="N253" s="95"/>
      <c r="O253" s="95"/>
      <c r="P253" s="95"/>
      <c r="Q253" s="95"/>
      <c r="R253" s="34">
        <f>SUM(R244:R252)</f>
        <v>8169</v>
      </c>
      <c r="S253" s="132">
        <f>SUM(S244:S252)</f>
        <v>1</v>
      </c>
      <c r="T253" s="53">
        <f>SUM(T244:T252)</f>
        <v>1165277</v>
      </c>
      <c r="U253" s="132">
        <f>SUM(U244:U252)</f>
        <v>0.99999999999999989</v>
      </c>
      <c r="V253" s="25"/>
      <c r="W253" s="25"/>
      <c r="X253" s="5"/>
    </row>
    <row r="254" spans="1:25" ht="15.6" x14ac:dyDescent="0.3">
      <c r="A254" s="24"/>
      <c r="B254" s="25"/>
      <c r="C254" s="25"/>
      <c r="D254" s="25"/>
      <c r="E254" s="25"/>
      <c r="F254" s="25"/>
      <c r="G254" s="25"/>
      <c r="H254" s="95"/>
      <c r="I254" s="95"/>
      <c r="J254" s="95"/>
      <c r="K254" s="95"/>
      <c r="L254" s="95"/>
      <c r="M254" s="95"/>
      <c r="N254" s="95"/>
      <c r="O254" s="95"/>
      <c r="P254" s="95"/>
      <c r="Q254" s="95"/>
      <c r="R254" s="34"/>
      <c r="S254" s="132"/>
      <c r="T254" s="53"/>
      <c r="U254" s="132"/>
      <c r="V254" s="25"/>
      <c r="W254" s="25"/>
      <c r="X254" s="5"/>
    </row>
    <row r="255" spans="1:25" ht="15.6" x14ac:dyDescent="0.3">
      <c r="A255" s="139"/>
      <c r="B255" s="14" t="s">
        <v>275</v>
      </c>
      <c r="C255" s="81"/>
      <c r="D255" s="81"/>
      <c r="E255" s="81"/>
      <c r="F255" s="82"/>
      <c r="G255" s="81"/>
      <c r="H255" s="17"/>
      <c r="I255" s="17"/>
      <c r="J255" s="17"/>
      <c r="K255" s="17"/>
      <c r="L255" s="17"/>
      <c r="M255" s="17"/>
      <c r="N255" s="17"/>
      <c r="O255" s="17"/>
      <c r="P255" s="17"/>
      <c r="Q255" s="17"/>
      <c r="R255" s="83" t="s">
        <v>102</v>
      </c>
      <c r="S255" s="17" t="s">
        <v>103</v>
      </c>
      <c r="T255" s="83" t="s">
        <v>109</v>
      </c>
      <c r="U255" s="17" t="s">
        <v>103</v>
      </c>
      <c r="V255" s="137"/>
      <c r="W255" s="138"/>
      <c r="X255" s="5"/>
    </row>
    <row r="256" spans="1:25" ht="15.6" x14ac:dyDescent="0.3">
      <c r="A256" s="24"/>
      <c r="B256" s="54" t="s">
        <v>88</v>
      </c>
      <c r="C256" s="93"/>
      <c r="D256" s="93"/>
      <c r="E256" s="93"/>
      <c r="F256" s="25"/>
      <c r="G256" s="93"/>
      <c r="H256" s="93"/>
      <c r="I256" s="93"/>
      <c r="J256" s="93"/>
      <c r="K256" s="93"/>
      <c r="L256" s="93"/>
      <c r="M256" s="93"/>
      <c r="N256" s="93"/>
      <c r="O256" s="93"/>
      <c r="P256" s="93"/>
      <c r="Q256" s="93"/>
      <c r="R256" s="54">
        <v>50</v>
      </c>
      <c r="S256" s="94">
        <f t="shared" ref="S256:S263" si="3">R256/$R$265</f>
        <v>0.25</v>
      </c>
      <c r="T256" s="53">
        <v>7563</v>
      </c>
      <c r="U256" s="132">
        <f t="shared" ref="U256:U263" si="4">T256/$T$265</f>
        <v>0.23471541183042641</v>
      </c>
      <c r="V256" s="25"/>
      <c r="W256" s="25"/>
      <c r="X256" s="5"/>
    </row>
    <row r="257" spans="1:24" ht="15.6" x14ac:dyDescent="0.3">
      <c r="A257" s="24"/>
      <c r="B257" s="54" t="s">
        <v>89</v>
      </c>
      <c r="C257" s="93"/>
      <c r="D257" s="93"/>
      <c r="E257" s="93"/>
      <c r="F257" s="25"/>
      <c r="G257" s="94"/>
      <c r="H257" s="93"/>
      <c r="I257" s="93"/>
      <c r="J257" s="93"/>
      <c r="K257" s="93"/>
      <c r="L257" s="93"/>
      <c r="M257" s="93"/>
      <c r="N257" s="93"/>
      <c r="O257" s="93"/>
      <c r="P257" s="93"/>
      <c r="Q257" s="93"/>
      <c r="R257" s="54">
        <v>35</v>
      </c>
      <c r="S257" s="94">
        <f t="shared" si="3"/>
        <v>0.17499999999999999</v>
      </c>
      <c r="T257" s="53">
        <v>5472</v>
      </c>
      <c r="U257" s="132">
        <f t="shared" si="4"/>
        <v>0.16982186084041959</v>
      </c>
      <c r="V257" s="25"/>
      <c r="W257" s="25"/>
      <c r="X257" s="5"/>
    </row>
    <row r="258" spans="1:24" ht="15.6" x14ac:dyDescent="0.3">
      <c r="A258" s="24"/>
      <c r="B258" s="54" t="s">
        <v>90</v>
      </c>
      <c r="C258" s="93"/>
      <c r="D258" s="93"/>
      <c r="E258" s="93"/>
      <c r="F258" s="25"/>
      <c r="G258" s="94"/>
      <c r="H258" s="93"/>
      <c r="I258" s="93"/>
      <c r="J258" s="93"/>
      <c r="K258" s="93"/>
      <c r="L258" s="93"/>
      <c r="M258" s="93"/>
      <c r="N258" s="93"/>
      <c r="O258" s="93"/>
      <c r="P258" s="93"/>
      <c r="Q258" s="93"/>
      <c r="R258" s="54">
        <v>14</v>
      </c>
      <c r="S258" s="94">
        <f t="shared" si="3"/>
        <v>7.0000000000000007E-2</v>
      </c>
      <c r="T258" s="53">
        <v>2043</v>
      </c>
      <c r="U258" s="132">
        <f t="shared" si="4"/>
        <v>6.3403885544038238E-2</v>
      </c>
      <c r="V258" s="25"/>
      <c r="W258" s="25"/>
      <c r="X258" s="5"/>
    </row>
    <row r="259" spans="1:24" ht="15.6" x14ac:dyDescent="0.3">
      <c r="A259" s="24"/>
      <c r="B259" s="54" t="s">
        <v>156</v>
      </c>
      <c r="C259" s="93"/>
      <c r="D259" s="93"/>
      <c r="E259" s="93"/>
      <c r="F259" s="25"/>
      <c r="G259" s="94"/>
      <c r="H259" s="93"/>
      <c r="I259" s="93"/>
      <c r="J259" s="93"/>
      <c r="K259" s="93"/>
      <c r="L259" s="93"/>
      <c r="M259" s="93"/>
      <c r="N259" s="93"/>
      <c r="O259" s="93"/>
      <c r="P259" s="93"/>
      <c r="Q259" s="93"/>
      <c r="R259" s="54">
        <v>3</v>
      </c>
      <c r="S259" s="94">
        <f t="shared" si="3"/>
        <v>1.4999999999999999E-2</v>
      </c>
      <c r="T259" s="53">
        <v>302</v>
      </c>
      <c r="U259" s="132">
        <f t="shared" si="4"/>
        <v>9.3724784308857299E-3</v>
      </c>
      <c r="V259" s="25"/>
      <c r="W259" s="25"/>
      <c r="X259" s="5"/>
    </row>
    <row r="260" spans="1:24" ht="15.6" x14ac:dyDescent="0.3">
      <c r="A260" s="24"/>
      <c r="B260" s="54" t="s">
        <v>157</v>
      </c>
      <c r="C260" s="93"/>
      <c r="D260" s="93"/>
      <c r="E260" s="93"/>
      <c r="F260" s="25"/>
      <c r="G260" s="94"/>
      <c r="H260" s="93"/>
      <c r="I260" s="93"/>
      <c r="J260" s="93"/>
      <c r="K260" s="93"/>
      <c r="L260" s="93"/>
      <c r="M260" s="93"/>
      <c r="N260" s="93"/>
      <c r="O260" s="93"/>
      <c r="P260" s="93"/>
      <c r="Q260" s="93"/>
      <c r="R260" s="54">
        <v>5</v>
      </c>
      <c r="S260" s="94">
        <f t="shared" si="3"/>
        <v>2.5000000000000001E-2</v>
      </c>
      <c r="T260" s="53">
        <v>455</v>
      </c>
      <c r="U260" s="132">
        <f t="shared" si="4"/>
        <v>1.4120787039910621E-2</v>
      </c>
      <c r="V260" s="25"/>
      <c r="W260" s="25"/>
      <c r="X260" s="5"/>
    </row>
    <row r="261" spans="1:24" ht="15.6" x14ac:dyDescent="0.3">
      <c r="A261" s="24"/>
      <c r="B261" s="54" t="s">
        <v>158</v>
      </c>
      <c r="C261" s="93"/>
      <c r="D261" s="93"/>
      <c r="E261" s="93"/>
      <c r="F261" s="25"/>
      <c r="G261" s="94"/>
      <c r="H261" s="93"/>
      <c r="I261" s="93"/>
      <c r="J261" s="93"/>
      <c r="K261" s="93"/>
      <c r="L261" s="93"/>
      <c r="M261" s="93"/>
      <c r="N261" s="93"/>
      <c r="O261" s="93"/>
      <c r="P261" s="93"/>
      <c r="Q261" s="93"/>
      <c r="R261" s="54">
        <v>6</v>
      </c>
      <c r="S261" s="94">
        <f t="shared" si="3"/>
        <v>0.03</v>
      </c>
      <c r="T261" s="53">
        <v>549</v>
      </c>
      <c r="U261" s="132">
        <f t="shared" si="4"/>
        <v>1.7038048538265783E-2</v>
      </c>
      <c r="V261" s="25"/>
      <c r="W261" s="25"/>
      <c r="X261" s="5"/>
    </row>
    <row r="262" spans="1:24" ht="15.6" x14ac:dyDescent="0.3">
      <c r="A262" s="24"/>
      <c r="B262" s="54" t="s">
        <v>159</v>
      </c>
      <c r="C262" s="93"/>
      <c r="D262" s="93"/>
      <c r="E262" s="93"/>
      <c r="F262" s="25"/>
      <c r="G262" s="94"/>
      <c r="H262" s="93"/>
      <c r="I262" s="93"/>
      <c r="J262" s="93"/>
      <c r="K262" s="93"/>
      <c r="L262" s="93"/>
      <c r="M262" s="93"/>
      <c r="N262" s="93"/>
      <c r="O262" s="93"/>
      <c r="P262" s="93"/>
      <c r="Q262" s="93"/>
      <c r="R262" s="54">
        <v>47</v>
      </c>
      <c r="S262" s="94">
        <f t="shared" si="3"/>
        <v>0.23499999999999999</v>
      </c>
      <c r="T262" s="53">
        <v>8279</v>
      </c>
      <c r="U262" s="132">
        <f t="shared" si="4"/>
        <v>0.25693625473279125</v>
      </c>
      <c r="V262" s="25"/>
      <c r="W262" s="25"/>
      <c r="X262" s="5"/>
    </row>
    <row r="263" spans="1:24" ht="15.6" x14ac:dyDescent="0.3">
      <c r="A263" s="24"/>
      <c r="B263" s="54" t="s">
        <v>160</v>
      </c>
      <c r="C263" s="93"/>
      <c r="D263" s="93"/>
      <c r="E263" s="93"/>
      <c r="F263" s="25"/>
      <c r="G263" s="94"/>
      <c r="H263" s="93"/>
      <c r="I263" s="93"/>
      <c r="J263" s="93"/>
      <c r="K263" s="93"/>
      <c r="L263" s="93"/>
      <c r="M263" s="93"/>
      <c r="N263" s="93"/>
      <c r="O263" s="93"/>
      <c r="P263" s="93"/>
      <c r="Q263" s="93"/>
      <c r="R263" s="54">
        <v>40</v>
      </c>
      <c r="S263" s="94">
        <f t="shared" si="3"/>
        <v>0.2</v>
      </c>
      <c r="T263" s="53">
        <v>7559</v>
      </c>
      <c r="U263" s="132">
        <f t="shared" si="4"/>
        <v>0.23459127304326235</v>
      </c>
      <c r="V263" s="25"/>
      <c r="W263" s="25"/>
      <c r="X263" s="5"/>
    </row>
    <row r="264" spans="1:24" ht="15.6" x14ac:dyDescent="0.3">
      <c r="A264" s="24"/>
      <c r="B264" s="54"/>
      <c r="C264" s="93"/>
      <c r="D264" s="93"/>
      <c r="E264" s="93"/>
      <c r="F264" s="25"/>
      <c r="G264" s="94"/>
      <c r="H264" s="93"/>
      <c r="I264" s="93"/>
      <c r="J264" s="93"/>
      <c r="K264" s="93"/>
      <c r="L264" s="93"/>
      <c r="M264" s="93"/>
      <c r="N264" s="93"/>
      <c r="O264" s="93"/>
      <c r="P264" s="93"/>
      <c r="Q264" s="93"/>
      <c r="R264" s="54"/>
      <c r="S264" s="94"/>
      <c r="T264" s="53"/>
      <c r="U264" s="132"/>
      <c r="V264" s="25"/>
      <c r="W264" s="25"/>
      <c r="X264" s="5"/>
    </row>
    <row r="265" spans="1:24" ht="15.6" x14ac:dyDescent="0.3">
      <c r="A265" s="24"/>
      <c r="B265" s="25"/>
      <c r="C265" s="25"/>
      <c r="D265" s="25"/>
      <c r="E265" s="25"/>
      <c r="F265" s="25"/>
      <c r="G265" s="25"/>
      <c r="H265" s="95"/>
      <c r="I265" s="95"/>
      <c r="J265" s="95"/>
      <c r="K265" s="95"/>
      <c r="L265" s="95"/>
      <c r="M265" s="95"/>
      <c r="N265" s="95"/>
      <c r="O265" s="95"/>
      <c r="P265" s="95"/>
      <c r="Q265" s="95"/>
      <c r="R265" s="34">
        <f>SUM(R256:R264)</f>
        <v>200</v>
      </c>
      <c r="S265" s="132">
        <f>SUM(S256:S264)</f>
        <v>1</v>
      </c>
      <c r="T265" s="53">
        <f>SUM(T256:T264)</f>
        <v>32222</v>
      </c>
      <c r="U265" s="132">
        <f>SUM(U256:U264)</f>
        <v>0.99999999999999989</v>
      </c>
      <c r="V265" s="25"/>
      <c r="W265" s="25"/>
      <c r="X265" s="5"/>
    </row>
    <row r="266" spans="1:24" ht="15.6" x14ac:dyDescent="0.3">
      <c r="A266" s="24"/>
      <c r="B266" s="25"/>
      <c r="C266" s="25"/>
      <c r="D266" s="25"/>
      <c r="E266" s="25"/>
      <c r="F266" s="25"/>
      <c r="G266" s="25"/>
      <c r="H266" s="95"/>
      <c r="I266" s="95"/>
      <c r="J266" s="95"/>
      <c r="K266" s="95"/>
      <c r="L266" s="95"/>
      <c r="M266" s="95"/>
      <c r="N266" s="95"/>
      <c r="O266" s="95"/>
      <c r="P266" s="95"/>
      <c r="Q266" s="95"/>
      <c r="R266" s="34"/>
      <c r="S266" s="132"/>
      <c r="T266" s="53"/>
      <c r="U266" s="132"/>
      <c r="V266" s="25"/>
      <c r="W266" s="25"/>
      <c r="X266" s="5"/>
    </row>
    <row r="267" spans="1:24" ht="15.6" x14ac:dyDescent="0.3">
      <c r="A267" s="139"/>
      <c r="B267" s="14" t="s">
        <v>163</v>
      </c>
      <c r="C267" s="137"/>
      <c r="D267" s="137"/>
      <c r="E267" s="137"/>
      <c r="F267" s="137"/>
      <c r="G267" s="137"/>
      <c r="H267" s="143"/>
      <c r="I267" s="143"/>
      <c r="J267" s="143"/>
      <c r="K267" s="143"/>
      <c r="L267" s="143"/>
      <c r="M267" s="143"/>
      <c r="N267" s="143"/>
      <c r="O267" s="143"/>
      <c r="P267" s="143"/>
      <c r="Q267" s="143"/>
      <c r="R267" s="83" t="s">
        <v>102</v>
      </c>
      <c r="S267" s="17" t="s">
        <v>103</v>
      </c>
      <c r="T267" s="83" t="s">
        <v>109</v>
      </c>
      <c r="U267" s="17" t="s">
        <v>103</v>
      </c>
      <c r="V267" s="137"/>
      <c r="W267" s="138"/>
      <c r="X267" s="5"/>
    </row>
    <row r="268" spans="1:24" ht="15.6" x14ac:dyDescent="0.3">
      <c r="A268" s="24"/>
      <c r="B268" s="54" t="s">
        <v>88</v>
      </c>
      <c r="C268" s="25"/>
      <c r="D268" s="25"/>
      <c r="E268" s="25"/>
      <c r="F268" s="25"/>
      <c r="G268" s="25"/>
      <c r="H268" s="95"/>
      <c r="I268" s="95"/>
      <c r="J268" s="95"/>
      <c r="K268" s="95"/>
      <c r="L268" s="95"/>
      <c r="M268" s="95"/>
      <c r="N268" s="95"/>
      <c r="O268" s="95"/>
      <c r="P268" s="95"/>
      <c r="Q268" s="95"/>
      <c r="R268" s="54">
        <v>0</v>
      </c>
      <c r="S268" s="94">
        <v>0</v>
      </c>
      <c r="T268" s="53">
        <v>0</v>
      </c>
      <c r="U268" s="94">
        <v>0</v>
      </c>
      <c r="V268" s="25"/>
      <c r="W268" s="25"/>
      <c r="X268" s="5"/>
    </row>
    <row r="269" spans="1:24" ht="15.6" x14ac:dyDescent="0.3">
      <c r="A269" s="24"/>
      <c r="B269" s="54" t="s">
        <v>89</v>
      </c>
      <c r="C269" s="25"/>
      <c r="D269" s="25"/>
      <c r="E269" s="25"/>
      <c r="F269" s="25"/>
      <c r="G269" s="25"/>
      <c r="H269" s="95"/>
      <c r="I269" s="95"/>
      <c r="J269" s="95"/>
      <c r="K269" s="95"/>
      <c r="L269" s="95"/>
      <c r="M269" s="95"/>
      <c r="N269" s="95"/>
      <c r="O269" s="95"/>
      <c r="P269" s="95"/>
      <c r="Q269" s="95"/>
      <c r="R269" s="54">
        <v>0</v>
      </c>
      <c r="S269" s="94">
        <v>0</v>
      </c>
      <c r="T269" s="53">
        <v>0</v>
      </c>
      <c r="U269" s="94">
        <v>0</v>
      </c>
      <c r="V269" s="25"/>
      <c r="W269" s="25"/>
      <c r="X269" s="5"/>
    </row>
    <row r="270" spans="1:24" ht="15.6" x14ac:dyDescent="0.3">
      <c r="A270" s="24"/>
      <c r="B270" s="54" t="s">
        <v>90</v>
      </c>
      <c r="C270" s="25"/>
      <c r="D270" s="25"/>
      <c r="E270" s="25"/>
      <c r="F270" s="25"/>
      <c r="G270" s="25"/>
      <c r="H270" s="95"/>
      <c r="I270" s="95"/>
      <c r="J270" s="95"/>
      <c r="K270" s="95"/>
      <c r="L270" s="95"/>
      <c r="M270" s="95"/>
      <c r="N270" s="95"/>
      <c r="O270" s="95"/>
      <c r="P270" s="95"/>
      <c r="Q270" s="95"/>
      <c r="R270" s="54">
        <v>0</v>
      </c>
      <c r="S270" s="94">
        <v>0</v>
      </c>
      <c r="T270" s="53">
        <v>0</v>
      </c>
      <c r="U270" s="94">
        <v>0</v>
      </c>
      <c r="V270" s="25"/>
      <c r="W270" s="25"/>
      <c r="X270" s="5"/>
    </row>
    <row r="271" spans="1:24" ht="15.6" x14ac:dyDescent="0.3">
      <c r="A271" s="24"/>
      <c r="B271" s="54" t="s">
        <v>156</v>
      </c>
      <c r="C271" s="25"/>
      <c r="D271" s="25"/>
      <c r="E271" s="25"/>
      <c r="F271" s="25"/>
      <c r="G271" s="25"/>
      <c r="H271" s="95"/>
      <c r="I271" s="95"/>
      <c r="J271" s="95"/>
      <c r="K271" s="95"/>
      <c r="L271" s="95"/>
      <c r="M271" s="95"/>
      <c r="N271" s="95"/>
      <c r="O271" s="95"/>
      <c r="P271" s="95"/>
      <c r="Q271" s="95"/>
      <c r="R271" s="54">
        <v>0</v>
      </c>
      <c r="S271" s="94">
        <v>0</v>
      </c>
      <c r="T271" s="53">
        <v>0</v>
      </c>
      <c r="U271" s="94">
        <v>0</v>
      </c>
      <c r="V271" s="25"/>
      <c r="W271" s="25"/>
      <c r="X271" s="5"/>
    </row>
    <row r="272" spans="1:24" ht="15.6" x14ac:dyDescent="0.3">
      <c r="A272" s="24"/>
      <c r="B272" s="54" t="s">
        <v>157</v>
      </c>
      <c r="C272" s="25"/>
      <c r="D272" s="25"/>
      <c r="E272" s="25"/>
      <c r="F272" s="25"/>
      <c r="G272" s="25"/>
      <c r="H272" s="95"/>
      <c r="I272" s="95"/>
      <c r="J272" s="95"/>
      <c r="K272" s="95"/>
      <c r="L272" s="95"/>
      <c r="M272" s="95"/>
      <c r="N272" s="95"/>
      <c r="O272" s="95"/>
      <c r="P272" s="95"/>
      <c r="Q272" s="95"/>
      <c r="R272" s="54">
        <v>0</v>
      </c>
      <c r="S272" s="94">
        <v>0</v>
      </c>
      <c r="T272" s="53">
        <v>0</v>
      </c>
      <c r="U272" s="94">
        <v>0</v>
      </c>
      <c r="V272" s="25"/>
      <c r="W272" s="25"/>
      <c r="X272" s="5"/>
    </row>
    <row r="273" spans="1:24" ht="15.6" x14ac:dyDescent="0.3">
      <c r="A273" s="24"/>
      <c r="B273" s="54" t="s">
        <v>158</v>
      </c>
      <c r="C273" s="25"/>
      <c r="D273" s="25"/>
      <c r="E273" s="25"/>
      <c r="F273" s="25"/>
      <c r="G273" s="25"/>
      <c r="H273" s="95"/>
      <c r="I273" s="95"/>
      <c r="J273" s="95"/>
      <c r="K273" s="95"/>
      <c r="L273" s="95"/>
      <c r="M273" s="95"/>
      <c r="N273" s="95"/>
      <c r="O273" s="95"/>
      <c r="P273" s="95"/>
      <c r="Q273" s="95"/>
      <c r="R273" s="54">
        <v>0</v>
      </c>
      <c r="S273" s="94">
        <v>0</v>
      </c>
      <c r="T273" s="53">
        <v>0</v>
      </c>
      <c r="U273" s="94">
        <v>0</v>
      </c>
      <c r="V273" s="25"/>
      <c r="W273" s="25"/>
      <c r="X273" s="5"/>
    </row>
    <row r="274" spans="1:24" ht="15.6" x14ac:dyDescent="0.3">
      <c r="A274" s="24"/>
      <c r="B274" s="54" t="s">
        <v>159</v>
      </c>
      <c r="C274" s="25"/>
      <c r="D274" s="25"/>
      <c r="E274" s="25"/>
      <c r="F274" s="25"/>
      <c r="G274" s="25"/>
      <c r="H274" s="95"/>
      <c r="I274" s="95"/>
      <c r="J274" s="95"/>
      <c r="K274" s="95"/>
      <c r="L274" s="95"/>
      <c r="M274" s="95"/>
      <c r="N274" s="95"/>
      <c r="O274" s="95"/>
      <c r="P274" s="95"/>
      <c r="Q274" s="95"/>
      <c r="R274" s="54">
        <v>0</v>
      </c>
      <c r="S274" s="94">
        <v>0</v>
      </c>
      <c r="T274" s="53">
        <v>0</v>
      </c>
      <c r="U274" s="94">
        <v>0</v>
      </c>
      <c r="V274" s="25"/>
      <c r="W274" s="25"/>
      <c r="X274" s="5"/>
    </row>
    <row r="275" spans="1:24" ht="15.6" x14ac:dyDescent="0.3">
      <c r="A275" s="24"/>
      <c r="B275" s="54" t="s">
        <v>160</v>
      </c>
      <c r="C275" s="25"/>
      <c r="D275" s="25"/>
      <c r="E275" s="25"/>
      <c r="F275" s="25"/>
      <c r="G275" s="25"/>
      <c r="H275" s="95"/>
      <c r="I275" s="95"/>
      <c r="J275" s="95"/>
      <c r="K275" s="95"/>
      <c r="L275" s="95"/>
      <c r="M275" s="95"/>
      <c r="N275" s="95"/>
      <c r="O275" s="95"/>
      <c r="P275" s="95"/>
      <c r="Q275" s="95"/>
      <c r="R275" s="54">
        <v>0</v>
      </c>
      <c r="S275" s="94">
        <v>0</v>
      </c>
      <c r="T275" s="53">
        <v>0</v>
      </c>
      <c r="U275" s="94">
        <v>0</v>
      </c>
      <c r="V275" s="25"/>
      <c r="W275" s="25"/>
      <c r="X275" s="5"/>
    </row>
    <row r="276" spans="1:24" ht="15.6" x14ac:dyDescent="0.3">
      <c r="A276" s="24"/>
      <c r="B276" s="54"/>
      <c r="C276" s="25"/>
      <c r="D276" s="25"/>
      <c r="E276" s="25"/>
      <c r="F276" s="25"/>
      <c r="G276" s="25"/>
      <c r="H276" s="95"/>
      <c r="I276" s="95"/>
      <c r="J276" s="95"/>
      <c r="K276" s="95"/>
      <c r="L276" s="95"/>
      <c r="M276" s="95"/>
      <c r="N276" s="95"/>
      <c r="O276" s="95"/>
      <c r="P276" s="95"/>
      <c r="Q276" s="95"/>
      <c r="R276" s="54"/>
      <c r="S276" s="94"/>
      <c r="T276" s="53"/>
      <c r="U276" s="132"/>
      <c r="V276" s="25"/>
      <c r="W276" s="25"/>
      <c r="X276" s="5"/>
    </row>
    <row r="277" spans="1:24" ht="15.6" x14ac:dyDescent="0.3">
      <c r="A277" s="24"/>
      <c r="B277" s="25" t="s">
        <v>114</v>
      </c>
      <c r="C277" s="25"/>
      <c r="D277" s="25"/>
      <c r="E277" s="25"/>
      <c r="F277" s="25"/>
      <c r="G277" s="25"/>
      <c r="H277" s="95"/>
      <c r="I277" s="95"/>
      <c r="J277" s="95"/>
      <c r="K277" s="95"/>
      <c r="L277" s="95"/>
      <c r="M277" s="95"/>
      <c r="N277" s="95"/>
      <c r="O277" s="95"/>
      <c r="P277" s="95"/>
      <c r="Q277" s="95"/>
      <c r="R277" s="34">
        <f>SUM(R268:R275)</f>
        <v>0</v>
      </c>
      <c r="S277" s="132">
        <f>SUM(S268:S276)</f>
        <v>0</v>
      </c>
      <c r="T277" s="53">
        <f>SUM(T268:T275)</f>
        <v>0</v>
      </c>
      <c r="U277" s="132">
        <f>SUM(U268:U276)</f>
        <v>0</v>
      </c>
      <c r="V277" s="25"/>
      <c r="W277" s="25"/>
      <c r="X277" s="5"/>
    </row>
    <row r="278" spans="1:24" ht="15.6" x14ac:dyDescent="0.3">
      <c r="A278" s="24"/>
      <c r="B278" s="25"/>
      <c r="C278" s="25"/>
      <c r="D278" s="25"/>
      <c r="E278" s="25"/>
      <c r="F278" s="25"/>
      <c r="G278" s="25"/>
      <c r="H278" s="95"/>
      <c r="I278" s="95"/>
      <c r="J278" s="95"/>
      <c r="K278" s="95"/>
      <c r="L278" s="95"/>
      <c r="M278" s="95"/>
      <c r="N278" s="95"/>
      <c r="O278" s="95"/>
      <c r="P278" s="95"/>
      <c r="Q278" s="95"/>
      <c r="R278" s="34"/>
      <c r="S278" s="132"/>
      <c r="T278" s="53"/>
      <c r="U278" s="132"/>
      <c r="V278" s="25"/>
      <c r="W278" s="25"/>
      <c r="X278" s="5"/>
    </row>
    <row r="279" spans="1:24" ht="15.6" x14ac:dyDescent="0.3">
      <c r="A279" s="24"/>
      <c r="B279" s="140" t="s">
        <v>164</v>
      </c>
      <c r="C279" s="25"/>
      <c r="D279" s="25"/>
      <c r="E279" s="25"/>
      <c r="F279" s="25"/>
      <c r="G279" s="25"/>
      <c r="H279" s="95"/>
      <c r="I279" s="95"/>
      <c r="J279" s="95"/>
      <c r="K279" s="95"/>
      <c r="L279" s="95"/>
      <c r="M279" s="95"/>
      <c r="N279" s="95"/>
      <c r="O279" s="95"/>
      <c r="P279" s="95"/>
      <c r="Q279" s="95"/>
      <c r="R279" s="159">
        <f>R277+R265+R253</f>
        <v>8369</v>
      </c>
      <c r="S279" s="141"/>
      <c r="T279" s="142">
        <f>+T277+T265+T253</f>
        <v>1197499</v>
      </c>
      <c r="U279" s="141"/>
      <c r="V279" s="25"/>
      <c r="W279" s="25"/>
      <c r="X279" s="5"/>
    </row>
    <row r="280" spans="1:24" ht="15.6" x14ac:dyDescent="0.3">
      <c r="A280" s="24"/>
      <c r="B280" s="25"/>
      <c r="C280" s="25"/>
      <c r="D280" s="25"/>
      <c r="E280" s="25"/>
      <c r="F280" s="25"/>
      <c r="G280" s="25"/>
      <c r="H280" s="95"/>
      <c r="I280" s="95"/>
      <c r="J280" s="95"/>
      <c r="K280" s="95"/>
      <c r="L280" s="95"/>
      <c r="M280" s="95"/>
      <c r="N280" s="95"/>
      <c r="O280" s="95"/>
      <c r="P280" s="95"/>
      <c r="Q280" s="95"/>
      <c r="R280" s="95"/>
      <c r="S280" s="95"/>
      <c r="T280" s="53"/>
      <c r="U280" s="95"/>
      <c r="V280" s="25"/>
      <c r="W280" s="25"/>
      <c r="X280" s="5"/>
    </row>
    <row r="281" spans="1:24" ht="15.6" x14ac:dyDescent="0.3">
      <c r="A281" s="6"/>
      <c r="B281" s="8"/>
      <c r="C281" s="8"/>
      <c r="D281" s="8"/>
      <c r="E281" s="8"/>
      <c r="F281" s="8"/>
      <c r="G281" s="8"/>
      <c r="H281" s="96"/>
      <c r="I281" s="96"/>
      <c r="J281" s="96"/>
      <c r="K281" s="96"/>
      <c r="L281" s="96"/>
      <c r="M281" s="96"/>
      <c r="N281" s="96"/>
      <c r="O281" s="96"/>
      <c r="P281" s="96"/>
      <c r="Q281" s="96"/>
      <c r="R281" s="96"/>
      <c r="S281" s="96"/>
      <c r="T281" s="97"/>
      <c r="U281" s="96"/>
      <c r="V281" s="8"/>
      <c r="W281" s="8"/>
      <c r="X281" s="5"/>
    </row>
    <row r="282" spans="1:24" ht="15.6" x14ac:dyDescent="0.3">
      <c r="A282" s="178"/>
      <c r="B282" s="14" t="s">
        <v>91</v>
      </c>
      <c r="C282" s="15"/>
      <c r="D282" s="15"/>
      <c r="E282" s="15"/>
      <c r="F282" s="17" t="s">
        <v>97</v>
      </c>
      <c r="G282" s="15"/>
      <c r="H282" s="14" t="s">
        <v>99</v>
      </c>
      <c r="I282" s="14"/>
      <c r="J282" s="14"/>
      <c r="K282" s="173"/>
      <c r="L282" s="173"/>
      <c r="M282" s="173"/>
      <c r="N282" s="173"/>
      <c r="O282" s="173"/>
      <c r="P282" s="173"/>
      <c r="Q282" s="173"/>
      <c r="R282" s="173"/>
      <c r="S282" s="173"/>
      <c r="T282" s="173"/>
      <c r="U282" s="173"/>
      <c r="V282" s="173"/>
      <c r="W282" s="173"/>
      <c r="X282" s="5"/>
    </row>
    <row r="283" spans="1:24" ht="15.6" x14ac:dyDescent="0.3">
      <c r="A283" s="178"/>
      <c r="B283" s="173"/>
      <c r="C283" s="8"/>
      <c r="D283" s="8"/>
      <c r="E283" s="8"/>
      <c r="F283" s="8"/>
      <c r="G283" s="8"/>
      <c r="H283" s="8"/>
      <c r="I283" s="8"/>
      <c r="J283" s="8"/>
      <c r="K283" s="173"/>
      <c r="L283" s="173"/>
      <c r="M283" s="173"/>
      <c r="N283" s="173"/>
      <c r="O283" s="173"/>
      <c r="P283" s="173"/>
      <c r="Q283" s="173"/>
      <c r="R283" s="173"/>
      <c r="S283" s="173"/>
      <c r="T283" s="173"/>
      <c r="U283" s="173"/>
      <c r="V283" s="173"/>
      <c r="W283" s="173"/>
      <c r="X283" s="5"/>
    </row>
    <row r="284" spans="1:24" ht="15.6" x14ac:dyDescent="0.3">
      <c r="A284" s="178"/>
      <c r="B284" s="13" t="s">
        <v>92</v>
      </c>
      <c r="C284" s="13"/>
      <c r="D284" s="13"/>
      <c r="E284" s="13"/>
      <c r="F284" s="130" t="s">
        <v>148</v>
      </c>
      <c r="G284" s="13"/>
      <c r="H284" s="13" t="s">
        <v>152</v>
      </c>
      <c r="I284" s="13"/>
      <c r="J284" s="13"/>
      <c r="K284" s="173"/>
      <c r="L284" s="173"/>
      <c r="M284" s="173"/>
      <c r="N284" s="173"/>
      <c r="O284" s="173"/>
      <c r="P284" s="173"/>
      <c r="Q284" s="173"/>
      <c r="R284" s="173"/>
      <c r="S284" s="173"/>
      <c r="T284" s="173"/>
      <c r="U284" s="173"/>
      <c r="V284" s="173"/>
      <c r="W284" s="173"/>
      <c r="X284" s="5"/>
    </row>
    <row r="285" spans="1:24" ht="15.6" x14ac:dyDescent="0.3">
      <c r="A285" s="178"/>
      <c r="B285" s="13" t="s">
        <v>277</v>
      </c>
      <c r="C285" s="13"/>
      <c r="D285" s="13"/>
      <c r="E285" s="13"/>
      <c r="F285" s="130" t="s">
        <v>278</v>
      </c>
      <c r="G285" s="13"/>
      <c r="H285" s="13" t="s">
        <v>279</v>
      </c>
      <c r="I285" s="173"/>
      <c r="J285" s="13"/>
      <c r="K285" s="173"/>
      <c r="L285" s="173"/>
      <c r="M285" s="173"/>
      <c r="N285" s="173"/>
      <c r="O285" s="173"/>
      <c r="P285" s="173"/>
      <c r="Q285" s="173"/>
      <c r="R285" s="173"/>
      <c r="S285" s="173"/>
      <c r="T285" s="173"/>
      <c r="U285" s="173"/>
      <c r="V285" s="173"/>
      <c r="W285" s="173"/>
      <c r="X285" s="5"/>
    </row>
    <row r="286" spans="1:24" ht="15.6" x14ac:dyDescent="0.3">
      <c r="A286" s="178"/>
      <c r="B286" s="13" t="s">
        <v>93</v>
      </c>
      <c r="C286" s="13"/>
      <c r="D286" s="13"/>
      <c r="E286" s="13"/>
      <c r="F286" s="130" t="s">
        <v>147</v>
      </c>
      <c r="G286" s="13"/>
      <c r="H286" s="13" t="s">
        <v>153</v>
      </c>
      <c r="I286" s="13"/>
      <c r="J286" s="13"/>
      <c r="K286" s="173"/>
      <c r="L286" s="173"/>
      <c r="M286" s="173"/>
      <c r="N286" s="173"/>
      <c r="O286" s="173"/>
      <c r="P286" s="173"/>
      <c r="Q286" s="173"/>
      <c r="R286" s="173"/>
      <c r="S286" s="173"/>
      <c r="T286" s="173"/>
      <c r="U286" s="173"/>
      <c r="V286" s="173"/>
      <c r="W286" s="173"/>
      <c r="X286" s="5"/>
    </row>
    <row r="287" spans="1:24" ht="15.6" x14ac:dyDescent="0.3">
      <c r="A287" s="178"/>
      <c r="B287" s="13"/>
      <c r="C287" s="13"/>
      <c r="D287" s="13"/>
      <c r="E287" s="13"/>
      <c r="F287" s="13"/>
      <c r="G287" s="99"/>
      <c r="H287" s="173"/>
      <c r="I287" s="173"/>
      <c r="J287" s="173"/>
      <c r="K287" s="173"/>
      <c r="L287" s="173"/>
      <c r="M287" s="173"/>
      <c r="N287" s="173"/>
      <c r="O287" s="173"/>
      <c r="P287" s="173"/>
      <c r="Q287" s="173"/>
      <c r="R287" s="173"/>
      <c r="S287" s="173"/>
      <c r="T287" s="173"/>
      <c r="U287" s="173"/>
      <c r="V287" s="173"/>
      <c r="W287" s="173"/>
      <c r="X287" s="5"/>
    </row>
    <row r="288" spans="1:24" ht="15.6" x14ac:dyDescent="0.3">
      <c r="A288" s="178"/>
      <c r="B288" s="13"/>
      <c r="C288" s="13"/>
      <c r="D288" s="13"/>
      <c r="E288" s="13"/>
      <c r="F288" s="13"/>
      <c r="G288" s="99"/>
      <c r="H288" s="173"/>
      <c r="I288" s="173"/>
      <c r="J288" s="173"/>
      <c r="K288" s="173"/>
      <c r="L288" s="173"/>
      <c r="M288" s="173"/>
      <c r="N288" s="173"/>
      <c r="O288" s="173"/>
      <c r="P288" s="173"/>
      <c r="Q288" s="173"/>
      <c r="R288" s="173"/>
      <c r="S288" s="173"/>
      <c r="T288" s="173"/>
      <c r="U288" s="173"/>
      <c r="V288" s="173"/>
      <c r="W288" s="173"/>
      <c r="X288" s="5"/>
    </row>
    <row r="289" spans="1:24" ht="18" thickBot="1" x14ac:dyDescent="0.35">
      <c r="A289" s="178"/>
      <c r="B289" s="49" t="str">
        <f>B205</f>
        <v>PM14 INVESTOR REPORT QUARTER ENDING NOVEMBER 2009</v>
      </c>
      <c r="C289" s="13"/>
      <c r="D289" s="13"/>
      <c r="E289" s="13"/>
      <c r="F289" s="13"/>
      <c r="G289" s="99"/>
      <c r="H289" s="173"/>
      <c r="I289" s="173"/>
      <c r="J289" s="173"/>
      <c r="K289" s="173"/>
      <c r="L289" s="173"/>
      <c r="M289" s="173"/>
      <c r="N289" s="173"/>
      <c r="O289" s="173"/>
      <c r="P289" s="173"/>
      <c r="Q289" s="173"/>
      <c r="R289" s="173"/>
      <c r="S289" s="173"/>
      <c r="T289" s="173"/>
      <c r="U289" s="173"/>
      <c r="V289" s="173"/>
      <c r="W289" s="173"/>
      <c r="X289" s="5"/>
    </row>
    <row r="290" spans="1:24" x14ac:dyDescent="0.25">
      <c r="A290" s="100"/>
      <c r="B290" s="100"/>
      <c r="C290" s="100"/>
      <c r="D290" s="100"/>
      <c r="E290" s="100"/>
      <c r="F290" s="100"/>
      <c r="G290" s="100"/>
      <c r="H290" s="100"/>
      <c r="I290" s="100"/>
      <c r="J290" s="100"/>
      <c r="K290" s="100"/>
      <c r="L290" s="100"/>
      <c r="M290" s="100"/>
      <c r="N290" s="100"/>
      <c r="O290" s="100"/>
      <c r="P290" s="100"/>
      <c r="Q290" s="100"/>
      <c r="R290" s="100"/>
      <c r="S290" s="100"/>
      <c r="T290" s="100"/>
      <c r="U290" s="100"/>
      <c r="V290" s="100"/>
      <c r="W290" s="100"/>
    </row>
  </sheetData>
  <phoneticPr fontId="0" type="noConversion"/>
  <hyperlinks>
    <hyperlink ref="P241" r:id="rId1" xr:uid="{00000000-0004-0000-0900-000000000000}"/>
    <hyperlink ref="I9" r:id="rId2" xr:uid="{00000000-0004-0000-09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9" max="14" man="1"/>
    <brk id="205" max="14" man="1"/>
  </rowBreak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6"/>
  </sheetPr>
  <dimension ref="A1:IV290"/>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2"/>
      <c r="B1" s="3" t="s">
        <v>244</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245</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137</v>
      </c>
      <c r="C5" s="8"/>
      <c r="D5" s="8"/>
      <c r="E5" s="8"/>
      <c r="F5" s="8"/>
      <c r="G5" s="8"/>
      <c r="H5" s="8"/>
      <c r="I5" s="8"/>
      <c r="J5" s="8"/>
      <c r="K5" s="8"/>
      <c r="L5" s="8"/>
      <c r="M5" s="8"/>
      <c r="N5" s="8"/>
      <c r="O5" s="8"/>
      <c r="P5" s="8"/>
      <c r="Q5" s="8"/>
      <c r="R5" s="8"/>
      <c r="S5" s="8"/>
      <c r="T5" s="8"/>
      <c r="U5" s="8"/>
      <c r="V5" s="8"/>
      <c r="W5" s="8"/>
      <c r="X5" s="5"/>
    </row>
    <row r="6" spans="1:24" ht="15.6" x14ac:dyDescent="0.3">
      <c r="A6" s="6"/>
      <c r="B6" s="11" t="s">
        <v>139</v>
      </c>
      <c r="C6" s="8"/>
      <c r="D6" s="8"/>
      <c r="E6" s="8"/>
      <c r="F6" s="8"/>
      <c r="G6" s="8"/>
      <c r="H6" s="8"/>
      <c r="I6" s="8"/>
      <c r="J6" s="8"/>
      <c r="K6" s="8"/>
      <c r="L6" s="8"/>
      <c r="M6" s="8"/>
      <c r="N6" s="8"/>
      <c r="O6" s="8"/>
      <c r="P6" s="8"/>
      <c r="Q6" s="8"/>
      <c r="R6" s="8"/>
      <c r="S6" s="8"/>
      <c r="T6" s="8"/>
      <c r="U6" s="8"/>
      <c r="V6" s="8"/>
      <c r="W6" s="8"/>
      <c r="X6" s="5"/>
    </row>
    <row r="7" spans="1:24" ht="15.6" x14ac:dyDescent="0.3">
      <c r="A7" s="6"/>
      <c r="B7" s="11" t="s">
        <v>138</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5" t="s">
        <v>166</v>
      </c>
      <c r="C9" s="8"/>
      <c r="D9" s="8"/>
      <c r="E9" s="8"/>
      <c r="F9" s="8"/>
      <c r="G9" s="8"/>
      <c r="H9" s="8"/>
      <c r="I9" s="146" t="s">
        <v>167</v>
      </c>
      <c r="J9" s="8"/>
      <c r="K9" s="8"/>
      <c r="L9" s="146"/>
      <c r="M9" s="8"/>
      <c r="N9" s="146"/>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246</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104</v>
      </c>
      <c r="S15" s="135">
        <v>0.38300000000000001</v>
      </c>
      <c r="T15" s="17" t="s">
        <v>140</v>
      </c>
      <c r="U15" s="135">
        <v>0.61699999999999999</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104</v>
      </c>
      <c r="S16" s="135">
        <v>0.45300000000000001</v>
      </c>
      <c r="T16" s="17" t="s">
        <v>140</v>
      </c>
      <c r="U16" s="135">
        <v>0.54700000000000004</v>
      </c>
      <c r="V16" s="16"/>
      <c r="W16" s="15"/>
      <c r="X16" s="5"/>
    </row>
    <row r="17" spans="1:24" ht="15.6" x14ac:dyDescent="0.3">
      <c r="A17" s="6"/>
      <c r="B17" s="14" t="s">
        <v>4</v>
      </c>
      <c r="C17" s="15"/>
      <c r="D17" s="15"/>
      <c r="E17" s="15"/>
      <c r="F17" s="15"/>
      <c r="G17" s="15"/>
      <c r="H17" s="15"/>
      <c r="I17" s="15"/>
      <c r="J17" s="15"/>
      <c r="K17" s="15"/>
      <c r="L17" s="15"/>
      <c r="M17" s="15"/>
      <c r="N17" s="15"/>
      <c r="O17" s="15"/>
      <c r="P17" s="15"/>
      <c r="Q17" s="15"/>
      <c r="R17" s="15"/>
      <c r="S17" s="15"/>
      <c r="T17" s="15"/>
      <c r="U17" s="15"/>
      <c r="V17" s="19">
        <v>39163</v>
      </c>
      <c r="W17" s="15"/>
      <c r="X17" s="5"/>
    </row>
    <row r="18" spans="1:24" ht="15.6" x14ac:dyDescent="0.3">
      <c r="A18" s="6"/>
      <c r="B18" s="14" t="s">
        <v>5</v>
      </c>
      <c r="C18" s="15"/>
      <c r="D18" s="15"/>
      <c r="E18" s="15"/>
      <c r="F18" s="15"/>
      <c r="G18" s="15"/>
      <c r="H18" s="15"/>
      <c r="I18" s="15"/>
      <c r="J18" s="15"/>
      <c r="K18" s="15"/>
      <c r="L18" s="15"/>
      <c r="M18" s="15"/>
      <c r="N18" s="15"/>
      <c r="O18" s="15"/>
      <c r="P18" s="15"/>
      <c r="Q18" s="15"/>
      <c r="R18" s="15"/>
      <c r="S18" s="15"/>
      <c r="T18" s="15"/>
      <c r="U18" s="15"/>
      <c r="V18" s="19">
        <v>40256</v>
      </c>
      <c r="W18" s="15"/>
      <c r="X18" s="5"/>
    </row>
    <row r="19" spans="1:24"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4" ht="15.6" x14ac:dyDescent="0.3">
      <c r="A20" s="6"/>
      <c r="B20" s="21" t="s">
        <v>6</v>
      </c>
      <c r="C20" s="8"/>
      <c r="D20" s="8"/>
      <c r="E20" s="8"/>
      <c r="F20" s="8"/>
      <c r="G20" s="8"/>
      <c r="H20" s="8"/>
      <c r="I20" s="8"/>
      <c r="J20" s="8"/>
      <c r="K20" s="8"/>
      <c r="L20" s="8"/>
      <c r="M20" s="8"/>
      <c r="N20" s="8"/>
      <c r="O20" s="8"/>
      <c r="P20" s="8"/>
      <c r="Q20" s="8"/>
      <c r="R20" s="8"/>
      <c r="S20" s="8"/>
      <c r="T20" s="20" t="s">
        <v>105</v>
      </c>
      <c r="U20" s="8"/>
      <c r="V20" s="173"/>
      <c r="W20" s="8"/>
      <c r="X20" s="5"/>
    </row>
    <row r="21" spans="1:24"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4" ht="15.6" x14ac:dyDescent="0.3">
      <c r="A22" s="6"/>
      <c r="B22" s="8"/>
      <c r="C22" s="112"/>
      <c r="D22" s="112" t="s">
        <v>177</v>
      </c>
      <c r="E22" s="112"/>
      <c r="F22" s="112" t="s">
        <v>178</v>
      </c>
      <c r="G22" s="112"/>
      <c r="H22" s="112" t="s">
        <v>179</v>
      </c>
      <c r="I22" s="112"/>
      <c r="J22" s="112" t="s">
        <v>220</v>
      </c>
      <c r="K22" s="112"/>
      <c r="L22" s="112" t="s">
        <v>180</v>
      </c>
      <c r="M22" s="112"/>
      <c r="N22" s="112" t="s">
        <v>181</v>
      </c>
      <c r="O22" s="112"/>
      <c r="P22" s="112" t="s">
        <v>221</v>
      </c>
      <c r="Q22" s="112"/>
      <c r="R22" s="112" t="s">
        <v>182</v>
      </c>
      <c r="S22" s="113"/>
      <c r="T22" s="23"/>
      <c r="U22" s="173"/>
      <c r="V22" s="173"/>
      <c r="W22" s="8"/>
      <c r="X22" s="5"/>
    </row>
    <row r="23" spans="1:24" ht="15.6" x14ac:dyDescent="0.3">
      <c r="A23" s="24"/>
      <c r="B23" s="25" t="s">
        <v>7</v>
      </c>
      <c r="C23" s="26"/>
      <c r="D23" s="26" t="s">
        <v>213</v>
      </c>
      <c r="E23" s="26"/>
      <c r="F23" s="26" t="s">
        <v>141</v>
      </c>
      <c r="G23" s="26"/>
      <c r="H23" s="26" t="s">
        <v>141</v>
      </c>
      <c r="I23" s="26"/>
      <c r="J23" s="26" t="s">
        <v>141</v>
      </c>
      <c r="K23" s="26"/>
      <c r="L23" s="26" t="s">
        <v>183</v>
      </c>
      <c r="M23" s="26"/>
      <c r="N23" s="26" t="s">
        <v>183</v>
      </c>
      <c r="O23" s="26"/>
      <c r="P23" s="26" t="s">
        <v>142</v>
      </c>
      <c r="Q23" s="26"/>
      <c r="R23" s="26" t="s">
        <v>142</v>
      </c>
      <c r="S23" s="26"/>
      <c r="T23" s="26"/>
      <c r="U23" s="174"/>
      <c r="V23" s="174"/>
      <c r="W23" s="25"/>
      <c r="X23" s="5"/>
    </row>
    <row r="24" spans="1:24" ht="15.6" x14ac:dyDescent="0.3">
      <c r="A24" s="24"/>
      <c r="B24" s="25" t="s">
        <v>8</v>
      </c>
      <c r="C24" s="26"/>
      <c r="D24" s="26" t="s">
        <v>214</v>
      </c>
      <c r="E24" s="26"/>
      <c r="F24" s="26" t="s">
        <v>143</v>
      </c>
      <c r="G24" s="26"/>
      <c r="H24" s="26" t="s">
        <v>143</v>
      </c>
      <c r="I24" s="26"/>
      <c r="J24" s="26" t="s">
        <v>143</v>
      </c>
      <c r="K24" s="26"/>
      <c r="L24" s="26" t="s">
        <v>165</v>
      </c>
      <c r="M24" s="26"/>
      <c r="N24" s="26" t="s">
        <v>165</v>
      </c>
      <c r="O24" s="26"/>
      <c r="P24" s="26" t="s">
        <v>144</v>
      </c>
      <c r="Q24" s="26"/>
      <c r="R24" s="26" t="s">
        <v>144</v>
      </c>
      <c r="S24" s="26"/>
      <c r="T24" s="26"/>
      <c r="U24" s="174"/>
      <c r="V24" s="174"/>
      <c r="W24" s="25"/>
      <c r="X24" s="5"/>
    </row>
    <row r="25" spans="1:24" ht="15.6" x14ac:dyDescent="0.3">
      <c r="A25" s="28"/>
      <c r="B25" s="131" t="s">
        <v>190</v>
      </c>
      <c r="C25" s="123"/>
      <c r="D25" s="26" t="s">
        <v>215</v>
      </c>
      <c r="E25" s="26"/>
      <c r="F25" s="26" t="s">
        <v>143</v>
      </c>
      <c r="G25" s="26"/>
      <c r="H25" s="26" t="s">
        <v>143</v>
      </c>
      <c r="I25" s="26"/>
      <c r="J25" s="26" t="s">
        <v>143</v>
      </c>
      <c r="K25" s="26"/>
      <c r="L25" s="26" t="s">
        <v>293</v>
      </c>
      <c r="M25" s="26"/>
      <c r="N25" s="26" t="s">
        <v>293</v>
      </c>
      <c r="O25" s="26"/>
      <c r="P25" s="26" t="s">
        <v>144</v>
      </c>
      <c r="Q25" s="26"/>
      <c r="R25" s="26" t="s">
        <v>144</v>
      </c>
      <c r="S25" s="123"/>
      <c r="T25" s="26"/>
      <c r="U25" s="174"/>
      <c r="V25" s="174"/>
      <c r="W25" s="25"/>
      <c r="X25" s="5"/>
    </row>
    <row r="26" spans="1:24" ht="15.6" x14ac:dyDescent="0.3">
      <c r="A26" s="28"/>
      <c r="B26" s="29" t="s">
        <v>9</v>
      </c>
      <c r="C26" s="123"/>
      <c r="D26" s="123" t="s">
        <v>213</v>
      </c>
      <c r="E26" s="123"/>
      <c r="F26" s="123" t="s">
        <v>141</v>
      </c>
      <c r="G26" s="123"/>
      <c r="H26" s="123" t="s">
        <v>141</v>
      </c>
      <c r="I26" s="123"/>
      <c r="J26" s="123" t="s">
        <v>141</v>
      </c>
      <c r="K26" s="123"/>
      <c r="L26" s="123" t="s">
        <v>183</v>
      </c>
      <c r="M26" s="123"/>
      <c r="N26" s="123" t="s">
        <v>183</v>
      </c>
      <c r="O26" s="123"/>
      <c r="P26" s="123" t="s">
        <v>142</v>
      </c>
      <c r="Q26" s="123"/>
      <c r="R26" s="123" t="s">
        <v>142</v>
      </c>
      <c r="S26" s="123"/>
      <c r="T26" s="26"/>
      <c r="U26" s="174"/>
      <c r="V26" s="174"/>
      <c r="W26" s="25"/>
      <c r="X26" s="5"/>
    </row>
    <row r="27" spans="1:24" ht="15.6" x14ac:dyDescent="0.3">
      <c r="A27" s="24"/>
      <c r="B27" s="29" t="s">
        <v>191</v>
      </c>
      <c r="C27" s="26"/>
      <c r="D27" s="123" t="s">
        <v>214</v>
      </c>
      <c r="E27" s="123"/>
      <c r="F27" s="123" t="s">
        <v>143</v>
      </c>
      <c r="G27" s="123"/>
      <c r="H27" s="123" t="s">
        <v>143</v>
      </c>
      <c r="I27" s="123"/>
      <c r="J27" s="123" t="s">
        <v>143</v>
      </c>
      <c r="K27" s="123"/>
      <c r="L27" s="123" t="s">
        <v>165</v>
      </c>
      <c r="M27" s="123"/>
      <c r="N27" s="123" t="s">
        <v>165</v>
      </c>
      <c r="O27" s="123"/>
      <c r="P27" s="123" t="s">
        <v>144</v>
      </c>
      <c r="Q27" s="123"/>
      <c r="R27" s="123" t="s">
        <v>144</v>
      </c>
      <c r="S27" s="26"/>
      <c r="T27" s="30"/>
      <c r="U27" s="174"/>
      <c r="V27" s="174"/>
      <c r="W27" s="25"/>
      <c r="X27" s="5"/>
    </row>
    <row r="28" spans="1:24" ht="15.6" x14ac:dyDescent="0.3">
      <c r="A28" s="24"/>
      <c r="B28" s="151" t="s">
        <v>192</v>
      </c>
      <c r="C28" s="26"/>
      <c r="D28" s="123" t="s">
        <v>215</v>
      </c>
      <c r="E28" s="123"/>
      <c r="F28" s="123" t="s">
        <v>143</v>
      </c>
      <c r="G28" s="123"/>
      <c r="H28" s="123" t="s">
        <v>143</v>
      </c>
      <c r="I28" s="123"/>
      <c r="J28" s="123" t="s">
        <v>143</v>
      </c>
      <c r="K28" s="123"/>
      <c r="L28" s="123" t="s">
        <v>293</v>
      </c>
      <c r="M28" s="123"/>
      <c r="N28" s="123" t="s">
        <v>293</v>
      </c>
      <c r="O28" s="123"/>
      <c r="P28" s="123" t="s">
        <v>144</v>
      </c>
      <c r="Q28" s="123"/>
      <c r="R28" s="123" t="s">
        <v>144</v>
      </c>
      <c r="S28" s="26"/>
      <c r="T28" s="30"/>
      <c r="U28" s="174"/>
      <c r="V28" s="174"/>
      <c r="W28" s="25"/>
      <c r="X28" s="5"/>
    </row>
    <row r="29" spans="1:24" ht="15.6" x14ac:dyDescent="0.3">
      <c r="A29" s="24"/>
      <c r="B29" s="25" t="s">
        <v>10</v>
      </c>
      <c r="C29" s="32"/>
      <c r="D29" s="26" t="s">
        <v>249</v>
      </c>
      <c r="E29" s="26"/>
      <c r="F29" s="30" t="s">
        <v>250</v>
      </c>
      <c r="G29" s="26"/>
      <c r="H29" s="26" t="s">
        <v>251</v>
      </c>
      <c r="I29" s="26"/>
      <c r="J29" s="26" t="s">
        <v>253</v>
      </c>
      <c r="K29" s="26"/>
      <c r="L29" s="26" t="s">
        <v>254</v>
      </c>
      <c r="M29" s="26"/>
      <c r="N29" s="26" t="s">
        <v>255</v>
      </c>
      <c r="O29" s="26"/>
      <c r="P29" s="26" t="s">
        <v>256</v>
      </c>
      <c r="Q29" s="26"/>
      <c r="R29" s="26" t="s">
        <v>257</v>
      </c>
      <c r="S29" s="31"/>
      <c r="T29" s="31"/>
      <c r="U29" s="175"/>
      <c r="V29" s="31"/>
      <c r="W29" s="34"/>
      <c r="X29" s="5"/>
    </row>
    <row r="30" spans="1:24" ht="15.6" x14ac:dyDescent="0.3">
      <c r="A30" s="24"/>
      <c r="B30" s="25" t="s">
        <v>10</v>
      </c>
      <c r="C30" s="32"/>
      <c r="D30" s="26" t="s">
        <v>248</v>
      </c>
      <c r="E30" s="26"/>
      <c r="F30" s="30" t="s">
        <v>118</v>
      </c>
      <c r="G30" s="26"/>
      <c r="H30" s="26" t="s">
        <v>118</v>
      </c>
      <c r="I30" s="26"/>
      <c r="J30" s="26" t="s">
        <v>252</v>
      </c>
      <c r="K30" s="26"/>
      <c r="L30" s="26" t="s">
        <v>118</v>
      </c>
      <c r="M30" s="26"/>
      <c r="N30" s="26" t="s">
        <v>118</v>
      </c>
      <c r="O30" s="26"/>
      <c r="P30" s="26" t="s">
        <v>118</v>
      </c>
      <c r="Q30" s="26"/>
      <c r="R30" s="26" t="s">
        <v>118</v>
      </c>
      <c r="S30" s="31"/>
      <c r="T30" s="31"/>
      <c r="U30" s="175"/>
      <c r="V30" s="31"/>
      <c r="W30" s="34"/>
      <c r="X30" s="5"/>
    </row>
    <row r="31" spans="1:24" ht="15.6" x14ac:dyDescent="0.3">
      <c r="A31" s="28"/>
      <c r="B31" s="25" t="s">
        <v>133</v>
      </c>
      <c r="C31" s="36"/>
      <c r="D31" s="144">
        <v>1500000</v>
      </c>
      <c r="E31" s="32"/>
      <c r="F31" s="31">
        <v>125000</v>
      </c>
      <c r="G31" s="31"/>
      <c r="H31" s="124">
        <v>246000</v>
      </c>
      <c r="I31" s="124"/>
      <c r="J31" s="144">
        <v>400000</v>
      </c>
      <c r="K31" s="31"/>
      <c r="L31" s="31">
        <v>51900</v>
      </c>
      <c r="M31" s="31"/>
      <c r="N31" s="124">
        <v>88800</v>
      </c>
      <c r="O31" s="31"/>
      <c r="P31" s="31">
        <v>20000</v>
      </c>
      <c r="Q31" s="31"/>
      <c r="R31" s="124">
        <v>135500</v>
      </c>
      <c r="S31" s="35"/>
      <c r="T31" s="35"/>
      <c r="U31" s="37"/>
      <c r="V31" s="35"/>
      <c r="W31" s="34"/>
      <c r="X31" s="5"/>
    </row>
    <row r="32" spans="1:24" ht="15.6" x14ac:dyDescent="0.3">
      <c r="A32" s="24"/>
      <c r="B32" s="25" t="s">
        <v>132</v>
      </c>
      <c r="C32" s="32"/>
      <c r="D32" s="144">
        <f>D31*D38</f>
        <v>1143810</v>
      </c>
      <c r="E32" s="32"/>
      <c r="F32" s="31">
        <f>F31*F38</f>
        <v>95317.55</v>
      </c>
      <c r="G32" s="31"/>
      <c r="H32" s="124">
        <f>H31*H38</f>
        <v>187584.93840000001</v>
      </c>
      <c r="I32" s="124"/>
      <c r="J32" s="144">
        <f>J31*J38</f>
        <v>305016</v>
      </c>
      <c r="K32" s="31"/>
      <c r="L32" s="31">
        <f>+L31</f>
        <v>51900</v>
      </c>
      <c r="M32" s="31"/>
      <c r="N32" s="124">
        <f>+N31</f>
        <v>88800</v>
      </c>
      <c r="O32" s="31"/>
      <c r="P32" s="31">
        <f>+P31</f>
        <v>20000</v>
      </c>
      <c r="Q32" s="31"/>
      <c r="R32" s="124">
        <f>+R31</f>
        <v>135500</v>
      </c>
      <c r="S32" s="31"/>
      <c r="T32" s="31"/>
      <c r="U32" s="175"/>
      <c r="V32" s="31"/>
      <c r="W32" s="34"/>
      <c r="X32" s="5"/>
    </row>
    <row r="33" spans="1:24" ht="15.6" x14ac:dyDescent="0.3">
      <c r="A33" s="24"/>
      <c r="B33" s="29" t="s">
        <v>134</v>
      </c>
      <c r="C33" s="32"/>
      <c r="D33" s="149">
        <f>D37*D31</f>
        <v>1133553.8999999999</v>
      </c>
      <c r="E33" s="36"/>
      <c r="F33" s="35">
        <f>F37*F31</f>
        <v>94462.875</v>
      </c>
      <c r="G33" s="35"/>
      <c r="H33" s="125">
        <f>H31*H37</f>
        <v>185902.93799999999</v>
      </c>
      <c r="I33" s="125"/>
      <c r="J33" s="149">
        <f>J37*J31</f>
        <v>302281.03999999998</v>
      </c>
      <c r="K33" s="35"/>
      <c r="L33" s="35">
        <f>L31*L37</f>
        <v>51900</v>
      </c>
      <c r="M33" s="35"/>
      <c r="N33" s="125">
        <f>N31*N37</f>
        <v>88800</v>
      </c>
      <c r="O33" s="35"/>
      <c r="P33" s="35">
        <f>P31*P37</f>
        <v>20000</v>
      </c>
      <c r="Q33" s="35"/>
      <c r="R33" s="125">
        <f>R31*R37</f>
        <v>135500</v>
      </c>
      <c r="S33" s="31"/>
      <c r="T33" s="31"/>
      <c r="U33" s="175"/>
      <c r="V33" s="31"/>
      <c r="W33" s="34"/>
      <c r="X33" s="5"/>
    </row>
    <row r="34" spans="1:24" ht="15.6" x14ac:dyDescent="0.3">
      <c r="A34" s="28"/>
      <c r="B34" s="25" t="s">
        <v>296</v>
      </c>
      <c r="C34" s="36"/>
      <c r="D34" s="31">
        <v>775194</v>
      </c>
      <c r="E34" s="32"/>
      <c r="F34" s="31">
        <v>125000</v>
      </c>
      <c r="G34" s="31"/>
      <c r="H34" s="31">
        <v>168148</v>
      </c>
      <c r="I34" s="31"/>
      <c r="J34" s="31">
        <v>206718</v>
      </c>
      <c r="K34" s="31"/>
      <c r="L34" s="31">
        <v>51900</v>
      </c>
      <c r="M34" s="31"/>
      <c r="N34" s="31">
        <v>60697</v>
      </c>
      <c r="O34" s="31"/>
      <c r="P34" s="31">
        <v>20000</v>
      </c>
      <c r="Q34" s="31"/>
      <c r="R34" s="31">
        <v>92618</v>
      </c>
      <c r="S34" s="35"/>
      <c r="T34" s="35"/>
      <c r="U34" s="37"/>
      <c r="V34" s="152">
        <f>SUM(C34:R34)</f>
        <v>1500275</v>
      </c>
      <c r="W34" s="34"/>
      <c r="X34" s="5"/>
    </row>
    <row r="35" spans="1:24" ht="15.6" x14ac:dyDescent="0.3">
      <c r="A35" s="28"/>
      <c r="B35" s="25" t="s">
        <v>297</v>
      </c>
      <c r="C35" s="126"/>
      <c r="D35" s="31">
        <f>D34*D38</f>
        <v>591116.43276</v>
      </c>
      <c r="E35" s="32"/>
      <c r="F35" s="31">
        <f>F34*F38</f>
        <v>95317.55</v>
      </c>
      <c r="G35" s="31"/>
      <c r="H35" s="31">
        <f>H34*H38</f>
        <v>128219.64317920001</v>
      </c>
      <c r="I35" s="31"/>
      <c r="J35" s="31">
        <f>J34*J38</f>
        <v>157630.74372</v>
      </c>
      <c r="K35" s="31"/>
      <c r="L35" s="31">
        <f>+L34</f>
        <v>51900</v>
      </c>
      <c r="M35" s="31"/>
      <c r="N35" s="31">
        <f>+N34</f>
        <v>60697</v>
      </c>
      <c r="O35" s="31"/>
      <c r="P35" s="31">
        <f>+P34</f>
        <v>20000</v>
      </c>
      <c r="Q35" s="31"/>
      <c r="R35" s="31">
        <f>+R34</f>
        <v>92618</v>
      </c>
      <c r="S35" s="31"/>
      <c r="T35" s="31"/>
      <c r="U35" s="175"/>
      <c r="V35" s="152">
        <f>SUM(C35:R35)</f>
        <v>1197499.3696592001</v>
      </c>
      <c r="W35" s="34"/>
      <c r="X35" s="5"/>
    </row>
    <row r="36" spans="1:24" ht="15.6" x14ac:dyDescent="0.3">
      <c r="A36" s="28"/>
      <c r="B36" s="29" t="s">
        <v>298</v>
      </c>
      <c r="C36" s="126"/>
      <c r="D36" s="35">
        <f>D34*D37</f>
        <v>585816.12130440003</v>
      </c>
      <c r="E36" s="36"/>
      <c r="F36" s="35">
        <f>F34*F37</f>
        <v>94462.875</v>
      </c>
      <c r="G36" s="35"/>
      <c r="H36" s="35">
        <f>H34*H37</f>
        <v>127069.948044</v>
      </c>
      <c r="I36" s="35"/>
      <c r="J36" s="35">
        <f>J34*J37</f>
        <v>156217.3300668</v>
      </c>
      <c r="K36" s="35"/>
      <c r="L36" s="35">
        <f>L34*L37</f>
        <v>51900</v>
      </c>
      <c r="M36" s="35"/>
      <c r="N36" s="35">
        <f>N34*N37</f>
        <v>60697</v>
      </c>
      <c r="O36" s="35"/>
      <c r="P36" s="35">
        <f>P34*P37</f>
        <v>20000</v>
      </c>
      <c r="Q36" s="35"/>
      <c r="R36" s="35">
        <f>R34*R37</f>
        <v>92618</v>
      </c>
      <c r="S36" s="128"/>
      <c r="T36" s="128"/>
      <c r="U36" s="175"/>
      <c r="V36" s="153">
        <f>SUM(C36:R36)</f>
        <v>1188781.2744152001</v>
      </c>
      <c r="W36" s="34"/>
      <c r="X36" s="5"/>
    </row>
    <row r="37" spans="1:24" ht="15.6" x14ac:dyDescent="0.3">
      <c r="A37" s="24"/>
      <c r="B37" s="122" t="s">
        <v>130</v>
      </c>
      <c r="C37" s="25"/>
      <c r="D37" s="171">
        <v>0.7557026</v>
      </c>
      <c r="E37" s="171"/>
      <c r="F37" s="171">
        <v>0.75570300000000001</v>
      </c>
      <c r="G37" s="171"/>
      <c r="H37" s="171">
        <v>0.75570300000000001</v>
      </c>
      <c r="I37" s="171"/>
      <c r="J37" s="171">
        <v>0.7557026</v>
      </c>
      <c r="K37" s="171"/>
      <c r="L37" s="171">
        <v>1</v>
      </c>
      <c r="M37" s="171"/>
      <c r="N37" s="171">
        <v>1</v>
      </c>
      <c r="O37" s="171"/>
      <c r="P37" s="171">
        <v>1</v>
      </c>
      <c r="Q37" s="171"/>
      <c r="R37" s="171">
        <v>1</v>
      </c>
      <c r="S37" s="30"/>
      <c r="T37" s="30"/>
      <c r="U37" s="174"/>
      <c r="V37" s="174"/>
      <c r="W37" s="25"/>
      <c r="X37" s="5"/>
    </row>
    <row r="38" spans="1:24" ht="15.6" x14ac:dyDescent="0.3">
      <c r="A38" s="24"/>
      <c r="B38" s="122" t="s">
        <v>131</v>
      </c>
      <c r="C38" s="25"/>
      <c r="D38" s="171">
        <v>0.76254</v>
      </c>
      <c r="E38" s="171"/>
      <c r="F38" s="171">
        <v>0.76254040000000001</v>
      </c>
      <c r="G38" s="171"/>
      <c r="H38" s="171">
        <v>0.76254040000000001</v>
      </c>
      <c r="I38" s="171"/>
      <c r="J38" s="171">
        <v>0.76254</v>
      </c>
      <c r="K38" s="171"/>
      <c r="L38" s="171">
        <v>1</v>
      </c>
      <c r="M38" s="171"/>
      <c r="N38" s="171">
        <v>1</v>
      </c>
      <c r="O38" s="171"/>
      <c r="P38" s="171">
        <v>1</v>
      </c>
      <c r="Q38" s="171"/>
      <c r="R38" s="171">
        <v>1</v>
      </c>
      <c r="S38" s="39"/>
      <c r="T38" s="38"/>
      <c r="U38" s="174"/>
      <c r="V38" s="39"/>
      <c r="W38" s="25"/>
      <c r="X38" s="5"/>
    </row>
    <row r="39" spans="1:24" ht="15.6" x14ac:dyDescent="0.3">
      <c r="A39" s="24"/>
      <c r="B39" s="25" t="s">
        <v>11</v>
      </c>
      <c r="C39" s="25"/>
      <c r="D39" s="30" t="s">
        <v>285</v>
      </c>
      <c r="E39" s="25"/>
      <c r="F39" s="30" t="s">
        <v>258</v>
      </c>
      <c r="G39" s="30"/>
      <c r="H39" s="30" t="s">
        <v>258</v>
      </c>
      <c r="I39" s="30"/>
      <c r="J39" s="30" t="s">
        <v>258</v>
      </c>
      <c r="K39" s="30"/>
      <c r="L39" s="30" t="s">
        <v>232</v>
      </c>
      <c r="M39" s="30"/>
      <c r="N39" s="30" t="s">
        <v>232</v>
      </c>
      <c r="O39" s="30"/>
      <c r="P39" s="30" t="s">
        <v>233</v>
      </c>
      <c r="Q39" s="30"/>
      <c r="R39" s="30" t="s">
        <v>233</v>
      </c>
      <c r="S39" s="39"/>
      <c r="T39" s="38"/>
      <c r="U39" s="174"/>
      <c r="V39" s="174"/>
      <c r="W39" s="25"/>
      <c r="X39" s="5"/>
    </row>
    <row r="40" spans="1:24" ht="15.6" x14ac:dyDescent="0.3">
      <c r="A40" s="24"/>
      <c r="B40" s="25" t="s">
        <v>12</v>
      </c>
      <c r="C40" s="25"/>
      <c r="D40" s="38">
        <v>3.3187999999999998E-3</v>
      </c>
      <c r="E40" s="25"/>
      <c r="F40" s="38">
        <v>7.0562999999999997E-3</v>
      </c>
      <c r="G40" s="39"/>
      <c r="H40" s="38">
        <v>8.1399999999999997E-3</v>
      </c>
      <c r="I40" s="38"/>
      <c r="J40" s="38">
        <v>3.5363E-3</v>
      </c>
      <c r="K40" s="39"/>
      <c r="L40" s="38">
        <v>7.8563000000000001E-3</v>
      </c>
      <c r="M40" s="39"/>
      <c r="N40" s="38">
        <v>8.94E-3</v>
      </c>
      <c r="O40" s="39"/>
      <c r="P40" s="38">
        <v>9.8563000000000001E-3</v>
      </c>
      <c r="Q40" s="39"/>
      <c r="R40" s="38">
        <v>1.094E-2</v>
      </c>
      <c r="S40" s="39"/>
      <c r="T40" s="38"/>
      <c r="U40" s="174"/>
      <c r="V40" s="30"/>
      <c r="W40" s="25"/>
      <c r="X40" s="5"/>
    </row>
    <row r="41" spans="1:24" ht="15.6" x14ac:dyDescent="0.3">
      <c r="A41" s="24"/>
      <c r="B41" s="25" t="s">
        <v>13</v>
      </c>
      <c r="C41" s="25"/>
      <c r="D41" s="38">
        <v>3.3874999999999999E-3</v>
      </c>
      <c r="E41" s="25"/>
      <c r="F41" s="38">
        <v>7.1063000000000003E-3</v>
      </c>
      <c r="G41" s="39"/>
      <c r="H41" s="38">
        <v>8.7299999999999999E-3</v>
      </c>
      <c r="I41" s="38"/>
      <c r="J41" s="38">
        <v>3.9899999999999996E-3</v>
      </c>
      <c r="K41" s="39"/>
      <c r="L41" s="38">
        <v>7.9062999999999998E-3</v>
      </c>
      <c r="M41" s="39"/>
      <c r="N41" s="38">
        <v>9.5300000000000003E-3</v>
      </c>
      <c r="O41" s="39"/>
      <c r="P41" s="38">
        <v>9.9062999999999998E-3</v>
      </c>
      <c r="Q41" s="39"/>
      <c r="R41" s="38">
        <v>1.153E-2</v>
      </c>
      <c r="S41" s="39"/>
      <c r="T41" s="38"/>
      <c r="U41" s="174"/>
      <c r="V41" s="39" t="s">
        <v>193</v>
      </c>
      <c r="W41" s="25"/>
      <c r="X41" s="5"/>
    </row>
    <row r="42" spans="1:24" ht="15.6" x14ac:dyDescent="0.3">
      <c r="A42" s="24"/>
      <c r="B42" s="25" t="s">
        <v>299</v>
      </c>
      <c r="C42" s="25"/>
      <c r="D42" s="30" t="s">
        <v>286</v>
      </c>
      <c r="E42" s="25"/>
      <c r="F42" s="30" t="s">
        <v>258</v>
      </c>
      <c r="G42" s="30"/>
      <c r="H42" s="30" t="s">
        <v>259</v>
      </c>
      <c r="I42" s="30"/>
      <c r="J42" s="30" t="s">
        <v>260</v>
      </c>
      <c r="K42" s="30"/>
      <c r="L42" s="30" t="s">
        <v>232</v>
      </c>
      <c r="M42" s="30"/>
      <c r="N42" s="30" t="s">
        <v>235</v>
      </c>
      <c r="O42" s="30"/>
      <c r="P42" s="30" t="s">
        <v>233</v>
      </c>
      <c r="Q42" s="30"/>
      <c r="R42" s="30" t="s">
        <v>261</v>
      </c>
      <c r="S42" s="39"/>
      <c r="T42" s="38"/>
      <c r="U42" s="174"/>
      <c r="V42" s="174"/>
      <c r="W42" s="25"/>
      <c r="X42" s="5"/>
    </row>
    <row r="43" spans="1:24" ht="15.6" x14ac:dyDescent="0.3">
      <c r="A43" s="24"/>
      <c r="B43" s="25" t="s">
        <v>300</v>
      </c>
      <c r="C43" s="110"/>
      <c r="D43" s="38">
        <v>7.3952999999999996E-3</v>
      </c>
      <c r="E43" s="38"/>
      <c r="F43" s="38">
        <f>+F40</f>
        <v>7.0562999999999997E-3</v>
      </c>
      <c r="G43" s="38"/>
      <c r="H43" s="38">
        <v>7.1963000000000001E-3</v>
      </c>
      <c r="I43" s="38"/>
      <c r="J43" s="38">
        <v>7.4193000000000002E-3</v>
      </c>
      <c r="K43" s="38"/>
      <c r="L43" s="38">
        <f>+L40</f>
        <v>7.8563000000000001E-3</v>
      </c>
      <c r="M43" s="38"/>
      <c r="N43" s="38">
        <v>8.1522999999999995E-3</v>
      </c>
      <c r="O43" s="38"/>
      <c r="P43" s="38">
        <f>+P40</f>
        <v>9.8563000000000001E-3</v>
      </c>
      <c r="Q43" s="39"/>
      <c r="R43" s="38">
        <v>1.0389300000000001E-2</v>
      </c>
      <c r="S43" s="30"/>
      <c r="T43" s="30"/>
      <c r="U43" s="174"/>
      <c r="V43" s="39">
        <f>SUMPRODUCT(D43:R43,D35:R35)/V35</f>
        <v>7.6811845767109227E-3</v>
      </c>
      <c r="W43" s="25"/>
      <c r="X43" s="5"/>
    </row>
    <row r="44" spans="1:24" ht="15.6" x14ac:dyDescent="0.3">
      <c r="A44" s="24"/>
      <c r="B44" s="25" t="s">
        <v>301</v>
      </c>
      <c r="C44" s="110"/>
      <c r="D44" s="38">
        <v>7.4453000000000002E-3</v>
      </c>
      <c r="E44" s="38"/>
      <c r="F44" s="38">
        <f>+F41</f>
        <v>7.1063000000000003E-3</v>
      </c>
      <c r="G44" s="38"/>
      <c r="H44" s="38">
        <v>7.2462999999999998E-3</v>
      </c>
      <c r="I44" s="38"/>
      <c r="J44" s="38">
        <v>7.4692999999999999E-3</v>
      </c>
      <c r="K44" s="38"/>
      <c r="L44" s="38">
        <f>+L41</f>
        <v>7.9062999999999998E-3</v>
      </c>
      <c r="M44" s="38"/>
      <c r="N44" s="38">
        <v>8.2022999999999992E-3</v>
      </c>
      <c r="O44" s="38"/>
      <c r="P44" s="38">
        <f>+P41</f>
        <v>9.9062999999999998E-3</v>
      </c>
      <c r="Q44" s="39"/>
      <c r="R44" s="38">
        <v>1.04393E-2</v>
      </c>
      <c r="S44" s="30"/>
      <c r="T44" s="30"/>
      <c r="U44" s="174"/>
      <c r="V44" s="174"/>
      <c r="W44" s="25"/>
      <c r="X44" s="5"/>
    </row>
    <row r="45" spans="1:24" ht="15.6" x14ac:dyDescent="0.3">
      <c r="A45" s="24"/>
      <c r="B45" s="25" t="s">
        <v>14</v>
      </c>
      <c r="C45" s="25"/>
      <c r="D45" s="110">
        <v>40617</v>
      </c>
      <c r="E45" s="110"/>
      <c r="F45" s="110">
        <v>40617</v>
      </c>
      <c r="G45" s="110"/>
      <c r="H45" s="110">
        <v>40617</v>
      </c>
      <c r="I45" s="110"/>
      <c r="J45" s="110">
        <v>40617</v>
      </c>
      <c r="K45" s="110"/>
      <c r="L45" s="110">
        <v>40617</v>
      </c>
      <c r="M45" s="110"/>
      <c r="N45" s="110">
        <v>40617</v>
      </c>
      <c r="O45" s="110"/>
      <c r="P45" s="110">
        <v>40617</v>
      </c>
      <c r="Q45" s="110"/>
      <c r="R45" s="110">
        <v>40617</v>
      </c>
      <c r="S45" s="30"/>
      <c r="T45" s="30"/>
      <c r="U45" s="174"/>
      <c r="V45" s="174"/>
      <c r="W45" s="25"/>
      <c r="X45" s="5"/>
    </row>
    <row r="46" spans="1:24" ht="15.6" x14ac:dyDescent="0.3">
      <c r="A46" s="24"/>
      <c r="B46" s="25" t="s">
        <v>15</v>
      </c>
      <c r="C46" s="25"/>
      <c r="D46" s="110" t="s">
        <v>118</v>
      </c>
      <c r="E46" s="110"/>
      <c r="F46" s="110">
        <v>40983</v>
      </c>
      <c r="G46" s="110"/>
      <c r="H46" s="110">
        <v>40983</v>
      </c>
      <c r="I46" s="110"/>
      <c r="J46" s="110">
        <v>40983</v>
      </c>
      <c r="K46" s="30"/>
      <c r="L46" s="110">
        <v>40983</v>
      </c>
      <c r="M46" s="30"/>
      <c r="N46" s="110">
        <v>40983</v>
      </c>
      <c r="O46" s="30"/>
      <c r="P46" s="110">
        <v>40983</v>
      </c>
      <c r="Q46" s="30"/>
      <c r="R46" s="110">
        <v>40983</v>
      </c>
      <c r="S46" s="30"/>
      <c r="T46" s="30"/>
      <c r="U46" s="174"/>
      <c r="V46" s="174"/>
      <c r="W46" s="25"/>
      <c r="X46" s="5"/>
    </row>
    <row r="47" spans="1:24" ht="15.6" x14ac:dyDescent="0.3">
      <c r="A47" s="24"/>
      <c r="B47" s="25" t="s">
        <v>119</v>
      </c>
      <c r="C47" s="25"/>
      <c r="D47" s="158" t="s">
        <v>118</v>
      </c>
      <c r="E47" s="25"/>
      <c r="F47" s="30" t="s">
        <v>231</v>
      </c>
      <c r="G47" s="30"/>
      <c r="H47" s="30" t="s">
        <v>231</v>
      </c>
      <c r="I47" s="30"/>
      <c r="J47" s="30" t="s">
        <v>231</v>
      </c>
      <c r="K47" s="30"/>
      <c r="L47" s="30" t="s">
        <v>265</v>
      </c>
      <c r="M47" s="30"/>
      <c r="N47" s="30" t="s">
        <v>265</v>
      </c>
      <c r="O47" s="30"/>
      <c r="P47" s="30" t="s">
        <v>266</v>
      </c>
      <c r="Q47" s="30"/>
      <c r="R47" s="30" t="s">
        <v>266</v>
      </c>
      <c r="S47" s="40"/>
      <c r="T47" s="40"/>
      <c r="U47" s="40"/>
      <c r="V47" s="40"/>
      <c r="W47" s="25"/>
      <c r="X47" s="5"/>
    </row>
    <row r="48" spans="1:24" ht="15.6" x14ac:dyDescent="0.3">
      <c r="A48" s="24"/>
      <c r="B48" s="25" t="s">
        <v>302</v>
      </c>
      <c r="C48" s="25"/>
      <c r="D48" s="30" t="s">
        <v>200</v>
      </c>
      <c r="E48" s="25"/>
      <c r="F48" s="30" t="s">
        <v>231</v>
      </c>
      <c r="G48" s="30"/>
      <c r="H48" s="30" t="s">
        <v>262</v>
      </c>
      <c r="I48" s="30"/>
      <c r="J48" s="30" t="s">
        <v>263</v>
      </c>
      <c r="K48" s="30"/>
      <c r="L48" s="30" t="s">
        <v>265</v>
      </c>
      <c r="M48" s="30"/>
      <c r="N48" s="30" t="s">
        <v>234</v>
      </c>
      <c r="O48" s="30"/>
      <c r="P48" s="30" t="s">
        <v>266</v>
      </c>
      <c r="Q48" s="30"/>
      <c r="R48" s="30" t="s">
        <v>264</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193</v>
      </c>
      <c r="W49" s="25"/>
      <c r="X49" s="5"/>
    </row>
    <row r="50" spans="1:25" ht="15.6" x14ac:dyDescent="0.3">
      <c r="A50" s="24"/>
      <c r="B50" s="25" t="s">
        <v>169</v>
      </c>
      <c r="C50" s="25"/>
      <c r="D50" s="30"/>
      <c r="E50" s="25"/>
      <c r="F50" s="30"/>
      <c r="G50" s="30"/>
      <c r="H50" s="30"/>
      <c r="I50" s="30"/>
      <c r="J50" s="30"/>
      <c r="K50" s="30"/>
      <c r="L50" s="30"/>
      <c r="M50" s="30"/>
      <c r="N50" s="30"/>
      <c r="O50" s="30"/>
      <c r="P50" s="30"/>
      <c r="Q50" s="30"/>
      <c r="R50" s="30"/>
      <c r="S50" s="25"/>
      <c r="T50" s="25"/>
      <c r="U50" s="25"/>
      <c r="V50" s="39">
        <f>SUM(L34:R34)/SUM(D34:J34)</f>
        <v>0.17663090364375009</v>
      </c>
      <c r="W50" s="25"/>
      <c r="X50" s="5"/>
    </row>
    <row r="51" spans="1:25" ht="15.6" x14ac:dyDescent="0.3">
      <c r="A51" s="24"/>
      <c r="B51" s="25" t="s">
        <v>170</v>
      </c>
      <c r="C51" s="25"/>
      <c r="D51" s="25"/>
      <c r="E51" s="25"/>
      <c r="F51" s="41"/>
      <c r="G51" s="25"/>
      <c r="H51" s="25"/>
      <c r="I51" s="25"/>
      <c r="J51" s="25"/>
      <c r="K51" s="25"/>
      <c r="L51" s="25"/>
      <c r="M51" s="25"/>
      <c r="N51" s="25"/>
      <c r="O51" s="25"/>
      <c r="P51" s="25"/>
      <c r="Q51" s="25"/>
      <c r="R51" s="25"/>
      <c r="S51" s="25"/>
      <c r="T51" s="25"/>
      <c r="U51" s="25"/>
      <c r="V51" s="39">
        <f>SUM(L36:R36)/SUM(D36:J36)</f>
        <v>0.23373067943529438</v>
      </c>
      <c r="W51" s="25"/>
      <c r="X51" s="5"/>
    </row>
    <row r="52" spans="1:25" ht="15.6" x14ac:dyDescent="0.3">
      <c r="A52" s="24"/>
      <c r="B52" s="25" t="s">
        <v>171</v>
      </c>
      <c r="C52" s="25"/>
      <c r="D52" s="25"/>
      <c r="E52" s="25"/>
      <c r="F52" s="25"/>
      <c r="G52" s="25"/>
      <c r="H52" s="25"/>
      <c r="I52" s="25"/>
      <c r="J52" s="25"/>
      <c r="K52" s="25"/>
      <c r="L52" s="25"/>
      <c r="M52" s="25"/>
      <c r="N52" s="25"/>
      <c r="O52" s="25"/>
      <c r="P52" s="25"/>
      <c r="Q52" s="25"/>
      <c r="R52" s="25"/>
      <c r="S52" s="25"/>
      <c r="T52" s="30"/>
      <c r="U52" s="30"/>
      <c r="V52" s="31" t="s">
        <v>276</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202</v>
      </c>
      <c r="C54" s="25"/>
      <c r="D54" s="25"/>
      <c r="E54" s="25"/>
      <c r="F54" s="25"/>
      <c r="G54" s="25"/>
      <c r="H54" s="25"/>
      <c r="I54" s="25"/>
      <c r="J54" s="25"/>
      <c r="K54" s="25"/>
      <c r="L54" s="25"/>
      <c r="M54" s="25"/>
      <c r="N54" s="25"/>
      <c r="O54" s="25"/>
      <c r="P54" s="25"/>
      <c r="Q54" s="25"/>
      <c r="R54" s="25"/>
      <c r="S54" s="25"/>
      <c r="T54" s="25"/>
      <c r="U54" s="25"/>
      <c r="V54" s="154" t="s">
        <v>203</v>
      </c>
      <c r="W54" s="25"/>
      <c r="X54" s="5"/>
    </row>
    <row r="55" spans="1:25" ht="15.6" x14ac:dyDescent="0.3">
      <c r="A55" s="24"/>
      <c r="B55" s="25" t="s">
        <v>280</v>
      </c>
      <c r="C55" s="25"/>
      <c r="D55" s="25"/>
      <c r="E55" s="25"/>
      <c r="F55" s="25"/>
      <c r="G55" s="25"/>
      <c r="H55" s="25"/>
      <c r="I55" s="25"/>
      <c r="J55" s="25"/>
      <c r="K55" s="25"/>
      <c r="L55" s="25"/>
      <c r="M55" s="25"/>
      <c r="N55" s="25"/>
      <c r="O55" s="25"/>
      <c r="P55" s="25"/>
      <c r="Q55" s="25"/>
      <c r="R55" s="25"/>
      <c r="S55" s="25"/>
      <c r="T55" s="30"/>
      <c r="U55" s="30"/>
      <c r="V55" s="155" t="s">
        <v>111</v>
      </c>
      <c r="W55" s="25"/>
      <c r="X55" s="5"/>
    </row>
    <row r="56" spans="1:25" ht="15.6" x14ac:dyDescent="0.3">
      <c r="A56" s="24"/>
      <c r="B56" s="29" t="s">
        <v>201</v>
      </c>
      <c r="C56" s="29"/>
      <c r="D56" s="29"/>
      <c r="E56" s="29"/>
      <c r="F56" s="29"/>
      <c r="G56" s="29"/>
      <c r="H56" s="29"/>
      <c r="I56" s="29"/>
      <c r="J56" s="29"/>
      <c r="K56" s="29"/>
      <c r="L56" s="29"/>
      <c r="M56" s="29"/>
      <c r="N56" s="29"/>
      <c r="O56" s="29"/>
      <c r="P56" s="29"/>
      <c r="Q56" s="29"/>
      <c r="R56" s="29"/>
      <c r="S56" s="29"/>
      <c r="T56" s="43"/>
      <c r="U56" s="43"/>
      <c r="V56" s="44">
        <v>40252</v>
      </c>
      <c r="W56" s="25"/>
      <c r="X56" s="5"/>
    </row>
    <row r="57" spans="1:25" ht="15.6" x14ac:dyDescent="0.3">
      <c r="A57" s="24"/>
      <c r="B57" s="25" t="s">
        <v>121</v>
      </c>
      <c r="C57" s="25"/>
      <c r="D57" s="25"/>
      <c r="E57" s="25"/>
      <c r="F57" s="25"/>
      <c r="G57" s="25"/>
      <c r="H57" s="58"/>
      <c r="I57" s="58"/>
      <c r="J57" s="58"/>
      <c r="K57" s="58"/>
      <c r="L57" s="58"/>
      <c r="M57" s="58"/>
      <c r="N57" s="58"/>
      <c r="O57" s="58"/>
      <c r="P57" s="58"/>
      <c r="Q57" s="58"/>
      <c r="R57" s="25">
        <f>+V57-T57+1</f>
        <v>91</v>
      </c>
      <c r="S57" s="58"/>
      <c r="T57" s="45">
        <v>40071</v>
      </c>
      <c r="U57" s="46"/>
      <c r="V57" s="45">
        <v>40161</v>
      </c>
      <c r="W57" s="25"/>
      <c r="X57" s="5"/>
    </row>
    <row r="58" spans="1:25" ht="15.6" x14ac:dyDescent="0.3">
      <c r="A58" s="24"/>
      <c r="B58" s="25" t="s">
        <v>122</v>
      </c>
      <c r="C58" s="25"/>
      <c r="D58" s="25"/>
      <c r="E58" s="25"/>
      <c r="F58" s="25"/>
      <c r="G58" s="25"/>
      <c r="H58" s="25"/>
      <c r="I58" s="25"/>
      <c r="J58" s="25"/>
      <c r="K58" s="25"/>
      <c r="L58" s="25"/>
      <c r="M58" s="25"/>
      <c r="N58" s="25"/>
      <c r="O58" s="25"/>
      <c r="P58" s="25"/>
      <c r="Q58" s="25"/>
      <c r="R58" s="25">
        <f>+V58-T58+1</f>
        <v>90</v>
      </c>
      <c r="S58" s="25"/>
      <c r="T58" s="45">
        <v>40162</v>
      </c>
      <c r="U58" s="46"/>
      <c r="V58" s="45">
        <v>40251</v>
      </c>
      <c r="W58" s="25"/>
      <c r="X58" s="5"/>
    </row>
    <row r="59" spans="1:25" ht="15.6" x14ac:dyDescent="0.3">
      <c r="A59" s="24"/>
      <c r="B59" s="25" t="s">
        <v>229</v>
      </c>
      <c r="C59" s="25"/>
      <c r="D59" s="25"/>
      <c r="E59" s="25"/>
      <c r="F59" s="25"/>
      <c r="G59" s="25"/>
      <c r="H59" s="25"/>
      <c r="I59" s="25"/>
      <c r="J59" s="25"/>
      <c r="K59" s="25"/>
      <c r="L59" s="25"/>
      <c r="M59" s="25"/>
      <c r="N59" s="25"/>
      <c r="O59" s="25"/>
      <c r="P59" s="25"/>
      <c r="Q59" s="25"/>
      <c r="R59" s="25"/>
      <c r="S59" s="25"/>
      <c r="T59" s="45"/>
      <c r="U59" s="46"/>
      <c r="V59" s="45" t="s">
        <v>120</v>
      </c>
      <c r="W59" s="25"/>
      <c r="X59" s="5"/>
    </row>
    <row r="60" spans="1:25" ht="15.6" x14ac:dyDescent="0.3">
      <c r="A60" s="24"/>
      <c r="B60" s="25" t="s">
        <v>228</v>
      </c>
      <c r="C60" s="25"/>
      <c r="D60" s="25"/>
      <c r="E60" s="25"/>
      <c r="F60" s="25"/>
      <c r="G60" s="25"/>
      <c r="H60" s="25"/>
      <c r="I60" s="25"/>
      <c r="J60" s="25"/>
      <c r="K60" s="25"/>
      <c r="L60" s="25"/>
      <c r="M60" s="25"/>
      <c r="N60" s="25"/>
      <c r="O60" s="25"/>
      <c r="P60" s="25"/>
      <c r="Q60" s="25"/>
      <c r="R60" s="25"/>
      <c r="S60" s="25"/>
      <c r="T60" s="45"/>
      <c r="U60" s="46"/>
      <c r="V60" s="45" t="s">
        <v>154</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40238</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304</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94</v>
      </c>
      <c r="M68" s="115"/>
      <c r="N68" s="115" t="s">
        <v>96</v>
      </c>
      <c r="O68" s="115"/>
      <c r="P68" s="115" t="s">
        <v>98</v>
      </c>
      <c r="Q68" s="115"/>
      <c r="R68" s="115" t="s">
        <v>100</v>
      </c>
      <c r="S68" s="115"/>
      <c r="T68" s="115" t="s">
        <v>106</v>
      </c>
      <c r="U68" s="115"/>
      <c r="V68" s="116" t="s">
        <v>112</v>
      </c>
      <c r="W68" s="117"/>
      <c r="X68" s="5"/>
    </row>
    <row r="69" spans="1:24" ht="15.6" x14ac:dyDescent="0.3">
      <c r="A69" s="24"/>
      <c r="B69" s="25" t="s">
        <v>19</v>
      </c>
      <c r="C69" s="34"/>
      <c r="D69" s="34"/>
      <c r="E69" s="34"/>
      <c r="F69" s="34"/>
      <c r="G69" s="34"/>
      <c r="H69" s="34"/>
      <c r="I69" s="34"/>
      <c r="J69" s="34"/>
      <c r="K69" s="34"/>
      <c r="L69" s="34">
        <v>1158015</v>
      </c>
      <c r="M69" s="34"/>
      <c r="N69" s="53">
        <v>1197499</v>
      </c>
      <c r="O69" s="34"/>
      <c r="P69" s="34">
        <f>8718+112+105</f>
        <v>8935</v>
      </c>
      <c r="Q69" s="34"/>
      <c r="R69" s="34">
        <f>112+105</f>
        <v>217</v>
      </c>
      <c r="S69" s="34"/>
      <c r="T69" s="34">
        <v>0</v>
      </c>
      <c r="U69" s="34"/>
      <c r="V69" s="53">
        <f>+N69-P69+R69-T69</f>
        <v>1188781</v>
      </c>
      <c r="W69" s="25"/>
      <c r="X69" s="5"/>
    </row>
    <row r="70" spans="1:24" ht="15.6" x14ac:dyDescent="0.3">
      <c r="A70" s="24"/>
      <c r="B70" s="25" t="s">
        <v>20</v>
      </c>
      <c r="C70" s="34"/>
      <c r="D70" s="34"/>
      <c r="E70" s="34"/>
      <c r="F70" s="34"/>
      <c r="G70" s="34"/>
      <c r="H70" s="34"/>
      <c r="I70" s="34"/>
      <c r="J70" s="34"/>
      <c r="K70" s="34"/>
      <c r="L70" s="34">
        <v>15</v>
      </c>
      <c r="M70" s="34"/>
      <c r="N70" s="53">
        <v>0</v>
      </c>
      <c r="O70" s="34"/>
      <c r="P70" s="34">
        <v>0</v>
      </c>
      <c r="Q70" s="34"/>
      <c r="R70" s="34">
        <v>0</v>
      </c>
      <c r="S70" s="34"/>
      <c r="T70" s="34">
        <v>0</v>
      </c>
      <c r="U70" s="34"/>
      <c r="V70" s="53">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1158030</v>
      </c>
      <c r="M72" s="34"/>
      <c r="N72" s="54">
        <f>N69+N70</f>
        <v>1197499</v>
      </c>
      <c r="O72" s="34"/>
      <c r="P72" s="34">
        <f>SUM(P69:P71)</f>
        <v>8935</v>
      </c>
      <c r="Q72" s="34"/>
      <c r="R72" s="34">
        <f>SUM(R69:R71)</f>
        <v>217</v>
      </c>
      <c r="S72" s="34"/>
      <c r="T72" s="34">
        <f>SUM(T69:T71)</f>
        <v>0</v>
      </c>
      <c r="U72" s="34"/>
      <c r="V72" s="54">
        <f>SUM(V69:V71)</f>
        <v>1188781</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117</v>
      </c>
      <c r="C82" s="34"/>
      <c r="D82" s="34"/>
      <c r="E82" s="34"/>
      <c r="F82" s="34"/>
      <c r="G82" s="34"/>
      <c r="H82" s="34"/>
      <c r="I82" s="34"/>
      <c r="J82" s="34"/>
      <c r="K82" s="34"/>
      <c r="L82" s="34">
        <v>342245</v>
      </c>
      <c r="M82" s="34"/>
      <c r="N82" s="34">
        <v>0</v>
      </c>
      <c r="O82" s="34"/>
      <c r="P82" s="34">
        <v>0</v>
      </c>
      <c r="Q82" s="34"/>
      <c r="R82" s="34"/>
      <c r="S82" s="34"/>
      <c r="T82" s="34"/>
      <c r="U82" s="34"/>
      <c r="V82" s="54">
        <f>SUM(N82:R82)</f>
        <v>0</v>
      </c>
      <c r="W82" s="25"/>
      <c r="X82" s="5"/>
    </row>
    <row r="83" spans="1:24" ht="15.6" x14ac:dyDescent="0.3">
      <c r="A83" s="24"/>
      <c r="B83" s="25" t="s">
        <v>146</v>
      </c>
      <c r="C83" s="34"/>
      <c r="D83" s="34"/>
      <c r="E83" s="34"/>
      <c r="F83" s="34"/>
      <c r="G83" s="34"/>
      <c r="H83" s="34"/>
      <c r="I83" s="34"/>
      <c r="J83" s="34"/>
      <c r="K83" s="34"/>
      <c r="L83" s="34">
        <v>0</v>
      </c>
      <c r="M83" s="34"/>
      <c r="N83" s="34">
        <v>0</v>
      </c>
      <c r="O83" s="34"/>
      <c r="P83" s="34">
        <v>0</v>
      </c>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1500275</v>
      </c>
      <c r="M85" s="34"/>
      <c r="N85" s="54">
        <f>SUM(N72:N84)</f>
        <v>1197499</v>
      </c>
      <c r="O85" s="34"/>
      <c r="P85" s="34"/>
      <c r="Q85" s="34"/>
      <c r="R85" s="34"/>
      <c r="S85" s="34"/>
      <c r="T85" s="54"/>
      <c r="U85" s="34"/>
      <c r="V85" s="54">
        <f>SUM(V72:V84)</f>
        <v>1188781</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7" t="s">
        <v>95</v>
      </c>
      <c r="M88" s="17"/>
      <c r="N88" s="156">
        <f>+T206</f>
        <v>40235</v>
      </c>
      <c r="O88" s="17"/>
      <c r="P88" s="17"/>
      <c r="Q88" s="17"/>
      <c r="R88" s="17"/>
      <c r="S88" s="17"/>
      <c r="T88" s="17" t="s">
        <v>107</v>
      </c>
      <c r="U88" s="17"/>
      <c r="V88" s="17" t="s">
        <v>113</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f>8935-259</f>
        <v>8676</v>
      </c>
      <c r="U90" s="25"/>
      <c r="V90" s="53"/>
      <c r="W90" s="25"/>
      <c r="X90" s="5"/>
    </row>
    <row r="91" spans="1:24" ht="15.6" x14ac:dyDescent="0.3">
      <c r="A91" s="24"/>
      <c r="B91" s="25" t="s">
        <v>216</v>
      </c>
      <c r="C91" s="25"/>
      <c r="D91" s="25"/>
      <c r="E91" s="25"/>
      <c r="F91" s="25"/>
      <c r="G91" s="25"/>
      <c r="H91" s="40"/>
      <c r="I91" s="40"/>
      <c r="J91" s="40"/>
      <c r="K91" s="57"/>
      <c r="L91" s="40"/>
      <c r="M91" s="25"/>
      <c r="N91" s="127"/>
      <c r="O91" s="25"/>
      <c r="P91" s="25"/>
      <c r="Q91" s="25"/>
      <c r="R91" s="25"/>
      <c r="S91" s="25"/>
      <c r="T91" s="34"/>
      <c r="U91" s="25"/>
      <c r="V91" s="53">
        <f>3897+4782-368-497+19</f>
        <v>7833</v>
      </c>
      <c r="W91" s="25"/>
      <c r="X91" s="5"/>
    </row>
    <row r="92" spans="1:24" ht="15.6" x14ac:dyDescent="0.3">
      <c r="A92" s="24"/>
      <c r="B92" s="25" t="s">
        <v>211</v>
      </c>
      <c r="C92" s="25"/>
      <c r="D92" s="25"/>
      <c r="E92" s="25"/>
      <c r="F92" s="25"/>
      <c r="G92" s="25"/>
      <c r="H92" s="40"/>
      <c r="I92" s="40"/>
      <c r="J92" s="40"/>
      <c r="K92" s="57"/>
      <c r="L92" s="40"/>
      <c r="M92" s="25"/>
      <c r="N92" s="127"/>
      <c r="O92" s="25"/>
      <c r="P92" s="25"/>
      <c r="Q92" s="25"/>
      <c r="R92" s="25"/>
      <c r="S92" s="25"/>
      <c r="T92" s="34"/>
      <c r="U92" s="25"/>
      <c r="V92" s="53">
        <f>99+83</f>
        <v>182</v>
      </c>
      <c r="W92" s="25"/>
      <c r="X92" s="5"/>
    </row>
    <row r="93" spans="1:24" ht="15.6" x14ac:dyDescent="0.3">
      <c r="A93" s="24"/>
      <c r="B93" s="25" t="s">
        <v>212</v>
      </c>
      <c r="C93" s="25"/>
      <c r="D93" s="25"/>
      <c r="E93" s="25"/>
      <c r="F93" s="25"/>
      <c r="G93" s="25"/>
      <c r="H93" s="40"/>
      <c r="I93" s="40"/>
      <c r="J93" s="40"/>
      <c r="K93" s="57"/>
      <c r="L93" s="40"/>
      <c r="M93" s="25"/>
      <c r="N93" s="127"/>
      <c r="O93" s="25"/>
      <c r="P93" s="25"/>
      <c r="Q93" s="25"/>
      <c r="R93" s="25"/>
      <c r="S93" s="25"/>
      <c r="T93" s="34"/>
      <c r="U93" s="25"/>
      <c r="V93" s="53">
        <v>44</v>
      </c>
      <c r="W93" s="25"/>
      <c r="X93" s="5"/>
    </row>
    <row r="94" spans="1:24" ht="15.6" x14ac:dyDescent="0.3">
      <c r="A94" s="24"/>
      <c r="B94" s="25" t="s">
        <v>272</v>
      </c>
      <c r="C94" s="25"/>
      <c r="D94" s="25"/>
      <c r="E94" s="25"/>
      <c r="F94" s="25"/>
      <c r="G94" s="25"/>
      <c r="H94" s="40"/>
      <c r="I94" s="40"/>
      <c r="J94" s="40"/>
      <c r="K94" s="57"/>
      <c r="L94" s="40"/>
      <c r="M94" s="25"/>
      <c r="N94" s="127"/>
      <c r="O94" s="25"/>
      <c r="P94" s="25"/>
      <c r="Q94" s="25"/>
      <c r="R94" s="25"/>
      <c r="S94" s="25"/>
      <c r="T94" s="34"/>
      <c r="U94" s="25"/>
      <c r="V94" s="53">
        <v>0</v>
      </c>
      <c r="W94" s="25"/>
      <c r="X94" s="5"/>
    </row>
    <row r="95" spans="1:24" ht="15.6" x14ac:dyDescent="0.3">
      <c r="A95" s="24"/>
      <c r="B95" s="25" t="s">
        <v>274</v>
      </c>
      <c r="C95" s="25"/>
      <c r="D95" s="25"/>
      <c r="E95" s="25"/>
      <c r="F95" s="25"/>
      <c r="G95" s="25"/>
      <c r="H95" s="40"/>
      <c r="I95" s="40"/>
      <c r="J95" s="40"/>
      <c r="K95" s="57"/>
      <c r="L95" s="40"/>
      <c r="M95" s="25"/>
      <c r="N95" s="127"/>
      <c r="O95" s="25"/>
      <c r="P95" s="25"/>
      <c r="Q95" s="25"/>
      <c r="R95" s="25"/>
      <c r="S95" s="25"/>
      <c r="T95" s="34"/>
      <c r="U95" s="25"/>
      <c r="V95" s="53">
        <v>0</v>
      </c>
      <c r="W95" s="25"/>
      <c r="X95" s="5"/>
    </row>
    <row r="96" spans="1:24" ht="15.6" x14ac:dyDescent="0.3">
      <c r="A96" s="24"/>
      <c r="B96" s="25" t="s">
        <v>135</v>
      </c>
      <c r="C96" s="25"/>
      <c r="D96" s="25"/>
      <c r="E96" s="25"/>
      <c r="F96" s="25"/>
      <c r="G96" s="25"/>
      <c r="H96" s="25"/>
      <c r="I96" s="25"/>
      <c r="J96" s="25"/>
      <c r="K96" s="25"/>
      <c r="L96" s="25"/>
      <c r="M96" s="25"/>
      <c r="N96" s="25"/>
      <c r="O96" s="25"/>
      <c r="P96" s="25"/>
      <c r="Q96" s="25"/>
      <c r="R96" s="25"/>
      <c r="S96" s="25"/>
      <c r="T96" s="34"/>
      <c r="U96" s="25"/>
      <c r="V96" s="53">
        <v>0</v>
      </c>
      <c r="W96" s="25"/>
      <c r="X96" s="5"/>
    </row>
    <row r="97" spans="1:25" ht="15.6" x14ac:dyDescent="0.3">
      <c r="A97" s="24"/>
      <c r="B97" s="25" t="s">
        <v>268</v>
      </c>
      <c r="C97" s="25"/>
      <c r="D97" s="25"/>
      <c r="E97" s="25"/>
      <c r="F97" s="25"/>
      <c r="G97" s="25"/>
      <c r="H97" s="25"/>
      <c r="I97" s="25"/>
      <c r="J97" s="25"/>
      <c r="K97" s="25"/>
      <c r="L97" s="25"/>
      <c r="M97" s="25"/>
      <c r="N97" s="25"/>
      <c r="O97" s="25"/>
      <c r="P97" s="25"/>
      <c r="Q97" s="25"/>
      <c r="R97" s="25"/>
      <c r="S97" s="25"/>
      <c r="T97" s="34"/>
      <c r="U97" s="25"/>
      <c r="V97" s="53">
        <v>0</v>
      </c>
      <c r="W97" s="25"/>
      <c r="X97" s="5"/>
    </row>
    <row r="98" spans="1:25" ht="15.6" x14ac:dyDescent="0.3">
      <c r="A98" s="24"/>
      <c r="B98" s="25" t="s">
        <v>30</v>
      </c>
      <c r="C98" s="25"/>
      <c r="D98" s="25"/>
      <c r="E98" s="25"/>
      <c r="F98" s="25"/>
      <c r="G98" s="25"/>
      <c r="H98" s="25"/>
      <c r="I98" s="25"/>
      <c r="J98" s="25"/>
      <c r="K98" s="25"/>
      <c r="L98" s="25"/>
      <c r="M98" s="25"/>
      <c r="N98" s="25"/>
      <c r="O98" s="25"/>
      <c r="P98" s="25"/>
      <c r="Q98" s="25"/>
      <c r="R98" s="25"/>
      <c r="S98" s="25"/>
      <c r="T98" s="34">
        <f>SUM(T89:T97)</f>
        <v>8676</v>
      </c>
      <c r="U98" s="25"/>
      <c r="V98" s="54">
        <f>SUM(V89:V97)</f>
        <v>8059</v>
      </c>
      <c r="W98" s="25"/>
      <c r="X98" s="5"/>
    </row>
    <row r="99" spans="1:25" ht="15.6" x14ac:dyDescent="0.3">
      <c r="A99" s="24"/>
      <c r="B99" s="25" t="s">
        <v>161</v>
      </c>
      <c r="C99" s="25"/>
      <c r="D99" s="25"/>
      <c r="E99" s="25"/>
      <c r="F99" s="25"/>
      <c r="G99" s="25"/>
      <c r="H99" s="25"/>
      <c r="I99" s="25"/>
      <c r="J99" s="25"/>
      <c r="K99" s="25"/>
      <c r="L99" s="25"/>
      <c r="M99" s="25"/>
      <c r="N99" s="25"/>
      <c r="O99" s="25"/>
      <c r="P99" s="25"/>
      <c r="Q99" s="25"/>
      <c r="R99" s="25"/>
      <c r="S99" s="25"/>
      <c r="T99" s="34">
        <f>-V99</f>
        <v>-42</v>
      </c>
      <c r="U99" s="25"/>
      <c r="V99" s="54">
        <v>42</v>
      </c>
      <c r="W99" s="25"/>
      <c r="X99" s="5"/>
    </row>
    <row r="100" spans="1:25" ht="15.6" x14ac:dyDescent="0.3">
      <c r="A100" s="24"/>
      <c r="B100" s="25" t="s">
        <v>31</v>
      </c>
      <c r="C100" s="25"/>
      <c r="D100" s="25"/>
      <c r="E100" s="25"/>
      <c r="F100" s="25"/>
      <c r="G100" s="25"/>
      <c r="H100" s="25"/>
      <c r="I100" s="25"/>
      <c r="J100" s="25"/>
      <c r="K100" s="25"/>
      <c r="L100" s="25"/>
      <c r="M100" s="25"/>
      <c r="N100" s="25"/>
      <c r="O100" s="25"/>
      <c r="P100" s="25"/>
      <c r="Q100" s="25"/>
      <c r="R100" s="25"/>
      <c r="S100" s="25"/>
      <c r="T100" s="34">
        <f>-V100</f>
        <v>0</v>
      </c>
      <c r="U100" s="25"/>
      <c r="V100" s="53">
        <v>0</v>
      </c>
      <c r="W100" s="25"/>
      <c r="X100" s="5"/>
    </row>
    <row r="101" spans="1:25" ht="15.6" x14ac:dyDescent="0.3">
      <c r="A101" s="24"/>
      <c r="B101" s="25" t="s">
        <v>283</v>
      </c>
      <c r="C101" s="25"/>
      <c r="D101" s="25"/>
      <c r="E101" s="25"/>
      <c r="F101" s="25"/>
      <c r="G101" s="25"/>
      <c r="H101" s="25"/>
      <c r="I101" s="25"/>
      <c r="J101" s="25"/>
      <c r="K101" s="25"/>
      <c r="L101" s="25"/>
      <c r="M101" s="25"/>
      <c r="N101" s="25"/>
      <c r="O101" s="25"/>
      <c r="P101" s="25"/>
      <c r="Q101" s="25"/>
      <c r="R101" s="25"/>
      <c r="S101" s="25"/>
      <c r="T101" s="34"/>
      <c r="U101" s="25"/>
      <c r="V101" s="53">
        <v>-69</v>
      </c>
      <c r="W101" s="25"/>
      <c r="X101" s="5"/>
    </row>
    <row r="102" spans="1:25" ht="15.6" x14ac:dyDescent="0.3">
      <c r="A102" s="24"/>
      <c r="B102" s="25" t="s">
        <v>32</v>
      </c>
      <c r="C102" s="25"/>
      <c r="D102" s="25"/>
      <c r="E102" s="25"/>
      <c r="F102" s="25"/>
      <c r="G102" s="25"/>
      <c r="H102" s="25"/>
      <c r="I102" s="25"/>
      <c r="J102" s="25"/>
      <c r="K102" s="25"/>
      <c r="L102" s="25"/>
      <c r="M102" s="25"/>
      <c r="N102" s="25"/>
      <c r="O102" s="25"/>
      <c r="P102" s="25"/>
      <c r="Q102" s="25"/>
      <c r="R102" s="25"/>
      <c r="S102" s="25"/>
      <c r="T102" s="34">
        <f>T98+T100+T99</f>
        <v>8634</v>
      </c>
      <c r="U102" s="25"/>
      <c r="V102" s="54">
        <f>V98+V100+V99+V101</f>
        <v>8032</v>
      </c>
      <c r="W102" s="25"/>
      <c r="X102" s="5"/>
    </row>
    <row r="103" spans="1:25" ht="15.6" x14ac:dyDescent="0.3">
      <c r="A103" s="24"/>
      <c r="B103" s="118" t="s">
        <v>33</v>
      </c>
      <c r="C103" s="25"/>
      <c r="D103" s="25"/>
      <c r="E103" s="25"/>
      <c r="F103" s="25"/>
      <c r="G103" s="25"/>
      <c r="H103" s="25"/>
      <c r="I103" s="25"/>
      <c r="J103" s="25"/>
      <c r="K103" s="25"/>
      <c r="L103" s="25"/>
      <c r="M103" s="25"/>
      <c r="N103" s="25"/>
      <c r="O103" s="25"/>
      <c r="P103" s="25"/>
      <c r="Q103" s="25"/>
      <c r="R103" s="25"/>
      <c r="S103" s="25"/>
      <c r="T103" s="34"/>
      <c r="U103" s="25"/>
      <c r="V103" s="53"/>
      <c r="W103" s="25"/>
      <c r="X103" s="5"/>
    </row>
    <row r="104" spans="1:25" ht="15.6" x14ac:dyDescent="0.3">
      <c r="A104" s="24">
        <v>1</v>
      </c>
      <c r="B104" s="25" t="s">
        <v>34</v>
      </c>
      <c r="C104" s="25"/>
      <c r="D104" s="25"/>
      <c r="E104" s="25"/>
      <c r="F104" s="25"/>
      <c r="G104" s="25"/>
      <c r="H104" s="25"/>
      <c r="I104" s="25"/>
      <c r="J104" s="25"/>
      <c r="K104" s="25"/>
      <c r="L104" s="25"/>
      <c r="M104" s="25"/>
      <c r="N104" s="25"/>
      <c r="O104" s="25"/>
      <c r="P104" s="25"/>
      <c r="Q104" s="25"/>
      <c r="R104" s="25"/>
      <c r="S104" s="25"/>
      <c r="T104" s="25"/>
      <c r="U104" s="25"/>
      <c r="V104" s="53">
        <v>0</v>
      </c>
      <c r="W104" s="25"/>
      <c r="X104" s="5"/>
    </row>
    <row r="105" spans="1:25" ht="15.6" x14ac:dyDescent="0.3">
      <c r="A105" s="24">
        <f>+A104+1</f>
        <v>2</v>
      </c>
      <c r="B105" s="25" t="s">
        <v>225</v>
      </c>
      <c r="C105" s="25"/>
      <c r="D105" s="25"/>
      <c r="E105" s="25"/>
      <c r="F105" s="25"/>
      <c r="G105" s="25"/>
      <c r="H105" s="25"/>
      <c r="I105" s="25"/>
      <c r="J105" s="25"/>
      <c r="K105" s="25"/>
      <c r="L105" s="25"/>
      <c r="M105" s="25"/>
      <c r="N105" s="25"/>
      <c r="O105" s="25"/>
      <c r="P105" s="25"/>
      <c r="Q105" s="25"/>
      <c r="R105" s="25"/>
      <c r="S105" s="25"/>
      <c r="T105" s="25"/>
      <c r="U105" s="25"/>
      <c r="V105" s="53">
        <v>-2</v>
      </c>
      <c r="W105" s="25"/>
      <c r="X105" s="5"/>
    </row>
    <row r="106" spans="1:25" ht="15.6" x14ac:dyDescent="0.3">
      <c r="A106" s="24">
        <f>+A105+1</f>
        <v>3</v>
      </c>
      <c r="B106" s="25" t="s">
        <v>204</v>
      </c>
      <c r="C106" s="25"/>
      <c r="D106" s="25"/>
      <c r="E106" s="25"/>
      <c r="F106" s="25"/>
      <c r="G106" s="25"/>
      <c r="H106" s="25"/>
      <c r="I106" s="25"/>
      <c r="J106" s="25"/>
      <c r="K106" s="25"/>
      <c r="L106" s="25"/>
      <c r="M106" s="25"/>
      <c r="N106" s="25"/>
      <c r="O106" s="25"/>
      <c r="P106" s="25"/>
      <c r="Q106" s="25"/>
      <c r="R106" s="25"/>
      <c r="S106" s="25"/>
      <c r="T106" s="25"/>
      <c r="U106" s="25"/>
      <c r="V106" s="53">
        <f>-148-109-14</f>
        <v>-271</v>
      </c>
      <c r="W106" s="25"/>
      <c r="X106" s="5"/>
    </row>
    <row r="107" spans="1:25" ht="15.6" x14ac:dyDescent="0.3">
      <c r="A107" s="24" t="s">
        <v>127</v>
      </c>
      <c r="B107" s="25" t="s">
        <v>116</v>
      </c>
      <c r="C107" s="25"/>
      <c r="D107" s="25"/>
      <c r="E107" s="25"/>
      <c r="F107" s="25"/>
      <c r="G107" s="25"/>
      <c r="H107" s="25"/>
      <c r="I107" s="25"/>
      <c r="J107" s="25"/>
      <c r="K107" s="25"/>
      <c r="L107" s="25"/>
      <c r="M107" s="25"/>
      <c r="N107" s="25"/>
      <c r="O107" s="25"/>
      <c r="P107" s="25"/>
      <c r="Q107" s="25"/>
      <c r="R107" s="25"/>
      <c r="S107" s="25"/>
      <c r="T107" s="25"/>
      <c r="U107" s="25"/>
      <c r="V107" s="53">
        <v>-1194</v>
      </c>
      <c r="W107" s="25"/>
      <c r="X107" s="5"/>
    </row>
    <row r="108" spans="1:25" ht="15.6" x14ac:dyDescent="0.3">
      <c r="A108" s="24" t="s">
        <v>128</v>
      </c>
      <c r="B108" s="25" t="s">
        <v>222</v>
      </c>
      <c r="C108" s="25"/>
      <c r="D108" s="25"/>
      <c r="E108" s="25"/>
      <c r="F108" s="25"/>
      <c r="G108" s="25"/>
      <c r="H108" s="25"/>
      <c r="I108" s="25"/>
      <c r="J108" s="25"/>
      <c r="K108" s="25"/>
      <c r="L108" s="25"/>
      <c r="M108" s="25"/>
      <c r="N108" s="25"/>
      <c r="O108" s="25"/>
      <c r="P108" s="25"/>
      <c r="Q108" s="25"/>
      <c r="R108" s="25"/>
      <c r="S108" s="25"/>
      <c r="T108" s="25"/>
      <c r="U108" s="25"/>
      <c r="V108" s="53">
        <f>-1760+166</f>
        <v>-1594</v>
      </c>
      <c r="W108" s="25"/>
      <c r="X108" s="5"/>
      <c r="Y108" s="109"/>
    </row>
    <row r="109" spans="1:25" ht="15.6" x14ac:dyDescent="0.3">
      <c r="A109" s="24" t="s">
        <v>150</v>
      </c>
      <c r="B109" s="25" t="s">
        <v>184</v>
      </c>
      <c r="C109" s="25"/>
      <c r="D109" s="25"/>
      <c r="E109" s="25"/>
      <c r="F109" s="25"/>
      <c r="G109" s="25"/>
      <c r="H109" s="25"/>
      <c r="I109" s="25"/>
      <c r="J109" s="25"/>
      <c r="K109" s="25"/>
      <c r="L109" s="25"/>
      <c r="M109" s="25"/>
      <c r="N109" s="25"/>
      <c r="O109" s="25"/>
      <c r="P109" s="25"/>
      <c r="Q109" s="25"/>
      <c r="R109" s="25"/>
      <c r="S109" s="25"/>
      <c r="T109" s="25"/>
      <c r="U109" s="25"/>
      <c r="V109" s="53">
        <v>-166</v>
      </c>
      <c r="W109" s="25"/>
      <c r="X109" s="5"/>
      <c r="Y109" s="109"/>
    </row>
    <row r="110" spans="1:25" ht="15.6" x14ac:dyDescent="0.3">
      <c r="A110" s="24" t="s">
        <v>236</v>
      </c>
      <c r="B110" s="25" t="s">
        <v>238</v>
      </c>
      <c r="C110" s="25"/>
      <c r="D110" s="25"/>
      <c r="E110" s="25"/>
      <c r="F110" s="25"/>
      <c r="G110" s="25"/>
      <c r="H110" s="25"/>
      <c r="I110" s="25"/>
      <c r="J110" s="25"/>
      <c r="K110" s="25"/>
      <c r="L110" s="25"/>
      <c r="M110" s="25"/>
      <c r="N110" s="25"/>
      <c r="O110" s="25"/>
      <c r="P110" s="25"/>
      <c r="Q110" s="25"/>
      <c r="R110" s="25"/>
      <c r="S110" s="25"/>
      <c r="T110" s="25"/>
      <c r="U110" s="25"/>
      <c r="V110" s="53">
        <v>-1</v>
      </c>
      <c r="W110" s="25"/>
      <c r="X110" s="5"/>
    </row>
    <row r="111" spans="1:25" ht="15.6" x14ac:dyDescent="0.3">
      <c r="A111" s="24" t="s">
        <v>205</v>
      </c>
      <c r="B111" s="25" t="s">
        <v>185</v>
      </c>
      <c r="C111" s="25"/>
      <c r="D111" s="25"/>
      <c r="E111" s="25"/>
      <c r="F111" s="25"/>
      <c r="G111" s="25"/>
      <c r="H111" s="25"/>
      <c r="I111" s="25"/>
      <c r="J111" s="25"/>
      <c r="K111" s="25"/>
      <c r="L111" s="25"/>
      <c r="M111" s="25"/>
      <c r="N111" s="25"/>
      <c r="O111" s="25"/>
      <c r="P111" s="25"/>
      <c r="Q111" s="25"/>
      <c r="R111" s="25"/>
      <c r="S111" s="25"/>
      <c r="T111" s="25"/>
      <c r="U111" s="25"/>
      <c r="V111" s="53">
        <v>-122</v>
      </c>
      <c r="W111" s="25"/>
      <c r="X111" s="5"/>
      <c r="Y111" s="109"/>
    </row>
    <row r="112" spans="1:25" ht="15.6" x14ac:dyDescent="0.3">
      <c r="A112" s="24" t="s">
        <v>206</v>
      </c>
      <c r="B112" s="25" t="s">
        <v>186</v>
      </c>
      <c r="C112" s="25"/>
      <c r="D112" s="25"/>
      <c r="E112" s="25"/>
      <c r="F112" s="25"/>
      <c r="G112" s="25"/>
      <c r="H112" s="25"/>
      <c r="I112" s="25"/>
      <c r="J112" s="25"/>
      <c r="K112" s="25"/>
      <c r="L112" s="25"/>
      <c r="M112" s="25"/>
      <c r="N112" s="25"/>
      <c r="O112" s="25"/>
      <c r="P112" s="25"/>
      <c r="Q112" s="25"/>
      <c r="R112" s="25"/>
      <c r="S112" s="25"/>
      <c r="T112" s="25"/>
      <c r="U112" s="25"/>
      <c r="V112" s="53">
        <v>-101</v>
      </c>
      <c r="W112" s="25"/>
      <c r="X112" s="179"/>
      <c r="Y112" s="109"/>
    </row>
    <row r="113" spans="1:25" ht="15.6" x14ac:dyDescent="0.3">
      <c r="A113" s="24" t="s">
        <v>207</v>
      </c>
      <c r="B113" s="25" t="s">
        <v>196</v>
      </c>
      <c r="C113" s="25"/>
      <c r="D113" s="25"/>
      <c r="E113" s="25"/>
      <c r="F113" s="25"/>
      <c r="G113" s="25"/>
      <c r="H113" s="25"/>
      <c r="I113" s="25"/>
      <c r="J113" s="25"/>
      <c r="K113" s="25"/>
      <c r="L113" s="25"/>
      <c r="M113" s="25"/>
      <c r="N113" s="25"/>
      <c r="O113" s="25"/>
      <c r="P113" s="25"/>
      <c r="Q113" s="25"/>
      <c r="R113" s="25"/>
      <c r="S113" s="25"/>
      <c r="T113" s="25"/>
      <c r="U113" s="25"/>
      <c r="V113" s="53">
        <v>-237</v>
      </c>
      <c r="W113" s="25"/>
      <c r="X113" s="5"/>
      <c r="Y113" s="109"/>
    </row>
    <row r="114" spans="1:25" ht="15.6" x14ac:dyDescent="0.3">
      <c r="A114" s="24" t="s">
        <v>224</v>
      </c>
      <c r="B114" s="25" t="s">
        <v>223</v>
      </c>
      <c r="C114" s="25"/>
      <c r="D114" s="25"/>
      <c r="E114" s="25"/>
      <c r="F114" s="25"/>
      <c r="G114" s="25"/>
      <c r="H114" s="25"/>
      <c r="I114" s="25"/>
      <c r="J114" s="25"/>
      <c r="K114" s="25"/>
      <c r="L114" s="25"/>
      <c r="M114" s="25"/>
      <c r="N114" s="25"/>
      <c r="O114" s="25"/>
      <c r="P114" s="25"/>
      <c r="Q114" s="25"/>
      <c r="R114" s="25"/>
      <c r="S114" s="25"/>
      <c r="T114" s="25"/>
      <c r="U114" s="25"/>
      <c r="V114" s="53">
        <v>-49</v>
      </c>
      <c r="W114" s="25"/>
      <c r="X114" s="5"/>
      <c r="Y114" s="109"/>
    </row>
    <row r="115" spans="1:25" ht="15.6" x14ac:dyDescent="0.3">
      <c r="A115" s="24">
        <v>7</v>
      </c>
      <c r="B115" s="25" t="s">
        <v>35</v>
      </c>
      <c r="C115" s="25"/>
      <c r="D115" s="25"/>
      <c r="E115" s="25"/>
      <c r="F115" s="25"/>
      <c r="G115" s="25"/>
      <c r="H115" s="25"/>
      <c r="I115" s="25"/>
      <c r="J115" s="25"/>
      <c r="K115" s="25"/>
      <c r="L115" s="25"/>
      <c r="M115" s="25"/>
      <c r="N115" s="25"/>
      <c r="O115" s="25"/>
      <c r="P115" s="25"/>
      <c r="Q115" s="25"/>
      <c r="R115" s="25"/>
      <c r="S115" s="25"/>
      <c r="T115" s="25"/>
      <c r="U115" s="25"/>
      <c r="V115" s="53">
        <v>-12</v>
      </c>
      <c r="W115" s="25"/>
      <c r="X115" s="5"/>
    </row>
    <row r="116" spans="1:25" ht="15.6" x14ac:dyDescent="0.3">
      <c r="A116" s="24">
        <f t="shared" ref="A116:A122" si="0">+A115+1</f>
        <v>8</v>
      </c>
      <c r="B116" s="25" t="s">
        <v>45</v>
      </c>
      <c r="C116" s="25"/>
      <c r="D116" s="25"/>
      <c r="E116" s="25"/>
      <c r="F116" s="25"/>
      <c r="G116" s="25"/>
      <c r="H116" s="25"/>
      <c r="I116" s="25"/>
      <c r="J116" s="25"/>
      <c r="K116" s="25"/>
      <c r="L116" s="25"/>
      <c r="M116" s="25"/>
      <c r="N116" s="25"/>
      <c r="O116" s="25"/>
      <c r="P116" s="25"/>
      <c r="Q116" s="25"/>
      <c r="R116" s="25"/>
      <c r="S116" s="25"/>
      <c r="T116" s="34">
        <f>-V116</f>
        <v>259</v>
      </c>
      <c r="U116" s="25"/>
      <c r="V116" s="53">
        <v>-259</v>
      </c>
      <c r="W116" s="25"/>
      <c r="X116" s="5"/>
    </row>
    <row r="117" spans="1:25" ht="15.6" x14ac:dyDescent="0.3">
      <c r="A117" s="24">
        <f t="shared" si="0"/>
        <v>9</v>
      </c>
      <c r="B117" s="25" t="s">
        <v>125</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5" ht="15.6" x14ac:dyDescent="0.3">
      <c r="A118" s="24">
        <f t="shared" si="0"/>
        <v>10</v>
      </c>
      <c r="B118" s="25" t="s">
        <v>240</v>
      </c>
      <c r="C118" s="25"/>
      <c r="D118" s="25"/>
      <c r="E118" s="25"/>
      <c r="F118" s="25"/>
      <c r="G118" s="25"/>
      <c r="H118" s="25"/>
      <c r="I118" s="25"/>
      <c r="J118" s="25"/>
      <c r="K118" s="25"/>
      <c r="L118" s="25"/>
      <c r="M118" s="25"/>
      <c r="N118" s="25"/>
      <c r="O118" s="25"/>
      <c r="P118" s="25"/>
      <c r="Q118" s="25"/>
      <c r="R118" s="25"/>
      <c r="S118" s="25"/>
      <c r="T118" s="25"/>
      <c r="U118" s="25"/>
      <c r="V118" s="53">
        <v>0</v>
      </c>
      <c r="W118" s="25"/>
      <c r="X118" s="5"/>
    </row>
    <row r="119" spans="1:25" ht="15.6" x14ac:dyDescent="0.3">
      <c r="A119" s="24">
        <f t="shared" si="0"/>
        <v>11</v>
      </c>
      <c r="B119" s="25" t="s">
        <v>36</v>
      </c>
      <c r="C119" s="25"/>
      <c r="D119" s="25"/>
      <c r="E119" s="25"/>
      <c r="F119" s="25"/>
      <c r="G119" s="25"/>
      <c r="H119" s="25"/>
      <c r="I119" s="25"/>
      <c r="J119" s="25"/>
      <c r="K119" s="25"/>
      <c r="L119" s="25"/>
      <c r="M119" s="25"/>
      <c r="N119" s="25"/>
      <c r="O119" s="25"/>
      <c r="P119" s="25"/>
      <c r="Q119" s="25"/>
      <c r="R119" s="25"/>
      <c r="S119" s="25"/>
      <c r="T119" s="25"/>
      <c r="U119" s="25"/>
      <c r="V119" s="53">
        <v>0</v>
      </c>
      <c r="W119" s="25"/>
      <c r="X119" s="5"/>
    </row>
    <row r="120" spans="1:25" ht="15.6" x14ac:dyDescent="0.3">
      <c r="A120" s="24">
        <f t="shared" si="0"/>
        <v>12</v>
      </c>
      <c r="B120" s="25" t="s">
        <v>239</v>
      </c>
      <c r="C120" s="25"/>
      <c r="D120" s="25"/>
      <c r="E120" s="25"/>
      <c r="F120" s="25"/>
      <c r="G120" s="25"/>
      <c r="H120" s="25"/>
      <c r="I120" s="25"/>
      <c r="J120" s="25"/>
      <c r="K120" s="25"/>
      <c r="L120" s="25"/>
      <c r="M120" s="25"/>
      <c r="N120" s="25"/>
      <c r="O120" s="25"/>
      <c r="P120" s="25"/>
      <c r="Q120" s="25"/>
      <c r="R120" s="25"/>
      <c r="S120" s="25"/>
      <c r="T120" s="25"/>
      <c r="U120" s="25"/>
      <c r="V120" s="53">
        <v>0</v>
      </c>
      <c r="W120" s="25"/>
      <c r="X120" s="5"/>
    </row>
    <row r="121" spans="1:25" ht="15.6" x14ac:dyDescent="0.3">
      <c r="A121" s="24">
        <f t="shared" si="0"/>
        <v>13</v>
      </c>
      <c r="B121" s="25" t="s">
        <v>149</v>
      </c>
      <c r="C121" s="25"/>
      <c r="D121" s="25"/>
      <c r="E121" s="25"/>
      <c r="F121" s="25"/>
      <c r="G121" s="25"/>
      <c r="H121" s="25"/>
      <c r="I121" s="25"/>
      <c r="J121" s="25"/>
      <c r="K121" s="25"/>
      <c r="L121" s="25"/>
      <c r="M121" s="25"/>
      <c r="N121" s="25"/>
      <c r="O121" s="25"/>
      <c r="P121" s="25"/>
      <c r="Q121" s="25"/>
      <c r="R121" s="25"/>
      <c r="S121" s="25"/>
      <c r="T121" s="25"/>
      <c r="U121" s="25"/>
      <c r="V121" s="53">
        <v>-740</v>
      </c>
      <c r="W121" s="25"/>
      <c r="X121" s="5"/>
    </row>
    <row r="122" spans="1:25" ht="15.6" x14ac:dyDescent="0.3">
      <c r="A122" s="24">
        <f t="shared" si="0"/>
        <v>14</v>
      </c>
      <c r="B122" s="25" t="s">
        <v>126</v>
      </c>
      <c r="C122" s="25"/>
      <c r="D122" s="25"/>
      <c r="E122" s="25"/>
      <c r="F122" s="25"/>
      <c r="G122" s="25"/>
      <c r="H122" s="25"/>
      <c r="I122" s="25"/>
      <c r="J122" s="25"/>
      <c r="K122" s="25"/>
      <c r="L122" s="25"/>
      <c r="M122" s="25"/>
      <c r="N122" s="25"/>
      <c r="O122" s="25"/>
      <c r="P122" s="25"/>
      <c r="Q122" s="25"/>
      <c r="R122" s="25"/>
      <c r="S122" s="25"/>
      <c r="T122" s="25"/>
      <c r="U122" s="25"/>
      <c r="V122" s="53">
        <f>-V102-SUM(V104:V121)</f>
        <v>-3284</v>
      </c>
      <c r="W122" s="25"/>
      <c r="X122" s="5"/>
    </row>
    <row r="123" spans="1:25" ht="15.6" x14ac:dyDescent="0.3">
      <c r="A123" s="24"/>
      <c r="B123" s="118" t="s">
        <v>37</v>
      </c>
      <c r="C123" s="25"/>
      <c r="D123" s="25"/>
      <c r="E123" s="25"/>
      <c r="F123" s="25"/>
      <c r="G123" s="25"/>
      <c r="H123" s="25"/>
      <c r="I123" s="25"/>
      <c r="J123" s="25"/>
      <c r="K123" s="25"/>
      <c r="L123" s="25"/>
      <c r="M123" s="25"/>
      <c r="N123" s="25"/>
      <c r="O123" s="25"/>
      <c r="P123" s="25"/>
      <c r="Q123" s="25"/>
      <c r="R123" s="25"/>
      <c r="S123" s="25"/>
      <c r="T123" s="25"/>
      <c r="U123" s="25"/>
      <c r="V123" s="59"/>
      <c r="W123" s="25"/>
      <c r="X123" s="5"/>
    </row>
    <row r="124" spans="1:25" ht="15.6" x14ac:dyDescent="0.3">
      <c r="A124" s="24"/>
      <c r="B124" s="25" t="s">
        <v>173</v>
      </c>
      <c r="C124" s="25"/>
      <c r="D124" s="25"/>
      <c r="E124" s="25"/>
      <c r="F124" s="25"/>
      <c r="G124" s="25"/>
      <c r="H124" s="25"/>
      <c r="I124" s="25"/>
      <c r="J124" s="25"/>
      <c r="K124" s="25"/>
      <c r="L124" s="25"/>
      <c r="M124" s="25"/>
      <c r="N124" s="25"/>
      <c r="O124" s="25"/>
      <c r="P124" s="25"/>
      <c r="Q124" s="25"/>
      <c r="R124" s="25"/>
      <c r="S124" s="25"/>
      <c r="T124" s="34">
        <f>-T190</f>
        <v>-3</v>
      </c>
      <c r="U124" s="34"/>
      <c r="V124" s="53"/>
      <c r="W124" s="25"/>
      <c r="X124" s="5"/>
    </row>
    <row r="125" spans="1:25" ht="15.6" x14ac:dyDescent="0.3">
      <c r="A125" s="24"/>
      <c r="B125" s="25" t="s">
        <v>174</v>
      </c>
      <c r="C125" s="25"/>
      <c r="D125" s="25"/>
      <c r="E125" s="25"/>
      <c r="F125" s="25"/>
      <c r="G125" s="25"/>
      <c r="H125" s="25"/>
      <c r="I125" s="25"/>
      <c r="J125" s="25"/>
      <c r="K125" s="25"/>
      <c r="L125" s="25"/>
      <c r="M125" s="25"/>
      <c r="N125" s="25"/>
      <c r="O125" s="25"/>
      <c r="P125" s="25"/>
      <c r="Q125" s="25"/>
      <c r="R125" s="25"/>
      <c r="S125" s="25"/>
      <c r="T125" s="34">
        <v>-29</v>
      </c>
      <c r="U125" s="34"/>
      <c r="V125" s="53"/>
      <c r="W125" s="25"/>
      <c r="X125" s="5"/>
    </row>
    <row r="126" spans="1:25" ht="15.6" x14ac:dyDescent="0.3">
      <c r="A126" s="24"/>
      <c r="B126" s="25" t="s">
        <v>38</v>
      </c>
      <c r="C126" s="25"/>
      <c r="D126" s="25"/>
      <c r="E126" s="25"/>
      <c r="F126" s="25"/>
      <c r="G126" s="25"/>
      <c r="H126" s="25"/>
      <c r="I126" s="25"/>
      <c r="J126" s="25"/>
      <c r="K126" s="25"/>
      <c r="L126" s="25"/>
      <c r="M126" s="25"/>
      <c r="N126" s="25"/>
      <c r="O126" s="25"/>
      <c r="P126" s="25"/>
      <c r="Q126" s="25"/>
      <c r="R126" s="25"/>
      <c r="S126" s="25"/>
      <c r="T126" s="34">
        <f>-S190</f>
        <v>-143</v>
      </c>
      <c r="U126" s="34"/>
      <c r="V126" s="53"/>
      <c r="W126" s="25"/>
      <c r="X126" s="5"/>
    </row>
    <row r="127" spans="1:25" ht="15.6" x14ac:dyDescent="0.3">
      <c r="A127" s="24"/>
      <c r="B127" s="25" t="s">
        <v>197</v>
      </c>
      <c r="C127" s="25"/>
      <c r="D127" s="25"/>
      <c r="E127" s="25"/>
      <c r="F127" s="25"/>
      <c r="G127" s="25"/>
      <c r="H127" s="25"/>
      <c r="I127" s="25"/>
      <c r="J127" s="25"/>
      <c r="K127" s="25"/>
      <c r="L127" s="25"/>
      <c r="M127" s="25"/>
      <c r="N127" s="25"/>
      <c r="O127" s="25"/>
      <c r="P127" s="25"/>
      <c r="Q127" s="25"/>
      <c r="R127" s="25"/>
      <c r="S127" s="25"/>
      <c r="T127" s="34">
        <v>-5300</v>
      </c>
      <c r="U127" s="34"/>
      <c r="V127" s="53"/>
      <c r="W127" s="25"/>
      <c r="X127" s="5"/>
    </row>
    <row r="128" spans="1:25" ht="15.6" x14ac:dyDescent="0.3">
      <c r="A128" s="24"/>
      <c r="B128" s="25" t="s">
        <v>195</v>
      </c>
      <c r="C128" s="25"/>
      <c r="D128" s="25"/>
      <c r="E128" s="25"/>
      <c r="F128" s="25"/>
      <c r="G128" s="25"/>
      <c r="H128" s="25"/>
      <c r="I128" s="25"/>
      <c r="J128" s="25"/>
      <c r="K128" s="25"/>
      <c r="L128" s="25"/>
      <c r="M128" s="25"/>
      <c r="N128" s="25"/>
      <c r="O128" s="25"/>
      <c r="P128" s="25"/>
      <c r="Q128" s="25"/>
      <c r="R128" s="25"/>
      <c r="S128" s="25"/>
      <c r="T128" s="34">
        <v>-855</v>
      </c>
      <c r="U128" s="34"/>
      <c r="V128" s="53"/>
      <c r="W128" s="25"/>
      <c r="X128" s="5"/>
    </row>
    <row r="129" spans="1:24" ht="15.6" x14ac:dyDescent="0.3">
      <c r="A129" s="24"/>
      <c r="B129" s="25" t="s">
        <v>194</v>
      </c>
      <c r="C129" s="25"/>
      <c r="D129" s="25"/>
      <c r="E129" s="25"/>
      <c r="F129" s="25"/>
      <c r="G129" s="25"/>
      <c r="H129" s="25"/>
      <c r="I129" s="25"/>
      <c r="J129" s="25"/>
      <c r="K129" s="25"/>
      <c r="L129" s="25"/>
      <c r="M129" s="25"/>
      <c r="N129" s="25"/>
      <c r="O129" s="25"/>
      <c r="P129" s="25"/>
      <c r="Q129" s="25"/>
      <c r="R129" s="25"/>
      <c r="S129" s="25"/>
      <c r="T129" s="34">
        <v>-1150</v>
      </c>
      <c r="U129" s="34"/>
      <c r="V129" s="53"/>
      <c r="W129" s="25"/>
      <c r="X129" s="5"/>
    </row>
    <row r="130" spans="1:24" ht="15.6" x14ac:dyDescent="0.3">
      <c r="A130" s="24"/>
      <c r="B130" s="25" t="s">
        <v>226</v>
      </c>
      <c r="C130" s="25"/>
      <c r="D130" s="25"/>
      <c r="E130" s="25"/>
      <c r="F130" s="25"/>
      <c r="G130" s="25"/>
      <c r="H130" s="25"/>
      <c r="I130" s="25"/>
      <c r="J130" s="25"/>
      <c r="K130" s="25"/>
      <c r="L130" s="25"/>
      <c r="M130" s="25"/>
      <c r="N130" s="25"/>
      <c r="O130" s="25"/>
      <c r="P130" s="25"/>
      <c r="Q130" s="25"/>
      <c r="R130" s="25"/>
      <c r="S130" s="25"/>
      <c r="T130" s="34">
        <v>-1413</v>
      </c>
      <c r="U130" s="34"/>
      <c r="V130" s="53"/>
      <c r="W130" s="25"/>
      <c r="X130" s="5"/>
    </row>
    <row r="131" spans="1:24" ht="15.6" x14ac:dyDescent="0.3">
      <c r="A131" s="24"/>
      <c r="B131" s="25" t="s">
        <v>189</v>
      </c>
      <c r="C131" s="25"/>
      <c r="D131" s="25"/>
      <c r="E131" s="25"/>
      <c r="F131" s="25"/>
      <c r="G131" s="25"/>
      <c r="H131" s="25"/>
      <c r="I131" s="25"/>
      <c r="J131" s="25"/>
      <c r="K131" s="25"/>
      <c r="L131" s="25"/>
      <c r="M131" s="25"/>
      <c r="N131" s="25"/>
      <c r="O131" s="25"/>
      <c r="P131" s="25"/>
      <c r="Q131" s="25"/>
      <c r="R131" s="25"/>
      <c r="S131" s="25"/>
      <c r="T131" s="34">
        <v>0</v>
      </c>
      <c r="U131" s="34"/>
      <c r="V131" s="53"/>
      <c r="W131" s="25"/>
      <c r="X131" s="5"/>
    </row>
    <row r="132" spans="1:24" ht="15.6" x14ac:dyDescent="0.3">
      <c r="A132" s="24"/>
      <c r="B132" s="25" t="s">
        <v>188</v>
      </c>
      <c r="C132" s="25"/>
      <c r="D132" s="25"/>
      <c r="E132" s="25"/>
      <c r="F132" s="25"/>
      <c r="G132" s="25"/>
      <c r="H132" s="25"/>
      <c r="I132" s="25"/>
      <c r="J132" s="25"/>
      <c r="K132" s="25"/>
      <c r="L132" s="25"/>
      <c r="M132" s="25"/>
      <c r="N132" s="25"/>
      <c r="O132" s="25"/>
      <c r="P132" s="25"/>
      <c r="Q132" s="25"/>
      <c r="R132" s="25"/>
      <c r="S132" s="25"/>
      <c r="T132" s="34">
        <v>0</v>
      </c>
      <c r="U132" s="34"/>
      <c r="V132" s="53"/>
      <c r="W132" s="25"/>
      <c r="X132" s="5"/>
    </row>
    <row r="133" spans="1:24" ht="15.6" x14ac:dyDescent="0.3">
      <c r="A133" s="24"/>
      <c r="B133" s="25" t="s">
        <v>227</v>
      </c>
      <c r="C133" s="25"/>
      <c r="D133" s="25"/>
      <c r="E133" s="25"/>
      <c r="F133" s="25"/>
      <c r="G133" s="25"/>
      <c r="H133" s="25"/>
      <c r="I133" s="25"/>
      <c r="J133" s="25"/>
      <c r="K133" s="25"/>
      <c r="L133" s="25"/>
      <c r="M133" s="25"/>
      <c r="N133" s="25"/>
      <c r="O133" s="25"/>
      <c r="P133" s="25"/>
      <c r="Q133" s="25"/>
      <c r="R133" s="25"/>
      <c r="S133" s="25"/>
      <c r="T133" s="34">
        <v>0</v>
      </c>
      <c r="U133" s="34"/>
      <c r="V133" s="53"/>
      <c r="W133" s="25"/>
      <c r="X133" s="5"/>
    </row>
    <row r="134" spans="1:24" ht="15.6" x14ac:dyDescent="0.3">
      <c r="A134" s="24"/>
      <c r="B134" s="25" t="s">
        <v>187</v>
      </c>
      <c r="C134" s="25"/>
      <c r="D134" s="25"/>
      <c r="E134" s="25"/>
      <c r="F134" s="25"/>
      <c r="G134" s="25"/>
      <c r="H134" s="25"/>
      <c r="I134" s="25"/>
      <c r="J134" s="25"/>
      <c r="K134" s="25"/>
      <c r="L134" s="25"/>
      <c r="M134" s="25"/>
      <c r="N134" s="25"/>
      <c r="O134" s="25"/>
      <c r="P134" s="25"/>
      <c r="Q134" s="25"/>
      <c r="R134" s="25"/>
      <c r="S134" s="25"/>
      <c r="T134" s="34">
        <v>0</v>
      </c>
      <c r="U134" s="34"/>
      <c r="V134" s="53"/>
      <c r="W134" s="25"/>
      <c r="X134" s="5"/>
    </row>
    <row r="135" spans="1:24" ht="15.6" x14ac:dyDescent="0.3">
      <c r="A135" s="24"/>
      <c r="B135" s="25" t="s">
        <v>39</v>
      </c>
      <c r="C135" s="25"/>
      <c r="D135" s="25"/>
      <c r="E135" s="25"/>
      <c r="F135" s="25"/>
      <c r="G135" s="25"/>
      <c r="H135" s="25"/>
      <c r="I135" s="25"/>
      <c r="J135" s="25"/>
      <c r="K135" s="25"/>
      <c r="L135" s="25"/>
      <c r="M135" s="25"/>
      <c r="N135" s="25"/>
      <c r="O135" s="25"/>
      <c r="P135" s="25"/>
      <c r="Q135" s="25"/>
      <c r="R135" s="25"/>
      <c r="S135" s="25"/>
      <c r="T135" s="34">
        <f>SUM(T124:T134)</f>
        <v>-8893</v>
      </c>
      <c r="U135" s="34"/>
      <c r="V135" s="34">
        <f>SUM(V103:V132)</f>
        <v>-8032</v>
      </c>
      <c r="W135" s="25"/>
      <c r="X135" s="5"/>
    </row>
    <row r="136" spans="1:24" ht="15.6" x14ac:dyDescent="0.3">
      <c r="A136" s="24"/>
      <c r="B136" s="25" t="s">
        <v>40</v>
      </c>
      <c r="C136" s="25"/>
      <c r="D136" s="25"/>
      <c r="E136" s="25"/>
      <c r="F136" s="25"/>
      <c r="G136" s="25"/>
      <c r="H136" s="25"/>
      <c r="I136" s="25"/>
      <c r="J136" s="25"/>
      <c r="K136" s="25"/>
      <c r="L136" s="25"/>
      <c r="M136" s="25"/>
      <c r="N136" s="25"/>
      <c r="O136" s="25"/>
      <c r="P136" s="25"/>
      <c r="Q136" s="25"/>
      <c r="R136" s="25"/>
      <c r="S136" s="25"/>
      <c r="T136" s="34">
        <f>T102+T135+T116</f>
        <v>0</v>
      </c>
      <c r="U136" s="34"/>
      <c r="V136" s="34">
        <f>V102+V135</f>
        <v>0</v>
      </c>
      <c r="W136" s="25"/>
      <c r="X136" s="5"/>
    </row>
    <row r="137" spans="1:24" ht="15.6" x14ac:dyDescent="0.3">
      <c r="A137" s="24"/>
      <c r="B137" s="25"/>
      <c r="C137" s="25"/>
      <c r="D137" s="25"/>
      <c r="E137" s="25"/>
      <c r="F137" s="25"/>
      <c r="G137" s="25"/>
      <c r="H137" s="25"/>
      <c r="I137" s="25"/>
      <c r="J137" s="25"/>
      <c r="K137" s="25"/>
      <c r="L137" s="25"/>
      <c r="M137" s="25"/>
      <c r="N137" s="25"/>
      <c r="O137" s="25"/>
      <c r="P137" s="25"/>
      <c r="Q137" s="25"/>
      <c r="R137" s="25"/>
      <c r="S137" s="25"/>
      <c r="T137" s="34"/>
      <c r="U137" s="34"/>
      <c r="V137" s="34"/>
      <c r="W137" s="25"/>
      <c r="X137" s="5"/>
    </row>
    <row r="138" spans="1:24" ht="15.6" x14ac:dyDescent="0.3">
      <c r="A138" s="6"/>
      <c r="B138" s="8"/>
      <c r="C138" s="8"/>
      <c r="D138" s="8"/>
      <c r="E138" s="8"/>
      <c r="F138" s="8"/>
      <c r="G138" s="8"/>
      <c r="H138" s="8"/>
      <c r="I138" s="8"/>
      <c r="J138" s="8"/>
      <c r="K138" s="8"/>
      <c r="L138" s="8"/>
      <c r="M138" s="8"/>
      <c r="N138" s="8"/>
      <c r="O138" s="8"/>
      <c r="P138" s="8"/>
      <c r="Q138" s="8"/>
      <c r="R138" s="8"/>
      <c r="S138" s="8"/>
      <c r="T138" s="8"/>
      <c r="U138" s="8"/>
      <c r="V138" s="52"/>
      <c r="W138" s="8"/>
      <c r="X138" s="5"/>
    </row>
    <row r="139" spans="1:24" ht="18" thickBot="1" x14ac:dyDescent="0.35">
      <c r="A139" s="101"/>
      <c r="B139" s="102" t="str">
        <f>B64</f>
        <v>PM14 INVESTOR REPORT QUARTER ENDING FEBRUARY 2010</v>
      </c>
      <c r="C139" s="103"/>
      <c r="D139" s="103"/>
      <c r="E139" s="103"/>
      <c r="F139" s="103"/>
      <c r="G139" s="103"/>
      <c r="H139" s="103"/>
      <c r="I139" s="103"/>
      <c r="J139" s="103"/>
      <c r="K139" s="103"/>
      <c r="L139" s="103"/>
      <c r="M139" s="103"/>
      <c r="N139" s="103"/>
      <c r="O139" s="103"/>
      <c r="P139" s="103"/>
      <c r="Q139" s="103"/>
      <c r="R139" s="103"/>
      <c r="S139" s="103"/>
      <c r="T139" s="103"/>
      <c r="U139" s="103"/>
      <c r="V139" s="106"/>
      <c r="W139" s="105"/>
      <c r="X139" s="5"/>
    </row>
    <row r="140" spans="1:24" ht="15.6" x14ac:dyDescent="0.3">
      <c r="A140" s="2"/>
      <c r="B140" s="60" t="s">
        <v>41</v>
      </c>
      <c r="C140" s="4"/>
      <c r="D140" s="4"/>
      <c r="E140" s="4"/>
      <c r="F140" s="4"/>
      <c r="G140" s="4"/>
      <c r="H140" s="4"/>
      <c r="I140" s="4"/>
      <c r="J140" s="4"/>
      <c r="K140" s="4"/>
      <c r="L140" s="4"/>
      <c r="M140" s="4"/>
      <c r="N140" s="4"/>
      <c r="O140" s="4"/>
      <c r="P140" s="4"/>
      <c r="Q140" s="4"/>
      <c r="R140" s="4"/>
      <c r="S140" s="4"/>
      <c r="T140" s="4"/>
      <c r="U140" s="4"/>
      <c r="V140" s="50"/>
      <c r="W140" s="4"/>
      <c r="X140" s="5"/>
    </row>
    <row r="141" spans="1:24" ht="15.6" x14ac:dyDescent="0.3">
      <c r="A141" s="6"/>
      <c r="B141" s="21"/>
      <c r="C141" s="8"/>
      <c r="D141" s="8"/>
      <c r="E141" s="8"/>
      <c r="F141" s="8"/>
      <c r="G141" s="8"/>
      <c r="H141" s="8"/>
      <c r="I141" s="8"/>
      <c r="J141" s="8"/>
      <c r="K141" s="8"/>
      <c r="L141" s="8"/>
      <c r="M141" s="8"/>
      <c r="N141" s="8"/>
      <c r="O141" s="8"/>
      <c r="P141" s="8"/>
      <c r="Q141" s="8"/>
      <c r="R141" s="8"/>
      <c r="S141" s="8"/>
      <c r="T141" s="8"/>
      <c r="U141" s="8"/>
      <c r="V141" s="52"/>
      <c r="W141" s="8"/>
      <c r="X141" s="5"/>
    </row>
    <row r="142" spans="1:24" ht="15.6" x14ac:dyDescent="0.3">
      <c r="A142" s="6"/>
      <c r="B142" s="119" t="s">
        <v>42</v>
      </c>
      <c r="C142" s="8"/>
      <c r="D142" s="8"/>
      <c r="E142" s="8"/>
      <c r="F142" s="8"/>
      <c r="G142" s="8"/>
      <c r="H142" s="8"/>
      <c r="I142" s="8"/>
      <c r="J142" s="8"/>
      <c r="K142" s="8"/>
      <c r="L142" s="8"/>
      <c r="M142" s="8"/>
      <c r="N142" s="8"/>
      <c r="O142" s="8"/>
      <c r="P142" s="8"/>
      <c r="Q142" s="8"/>
      <c r="R142" s="8"/>
      <c r="S142" s="8"/>
      <c r="T142" s="8"/>
      <c r="U142" s="8"/>
      <c r="V142" s="52"/>
      <c r="W142" s="8"/>
      <c r="X142" s="5"/>
    </row>
    <row r="143" spans="1:24" ht="15.6" x14ac:dyDescent="0.3">
      <c r="A143" s="24"/>
      <c r="B143" s="25" t="s">
        <v>43</v>
      </c>
      <c r="C143" s="25"/>
      <c r="D143" s="25"/>
      <c r="E143" s="25"/>
      <c r="F143" s="25"/>
      <c r="G143" s="25"/>
      <c r="H143" s="25"/>
      <c r="I143" s="25"/>
      <c r="J143" s="25"/>
      <c r="K143" s="25"/>
      <c r="L143" s="25"/>
      <c r="M143" s="25"/>
      <c r="N143" s="25"/>
      <c r="O143" s="25"/>
      <c r="P143" s="25"/>
      <c r="Q143" s="25"/>
      <c r="R143" s="25"/>
      <c r="S143" s="25"/>
      <c r="T143" s="25"/>
      <c r="U143" s="25"/>
      <c r="V143" s="53">
        <f>+V34*0.019</f>
        <v>28505.224999999999</v>
      </c>
      <c r="W143" s="25"/>
      <c r="X143" s="5"/>
    </row>
    <row r="144" spans="1:24" ht="15.6" x14ac:dyDescent="0.3">
      <c r="A144" s="24"/>
      <c r="B144" s="25" t="s">
        <v>44</v>
      </c>
      <c r="C144" s="25"/>
      <c r="D144" s="25"/>
      <c r="E144" s="25"/>
      <c r="F144" s="25"/>
      <c r="G144" s="25"/>
      <c r="H144" s="25"/>
      <c r="I144" s="25"/>
      <c r="J144" s="25"/>
      <c r="K144" s="25"/>
      <c r="L144" s="25"/>
      <c r="M144" s="25"/>
      <c r="N144" s="25"/>
      <c r="O144" s="25"/>
      <c r="P144" s="25"/>
      <c r="Q144" s="25"/>
      <c r="R144" s="25"/>
      <c r="S144" s="25"/>
      <c r="T144" s="25"/>
      <c r="U144" s="25"/>
      <c r="V144" s="53">
        <v>28505</v>
      </c>
      <c r="W144" s="25"/>
      <c r="X144" s="5"/>
    </row>
    <row r="145" spans="1:25" ht="15.6" x14ac:dyDescent="0.3">
      <c r="A145" s="24"/>
      <c r="B145" s="25" t="s">
        <v>136</v>
      </c>
      <c r="C145" s="25"/>
      <c r="D145" s="25"/>
      <c r="E145" s="25"/>
      <c r="F145" s="25"/>
      <c r="G145" s="25"/>
      <c r="H145" s="25"/>
      <c r="I145" s="25"/>
      <c r="J145" s="25"/>
      <c r="K145" s="25"/>
      <c r="L145" s="25"/>
      <c r="M145" s="25"/>
      <c r="N145" s="25"/>
      <c r="O145" s="25"/>
      <c r="P145" s="25"/>
      <c r="Q145" s="25"/>
      <c r="R145" s="25"/>
      <c r="S145" s="25"/>
      <c r="T145" s="25"/>
      <c r="U145" s="25"/>
      <c r="V145" s="53"/>
      <c r="W145" s="25"/>
      <c r="X145" s="5"/>
    </row>
    <row r="146" spans="1:25" ht="15.6" x14ac:dyDescent="0.3">
      <c r="A146" s="24"/>
      <c r="B146" s="25" t="s">
        <v>123</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124</v>
      </c>
      <c r="C147" s="25"/>
      <c r="D147" s="25"/>
      <c r="E147" s="25"/>
      <c r="F147" s="25"/>
      <c r="G147" s="25"/>
      <c r="H147" s="25"/>
      <c r="I147" s="25"/>
      <c r="J147" s="25"/>
      <c r="K147" s="25"/>
      <c r="L147" s="25"/>
      <c r="M147" s="25"/>
      <c r="N147" s="25"/>
      <c r="O147" s="25"/>
      <c r="P147" s="25"/>
      <c r="Q147" s="25"/>
      <c r="R147" s="25"/>
      <c r="S147" s="25"/>
      <c r="T147" s="25"/>
      <c r="U147" s="25"/>
      <c r="V147" s="53">
        <v>0</v>
      </c>
      <c r="W147" s="25"/>
      <c r="X147" s="5"/>
    </row>
    <row r="148" spans="1:25" ht="15.6" x14ac:dyDescent="0.3">
      <c r="A148" s="24"/>
      <c r="B148" s="25" t="s">
        <v>175</v>
      </c>
      <c r="C148" s="25"/>
      <c r="D148" s="25"/>
      <c r="E148" s="25"/>
      <c r="F148" s="25"/>
      <c r="G148" s="25"/>
      <c r="H148" s="25"/>
      <c r="I148" s="25"/>
      <c r="J148" s="25"/>
      <c r="K148" s="25"/>
      <c r="L148" s="25"/>
      <c r="M148" s="25"/>
      <c r="N148" s="25"/>
      <c r="O148" s="25"/>
      <c r="P148" s="25"/>
      <c r="Q148" s="25"/>
      <c r="R148" s="25"/>
      <c r="S148" s="25"/>
      <c r="T148" s="25"/>
      <c r="U148" s="25"/>
      <c r="V148" s="53">
        <v>0</v>
      </c>
      <c r="W148" s="25"/>
      <c r="X148" s="5"/>
    </row>
    <row r="149" spans="1:25" ht="15.6" x14ac:dyDescent="0.3">
      <c r="A149" s="24"/>
      <c r="B149" s="25" t="s">
        <v>45</v>
      </c>
      <c r="C149" s="25"/>
      <c r="D149" s="25"/>
      <c r="E149" s="25"/>
      <c r="F149" s="25"/>
      <c r="G149" s="25"/>
      <c r="H149" s="25"/>
      <c r="I149" s="25"/>
      <c r="J149" s="25"/>
      <c r="K149" s="25"/>
      <c r="L149" s="25"/>
      <c r="M149" s="25"/>
      <c r="N149" s="25"/>
      <c r="O149" s="25"/>
      <c r="P149" s="25"/>
      <c r="Q149" s="25"/>
      <c r="R149" s="25"/>
      <c r="S149" s="25"/>
      <c r="T149" s="25"/>
      <c r="U149" s="25"/>
      <c r="V149" s="53">
        <v>0</v>
      </c>
      <c r="W149" s="25"/>
      <c r="X149" s="5"/>
    </row>
    <row r="150" spans="1:25" ht="15.6" x14ac:dyDescent="0.3">
      <c r="A150" s="24"/>
      <c r="B150" s="25" t="s">
        <v>129</v>
      </c>
      <c r="C150" s="25"/>
      <c r="D150" s="25"/>
      <c r="E150" s="25"/>
      <c r="F150" s="25"/>
      <c r="G150" s="25"/>
      <c r="H150" s="25"/>
      <c r="I150" s="25"/>
      <c r="J150" s="25"/>
      <c r="K150" s="25"/>
      <c r="L150" s="25"/>
      <c r="M150" s="25"/>
      <c r="N150" s="25"/>
      <c r="O150" s="25"/>
      <c r="P150" s="25"/>
      <c r="Q150" s="25"/>
      <c r="R150" s="25"/>
      <c r="S150" s="25"/>
      <c r="T150" s="25"/>
      <c r="U150" s="25"/>
      <c r="V150" s="53">
        <v>0</v>
      </c>
      <c r="W150" s="25"/>
      <c r="X150" s="5"/>
    </row>
    <row r="151" spans="1:25" ht="15.6" x14ac:dyDescent="0.3">
      <c r="A151" s="24"/>
      <c r="B151" s="25" t="s">
        <v>267</v>
      </c>
      <c r="C151" s="25"/>
      <c r="D151" s="25"/>
      <c r="E151" s="25"/>
      <c r="F151" s="25"/>
      <c r="G151" s="25"/>
      <c r="H151" s="25"/>
      <c r="I151" s="25"/>
      <c r="J151" s="25"/>
      <c r="K151" s="25"/>
      <c r="L151" s="25"/>
      <c r="M151" s="25"/>
      <c r="N151" s="25"/>
      <c r="O151" s="25"/>
      <c r="P151" s="25"/>
      <c r="Q151" s="25"/>
      <c r="R151" s="25"/>
      <c r="S151" s="25"/>
      <c r="T151" s="25"/>
      <c r="U151" s="25"/>
      <c r="V151" s="53">
        <v>0</v>
      </c>
      <c r="W151" s="25"/>
      <c r="X151" s="5"/>
      <c r="Y151" s="109"/>
    </row>
    <row r="152" spans="1:25" ht="15.6" x14ac:dyDescent="0.3">
      <c r="A152" s="24"/>
      <c r="B152" s="25" t="s">
        <v>46</v>
      </c>
      <c r="C152" s="25"/>
      <c r="D152" s="25"/>
      <c r="E152" s="25"/>
      <c r="F152" s="25"/>
      <c r="G152" s="25"/>
      <c r="H152" s="25"/>
      <c r="I152" s="25"/>
      <c r="J152" s="25"/>
      <c r="K152" s="25"/>
      <c r="L152" s="25"/>
      <c r="M152" s="25"/>
      <c r="N152" s="25"/>
      <c r="O152" s="25"/>
      <c r="P152" s="25"/>
      <c r="Q152" s="25"/>
      <c r="R152" s="25"/>
      <c r="S152" s="25"/>
      <c r="T152" s="25"/>
      <c r="U152" s="25"/>
      <c r="V152" s="53">
        <f>SUM(V144:V151)</f>
        <v>28505</v>
      </c>
      <c r="W152" s="25"/>
      <c r="X152" s="5"/>
    </row>
    <row r="153" spans="1:25" ht="15.6" x14ac:dyDescent="0.3">
      <c r="A153" s="24"/>
      <c r="B153" s="25"/>
      <c r="C153" s="25"/>
      <c r="D153" s="25"/>
      <c r="E153" s="25"/>
      <c r="F153" s="25"/>
      <c r="G153" s="25"/>
      <c r="H153" s="25"/>
      <c r="I153" s="25"/>
      <c r="J153" s="25"/>
      <c r="K153" s="25"/>
      <c r="L153" s="25"/>
      <c r="M153" s="25"/>
      <c r="N153" s="25"/>
      <c r="O153" s="25"/>
      <c r="P153" s="25"/>
      <c r="Q153" s="25"/>
      <c r="R153" s="25"/>
      <c r="S153" s="25"/>
      <c r="T153" s="25"/>
      <c r="U153" s="25"/>
      <c r="V153" s="53"/>
      <c r="W153" s="25"/>
      <c r="X153" s="5"/>
    </row>
    <row r="154" spans="1:25" ht="15.6" x14ac:dyDescent="0.3">
      <c r="A154" s="24"/>
      <c r="B154" s="136" t="s">
        <v>237</v>
      </c>
      <c r="C154" s="25"/>
      <c r="D154" s="25"/>
      <c r="E154" s="25"/>
      <c r="F154" s="25"/>
      <c r="G154" s="25"/>
      <c r="H154" s="25"/>
      <c r="I154" s="25"/>
      <c r="J154" s="25"/>
      <c r="K154" s="25"/>
      <c r="L154" s="25"/>
      <c r="M154" s="25"/>
      <c r="N154" s="25"/>
      <c r="O154" s="25"/>
      <c r="P154" s="25"/>
      <c r="Q154" s="25"/>
      <c r="R154" s="25"/>
      <c r="S154" s="25"/>
      <c r="T154" s="25"/>
      <c r="U154" s="25"/>
      <c r="V154" s="53"/>
      <c r="W154" s="25"/>
      <c r="X154" s="5"/>
    </row>
    <row r="155" spans="1:25" ht="15.6" x14ac:dyDescent="0.3">
      <c r="A155" s="24"/>
      <c r="B155" s="25" t="s">
        <v>155</v>
      </c>
      <c r="C155" s="25"/>
      <c r="D155" s="25"/>
      <c r="E155" s="25"/>
      <c r="F155" s="25"/>
      <c r="G155" s="25"/>
      <c r="H155" s="25"/>
      <c r="I155" s="25"/>
      <c r="J155" s="25"/>
      <c r="K155" s="25"/>
      <c r="L155" s="25"/>
      <c r="M155" s="25"/>
      <c r="N155" s="25"/>
      <c r="O155" s="25"/>
      <c r="P155" s="25"/>
      <c r="Q155" s="25"/>
      <c r="R155" s="25"/>
      <c r="S155" s="25"/>
      <c r="T155" s="25"/>
      <c r="U155" s="25"/>
      <c r="V155" s="53">
        <v>7500</v>
      </c>
      <c r="W155" s="25"/>
      <c r="X155" s="5"/>
    </row>
    <row r="156" spans="1:25" ht="15.6" x14ac:dyDescent="0.3">
      <c r="A156" s="24"/>
      <c r="B156" s="25" t="s">
        <v>172</v>
      </c>
      <c r="C156" s="25"/>
      <c r="D156" s="25"/>
      <c r="E156" s="25"/>
      <c r="F156" s="25"/>
      <c r="G156" s="25"/>
      <c r="H156" s="25"/>
      <c r="I156" s="25"/>
      <c r="J156" s="25"/>
      <c r="K156" s="25"/>
      <c r="L156" s="25"/>
      <c r="M156" s="25"/>
      <c r="N156" s="25"/>
      <c r="O156" s="25"/>
      <c r="P156" s="25"/>
      <c r="Q156" s="25"/>
      <c r="R156" s="25"/>
      <c r="S156" s="25"/>
      <c r="T156" s="25"/>
      <c r="U156" s="25"/>
      <c r="V156" s="53">
        <v>0</v>
      </c>
      <c r="W156" s="25"/>
      <c r="X156" s="5"/>
    </row>
    <row r="157" spans="1:25" ht="15.6" x14ac:dyDescent="0.3">
      <c r="A157" s="24"/>
      <c r="B157" s="25" t="s">
        <v>305</v>
      </c>
      <c r="C157" s="25"/>
      <c r="D157" s="25"/>
      <c r="E157" s="25"/>
      <c r="F157" s="25"/>
      <c r="G157" s="25"/>
      <c r="H157" s="25"/>
      <c r="I157" s="25"/>
      <c r="J157" s="25"/>
      <c r="K157" s="25"/>
      <c r="L157" s="25"/>
      <c r="M157" s="25"/>
      <c r="N157" s="25"/>
      <c r="O157" s="25"/>
      <c r="P157" s="25"/>
      <c r="Q157" s="25"/>
      <c r="R157" s="25"/>
      <c r="S157" s="25"/>
      <c r="T157" s="25"/>
      <c r="U157" s="25"/>
      <c r="V157" s="53">
        <v>2101</v>
      </c>
      <c r="W157" s="25"/>
      <c r="X157" s="5"/>
    </row>
    <row r="158" spans="1:25" ht="15.6" x14ac:dyDescent="0.3">
      <c r="A158" s="24"/>
      <c r="B158" s="25"/>
      <c r="C158" s="25"/>
      <c r="D158" s="25"/>
      <c r="E158" s="25"/>
      <c r="F158" s="25"/>
      <c r="G158" s="25"/>
      <c r="H158" s="25"/>
      <c r="I158" s="25"/>
      <c r="J158" s="25"/>
      <c r="K158" s="25"/>
      <c r="L158" s="25"/>
      <c r="M158" s="25"/>
      <c r="N158" s="25"/>
      <c r="O158" s="25"/>
      <c r="P158" s="25"/>
      <c r="Q158" s="25"/>
      <c r="R158" s="25"/>
      <c r="S158" s="25"/>
      <c r="T158" s="25"/>
      <c r="U158" s="25"/>
      <c r="V158" s="53"/>
      <c r="W158" s="25"/>
      <c r="X158" s="5"/>
    </row>
    <row r="159" spans="1:25" ht="15.6" x14ac:dyDescent="0.3">
      <c r="A159" s="24"/>
      <c r="B159" s="25"/>
      <c r="C159" s="25"/>
      <c r="D159" s="25"/>
      <c r="E159" s="25"/>
      <c r="F159" s="25"/>
      <c r="G159" s="25"/>
      <c r="H159" s="25"/>
      <c r="I159" s="25"/>
      <c r="J159" s="25"/>
      <c r="K159" s="25"/>
      <c r="L159" s="25"/>
      <c r="M159" s="25"/>
      <c r="N159" s="25"/>
      <c r="O159" s="25"/>
      <c r="P159" s="25"/>
      <c r="Q159" s="25"/>
      <c r="R159" s="25"/>
      <c r="S159" s="25"/>
      <c r="T159" s="25"/>
      <c r="U159" s="25"/>
      <c r="V159" s="61"/>
      <c r="W159" s="25"/>
      <c r="X159" s="5"/>
    </row>
    <row r="160" spans="1:25" ht="15.6" x14ac:dyDescent="0.3">
      <c r="A160" s="6"/>
      <c r="B160" s="119" t="s">
        <v>24</v>
      </c>
      <c r="C160" s="8"/>
      <c r="D160" s="8"/>
      <c r="E160" s="8"/>
      <c r="F160" s="8"/>
      <c r="G160" s="8"/>
      <c r="H160" s="8"/>
      <c r="I160" s="8"/>
      <c r="J160" s="8"/>
      <c r="K160" s="8"/>
      <c r="L160" s="8"/>
      <c r="M160" s="8"/>
      <c r="N160" s="8"/>
      <c r="O160" s="8"/>
      <c r="P160" s="8"/>
      <c r="Q160" s="8"/>
      <c r="R160" s="8"/>
      <c r="S160" s="8"/>
      <c r="T160" s="8"/>
      <c r="U160" s="8"/>
      <c r="V160" s="52"/>
      <c r="W160" s="8"/>
      <c r="X160" s="5"/>
    </row>
    <row r="161" spans="1:256" ht="15.6" x14ac:dyDescent="0.3">
      <c r="A161" s="24"/>
      <c r="B161" s="25" t="s">
        <v>47</v>
      </c>
      <c r="C161" s="25"/>
      <c r="D161" s="25"/>
      <c r="E161" s="25"/>
      <c r="F161" s="25"/>
      <c r="G161" s="25"/>
      <c r="H161" s="25"/>
      <c r="I161" s="25"/>
      <c r="J161" s="25"/>
      <c r="K161" s="25"/>
      <c r="L161" s="25"/>
      <c r="M161" s="25"/>
      <c r="N161" s="25"/>
      <c r="O161" s="25"/>
      <c r="P161" s="25"/>
      <c r="Q161" s="25"/>
      <c r="R161" s="25"/>
      <c r="S161" s="25"/>
      <c r="T161" s="25"/>
      <c r="U161" s="25"/>
      <c r="V161" s="59" t="s">
        <v>118</v>
      </c>
      <c r="W161" s="25"/>
      <c r="X161" s="5"/>
    </row>
    <row r="162" spans="1:256" ht="15.6" x14ac:dyDescent="0.3">
      <c r="A162" s="24"/>
      <c r="B162" s="25" t="s">
        <v>48</v>
      </c>
      <c r="C162" s="174"/>
      <c r="D162" s="174"/>
      <c r="E162" s="174"/>
      <c r="F162" s="174"/>
      <c r="G162" s="174"/>
      <c r="H162" s="174"/>
      <c r="I162" s="174"/>
      <c r="J162" s="174"/>
      <c r="K162" s="174"/>
      <c r="L162" s="174"/>
      <c r="M162" s="174"/>
      <c r="N162" s="174"/>
      <c r="O162" s="174"/>
      <c r="P162" s="174"/>
      <c r="Q162" s="174"/>
      <c r="R162" s="174"/>
      <c r="S162" s="174"/>
      <c r="T162" s="174"/>
      <c r="U162" s="174"/>
      <c r="V162" s="59" t="s">
        <v>118</v>
      </c>
      <c r="W162" s="25"/>
      <c r="X162" s="5"/>
    </row>
    <row r="163" spans="1:256" ht="15.6" x14ac:dyDescent="0.3">
      <c r="A163" s="24"/>
      <c r="B163" s="25" t="s">
        <v>49</v>
      </c>
      <c r="C163" s="25"/>
      <c r="D163" s="25"/>
      <c r="E163" s="25"/>
      <c r="F163" s="25"/>
      <c r="G163" s="25"/>
      <c r="H163" s="25"/>
      <c r="I163" s="25"/>
      <c r="J163" s="25"/>
      <c r="K163" s="25"/>
      <c r="L163" s="25"/>
      <c r="M163" s="25"/>
      <c r="N163" s="25"/>
      <c r="O163" s="25"/>
      <c r="P163" s="25"/>
      <c r="Q163" s="25"/>
      <c r="R163" s="25"/>
      <c r="S163" s="25"/>
      <c r="T163" s="25"/>
      <c r="U163" s="25"/>
      <c r="V163" s="59" t="s">
        <v>118</v>
      </c>
      <c r="W163" s="25"/>
      <c r="X163" s="5"/>
    </row>
    <row r="164" spans="1:256" ht="15.6" x14ac:dyDescent="0.3">
      <c r="A164" s="24"/>
      <c r="B164" s="25" t="s">
        <v>50</v>
      </c>
      <c r="C164" s="25"/>
      <c r="D164" s="25"/>
      <c r="E164" s="25"/>
      <c r="F164" s="25"/>
      <c r="G164" s="25"/>
      <c r="H164" s="25"/>
      <c r="I164" s="25"/>
      <c r="J164" s="25"/>
      <c r="K164" s="25"/>
      <c r="L164" s="25"/>
      <c r="M164" s="25"/>
      <c r="N164" s="25"/>
      <c r="O164" s="25"/>
      <c r="P164" s="25"/>
      <c r="Q164" s="25"/>
      <c r="R164" s="25"/>
      <c r="S164" s="25"/>
      <c r="T164" s="25"/>
      <c r="U164" s="25"/>
      <c r="V164" s="59" t="s">
        <v>118</v>
      </c>
      <c r="W164" s="25"/>
      <c r="X164" s="5"/>
    </row>
    <row r="165" spans="1:256" ht="15.6" x14ac:dyDescent="0.3">
      <c r="A165" s="24"/>
      <c r="B165" s="25"/>
      <c r="C165" s="25"/>
      <c r="D165" s="25"/>
      <c r="E165" s="25"/>
      <c r="F165" s="25"/>
      <c r="G165" s="25"/>
      <c r="H165" s="25"/>
      <c r="I165" s="25"/>
      <c r="J165" s="25"/>
      <c r="K165" s="25"/>
      <c r="L165" s="25"/>
      <c r="M165" s="25"/>
      <c r="N165" s="25"/>
      <c r="O165" s="25"/>
      <c r="P165" s="25"/>
      <c r="Q165" s="25"/>
      <c r="R165" s="25"/>
      <c r="S165" s="25"/>
      <c r="T165" s="25"/>
      <c r="U165" s="25"/>
      <c r="V165" s="61"/>
      <c r="W165" s="25"/>
      <c r="X165" s="5"/>
    </row>
    <row r="166" spans="1:256" ht="15.6" x14ac:dyDescent="0.3">
      <c r="A166" s="6"/>
      <c r="B166" s="119" t="s">
        <v>51</v>
      </c>
      <c r="C166" s="8"/>
      <c r="D166" s="8"/>
      <c r="E166" s="8"/>
      <c r="F166" s="8"/>
      <c r="G166" s="8"/>
      <c r="H166" s="8"/>
      <c r="I166" s="8"/>
      <c r="J166" s="8"/>
      <c r="K166" s="8"/>
      <c r="L166" s="8"/>
      <c r="M166" s="8"/>
      <c r="N166" s="8"/>
      <c r="O166" s="8"/>
      <c r="P166" s="8"/>
      <c r="Q166" s="8"/>
      <c r="R166" s="8"/>
      <c r="S166" s="8"/>
      <c r="T166" s="8"/>
      <c r="U166" s="8"/>
      <c r="V166" s="63"/>
      <c r="W166" s="8"/>
      <c r="X166" s="5"/>
    </row>
    <row r="167" spans="1:256" ht="15.6" x14ac:dyDescent="0.3">
      <c r="A167" s="24"/>
      <c r="B167" s="25" t="s">
        <v>52</v>
      </c>
      <c r="C167" s="25"/>
      <c r="D167" s="25"/>
      <c r="E167" s="25"/>
      <c r="F167" s="25"/>
      <c r="G167" s="25"/>
      <c r="H167" s="25"/>
      <c r="I167" s="25"/>
      <c r="J167" s="25"/>
      <c r="K167" s="25"/>
      <c r="L167" s="25"/>
      <c r="M167" s="25"/>
      <c r="N167" s="25"/>
      <c r="O167" s="25"/>
      <c r="P167" s="25"/>
      <c r="Q167" s="25"/>
      <c r="R167" s="25"/>
      <c r="S167" s="25"/>
      <c r="T167" s="25"/>
      <c r="U167" s="25"/>
      <c r="V167" s="53">
        <v>0</v>
      </c>
      <c r="W167" s="25"/>
      <c r="X167" s="5"/>
    </row>
    <row r="168" spans="1:256" ht="15.6" x14ac:dyDescent="0.3">
      <c r="A168" s="24"/>
      <c r="B168" s="25" t="s">
        <v>53</v>
      </c>
      <c r="C168" s="25"/>
      <c r="D168" s="25"/>
      <c r="E168" s="25"/>
      <c r="F168" s="25"/>
      <c r="G168" s="25"/>
      <c r="H168" s="25"/>
      <c r="I168" s="25"/>
      <c r="J168" s="25"/>
      <c r="K168" s="25"/>
      <c r="L168" s="25"/>
      <c r="M168" s="25"/>
      <c r="N168" s="25"/>
      <c r="O168" s="25"/>
      <c r="P168" s="25"/>
      <c r="Q168" s="25"/>
      <c r="R168" s="25"/>
      <c r="S168" s="25"/>
      <c r="T168" s="25"/>
      <c r="U168" s="25"/>
      <c r="V168" s="53">
        <v>259</v>
      </c>
      <c r="W168" s="25"/>
      <c r="X168" s="5"/>
    </row>
    <row r="169" spans="1:256" ht="15.6" x14ac:dyDescent="0.3">
      <c r="A169" s="24"/>
      <c r="B169" s="25" t="s">
        <v>54</v>
      </c>
      <c r="C169" s="25"/>
      <c r="D169" s="25"/>
      <c r="E169" s="25"/>
      <c r="F169" s="25"/>
      <c r="G169" s="25"/>
      <c r="H169" s="25"/>
      <c r="I169" s="25"/>
      <c r="J169" s="25"/>
      <c r="K169" s="25"/>
      <c r="L169" s="25"/>
      <c r="M169" s="25"/>
      <c r="N169" s="25"/>
      <c r="O169" s="25"/>
      <c r="P169" s="25"/>
      <c r="Q169" s="25"/>
      <c r="R169" s="25"/>
      <c r="S169" s="25"/>
      <c r="T169" s="25"/>
      <c r="U169" s="25"/>
      <c r="V169" s="53">
        <f>V168+V167</f>
        <v>259</v>
      </c>
      <c r="W169" s="25"/>
      <c r="X169" s="5"/>
    </row>
    <row r="170" spans="1:256" ht="15.6" x14ac:dyDescent="0.3">
      <c r="A170" s="24"/>
      <c r="B170" s="25" t="s">
        <v>315</v>
      </c>
      <c r="C170" s="25"/>
      <c r="D170" s="25"/>
      <c r="E170" s="25"/>
      <c r="F170" s="25"/>
      <c r="G170" s="25"/>
      <c r="H170" s="25"/>
      <c r="I170" s="25"/>
      <c r="J170" s="25"/>
      <c r="K170" s="25"/>
      <c r="L170" s="25"/>
      <c r="M170" s="25"/>
      <c r="N170" s="25"/>
      <c r="O170" s="25"/>
      <c r="P170" s="25"/>
      <c r="Q170" s="25"/>
      <c r="R170" s="25"/>
      <c r="S170" s="25"/>
      <c r="T170" s="25"/>
      <c r="U170" s="25"/>
      <c r="V170" s="53">
        <f>V116</f>
        <v>-259</v>
      </c>
      <c r="W170" s="25"/>
      <c r="X170" s="5"/>
    </row>
    <row r="171" spans="1:256" ht="15.6" x14ac:dyDescent="0.3">
      <c r="A171" s="24"/>
      <c r="B171" s="25" t="s">
        <v>55</v>
      </c>
      <c r="C171" s="25"/>
      <c r="D171" s="25"/>
      <c r="E171" s="25"/>
      <c r="F171" s="25"/>
      <c r="G171" s="25"/>
      <c r="H171" s="25"/>
      <c r="I171" s="25"/>
      <c r="J171" s="25"/>
      <c r="K171" s="25"/>
      <c r="L171" s="25"/>
      <c r="M171" s="25"/>
      <c r="N171" s="25"/>
      <c r="O171" s="25"/>
      <c r="P171" s="25"/>
      <c r="Q171" s="25"/>
      <c r="R171" s="25"/>
      <c r="S171" s="25"/>
      <c r="T171" s="25"/>
      <c r="U171" s="25"/>
      <c r="V171" s="53">
        <f>V169+V170</f>
        <v>0</v>
      </c>
      <c r="W171" s="25"/>
      <c r="X171" s="5"/>
    </row>
    <row r="172" spans="1:256" ht="15.6" x14ac:dyDescent="0.3">
      <c r="A172" s="24"/>
      <c r="B172" s="25" t="s">
        <v>283</v>
      </c>
      <c r="C172" s="25"/>
      <c r="D172" s="25"/>
      <c r="E172" s="25"/>
      <c r="F172" s="25"/>
      <c r="G172" s="25"/>
      <c r="H172" s="25"/>
      <c r="I172" s="25"/>
      <c r="J172" s="25"/>
      <c r="K172" s="25"/>
      <c r="L172" s="25"/>
      <c r="M172" s="25"/>
      <c r="N172" s="25"/>
      <c r="O172" s="25"/>
      <c r="P172" s="25"/>
      <c r="Q172" s="25"/>
      <c r="R172" s="25"/>
      <c r="S172" s="25"/>
      <c r="T172" s="25"/>
      <c r="U172" s="25"/>
      <c r="V172" s="53">
        <f>-V101</f>
        <v>69</v>
      </c>
      <c r="W172" s="25"/>
      <c r="X172" s="5"/>
    </row>
    <row r="173" spans="1:256" ht="16.2" thickBot="1" x14ac:dyDescent="0.35">
      <c r="A173" s="24"/>
      <c r="B173" s="25"/>
      <c r="C173" s="25"/>
      <c r="D173" s="25"/>
      <c r="E173" s="25"/>
      <c r="F173" s="25"/>
      <c r="G173" s="25"/>
      <c r="H173" s="25"/>
      <c r="I173" s="25"/>
      <c r="J173" s="25"/>
      <c r="K173" s="25"/>
      <c r="L173" s="25"/>
      <c r="M173" s="25"/>
      <c r="N173" s="25"/>
      <c r="O173" s="25"/>
      <c r="P173" s="25"/>
      <c r="Q173" s="25"/>
      <c r="R173" s="25"/>
      <c r="S173" s="25"/>
      <c r="T173" s="25"/>
      <c r="U173" s="25"/>
      <c r="V173" s="61"/>
      <c r="W173" s="25"/>
      <c r="X173" s="5"/>
    </row>
    <row r="174" spans="1:256" ht="15.6" x14ac:dyDescent="0.3">
      <c r="A174" s="2"/>
      <c r="B174" s="4"/>
      <c r="C174" s="4"/>
      <c r="D174" s="4"/>
      <c r="E174" s="4"/>
      <c r="F174" s="4"/>
      <c r="G174" s="4"/>
      <c r="H174" s="4"/>
      <c r="I174" s="4"/>
      <c r="J174" s="4"/>
      <c r="K174" s="4"/>
      <c r="L174" s="4"/>
      <c r="M174" s="4"/>
      <c r="N174" s="4"/>
      <c r="O174" s="4"/>
      <c r="P174" s="4"/>
      <c r="Q174" s="4"/>
      <c r="R174" s="4"/>
      <c r="S174" s="4"/>
      <c r="T174" s="4"/>
      <c r="U174" s="4"/>
      <c r="V174" s="50"/>
      <c r="W174" s="4"/>
      <c r="X174" s="5"/>
    </row>
    <row r="175" spans="1:256" s="161" customFormat="1" ht="15.6" x14ac:dyDescent="0.3">
      <c r="A175" s="6"/>
      <c r="B175" s="119" t="s">
        <v>269</v>
      </c>
      <c r="C175" s="160"/>
      <c r="D175" s="160"/>
      <c r="E175" s="160"/>
      <c r="F175" s="160"/>
      <c r="G175" s="160"/>
      <c r="H175" s="160"/>
      <c r="I175" s="160"/>
      <c r="J175" s="160"/>
      <c r="K175" s="160"/>
      <c r="L175" s="160"/>
      <c r="M175" s="160"/>
      <c r="N175" s="160"/>
      <c r="O175" s="160"/>
      <c r="P175" s="160"/>
      <c r="Q175" s="160"/>
      <c r="R175" s="160"/>
      <c r="S175" s="160"/>
      <c r="T175" s="160"/>
      <c r="U175" s="160"/>
      <c r="V175" s="168"/>
      <c r="W175" s="160"/>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3" customFormat="1" ht="15.6" x14ac:dyDescent="0.3">
      <c r="A176" s="24"/>
      <c r="B176" s="162" t="s">
        <v>270</v>
      </c>
      <c r="C176" s="162"/>
      <c r="D176" s="162"/>
      <c r="E176" s="162"/>
      <c r="F176" s="162"/>
      <c r="G176" s="162"/>
      <c r="H176" s="162"/>
      <c r="I176" s="162"/>
      <c r="J176" s="162"/>
      <c r="K176" s="162"/>
      <c r="L176" s="162"/>
      <c r="M176" s="162"/>
      <c r="N176" s="162"/>
      <c r="O176" s="162"/>
      <c r="P176" s="162"/>
      <c r="Q176" s="162"/>
      <c r="R176" s="162"/>
      <c r="S176" s="162"/>
      <c r="T176" s="162"/>
      <c r="U176" s="162"/>
      <c r="V176" s="169">
        <f>+'Aug 08'!V177</f>
        <v>0</v>
      </c>
      <c r="W176" s="162"/>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s="163" customFormat="1" ht="15.6" x14ac:dyDescent="0.3">
      <c r="A177" s="24"/>
      <c r="B177" s="162" t="s">
        <v>273</v>
      </c>
      <c r="C177" s="162"/>
      <c r="D177" s="162"/>
      <c r="E177" s="162"/>
      <c r="F177" s="162"/>
      <c r="G177" s="162"/>
      <c r="H177" s="162"/>
      <c r="I177" s="162"/>
      <c r="J177" s="162"/>
      <c r="K177" s="162"/>
      <c r="L177" s="162"/>
      <c r="M177" s="162"/>
      <c r="N177" s="162"/>
      <c r="O177" s="162"/>
      <c r="P177" s="162"/>
      <c r="Q177" s="162"/>
      <c r="R177" s="162"/>
      <c r="S177" s="162"/>
      <c r="T177" s="162"/>
      <c r="U177" s="162"/>
      <c r="V177" s="169">
        <f>+V95</f>
        <v>0</v>
      </c>
      <c r="W177" s="162"/>
      <c r="X177" s="5"/>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s="163" customFormat="1" ht="15.6" x14ac:dyDescent="0.3">
      <c r="A178" s="24"/>
      <c r="B178" s="162" t="s">
        <v>271</v>
      </c>
      <c r="C178" s="162"/>
      <c r="D178" s="162"/>
      <c r="E178" s="162"/>
      <c r="F178" s="162"/>
      <c r="G178" s="162"/>
      <c r="H178" s="162"/>
      <c r="I178" s="162"/>
      <c r="J178" s="162"/>
      <c r="K178" s="162"/>
      <c r="L178" s="162"/>
      <c r="M178" s="162"/>
      <c r="N178" s="162"/>
      <c r="O178" s="162"/>
      <c r="P178" s="162"/>
      <c r="Q178" s="162"/>
      <c r="R178" s="162"/>
      <c r="S178" s="162"/>
      <c r="T178" s="162"/>
      <c r="U178" s="162"/>
      <c r="V178" s="169">
        <f>+V176-V177</f>
        <v>0</v>
      </c>
      <c r="W178" s="162"/>
      <c r="X178" s="5"/>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s="166" customFormat="1" ht="16.2" thickBot="1" x14ac:dyDescent="0.35">
      <c r="A179" s="170"/>
      <c r="B179" s="164"/>
      <c r="C179" s="164"/>
      <c r="D179" s="164"/>
      <c r="E179" s="164"/>
      <c r="F179" s="164"/>
      <c r="G179" s="164"/>
      <c r="H179" s="164"/>
      <c r="I179" s="164"/>
      <c r="J179" s="164"/>
      <c r="K179" s="164"/>
      <c r="L179" s="164"/>
      <c r="M179" s="164"/>
      <c r="N179" s="164"/>
      <c r="O179" s="164"/>
      <c r="P179" s="164"/>
      <c r="Q179" s="164"/>
      <c r="R179" s="164"/>
      <c r="S179" s="164"/>
      <c r="T179" s="164"/>
      <c r="U179" s="164"/>
      <c r="V179" s="165"/>
      <c r="W179" s="164"/>
      <c r="X179" s="5"/>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s="167" customFormat="1" ht="15.6" x14ac:dyDescent="0.3">
      <c r="A180" s="2"/>
      <c r="B180" s="4"/>
      <c r="C180" s="4"/>
      <c r="D180" s="4"/>
      <c r="E180" s="4"/>
      <c r="F180" s="4"/>
      <c r="G180" s="4"/>
      <c r="H180" s="4"/>
      <c r="I180" s="4"/>
      <c r="J180" s="4"/>
      <c r="K180" s="4"/>
      <c r="L180" s="4"/>
      <c r="M180" s="4"/>
      <c r="N180" s="4"/>
      <c r="O180" s="4"/>
      <c r="P180" s="4"/>
      <c r="Q180" s="4"/>
      <c r="R180" s="4"/>
      <c r="S180" s="4"/>
      <c r="T180" s="4"/>
      <c r="U180" s="4"/>
      <c r="V180" s="50"/>
      <c r="W180" s="4"/>
      <c r="X180" s="5"/>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ht="15.6" x14ac:dyDescent="0.3">
      <c r="A181" s="6"/>
      <c r="B181" s="119" t="s">
        <v>56</v>
      </c>
      <c r="C181" s="8"/>
      <c r="D181" s="8"/>
      <c r="E181" s="8"/>
      <c r="F181" s="8"/>
      <c r="G181" s="8"/>
      <c r="H181" s="8"/>
      <c r="I181" s="8"/>
      <c r="J181" s="8"/>
      <c r="K181" s="8"/>
      <c r="L181" s="8"/>
      <c r="M181" s="8"/>
      <c r="N181" s="8"/>
      <c r="O181" s="8"/>
      <c r="P181" s="8"/>
      <c r="Q181" s="8"/>
      <c r="R181" s="8"/>
      <c r="S181" s="8"/>
      <c r="T181" s="8"/>
      <c r="U181" s="8"/>
      <c r="V181" s="52"/>
      <c r="W181" s="8"/>
      <c r="X181" s="5"/>
    </row>
    <row r="182" spans="1:256" ht="15.6" x14ac:dyDescent="0.3">
      <c r="A182" s="6"/>
      <c r="B182" s="21"/>
      <c r="C182" s="8"/>
      <c r="D182" s="8"/>
      <c r="E182" s="8"/>
      <c r="F182" s="8"/>
      <c r="G182" s="8"/>
      <c r="H182" s="8"/>
      <c r="I182" s="8"/>
      <c r="J182" s="8"/>
      <c r="K182" s="8"/>
      <c r="L182" s="8"/>
      <c r="M182" s="8"/>
      <c r="N182" s="8"/>
      <c r="O182" s="8"/>
      <c r="P182" s="8"/>
      <c r="Q182" s="8"/>
      <c r="R182" s="8"/>
      <c r="S182" s="8"/>
      <c r="T182" s="8"/>
      <c r="U182" s="8"/>
      <c r="V182" s="52"/>
      <c r="W182" s="8"/>
      <c r="X182" s="5"/>
    </row>
    <row r="183" spans="1:256" ht="15.6" x14ac:dyDescent="0.3">
      <c r="A183" s="24"/>
      <c r="B183" s="25" t="s">
        <v>57</v>
      </c>
      <c r="C183" s="25"/>
      <c r="D183" s="25"/>
      <c r="E183" s="25"/>
      <c r="F183" s="25"/>
      <c r="G183" s="25"/>
      <c r="H183" s="25"/>
      <c r="I183" s="25"/>
      <c r="J183" s="25"/>
      <c r="K183" s="25"/>
      <c r="L183" s="25"/>
      <c r="M183" s="25"/>
      <c r="N183" s="25"/>
      <c r="O183" s="25"/>
      <c r="P183" s="25"/>
      <c r="Q183" s="25"/>
      <c r="R183" s="25"/>
      <c r="S183" s="25"/>
      <c r="T183" s="25"/>
      <c r="U183" s="25"/>
      <c r="V183" s="53">
        <f>V72</f>
        <v>1188781</v>
      </c>
      <c r="W183" s="25"/>
      <c r="X183" s="5"/>
    </row>
    <row r="184" spans="1:256" ht="15.6" x14ac:dyDescent="0.3">
      <c r="A184" s="24"/>
      <c r="B184" s="25" t="s">
        <v>58</v>
      </c>
      <c r="C184" s="25"/>
      <c r="D184" s="25"/>
      <c r="E184" s="25"/>
      <c r="F184" s="25"/>
      <c r="G184" s="25"/>
      <c r="H184" s="25"/>
      <c r="I184" s="25"/>
      <c r="J184" s="25"/>
      <c r="K184" s="25"/>
      <c r="L184" s="25"/>
      <c r="M184" s="25"/>
      <c r="N184" s="25"/>
      <c r="O184" s="25"/>
      <c r="P184" s="25"/>
      <c r="Q184" s="25"/>
      <c r="R184" s="25"/>
      <c r="S184" s="25"/>
      <c r="T184" s="25"/>
      <c r="U184" s="25"/>
      <c r="V184" s="53">
        <f>V85</f>
        <v>1188781</v>
      </c>
      <c r="W184" s="25"/>
      <c r="X184" s="5"/>
    </row>
    <row r="185" spans="1:256" ht="16.2" thickBot="1" x14ac:dyDescent="0.35">
      <c r="A185" s="24"/>
      <c r="B185" s="25"/>
      <c r="C185" s="25"/>
      <c r="D185" s="25"/>
      <c r="E185" s="25"/>
      <c r="F185" s="25"/>
      <c r="G185" s="25"/>
      <c r="H185" s="25"/>
      <c r="I185" s="25"/>
      <c r="J185" s="25"/>
      <c r="K185" s="25"/>
      <c r="L185" s="25"/>
      <c r="M185" s="25"/>
      <c r="N185" s="25"/>
      <c r="O185" s="25"/>
      <c r="P185" s="25"/>
      <c r="Q185" s="25"/>
      <c r="R185" s="25"/>
      <c r="S185" s="25"/>
      <c r="T185" s="25"/>
      <c r="U185" s="25"/>
      <c r="V185" s="61"/>
      <c r="W185" s="25"/>
      <c r="X185" s="5"/>
    </row>
    <row r="186" spans="1:256" ht="15.6" x14ac:dyDescent="0.3">
      <c r="A186" s="2"/>
      <c r="B186" s="4"/>
      <c r="C186" s="4"/>
      <c r="D186" s="4"/>
      <c r="E186" s="4"/>
      <c r="F186" s="4"/>
      <c r="G186" s="4"/>
      <c r="H186" s="4"/>
      <c r="I186" s="4"/>
      <c r="J186" s="4"/>
      <c r="K186" s="4"/>
      <c r="L186" s="4"/>
      <c r="M186" s="4"/>
      <c r="N186" s="4"/>
      <c r="O186" s="4"/>
      <c r="P186" s="4"/>
      <c r="Q186" s="4"/>
      <c r="R186" s="4"/>
      <c r="S186" s="4"/>
      <c r="T186" s="4"/>
      <c r="U186" s="4"/>
      <c r="V186" s="50"/>
      <c r="W186" s="4"/>
      <c r="X186" s="5"/>
    </row>
    <row r="187" spans="1:256" ht="15.6" x14ac:dyDescent="0.3">
      <c r="A187" s="6"/>
      <c r="B187" s="119" t="s">
        <v>59</v>
      </c>
      <c r="C187" s="117"/>
      <c r="D187" s="117"/>
      <c r="E187" s="117"/>
      <c r="F187" s="117"/>
      <c r="G187" s="117"/>
      <c r="H187" s="120"/>
      <c r="I187" s="120"/>
      <c r="J187" s="120"/>
      <c r="K187" s="120"/>
      <c r="L187" s="120"/>
      <c r="M187" s="120"/>
      <c r="N187" s="120"/>
      <c r="O187" s="120"/>
      <c r="P187" s="120"/>
      <c r="Q187" s="120"/>
      <c r="R187" s="120"/>
      <c r="S187" s="120" t="s">
        <v>101</v>
      </c>
      <c r="T187" s="120" t="s">
        <v>176</v>
      </c>
      <c r="U187" s="111"/>
      <c r="V187" s="121" t="s">
        <v>114</v>
      </c>
      <c r="W187" s="10"/>
      <c r="X187" s="5"/>
    </row>
    <row r="188" spans="1:256" ht="15.6" x14ac:dyDescent="0.3">
      <c r="A188" s="24"/>
      <c r="B188" s="25" t="s">
        <v>60</v>
      </c>
      <c r="C188" s="25"/>
      <c r="D188" s="25"/>
      <c r="E188" s="25"/>
      <c r="F188" s="25"/>
      <c r="G188" s="25"/>
      <c r="H188" s="25"/>
      <c r="I188" s="25"/>
      <c r="J188" s="25"/>
      <c r="K188" s="25"/>
      <c r="L188" s="25"/>
      <c r="M188" s="25"/>
      <c r="N188" s="25"/>
      <c r="O188" s="25"/>
      <c r="P188" s="25"/>
      <c r="Q188" s="25"/>
      <c r="R188" s="25"/>
      <c r="S188" s="53">
        <f>+V34*0.16</f>
        <v>240044</v>
      </c>
      <c r="T188" s="40"/>
      <c r="U188" s="25"/>
      <c r="V188" s="53"/>
      <c r="W188" s="25"/>
      <c r="X188" s="5"/>
    </row>
    <row r="189" spans="1:256" ht="15.6" x14ac:dyDescent="0.3">
      <c r="A189" s="24"/>
      <c r="B189" s="25" t="s">
        <v>61</v>
      </c>
      <c r="C189" s="25"/>
      <c r="D189" s="25"/>
      <c r="E189" s="25"/>
      <c r="F189" s="25"/>
      <c r="G189" s="25"/>
      <c r="H189" s="25"/>
      <c r="I189" s="25"/>
      <c r="J189" s="25"/>
      <c r="K189" s="25"/>
      <c r="L189" s="25"/>
      <c r="M189" s="25"/>
      <c r="N189" s="25"/>
      <c r="O189" s="25"/>
      <c r="P189" s="25"/>
      <c r="Q189" s="25"/>
      <c r="R189" s="25"/>
      <c r="S189" s="53">
        <f>+'Nov 09'!S191</f>
        <v>23348</v>
      </c>
      <c r="T189" s="53">
        <f>+'Nov 09'!T191</f>
        <v>5960</v>
      </c>
      <c r="U189" s="25"/>
      <c r="V189" s="53">
        <f>S189+T189</f>
        <v>29308</v>
      </c>
      <c r="W189" s="25"/>
      <c r="X189" s="5"/>
    </row>
    <row r="190" spans="1:256" ht="15.6" x14ac:dyDescent="0.3">
      <c r="A190" s="24"/>
      <c r="B190" s="25" t="s">
        <v>62</v>
      </c>
      <c r="C190" s="25"/>
      <c r="D190" s="25"/>
      <c r="E190" s="25"/>
      <c r="F190" s="25"/>
      <c r="G190" s="25"/>
      <c r="H190" s="25"/>
      <c r="I190" s="25"/>
      <c r="J190" s="25"/>
      <c r="K190" s="25"/>
      <c r="L190" s="25"/>
      <c r="M190" s="25"/>
      <c r="N190" s="25"/>
      <c r="O190" s="25"/>
      <c r="P190" s="25"/>
      <c r="Q190" s="25"/>
      <c r="R190" s="25"/>
      <c r="S190" s="34">
        <f>109+34</f>
        <v>143</v>
      </c>
      <c r="T190" s="34">
        <v>3</v>
      </c>
      <c r="U190" s="25"/>
      <c r="V190" s="53">
        <f>S190+T190</f>
        <v>146</v>
      </c>
      <c r="W190" s="25"/>
      <c r="X190" s="5"/>
    </row>
    <row r="191" spans="1:256" ht="15.6" x14ac:dyDescent="0.3">
      <c r="A191" s="24"/>
      <c r="B191" s="25" t="s">
        <v>63</v>
      </c>
      <c r="C191" s="25"/>
      <c r="D191" s="25"/>
      <c r="E191" s="25"/>
      <c r="F191" s="25"/>
      <c r="G191" s="25"/>
      <c r="H191" s="25"/>
      <c r="I191" s="25"/>
      <c r="J191" s="25"/>
      <c r="K191" s="25"/>
      <c r="L191" s="25"/>
      <c r="M191" s="25"/>
      <c r="N191" s="25"/>
      <c r="O191" s="25"/>
      <c r="P191" s="25"/>
      <c r="Q191" s="25"/>
      <c r="R191" s="25"/>
      <c r="S191" s="53">
        <f>S189+S190</f>
        <v>23491</v>
      </c>
      <c r="T191" s="53">
        <f>T190+T189</f>
        <v>5963</v>
      </c>
      <c r="U191" s="25"/>
      <c r="V191" s="53">
        <f>S191+T191</f>
        <v>29454</v>
      </c>
      <c r="W191" s="25"/>
      <c r="X191" s="5"/>
    </row>
    <row r="192" spans="1:256" ht="15.6" x14ac:dyDescent="0.3">
      <c r="A192" s="24"/>
      <c r="B192" s="25" t="s">
        <v>64</v>
      </c>
      <c r="C192" s="25"/>
      <c r="D192" s="25"/>
      <c r="E192" s="25"/>
      <c r="F192" s="25"/>
      <c r="G192" s="25"/>
      <c r="H192" s="25"/>
      <c r="I192" s="25"/>
      <c r="J192" s="25"/>
      <c r="K192" s="25"/>
      <c r="L192" s="25"/>
      <c r="M192" s="25"/>
      <c r="N192" s="25"/>
      <c r="O192" s="25"/>
      <c r="P192" s="25"/>
      <c r="Q192" s="25"/>
      <c r="R192" s="25"/>
      <c r="S192" s="53">
        <f>S188-S191-T191</f>
        <v>210590</v>
      </c>
      <c r="T192" s="40"/>
      <c r="U192" s="25"/>
      <c r="V192" s="53"/>
      <c r="W192" s="25"/>
      <c r="X192" s="5"/>
    </row>
    <row r="193" spans="1:24" ht="16.2" thickBot="1" x14ac:dyDescent="0.35">
      <c r="A193" s="24"/>
      <c r="B193" s="25"/>
      <c r="C193" s="25"/>
      <c r="D193" s="25"/>
      <c r="E193" s="25"/>
      <c r="F193" s="25"/>
      <c r="G193" s="25"/>
      <c r="H193" s="25"/>
      <c r="I193" s="25"/>
      <c r="J193" s="25"/>
      <c r="K193" s="25"/>
      <c r="L193" s="25"/>
      <c r="M193" s="25"/>
      <c r="N193" s="25"/>
      <c r="O193" s="25"/>
      <c r="P193" s="25"/>
      <c r="Q193" s="25"/>
      <c r="R193" s="25"/>
      <c r="S193" s="25"/>
      <c r="T193" s="25"/>
      <c r="U193" s="25"/>
      <c r="V193" s="61"/>
      <c r="W193" s="25"/>
      <c r="X193" s="5"/>
    </row>
    <row r="194" spans="1:24" ht="15.6" x14ac:dyDescent="0.3">
      <c r="A194" s="2"/>
      <c r="B194" s="4"/>
      <c r="C194" s="4"/>
      <c r="D194" s="4"/>
      <c r="E194" s="4"/>
      <c r="F194" s="4"/>
      <c r="G194" s="4"/>
      <c r="H194" s="4"/>
      <c r="I194" s="4"/>
      <c r="J194" s="4"/>
      <c r="K194" s="4"/>
      <c r="L194" s="4"/>
      <c r="M194" s="4"/>
      <c r="N194" s="4"/>
      <c r="O194" s="4"/>
      <c r="P194" s="4"/>
      <c r="Q194" s="4"/>
      <c r="R194" s="4"/>
      <c r="S194" s="4"/>
      <c r="T194" s="4"/>
      <c r="U194" s="4"/>
      <c r="V194" s="50"/>
      <c r="W194" s="4"/>
      <c r="X194" s="5"/>
    </row>
    <row r="195" spans="1:24" ht="15.6" x14ac:dyDescent="0.3">
      <c r="A195" s="6"/>
      <c r="B195" s="119" t="s">
        <v>65</v>
      </c>
      <c r="C195" s="8"/>
      <c r="D195" s="8"/>
      <c r="E195" s="8"/>
      <c r="F195" s="8"/>
      <c r="G195" s="8"/>
      <c r="H195" s="8"/>
      <c r="I195" s="8"/>
      <c r="J195" s="8"/>
      <c r="K195" s="8"/>
      <c r="L195" s="8"/>
      <c r="M195" s="8"/>
      <c r="N195" s="8"/>
      <c r="O195" s="8"/>
      <c r="P195" s="8"/>
      <c r="Q195" s="8"/>
      <c r="R195" s="8"/>
      <c r="S195" s="8"/>
      <c r="T195" s="8"/>
      <c r="U195" s="8"/>
      <c r="V195" s="65"/>
      <c r="W195" s="8"/>
      <c r="X195" s="5"/>
    </row>
    <row r="196" spans="1:24" ht="15.6" x14ac:dyDescent="0.3">
      <c r="A196" s="24"/>
      <c r="B196" s="25" t="s">
        <v>66</v>
      </c>
      <c r="C196" s="25"/>
      <c r="D196" s="25"/>
      <c r="E196" s="25"/>
      <c r="F196" s="25"/>
      <c r="G196" s="25"/>
      <c r="H196" s="25"/>
      <c r="I196" s="25"/>
      <c r="J196" s="25"/>
      <c r="K196" s="25"/>
      <c r="L196" s="25"/>
      <c r="M196" s="25"/>
      <c r="N196" s="25"/>
      <c r="O196" s="25"/>
      <c r="P196" s="25"/>
      <c r="Q196" s="25"/>
      <c r="R196" s="25"/>
      <c r="S196" s="25"/>
      <c r="T196" s="25"/>
      <c r="U196" s="25"/>
      <c r="V196" s="59">
        <f>(V102+V104+V105+V106+V107)/-(V108+V109)</f>
        <v>3.7301136363636362</v>
      </c>
      <c r="W196" s="25" t="s">
        <v>115</v>
      </c>
      <c r="X196" s="5"/>
    </row>
    <row r="197" spans="1:24" ht="15.6" x14ac:dyDescent="0.3">
      <c r="A197" s="24"/>
      <c r="B197" s="25" t="s">
        <v>67</v>
      </c>
      <c r="C197" s="25"/>
      <c r="D197" s="25"/>
      <c r="E197" s="25"/>
      <c r="F197" s="25"/>
      <c r="G197" s="25"/>
      <c r="H197" s="25"/>
      <c r="I197" s="25"/>
      <c r="J197" s="25"/>
      <c r="K197" s="25"/>
      <c r="L197" s="25"/>
      <c r="M197" s="25"/>
      <c r="N197" s="25"/>
      <c r="O197" s="25"/>
      <c r="P197" s="25"/>
      <c r="Q197" s="25"/>
      <c r="R197" s="25"/>
      <c r="S197" s="25"/>
      <c r="T197" s="25"/>
      <c r="U197" s="25"/>
      <c r="V197" s="66">
        <v>1.48</v>
      </c>
      <c r="W197" s="25" t="s">
        <v>115</v>
      </c>
      <c r="X197" s="5"/>
    </row>
    <row r="198" spans="1:24" ht="15.6" x14ac:dyDescent="0.3">
      <c r="A198" s="24"/>
      <c r="B198" s="25" t="s">
        <v>68</v>
      </c>
      <c r="C198" s="25"/>
      <c r="D198" s="25"/>
      <c r="E198" s="25"/>
      <c r="F198" s="25"/>
      <c r="G198" s="25"/>
      <c r="H198" s="25"/>
      <c r="I198" s="25"/>
      <c r="J198" s="25"/>
      <c r="K198" s="25"/>
      <c r="L198" s="25"/>
      <c r="M198" s="25"/>
      <c r="N198" s="25"/>
      <c r="O198" s="25"/>
      <c r="P198" s="25"/>
      <c r="Q198" s="25"/>
      <c r="R198" s="25"/>
      <c r="S198" s="25"/>
      <c r="T198" s="25"/>
      <c r="U198" s="25"/>
      <c r="V198" s="59">
        <f>(V102+V104+V105+V106+V107+V108+V109)/-(V111+V112)</f>
        <v>21.54708520179372</v>
      </c>
      <c r="W198" s="25" t="s">
        <v>115</v>
      </c>
      <c r="X198" s="5"/>
    </row>
    <row r="199" spans="1:24" ht="15.6" x14ac:dyDescent="0.3">
      <c r="A199" s="24"/>
      <c r="B199" s="25" t="s">
        <v>69</v>
      </c>
      <c r="C199" s="25"/>
      <c r="D199" s="25"/>
      <c r="E199" s="25"/>
      <c r="F199" s="25"/>
      <c r="G199" s="25"/>
      <c r="H199" s="25"/>
      <c r="I199" s="25"/>
      <c r="J199" s="25"/>
      <c r="K199" s="25"/>
      <c r="L199" s="25"/>
      <c r="M199" s="25"/>
      <c r="N199" s="25"/>
      <c r="O199" s="25"/>
      <c r="P199" s="25"/>
      <c r="Q199" s="25"/>
      <c r="R199" s="25"/>
      <c r="S199" s="25"/>
      <c r="T199" s="25"/>
      <c r="U199" s="25"/>
      <c r="V199" s="66">
        <v>4.8899999999999997</v>
      </c>
      <c r="W199" s="25" t="s">
        <v>115</v>
      </c>
      <c r="X199" s="5"/>
    </row>
    <row r="200" spans="1:24" ht="15.6" x14ac:dyDescent="0.3">
      <c r="A200" s="24"/>
      <c r="B200" s="25" t="s">
        <v>198</v>
      </c>
      <c r="C200" s="25"/>
      <c r="D200" s="25"/>
      <c r="E200" s="25"/>
      <c r="F200" s="25"/>
      <c r="G200" s="25"/>
      <c r="H200" s="25"/>
      <c r="I200" s="25"/>
      <c r="J200" s="25"/>
      <c r="K200" s="25"/>
      <c r="L200" s="25"/>
      <c r="M200" s="25"/>
      <c r="N200" s="25"/>
      <c r="O200" s="25"/>
      <c r="P200" s="25"/>
      <c r="Q200" s="25"/>
      <c r="R200" s="25"/>
      <c r="S200" s="25"/>
      <c r="T200" s="25"/>
      <c r="U200" s="25"/>
      <c r="V200" s="59">
        <f>(V102+V104+V105+V106+V107+V108+V109+V111+V112)/-(V113+V114)</f>
        <v>16.02097902097902</v>
      </c>
      <c r="W200" s="25" t="s">
        <v>115</v>
      </c>
      <c r="X200" s="5"/>
    </row>
    <row r="201" spans="1:24" ht="15.6" x14ac:dyDescent="0.3">
      <c r="A201" s="24"/>
      <c r="B201" s="25" t="s">
        <v>199</v>
      </c>
      <c r="C201" s="25"/>
      <c r="D201" s="25"/>
      <c r="E201" s="25"/>
      <c r="F201" s="25"/>
      <c r="G201" s="25"/>
      <c r="H201" s="25"/>
      <c r="I201" s="25"/>
      <c r="J201" s="25"/>
      <c r="K201" s="25"/>
      <c r="L201" s="25"/>
      <c r="M201" s="25"/>
      <c r="N201" s="25"/>
      <c r="O201" s="25"/>
      <c r="P201" s="25"/>
      <c r="Q201" s="25"/>
      <c r="R201" s="25"/>
      <c r="S201" s="25"/>
      <c r="T201" s="25"/>
      <c r="U201" s="25"/>
      <c r="V201" s="66">
        <v>3.7</v>
      </c>
      <c r="W201" s="25" t="s">
        <v>115</v>
      </c>
      <c r="X201" s="5"/>
    </row>
    <row r="202" spans="1:24" ht="15.6" x14ac:dyDescent="0.3">
      <c r="A202" s="24"/>
      <c r="B202" s="25"/>
      <c r="C202" s="25"/>
      <c r="D202" s="25"/>
      <c r="E202" s="25"/>
      <c r="F202" s="25"/>
      <c r="G202" s="25"/>
      <c r="H202" s="25"/>
      <c r="I202" s="25"/>
      <c r="J202" s="25"/>
      <c r="K202" s="25"/>
      <c r="L202" s="25"/>
      <c r="M202" s="25"/>
      <c r="N202" s="25"/>
      <c r="O202" s="25"/>
      <c r="P202" s="25"/>
      <c r="Q202" s="25"/>
      <c r="R202" s="25"/>
      <c r="S202" s="25"/>
      <c r="T202" s="25"/>
      <c r="U202" s="25"/>
      <c r="V202" s="25"/>
      <c r="W202" s="25"/>
      <c r="X202" s="5"/>
    </row>
    <row r="203" spans="1:24" ht="15.6" x14ac:dyDescent="0.3">
      <c r="A203" s="24"/>
      <c r="B203" s="25"/>
      <c r="C203" s="25"/>
      <c r="D203" s="25"/>
      <c r="E203" s="25"/>
      <c r="F203" s="25"/>
      <c r="G203" s="25"/>
      <c r="H203" s="25"/>
      <c r="I203" s="25"/>
      <c r="J203" s="25"/>
      <c r="K203" s="25"/>
      <c r="L203" s="25"/>
      <c r="M203" s="25"/>
      <c r="N203" s="25"/>
      <c r="O203" s="25"/>
      <c r="P203" s="25"/>
      <c r="Q203" s="25"/>
      <c r="R203" s="25"/>
      <c r="S203" s="25"/>
      <c r="T203" s="25"/>
      <c r="U203" s="25"/>
      <c r="V203" s="25"/>
      <c r="W203" s="25"/>
      <c r="X203" s="5"/>
    </row>
    <row r="204" spans="1:24" ht="15.6" x14ac:dyDescent="0.3">
      <c r="A204" s="6"/>
      <c r="B204" s="8"/>
      <c r="C204" s="8"/>
      <c r="D204" s="8"/>
      <c r="E204" s="8"/>
      <c r="F204" s="8"/>
      <c r="G204" s="8"/>
      <c r="H204" s="8"/>
      <c r="I204" s="8"/>
      <c r="J204" s="8"/>
      <c r="K204" s="8"/>
      <c r="L204" s="8"/>
      <c r="M204" s="8"/>
      <c r="N204" s="8"/>
      <c r="O204" s="8"/>
      <c r="P204" s="8"/>
      <c r="Q204" s="8"/>
      <c r="R204" s="8"/>
      <c r="S204" s="8"/>
      <c r="T204" s="8"/>
      <c r="U204" s="8"/>
      <c r="V204" s="8"/>
      <c r="W204" s="8"/>
      <c r="X204" s="5"/>
    </row>
    <row r="205" spans="1:24" ht="18" thickBot="1" x14ac:dyDescent="0.35">
      <c r="A205" s="101"/>
      <c r="B205" s="102" t="str">
        <f>B139</f>
        <v>PM14 INVESTOR REPORT QUARTER ENDING FEBRUARY 2010</v>
      </c>
      <c r="C205" s="176"/>
      <c r="D205" s="176"/>
      <c r="E205" s="176"/>
      <c r="F205" s="176"/>
      <c r="G205" s="176"/>
      <c r="H205" s="176"/>
      <c r="I205" s="176"/>
      <c r="J205" s="176"/>
      <c r="K205" s="176"/>
      <c r="L205" s="176"/>
      <c r="M205" s="176"/>
      <c r="N205" s="176"/>
      <c r="O205" s="176"/>
      <c r="P205" s="176"/>
      <c r="Q205" s="176"/>
      <c r="R205" s="176"/>
      <c r="S205" s="176"/>
      <c r="T205" s="176"/>
      <c r="U205" s="176"/>
      <c r="V205" s="176"/>
      <c r="W205" s="177"/>
      <c r="X205" s="5"/>
    </row>
    <row r="206" spans="1:24" ht="15.6" x14ac:dyDescent="0.3">
      <c r="A206" s="67"/>
      <c r="B206" s="60" t="s">
        <v>70</v>
      </c>
      <c r="C206" s="68"/>
      <c r="D206" s="68"/>
      <c r="E206" s="68"/>
      <c r="F206" s="68"/>
      <c r="G206" s="69"/>
      <c r="H206" s="69"/>
      <c r="I206" s="69"/>
      <c r="J206" s="69"/>
      <c r="K206" s="69"/>
      <c r="L206" s="69"/>
      <c r="M206" s="69"/>
      <c r="N206" s="69"/>
      <c r="O206" s="69"/>
      <c r="P206" s="69"/>
      <c r="Q206" s="69"/>
      <c r="R206" s="69"/>
      <c r="S206" s="69"/>
      <c r="T206" s="70">
        <v>40235</v>
      </c>
      <c r="U206" s="4"/>
      <c r="V206" s="4"/>
      <c r="W206" s="4"/>
      <c r="X206" s="5"/>
    </row>
    <row r="207" spans="1:24" ht="15.6" x14ac:dyDescent="0.3">
      <c r="A207" s="71"/>
      <c r="B207" s="72"/>
      <c r="C207" s="73"/>
      <c r="D207" s="73"/>
      <c r="E207" s="73"/>
      <c r="F207" s="73"/>
      <c r="G207" s="74"/>
      <c r="H207" s="74"/>
      <c r="I207" s="74"/>
      <c r="J207" s="74"/>
      <c r="K207" s="74"/>
      <c r="L207" s="74"/>
      <c r="M207" s="74"/>
      <c r="N207" s="74"/>
      <c r="O207" s="74"/>
      <c r="P207" s="74"/>
      <c r="Q207" s="74"/>
      <c r="R207" s="74"/>
      <c r="S207" s="74"/>
      <c r="T207" s="74"/>
      <c r="U207" s="8"/>
      <c r="V207" s="8"/>
      <c r="W207" s="8"/>
      <c r="X207" s="5"/>
    </row>
    <row r="208" spans="1:24" ht="15.6" x14ac:dyDescent="0.3">
      <c r="A208" s="75"/>
      <c r="B208" s="76" t="s">
        <v>71</v>
      </c>
      <c r="C208" s="77"/>
      <c r="D208" s="77"/>
      <c r="E208" s="77"/>
      <c r="F208" s="77"/>
      <c r="G208" s="64"/>
      <c r="H208" s="64"/>
      <c r="I208" s="64"/>
      <c r="J208" s="64"/>
      <c r="K208" s="64"/>
      <c r="L208" s="64"/>
      <c r="M208" s="64"/>
      <c r="N208" s="64"/>
      <c r="O208" s="64"/>
      <c r="P208" s="64"/>
      <c r="Q208" s="64"/>
      <c r="R208" s="64"/>
      <c r="S208" s="64"/>
      <c r="T208" s="78">
        <v>5.2819999999999999E-2</v>
      </c>
      <c r="U208" s="25"/>
      <c r="V208" s="25"/>
      <c r="W208" s="25"/>
      <c r="X208" s="5"/>
    </row>
    <row r="209" spans="1:24" ht="15.6" x14ac:dyDescent="0.3">
      <c r="A209" s="75"/>
      <c r="B209" s="76" t="s">
        <v>151</v>
      </c>
      <c r="C209" s="77"/>
      <c r="D209" s="77"/>
      <c r="E209" s="77"/>
      <c r="F209" s="77"/>
      <c r="G209" s="64"/>
      <c r="H209" s="64"/>
      <c r="I209" s="64"/>
      <c r="J209" s="64"/>
      <c r="K209" s="64"/>
      <c r="L209" s="64"/>
      <c r="M209" s="64"/>
      <c r="N209" s="64"/>
      <c r="O209" s="64"/>
      <c r="P209" s="64"/>
      <c r="Q209" s="64"/>
      <c r="R209" s="64"/>
      <c r="S209" s="64"/>
      <c r="T209" s="39">
        <v>5.7799999999999997E-2</v>
      </c>
      <c r="U209" s="25"/>
      <c r="V209" s="25"/>
      <c r="W209" s="25"/>
      <c r="X209" s="5"/>
    </row>
    <row r="210" spans="1:24" ht="15.6" x14ac:dyDescent="0.3">
      <c r="A210" s="75"/>
      <c r="B210" s="76" t="s">
        <v>72</v>
      </c>
      <c r="C210" s="77"/>
      <c r="D210" s="77"/>
      <c r="E210" s="77"/>
      <c r="F210" s="77"/>
      <c r="G210" s="64"/>
      <c r="H210" s="64"/>
      <c r="I210" s="64"/>
      <c r="J210" s="64"/>
      <c r="K210" s="64"/>
      <c r="L210" s="64"/>
      <c r="M210" s="64"/>
      <c r="N210" s="64"/>
      <c r="O210" s="64"/>
      <c r="P210" s="64"/>
      <c r="Q210" s="64"/>
      <c r="R210" s="64"/>
      <c r="S210" s="64"/>
      <c r="T210" s="78">
        <f>T208-T209</f>
        <v>-4.9799999999999983E-3</v>
      </c>
      <c r="U210" s="25"/>
      <c r="V210" s="25"/>
      <c r="W210" s="25"/>
      <c r="X210" s="5"/>
    </row>
    <row r="211" spans="1:24" ht="15.6" x14ac:dyDescent="0.3">
      <c r="A211" s="75"/>
      <c r="B211" s="76" t="s">
        <v>73</v>
      </c>
      <c r="C211" s="77"/>
      <c r="D211" s="77"/>
      <c r="E211" s="77"/>
      <c r="F211" s="77"/>
      <c r="G211" s="64"/>
      <c r="H211" s="64"/>
      <c r="I211" s="64"/>
      <c r="J211" s="64"/>
      <c r="K211" s="64"/>
      <c r="L211" s="64"/>
      <c r="M211" s="64"/>
      <c r="N211" s="64"/>
      <c r="O211" s="64"/>
      <c r="P211" s="64"/>
      <c r="Q211" s="64"/>
      <c r="R211" s="64"/>
      <c r="S211" s="64"/>
      <c r="T211" s="78">
        <v>2.6169999999999999E-2</v>
      </c>
      <c r="U211" s="25"/>
      <c r="V211" s="25"/>
      <c r="W211" s="25"/>
      <c r="X211" s="5"/>
    </row>
    <row r="212" spans="1:24" ht="15.6" x14ac:dyDescent="0.3">
      <c r="A212" s="75"/>
      <c r="B212" s="76" t="s">
        <v>219</v>
      </c>
      <c r="C212" s="77"/>
      <c r="D212" s="77"/>
      <c r="E212" s="77"/>
      <c r="F212" s="77"/>
      <c r="G212" s="64"/>
      <c r="H212" s="64"/>
      <c r="I212" s="64"/>
      <c r="J212" s="64"/>
      <c r="K212" s="64"/>
      <c r="L212" s="64"/>
      <c r="M212" s="64"/>
      <c r="N212" s="64"/>
      <c r="O212" s="64"/>
      <c r="P212" s="64"/>
      <c r="Q212" s="64"/>
      <c r="R212" s="64"/>
      <c r="S212" s="64"/>
      <c r="T212" s="78">
        <f>V43</f>
        <v>7.6811845767109227E-3</v>
      </c>
      <c r="U212" s="25"/>
      <c r="V212" s="25"/>
      <c r="W212" s="25"/>
      <c r="X212" s="5"/>
    </row>
    <row r="213" spans="1:24" ht="15.6" x14ac:dyDescent="0.3">
      <c r="A213" s="75"/>
      <c r="B213" s="76" t="s">
        <v>74</v>
      </c>
      <c r="C213" s="77"/>
      <c r="D213" s="77"/>
      <c r="E213" s="77"/>
      <c r="F213" s="77"/>
      <c r="G213" s="64"/>
      <c r="H213" s="64"/>
      <c r="I213" s="64"/>
      <c r="J213" s="64"/>
      <c r="K213" s="64"/>
      <c r="L213" s="64"/>
      <c r="M213" s="64"/>
      <c r="N213" s="64"/>
      <c r="O213" s="64"/>
      <c r="P213" s="64"/>
      <c r="Q213" s="64"/>
      <c r="R213" s="64"/>
      <c r="S213" s="64"/>
      <c r="T213" s="78">
        <f>T211-T212</f>
        <v>1.8488815423289076E-2</v>
      </c>
      <c r="U213" s="25"/>
      <c r="V213" s="25"/>
      <c r="W213" s="25"/>
      <c r="X213" s="5"/>
    </row>
    <row r="214" spans="1:24" ht="15.6" x14ac:dyDescent="0.3">
      <c r="A214" s="75"/>
      <c r="B214" s="76" t="s">
        <v>242</v>
      </c>
      <c r="C214" s="77"/>
      <c r="D214" s="77"/>
      <c r="E214" s="77"/>
      <c r="F214" s="77"/>
      <c r="G214" s="64"/>
      <c r="H214" s="64"/>
      <c r="I214" s="64"/>
      <c r="J214" s="64"/>
      <c r="K214" s="64"/>
      <c r="L214" s="64"/>
      <c r="M214" s="64"/>
      <c r="N214" s="64"/>
      <c r="O214" s="64"/>
      <c r="P214" s="64"/>
      <c r="Q214" s="64"/>
      <c r="R214" s="64"/>
      <c r="S214" s="64"/>
      <c r="T214" s="78">
        <f>V102/N72</f>
        <v>6.7073124904488439E-3</v>
      </c>
      <c r="U214" s="25"/>
      <c r="V214" s="25"/>
      <c r="W214" s="25"/>
      <c r="X214" s="5"/>
    </row>
    <row r="215" spans="1:24" ht="15.6" x14ac:dyDescent="0.3">
      <c r="A215" s="75"/>
      <c r="B215" s="76" t="s">
        <v>208</v>
      </c>
      <c r="C215" s="77"/>
      <c r="D215" s="77"/>
      <c r="E215" s="77"/>
      <c r="F215" s="77"/>
      <c r="G215" s="64"/>
      <c r="H215" s="64"/>
      <c r="I215" s="64"/>
      <c r="J215" s="64"/>
      <c r="K215" s="64"/>
      <c r="L215" s="64"/>
      <c r="M215" s="64"/>
      <c r="N215" s="64"/>
      <c r="O215" s="64"/>
      <c r="P215" s="64"/>
      <c r="Q215" s="64"/>
      <c r="R215" s="64"/>
      <c r="S215" s="64"/>
      <c r="T215" s="129">
        <v>51014</v>
      </c>
      <c r="U215" s="25"/>
      <c r="V215" s="25"/>
      <c r="W215" s="25"/>
      <c r="X215" s="5"/>
    </row>
    <row r="216" spans="1:24" ht="15.6" x14ac:dyDescent="0.3">
      <c r="A216" s="75"/>
      <c r="B216" s="76" t="s">
        <v>209</v>
      </c>
      <c r="C216" s="77"/>
      <c r="D216" s="77"/>
      <c r="E216" s="77"/>
      <c r="F216" s="77"/>
      <c r="G216" s="64"/>
      <c r="H216" s="64"/>
      <c r="I216" s="64"/>
      <c r="J216" s="64"/>
      <c r="K216" s="64"/>
      <c r="L216" s="64"/>
      <c r="M216" s="64"/>
      <c r="N216" s="64"/>
      <c r="O216" s="64"/>
      <c r="P216" s="64"/>
      <c r="Q216" s="64"/>
      <c r="R216" s="64"/>
      <c r="S216" s="64"/>
      <c r="T216" s="129">
        <v>51014</v>
      </c>
      <c r="U216" s="25"/>
      <c r="V216" s="25"/>
      <c r="W216" s="25"/>
      <c r="X216" s="5"/>
    </row>
    <row r="217" spans="1:24" ht="15.6" x14ac:dyDescent="0.3">
      <c r="A217" s="75"/>
      <c r="B217" s="76" t="s">
        <v>210</v>
      </c>
      <c r="C217" s="77"/>
      <c r="D217" s="77"/>
      <c r="E217" s="77"/>
      <c r="F217" s="77"/>
      <c r="G217" s="64"/>
      <c r="H217" s="64"/>
      <c r="I217" s="64"/>
      <c r="J217" s="64"/>
      <c r="K217" s="64"/>
      <c r="L217" s="64"/>
      <c r="M217" s="64"/>
      <c r="N217" s="64"/>
      <c r="O217" s="64"/>
      <c r="P217" s="64"/>
      <c r="Q217" s="64"/>
      <c r="R217" s="64"/>
      <c r="S217" s="64"/>
      <c r="T217" s="129">
        <v>51014</v>
      </c>
      <c r="U217" s="25"/>
      <c r="V217" s="25"/>
      <c r="W217" s="25"/>
      <c r="X217" s="5"/>
    </row>
    <row r="218" spans="1:24" ht="15.6" x14ac:dyDescent="0.3">
      <c r="A218" s="75"/>
      <c r="B218" s="76" t="s">
        <v>75</v>
      </c>
      <c r="C218" s="77"/>
      <c r="D218" s="77"/>
      <c r="E218" s="77"/>
      <c r="F218" s="77"/>
      <c r="G218" s="64"/>
      <c r="H218" s="64"/>
      <c r="I218" s="64"/>
      <c r="J218" s="64"/>
      <c r="K218" s="64"/>
      <c r="L218" s="64"/>
      <c r="M218" s="64"/>
      <c r="N218" s="64"/>
      <c r="O218" s="64"/>
      <c r="P218" s="64"/>
      <c r="Q218" s="64"/>
      <c r="R218" s="64"/>
      <c r="S218" s="64"/>
      <c r="T218" s="133">
        <v>20.66</v>
      </c>
      <c r="U218" s="25" t="s">
        <v>110</v>
      </c>
      <c r="V218" s="25"/>
      <c r="W218" s="25"/>
      <c r="X218" s="5"/>
    </row>
    <row r="219" spans="1:24" ht="15.6" x14ac:dyDescent="0.3">
      <c r="A219" s="75"/>
      <c r="B219" s="76" t="s">
        <v>76</v>
      </c>
      <c r="C219" s="77"/>
      <c r="D219" s="77"/>
      <c r="E219" s="77"/>
      <c r="F219" s="77"/>
      <c r="G219" s="64"/>
      <c r="H219" s="64"/>
      <c r="I219" s="64"/>
      <c r="J219" s="64"/>
      <c r="K219" s="64"/>
      <c r="L219" s="64"/>
      <c r="M219" s="64"/>
      <c r="N219" s="64"/>
      <c r="O219" s="64"/>
      <c r="P219" s="64"/>
      <c r="Q219" s="64"/>
      <c r="R219" s="64"/>
      <c r="S219" s="64"/>
      <c r="T219" s="133">
        <v>18.36</v>
      </c>
      <c r="U219" s="25" t="s">
        <v>110</v>
      </c>
      <c r="V219" s="25"/>
      <c r="W219" s="25"/>
      <c r="X219" s="5"/>
    </row>
    <row r="220" spans="1:24" ht="15.6" x14ac:dyDescent="0.3">
      <c r="A220" s="75"/>
      <c r="B220" s="76" t="s">
        <v>77</v>
      </c>
      <c r="C220" s="77"/>
      <c r="D220" s="77"/>
      <c r="E220" s="77"/>
      <c r="F220" s="77"/>
      <c r="G220" s="64"/>
      <c r="H220" s="64"/>
      <c r="I220" s="64"/>
      <c r="J220" s="64"/>
      <c r="K220" s="64"/>
      <c r="L220" s="64"/>
      <c r="M220" s="64"/>
      <c r="N220" s="64"/>
      <c r="O220" s="64"/>
      <c r="P220" s="64"/>
      <c r="Q220" s="64"/>
      <c r="R220" s="64"/>
      <c r="S220" s="64"/>
      <c r="T220" s="78">
        <f>+P69/N69</f>
        <v>7.4613841013645944E-3</v>
      </c>
      <c r="U220" s="25"/>
      <c r="V220" s="25"/>
      <c r="W220" s="25"/>
      <c r="X220" s="5"/>
    </row>
    <row r="221" spans="1:24" ht="15.6" x14ac:dyDescent="0.3">
      <c r="A221" s="75"/>
      <c r="B221" s="76" t="s">
        <v>78</v>
      </c>
      <c r="C221" s="77"/>
      <c r="D221" s="77"/>
      <c r="E221" s="77"/>
      <c r="F221" s="77"/>
      <c r="G221" s="64"/>
      <c r="H221" s="64"/>
      <c r="I221" s="64"/>
      <c r="J221" s="64"/>
      <c r="K221" s="64"/>
      <c r="L221" s="64"/>
      <c r="M221" s="64"/>
      <c r="N221" s="64"/>
      <c r="O221" s="64"/>
      <c r="P221" s="64"/>
      <c r="Q221" s="64"/>
      <c r="R221" s="64"/>
      <c r="S221" s="64"/>
      <c r="T221" s="78">
        <v>8.2600000000000007E-2</v>
      </c>
      <c r="U221" s="25"/>
      <c r="V221" s="25"/>
      <c r="W221" s="25"/>
      <c r="X221" s="5"/>
    </row>
    <row r="222" spans="1:24" ht="15.6" x14ac:dyDescent="0.3">
      <c r="A222" s="75"/>
      <c r="B222" s="76"/>
      <c r="C222" s="76"/>
      <c r="D222" s="76"/>
      <c r="E222" s="76"/>
      <c r="F222" s="76"/>
      <c r="G222" s="25"/>
      <c r="H222" s="25"/>
      <c r="I222" s="25"/>
      <c r="J222" s="25"/>
      <c r="K222" s="25"/>
      <c r="L222" s="25"/>
      <c r="M222" s="25"/>
      <c r="N222" s="25"/>
      <c r="O222" s="25"/>
      <c r="P222" s="25"/>
      <c r="Q222" s="25"/>
      <c r="R222" s="25"/>
      <c r="S222" s="25"/>
      <c r="T222" s="61"/>
      <c r="U222" s="25"/>
      <c r="V222" s="79"/>
      <c r="W222" s="25"/>
      <c r="X222" s="5"/>
    </row>
    <row r="223" spans="1:24" ht="15.6" x14ac:dyDescent="0.3">
      <c r="A223" s="80"/>
      <c r="B223" s="14" t="s">
        <v>79</v>
      </c>
      <c r="C223" s="81"/>
      <c r="D223" s="81"/>
      <c r="E223" s="81"/>
      <c r="F223" s="82"/>
      <c r="G223" s="81"/>
      <c r="H223" s="17"/>
      <c r="I223" s="17"/>
      <c r="J223" s="17"/>
      <c r="K223" s="17"/>
      <c r="L223" s="17"/>
      <c r="M223" s="17"/>
      <c r="N223" s="17"/>
      <c r="O223" s="17"/>
      <c r="P223" s="17"/>
      <c r="Q223" s="17"/>
      <c r="R223" s="17"/>
      <c r="S223" s="17" t="s">
        <v>102</v>
      </c>
      <c r="T223" s="83" t="s">
        <v>108</v>
      </c>
      <c r="U223" s="8"/>
      <c r="V223" s="8"/>
      <c r="W223" s="8"/>
      <c r="X223" s="5"/>
    </row>
    <row r="224" spans="1:24" ht="15.6" x14ac:dyDescent="0.3">
      <c r="A224" s="84"/>
      <c r="B224" s="76" t="s">
        <v>80</v>
      </c>
      <c r="C224" s="54"/>
      <c r="D224" s="54"/>
      <c r="E224" s="54"/>
      <c r="F224" s="25"/>
      <c r="G224" s="25"/>
      <c r="H224" s="30"/>
      <c r="I224" s="30"/>
      <c r="J224" s="30"/>
      <c r="K224" s="30"/>
      <c r="L224" s="30"/>
      <c r="M224" s="30"/>
      <c r="N224" s="30"/>
      <c r="O224" s="30"/>
      <c r="P224" s="30"/>
      <c r="Q224" s="30"/>
      <c r="R224" s="30"/>
      <c r="S224" s="30">
        <v>0</v>
      </c>
      <c r="T224" s="85">
        <v>0</v>
      </c>
      <c r="U224" s="25"/>
      <c r="V224" s="79"/>
      <c r="W224" s="86"/>
      <c r="X224" s="5"/>
    </row>
    <row r="225" spans="1:24" ht="15.6" x14ac:dyDescent="0.3">
      <c r="A225" s="84"/>
      <c r="B225" s="76" t="s">
        <v>145</v>
      </c>
      <c r="C225" s="54"/>
      <c r="D225" s="54"/>
      <c r="E225" s="54"/>
      <c r="F225" s="25"/>
      <c r="G225" s="25"/>
      <c r="H225" s="30"/>
      <c r="I225" s="30"/>
      <c r="J225" s="30"/>
      <c r="K225" s="30"/>
      <c r="L225" s="30"/>
      <c r="M225" s="30"/>
      <c r="N225" s="30"/>
      <c r="O225" s="30"/>
      <c r="P225" s="30"/>
      <c r="Q225" s="30"/>
      <c r="R225" s="30"/>
      <c r="S225" s="150">
        <f>+R265</f>
        <v>187</v>
      </c>
      <c r="T225" s="85">
        <f>+T265</f>
        <v>31143</v>
      </c>
      <c r="U225" s="25"/>
      <c r="V225" s="79"/>
      <c r="W225" s="86"/>
      <c r="X225" s="5"/>
    </row>
    <row r="226" spans="1:24" ht="15.6" x14ac:dyDescent="0.3">
      <c r="A226" s="84"/>
      <c r="B226" s="76" t="s">
        <v>81</v>
      </c>
      <c r="C226" s="54"/>
      <c r="D226" s="54"/>
      <c r="E226" s="54"/>
      <c r="F226" s="25"/>
      <c r="G226" s="25"/>
      <c r="H226" s="30"/>
      <c r="I226" s="30"/>
      <c r="J226" s="30"/>
      <c r="K226" s="30"/>
      <c r="L226" s="30"/>
      <c r="M226" s="30"/>
      <c r="N226" s="30"/>
      <c r="O226" s="30"/>
      <c r="P226" s="30"/>
      <c r="Q226" s="30"/>
      <c r="R226" s="30"/>
      <c r="S226" s="150">
        <f>+R277</f>
        <v>0</v>
      </c>
      <c r="T226" s="85">
        <f>+T277</f>
        <v>0</v>
      </c>
      <c r="U226" s="25"/>
      <c r="V226" s="79"/>
      <c r="W226" s="86"/>
      <c r="X226" s="5"/>
    </row>
    <row r="227" spans="1:24" ht="15.6" x14ac:dyDescent="0.3">
      <c r="A227" s="84"/>
      <c r="B227" s="122" t="s">
        <v>82</v>
      </c>
      <c r="C227" s="54"/>
      <c r="D227" s="54"/>
      <c r="E227" s="54"/>
      <c r="F227" s="25"/>
      <c r="G227" s="25"/>
      <c r="H227" s="25"/>
      <c r="I227" s="25"/>
      <c r="J227" s="25"/>
      <c r="K227" s="25"/>
      <c r="L227" s="25"/>
      <c r="M227" s="25"/>
      <c r="N227" s="25"/>
      <c r="O227" s="25"/>
      <c r="P227" s="25"/>
      <c r="Q227" s="25"/>
      <c r="R227" s="25"/>
      <c r="S227" s="25"/>
      <c r="T227" s="85">
        <v>0</v>
      </c>
      <c r="U227" s="25"/>
      <c r="V227" s="79"/>
      <c r="W227" s="86"/>
      <c r="X227" s="5"/>
    </row>
    <row r="228" spans="1:24" ht="15.6" x14ac:dyDescent="0.3">
      <c r="A228" s="84"/>
      <c r="B228" s="122" t="s">
        <v>243</v>
      </c>
      <c r="C228" s="54"/>
      <c r="D228" s="54"/>
      <c r="E228" s="54"/>
      <c r="F228" s="25"/>
      <c r="G228" s="25"/>
      <c r="H228" s="25"/>
      <c r="I228" s="25"/>
      <c r="J228" s="25"/>
      <c r="K228" s="25"/>
      <c r="L228" s="25"/>
      <c r="M228" s="25"/>
      <c r="N228" s="25"/>
      <c r="O228" s="25"/>
      <c r="P228" s="25"/>
      <c r="Q228" s="25"/>
      <c r="R228" s="25"/>
      <c r="S228" s="25"/>
      <c r="T228" s="85">
        <f>+N82</f>
        <v>0</v>
      </c>
      <c r="U228" s="25"/>
      <c r="V228" s="79"/>
      <c r="W228" s="86"/>
      <c r="X228" s="5"/>
    </row>
    <row r="229" spans="1:24" ht="15.6" x14ac:dyDescent="0.3">
      <c r="A229" s="87"/>
      <c r="B229" s="122" t="s">
        <v>83</v>
      </c>
      <c r="C229" s="76"/>
      <c r="D229" s="76"/>
      <c r="E229" s="76"/>
      <c r="F229" s="76"/>
      <c r="G229" s="25"/>
      <c r="H229" s="25"/>
      <c r="I229" s="25"/>
      <c r="J229" s="25"/>
      <c r="K229" s="25"/>
      <c r="L229" s="25"/>
      <c r="M229" s="25"/>
      <c r="N229" s="25"/>
      <c r="O229" s="25"/>
      <c r="P229" s="25"/>
      <c r="Q229" s="25"/>
      <c r="R229" s="25"/>
      <c r="S229" s="25"/>
      <c r="T229" s="85"/>
      <c r="U229" s="25"/>
      <c r="V229" s="79"/>
      <c r="W229" s="88"/>
      <c r="X229" s="5"/>
    </row>
    <row r="230" spans="1:24" ht="15.6" x14ac:dyDescent="0.3">
      <c r="A230" s="87"/>
      <c r="B230" s="131" t="s">
        <v>84</v>
      </c>
      <c r="C230" s="76"/>
      <c r="D230" s="76"/>
      <c r="E230" s="76"/>
      <c r="F230" s="76"/>
      <c r="G230" s="25"/>
      <c r="H230" s="25"/>
      <c r="I230" s="25"/>
      <c r="J230" s="25"/>
      <c r="K230" s="25"/>
      <c r="L230" s="25"/>
      <c r="M230" s="25"/>
      <c r="N230" s="25"/>
      <c r="O230" s="25"/>
      <c r="P230" s="25"/>
      <c r="Q230" s="25"/>
      <c r="R230" s="25"/>
      <c r="S230" s="30"/>
      <c r="T230" s="85">
        <f>V168</f>
        <v>259</v>
      </c>
      <c r="U230" s="25"/>
      <c r="V230" s="79"/>
      <c r="W230" s="88"/>
      <c r="X230" s="5"/>
    </row>
    <row r="231" spans="1:24" ht="15.6" x14ac:dyDescent="0.3">
      <c r="A231" s="84"/>
      <c r="B231" s="76" t="s">
        <v>85</v>
      </c>
      <c r="C231" s="54"/>
      <c r="D231" s="54"/>
      <c r="E231" s="54"/>
      <c r="F231" s="54"/>
      <c r="G231" s="25"/>
      <c r="H231" s="25"/>
      <c r="I231" s="25"/>
      <c r="J231" s="25"/>
      <c r="K231" s="25"/>
      <c r="L231" s="25"/>
      <c r="M231" s="25"/>
      <c r="N231" s="25"/>
      <c r="O231" s="25"/>
      <c r="P231" s="25"/>
      <c r="Q231" s="25"/>
      <c r="R231" s="25"/>
      <c r="S231" s="30"/>
      <c r="T231" s="85">
        <f>'Nov 09'!T231+T230</f>
        <v>1552</v>
      </c>
      <c r="U231" s="25"/>
      <c r="V231" s="79"/>
      <c r="W231" s="88"/>
      <c r="X231" s="5"/>
    </row>
    <row r="232" spans="1:24" ht="15.6" x14ac:dyDescent="0.3">
      <c r="A232" s="87"/>
      <c r="B232" s="122" t="s">
        <v>295</v>
      </c>
      <c r="C232" s="76"/>
      <c r="D232" s="76"/>
      <c r="E232" s="76"/>
      <c r="F232" s="76"/>
      <c r="G232" s="25"/>
      <c r="H232" s="25"/>
      <c r="I232" s="25"/>
      <c r="J232" s="25"/>
      <c r="K232" s="25"/>
      <c r="L232" s="25"/>
      <c r="M232" s="25"/>
      <c r="N232" s="25"/>
      <c r="O232" s="25"/>
      <c r="P232" s="25"/>
      <c r="Q232" s="25"/>
      <c r="R232" s="25"/>
      <c r="S232" s="30"/>
      <c r="T232" s="85"/>
      <c r="U232" s="25"/>
      <c r="V232" s="79"/>
      <c r="W232" s="88"/>
      <c r="X232" s="5"/>
    </row>
    <row r="233" spans="1:24" ht="15.6" x14ac:dyDescent="0.3">
      <c r="A233" s="87"/>
      <c r="B233" s="76" t="s">
        <v>291</v>
      </c>
      <c r="C233" s="76"/>
      <c r="D233" s="76"/>
      <c r="E233" s="76"/>
      <c r="F233" s="76"/>
      <c r="G233" s="25"/>
      <c r="H233" s="25"/>
      <c r="I233" s="25"/>
      <c r="J233" s="25"/>
      <c r="K233" s="25"/>
      <c r="L233" s="25"/>
      <c r="M233" s="25"/>
      <c r="N233" s="25"/>
      <c r="O233" s="25"/>
      <c r="P233" s="25"/>
      <c r="Q233" s="25"/>
      <c r="R233" s="25"/>
      <c r="S233" s="30">
        <v>0</v>
      </c>
      <c r="T233" s="85">
        <v>0</v>
      </c>
      <c r="U233" s="25"/>
      <c r="V233" s="79"/>
      <c r="W233" s="88"/>
      <c r="X233" s="5"/>
    </row>
    <row r="234" spans="1:24" ht="15.6" x14ac:dyDescent="0.3">
      <c r="A234" s="84"/>
      <c r="B234" s="76" t="s">
        <v>86</v>
      </c>
      <c r="C234" s="89"/>
      <c r="D234" s="89"/>
      <c r="E234" s="89"/>
      <c r="F234" s="90"/>
      <c r="G234" s="25"/>
      <c r="H234" s="25"/>
      <c r="I234" s="25"/>
      <c r="J234" s="25"/>
      <c r="K234" s="25"/>
      <c r="L234" s="25"/>
      <c r="M234" s="25"/>
      <c r="N234" s="25"/>
      <c r="O234" s="25"/>
      <c r="P234" s="25"/>
      <c r="Q234" s="25"/>
      <c r="R234" s="25"/>
      <c r="S234" s="25"/>
      <c r="T234" s="62">
        <v>0</v>
      </c>
      <c r="U234" s="25"/>
      <c r="V234" s="79"/>
      <c r="W234" s="88"/>
      <c r="X234" s="5"/>
    </row>
    <row r="235" spans="1:24" ht="15.6" x14ac:dyDescent="0.3">
      <c r="A235" s="84"/>
      <c r="B235" s="76" t="s">
        <v>87</v>
      </c>
      <c r="C235" s="89"/>
      <c r="D235" s="89"/>
      <c r="E235" s="89"/>
      <c r="F235" s="90"/>
      <c r="G235" s="25"/>
      <c r="H235" s="25"/>
      <c r="I235" s="25"/>
      <c r="J235" s="25"/>
      <c r="K235" s="25"/>
      <c r="L235" s="25"/>
      <c r="M235" s="25"/>
      <c r="N235" s="25"/>
      <c r="O235" s="25"/>
      <c r="P235" s="25"/>
      <c r="Q235" s="25"/>
      <c r="R235" s="25"/>
      <c r="S235" s="25"/>
      <c r="T235" s="62">
        <v>0</v>
      </c>
      <c r="U235" s="25"/>
      <c r="V235" s="79"/>
      <c r="W235" s="88"/>
      <c r="X235" s="5"/>
    </row>
    <row r="236" spans="1:24" ht="15.6" x14ac:dyDescent="0.3">
      <c r="A236" s="84"/>
      <c r="B236" s="122" t="s">
        <v>217</v>
      </c>
      <c r="C236" s="89"/>
      <c r="D236" s="89"/>
      <c r="E236" s="89"/>
      <c r="F236" s="90"/>
      <c r="G236" s="25"/>
      <c r="H236" s="25"/>
      <c r="I236" s="25"/>
      <c r="J236" s="25"/>
      <c r="K236" s="25"/>
      <c r="L236" s="25"/>
      <c r="M236" s="25"/>
      <c r="N236" s="25"/>
      <c r="O236" s="25"/>
      <c r="P236" s="25"/>
      <c r="Q236" s="25"/>
      <c r="R236" s="25"/>
      <c r="S236" s="25"/>
      <c r="T236" s="91"/>
      <c r="U236" s="25"/>
      <c r="V236" s="79"/>
      <c r="W236" s="88"/>
      <c r="X236" s="5"/>
    </row>
    <row r="237" spans="1:24" ht="15.6" x14ac:dyDescent="0.3">
      <c r="A237" s="84"/>
      <c r="B237" s="76" t="s">
        <v>291</v>
      </c>
      <c r="C237" s="89"/>
      <c r="D237" s="89"/>
      <c r="E237" s="89"/>
      <c r="F237" s="90"/>
      <c r="G237" s="25"/>
      <c r="H237" s="25"/>
      <c r="I237" s="25"/>
      <c r="J237" s="25"/>
      <c r="K237" s="25"/>
      <c r="L237" s="25"/>
      <c r="M237" s="25"/>
      <c r="N237" s="25"/>
      <c r="O237" s="25"/>
      <c r="P237" s="25"/>
      <c r="Q237" s="25"/>
      <c r="R237" s="25"/>
      <c r="S237" s="30">
        <v>8</v>
      </c>
      <c r="T237" s="85">
        <v>1025</v>
      </c>
      <c r="U237" s="25"/>
      <c r="V237" s="79"/>
      <c r="W237" s="88"/>
      <c r="X237" s="5"/>
    </row>
    <row r="238" spans="1:24" ht="15.6" x14ac:dyDescent="0.3">
      <c r="A238" s="84"/>
      <c r="B238" s="76" t="s">
        <v>218</v>
      </c>
      <c r="C238" s="89"/>
      <c r="D238" s="89"/>
      <c r="E238" s="89"/>
      <c r="F238" s="90"/>
      <c r="G238" s="25"/>
      <c r="H238" s="25"/>
      <c r="I238" s="25"/>
      <c r="J238" s="25"/>
      <c r="K238" s="25"/>
      <c r="L238" s="25"/>
      <c r="M238" s="25"/>
      <c r="N238" s="25"/>
      <c r="O238" s="25"/>
      <c r="P238" s="25"/>
      <c r="Q238" s="25"/>
      <c r="R238" s="25"/>
      <c r="S238" s="25"/>
      <c r="T238" s="62">
        <v>28.45</v>
      </c>
      <c r="U238" s="25"/>
      <c r="V238" s="79"/>
      <c r="W238" s="88"/>
      <c r="X238" s="5"/>
    </row>
    <row r="239" spans="1:24" ht="15.6" x14ac:dyDescent="0.3">
      <c r="A239" s="84"/>
      <c r="B239" s="76"/>
      <c r="C239" s="89"/>
      <c r="D239" s="89"/>
      <c r="E239" s="89"/>
      <c r="F239" s="90"/>
      <c r="G239" s="25"/>
      <c r="H239" s="25"/>
      <c r="I239" s="25"/>
      <c r="J239" s="25"/>
      <c r="K239" s="25"/>
      <c r="L239" s="25"/>
      <c r="M239" s="25"/>
      <c r="N239" s="25"/>
      <c r="O239" s="25"/>
      <c r="P239" s="25"/>
      <c r="Q239" s="25"/>
      <c r="R239" s="25"/>
      <c r="S239" s="25"/>
      <c r="T239" s="91"/>
      <c r="U239" s="25"/>
      <c r="V239" s="79"/>
      <c r="W239" s="88"/>
      <c r="X239" s="5"/>
    </row>
    <row r="240" spans="1:24" ht="15.6" x14ac:dyDescent="0.3">
      <c r="A240" s="84"/>
      <c r="B240" s="76"/>
      <c r="C240" s="89"/>
      <c r="D240" s="89"/>
      <c r="E240" s="89"/>
      <c r="F240" s="90"/>
      <c r="G240" s="25"/>
      <c r="H240" s="25"/>
      <c r="I240" s="25"/>
      <c r="J240" s="25"/>
      <c r="K240" s="25"/>
      <c r="L240" s="25"/>
      <c r="M240" s="25"/>
      <c r="N240" s="25"/>
      <c r="O240" s="25"/>
      <c r="P240" s="25"/>
      <c r="Q240" s="25"/>
      <c r="R240" s="25"/>
      <c r="S240" s="25"/>
      <c r="T240" s="91"/>
      <c r="U240" s="25"/>
      <c r="V240" s="79"/>
      <c r="W240" s="88"/>
      <c r="X240" s="5"/>
    </row>
    <row r="241" spans="1:25" ht="17.399999999999999" x14ac:dyDescent="0.3">
      <c r="A241" s="84"/>
      <c r="B241" s="147" t="s">
        <v>168</v>
      </c>
      <c r="C241" s="89"/>
      <c r="D241" s="89"/>
      <c r="E241" s="89"/>
      <c r="F241" s="90"/>
      <c r="G241" s="25"/>
      <c r="H241" s="25"/>
      <c r="I241" s="25"/>
      <c r="J241" s="25"/>
      <c r="K241" s="25"/>
      <c r="L241" s="25"/>
      <c r="M241" s="25"/>
      <c r="N241" s="25"/>
      <c r="O241" s="25"/>
      <c r="P241" s="148" t="s">
        <v>167</v>
      </c>
      <c r="Q241" s="25"/>
      <c r="R241" s="25"/>
      <c r="S241" s="25"/>
      <c r="T241" s="91"/>
      <c r="U241" s="25"/>
      <c r="V241" s="79"/>
      <c r="W241" s="88"/>
      <c r="X241" s="5"/>
    </row>
    <row r="242" spans="1:25" ht="15.6" x14ac:dyDescent="0.3">
      <c r="A242" s="84"/>
      <c r="B242" s="76"/>
      <c r="C242" s="89"/>
      <c r="D242" s="89"/>
      <c r="E242" s="89"/>
      <c r="F242" s="90"/>
      <c r="G242" s="25"/>
      <c r="H242" s="25"/>
      <c r="I242" s="25"/>
      <c r="J242" s="25"/>
      <c r="K242" s="25"/>
      <c r="L242" s="25"/>
      <c r="M242" s="25"/>
      <c r="N242" s="25"/>
      <c r="O242" s="25"/>
      <c r="P242" s="25"/>
      <c r="Q242" s="25"/>
      <c r="R242" s="25"/>
      <c r="S242" s="25"/>
      <c r="T242" s="91"/>
      <c r="U242" s="25"/>
      <c r="V242" s="79"/>
      <c r="W242" s="88"/>
      <c r="X242" s="5"/>
    </row>
    <row r="243" spans="1:25" ht="15.6" x14ac:dyDescent="0.3">
      <c r="A243" s="6"/>
      <c r="B243" s="14" t="s">
        <v>162</v>
      </c>
      <c r="C243" s="81"/>
      <c r="D243" s="81"/>
      <c r="E243" s="81"/>
      <c r="F243" s="82"/>
      <c r="G243" s="81"/>
      <c r="H243" s="17"/>
      <c r="I243" s="17"/>
      <c r="J243" s="17"/>
      <c r="K243" s="17"/>
      <c r="L243" s="17"/>
      <c r="M243" s="17"/>
      <c r="N243" s="17"/>
      <c r="O243" s="17"/>
      <c r="P243" s="17"/>
      <c r="Q243" s="17"/>
      <c r="R243" s="83" t="s">
        <v>102</v>
      </c>
      <c r="S243" s="17" t="s">
        <v>103</v>
      </c>
      <c r="T243" s="83" t="s">
        <v>109</v>
      </c>
      <c r="U243" s="17" t="s">
        <v>103</v>
      </c>
      <c r="V243" s="8"/>
      <c r="W243" s="92"/>
      <c r="X243" s="5"/>
    </row>
    <row r="244" spans="1:25" ht="15.6" x14ac:dyDescent="0.3">
      <c r="A244" s="24"/>
      <c r="B244" s="54" t="s">
        <v>88</v>
      </c>
      <c r="C244" s="93"/>
      <c r="D244" s="93"/>
      <c r="E244" s="93"/>
      <c r="F244" s="25"/>
      <c r="G244" s="93"/>
      <c r="H244" s="93"/>
      <c r="I244" s="93"/>
      <c r="J244" s="93"/>
      <c r="K244" s="93"/>
      <c r="L244" s="93"/>
      <c r="M244" s="93"/>
      <c r="N244" s="93"/>
      <c r="O244" s="93"/>
      <c r="P244" s="93"/>
      <c r="Q244" s="93"/>
      <c r="R244" s="54">
        <v>8069</v>
      </c>
      <c r="S244" s="94">
        <f t="shared" ref="S244:S251" si="1">R244/$R$253</f>
        <v>0.99091244013262925</v>
      </c>
      <c r="T244" s="53">
        <v>1140473</v>
      </c>
      <c r="U244" s="132">
        <f t="shared" ref="U244:U251" si="2">T244/$T$253</f>
        <v>0.98517239413357194</v>
      </c>
      <c r="V244" s="79"/>
      <c r="W244" s="88"/>
      <c r="X244" s="5"/>
    </row>
    <row r="245" spans="1:25" ht="15.6" x14ac:dyDescent="0.3">
      <c r="A245" s="24"/>
      <c r="B245" s="54" t="s">
        <v>89</v>
      </c>
      <c r="C245" s="93"/>
      <c r="D245" s="93"/>
      <c r="E245" s="93"/>
      <c r="F245" s="25"/>
      <c r="G245" s="94"/>
      <c r="H245" s="93"/>
      <c r="I245" s="93"/>
      <c r="J245" s="93"/>
      <c r="K245" s="93"/>
      <c r="L245" s="93"/>
      <c r="M245" s="93"/>
      <c r="N245" s="93"/>
      <c r="O245" s="93"/>
      <c r="P245" s="93"/>
      <c r="Q245" s="93"/>
      <c r="R245" s="54">
        <v>40</v>
      </c>
      <c r="S245" s="94">
        <f t="shared" si="1"/>
        <v>4.912194522903107E-3</v>
      </c>
      <c r="T245" s="53">
        <v>8022</v>
      </c>
      <c r="U245" s="132">
        <f t="shared" si="2"/>
        <v>6.9296273964745457E-3</v>
      </c>
      <c r="V245" s="79"/>
      <c r="W245" s="88"/>
      <c r="X245" s="5"/>
      <c r="Y245" s="109"/>
    </row>
    <row r="246" spans="1:25" ht="15.6" x14ac:dyDescent="0.3">
      <c r="A246" s="24"/>
      <c r="B246" s="54" t="s">
        <v>90</v>
      </c>
      <c r="C246" s="93"/>
      <c r="D246" s="93"/>
      <c r="E246" s="93"/>
      <c r="F246" s="25"/>
      <c r="G246" s="94"/>
      <c r="H246" s="93"/>
      <c r="I246" s="93"/>
      <c r="J246" s="93"/>
      <c r="K246" s="93"/>
      <c r="L246" s="93"/>
      <c r="M246" s="93"/>
      <c r="N246" s="93"/>
      <c r="O246" s="93"/>
      <c r="P246" s="93"/>
      <c r="Q246" s="93"/>
      <c r="R246" s="54">
        <v>18</v>
      </c>
      <c r="S246" s="94">
        <f t="shared" si="1"/>
        <v>2.2104875353063983E-3</v>
      </c>
      <c r="T246" s="53">
        <v>5233</v>
      </c>
      <c r="U246" s="132">
        <f t="shared" si="2"/>
        <v>4.5204113893980678E-3</v>
      </c>
      <c r="V246" s="79"/>
      <c r="W246" s="88"/>
      <c r="X246" s="5"/>
    </row>
    <row r="247" spans="1:25" ht="15.6" x14ac:dyDescent="0.3">
      <c r="A247" s="24"/>
      <c r="B247" s="54" t="s">
        <v>156</v>
      </c>
      <c r="C247" s="93"/>
      <c r="D247" s="93"/>
      <c r="E247" s="93"/>
      <c r="F247" s="25"/>
      <c r="G247" s="94"/>
      <c r="H247" s="93"/>
      <c r="I247" s="93"/>
      <c r="J247" s="93"/>
      <c r="K247" s="93"/>
      <c r="L247" s="93"/>
      <c r="M247" s="93"/>
      <c r="N247" s="93"/>
      <c r="O247" s="93"/>
      <c r="P247" s="93"/>
      <c r="Q247" s="93"/>
      <c r="R247" s="54">
        <v>4</v>
      </c>
      <c r="S247" s="94">
        <f t="shared" si="1"/>
        <v>4.9121945229031066E-4</v>
      </c>
      <c r="T247" s="53">
        <v>994</v>
      </c>
      <c r="U247" s="132">
        <f t="shared" si="2"/>
        <v>8.5864493045321598E-4</v>
      </c>
      <c r="V247" s="79"/>
      <c r="W247" s="88"/>
      <c r="X247" s="5"/>
      <c r="Y247" s="109"/>
    </row>
    <row r="248" spans="1:25" ht="15.6" x14ac:dyDescent="0.3">
      <c r="A248" s="24"/>
      <c r="B248" s="54" t="s">
        <v>157</v>
      </c>
      <c r="C248" s="93"/>
      <c r="D248" s="93"/>
      <c r="E248" s="93"/>
      <c r="F248" s="25"/>
      <c r="G248" s="94"/>
      <c r="H248" s="93"/>
      <c r="I248" s="93"/>
      <c r="J248" s="93"/>
      <c r="K248" s="93"/>
      <c r="L248" s="93"/>
      <c r="M248" s="93"/>
      <c r="N248" s="93"/>
      <c r="O248" s="93"/>
      <c r="P248" s="93"/>
      <c r="Q248" s="93"/>
      <c r="R248" s="54">
        <v>3</v>
      </c>
      <c r="S248" s="94">
        <f t="shared" si="1"/>
        <v>3.6841458921773305E-4</v>
      </c>
      <c r="T248" s="53">
        <v>1271</v>
      </c>
      <c r="U248" s="132">
        <f t="shared" si="2"/>
        <v>1.0979252581549673E-3</v>
      </c>
      <c r="V248" s="79"/>
      <c r="W248" s="88"/>
      <c r="X248" s="5"/>
    </row>
    <row r="249" spans="1:25" ht="15.6" x14ac:dyDescent="0.3">
      <c r="A249" s="24"/>
      <c r="B249" s="54" t="s">
        <v>158</v>
      </c>
      <c r="C249" s="93"/>
      <c r="D249" s="93"/>
      <c r="E249" s="93"/>
      <c r="F249" s="25"/>
      <c r="G249" s="94"/>
      <c r="H249" s="93"/>
      <c r="I249" s="93"/>
      <c r="J249" s="93"/>
      <c r="K249" s="93"/>
      <c r="L249" s="93"/>
      <c r="M249" s="93"/>
      <c r="N249" s="93"/>
      <c r="O249" s="93"/>
      <c r="P249" s="93"/>
      <c r="Q249" s="93"/>
      <c r="R249" s="54">
        <v>0</v>
      </c>
      <c r="S249" s="94">
        <f t="shared" si="1"/>
        <v>0</v>
      </c>
      <c r="T249" s="53">
        <v>0</v>
      </c>
      <c r="U249" s="132">
        <f t="shared" si="2"/>
        <v>0</v>
      </c>
      <c r="V249" s="79"/>
      <c r="W249" s="88"/>
      <c r="X249" s="5"/>
      <c r="Y249" s="109"/>
    </row>
    <row r="250" spans="1:25" ht="15.6" x14ac:dyDescent="0.3">
      <c r="A250" s="24"/>
      <c r="B250" s="54" t="s">
        <v>159</v>
      </c>
      <c r="C250" s="93"/>
      <c r="D250" s="93"/>
      <c r="E250" s="93"/>
      <c r="F250" s="25"/>
      <c r="G250" s="94"/>
      <c r="H250" s="93"/>
      <c r="I250" s="93"/>
      <c r="J250" s="93"/>
      <c r="K250" s="93"/>
      <c r="L250" s="93"/>
      <c r="M250" s="93"/>
      <c r="N250" s="93"/>
      <c r="O250" s="93"/>
      <c r="P250" s="93"/>
      <c r="Q250" s="93"/>
      <c r="R250" s="54">
        <v>0</v>
      </c>
      <c r="S250" s="94">
        <f t="shared" si="1"/>
        <v>0</v>
      </c>
      <c r="T250" s="53">
        <v>0</v>
      </c>
      <c r="U250" s="132">
        <f t="shared" si="2"/>
        <v>0</v>
      </c>
      <c r="V250" s="79"/>
      <c r="W250" s="88"/>
      <c r="X250" s="5"/>
    </row>
    <row r="251" spans="1:25" ht="15.6" x14ac:dyDescent="0.3">
      <c r="A251" s="24"/>
      <c r="B251" s="54" t="s">
        <v>160</v>
      </c>
      <c r="C251" s="93"/>
      <c r="D251" s="93"/>
      <c r="E251" s="93"/>
      <c r="F251" s="25"/>
      <c r="G251" s="94"/>
      <c r="H251" s="93"/>
      <c r="I251" s="93"/>
      <c r="J251" s="93"/>
      <c r="K251" s="93"/>
      <c r="L251" s="93"/>
      <c r="M251" s="93"/>
      <c r="N251" s="93"/>
      <c r="O251" s="93"/>
      <c r="P251" s="93"/>
      <c r="Q251" s="93"/>
      <c r="R251" s="54">
        <v>9</v>
      </c>
      <c r="S251" s="94">
        <f t="shared" si="1"/>
        <v>1.1052437676531991E-3</v>
      </c>
      <c r="T251" s="53">
        <v>1645</v>
      </c>
      <c r="U251" s="132">
        <f t="shared" si="2"/>
        <v>1.4209968919472237E-3</v>
      </c>
      <c r="V251" s="79"/>
      <c r="W251" s="88"/>
      <c r="X251" s="5"/>
      <c r="Y251" s="109"/>
    </row>
    <row r="252" spans="1:25" ht="15.6" x14ac:dyDescent="0.3">
      <c r="A252" s="24"/>
      <c r="B252" s="54"/>
      <c r="C252" s="93"/>
      <c r="D252" s="93"/>
      <c r="E252" s="93"/>
      <c r="F252" s="25"/>
      <c r="G252" s="94"/>
      <c r="H252" s="93"/>
      <c r="I252" s="93"/>
      <c r="J252" s="93"/>
      <c r="K252" s="93"/>
      <c r="L252" s="93"/>
      <c r="M252" s="93"/>
      <c r="N252" s="93"/>
      <c r="O252" s="93"/>
      <c r="P252" s="93"/>
      <c r="Q252" s="93"/>
      <c r="R252" s="54"/>
      <c r="S252" s="94"/>
      <c r="T252" s="53"/>
      <c r="U252" s="132"/>
      <c r="V252" s="79"/>
      <c r="W252" s="88"/>
      <c r="X252" s="5"/>
    </row>
    <row r="253" spans="1:25" ht="15.6" x14ac:dyDescent="0.3">
      <c r="A253" s="24"/>
      <c r="B253" s="25"/>
      <c r="C253" s="25"/>
      <c r="D253" s="25"/>
      <c r="E253" s="25"/>
      <c r="F253" s="25"/>
      <c r="G253" s="25"/>
      <c r="H253" s="95"/>
      <c r="I253" s="95"/>
      <c r="J253" s="95"/>
      <c r="K253" s="95"/>
      <c r="L253" s="95"/>
      <c r="M253" s="95"/>
      <c r="N253" s="95"/>
      <c r="O253" s="95"/>
      <c r="P253" s="95"/>
      <c r="Q253" s="95"/>
      <c r="R253" s="34">
        <f>SUM(R244:R252)</f>
        <v>8143</v>
      </c>
      <c r="S253" s="132">
        <f>SUM(S244:S252)</f>
        <v>1.0000000000000002</v>
      </c>
      <c r="T253" s="53">
        <f>SUM(T244:T252)</f>
        <v>1157638</v>
      </c>
      <c r="U253" s="132">
        <f>SUM(U244:U252)</f>
        <v>0.99999999999999989</v>
      </c>
      <c r="V253" s="25"/>
      <c r="W253" s="25"/>
      <c r="X253" s="5"/>
    </row>
    <row r="254" spans="1:25" ht="15.6" x14ac:dyDescent="0.3">
      <c r="A254" s="24"/>
      <c r="B254" s="25"/>
      <c r="C254" s="25"/>
      <c r="D254" s="25"/>
      <c r="E254" s="25"/>
      <c r="F254" s="25"/>
      <c r="G254" s="25"/>
      <c r="H254" s="95"/>
      <c r="I254" s="95"/>
      <c r="J254" s="95"/>
      <c r="K254" s="95"/>
      <c r="L254" s="95"/>
      <c r="M254" s="95"/>
      <c r="N254" s="95"/>
      <c r="O254" s="95"/>
      <c r="P254" s="95"/>
      <c r="Q254" s="95"/>
      <c r="R254" s="34"/>
      <c r="S254" s="132"/>
      <c r="T254" s="53"/>
      <c r="U254" s="132"/>
      <c r="V254" s="25"/>
      <c r="W254" s="25"/>
      <c r="X254" s="5"/>
    </row>
    <row r="255" spans="1:25" ht="15.6" x14ac:dyDescent="0.3">
      <c r="A255" s="139"/>
      <c r="B255" s="14" t="s">
        <v>275</v>
      </c>
      <c r="C255" s="81"/>
      <c r="D255" s="81"/>
      <c r="E255" s="81"/>
      <c r="F255" s="82"/>
      <c r="G255" s="81"/>
      <c r="H255" s="17"/>
      <c r="I255" s="17"/>
      <c r="J255" s="17"/>
      <c r="K255" s="17"/>
      <c r="L255" s="17"/>
      <c r="M255" s="17"/>
      <c r="N255" s="17"/>
      <c r="O255" s="17"/>
      <c r="P255" s="17"/>
      <c r="Q255" s="17"/>
      <c r="R255" s="83" t="s">
        <v>102</v>
      </c>
      <c r="S255" s="17" t="s">
        <v>103</v>
      </c>
      <c r="T255" s="83" t="s">
        <v>109</v>
      </c>
      <c r="U255" s="17" t="s">
        <v>103</v>
      </c>
      <c r="V255" s="137"/>
      <c r="W255" s="138"/>
      <c r="X255" s="5"/>
    </row>
    <row r="256" spans="1:25" ht="15.6" x14ac:dyDescent="0.3">
      <c r="A256" s="24"/>
      <c r="B256" s="54" t="s">
        <v>88</v>
      </c>
      <c r="C256" s="93"/>
      <c r="D256" s="93"/>
      <c r="E256" s="93"/>
      <c r="F256" s="25"/>
      <c r="G256" s="93"/>
      <c r="H256" s="93"/>
      <c r="I256" s="93"/>
      <c r="J256" s="93"/>
      <c r="K256" s="93"/>
      <c r="L256" s="93"/>
      <c r="M256" s="93"/>
      <c r="N256" s="93"/>
      <c r="O256" s="93"/>
      <c r="P256" s="93"/>
      <c r="Q256" s="93"/>
      <c r="R256" s="54">
        <v>60</v>
      </c>
      <c r="S256" s="94">
        <f t="shared" ref="S256:S263" si="3">R256/$R$265</f>
        <v>0.32085561497326204</v>
      </c>
      <c r="T256" s="53">
        <v>9309</v>
      </c>
      <c r="U256" s="132">
        <f t="shared" ref="U256:U263" si="4">T256/$T$265</f>
        <v>0.2989114728831519</v>
      </c>
      <c r="V256" s="25"/>
      <c r="W256" s="25"/>
      <c r="X256" s="5"/>
    </row>
    <row r="257" spans="1:24" ht="15.6" x14ac:dyDescent="0.3">
      <c r="A257" s="24"/>
      <c r="B257" s="54" t="s">
        <v>89</v>
      </c>
      <c r="C257" s="93"/>
      <c r="D257" s="93"/>
      <c r="E257" s="93"/>
      <c r="F257" s="25"/>
      <c r="G257" s="94"/>
      <c r="H257" s="93"/>
      <c r="I257" s="93"/>
      <c r="J257" s="93"/>
      <c r="K257" s="93"/>
      <c r="L257" s="93"/>
      <c r="M257" s="93"/>
      <c r="N257" s="93"/>
      <c r="O257" s="93"/>
      <c r="P257" s="93"/>
      <c r="Q257" s="93"/>
      <c r="R257" s="54">
        <v>11</v>
      </c>
      <c r="S257" s="94">
        <f t="shared" si="3"/>
        <v>5.8823529411764705E-2</v>
      </c>
      <c r="T257" s="53">
        <v>2061</v>
      </c>
      <c r="U257" s="132">
        <f t="shared" si="4"/>
        <v>6.6178595511029767E-2</v>
      </c>
      <c r="V257" s="25"/>
      <c r="W257" s="25"/>
      <c r="X257" s="5"/>
    </row>
    <row r="258" spans="1:24" ht="15.6" x14ac:dyDescent="0.3">
      <c r="A258" s="24"/>
      <c r="B258" s="54" t="s">
        <v>90</v>
      </c>
      <c r="C258" s="93"/>
      <c r="D258" s="93"/>
      <c r="E258" s="93"/>
      <c r="F258" s="25"/>
      <c r="G258" s="94"/>
      <c r="H258" s="93"/>
      <c r="I258" s="93"/>
      <c r="J258" s="93"/>
      <c r="K258" s="93"/>
      <c r="L258" s="93"/>
      <c r="M258" s="93"/>
      <c r="N258" s="93"/>
      <c r="O258" s="93"/>
      <c r="P258" s="93"/>
      <c r="Q258" s="93"/>
      <c r="R258" s="54">
        <v>32</v>
      </c>
      <c r="S258" s="94">
        <f t="shared" si="3"/>
        <v>0.17112299465240641</v>
      </c>
      <c r="T258" s="53">
        <v>5329</v>
      </c>
      <c r="U258" s="132">
        <f t="shared" si="4"/>
        <v>0.17111389397296342</v>
      </c>
      <c r="V258" s="25"/>
      <c r="W258" s="25"/>
      <c r="X258" s="5"/>
    </row>
    <row r="259" spans="1:24" ht="15.6" x14ac:dyDescent="0.3">
      <c r="A259" s="24"/>
      <c r="B259" s="54" t="s">
        <v>156</v>
      </c>
      <c r="C259" s="93"/>
      <c r="D259" s="93"/>
      <c r="E259" s="93"/>
      <c r="F259" s="25"/>
      <c r="G259" s="94"/>
      <c r="H259" s="93"/>
      <c r="I259" s="93"/>
      <c r="J259" s="93"/>
      <c r="K259" s="93"/>
      <c r="L259" s="93"/>
      <c r="M259" s="93"/>
      <c r="N259" s="93"/>
      <c r="O259" s="93"/>
      <c r="P259" s="93"/>
      <c r="Q259" s="93"/>
      <c r="R259" s="54">
        <v>6</v>
      </c>
      <c r="S259" s="94">
        <f t="shared" si="3"/>
        <v>3.2085561497326207E-2</v>
      </c>
      <c r="T259" s="53">
        <v>811</v>
      </c>
      <c r="U259" s="132">
        <f t="shared" si="4"/>
        <v>2.604116494878464E-2</v>
      </c>
      <c r="V259" s="25"/>
      <c r="W259" s="25"/>
      <c r="X259" s="5"/>
    </row>
    <row r="260" spans="1:24" ht="15.6" x14ac:dyDescent="0.3">
      <c r="A260" s="24"/>
      <c r="B260" s="54" t="s">
        <v>157</v>
      </c>
      <c r="C260" s="93"/>
      <c r="D260" s="93"/>
      <c r="E260" s="93"/>
      <c r="F260" s="25"/>
      <c r="G260" s="94"/>
      <c r="H260" s="93"/>
      <c r="I260" s="93"/>
      <c r="J260" s="93"/>
      <c r="K260" s="93"/>
      <c r="L260" s="93"/>
      <c r="M260" s="93"/>
      <c r="N260" s="93"/>
      <c r="O260" s="93"/>
      <c r="P260" s="93"/>
      <c r="Q260" s="93"/>
      <c r="R260" s="54">
        <v>3</v>
      </c>
      <c r="S260" s="94">
        <f t="shared" si="3"/>
        <v>1.6042780748663103E-2</v>
      </c>
      <c r="T260" s="53">
        <v>338</v>
      </c>
      <c r="U260" s="132">
        <f t="shared" si="4"/>
        <v>1.0853161224031082E-2</v>
      </c>
      <c r="V260" s="25"/>
      <c r="W260" s="25"/>
      <c r="X260" s="5"/>
    </row>
    <row r="261" spans="1:24" ht="15.6" x14ac:dyDescent="0.3">
      <c r="A261" s="24"/>
      <c r="B261" s="54" t="s">
        <v>158</v>
      </c>
      <c r="C261" s="93"/>
      <c r="D261" s="93"/>
      <c r="E261" s="93"/>
      <c r="F261" s="25"/>
      <c r="G261" s="94"/>
      <c r="H261" s="93"/>
      <c r="I261" s="93"/>
      <c r="J261" s="93"/>
      <c r="K261" s="93"/>
      <c r="L261" s="93"/>
      <c r="M261" s="93"/>
      <c r="N261" s="93"/>
      <c r="O261" s="93"/>
      <c r="P261" s="93"/>
      <c r="Q261" s="93"/>
      <c r="R261" s="54">
        <v>7</v>
      </c>
      <c r="S261" s="94">
        <f t="shared" si="3"/>
        <v>3.7433155080213901E-2</v>
      </c>
      <c r="T261" s="53">
        <v>805</v>
      </c>
      <c r="U261" s="132">
        <f t="shared" si="4"/>
        <v>2.5848505282085862E-2</v>
      </c>
      <c r="V261" s="25"/>
      <c r="W261" s="25"/>
      <c r="X261" s="5"/>
    </row>
    <row r="262" spans="1:24" ht="15.6" x14ac:dyDescent="0.3">
      <c r="A262" s="24"/>
      <c r="B262" s="54" t="s">
        <v>159</v>
      </c>
      <c r="C262" s="93"/>
      <c r="D262" s="93"/>
      <c r="E262" s="93"/>
      <c r="F262" s="25"/>
      <c r="G262" s="94"/>
      <c r="H262" s="93"/>
      <c r="I262" s="93"/>
      <c r="J262" s="93"/>
      <c r="K262" s="93"/>
      <c r="L262" s="93"/>
      <c r="M262" s="93"/>
      <c r="N262" s="93"/>
      <c r="O262" s="93"/>
      <c r="P262" s="93"/>
      <c r="Q262" s="93"/>
      <c r="R262" s="54">
        <v>31</v>
      </c>
      <c r="S262" s="94">
        <f t="shared" si="3"/>
        <v>0.16577540106951871</v>
      </c>
      <c r="T262" s="53">
        <v>4965</v>
      </c>
      <c r="U262" s="132">
        <f t="shared" si="4"/>
        <v>0.15942587419323764</v>
      </c>
      <c r="V262" s="25"/>
      <c r="W262" s="25"/>
      <c r="X262" s="5"/>
    </row>
    <row r="263" spans="1:24" ht="15.6" x14ac:dyDescent="0.3">
      <c r="A263" s="24"/>
      <c r="B263" s="54" t="s">
        <v>160</v>
      </c>
      <c r="C263" s="93"/>
      <c r="D263" s="93"/>
      <c r="E263" s="93"/>
      <c r="F263" s="25"/>
      <c r="G263" s="94"/>
      <c r="H263" s="93"/>
      <c r="I263" s="93"/>
      <c r="J263" s="93"/>
      <c r="K263" s="93"/>
      <c r="L263" s="93"/>
      <c r="M263" s="93"/>
      <c r="N263" s="93"/>
      <c r="O263" s="93"/>
      <c r="P263" s="93"/>
      <c r="Q263" s="93"/>
      <c r="R263" s="54">
        <v>37</v>
      </c>
      <c r="S263" s="94">
        <f t="shared" si="3"/>
        <v>0.19786096256684493</v>
      </c>
      <c r="T263" s="53">
        <v>7525</v>
      </c>
      <c r="U263" s="132">
        <f t="shared" si="4"/>
        <v>0.24162733198471567</v>
      </c>
      <c r="V263" s="25"/>
      <c r="W263" s="25"/>
      <c r="X263" s="5"/>
    </row>
    <row r="264" spans="1:24" ht="15.6" x14ac:dyDescent="0.3">
      <c r="A264" s="24"/>
      <c r="B264" s="54"/>
      <c r="C264" s="93"/>
      <c r="D264" s="93"/>
      <c r="E264" s="93"/>
      <c r="F264" s="25"/>
      <c r="G264" s="94"/>
      <c r="H264" s="93"/>
      <c r="I264" s="93"/>
      <c r="J264" s="93"/>
      <c r="K264" s="93"/>
      <c r="L264" s="93"/>
      <c r="M264" s="93"/>
      <c r="N264" s="93"/>
      <c r="O264" s="93"/>
      <c r="P264" s="93"/>
      <c r="Q264" s="93"/>
      <c r="R264" s="54"/>
      <c r="S264" s="94"/>
      <c r="T264" s="53"/>
      <c r="U264" s="132"/>
      <c r="V264" s="25"/>
      <c r="W264" s="25"/>
      <c r="X264" s="5"/>
    </row>
    <row r="265" spans="1:24" ht="15.6" x14ac:dyDescent="0.3">
      <c r="A265" s="24"/>
      <c r="B265" s="25"/>
      <c r="C265" s="25"/>
      <c r="D265" s="25"/>
      <c r="E265" s="25"/>
      <c r="F265" s="25"/>
      <c r="G265" s="25"/>
      <c r="H265" s="95"/>
      <c r="I265" s="95"/>
      <c r="J265" s="95"/>
      <c r="K265" s="95"/>
      <c r="L265" s="95"/>
      <c r="M265" s="95"/>
      <c r="N265" s="95"/>
      <c r="O265" s="95"/>
      <c r="P265" s="95"/>
      <c r="Q265" s="95"/>
      <c r="R265" s="34">
        <f>SUM(R256:R264)</f>
        <v>187</v>
      </c>
      <c r="S265" s="132">
        <f>SUM(S256:S264)</f>
        <v>1</v>
      </c>
      <c r="T265" s="53">
        <f>SUM(T256:T264)</f>
        <v>31143</v>
      </c>
      <c r="U265" s="132">
        <f>SUM(U256:U264)</f>
        <v>0.99999999999999989</v>
      </c>
      <c r="V265" s="25"/>
      <c r="W265" s="25"/>
      <c r="X265" s="5"/>
    </row>
    <row r="266" spans="1:24" ht="15.6" x14ac:dyDescent="0.3">
      <c r="A266" s="24"/>
      <c r="B266" s="25"/>
      <c r="C266" s="25"/>
      <c r="D266" s="25"/>
      <c r="E266" s="25"/>
      <c r="F266" s="25"/>
      <c r="G266" s="25"/>
      <c r="H266" s="95"/>
      <c r="I266" s="95"/>
      <c r="J266" s="95"/>
      <c r="K266" s="95"/>
      <c r="L266" s="95"/>
      <c r="M266" s="95"/>
      <c r="N266" s="95"/>
      <c r="O266" s="95"/>
      <c r="P266" s="95"/>
      <c r="Q266" s="95"/>
      <c r="R266" s="34"/>
      <c r="S266" s="132"/>
      <c r="T266" s="53"/>
      <c r="U266" s="132"/>
      <c r="V266" s="25"/>
      <c r="W266" s="25"/>
      <c r="X266" s="5"/>
    </row>
    <row r="267" spans="1:24" ht="15.6" x14ac:dyDescent="0.3">
      <c r="A267" s="139"/>
      <c r="B267" s="14" t="s">
        <v>163</v>
      </c>
      <c r="C267" s="137"/>
      <c r="D267" s="137"/>
      <c r="E267" s="137"/>
      <c r="F267" s="137"/>
      <c r="G267" s="137"/>
      <c r="H267" s="143"/>
      <c r="I267" s="143"/>
      <c r="J267" s="143"/>
      <c r="K267" s="143"/>
      <c r="L267" s="143"/>
      <c r="M267" s="143"/>
      <c r="N267" s="143"/>
      <c r="O267" s="143"/>
      <c r="P267" s="143"/>
      <c r="Q267" s="143"/>
      <c r="R267" s="83" t="s">
        <v>102</v>
      </c>
      <c r="S267" s="17" t="s">
        <v>103</v>
      </c>
      <c r="T267" s="83" t="s">
        <v>109</v>
      </c>
      <c r="U267" s="17" t="s">
        <v>103</v>
      </c>
      <c r="V267" s="137"/>
      <c r="W267" s="138"/>
      <c r="X267" s="5"/>
    </row>
    <row r="268" spans="1:24" ht="15.6" x14ac:dyDescent="0.3">
      <c r="A268" s="24"/>
      <c r="B268" s="54" t="s">
        <v>88</v>
      </c>
      <c r="C268" s="25"/>
      <c r="D268" s="25"/>
      <c r="E268" s="25"/>
      <c r="F268" s="25"/>
      <c r="G268" s="25"/>
      <c r="H268" s="95"/>
      <c r="I268" s="95"/>
      <c r="J268" s="95"/>
      <c r="K268" s="95"/>
      <c r="L268" s="95"/>
      <c r="M268" s="95"/>
      <c r="N268" s="95"/>
      <c r="O268" s="95"/>
      <c r="P268" s="95"/>
      <c r="Q268" s="95"/>
      <c r="R268" s="54">
        <v>0</v>
      </c>
      <c r="S268" s="94">
        <v>0</v>
      </c>
      <c r="T268" s="53">
        <v>0</v>
      </c>
      <c r="U268" s="94">
        <v>0</v>
      </c>
      <c r="V268" s="25"/>
      <c r="W268" s="25"/>
      <c r="X268" s="5"/>
    </row>
    <row r="269" spans="1:24" ht="15.6" x14ac:dyDescent="0.3">
      <c r="A269" s="24"/>
      <c r="B269" s="54" t="s">
        <v>89</v>
      </c>
      <c r="C269" s="25"/>
      <c r="D269" s="25"/>
      <c r="E269" s="25"/>
      <c r="F269" s="25"/>
      <c r="G269" s="25"/>
      <c r="H269" s="95"/>
      <c r="I269" s="95"/>
      <c r="J269" s="95"/>
      <c r="K269" s="95"/>
      <c r="L269" s="95"/>
      <c r="M269" s="95"/>
      <c r="N269" s="95"/>
      <c r="O269" s="95"/>
      <c r="P269" s="95"/>
      <c r="Q269" s="95"/>
      <c r="R269" s="54">
        <v>0</v>
      </c>
      <c r="S269" s="94">
        <v>0</v>
      </c>
      <c r="T269" s="53">
        <v>0</v>
      </c>
      <c r="U269" s="94">
        <v>0</v>
      </c>
      <c r="V269" s="25"/>
      <c r="W269" s="25"/>
      <c r="X269" s="5"/>
    </row>
    <row r="270" spans="1:24" ht="15.6" x14ac:dyDescent="0.3">
      <c r="A270" s="24"/>
      <c r="B270" s="54" t="s">
        <v>90</v>
      </c>
      <c r="C270" s="25"/>
      <c r="D270" s="25"/>
      <c r="E270" s="25"/>
      <c r="F270" s="25"/>
      <c r="G270" s="25"/>
      <c r="H270" s="95"/>
      <c r="I270" s="95"/>
      <c r="J270" s="95"/>
      <c r="K270" s="95"/>
      <c r="L270" s="95"/>
      <c r="M270" s="95"/>
      <c r="N270" s="95"/>
      <c r="O270" s="95"/>
      <c r="P270" s="95"/>
      <c r="Q270" s="95"/>
      <c r="R270" s="54">
        <v>0</v>
      </c>
      <c r="S270" s="94">
        <v>0</v>
      </c>
      <c r="T270" s="53">
        <v>0</v>
      </c>
      <c r="U270" s="94">
        <v>0</v>
      </c>
      <c r="V270" s="25"/>
      <c r="W270" s="25"/>
      <c r="X270" s="5"/>
    </row>
    <row r="271" spans="1:24" ht="15.6" x14ac:dyDescent="0.3">
      <c r="A271" s="24"/>
      <c r="B271" s="54" t="s">
        <v>156</v>
      </c>
      <c r="C271" s="25"/>
      <c r="D271" s="25"/>
      <c r="E271" s="25"/>
      <c r="F271" s="25"/>
      <c r="G271" s="25"/>
      <c r="H271" s="95"/>
      <c r="I271" s="95"/>
      <c r="J271" s="95"/>
      <c r="K271" s="95"/>
      <c r="L271" s="95"/>
      <c r="M271" s="95"/>
      <c r="N271" s="95"/>
      <c r="O271" s="95"/>
      <c r="P271" s="95"/>
      <c r="Q271" s="95"/>
      <c r="R271" s="54">
        <v>0</v>
      </c>
      <c r="S271" s="94">
        <v>0</v>
      </c>
      <c r="T271" s="53">
        <v>0</v>
      </c>
      <c r="U271" s="94">
        <v>0</v>
      </c>
      <c r="V271" s="25"/>
      <c r="W271" s="25"/>
      <c r="X271" s="5"/>
    </row>
    <row r="272" spans="1:24" ht="15.6" x14ac:dyDescent="0.3">
      <c r="A272" s="24"/>
      <c r="B272" s="54" t="s">
        <v>157</v>
      </c>
      <c r="C272" s="25"/>
      <c r="D272" s="25"/>
      <c r="E272" s="25"/>
      <c r="F272" s="25"/>
      <c r="G272" s="25"/>
      <c r="H272" s="95"/>
      <c r="I272" s="95"/>
      <c r="J272" s="95"/>
      <c r="K272" s="95"/>
      <c r="L272" s="95"/>
      <c r="M272" s="95"/>
      <c r="N272" s="95"/>
      <c r="O272" s="95"/>
      <c r="P272" s="95"/>
      <c r="Q272" s="95"/>
      <c r="R272" s="54">
        <v>0</v>
      </c>
      <c r="S272" s="94">
        <v>0</v>
      </c>
      <c r="T272" s="53">
        <v>0</v>
      </c>
      <c r="U272" s="94">
        <v>0</v>
      </c>
      <c r="V272" s="25"/>
      <c r="W272" s="25"/>
      <c r="X272" s="5"/>
    </row>
    <row r="273" spans="1:24" ht="15.6" x14ac:dyDescent="0.3">
      <c r="A273" s="24"/>
      <c r="B273" s="54" t="s">
        <v>158</v>
      </c>
      <c r="C273" s="25"/>
      <c r="D273" s="25"/>
      <c r="E273" s="25"/>
      <c r="F273" s="25"/>
      <c r="G273" s="25"/>
      <c r="H273" s="95"/>
      <c r="I273" s="95"/>
      <c r="J273" s="95"/>
      <c r="K273" s="95"/>
      <c r="L273" s="95"/>
      <c r="M273" s="95"/>
      <c r="N273" s="95"/>
      <c r="O273" s="95"/>
      <c r="P273" s="95"/>
      <c r="Q273" s="95"/>
      <c r="R273" s="54">
        <v>0</v>
      </c>
      <c r="S273" s="94">
        <v>0</v>
      </c>
      <c r="T273" s="53">
        <v>0</v>
      </c>
      <c r="U273" s="94">
        <v>0</v>
      </c>
      <c r="V273" s="25"/>
      <c r="W273" s="25"/>
      <c r="X273" s="5"/>
    </row>
    <row r="274" spans="1:24" ht="15.6" x14ac:dyDescent="0.3">
      <c r="A274" s="24"/>
      <c r="B274" s="54" t="s">
        <v>159</v>
      </c>
      <c r="C274" s="25"/>
      <c r="D274" s="25"/>
      <c r="E274" s="25"/>
      <c r="F274" s="25"/>
      <c r="G274" s="25"/>
      <c r="H274" s="95"/>
      <c r="I274" s="95"/>
      <c r="J274" s="95"/>
      <c r="K274" s="95"/>
      <c r="L274" s="95"/>
      <c r="M274" s="95"/>
      <c r="N274" s="95"/>
      <c r="O274" s="95"/>
      <c r="P274" s="95"/>
      <c r="Q274" s="95"/>
      <c r="R274" s="54">
        <v>0</v>
      </c>
      <c r="S274" s="94">
        <v>0</v>
      </c>
      <c r="T274" s="53">
        <v>0</v>
      </c>
      <c r="U274" s="94">
        <v>0</v>
      </c>
      <c r="V274" s="25"/>
      <c r="W274" s="25"/>
      <c r="X274" s="5"/>
    </row>
    <row r="275" spans="1:24" ht="15.6" x14ac:dyDescent="0.3">
      <c r="A275" s="24"/>
      <c r="B275" s="54" t="s">
        <v>160</v>
      </c>
      <c r="C275" s="25"/>
      <c r="D275" s="25"/>
      <c r="E275" s="25"/>
      <c r="F275" s="25"/>
      <c r="G275" s="25"/>
      <c r="H275" s="95"/>
      <c r="I275" s="95"/>
      <c r="J275" s="95"/>
      <c r="K275" s="95"/>
      <c r="L275" s="95"/>
      <c r="M275" s="95"/>
      <c r="N275" s="95"/>
      <c r="O275" s="95"/>
      <c r="P275" s="95"/>
      <c r="Q275" s="95"/>
      <c r="R275" s="54">
        <v>0</v>
      </c>
      <c r="S275" s="94">
        <v>0</v>
      </c>
      <c r="T275" s="53">
        <v>0</v>
      </c>
      <c r="U275" s="94">
        <v>0</v>
      </c>
      <c r="V275" s="25"/>
      <c r="W275" s="25"/>
      <c r="X275" s="5"/>
    </row>
    <row r="276" spans="1:24" ht="15.6" x14ac:dyDescent="0.3">
      <c r="A276" s="24"/>
      <c r="B276" s="54"/>
      <c r="C276" s="25"/>
      <c r="D276" s="25"/>
      <c r="E276" s="25"/>
      <c r="F276" s="25"/>
      <c r="G276" s="25"/>
      <c r="H276" s="95"/>
      <c r="I276" s="95"/>
      <c r="J276" s="95"/>
      <c r="K276" s="95"/>
      <c r="L276" s="95"/>
      <c r="M276" s="95"/>
      <c r="N276" s="95"/>
      <c r="O276" s="95"/>
      <c r="P276" s="95"/>
      <c r="Q276" s="95"/>
      <c r="R276" s="54"/>
      <c r="S276" s="94"/>
      <c r="T276" s="53"/>
      <c r="U276" s="132"/>
      <c r="V276" s="25"/>
      <c r="W276" s="25"/>
      <c r="X276" s="5"/>
    </row>
    <row r="277" spans="1:24" ht="15.6" x14ac:dyDescent="0.3">
      <c r="A277" s="24"/>
      <c r="B277" s="25" t="s">
        <v>114</v>
      </c>
      <c r="C277" s="25"/>
      <c r="D277" s="25"/>
      <c r="E277" s="25"/>
      <c r="F277" s="25"/>
      <c r="G277" s="25"/>
      <c r="H277" s="95"/>
      <c r="I277" s="95"/>
      <c r="J277" s="95"/>
      <c r="K277" s="95"/>
      <c r="L277" s="95"/>
      <c r="M277" s="95"/>
      <c r="N277" s="95"/>
      <c r="O277" s="95"/>
      <c r="P277" s="95"/>
      <c r="Q277" s="95"/>
      <c r="R277" s="34">
        <f>SUM(R268:R275)</f>
        <v>0</v>
      </c>
      <c r="S277" s="132">
        <f>SUM(S268:S276)</f>
        <v>0</v>
      </c>
      <c r="T277" s="53">
        <f>SUM(T268:T275)</f>
        <v>0</v>
      </c>
      <c r="U277" s="132">
        <f>SUM(U268:U276)</f>
        <v>0</v>
      </c>
      <c r="V277" s="25"/>
      <c r="W277" s="25"/>
      <c r="X277" s="5"/>
    </row>
    <row r="278" spans="1:24" ht="15.6" x14ac:dyDescent="0.3">
      <c r="A278" s="24"/>
      <c r="B278" s="25"/>
      <c r="C278" s="25"/>
      <c r="D278" s="25"/>
      <c r="E278" s="25"/>
      <c r="F278" s="25"/>
      <c r="G278" s="25"/>
      <c r="H278" s="95"/>
      <c r="I278" s="95"/>
      <c r="J278" s="95"/>
      <c r="K278" s="95"/>
      <c r="L278" s="95"/>
      <c r="M278" s="95"/>
      <c r="N278" s="95"/>
      <c r="O278" s="95"/>
      <c r="P278" s="95"/>
      <c r="Q278" s="95"/>
      <c r="R278" s="34"/>
      <c r="S278" s="132"/>
      <c r="T278" s="53"/>
      <c r="U278" s="132"/>
      <c r="V278" s="25"/>
      <c r="W278" s="25"/>
      <c r="X278" s="5"/>
    </row>
    <row r="279" spans="1:24" ht="15.6" x14ac:dyDescent="0.3">
      <c r="A279" s="24"/>
      <c r="B279" s="140" t="s">
        <v>164</v>
      </c>
      <c r="C279" s="25"/>
      <c r="D279" s="25"/>
      <c r="E279" s="25"/>
      <c r="F279" s="25"/>
      <c r="G279" s="25"/>
      <c r="H279" s="95"/>
      <c r="I279" s="95"/>
      <c r="J279" s="95"/>
      <c r="K279" s="95"/>
      <c r="L279" s="95"/>
      <c r="M279" s="95"/>
      <c r="N279" s="95"/>
      <c r="O279" s="95"/>
      <c r="P279" s="95"/>
      <c r="Q279" s="95"/>
      <c r="R279" s="159">
        <f>R277+R265+R253</f>
        <v>8330</v>
      </c>
      <c r="S279" s="141"/>
      <c r="T279" s="142">
        <f>+T277+T265+T253</f>
        <v>1188781</v>
      </c>
      <c r="U279" s="141"/>
      <c r="V279" s="25"/>
      <c r="W279" s="25"/>
      <c r="X279" s="5"/>
    </row>
    <row r="280" spans="1:24" ht="15.6" x14ac:dyDescent="0.3">
      <c r="A280" s="24"/>
      <c r="B280" s="25"/>
      <c r="C280" s="25"/>
      <c r="D280" s="25"/>
      <c r="E280" s="25"/>
      <c r="F280" s="25"/>
      <c r="G280" s="25"/>
      <c r="H280" s="95"/>
      <c r="I280" s="95"/>
      <c r="J280" s="95"/>
      <c r="K280" s="95"/>
      <c r="L280" s="95"/>
      <c r="M280" s="95"/>
      <c r="N280" s="95"/>
      <c r="O280" s="95"/>
      <c r="P280" s="95"/>
      <c r="Q280" s="95"/>
      <c r="R280" s="95"/>
      <c r="S280" s="95"/>
      <c r="T280" s="53"/>
      <c r="U280" s="95"/>
      <c r="V280" s="25"/>
      <c r="W280" s="25"/>
      <c r="X280" s="5"/>
    </row>
    <row r="281" spans="1:24" ht="15.6" x14ac:dyDescent="0.3">
      <c r="A281" s="6"/>
      <c r="B281" s="8"/>
      <c r="C281" s="8"/>
      <c r="D281" s="8"/>
      <c r="E281" s="8"/>
      <c r="F281" s="8"/>
      <c r="G281" s="8"/>
      <c r="H281" s="96"/>
      <c r="I281" s="96"/>
      <c r="J281" s="96"/>
      <c r="K281" s="96"/>
      <c r="L281" s="96"/>
      <c r="M281" s="96"/>
      <c r="N281" s="96"/>
      <c r="O281" s="96"/>
      <c r="P281" s="96"/>
      <c r="Q281" s="96"/>
      <c r="R281" s="96"/>
      <c r="S281" s="96"/>
      <c r="T281" s="97"/>
      <c r="U281" s="96"/>
      <c r="V281" s="8"/>
      <c r="W281" s="8"/>
      <c r="X281" s="5"/>
    </row>
    <row r="282" spans="1:24" ht="15.6" x14ac:dyDescent="0.3">
      <c r="A282" s="178"/>
      <c r="B282" s="14" t="s">
        <v>91</v>
      </c>
      <c r="C282" s="15"/>
      <c r="D282" s="15"/>
      <c r="E282" s="15"/>
      <c r="F282" s="17" t="s">
        <v>97</v>
      </c>
      <c r="G282" s="15"/>
      <c r="H282" s="14" t="s">
        <v>99</v>
      </c>
      <c r="I282" s="14"/>
      <c r="J282" s="14"/>
      <c r="K282" s="173"/>
      <c r="L282" s="173"/>
      <c r="M282" s="173"/>
      <c r="N282" s="173"/>
      <c r="O282" s="173"/>
      <c r="P282" s="173"/>
      <c r="Q282" s="173"/>
      <c r="R282" s="173"/>
      <c r="S282" s="173"/>
      <c r="T282" s="173"/>
      <c r="U282" s="173"/>
      <c r="V282" s="173"/>
      <c r="W282" s="173"/>
      <c r="X282" s="5"/>
    </row>
    <row r="283" spans="1:24" ht="15.6" x14ac:dyDescent="0.3">
      <c r="A283" s="178"/>
      <c r="B283" s="173"/>
      <c r="C283" s="8"/>
      <c r="D283" s="8"/>
      <c r="E283" s="8"/>
      <c r="F283" s="8"/>
      <c r="G283" s="8"/>
      <c r="H283" s="8"/>
      <c r="I283" s="8"/>
      <c r="J283" s="8"/>
      <c r="K283" s="173"/>
      <c r="L283" s="173"/>
      <c r="M283" s="173"/>
      <c r="N283" s="173"/>
      <c r="O283" s="173"/>
      <c r="P283" s="173"/>
      <c r="Q283" s="173"/>
      <c r="R283" s="173"/>
      <c r="S283" s="173"/>
      <c r="T283" s="173"/>
      <c r="U283" s="173"/>
      <c r="V283" s="173"/>
      <c r="W283" s="173"/>
      <c r="X283" s="5"/>
    </row>
    <row r="284" spans="1:24" ht="15.6" x14ac:dyDescent="0.3">
      <c r="A284" s="178"/>
      <c r="B284" s="13" t="s">
        <v>92</v>
      </c>
      <c r="C284" s="13"/>
      <c r="D284" s="13"/>
      <c r="E284" s="13"/>
      <c r="F284" s="130" t="s">
        <v>148</v>
      </c>
      <c r="G284" s="13"/>
      <c r="H284" s="13" t="s">
        <v>152</v>
      </c>
      <c r="I284" s="13"/>
      <c r="J284" s="13"/>
      <c r="K284" s="173"/>
      <c r="L284" s="173"/>
      <c r="M284" s="173"/>
      <c r="N284" s="173"/>
      <c r="O284" s="173"/>
      <c r="P284" s="173"/>
      <c r="Q284" s="173"/>
      <c r="R284" s="173"/>
      <c r="S284" s="173"/>
      <c r="T284" s="173"/>
      <c r="U284" s="173"/>
      <c r="V284" s="173"/>
      <c r="W284" s="173"/>
      <c r="X284" s="5"/>
    </row>
    <row r="285" spans="1:24" ht="15.6" x14ac:dyDescent="0.3">
      <c r="A285" s="178"/>
      <c r="B285" s="13" t="s">
        <v>277</v>
      </c>
      <c r="C285" s="13"/>
      <c r="D285" s="13"/>
      <c r="E285" s="13"/>
      <c r="F285" s="130" t="s">
        <v>278</v>
      </c>
      <c r="G285" s="13"/>
      <c r="H285" s="13" t="s">
        <v>279</v>
      </c>
      <c r="I285" s="173"/>
      <c r="J285" s="13"/>
      <c r="K285" s="173"/>
      <c r="L285" s="173"/>
      <c r="M285" s="173"/>
      <c r="N285" s="173"/>
      <c r="O285" s="173"/>
      <c r="P285" s="173"/>
      <c r="Q285" s="173"/>
      <c r="R285" s="173"/>
      <c r="S285" s="173"/>
      <c r="T285" s="173"/>
      <c r="U285" s="173"/>
      <c r="V285" s="173"/>
      <c r="W285" s="173"/>
      <c r="X285" s="5"/>
    </row>
    <row r="286" spans="1:24" ht="15.6" x14ac:dyDescent="0.3">
      <c r="A286" s="178"/>
      <c r="B286" s="13" t="s">
        <v>93</v>
      </c>
      <c r="C286" s="13"/>
      <c r="D286" s="13"/>
      <c r="E286" s="13"/>
      <c r="F286" s="130" t="s">
        <v>147</v>
      </c>
      <c r="G286" s="13"/>
      <c r="H286" s="13" t="s">
        <v>153</v>
      </c>
      <c r="I286" s="13"/>
      <c r="J286" s="13"/>
      <c r="K286" s="173"/>
      <c r="L286" s="173"/>
      <c r="M286" s="173"/>
      <c r="N286" s="173"/>
      <c r="O286" s="173"/>
      <c r="P286" s="173"/>
      <c r="Q286" s="173"/>
      <c r="R286" s="173"/>
      <c r="S286" s="173"/>
      <c r="T286" s="173"/>
      <c r="U286" s="173"/>
      <c r="V286" s="173"/>
      <c r="W286" s="173"/>
      <c r="X286" s="5"/>
    </row>
    <row r="287" spans="1:24" ht="15.6" x14ac:dyDescent="0.3">
      <c r="A287" s="178"/>
      <c r="B287" s="13"/>
      <c r="C287" s="13"/>
      <c r="D287" s="13"/>
      <c r="E287" s="13"/>
      <c r="F287" s="13"/>
      <c r="G287" s="99"/>
      <c r="H287" s="173"/>
      <c r="I287" s="173"/>
      <c r="J287" s="173"/>
      <c r="K287" s="173"/>
      <c r="L287" s="173"/>
      <c r="M287" s="173"/>
      <c r="N287" s="173"/>
      <c r="O287" s="173"/>
      <c r="P287" s="173"/>
      <c r="Q287" s="173"/>
      <c r="R287" s="173"/>
      <c r="S287" s="173"/>
      <c r="T287" s="173"/>
      <c r="U287" s="173"/>
      <c r="V287" s="173"/>
      <c r="W287" s="173"/>
      <c r="X287" s="5"/>
    </row>
    <row r="288" spans="1:24" ht="15.6" x14ac:dyDescent="0.3">
      <c r="A288" s="178"/>
      <c r="B288" s="13"/>
      <c r="C288" s="13"/>
      <c r="D288" s="13"/>
      <c r="E288" s="13"/>
      <c r="F288" s="13"/>
      <c r="G288" s="99"/>
      <c r="H288" s="173"/>
      <c r="I288" s="173"/>
      <c r="J288" s="173"/>
      <c r="K288" s="173"/>
      <c r="L288" s="173"/>
      <c r="M288" s="173"/>
      <c r="N288" s="173"/>
      <c r="O288" s="173"/>
      <c r="P288" s="173"/>
      <c r="Q288" s="173"/>
      <c r="R288" s="173"/>
      <c r="S288" s="173"/>
      <c r="T288" s="173"/>
      <c r="U288" s="173"/>
      <c r="V288" s="173"/>
      <c r="W288" s="173"/>
      <c r="X288" s="5"/>
    </row>
    <row r="289" spans="1:24" ht="18" thickBot="1" x14ac:dyDescent="0.35">
      <c r="A289" s="178"/>
      <c r="B289" s="49" t="str">
        <f>B205</f>
        <v>PM14 INVESTOR REPORT QUARTER ENDING FEBRUARY 2010</v>
      </c>
      <c r="C289" s="13"/>
      <c r="D289" s="13"/>
      <c r="E289" s="13"/>
      <c r="F289" s="13"/>
      <c r="G289" s="99"/>
      <c r="H289" s="173"/>
      <c r="I289" s="173"/>
      <c r="J289" s="173"/>
      <c r="K289" s="173"/>
      <c r="L289" s="173"/>
      <c r="M289" s="173"/>
      <c r="N289" s="173"/>
      <c r="O289" s="173"/>
      <c r="P289" s="173"/>
      <c r="Q289" s="173"/>
      <c r="R289" s="173"/>
      <c r="S289" s="173"/>
      <c r="T289" s="173"/>
      <c r="U289" s="173"/>
      <c r="V289" s="173"/>
      <c r="W289" s="173"/>
      <c r="X289" s="5"/>
    </row>
    <row r="290" spans="1:24" x14ac:dyDescent="0.25">
      <c r="A290" s="100"/>
      <c r="B290" s="100"/>
      <c r="C290" s="100"/>
      <c r="D290" s="100"/>
      <c r="E290" s="100"/>
      <c r="F290" s="100"/>
      <c r="G290" s="100"/>
      <c r="H290" s="100"/>
      <c r="I290" s="100"/>
      <c r="J290" s="100"/>
      <c r="K290" s="100"/>
      <c r="L290" s="100"/>
      <c r="M290" s="100"/>
      <c r="N290" s="100"/>
      <c r="O290" s="100"/>
      <c r="P290" s="100"/>
      <c r="Q290" s="100"/>
      <c r="R290" s="100"/>
      <c r="S290" s="100"/>
      <c r="T290" s="100"/>
      <c r="U290" s="100"/>
      <c r="V290" s="100"/>
      <c r="W290" s="100"/>
    </row>
  </sheetData>
  <phoneticPr fontId="0" type="noConversion"/>
  <hyperlinks>
    <hyperlink ref="P241" r:id="rId1" xr:uid="{00000000-0004-0000-0A00-000000000000}"/>
    <hyperlink ref="I9" r:id="rId2" xr:uid="{00000000-0004-0000-0A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9" max="14" man="1"/>
    <brk id="205" max="14" man="1"/>
  </rowBreak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4"/>
  </sheetPr>
  <dimension ref="A1:IV289"/>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80"/>
      <c r="B1" s="220" t="s">
        <v>244</v>
      </c>
      <c r="C1" s="181"/>
      <c r="D1" s="181"/>
      <c r="E1" s="181"/>
      <c r="F1" s="181"/>
      <c r="G1" s="181"/>
      <c r="H1" s="181"/>
      <c r="I1" s="181"/>
      <c r="J1" s="181"/>
      <c r="K1" s="181"/>
      <c r="L1" s="181"/>
      <c r="M1" s="181"/>
      <c r="N1" s="181"/>
      <c r="O1" s="181"/>
      <c r="P1" s="181"/>
      <c r="Q1" s="181"/>
      <c r="R1" s="181"/>
      <c r="S1" s="181"/>
      <c r="T1" s="181"/>
      <c r="U1" s="181"/>
      <c r="V1" s="181"/>
      <c r="W1" s="181"/>
      <c r="X1" s="5"/>
    </row>
    <row r="2" spans="1:24" ht="15.6" x14ac:dyDescent="0.3">
      <c r="A2" s="183"/>
      <c r="B2" s="184"/>
      <c r="C2" s="185"/>
      <c r="D2" s="185"/>
      <c r="E2" s="185"/>
      <c r="F2" s="185"/>
      <c r="G2" s="185"/>
      <c r="H2" s="185"/>
      <c r="I2" s="185"/>
      <c r="J2" s="185"/>
      <c r="K2" s="185"/>
      <c r="L2" s="185"/>
      <c r="M2" s="185"/>
      <c r="N2" s="185"/>
      <c r="O2" s="185"/>
      <c r="P2" s="185"/>
      <c r="Q2" s="185"/>
      <c r="R2" s="185"/>
      <c r="S2" s="185"/>
      <c r="T2" s="185"/>
      <c r="U2" s="185"/>
      <c r="V2" s="185"/>
      <c r="W2" s="185"/>
      <c r="X2" s="5"/>
    </row>
    <row r="3" spans="1:24" ht="15.6" x14ac:dyDescent="0.3">
      <c r="A3" s="186"/>
      <c r="B3" s="187" t="s">
        <v>245</v>
      </c>
      <c r="C3" s="185"/>
      <c r="D3" s="185"/>
      <c r="E3" s="185"/>
      <c r="F3" s="185"/>
      <c r="G3" s="185"/>
      <c r="H3" s="185"/>
      <c r="I3" s="185"/>
      <c r="J3" s="185"/>
      <c r="K3" s="185"/>
      <c r="L3" s="185"/>
      <c r="M3" s="185"/>
      <c r="N3" s="185"/>
      <c r="O3" s="185"/>
      <c r="P3" s="185"/>
      <c r="Q3" s="185"/>
      <c r="R3" s="185"/>
      <c r="S3" s="185"/>
      <c r="T3" s="185"/>
      <c r="U3" s="185"/>
      <c r="V3" s="185"/>
      <c r="W3" s="185"/>
      <c r="X3" s="5"/>
    </row>
    <row r="4" spans="1:24" ht="15.6" x14ac:dyDescent="0.3">
      <c r="A4" s="183"/>
      <c r="B4" s="184"/>
      <c r="C4" s="185"/>
      <c r="D4" s="185"/>
      <c r="E4" s="185"/>
      <c r="F4" s="185"/>
      <c r="G4" s="185"/>
      <c r="H4" s="185"/>
      <c r="I4" s="185"/>
      <c r="J4" s="185"/>
      <c r="K4" s="185"/>
      <c r="L4" s="185"/>
      <c r="M4" s="185"/>
      <c r="N4" s="185"/>
      <c r="O4" s="185"/>
      <c r="P4" s="185"/>
      <c r="Q4" s="185"/>
      <c r="R4" s="185"/>
      <c r="S4" s="185"/>
      <c r="T4" s="185"/>
      <c r="U4" s="185"/>
      <c r="V4" s="185"/>
      <c r="W4" s="185"/>
      <c r="X4" s="5"/>
    </row>
    <row r="5" spans="1:24" ht="15.6" x14ac:dyDescent="0.3">
      <c r="A5" s="183"/>
      <c r="B5" s="221" t="s">
        <v>137</v>
      </c>
      <c r="C5" s="185"/>
      <c r="D5" s="185"/>
      <c r="E5" s="185"/>
      <c r="F5" s="185"/>
      <c r="G5" s="185"/>
      <c r="H5" s="185"/>
      <c r="I5" s="185"/>
      <c r="J5" s="185"/>
      <c r="K5" s="185"/>
      <c r="L5" s="185"/>
      <c r="M5" s="185"/>
      <c r="N5" s="185"/>
      <c r="O5" s="185"/>
      <c r="P5" s="185"/>
      <c r="Q5" s="185"/>
      <c r="R5" s="185"/>
      <c r="S5" s="185"/>
      <c r="T5" s="185"/>
      <c r="U5" s="185"/>
      <c r="V5" s="185"/>
      <c r="W5" s="185"/>
      <c r="X5" s="5"/>
    </row>
    <row r="6" spans="1:24" ht="15.6" x14ac:dyDescent="0.3">
      <c r="A6" s="183"/>
      <c r="B6" s="221" t="s">
        <v>139</v>
      </c>
      <c r="C6" s="185"/>
      <c r="D6" s="185"/>
      <c r="E6" s="185"/>
      <c r="F6" s="185"/>
      <c r="G6" s="185"/>
      <c r="H6" s="185"/>
      <c r="I6" s="185"/>
      <c r="J6" s="185"/>
      <c r="K6" s="185"/>
      <c r="L6" s="185"/>
      <c r="M6" s="185"/>
      <c r="N6" s="185"/>
      <c r="O6" s="185"/>
      <c r="P6" s="185"/>
      <c r="Q6" s="185"/>
      <c r="R6" s="185"/>
      <c r="S6" s="185"/>
      <c r="T6" s="185"/>
      <c r="U6" s="185"/>
      <c r="V6" s="185"/>
      <c r="W6" s="185"/>
      <c r="X6" s="5"/>
    </row>
    <row r="7" spans="1:24" ht="15.6" x14ac:dyDescent="0.3">
      <c r="A7" s="183"/>
      <c r="B7" s="221" t="s">
        <v>138</v>
      </c>
      <c r="C7" s="185"/>
      <c r="D7" s="185"/>
      <c r="E7" s="185"/>
      <c r="F7" s="185"/>
      <c r="G7" s="185"/>
      <c r="H7" s="185"/>
      <c r="I7" s="185"/>
      <c r="J7" s="185"/>
      <c r="K7" s="185"/>
      <c r="L7" s="185"/>
      <c r="M7" s="185"/>
      <c r="N7" s="185"/>
      <c r="O7" s="185"/>
      <c r="P7" s="185"/>
      <c r="Q7" s="185"/>
      <c r="R7" s="185"/>
      <c r="S7" s="185"/>
      <c r="T7" s="185"/>
      <c r="U7" s="185"/>
      <c r="V7" s="185"/>
      <c r="W7" s="185"/>
      <c r="X7" s="5"/>
    </row>
    <row r="8" spans="1:24" ht="15.6" x14ac:dyDescent="0.3">
      <c r="A8" s="183"/>
      <c r="B8" s="188"/>
      <c r="C8" s="185"/>
      <c r="D8" s="185"/>
      <c r="E8" s="185"/>
      <c r="F8" s="185"/>
      <c r="G8" s="185"/>
      <c r="H8" s="185"/>
      <c r="I8" s="185"/>
      <c r="J8" s="185"/>
      <c r="K8" s="185"/>
      <c r="L8" s="185"/>
      <c r="M8" s="185"/>
      <c r="N8" s="185"/>
      <c r="O8" s="185"/>
      <c r="P8" s="185"/>
      <c r="Q8" s="185"/>
      <c r="R8" s="185"/>
      <c r="S8" s="185"/>
      <c r="T8" s="185"/>
      <c r="U8" s="185"/>
      <c r="V8" s="185"/>
      <c r="W8" s="185"/>
      <c r="X8" s="5"/>
    </row>
    <row r="9" spans="1:24" ht="17.399999999999999" x14ac:dyDescent="0.3">
      <c r="A9" s="183"/>
      <c r="B9" s="189" t="s">
        <v>166</v>
      </c>
      <c r="C9" s="185"/>
      <c r="D9" s="185"/>
      <c r="E9" s="185"/>
      <c r="F9" s="185"/>
      <c r="G9" s="185"/>
      <c r="H9" s="185"/>
      <c r="I9" s="190" t="s">
        <v>167</v>
      </c>
      <c r="J9" s="185"/>
      <c r="K9" s="185"/>
      <c r="L9" s="190"/>
      <c r="M9" s="185"/>
      <c r="N9" s="190"/>
      <c r="O9" s="185"/>
      <c r="P9" s="185"/>
      <c r="Q9" s="185"/>
      <c r="R9" s="185"/>
      <c r="S9" s="185"/>
      <c r="T9" s="185"/>
      <c r="U9" s="185"/>
      <c r="V9" s="185"/>
      <c r="W9" s="185"/>
      <c r="X9" s="5"/>
    </row>
    <row r="10" spans="1:24" ht="15.6" x14ac:dyDescent="0.3">
      <c r="A10" s="183"/>
      <c r="B10" s="188"/>
      <c r="C10" s="191"/>
      <c r="D10" s="191"/>
      <c r="E10" s="191"/>
      <c r="F10" s="185"/>
      <c r="G10" s="185"/>
      <c r="H10" s="185"/>
      <c r="I10" s="185"/>
      <c r="J10" s="185"/>
      <c r="K10" s="185"/>
      <c r="L10" s="185"/>
      <c r="M10" s="185"/>
      <c r="N10" s="185"/>
      <c r="O10" s="185"/>
      <c r="P10" s="185"/>
      <c r="Q10" s="185"/>
      <c r="R10" s="185"/>
      <c r="S10" s="185"/>
      <c r="T10" s="185"/>
      <c r="U10" s="185"/>
      <c r="V10" s="185"/>
      <c r="W10" s="185"/>
      <c r="X10" s="5"/>
    </row>
    <row r="11" spans="1:24" ht="15.6" x14ac:dyDescent="0.3">
      <c r="A11" s="183"/>
      <c r="B11" s="222" t="s">
        <v>0</v>
      </c>
      <c r="C11" s="185"/>
      <c r="D11" s="185"/>
      <c r="E11" s="185"/>
      <c r="F11" s="185"/>
      <c r="G11" s="185"/>
      <c r="H11" s="185"/>
      <c r="I11" s="185"/>
      <c r="J11" s="185"/>
      <c r="K11" s="185"/>
      <c r="L11" s="185"/>
      <c r="M11" s="185"/>
      <c r="N11" s="185"/>
      <c r="O11" s="185"/>
      <c r="P11" s="185"/>
      <c r="Q11" s="185"/>
      <c r="R11" s="185"/>
      <c r="S11" s="185"/>
      <c r="T11" s="185"/>
      <c r="U11" s="185"/>
      <c r="V11" s="185"/>
      <c r="W11" s="185"/>
      <c r="X11" s="5"/>
    </row>
    <row r="12" spans="1:24" ht="16.2" thickBot="1" x14ac:dyDescent="0.35">
      <c r="A12" s="183"/>
      <c r="B12" s="191"/>
      <c r="C12" s="185"/>
      <c r="D12" s="185"/>
      <c r="E12" s="185"/>
      <c r="F12" s="185"/>
      <c r="G12" s="185"/>
      <c r="H12" s="185"/>
      <c r="I12" s="185"/>
      <c r="J12" s="185"/>
      <c r="K12" s="185"/>
      <c r="L12" s="185"/>
      <c r="M12" s="185"/>
      <c r="N12" s="185"/>
      <c r="O12" s="185"/>
      <c r="P12" s="185"/>
      <c r="Q12" s="185"/>
      <c r="R12" s="185"/>
      <c r="S12" s="185"/>
      <c r="T12" s="185"/>
      <c r="U12" s="185"/>
      <c r="V12" s="185"/>
      <c r="W12" s="185"/>
      <c r="X12" s="5"/>
    </row>
    <row r="13" spans="1:24" ht="15.6" x14ac:dyDescent="0.3">
      <c r="A13" s="180"/>
      <c r="B13" s="181"/>
      <c r="C13" s="181"/>
      <c r="D13" s="181"/>
      <c r="E13" s="181"/>
      <c r="F13" s="181"/>
      <c r="G13" s="181"/>
      <c r="H13" s="181"/>
      <c r="I13" s="181"/>
      <c r="J13" s="181"/>
      <c r="K13" s="181"/>
      <c r="L13" s="181"/>
      <c r="M13" s="181"/>
      <c r="N13" s="181"/>
      <c r="O13" s="181"/>
      <c r="P13" s="181"/>
      <c r="Q13" s="181"/>
      <c r="R13" s="181"/>
      <c r="S13" s="181"/>
      <c r="T13" s="181"/>
      <c r="U13" s="181"/>
      <c r="V13" s="181"/>
      <c r="W13" s="181"/>
      <c r="X13" s="5"/>
    </row>
    <row r="14" spans="1:24" ht="15.6" x14ac:dyDescent="0.3">
      <c r="A14" s="183"/>
      <c r="B14" s="222" t="s">
        <v>1</v>
      </c>
      <c r="C14" s="192"/>
      <c r="D14" s="192"/>
      <c r="E14" s="192"/>
      <c r="F14" s="192"/>
      <c r="G14" s="192"/>
      <c r="H14" s="192"/>
      <c r="I14" s="192"/>
      <c r="J14" s="192"/>
      <c r="K14" s="192"/>
      <c r="L14" s="192"/>
      <c r="M14" s="192"/>
      <c r="N14" s="192"/>
      <c r="O14" s="192"/>
      <c r="P14" s="192"/>
      <c r="Q14" s="192"/>
      <c r="R14" s="224"/>
      <c r="S14" s="224"/>
      <c r="T14" s="224"/>
      <c r="U14" s="224"/>
      <c r="V14" s="225" t="s">
        <v>246</v>
      </c>
      <c r="W14" s="192"/>
      <c r="X14" s="5"/>
    </row>
    <row r="15" spans="1:24" ht="15.6" x14ac:dyDescent="0.3">
      <c r="A15" s="183"/>
      <c r="B15" s="222" t="s">
        <v>2</v>
      </c>
      <c r="C15" s="192"/>
      <c r="D15" s="192"/>
      <c r="E15" s="192"/>
      <c r="F15" s="192"/>
      <c r="G15" s="192"/>
      <c r="H15" s="193"/>
      <c r="I15" s="193"/>
      <c r="J15" s="193"/>
      <c r="K15" s="193"/>
      <c r="L15" s="193"/>
      <c r="M15" s="193"/>
      <c r="N15" s="193"/>
      <c r="O15" s="193"/>
      <c r="P15" s="193"/>
      <c r="Q15" s="193"/>
      <c r="R15" s="226" t="s">
        <v>104</v>
      </c>
      <c r="S15" s="227">
        <v>0.38300000000000001</v>
      </c>
      <c r="T15" s="228" t="s">
        <v>140</v>
      </c>
      <c r="U15" s="227">
        <v>0.61699999999999999</v>
      </c>
      <c r="V15" s="225"/>
      <c r="W15" s="192"/>
      <c r="X15" s="5"/>
    </row>
    <row r="16" spans="1:24" ht="15.6" x14ac:dyDescent="0.3">
      <c r="A16" s="183"/>
      <c r="B16" s="222" t="s">
        <v>3</v>
      </c>
      <c r="C16" s="192"/>
      <c r="D16" s="192"/>
      <c r="E16" s="192"/>
      <c r="F16" s="192"/>
      <c r="G16" s="192"/>
      <c r="H16" s="193"/>
      <c r="I16" s="193"/>
      <c r="J16" s="193"/>
      <c r="K16" s="193"/>
      <c r="L16" s="193"/>
      <c r="M16" s="193"/>
      <c r="N16" s="193"/>
      <c r="O16" s="193"/>
      <c r="P16" s="193"/>
      <c r="Q16" s="193"/>
      <c r="R16" s="226" t="s">
        <v>104</v>
      </c>
      <c r="S16" s="227">
        <v>0.45369999999999999</v>
      </c>
      <c r="T16" s="228" t="s">
        <v>140</v>
      </c>
      <c r="U16" s="227">
        <v>0.54630000000000001</v>
      </c>
      <c r="V16" s="225"/>
      <c r="W16" s="192"/>
      <c r="X16" s="5"/>
    </row>
    <row r="17" spans="1:24" ht="15.6" x14ac:dyDescent="0.3">
      <c r="A17" s="183"/>
      <c r="B17" s="222" t="s">
        <v>4</v>
      </c>
      <c r="C17" s="192"/>
      <c r="D17" s="192"/>
      <c r="E17" s="192"/>
      <c r="F17" s="192"/>
      <c r="G17" s="192"/>
      <c r="H17" s="192"/>
      <c r="I17" s="192"/>
      <c r="J17" s="192"/>
      <c r="K17" s="192"/>
      <c r="L17" s="192"/>
      <c r="M17" s="192"/>
      <c r="N17" s="192"/>
      <c r="O17" s="192"/>
      <c r="P17" s="192"/>
      <c r="Q17" s="192"/>
      <c r="R17" s="224"/>
      <c r="S17" s="224"/>
      <c r="T17" s="224"/>
      <c r="U17" s="224"/>
      <c r="V17" s="229">
        <v>39163</v>
      </c>
      <c r="W17" s="192"/>
      <c r="X17" s="5"/>
    </row>
    <row r="18" spans="1:24" ht="15.6" x14ac:dyDescent="0.3">
      <c r="A18" s="183"/>
      <c r="B18" s="222" t="s">
        <v>5</v>
      </c>
      <c r="C18" s="192"/>
      <c r="D18" s="192"/>
      <c r="E18" s="192"/>
      <c r="F18" s="192"/>
      <c r="G18" s="192"/>
      <c r="H18" s="192"/>
      <c r="I18" s="192"/>
      <c r="J18" s="192"/>
      <c r="K18" s="192"/>
      <c r="L18" s="192"/>
      <c r="M18" s="192"/>
      <c r="N18" s="192"/>
      <c r="O18" s="192"/>
      <c r="P18" s="192"/>
      <c r="Q18" s="192"/>
      <c r="R18" s="224"/>
      <c r="S18" s="224"/>
      <c r="T18" s="224"/>
      <c r="U18" s="224"/>
      <c r="V18" s="229">
        <v>40347</v>
      </c>
      <c r="W18" s="192"/>
      <c r="X18" s="5"/>
    </row>
    <row r="19" spans="1:24" ht="15.6" x14ac:dyDescent="0.3">
      <c r="A19" s="183"/>
      <c r="B19" s="185"/>
      <c r="C19" s="185"/>
      <c r="D19" s="185"/>
      <c r="E19" s="185"/>
      <c r="F19" s="185"/>
      <c r="G19" s="185"/>
      <c r="H19" s="185"/>
      <c r="I19" s="185"/>
      <c r="J19" s="185"/>
      <c r="K19" s="185"/>
      <c r="L19" s="185"/>
      <c r="M19" s="185"/>
      <c r="N19" s="185"/>
      <c r="O19" s="185"/>
      <c r="P19" s="185"/>
      <c r="Q19" s="185"/>
      <c r="R19" s="185"/>
      <c r="S19" s="185"/>
      <c r="T19" s="185"/>
      <c r="U19" s="185"/>
      <c r="V19" s="194"/>
      <c r="W19" s="185"/>
      <c r="X19" s="5"/>
    </row>
    <row r="20" spans="1:24" ht="15.6" x14ac:dyDescent="0.3">
      <c r="A20" s="183"/>
      <c r="B20" s="230" t="s">
        <v>6</v>
      </c>
      <c r="C20" s="185"/>
      <c r="D20" s="185"/>
      <c r="E20" s="185"/>
      <c r="F20" s="185"/>
      <c r="G20" s="185"/>
      <c r="H20" s="185"/>
      <c r="I20" s="185"/>
      <c r="J20" s="185"/>
      <c r="K20" s="185"/>
      <c r="L20" s="185"/>
      <c r="M20" s="185"/>
      <c r="N20" s="185"/>
      <c r="O20" s="185"/>
      <c r="P20" s="185"/>
      <c r="Q20" s="185"/>
      <c r="R20" s="185"/>
      <c r="S20" s="185"/>
      <c r="T20" s="223" t="s">
        <v>105</v>
      </c>
      <c r="U20" s="185"/>
      <c r="V20" s="182"/>
      <c r="W20" s="185"/>
      <c r="X20" s="5"/>
    </row>
    <row r="21" spans="1:24" ht="15.6" x14ac:dyDescent="0.3">
      <c r="A21" s="183"/>
      <c r="B21" s="185"/>
      <c r="C21" s="185"/>
      <c r="D21" s="185"/>
      <c r="E21" s="185"/>
      <c r="F21" s="185"/>
      <c r="G21" s="185"/>
      <c r="H21" s="185"/>
      <c r="I21" s="185"/>
      <c r="J21" s="185"/>
      <c r="K21" s="185"/>
      <c r="L21" s="185"/>
      <c r="M21" s="185"/>
      <c r="N21" s="185"/>
      <c r="O21" s="185"/>
      <c r="P21" s="185"/>
      <c r="Q21" s="185"/>
      <c r="R21" s="185"/>
      <c r="S21" s="185"/>
      <c r="T21" s="185"/>
      <c r="U21" s="185"/>
      <c r="V21" s="196"/>
      <c r="W21" s="185"/>
      <c r="X21" s="5"/>
    </row>
    <row r="22" spans="1:24" ht="15.6" x14ac:dyDescent="0.3">
      <c r="A22" s="262"/>
      <c r="B22" s="263"/>
      <c r="C22" s="264"/>
      <c r="D22" s="264" t="s">
        <v>177</v>
      </c>
      <c r="E22" s="264"/>
      <c r="F22" s="264" t="s">
        <v>178</v>
      </c>
      <c r="G22" s="264"/>
      <c r="H22" s="264" t="s">
        <v>179</v>
      </c>
      <c r="I22" s="264"/>
      <c r="J22" s="264" t="s">
        <v>220</v>
      </c>
      <c r="K22" s="264"/>
      <c r="L22" s="264" t="s">
        <v>180</v>
      </c>
      <c r="M22" s="264"/>
      <c r="N22" s="264" t="s">
        <v>181</v>
      </c>
      <c r="O22" s="264"/>
      <c r="P22" s="264" t="s">
        <v>221</v>
      </c>
      <c r="Q22" s="264"/>
      <c r="R22" s="264" t="s">
        <v>182</v>
      </c>
      <c r="S22" s="265"/>
      <c r="T22" s="266"/>
      <c r="U22" s="267"/>
      <c r="V22" s="267"/>
      <c r="W22" s="263"/>
      <c r="X22" s="5"/>
    </row>
    <row r="23" spans="1:24" ht="15.6" x14ac:dyDescent="0.3">
      <c r="A23" s="287"/>
      <c r="B23" s="288" t="s">
        <v>7</v>
      </c>
      <c r="C23" s="289"/>
      <c r="D23" s="289" t="s">
        <v>213</v>
      </c>
      <c r="E23" s="289"/>
      <c r="F23" s="289" t="s">
        <v>141</v>
      </c>
      <c r="G23" s="289"/>
      <c r="H23" s="289" t="s">
        <v>141</v>
      </c>
      <c r="I23" s="289"/>
      <c r="J23" s="289" t="s">
        <v>141</v>
      </c>
      <c r="K23" s="289"/>
      <c r="L23" s="289" t="s">
        <v>183</v>
      </c>
      <c r="M23" s="289"/>
      <c r="N23" s="289" t="s">
        <v>183</v>
      </c>
      <c r="O23" s="289"/>
      <c r="P23" s="289" t="s">
        <v>142</v>
      </c>
      <c r="Q23" s="289"/>
      <c r="R23" s="289" t="s">
        <v>142</v>
      </c>
      <c r="S23" s="289"/>
      <c r="T23" s="289"/>
      <c r="U23" s="290"/>
      <c r="V23" s="290"/>
      <c r="W23" s="291"/>
      <c r="X23" s="5"/>
    </row>
    <row r="24" spans="1:24" ht="15.6" x14ac:dyDescent="0.3">
      <c r="A24" s="287"/>
      <c r="B24" s="288" t="s">
        <v>8</v>
      </c>
      <c r="C24" s="289"/>
      <c r="D24" s="289" t="s">
        <v>214</v>
      </c>
      <c r="E24" s="289"/>
      <c r="F24" s="289" t="s">
        <v>143</v>
      </c>
      <c r="G24" s="289"/>
      <c r="H24" s="289" t="s">
        <v>143</v>
      </c>
      <c r="I24" s="289"/>
      <c r="J24" s="289" t="s">
        <v>143</v>
      </c>
      <c r="K24" s="289"/>
      <c r="L24" s="289" t="s">
        <v>165</v>
      </c>
      <c r="M24" s="289"/>
      <c r="N24" s="289" t="s">
        <v>165</v>
      </c>
      <c r="O24" s="289"/>
      <c r="P24" s="289" t="s">
        <v>144</v>
      </c>
      <c r="Q24" s="289"/>
      <c r="R24" s="289" t="s">
        <v>144</v>
      </c>
      <c r="S24" s="289"/>
      <c r="T24" s="289"/>
      <c r="U24" s="290"/>
      <c r="V24" s="290"/>
      <c r="W24" s="291"/>
      <c r="X24" s="5"/>
    </row>
    <row r="25" spans="1:24" ht="15.6" x14ac:dyDescent="0.3">
      <c r="A25" s="292"/>
      <c r="B25" s="293" t="s">
        <v>190</v>
      </c>
      <c r="C25" s="294"/>
      <c r="D25" s="289" t="s">
        <v>215</v>
      </c>
      <c r="E25" s="289"/>
      <c r="F25" s="289" t="s">
        <v>143</v>
      </c>
      <c r="G25" s="289"/>
      <c r="H25" s="289" t="s">
        <v>143</v>
      </c>
      <c r="I25" s="289"/>
      <c r="J25" s="289" t="s">
        <v>143</v>
      </c>
      <c r="K25" s="289"/>
      <c r="L25" s="289" t="s">
        <v>293</v>
      </c>
      <c r="M25" s="289"/>
      <c r="N25" s="289" t="s">
        <v>293</v>
      </c>
      <c r="O25" s="289"/>
      <c r="P25" s="289" t="s">
        <v>144</v>
      </c>
      <c r="Q25" s="289"/>
      <c r="R25" s="289" t="s">
        <v>144</v>
      </c>
      <c r="S25" s="294"/>
      <c r="T25" s="289"/>
      <c r="U25" s="290"/>
      <c r="V25" s="290"/>
      <c r="W25" s="291"/>
      <c r="X25" s="5"/>
    </row>
    <row r="26" spans="1:24" ht="15.6" x14ac:dyDescent="0.3">
      <c r="A26" s="292"/>
      <c r="B26" s="295" t="s">
        <v>9</v>
      </c>
      <c r="C26" s="294"/>
      <c r="D26" s="294" t="s">
        <v>213</v>
      </c>
      <c r="E26" s="294"/>
      <c r="F26" s="294" t="s">
        <v>141</v>
      </c>
      <c r="G26" s="294"/>
      <c r="H26" s="294" t="s">
        <v>141</v>
      </c>
      <c r="I26" s="294"/>
      <c r="J26" s="294" t="s">
        <v>141</v>
      </c>
      <c r="K26" s="294"/>
      <c r="L26" s="294" t="s">
        <v>183</v>
      </c>
      <c r="M26" s="294"/>
      <c r="N26" s="294" t="s">
        <v>183</v>
      </c>
      <c r="O26" s="294"/>
      <c r="P26" s="294" t="s">
        <v>142</v>
      </c>
      <c r="Q26" s="294"/>
      <c r="R26" s="294" t="s">
        <v>142</v>
      </c>
      <c r="S26" s="294"/>
      <c r="T26" s="289"/>
      <c r="U26" s="290"/>
      <c r="V26" s="290"/>
      <c r="W26" s="291"/>
      <c r="X26" s="5"/>
    </row>
    <row r="27" spans="1:24" ht="15.6" x14ac:dyDescent="0.3">
      <c r="A27" s="287"/>
      <c r="B27" s="295" t="s">
        <v>191</v>
      </c>
      <c r="C27" s="289"/>
      <c r="D27" s="294" t="s">
        <v>214</v>
      </c>
      <c r="E27" s="294"/>
      <c r="F27" s="294" t="s">
        <v>143</v>
      </c>
      <c r="G27" s="294"/>
      <c r="H27" s="294" t="s">
        <v>143</v>
      </c>
      <c r="I27" s="294"/>
      <c r="J27" s="294" t="s">
        <v>143</v>
      </c>
      <c r="K27" s="294"/>
      <c r="L27" s="294" t="s">
        <v>165</v>
      </c>
      <c r="M27" s="294"/>
      <c r="N27" s="294" t="s">
        <v>165</v>
      </c>
      <c r="O27" s="294"/>
      <c r="P27" s="294" t="s">
        <v>144</v>
      </c>
      <c r="Q27" s="294"/>
      <c r="R27" s="294" t="s">
        <v>144</v>
      </c>
      <c r="S27" s="289"/>
      <c r="T27" s="296"/>
      <c r="U27" s="290"/>
      <c r="V27" s="290"/>
      <c r="W27" s="291"/>
      <c r="X27" s="5"/>
    </row>
    <row r="28" spans="1:24" ht="15.6" x14ac:dyDescent="0.3">
      <c r="A28" s="287"/>
      <c r="B28" s="297" t="s">
        <v>192</v>
      </c>
      <c r="C28" s="289"/>
      <c r="D28" s="294" t="s">
        <v>215</v>
      </c>
      <c r="E28" s="294"/>
      <c r="F28" s="294" t="s">
        <v>143</v>
      </c>
      <c r="G28" s="294"/>
      <c r="H28" s="294" t="s">
        <v>143</v>
      </c>
      <c r="I28" s="294"/>
      <c r="J28" s="294" t="s">
        <v>143</v>
      </c>
      <c r="K28" s="294"/>
      <c r="L28" s="294" t="s">
        <v>293</v>
      </c>
      <c r="M28" s="294"/>
      <c r="N28" s="294" t="s">
        <v>293</v>
      </c>
      <c r="O28" s="294"/>
      <c r="P28" s="294" t="s">
        <v>144</v>
      </c>
      <c r="Q28" s="294"/>
      <c r="R28" s="294" t="s">
        <v>144</v>
      </c>
      <c r="S28" s="289"/>
      <c r="T28" s="296"/>
      <c r="U28" s="290"/>
      <c r="V28" s="290"/>
      <c r="W28" s="291"/>
      <c r="X28" s="5"/>
    </row>
    <row r="29" spans="1:24" ht="15.6" x14ac:dyDescent="0.3">
      <c r="A29" s="287"/>
      <c r="B29" s="288" t="s">
        <v>10</v>
      </c>
      <c r="C29" s="298"/>
      <c r="D29" s="289" t="s">
        <v>249</v>
      </c>
      <c r="E29" s="289"/>
      <c r="F29" s="296" t="s">
        <v>250</v>
      </c>
      <c r="G29" s="289"/>
      <c r="H29" s="289" t="s">
        <v>251</v>
      </c>
      <c r="I29" s="289"/>
      <c r="J29" s="289" t="s">
        <v>253</v>
      </c>
      <c r="K29" s="289"/>
      <c r="L29" s="289" t="s">
        <v>254</v>
      </c>
      <c r="M29" s="289"/>
      <c r="N29" s="289" t="s">
        <v>255</v>
      </c>
      <c r="O29" s="289"/>
      <c r="P29" s="289" t="s">
        <v>256</v>
      </c>
      <c r="Q29" s="289"/>
      <c r="R29" s="289" t="s">
        <v>257</v>
      </c>
      <c r="S29" s="299"/>
      <c r="T29" s="299"/>
      <c r="U29" s="300"/>
      <c r="V29" s="299"/>
      <c r="W29" s="301"/>
      <c r="X29" s="5"/>
    </row>
    <row r="30" spans="1:24" ht="15.6" x14ac:dyDescent="0.3">
      <c r="A30" s="287"/>
      <c r="B30" s="288" t="s">
        <v>10</v>
      </c>
      <c r="C30" s="298"/>
      <c r="D30" s="289" t="s">
        <v>248</v>
      </c>
      <c r="E30" s="289"/>
      <c r="F30" s="296" t="s">
        <v>118</v>
      </c>
      <c r="G30" s="289"/>
      <c r="H30" s="289" t="s">
        <v>118</v>
      </c>
      <c r="I30" s="289"/>
      <c r="J30" s="289" t="s">
        <v>252</v>
      </c>
      <c r="K30" s="289"/>
      <c r="L30" s="289" t="s">
        <v>118</v>
      </c>
      <c r="M30" s="289"/>
      <c r="N30" s="289" t="s">
        <v>118</v>
      </c>
      <c r="O30" s="289"/>
      <c r="P30" s="289" t="s">
        <v>118</v>
      </c>
      <c r="Q30" s="289"/>
      <c r="R30" s="289" t="s">
        <v>118</v>
      </c>
      <c r="S30" s="299"/>
      <c r="T30" s="299"/>
      <c r="U30" s="300"/>
      <c r="V30" s="299"/>
      <c r="W30" s="301"/>
      <c r="X30" s="5"/>
    </row>
    <row r="31" spans="1:24" ht="15.6" x14ac:dyDescent="0.3">
      <c r="A31" s="292"/>
      <c r="B31" s="288" t="s">
        <v>133</v>
      </c>
      <c r="C31" s="302"/>
      <c r="D31" s="303">
        <v>1500000</v>
      </c>
      <c r="E31" s="298"/>
      <c r="F31" s="299">
        <v>125000</v>
      </c>
      <c r="G31" s="299"/>
      <c r="H31" s="304">
        <v>246000</v>
      </c>
      <c r="I31" s="304"/>
      <c r="J31" s="303">
        <v>400000</v>
      </c>
      <c r="K31" s="299"/>
      <c r="L31" s="299">
        <v>51900</v>
      </c>
      <c r="M31" s="299"/>
      <c r="N31" s="304">
        <v>88800</v>
      </c>
      <c r="O31" s="299"/>
      <c r="P31" s="299">
        <v>20000</v>
      </c>
      <c r="Q31" s="299"/>
      <c r="R31" s="304">
        <v>135500</v>
      </c>
      <c r="S31" s="305"/>
      <c r="T31" s="305"/>
      <c r="U31" s="306"/>
      <c r="V31" s="305"/>
      <c r="W31" s="301"/>
      <c r="X31" s="5"/>
    </row>
    <row r="32" spans="1:24" ht="15.6" x14ac:dyDescent="0.3">
      <c r="A32" s="287"/>
      <c r="B32" s="288" t="s">
        <v>132</v>
      </c>
      <c r="C32" s="298"/>
      <c r="D32" s="303">
        <f>D31*D38</f>
        <v>1133553.8999999999</v>
      </c>
      <c r="E32" s="298"/>
      <c r="F32" s="299">
        <f>F31*F38</f>
        <v>94462.875</v>
      </c>
      <c r="G32" s="299"/>
      <c r="H32" s="304">
        <f>H31*H38</f>
        <v>185902.93799999999</v>
      </c>
      <c r="I32" s="304"/>
      <c r="J32" s="303">
        <f>J31*J38</f>
        <v>302281.03999999998</v>
      </c>
      <c r="K32" s="299"/>
      <c r="L32" s="299">
        <f>+L31</f>
        <v>51900</v>
      </c>
      <c r="M32" s="299"/>
      <c r="N32" s="304">
        <f>+N31</f>
        <v>88800</v>
      </c>
      <c r="O32" s="299"/>
      <c r="P32" s="299">
        <f>+P31</f>
        <v>20000</v>
      </c>
      <c r="Q32" s="299"/>
      <c r="R32" s="304">
        <f>+R31</f>
        <v>135500</v>
      </c>
      <c r="S32" s="299"/>
      <c r="T32" s="299"/>
      <c r="U32" s="300"/>
      <c r="V32" s="299"/>
      <c r="W32" s="301"/>
      <c r="X32" s="5"/>
    </row>
    <row r="33" spans="1:24" ht="15.6" x14ac:dyDescent="0.3">
      <c r="A33" s="287"/>
      <c r="B33" s="295" t="s">
        <v>134</v>
      </c>
      <c r="C33" s="298"/>
      <c r="D33" s="307">
        <f>D37*D31</f>
        <v>1122092.8499999999</v>
      </c>
      <c r="E33" s="302"/>
      <c r="F33" s="305">
        <f>F37*F31</f>
        <v>93507.8</v>
      </c>
      <c r="G33" s="305"/>
      <c r="H33" s="308">
        <f>H31*H37</f>
        <v>184023.3504</v>
      </c>
      <c r="I33" s="308"/>
      <c r="J33" s="307">
        <f>J37*J31</f>
        <v>299224.75999999995</v>
      </c>
      <c r="K33" s="305"/>
      <c r="L33" s="305">
        <f>L31*L37</f>
        <v>51900</v>
      </c>
      <c r="M33" s="305"/>
      <c r="N33" s="308">
        <f>N31*N37</f>
        <v>88800</v>
      </c>
      <c r="O33" s="305"/>
      <c r="P33" s="305">
        <f>P31*P37</f>
        <v>20000</v>
      </c>
      <c r="Q33" s="305"/>
      <c r="R33" s="308">
        <f>R31*R37</f>
        <v>135500</v>
      </c>
      <c r="S33" s="299"/>
      <c r="T33" s="299"/>
      <c r="U33" s="300"/>
      <c r="V33" s="299"/>
      <c r="W33" s="301"/>
      <c r="X33" s="5"/>
    </row>
    <row r="34" spans="1:24" ht="15.6" x14ac:dyDescent="0.3">
      <c r="A34" s="292"/>
      <c r="B34" s="288" t="s">
        <v>296</v>
      </c>
      <c r="C34" s="302"/>
      <c r="D34" s="299">
        <v>775194</v>
      </c>
      <c r="E34" s="298"/>
      <c r="F34" s="299">
        <v>125000</v>
      </c>
      <c r="G34" s="299"/>
      <c r="H34" s="299">
        <v>168148</v>
      </c>
      <c r="I34" s="299"/>
      <c r="J34" s="299">
        <v>206718</v>
      </c>
      <c r="K34" s="299"/>
      <c r="L34" s="299">
        <v>51900</v>
      </c>
      <c r="M34" s="299"/>
      <c r="N34" s="299">
        <v>60697</v>
      </c>
      <c r="O34" s="299"/>
      <c r="P34" s="299">
        <v>20000</v>
      </c>
      <c r="Q34" s="299"/>
      <c r="R34" s="299">
        <v>92618</v>
      </c>
      <c r="S34" s="305"/>
      <c r="T34" s="305"/>
      <c r="U34" s="306"/>
      <c r="V34" s="309">
        <f>SUM(C34:R34)</f>
        <v>1500275</v>
      </c>
      <c r="W34" s="301"/>
      <c r="X34" s="5"/>
    </row>
    <row r="35" spans="1:24" ht="15.6" x14ac:dyDescent="0.3">
      <c r="A35" s="292"/>
      <c r="B35" s="288" t="s">
        <v>297</v>
      </c>
      <c r="C35" s="310"/>
      <c r="D35" s="299">
        <f>D34*D38</f>
        <v>585816.12130440003</v>
      </c>
      <c r="E35" s="298"/>
      <c r="F35" s="299">
        <f>F34*F38</f>
        <v>94462.875</v>
      </c>
      <c r="G35" s="299"/>
      <c r="H35" s="299">
        <f>H34*H38</f>
        <v>127069.948044</v>
      </c>
      <c r="I35" s="299"/>
      <c r="J35" s="299">
        <f>J34*J38</f>
        <v>156217.3300668</v>
      </c>
      <c r="K35" s="299"/>
      <c r="L35" s="299">
        <f>+L34</f>
        <v>51900</v>
      </c>
      <c r="M35" s="299"/>
      <c r="N35" s="299">
        <f>+N34</f>
        <v>60697</v>
      </c>
      <c r="O35" s="299"/>
      <c r="P35" s="299">
        <f>+P34</f>
        <v>20000</v>
      </c>
      <c r="Q35" s="299"/>
      <c r="R35" s="299">
        <f>+R34</f>
        <v>92618</v>
      </c>
      <c r="S35" s="299"/>
      <c r="T35" s="299"/>
      <c r="U35" s="300"/>
      <c r="V35" s="309">
        <f>SUM(C35:R35)</f>
        <v>1188781.2744152001</v>
      </c>
      <c r="W35" s="301"/>
      <c r="X35" s="5"/>
    </row>
    <row r="36" spans="1:24" ht="15.6" x14ac:dyDescent="0.3">
      <c r="A36" s="292"/>
      <c r="B36" s="295" t="s">
        <v>298</v>
      </c>
      <c r="C36" s="310"/>
      <c r="D36" s="305">
        <f>D34*D37</f>
        <v>579893.09650859993</v>
      </c>
      <c r="E36" s="302"/>
      <c r="F36" s="305">
        <f>F34*F37</f>
        <v>93507.8</v>
      </c>
      <c r="G36" s="305"/>
      <c r="H36" s="305">
        <f>H34*H37</f>
        <v>125785.19643520001</v>
      </c>
      <c r="I36" s="305"/>
      <c r="J36" s="305">
        <f>J34*J37</f>
        <v>154637.85984419999</v>
      </c>
      <c r="K36" s="305"/>
      <c r="L36" s="305">
        <f>L34*L37</f>
        <v>51900</v>
      </c>
      <c r="M36" s="305"/>
      <c r="N36" s="305">
        <f>N34*N37</f>
        <v>60697</v>
      </c>
      <c r="O36" s="305"/>
      <c r="P36" s="305">
        <f>P34*P37</f>
        <v>20000</v>
      </c>
      <c r="Q36" s="305"/>
      <c r="R36" s="305">
        <f>R34*R37</f>
        <v>92618</v>
      </c>
      <c r="S36" s="311"/>
      <c r="T36" s="311"/>
      <c r="U36" s="300"/>
      <c r="V36" s="312">
        <f>SUM(C36:R36)</f>
        <v>1179038.952788</v>
      </c>
      <c r="W36" s="301"/>
      <c r="X36" s="5"/>
    </row>
    <row r="37" spans="1:24" ht="15.6" x14ac:dyDescent="0.3">
      <c r="A37" s="287"/>
      <c r="B37" s="313" t="s">
        <v>130</v>
      </c>
      <c r="C37" s="314"/>
      <c r="D37" s="315">
        <v>0.74806189999999995</v>
      </c>
      <c r="E37" s="315"/>
      <c r="F37" s="315">
        <v>0.74806240000000002</v>
      </c>
      <c r="G37" s="315"/>
      <c r="H37" s="315">
        <v>0.74806240000000002</v>
      </c>
      <c r="I37" s="315"/>
      <c r="J37" s="315">
        <v>0.74806189999999995</v>
      </c>
      <c r="K37" s="315"/>
      <c r="L37" s="315">
        <v>1</v>
      </c>
      <c r="M37" s="315"/>
      <c r="N37" s="315">
        <v>1</v>
      </c>
      <c r="O37" s="315"/>
      <c r="P37" s="315">
        <v>1</v>
      </c>
      <c r="Q37" s="315"/>
      <c r="R37" s="315">
        <v>1</v>
      </c>
      <c r="S37" s="316"/>
      <c r="T37" s="316"/>
      <c r="U37" s="317"/>
      <c r="V37" s="317"/>
      <c r="W37" s="318"/>
      <c r="X37" s="5"/>
    </row>
    <row r="38" spans="1:24" ht="15.6" x14ac:dyDescent="0.3">
      <c r="A38" s="287"/>
      <c r="B38" s="313" t="s">
        <v>131</v>
      </c>
      <c r="C38" s="314"/>
      <c r="D38" s="315">
        <v>0.7557026</v>
      </c>
      <c r="E38" s="315"/>
      <c r="F38" s="315">
        <v>0.75570300000000001</v>
      </c>
      <c r="G38" s="315"/>
      <c r="H38" s="315">
        <v>0.75570300000000001</v>
      </c>
      <c r="I38" s="315"/>
      <c r="J38" s="315">
        <v>0.7557026</v>
      </c>
      <c r="K38" s="315"/>
      <c r="L38" s="315">
        <v>1</v>
      </c>
      <c r="M38" s="315"/>
      <c r="N38" s="315">
        <v>1</v>
      </c>
      <c r="O38" s="315"/>
      <c r="P38" s="315">
        <v>1</v>
      </c>
      <c r="Q38" s="315"/>
      <c r="R38" s="315">
        <v>1</v>
      </c>
      <c r="S38" s="319"/>
      <c r="T38" s="320"/>
      <c r="U38" s="317"/>
      <c r="V38" s="319"/>
      <c r="W38" s="318"/>
      <c r="X38" s="5"/>
    </row>
    <row r="39" spans="1:24" ht="15.6" x14ac:dyDescent="0.3">
      <c r="A39" s="287"/>
      <c r="B39" s="288" t="s">
        <v>11</v>
      </c>
      <c r="C39" s="288"/>
      <c r="D39" s="296" t="s">
        <v>285</v>
      </c>
      <c r="E39" s="288"/>
      <c r="F39" s="296" t="s">
        <v>258</v>
      </c>
      <c r="G39" s="296"/>
      <c r="H39" s="296" t="s">
        <v>258</v>
      </c>
      <c r="I39" s="296"/>
      <c r="J39" s="296" t="s">
        <v>258</v>
      </c>
      <c r="K39" s="296"/>
      <c r="L39" s="296" t="s">
        <v>232</v>
      </c>
      <c r="M39" s="296"/>
      <c r="N39" s="296" t="s">
        <v>232</v>
      </c>
      <c r="O39" s="296"/>
      <c r="P39" s="296" t="s">
        <v>233</v>
      </c>
      <c r="Q39" s="296"/>
      <c r="R39" s="296" t="s">
        <v>233</v>
      </c>
      <c r="S39" s="321"/>
      <c r="T39" s="322"/>
      <c r="U39" s="290"/>
      <c r="V39" s="290"/>
      <c r="W39" s="291"/>
      <c r="X39" s="5"/>
    </row>
    <row r="40" spans="1:24" ht="15.6" x14ac:dyDescent="0.3">
      <c r="A40" s="287"/>
      <c r="B40" s="288" t="s">
        <v>12</v>
      </c>
      <c r="C40" s="288"/>
      <c r="D40" s="322">
        <v>4.3687999999999999E-3</v>
      </c>
      <c r="E40" s="288"/>
      <c r="F40" s="322">
        <v>7.45E-3</v>
      </c>
      <c r="G40" s="321"/>
      <c r="H40" s="322">
        <v>7.4999999999999997E-3</v>
      </c>
      <c r="I40" s="322"/>
      <c r="J40" s="322">
        <v>3.5703000000000002E-3</v>
      </c>
      <c r="K40" s="321"/>
      <c r="L40" s="322">
        <v>8.2500000000000004E-3</v>
      </c>
      <c r="M40" s="321"/>
      <c r="N40" s="322">
        <v>8.3000000000000001E-3</v>
      </c>
      <c r="O40" s="321"/>
      <c r="P40" s="322">
        <v>1.025E-2</v>
      </c>
      <c r="Q40" s="321"/>
      <c r="R40" s="322">
        <v>1.03E-2</v>
      </c>
      <c r="S40" s="321"/>
      <c r="T40" s="322"/>
      <c r="U40" s="290"/>
      <c r="V40" s="296"/>
      <c r="W40" s="291"/>
      <c r="X40" s="5"/>
    </row>
    <row r="41" spans="1:24" ht="15.6" x14ac:dyDescent="0.3">
      <c r="A41" s="287"/>
      <c r="B41" s="288" t="s">
        <v>13</v>
      </c>
      <c r="C41" s="288"/>
      <c r="D41" s="322">
        <v>3.3187999999999998E-3</v>
      </c>
      <c r="E41" s="288"/>
      <c r="F41" s="322">
        <v>7.0562999999999997E-3</v>
      </c>
      <c r="G41" s="321"/>
      <c r="H41" s="322">
        <v>8.1399999999999997E-3</v>
      </c>
      <c r="I41" s="322"/>
      <c r="J41" s="322">
        <v>3.5363E-3</v>
      </c>
      <c r="K41" s="321"/>
      <c r="L41" s="322">
        <v>7.8563000000000001E-3</v>
      </c>
      <c r="M41" s="321"/>
      <c r="N41" s="322">
        <v>8.94E-3</v>
      </c>
      <c r="O41" s="321"/>
      <c r="P41" s="322">
        <v>9.8563000000000001E-3</v>
      </c>
      <c r="Q41" s="321"/>
      <c r="R41" s="322">
        <v>1.094E-2</v>
      </c>
      <c r="S41" s="321"/>
      <c r="T41" s="322"/>
      <c r="U41" s="290"/>
      <c r="V41" s="321" t="s">
        <v>193</v>
      </c>
      <c r="W41" s="291"/>
      <c r="X41" s="5"/>
    </row>
    <row r="42" spans="1:24" ht="15.6" x14ac:dyDescent="0.3">
      <c r="A42" s="287"/>
      <c r="B42" s="288" t="s">
        <v>299</v>
      </c>
      <c r="C42" s="288"/>
      <c r="D42" s="296" t="s">
        <v>286</v>
      </c>
      <c r="E42" s="288"/>
      <c r="F42" s="296" t="s">
        <v>258</v>
      </c>
      <c r="G42" s="296"/>
      <c r="H42" s="296" t="s">
        <v>259</v>
      </c>
      <c r="I42" s="296"/>
      <c r="J42" s="296" t="s">
        <v>260</v>
      </c>
      <c r="K42" s="296"/>
      <c r="L42" s="296" t="s">
        <v>232</v>
      </c>
      <c r="M42" s="296"/>
      <c r="N42" s="296" t="s">
        <v>235</v>
      </c>
      <c r="O42" s="296"/>
      <c r="P42" s="296" t="s">
        <v>233</v>
      </c>
      <c r="Q42" s="296"/>
      <c r="R42" s="296" t="s">
        <v>261</v>
      </c>
      <c r="S42" s="321"/>
      <c r="T42" s="322"/>
      <c r="U42" s="290"/>
      <c r="V42" s="290"/>
      <c r="W42" s="291"/>
      <c r="X42" s="5"/>
    </row>
    <row r="43" spans="1:24" ht="15.6" x14ac:dyDescent="0.3">
      <c r="A43" s="287"/>
      <c r="B43" s="288" t="s">
        <v>300</v>
      </c>
      <c r="C43" s="323"/>
      <c r="D43" s="322">
        <v>7.7889999999999999E-3</v>
      </c>
      <c r="E43" s="322"/>
      <c r="F43" s="322">
        <f>+F40</f>
        <v>7.45E-3</v>
      </c>
      <c r="G43" s="322"/>
      <c r="H43" s="322">
        <v>7.5900000000000004E-3</v>
      </c>
      <c r="I43" s="322"/>
      <c r="J43" s="322">
        <v>7.8130000000000005E-3</v>
      </c>
      <c r="K43" s="322"/>
      <c r="L43" s="322">
        <f>+L40</f>
        <v>8.2500000000000004E-3</v>
      </c>
      <c r="M43" s="322"/>
      <c r="N43" s="322">
        <v>8.5459999999999998E-3</v>
      </c>
      <c r="O43" s="322"/>
      <c r="P43" s="322">
        <f>+P40</f>
        <v>1.025E-2</v>
      </c>
      <c r="Q43" s="321"/>
      <c r="R43" s="322">
        <v>1.0782999999999999E-2</v>
      </c>
      <c r="S43" s="296"/>
      <c r="T43" s="296"/>
      <c r="U43" s="290"/>
      <c r="V43" s="321">
        <f>SUMPRODUCT(D43:R43,D35:R35)/V35</f>
        <v>8.0773887978505526E-3</v>
      </c>
      <c r="W43" s="291"/>
      <c r="X43" s="5"/>
    </row>
    <row r="44" spans="1:24" ht="15.6" x14ac:dyDescent="0.3">
      <c r="A44" s="287"/>
      <c r="B44" s="288" t="s">
        <v>301</v>
      </c>
      <c r="C44" s="323"/>
      <c r="D44" s="322">
        <v>7.3952999999999996E-3</v>
      </c>
      <c r="E44" s="322"/>
      <c r="F44" s="322">
        <f>+F41</f>
        <v>7.0562999999999997E-3</v>
      </c>
      <c r="G44" s="322"/>
      <c r="H44" s="322">
        <v>7.1963000000000001E-3</v>
      </c>
      <c r="I44" s="322"/>
      <c r="J44" s="322">
        <v>7.4193000000000002E-3</v>
      </c>
      <c r="K44" s="322"/>
      <c r="L44" s="322">
        <f>+L41</f>
        <v>7.8563000000000001E-3</v>
      </c>
      <c r="M44" s="322"/>
      <c r="N44" s="322">
        <v>8.1522999999999995E-3</v>
      </c>
      <c r="O44" s="322"/>
      <c r="P44" s="322">
        <f>+P41</f>
        <v>9.8563000000000001E-3</v>
      </c>
      <c r="Q44" s="321"/>
      <c r="R44" s="322">
        <v>1.0389300000000001E-2</v>
      </c>
      <c r="S44" s="296"/>
      <c r="T44" s="296"/>
      <c r="U44" s="290"/>
      <c r="V44" s="290"/>
      <c r="W44" s="291"/>
      <c r="X44" s="5"/>
    </row>
    <row r="45" spans="1:24" ht="15.6" x14ac:dyDescent="0.3">
      <c r="A45" s="287"/>
      <c r="B45" s="288" t="s">
        <v>14</v>
      </c>
      <c r="C45" s="288"/>
      <c r="D45" s="323">
        <v>40617</v>
      </c>
      <c r="E45" s="323"/>
      <c r="F45" s="323">
        <v>40617</v>
      </c>
      <c r="G45" s="323"/>
      <c r="H45" s="323">
        <v>40617</v>
      </c>
      <c r="I45" s="323"/>
      <c r="J45" s="323">
        <v>40617</v>
      </c>
      <c r="K45" s="323"/>
      <c r="L45" s="323">
        <v>40617</v>
      </c>
      <c r="M45" s="323"/>
      <c r="N45" s="323">
        <v>40617</v>
      </c>
      <c r="O45" s="323"/>
      <c r="P45" s="323">
        <v>40617</v>
      </c>
      <c r="Q45" s="323"/>
      <c r="R45" s="323">
        <v>40617</v>
      </c>
      <c r="S45" s="296"/>
      <c r="T45" s="296"/>
      <c r="U45" s="290"/>
      <c r="V45" s="290"/>
      <c r="W45" s="291"/>
      <c r="X45" s="5"/>
    </row>
    <row r="46" spans="1:24" ht="15.6" x14ac:dyDescent="0.3">
      <c r="A46" s="287"/>
      <c r="B46" s="288" t="s">
        <v>15</v>
      </c>
      <c r="C46" s="288"/>
      <c r="D46" s="323" t="s">
        <v>118</v>
      </c>
      <c r="E46" s="323"/>
      <c r="F46" s="323">
        <v>40983</v>
      </c>
      <c r="G46" s="323"/>
      <c r="H46" s="323">
        <v>40983</v>
      </c>
      <c r="I46" s="323"/>
      <c r="J46" s="323">
        <v>40983</v>
      </c>
      <c r="K46" s="296"/>
      <c r="L46" s="323">
        <v>40983</v>
      </c>
      <c r="M46" s="296"/>
      <c r="N46" s="323">
        <v>40983</v>
      </c>
      <c r="O46" s="296"/>
      <c r="P46" s="323">
        <v>40983</v>
      </c>
      <c r="Q46" s="296"/>
      <c r="R46" s="323">
        <v>40983</v>
      </c>
      <c r="S46" s="296"/>
      <c r="T46" s="296"/>
      <c r="U46" s="290"/>
      <c r="V46" s="290"/>
      <c r="W46" s="291"/>
      <c r="X46" s="5"/>
    </row>
    <row r="47" spans="1:24" ht="15.6" x14ac:dyDescent="0.3">
      <c r="A47" s="287"/>
      <c r="B47" s="288" t="s">
        <v>119</v>
      </c>
      <c r="C47" s="288"/>
      <c r="D47" s="324" t="s">
        <v>118</v>
      </c>
      <c r="E47" s="288"/>
      <c r="F47" s="296" t="s">
        <v>231</v>
      </c>
      <c r="G47" s="296"/>
      <c r="H47" s="296" t="s">
        <v>231</v>
      </c>
      <c r="I47" s="296"/>
      <c r="J47" s="296" t="s">
        <v>231</v>
      </c>
      <c r="K47" s="296"/>
      <c r="L47" s="296" t="s">
        <v>265</v>
      </c>
      <c r="M47" s="296"/>
      <c r="N47" s="296" t="s">
        <v>265</v>
      </c>
      <c r="O47" s="296"/>
      <c r="P47" s="296" t="s">
        <v>266</v>
      </c>
      <c r="Q47" s="296"/>
      <c r="R47" s="296" t="s">
        <v>266</v>
      </c>
      <c r="S47" s="325"/>
      <c r="T47" s="325"/>
      <c r="U47" s="325"/>
      <c r="V47" s="325"/>
      <c r="W47" s="291"/>
      <c r="X47" s="5"/>
    </row>
    <row r="48" spans="1:24" ht="15.6" x14ac:dyDescent="0.3">
      <c r="A48" s="287"/>
      <c r="B48" s="288" t="s">
        <v>302</v>
      </c>
      <c r="C48" s="288"/>
      <c r="D48" s="296" t="s">
        <v>200</v>
      </c>
      <c r="E48" s="288"/>
      <c r="F48" s="296" t="s">
        <v>231</v>
      </c>
      <c r="G48" s="296"/>
      <c r="H48" s="296" t="s">
        <v>262</v>
      </c>
      <c r="I48" s="296"/>
      <c r="J48" s="296" t="s">
        <v>263</v>
      </c>
      <c r="K48" s="296"/>
      <c r="L48" s="296" t="s">
        <v>265</v>
      </c>
      <c r="M48" s="296"/>
      <c r="N48" s="296" t="s">
        <v>234</v>
      </c>
      <c r="O48" s="296"/>
      <c r="P48" s="296" t="s">
        <v>266</v>
      </c>
      <c r="Q48" s="296"/>
      <c r="R48" s="296" t="s">
        <v>264</v>
      </c>
      <c r="S48" s="288"/>
      <c r="T48" s="288"/>
      <c r="U48" s="288"/>
      <c r="V48" s="321"/>
      <c r="W48" s="291"/>
      <c r="X48" s="5"/>
    </row>
    <row r="49" spans="1:25" ht="15.6" x14ac:dyDescent="0.3">
      <c r="A49" s="287"/>
      <c r="B49" s="288"/>
      <c r="C49" s="288"/>
      <c r="D49" s="296"/>
      <c r="E49" s="288"/>
      <c r="F49" s="296"/>
      <c r="G49" s="296"/>
      <c r="H49" s="296"/>
      <c r="I49" s="296"/>
      <c r="J49" s="296"/>
      <c r="K49" s="296"/>
      <c r="L49" s="296"/>
      <c r="M49" s="296"/>
      <c r="N49" s="296"/>
      <c r="O49" s="296"/>
      <c r="P49" s="296"/>
      <c r="Q49" s="296"/>
      <c r="R49" s="296"/>
      <c r="S49" s="288"/>
      <c r="T49" s="288"/>
      <c r="U49" s="288"/>
      <c r="V49" s="321" t="s">
        <v>193</v>
      </c>
      <c r="W49" s="291"/>
      <c r="X49" s="5"/>
    </row>
    <row r="50" spans="1:25" ht="15.6" x14ac:dyDescent="0.3">
      <c r="A50" s="287"/>
      <c r="B50" s="288" t="s">
        <v>169</v>
      </c>
      <c r="C50" s="288"/>
      <c r="D50" s="296"/>
      <c r="E50" s="288"/>
      <c r="F50" s="296"/>
      <c r="G50" s="296"/>
      <c r="H50" s="296"/>
      <c r="I50" s="296"/>
      <c r="J50" s="296"/>
      <c r="K50" s="296"/>
      <c r="L50" s="296"/>
      <c r="M50" s="296"/>
      <c r="N50" s="296"/>
      <c r="O50" s="296"/>
      <c r="P50" s="296"/>
      <c r="Q50" s="296"/>
      <c r="R50" s="296"/>
      <c r="S50" s="288"/>
      <c r="T50" s="288"/>
      <c r="U50" s="288"/>
      <c r="V50" s="321">
        <f>SUM(L34:R34)/SUM(D34:J34)</f>
        <v>0.17663090364375009</v>
      </c>
      <c r="W50" s="291"/>
      <c r="X50" s="5"/>
    </row>
    <row r="51" spans="1:25" ht="15.6" x14ac:dyDescent="0.3">
      <c r="A51" s="287"/>
      <c r="B51" s="288" t="s">
        <v>170</v>
      </c>
      <c r="C51" s="288"/>
      <c r="D51" s="288"/>
      <c r="E51" s="288"/>
      <c r="F51" s="326"/>
      <c r="G51" s="288"/>
      <c r="H51" s="288"/>
      <c r="I51" s="288"/>
      <c r="J51" s="288"/>
      <c r="K51" s="288"/>
      <c r="L51" s="288"/>
      <c r="M51" s="288"/>
      <c r="N51" s="288"/>
      <c r="O51" s="288"/>
      <c r="P51" s="288"/>
      <c r="Q51" s="288"/>
      <c r="R51" s="288"/>
      <c r="S51" s="288"/>
      <c r="T51" s="288"/>
      <c r="U51" s="288"/>
      <c r="V51" s="321">
        <f>SUM(L36:R36)/SUM(D36:J36)</f>
        <v>0.23611799571787123</v>
      </c>
      <c r="W51" s="291"/>
      <c r="X51" s="5"/>
    </row>
    <row r="52" spans="1:25" ht="15.6" x14ac:dyDescent="0.3">
      <c r="A52" s="287"/>
      <c r="B52" s="288" t="s">
        <v>171</v>
      </c>
      <c r="C52" s="288"/>
      <c r="D52" s="288"/>
      <c r="E52" s="288"/>
      <c r="F52" s="288"/>
      <c r="G52" s="288"/>
      <c r="H52" s="288"/>
      <c r="I52" s="288"/>
      <c r="J52" s="288"/>
      <c r="K52" s="288"/>
      <c r="L52" s="288"/>
      <c r="M52" s="288"/>
      <c r="N52" s="288"/>
      <c r="O52" s="288"/>
      <c r="P52" s="288"/>
      <c r="Q52" s="288"/>
      <c r="R52" s="288"/>
      <c r="S52" s="288"/>
      <c r="T52" s="296"/>
      <c r="U52" s="296"/>
      <c r="V52" s="299" t="s">
        <v>276</v>
      </c>
      <c r="W52" s="291"/>
      <c r="X52" s="5"/>
    </row>
    <row r="53" spans="1:25" ht="15.6" x14ac:dyDescent="0.3">
      <c r="A53" s="287"/>
      <c r="B53" s="288"/>
      <c r="C53" s="288"/>
      <c r="D53" s="288"/>
      <c r="E53" s="288"/>
      <c r="F53" s="288"/>
      <c r="G53" s="288"/>
      <c r="H53" s="288"/>
      <c r="I53" s="288"/>
      <c r="J53" s="288"/>
      <c r="K53" s="288"/>
      <c r="L53" s="288"/>
      <c r="M53" s="288"/>
      <c r="N53" s="288"/>
      <c r="O53" s="288"/>
      <c r="P53" s="288"/>
      <c r="Q53" s="288"/>
      <c r="R53" s="288"/>
      <c r="S53" s="288"/>
      <c r="T53" s="288"/>
      <c r="U53" s="288"/>
      <c r="V53" s="327"/>
      <c r="W53" s="291"/>
      <c r="X53" s="5"/>
    </row>
    <row r="54" spans="1:25" ht="15.6" x14ac:dyDescent="0.3">
      <c r="A54" s="287"/>
      <c r="B54" s="288" t="s">
        <v>202</v>
      </c>
      <c r="C54" s="288"/>
      <c r="D54" s="288"/>
      <c r="E54" s="288"/>
      <c r="F54" s="288"/>
      <c r="G54" s="288"/>
      <c r="H54" s="288"/>
      <c r="I54" s="288"/>
      <c r="J54" s="288"/>
      <c r="K54" s="288"/>
      <c r="L54" s="288"/>
      <c r="M54" s="288"/>
      <c r="N54" s="288"/>
      <c r="O54" s="288"/>
      <c r="P54" s="288"/>
      <c r="Q54" s="288"/>
      <c r="R54" s="288"/>
      <c r="S54" s="288"/>
      <c r="T54" s="288"/>
      <c r="U54" s="288"/>
      <c r="V54" s="328" t="s">
        <v>203</v>
      </c>
      <c r="W54" s="291"/>
      <c r="X54" s="5"/>
    </row>
    <row r="55" spans="1:25" ht="15.6" x14ac:dyDescent="0.3">
      <c r="A55" s="287"/>
      <c r="B55" s="288" t="s">
        <v>280</v>
      </c>
      <c r="C55" s="288"/>
      <c r="D55" s="288"/>
      <c r="E55" s="288"/>
      <c r="F55" s="288"/>
      <c r="G55" s="288"/>
      <c r="H55" s="288"/>
      <c r="I55" s="288"/>
      <c r="J55" s="288"/>
      <c r="K55" s="288"/>
      <c r="L55" s="288"/>
      <c r="M55" s="288"/>
      <c r="N55" s="288"/>
      <c r="O55" s="288"/>
      <c r="P55" s="288"/>
      <c r="Q55" s="288"/>
      <c r="R55" s="288"/>
      <c r="S55" s="288"/>
      <c r="T55" s="296"/>
      <c r="U55" s="296"/>
      <c r="V55" s="329" t="s">
        <v>111</v>
      </c>
      <c r="W55" s="291"/>
      <c r="X55" s="5"/>
    </row>
    <row r="56" spans="1:25" ht="15.6" x14ac:dyDescent="0.3">
      <c r="A56" s="287"/>
      <c r="B56" s="295" t="s">
        <v>201</v>
      </c>
      <c r="C56" s="295"/>
      <c r="D56" s="295"/>
      <c r="E56" s="295"/>
      <c r="F56" s="295"/>
      <c r="G56" s="295"/>
      <c r="H56" s="295"/>
      <c r="I56" s="295"/>
      <c r="J56" s="295"/>
      <c r="K56" s="295"/>
      <c r="L56" s="295"/>
      <c r="M56" s="295"/>
      <c r="N56" s="295"/>
      <c r="O56" s="295"/>
      <c r="P56" s="295"/>
      <c r="Q56" s="295"/>
      <c r="R56" s="295"/>
      <c r="S56" s="295"/>
      <c r="T56" s="330"/>
      <c r="U56" s="330"/>
      <c r="V56" s="331">
        <v>40344</v>
      </c>
      <c r="W56" s="291"/>
      <c r="X56" s="5"/>
    </row>
    <row r="57" spans="1:25" ht="15.6" x14ac:dyDescent="0.3">
      <c r="A57" s="287"/>
      <c r="B57" s="288" t="s">
        <v>121</v>
      </c>
      <c r="C57" s="288"/>
      <c r="D57" s="288"/>
      <c r="E57" s="288"/>
      <c r="F57" s="288"/>
      <c r="G57" s="288"/>
      <c r="H57" s="332"/>
      <c r="I57" s="332"/>
      <c r="J57" s="332"/>
      <c r="K57" s="332"/>
      <c r="L57" s="332"/>
      <c r="M57" s="332"/>
      <c r="N57" s="332"/>
      <c r="O57" s="332"/>
      <c r="P57" s="332"/>
      <c r="Q57" s="332"/>
      <c r="R57" s="288">
        <f>+V57-T57+1</f>
        <v>90</v>
      </c>
      <c r="S57" s="332"/>
      <c r="T57" s="333">
        <v>40162</v>
      </c>
      <c r="U57" s="334"/>
      <c r="V57" s="333">
        <v>40251</v>
      </c>
      <c r="W57" s="291"/>
      <c r="X57" s="5"/>
    </row>
    <row r="58" spans="1:25" ht="15.6" x14ac:dyDescent="0.3">
      <c r="A58" s="287"/>
      <c r="B58" s="288" t="s">
        <v>122</v>
      </c>
      <c r="C58" s="288"/>
      <c r="D58" s="288"/>
      <c r="E58" s="288"/>
      <c r="F58" s="288"/>
      <c r="G58" s="288"/>
      <c r="H58" s="288"/>
      <c r="I58" s="288"/>
      <c r="J58" s="288"/>
      <c r="K58" s="288"/>
      <c r="L58" s="288"/>
      <c r="M58" s="288"/>
      <c r="N58" s="288"/>
      <c r="O58" s="288"/>
      <c r="P58" s="288"/>
      <c r="Q58" s="288"/>
      <c r="R58" s="288">
        <f>+V58-T58+1</f>
        <v>92</v>
      </c>
      <c r="S58" s="288"/>
      <c r="T58" s="333">
        <v>40252</v>
      </c>
      <c r="U58" s="334"/>
      <c r="V58" s="333">
        <v>40343</v>
      </c>
      <c r="W58" s="291"/>
      <c r="X58" s="5"/>
    </row>
    <row r="59" spans="1:25" ht="15.6" x14ac:dyDescent="0.3">
      <c r="A59" s="287"/>
      <c r="B59" s="288" t="s">
        <v>229</v>
      </c>
      <c r="C59" s="288"/>
      <c r="D59" s="288"/>
      <c r="E59" s="288"/>
      <c r="F59" s="288"/>
      <c r="G59" s="288"/>
      <c r="H59" s="288"/>
      <c r="I59" s="288"/>
      <c r="J59" s="288"/>
      <c r="K59" s="288"/>
      <c r="L59" s="288"/>
      <c r="M59" s="288"/>
      <c r="N59" s="288"/>
      <c r="O59" s="288"/>
      <c r="P59" s="288"/>
      <c r="Q59" s="288"/>
      <c r="R59" s="288"/>
      <c r="S59" s="288"/>
      <c r="T59" s="333"/>
      <c r="U59" s="334"/>
      <c r="V59" s="333" t="s">
        <v>120</v>
      </c>
      <c r="W59" s="291"/>
      <c r="X59" s="5"/>
    </row>
    <row r="60" spans="1:25" ht="15.6" x14ac:dyDescent="0.3">
      <c r="A60" s="287"/>
      <c r="B60" s="288" t="s">
        <v>228</v>
      </c>
      <c r="C60" s="288"/>
      <c r="D60" s="288"/>
      <c r="E60" s="288"/>
      <c r="F60" s="288"/>
      <c r="G60" s="288"/>
      <c r="H60" s="288"/>
      <c r="I60" s="288"/>
      <c r="J60" s="288"/>
      <c r="K60" s="288"/>
      <c r="L60" s="288"/>
      <c r="M60" s="288"/>
      <c r="N60" s="288"/>
      <c r="O60" s="288"/>
      <c r="P60" s="288"/>
      <c r="Q60" s="288"/>
      <c r="R60" s="288"/>
      <c r="S60" s="288"/>
      <c r="T60" s="333"/>
      <c r="U60" s="334"/>
      <c r="V60" s="333" t="s">
        <v>154</v>
      </c>
      <c r="W60" s="291"/>
      <c r="X60" s="5"/>
      <c r="Y60" s="134"/>
    </row>
    <row r="61" spans="1:25" ht="15.6" x14ac:dyDescent="0.3">
      <c r="A61" s="287"/>
      <c r="B61" s="288" t="s">
        <v>16</v>
      </c>
      <c r="C61" s="288"/>
      <c r="D61" s="288"/>
      <c r="E61" s="288"/>
      <c r="F61" s="288"/>
      <c r="G61" s="288"/>
      <c r="H61" s="288"/>
      <c r="I61" s="288"/>
      <c r="J61" s="288"/>
      <c r="K61" s="288"/>
      <c r="L61" s="288"/>
      <c r="M61" s="288"/>
      <c r="N61" s="288"/>
      <c r="O61" s="288"/>
      <c r="P61" s="288"/>
      <c r="Q61" s="288"/>
      <c r="R61" s="288"/>
      <c r="S61" s="288"/>
      <c r="T61" s="333"/>
      <c r="U61" s="334"/>
      <c r="V61" s="333">
        <v>40330</v>
      </c>
      <c r="W61" s="291"/>
      <c r="X61" s="5"/>
    </row>
    <row r="62" spans="1:25" ht="15.6" x14ac:dyDescent="0.3">
      <c r="A62" s="183"/>
      <c r="B62" s="284"/>
      <c r="C62" s="284"/>
      <c r="D62" s="284"/>
      <c r="E62" s="284"/>
      <c r="F62" s="284"/>
      <c r="G62" s="284"/>
      <c r="H62" s="284"/>
      <c r="I62" s="284"/>
      <c r="J62" s="284"/>
      <c r="K62" s="284"/>
      <c r="L62" s="284"/>
      <c r="M62" s="284"/>
      <c r="N62" s="284"/>
      <c r="O62" s="284"/>
      <c r="P62" s="284"/>
      <c r="Q62" s="284"/>
      <c r="R62" s="284"/>
      <c r="S62" s="284"/>
      <c r="T62" s="285"/>
      <c r="U62" s="286"/>
      <c r="V62" s="285"/>
      <c r="W62" s="284"/>
      <c r="X62" s="5"/>
    </row>
    <row r="63" spans="1:25" ht="15.6" x14ac:dyDescent="0.3">
      <c r="A63" s="183"/>
      <c r="B63" s="224"/>
      <c r="C63" s="224"/>
      <c r="D63" s="224"/>
      <c r="E63" s="224"/>
      <c r="F63" s="224"/>
      <c r="G63" s="224"/>
      <c r="H63" s="224"/>
      <c r="I63" s="224"/>
      <c r="J63" s="224"/>
      <c r="K63" s="224"/>
      <c r="L63" s="224"/>
      <c r="M63" s="224"/>
      <c r="N63" s="224"/>
      <c r="O63" s="224"/>
      <c r="P63" s="224"/>
      <c r="Q63" s="224"/>
      <c r="R63" s="224"/>
      <c r="S63" s="224"/>
      <c r="T63" s="235"/>
      <c r="U63" s="236"/>
      <c r="V63" s="235"/>
      <c r="W63" s="224"/>
      <c r="X63" s="5"/>
    </row>
    <row r="64" spans="1:25" ht="18" thickBot="1" x14ac:dyDescent="0.35">
      <c r="A64" s="199"/>
      <c r="B64" s="237" t="s">
        <v>306</v>
      </c>
      <c r="C64" s="238"/>
      <c r="D64" s="238"/>
      <c r="E64" s="238"/>
      <c r="F64" s="238"/>
      <c r="G64" s="238"/>
      <c r="H64" s="238"/>
      <c r="I64" s="238"/>
      <c r="J64" s="238"/>
      <c r="K64" s="238"/>
      <c r="L64" s="238"/>
      <c r="M64" s="238"/>
      <c r="N64" s="238"/>
      <c r="O64" s="238"/>
      <c r="P64" s="238"/>
      <c r="Q64" s="238"/>
      <c r="R64" s="238"/>
      <c r="S64" s="238"/>
      <c r="T64" s="238"/>
      <c r="U64" s="238"/>
      <c r="V64" s="239"/>
      <c r="W64" s="240"/>
      <c r="X64" s="5"/>
    </row>
    <row r="65" spans="1:24" ht="15.6" x14ac:dyDescent="0.3">
      <c r="A65" s="262"/>
      <c r="B65" s="269" t="s">
        <v>17</v>
      </c>
      <c r="C65" s="263"/>
      <c r="D65" s="263"/>
      <c r="E65" s="263"/>
      <c r="F65" s="263"/>
      <c r="G65" s="263"/>
      <c r="H65" s="263"/>
      <c r="I65" s="263"/>
      <c r="J65" s="263"/>
      <c r="K65" s="263"/>
      <c r="L65" s="263"/>
      <c r="M65" s="263"/>
      <c r="N65" s="263"/>
      <c r="O65" s="263"/>
      <c r="P65" s="263"/>
      <c r="Q65" s="263"/>
      <c r="R65" s="263"/>
      <c r="S65" s="263"/>
      <c r="T65" s="263"/>
      <c r="U65" s="263"/>
      <c r="V65" s="268"/>
      <c r="W65" s="263"/>
      <c r="X65" s="5"/>
    </row>
    <row r="66" spans="1:24" ht="15.6" x14ac:dyDescent="0.3">
      <c r="A66" s="183"/>
      <c r="B66" s="191"/>
      <c r="C66" s="185"/>
      <c r="D66" s="185"/>
      <c r="E66" s="185"/>
      <c r="F66" s="185"/>
      <c r="G66" s="185"/>
      <c r="H66" s="185"/>
      <c r="I66" s="185"/>
      <c r="J66" s="185"/>
      <c r="K66" s="185"/>
      <c r="L66" s="185"/>
      <c r="M66" s="185"/>
      <c r="N66" s="185"/>
      <c r="O66" s="185"/>
      <c r="P66" s="185"/>
      <c r="Q66" s="185"/>
      <c r="R66" s="185"/>
      <c r="S66" s="185"/>
      <c r="T66" s="185"/>
      <c r="U66" s="185"/>
      <c r="V66" s="201"/>
      <c r="W66" s="185"/>
      <c r="X66" s="5"/>
    </row>
    <row r="67" spans="1:24" ht="46.8" x14ac:dyDescent="0.3">
      <c r="A67" s="183"/>
      <c r="B67" s="202" t="s">
        <v>18</v>
      </c>
      <c r="C67" s="203"/>
      <c r="D67" s="203"/>
      <c r="E67" s="203"/>
      <c r="F67" s="203"/>
      <c r="G67" s="203"/>
      <c r="H67" s="203"/>
      <c r="I67" s="203"/>
      <c r="J67" s="203"/>
      <c r="K67" s="203"/>
      <c r="L67" s="203" t="s">
        <v>94</v>
      </c>
      <c r="M67" s="203"/>
      <c r="N67" s="203" t="s">
        <v>96</v>
      </c>
      <c r="O67" s="203"/>
      <c r="P67" s="203" t="s">
        <v>98</v>
      </c>
      <c r="Q67" s="203"/>
      <c r="R67" s="203" t="s">
        <v>100</v>
      </c>
      <c r="S67" s="203"/>
      <c r="T67" s="203" t="s">
        <v>106</v>
      </c>
      <c r="U67" s="203"/>
      <c r="V67" s="204" t="s">
        <v>112</v>
      </c>
      <c r="W67" s="205"/>
      <c r="X67" s="5"/>
    </row>
    <row r="68" spans="1:24" ht="15.6" x14ac:dyDescent="0.3">
      <c r="A68" s="287"/>
      <c r="B68" s="288" t="s">
        <v>19</v>
      </c>
      <c r="C68" s="337"/>
      <c r="D68" s="337"/>
      <c r="E68" s="337"/>
      <c r="F68" s="337"/>
      <c r="G68" s="337"/>
      <c r="H68" s="337"/>
      <c r="I68" s="337"/>
      <c r="J68" s="337"/>
      <c r="K68" s="337"/>
      <c r="L68" s="337">
        <v>1158015</v>
      </c>
      <c r="M68" s="337"/>
      <c r="N68" s="338">
        <v>1188781</v>
      </c>
      <c r="O68" s="337"/>
      <c r="P68" s="337">
        <f>9742+29+149</f>
        <v>9920</v>
      </c>
      <c r="Q68" s="337"/>
      <c r="R68" s="337">
        <f>29+149</f>
        <v>178</v>
      </c>
      <c r="S68" s="337"/>
      <c r="T68" s="337">
        <v>0</v>
      </c>
      <c r="U68" s="337"/>
      <c r="V68" s="338">
        <f>+N68-P68+R68-T68</f>
        <v>1179039</v>
      </c>
      <c r="W68" s="291"/>
      <c r="X68" s="5"/>
    </row>
    <row r="69" spans="1:24" ht="15.6" x14ac:dyDescent="0.3">
      <c r="A69" s="287"/>
      <c r="B69" s="288" t="s">
        <v>20</v>
      </c>
      <c r="C69" s="337"/>
      <c r="D69" s="337"/>
      <c r="E69" s="337"/>
      <c r="F69" s="337"/>
      <c r="G69" s="337"/>
      <c r="H69" s="337"/>
      <c r="I69" s="337"/>
      <c r="J69" s="337"/>
      <c r="K69" s="337"/>
      <c r="L69" s="337">
        <v>15</v>
      </c>
      <c r="M69" s="337"/>
      <c r="N69" s="338">
        <v>0</v>
      </c>
      <c r="O69" s="337"/>
      <c r="P69" s="337">
        <v>0</v>
      </c>
      <c r="Q69" s="337"/>
      <c r="R69" s="337">
        <v>0</v>
      </c>
      <c r="S69" s="337"/>
      <c r="T69" s="337">
        <v>0</v>
      </c>
      <c r="U69" s="337"/>
      <c r="V69" s="338">
        <v>0</v>
      </c>
      <c r="W69" s="291"/>
      <c r="X69" s="5"/>
    </row>
    <row r="70" spans="1:24" ht="15.6" x14ac:dyDescent="0.3">
      <c r="A70" s="287"/>
      <c r="B70" s="288"/>
      <c r="C70" s="337"/>
      <c r="D70" s="337"/>
      <c r="E70" s="337"/>
      <c r="F70" s="337"/>
      <c r="G70" s="337"/>
      <c r="H70" s="337"/>
      <c r="I70" s="337"/>
      <c r="J70" s="337"/>
      <c r="K70" s="337"/>
      <c r="L70" s="337"/>
      <c r="M70" s="337"/>
      <c r="N70" s="338"/>
      <c r="O70" s="337"/>
      <c r="P70" s="337"/>
      <c r="Q70" s="337"/>
      <c r="R70" s="337"/>
      <c r="S70" s="337"/>
      <c r="T70" s="337"/>
      <c r="U70" s="337"/>
      <c r="V70" s="338"/>
      <c r="W70" s="291"/>
      <c r="X70" s="5"/>
    </row>
    <row r="71" spans="1:24" ht="15.6" x14ac:dyDescent="0.3">
      <c r="A71" s="287"/>
      <c r="B71" s="288" t="s">
        <v>21</v>
      </c>
      <c r="C71" s="337"/>
      <c r="D71" s="337"/>
      <c r="E71" s="337"/>
      <c r="F71" s="337"/>
      <c r="G71" s="337"/>
      <c r="H71" s="337"/>
      <c r="I71" s="337"/>
      <c r="J71" s="337"/>
      <c r="K71" s="337"/>
      <c r="L71" s="337">
        <f>SUM(L68:L70)</f>
        <v>1158030</v>
      </c>
      <c r="M71" s="337"/>
      <c r="N71" s="337">
        <f>N68+N69</f>
        <v>1188781</v>
      </c>
      <c r="O71" s="337"/>
      <c r="P71" s="337">
        <f>SUM(P68:P70)</f>
        <v>9920</v>
      </c>
      <c r="Q71" s="337"/>
      <c r="R71" s="337">
        <f>SUM(R68:R70)</f>
        <v>178</v>
      </c>
      <c r="S71" s="337"/>
      <c r="T71" s="337">
        <f>SUM(T68:T70)</f>
        <v>0</v>
      </c>
      <c r="U71" s="337"/>
      <c r="V71" s="337">
        <f>SUM(V68:V70)</f>
        <v>1179039</v>
      </c>
      <c r="W71" s="291"/>
      <c r="X71" s="5"/>
    </row>
    <row r="72" spans="1:24" ht="15.6" x14ac:dyDescent="0.3">
      <c r="A72" s="183"/>
      <c r="B72" s="198"/>
      <c r="C72" s="335"/>
      <c r="D72" s="335"/>
      <c r="E72" s="335"/>
      <c r="F72" s="335"/>
      <c r="G72" s="335"/>
      <c r="H72" s="335"/>
      <c r="I72" s="335"/>
      <c r="J72" s="335"/>
      <c r="K72" s="335"/>
      <c r="L72" s="335"/>
      <c r="M72" s="335"/>
      <c r="N72" s="335"/>
      <c r="O72" s="335"/>
      <c r="P72" s="335"/>
      <c r="Q72" s="335"/>
      <c r="R72" s="335"/>
      <c r="S72" s="335"/>
      <c r="T72" s="335"/>
      <c r="U72" s="335"/>
      <c r="V72" s="336"/>
      <c r="W72" s="198"/>
      <c r="X72" s="5"/>
    </row>
    <row r="73" spans="1:24" ht="15.6" x14ac:dyDescent="0.3">
      <c r="A73" s="183"/>
      <c r="B73" s="187" t="s">
        <v>22</v>
      </c>
      <c r="C73" s="206"/>
      <c r="D73" s="206"/>
      <c r="E73" s="206"/>
      <c r="F73" s="206"/>
      <c r="G73" s="206"/>
      <c r="H73" s="206"/>
      <c r="I73" s="206"/>
      <c r="J73" s="206"/>
      <c r="K73" s="206"/>
      <c r="L73" s="206"/>
      <c r="M73" s="206"/>
      <c r="N73" s="206"/>
      <c r="O73" s="206"/>
      <c r="P73" s="206"/>
      <c r="Q73" s="206"/>
      <c r="R73" s="206"/>
      <c r="S73" s="206"/>
      <c r="T73" s="206"/>
      <c r="U73" s="206"/>
      <c r="V73" s="207"/>
      <c r="W73" s="185"/>
      <c r="X73" s="5"/>
    </row>
    <row r="74" spans="1:24" ht="15.6" x14ac:dyDescent="0.3">
      <c r="A74" s="183"/>
      <c r="B74" s="185"/>
      <c r="C74" s="206"/>
      <c r="D74" s="206"/>
      <c r="E74" s="206"/>
      <c r="F74" s="206"/>
      <c r="G74" s="206"/>
      <c r="H74" s="206"/>
      <c r="I74" s="206"/>
      <c r="J74" s="206"/>
      <c r="K74" s="206"/>
      <c r="L74" s="206"/>
      <c r="M74" s="206"/>
      <c r="N74" s="206"/>
      <c r="O74" s="206"/>
      <c r="P74" s="206"/>
      <c r="Q74" s="206"/>
      <c r="R74" s="206"/>
      <c r="S74" s="206"/>
      <c r="T74" s="206"/>
      <c r="U74" s="206"/>
      <c r="V74" s="207"/>
      <c r="W74" s="185"/>
      <c r="X74" s="5"/>
    </row>
    <row r="75" spans="1:24" ht="15.6" x14ac:dyDescent="0.3">
      <c r="A75" s="340"/>
      <c r="B75" s="288" t="s">
        <v>19</v>
      </c>
      <c r="C75" s="337"/>
      <c r="D75" s="337"/>
      <c r="E75" s="337"/>
      <c r="F75" s="337"/>
      <c r="G75" s="337"/>
      <c r="H75" s="337"/>
      <c r="I75" s="337"/>
      <c r="J75" s="337"/>
      <c r="K75" s="337"/>
      <c r="L75" s="337"/>
      <c r="M75" s="337"/>
      <c r="N75" s="337"/>
      <c r="O75" s="337"/>
      <c r="P75" s="337"/>
      <c r="Q75" s="337"/>
      <c r="R75" s="337"/>
      <c r="S75" s="337"/>
      <c r="T75" s="337"/>
      <c r="U75" s="337"/>
      <c r="V75" s="337"/>
      <c r="W75" s="291"/>
      <c r="X75" s="5"/>
    </row>
    <row r="76" spans="1:24" ht="15.6" x14ac:dyDescent="0.3">
      <c r="A76" s="340"/>
      <c r="B76" s="288" t="s">
        <v>20</v>
      </c>
      <c r="C76" s="337"/>
      <c r="D76" s="337"/>
      <c r="E76" s="337"/>
      <c r="F76" s="337"/>
      <c r="G76" s="337"/>
      <c r="H76" s="337"/>
      <c r="I76" s="337"/>
      <c r="J76" s="337"/>
      <c r="K76" s="337"/>
      <c r="L76" s="337"/>
      <c r="M76" s="337"/>
      <c r="N76" s="337"/>
      <c r="O76" s="337"/>
      <c r="P76" s="337"/>
      <c r="Q76" s="337"/>
      <c r="R76" s="337"/>
      <c r="S76" s="337"/>
      <c r="T76" s="337"/>
      <c r="U76" s="337"/>
      <c r="V76" s="337"/>
      <c r="W76" s="291"/>
      <c r="X76" s="5"/>
    </row>
    <row r="77" spans="1:24" ht="15.6" x14ac:dyDescent="0.3">
      <c r="A77" s="340"/>
      <c r="B77" s="288"/>
      <c r="C77" s="337"/>
      <c r="D77" s="337"/>
      <c r="E77" s="337"/>
      <c r="F77" s="337"/>
      <c r="G77" s="337"/>
      <c r="H77" s="337"/>
      <c r="I77" s="337"/>
      <c r="J77" s="337"/>
      <c r="K77" s="337"/>
      <c r="L77" s="337"/>
      <c r="M77" s="337"/>
      <c r="N77" s="337"/>
      <c r="O77" s="337"/>
      <c r="P77" s="337"/>
      <c r="Q77" s="337"/>
      <c r="R77" s="337"/>
      <c r="S77" s="337"/>
      <c r="T77" s="337"/>
      <c r="U77" s="337"/>
      <c r="V77" s="337"/>
      <c r="W77" s="291"/>
      <c r="X77" s="5"/>
    </row>
    <row r="78" spans="1:24" ht="15.6" x14ac:dyDescent="0.3">
      <c r="A78" s="340"/>
      <c r="B78" s="288" t="s">
        <v>21</v>
      </c>
      <c r="C78" s="337"/>
      <c r="D78" s="337"/>
      <c r="E78" s="337"/>
      <c r="F78" s="337"/>
      <c r="G78" s="337"/>
      <c r="H78" s="337"/>
      <c r="I78" s="337"/>
      <c r="J78" s="337"/>
      <c r="K78" s="337"/>
      <c r="L78" s="337"/>
      <c r="M78" s="337"/>
      <c r="N78" s="337"/>
      <c r="O78" s="337"/>
      <c r="P78" s="337"/>
      <c r="Q78" s="337"/>
      <c r="R78" s="337"/>
      <c r="S78" s="337"/>
      <c r="T78" s="337"/>
      <c r="U78" s="337"/>
      <c r="V78" s="337"/>
      <c r="W78" s="291"/>
      <c r="X78" s="5"/>
    </row>
    <row r="79" spans="1:24" ht="15.6" x14ac:dyDescent="0.3">
      <c r="A79" s="340"/>
      <c r="B79" s="288"/>
      <c r="C79" s="337"/>
      <c r="D79" s="337"/>
      <c r="E79" s="337"/>
      <c r="F79" s="337"/>
      <c r="G79" s="337"/>
      <c r="H79" s="337"/>
      <c r="I79" s="337"/>
      <c r="J79" s="337"/>
      <c r="K79" s="337"/>
      <c r="L79" s="337"/>
      <c r="M79" s="337"/>
      <c r="N79" s="337"/>
      <c r="O79" s="337"/>
      <c r="P79" s="337"/>
      <c r="Q79" s="337"/>
      <c r="R79" s="337"/>
      <c r="S79" s="337"/>
      <c r="T79" s="337"/>
      <c r="U79" s="337"/>
      <c r="V79" s="337"/>
      <c r="W79" s="291"/>
      <c r="X79" s="5"/>
    </row>
    <row r="80" spans="1:24" ht="15.6" x14ac:dyDescent="0.3">
      <c r="A80" s="340"/>
      <c r="B80" s="288" t="s">
        <v>23</v>
      </c>
      <c r="C80" s="337"/>
      <c r="D80" s="337"/>
      <c r="E80" s="337"/>
      <c r="F80" s="337"/>
      <c r="G80" s="337"/>
      <c r="H80" s="337"/>
      <c r="I80" s="337"/>
      <c r="J80" s="337"/>
      <c r="K80" s="337"/>
      <c r="L80" s="337">
        <v>0</v>
      </c>
      <c r="M80" s="337"/>
      <c r="N80" s="337">
        <v>0</v>
      </c>
      <c r="O80" s="337"/>
      <c r="P80" s="337"/>
      <c r="Q80" s="337"/>
      <c r="R80" s="337"/>
      <c r="S80" s="337"/>
      <c r="T80" s="337"/>
      <c r="U80" s="337"/>
      <c r="V80" s="338">
        <v>0</v>
      </c>
      <c r="W80" s="291"/>
      <c r="X80" s="5"/>
    </row>
    <row r="81" spans="1:24" ht="15.6" x14ac:dyDescent="0.3">
      <c r="A81" s="340"/>
      <c r="B81" s="288" t="s">
        <v>117</v>
      </c>
      <c r="C81" s="337"/>
      <c r="D81" s="337"/>
      <c r="E81" s="337"/>
      <c r="F81" s="337"/>
      <c r="G81" s="337"/>
      <c r="H81" s="337"/>
      <c r="I81" s="337"/>
      <c r="J81" s="337"/>
      <c r="K81" s="337"/>
      <c r="L81" s="337">
        <v>342245</v>
      </c>
      <c r="M81" s="337"/>
      <c r="N81" s="337">
        <v>0</v>
      </c>
      <c r="O81" s="337"/>
      <c r="P81" s="337">
        <v>0</v>
      </c>
      <c r="Q81" s="337"/>
      <c r="R81" s="337"/>
      <c r="S81" s="337"/>
      <c r="T81" s="337"/>
      <c r="U81" s="337"/>
      <c r="V81" s="337">
        <f>SUM(N81:R81)</f>
        <v>0</v>
      </c>
      <c r="W81" s="291"/>
      <c r="X81" s="5"/>
    </row>
    <row r="82" spans="1:24" ht="15.6" x14ac:dyDescent="0.3">
      <c r="A82" s="340"/>
      <c r="B82" s="288"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91"/>
      <c r="X82" s="5"/>
    </row>
    <row r="83" spans="1:24" ht="15.6" x14ac:dyDescent="0.3">
      <c r="A83" s="340"/>
      <c r="B83" s="288" t="s">
        <v>25</v>
      </c>
      <c r="C83" s="337"/>
      <c r="D83" s="337"/>
      <c r="E83" s="337"/>
      <c r="F83" s="337"/>
      <c r="G83" s="337"/>
      <c r="H83" s="337"/>
      <c r="I83" s="337"/>
      <c r="J83" s="337"/>
      <c r="K83" s="337"/>
      <c r="L83" s="337">
        <v>0</v>
      </c>
      <c r="M83" s="337"/>
      <c r="N83" s="337">
        <v>0</v>
      </c>
      <c r="O83" s="337"/>
      <c r="P83" s="337"/>
      <c r="Q83" s="337"/>
      <c r="R83" s="337"/>
      <c r="S83" s="337"/>
      <c r="T83" s="337"/>
      <c r="U83" s="337"/>
      <c r="V83" s="337">
        <v>0</v>
      </c>
      <c r="W83" s="291"/>
      <c r="X83" s="5"/>
    </row>
    <row r="84" spans="1:24" ht="15.6" x14ac:dyDescent="0.3">
      <c r="A84" s="340"/>
      <c r="B84" s="288" t="s">
        <v>26</v>
      </c>
      <c r="C84" s="337"/>
      <c r="D84" s="337"/>
      <c r="E84" s="337"/>
      <c r="F84" s="337"/>
      <c r="G84" s="337"/>
      <c r="H84" s="337"/>
      <c r="I84" s="337"/>
      <c r="J84" s="337"/>
      <c r="K84" s="337"/>
      <c r="L84" s="337">
        <f>SUM(L71:L83)</f>
        <v>1500275</v>
      </c>
      <c r="M84" s="337"/>
      <c r="N84" s="337">
        <f>SUM(N71:N83)</f>
        <v>1188781</v>
      </c>
      <c r="O84" s="337"/>
      <c r="P84" s="337"/>
      <c r="Q84" s="337"/>
      <c r="R84" s="337"/>
      <c r="S84" s="337"/>
      <c r="T84" s="337"/>
      <c r="U84" s="337"/>
      <c r="V84" s="337">
        <f>SUM(V71:V83)</f>
        <v>1179039</v>
      </c>
      <c r="W84" s="291"/>
      <c r="X84" s="5"/>
    </row>
    <row r="85" spans="1:24" ht="15.6" x14ac:dyDescent="0.3">
      <c r="A85" s="243"/>
      <c r="B85" s="284"/>
      <c r="C85" s="339"/>
      <c r="D85" s="339"/>
      <c r="E85" s="339"/>
      <c r="F85" s="339"/>
      <c r="G85" s="339"/>
      <c r="H85" s="339"/>
      <c r="I85" s="339"/>
      <c r="J85" s="339"/>
      <c r="K85" s="339"/>
      <c r="L85" s="339"/>
      <c r="M85" s="339"/>
      <c r="N85" s="339"/>
      <c r="O85" s="339"/>
      <c r="P85" s="339"/>
      <c r="Q85" s="339"/>
      <c r="R85" s="339"/>
      <c r="S85" s="339"/>
      <c r="T85" s="339"/>
      <c r="U85" s="339"/>
      <c r="V85" s="339"/>
      <c r="W85" s="284"/>
      <c r="X85" s="5"/>
    </row>
    <row r="86" spans="1:24" ht="15.6" x14ac:dyDescent="0.3">
      <c r="A86" s="243"/>
      <c r="B86" s="224"/>
      <c r="C86" s="224"/>
      <c r="D86" s="224"/>
      <c r="E86" s="224"/>
      <c r="F86" s="224"/>
      <c r="G86" s="224"/>
      <c r="H86" s="224"/>
      <c r="I86" s="224"/>
      <c r="J86" s="224"/>
      <c r="K86" s="224"/>
      <c r="L86" s="224"/>
      <c r="M86" s="224"/>
      <c r="N86" s="224"/>
      <c r="O86" s="224"/>
      <c r="P86" s="224"/>
      <c r="Q86" s="224"/>
      <c r="R86" s="224"/>
      <c r="S86" s="224"/>
      <c r="T86" s="224"/>
      <c r="U86" s="224"/>
      <c r="V86" s="224"/>
      <c r="W86" s="224"/>
      <c r="X86" s="5"/>
    </row>
    <row r="87" spans="1:24" ht="15.6" x14ac:dyDescent="0.3">
      <c r="A87" s="262"/>
      <c r="B87" s="269" t="s">
        <v>27</v>
      </c>
      <c r="C87" s="269"/>
      <c r="D87" s="269"/>
      <c r="E87" s="269"/>
      <c r="F87" s="269"/>
      <c r="G87" s="269"/>
      <c r="H87" s="270"/>
      <c r="I87" s="270"/>
      <c r="J87" s="270"/>
      <c r="K87" s="270"/>
      <c r="L87" s="271" t="s">
        <v>95</v>
      </c>
      <c r="M87" s="270"/>
      <c r="N87" s="272">
        <f>+T205</f>
        <v>40326</v>
      </c>
      <c r="O87" s="270"/>
      <c r="P87" s="270"/>
      <c r="Q87" s="270"/>
      <c r="R87" s="270"/>
      <c r="S87" s="270"/>
      <c r="T87" s="270" t="s">
        <v>107</v>
      </c>
      <c r="U87" s="270"/>
      <c r="V87" s="270" t="s">
        <v>113</v>
      </c>
      <c r="W87" s="263"/>
      <c r="X87" s="5"/>
    </row>
    <row r="88" spans="1:24" ht="15.6" x14ac:dyDescent="0.3">
      <c r="A88" s="242"/>
      <c r="B88" s="231" t="s">
        <v>28</v>
      </c>
      <c r="C88" s="231"/>
      <c r="D88" s="231"/>
      <c r="E88" s="231"/>
      <c r="F88" s="231"/>
      <c r="G88" s="231"/>
      <c r="H88" s="231"/>
      <c r="I88" s="231"/>
      <c r="J88" s="231"/>
      <c r="K88" s="231"/>
      <c r="L88" s="231"/>
      <c r="M88" s="231"/>
      <c r="N88" s="231"/>
      <c r="O88" s="231"/>
      <c r="P88" s="231"/>
      <c r="Q88" s="231"/>
      <c r="R88" s="231"/>
      <c r="S88" s="231"/>
      <c r="T88" s="234">
        <v>0</v>
      </c>
      <c r="U88" s="231"/>
      <c r="V88" s="241">
        <v>0</v>
      </c>
      <c r="W88" s="231"/>
      <c r="X88" s="5"/>
    </row>
    <row r="89" spans="1:24" ht="15.6" x14ac:dyDescent="0.3">
      <c r="A89" s="340"/>
      <c r="B89" s="288" t="s">
        <v>29</v>
      </c>
      <c r="C89" s="288"/>
      <c r="D89" s="288"/>
      <c r="E89" s="288"/>
      <c r="F89" s="288"/>
      <c r="G89" s="288"/>
      <c r="H89" s="325"/>
      <c r="I89" s="325"/>
      <c r="J89" s="325"/>
      <c r="K89" s="341"/>
      <c r="L89" s="325"/>
      <c r="M89" s="288"/>
      <c r="N89" s="342"/>
      <c r="O89" s="288"/>
      <c r="P89" s="288"/>
      <c r="Q89" s="288"/>
      <c r="R89" s="288"/>
      <c r="S89" s="288"/>
      <c r="T89" s="337">
        <f>9920-626</f>
        <v>9294</v>
      </c>
      <c r="U89" s="288"/>
      <c r="V89" s="338"/>
      <c r="W89" s="291"/>
      <c r="X89" s="5"/>
    </row>
    <row r="90" spans="1:24" ht="15.6" x14ac:dyDescent="0.3">
      <c r="A90" s="340"/>
      <c r="B90" s="288" t="s">
        <v>216</v>
      </c>
      <c r="C90" s="288"/>
      <c r="D90" s="288"/>
      <c r="E90" s="288"/>
      <c r="F90" s="288"/>
      <c r="G90" s="288"/>
      <c r="H90" s="325"/>
      <c r="I90" s="325"/>
      <c r="J90" s="325"/>
      <c r="K90" s="341"/>
      <c r="L90" s="325"/>
      <c r="M90" s="288"/>
      <c r="N90" s="342"/>
      <c r="O90" s="288"/>
      <c r="P90" s="288"/>
      <c r="Q90" s="288"/>
      <c r="R90" s="288"/>
      <c r="S90" s="288"/>
      <c r="T90" s="337"/>
      <c r="U90" s="288"/>
      <c r="V90" s="338">
        <f>3905+4904-475-572+20+3</f>
        <v>7785</v>
      </c>
      <c r="W90" s="291"/>
      <c r="X90" s="5"/>
    </row>
    <row r="91" spans="1:24" ht="15.6" x14ac:dyDescent="0.3">
      <c r="A91" s="340"/>
      <c r="B91" s="288" t="s">
        <v>211</v>
      </c>
      <c r="C91" s="288"/>
      <c r="D91" s="288"/>
      <c r="E91" s="288"/>
      <c r="F91" s="288"/>
      <c r="G91" s="288"/>
      <c r="H91" s="325"/>
      <c r="I91" s="325"/>
      <c r="J91" s="325"/>
      <c r="K91" s="341"/>
      <c r="L91" s="325"/>
      <c r="M91" s="288"/>
      <c r="N91" s="342"/>
      <c r="O91" s="288"/>
      <c r="P91" s="288"/>
      <c r="Q91" s="288"/>
      <c r="R91" s="288"/>
      <c r="S91" s="288"/>
      <c r="T91" s="337"/>
      <c r="U91" s="288"/>
      <c r="V91" s="338">
        <f>202+63</f>
        <v>265</v>
      </c>
      <c r="W91" s="291"/>
      <c r="X91" s="5"/>
    </row>
    <row r="92" spans="1:24" ht="15.6" x14ac:dyDescent="0.3">
      <c r="A92" s="340"/>
      <c r="B92" s="288" t="s">
        <v>212</v>
      </c>
      <c r="C92" s="288"/>
      <c r="D92" s="288"/>
      <c r="E92" s="288"/>
      <c r="F92" s="288"/>
      <c r="G92" s="288"/>
      <c r="H92" s="325"/>
      <c r="I92" s="325"/>
      <c r="J92" s="325"/>
      <c r="K92" s="341"/>
      <c r="L92" s="325"/>
      <c r="M92" s="288"/>
      <c r="N92" s="342"/>
      <c r="O92" s="288"/>
      <c r="P92" s="288"/>
      <c r="Q92" s="288"/>
      <c r="R92" s="288"/>
      <c r="S92" s="288"/>
      <c r="T92" s="337"/>
      <c r="U92" s="288"/>
      <c r="V92" s="338">
        <v>50</v>
      </c>
      <c r="W92" s="291"/>
      <c r="X92" s="5"/>
    </row>
    <row r="93" spans="1:24" ht="15.6" x14ac:dyDescent="0.3">
      <c r="A93" s="340"/>
      <c r="B93" s="288" t="s">
        <v>272</v>
      </c>
      <c r="C93" s="288"/>
      <c r="D93" s="288"/>
      <c r="E93" s="288"/>
      <c r="F93" s="288"/>
      <c r="G93" s="288"/>
      <c r="H93" s="325"/>
      <c r="I93" s="325"/>
      <c r="J93" s="325"/>
      <c r="K93" s="341"/>
      <c r="L93" s="325"/>
      <c r="M93" s="288"/>
      <c r="N93" s="342"/>
      <c r="O93" s="288"/>
      <c r="P93" s="288"/>
      <c r="Q93" s="288"/>
      <c r="R93" s="288"/>
      <c r="S93" s="288"/>
      <c r="T93" s="337"/>
      <c r="U93" s="288"/>
      <c r="V93" s="338">
        <v>0</v>
      </c>
      <c r="W93" s="291"/>
      <c r="X93" s="5"/>
    </row>
    <row r="94" spans="1:24" ht="15.6" x14ac:dyDescent="0.3">
      <c r="A94" s="340"/>
      <c r="B94" s="288" t="s">
        <v>274</v>
      </c>
      <c r="C94" s="288"/>
      <c r="D94" s="288"/>
      <c r="E94" s="288"/>
      <c r="F94" s="288"/>
      <c r="G94" s="288"/>
      <c r="H94" s="325"/>
      <c r="I94" s="325"/>
      <c r="J94" s="325"/>
      <c r="K94" s="341"/>
      <c r="L94" s="325"/>
      <c r="M94" s="288"/>
      <c r="N94" s="342"/>
      <c r="O94" s="288"/>
      <c r="P94" s="288"/>
      <c r="Q94" s="288"/>
      <c r="R94" s="288"/>
      <c r="S94" s="288"/>
      <c r="T94" s="337"/>
      <c r="U94" s="288"/>
      <c r="V94" s="338">
        <v>0</v>
      </c>
      <c r="W94" s="291"/>
      <c r="X94" s="5"/>
    </row>
    <row r="95" spans="1:24" ht="15.6" x14ac:dyDescent="0.3">
      <c r="A95" s="340"/>
      <c r="B95" s="288" t="s">
        <v>135</v>
      </c>
      <c r="C95" s="288"/>
      <c r="D95" s="288"/>
      <c r="E95" s="288"/>
      <c r="F95" s="288"/>
      <c r="G95" s="288"/>
      <c r="H95" s="288"/>
      <c r="I95" s="288"/>
      <c r="J95" s="288"/>
      <c r="K95" s="288"/>
      <c r="L95" s="288"/>
      <c r="M95" s="288"/>
      <c r="N95" s="288"/>
      <c r="O95" s="288"/>
      <c r="P95" s="288"/>
      <c r="Q95" s="288"/>
      <c r="R95" s="288"/>
      <c r="S95" s="288"/>
      <c r="T95" s="337"/>
      <c r="U95" s="288"/>
      <c r="V95" s="338">
        <v>0</v>
      </c>
      <c r="W95" s="291"/>
      <c r="X95" s="5"/>
    </row>
    <row r="96" spans="1:24" ht="15.6" x14ac:dyDescent="0.3">
      <c r="A96" s="340"/>
      <c r="B96" s="288" t="s">
        <v>268</v>
      </c>
      <c r="C96" s="288"/>
      <c r="D96" s="288"/>
      <c r="E96" s="288"/>
      <c r="F96" s="288"/>
      <c r="G96" s="288"/>
      <c r="H96" s="288"/>
      <c r="I96" s="288"/>
      <c r="J96" s="288"/>
      <c r="K96" s="288"/>
      <c r="L96" s="288"/>
      <c r="M96" s="288"/>
      <c r="N96" s="288"/>
      <c r="O96" s="288"/>
      <c r="P96" s="288"/>
      <c r="Q96" s="288"/>
      <c r="R96" s="288"/>
      <c r="S96" s="288"/>
      <c r="T96" s="337"/>
      <c r="U96" s="288"/>
      <c r="V96" s="338">
        <v>0</v>
      </c>
      <c r="W96" s="291"/>
      <c r="X96" s="5"/>
    </row>
    <row r="97" spans="1:25" ht="15.6" x14ac:dyDescent="0.3">
      <c r="A97" s="340"/>
      <c r="B97" s="288" t="s">
        <v>30</v>
      </c>
      <c r="C97" s="288"/>
      <c r="D97" s="288"/>
      <c r="E97" s="288"/>
      <c r="F97" s="288"/>
      <c r="G97" s="288"/>
      <c r="H97" s="288"/>
      <c r="I97" s="288"/>
      <c r="J97" s="288"/>
      <c r="K97" s="288"/>
      <c r="L97" s="288"/>
      <c r="M97" s="288"/>
      <c r="N97" s="288"/>
      <c r="O97" s="288"/>
      <c r="P97" s="288"/>
      <c r="Q97" s="288"/>
      <c r="R97" s="288"/>
      <c r="S97" s="288"/>
      <c r="T97" s="337">
        <f>SUM(T88:T96)</f>
        <v>9294</v>
      </c>
      <c r="U97" s="288"/>
      <c r="V97" s="337">
        <f>SUM(V88:V96)</f>
        <v>8100</v>
      </c>
      <c r="W97" s="291"/>
      <c r="X97" s="5"/>
    </row>
    <row r="98" spans="1:25" ht="15.6" x14ac:dyDescent="0.3">
      <c r="A98" s="340"/>
      <c r="B98" s="288" t="s">
        <v>161</v>
      </c>
      <c r="C98" s="288"/>
      <c r="D98" s="288"/>
      <c r="E98" s="288"/>
      <c r="F98" s="288"/>
      <c r="G98" s="288"/>
      <c r="H98" s="288"/>
      <c r="I98" s="288"/>
      <c r="J98" s="288"/>
      <c r="K98" s="288"/>
      <c r="L98" s="288"/>
      <c r="M98" s="288"/>
      <c r="N98" s="288"/>
      <c r="O98" s="288"/>
      <c r="P98" s="288"/>
      <c r="Q98" s="288"/>
      <c r="R98" s="288"/>
      <c r="S98" s="288"/>
      <c r="T98" s="337">
        <f>-V98</f>
        <v>-47</v>
      </c>
      <c r="U98" s="288"/>
      <c r="V98" s="337">
        <v>47</v>
      </c>
      <c r="W98" s="291"/>
      <c r="X98" s="5"/>
    </row>
    <row r="99" spans="1:25" ht="15.6" x14ac:dyDescent="0.3">
      <c r="A99" s="340"/>
      <c r="B99" s="288" t="s">
        <v>31</v>
      </c>
      <c r="C99" s="288"/>
      <c r="D99" s="288"/>
      <c r="E99" s="288"/>
      <c r="F99" s="288"/>
      <c r="G99" s="288"/>
      <c r="H99" s="288"/>
      <c r="I99" s="288"/>
      <c r="J99" s="288"/>
      <c r="K99" s="288"/>
      <c r="L99" s="288"/>
      <c r="M99" s="288"/>
      <c r="N99" s="288"/>
      <c r="O99" s="288"/>
      <c r="P99" s="288"/>
      <c r="Q99" s="288"/>
      <c r="R99" s="288"/>
      <c r="S99" s="288"/>
      <c r="T99" s="337">
        <f>-V99</f>
        <v>0</v>
      </c>
      <c r="U99" s="288"/>
      <c r="V99" s="338">
        <v>0</v>
      </c>
      <c r="W99" s="291"/>
      <c r="X99" s="5"/>
    </row>
    <row r="100" spans="1:25" ht="15.6" x14ac:dyDescent="0.3">
      <c r="A100" s="340"/>
      <c r="B100" s="288" t="s">
        <v>283</v>
      </c>
      <c r="C100" s="288"/>
      <c r="D100" s="288"/>
      <c r="E100" s="288"/>
      <c r="F100" s="288"/>
      <c r="G100" s="288"/>
      <c r="H100" s="288"/>
      <c r="I100" s="288"/>
      <c r="J100" s="288"/>
      <c r="K100" s="288"/>
      <c r="L100" s="288"/>
      <c r="M100" s="288"/>
      <c r="N100" s="288"/>
      <c r="O100" s="288"/>
      <c r="P100" s="288"/>
      <c r="Q100" s="288"/>
      <c r="R100" s="288"/>
      <c r="S100" s="288"/>
      <c r="T100" s="337"/>
      <c r="U100" s="288"/>
      <c r="V100" s="338">
        <v>156</v>
      </c>
      <c r="W100" s="291"/>
      <c r="X100" s="5"/>
    </row>
    <row r="101" spans="1:25" ht="15.6" x14ac:dyDescent="0.3">
      <c r="A101" s="340"/>
      <c r="B101" s="288" t="s">
        <v>32</v>
      </c>
      <c r="C101" s="288"/>
      <c r="D101" s="288"/>
      <c r="E101" s="288"/>
      <c r="F101" s="288"/>
      <c r="G101" s="288"/>
      <c r="H101" s="288"/>
      <c r="I101" s="288"/>
      <c r="J101" s="288"/>
      <c r="K101" s="288"/>
      <c r="L101" s="288"/>
      <c r="M101" s="288"/>
      <c r="N101" s="288"/>
      <c r="O101" s="288"/>
      <c r="P101" s="288"/>
      <c r="Q101" s="288"/>
      <c r="R101" s="288"/>
      <c r="S101" s="288"/>
      <c r="T101" s="337">
        <f>T97+T99+T98</f>
        <v>9247</v>
      </c>
      <c r="U101" s="288"/>
      <c r="V101" s="337">
        <f>V97+V99+V98+V100</f>
        <v>8303</v>
      </c>
      <c r="W101" s="291"/>
      <c r="X101" s="5"/>
    </row>
    <row r="102" spans="1:25" ht="15.6" x14ac:dyDescent="0.3">
      <c r="A102" s="287"/>
      <c r="B102" s="343" t="s">
        <v>33</v>
      </c>
      <c r="C102" s="314"/>
      <c r="D102" s="314"/>
      <c r="E102" s="314"/>
      <c r="F102" s="314"/>
      <c r="G102" s="314"/>
      <c r="H102" s="314"/>
      <c r="I102" s="314"/>
      <c r="J102" s="314"/>
      <c r="K102" s="314"/>
      <c r="L102" s="314"/>
      <c r="M102" s="314"/>
      <c r="N102" s="314"/>
      <c r="O102" s="314"/>
      <c r="P102" s="314"/>
      <c r="Q102" s="314"/>
      <c r="R102" s="314"/>
      <c r="S102" s="314"/>
      <c r="T102" s="344"/>
      <c r="U102" s="314"/>
      <c r="V102" s="345"/>
      <c r="W102" s="318"/>
      <c r="X102" s="5"/>
    </row>
    <row r="103" spans="1:25" ht="15.6" x14ac:dyDescent="0.3">
      <c r="A103" s="340">
        <v>1</v>
      </c>
      <c r="B103" s="288" t="s">
        <v>34</v>
      </c>
      <c r="C103" s="288"/>
      <c r="D103" s="288"/>
      <c r="E103" s="288"/>
      <c r="F103" s="288"/>
      <c r="G103" s="288"/>
      <c r="H103" s="288"/>
      <c r="I103" s="288"/>
      <c r="J103" s="288"/>
      <c r="K103" s="288"/>
      <c r="L103" s="288"/>
      <c r="M103" s="288"/>
      <c r="N103" s="288"/>
      <c r="O103" s="288"/>
      <c r="P103" s="288"/>
      <c r="Q103" s="288"/>
      <c r="R103" s="288"/>
      <c r="S103" s="288"/>
      <c r="T103" s="288"/>
      <c r="U103" s="288"/>
      <c r="V103" s="338">
        <v>0</v>
      </c>
      <c r="W103" s="291"/>
      <c r="X103" s="5"/>
    </row>
    <row r="104" spans="1:25" ht="15.6" x14ac:dyDescent="0.3">
      <c r="A104" s="340">
        <f>+A103+1</f>
        <v>2</v>
      </c>
      <c r="B104" s="288" t="s">
        <v>225</v>
      </c>
      <c r="C104" s="288"/>
      <c r="D104" s="288"/>
      <c r="E104" s="288"/>
      <c r="F104" s="288"/>
      <c r="G104" s="288"/>
      <c r="H104" s="288"/>
      <c r="I104" s="288"/>
      <c r="J104" s="288"/>
      <c r="K104" s="288"/>
      <c r="L104" s="288"/>
      <c r="M104" s="288"/>
      <c r="N104" s="288"/>
      <c r="O104" s="288"/>
      <c r="P104" s="288"/>
      <c r="Q104" s="288"/>
      <c r="R104" s="288"/>
      <c r="S104" s="288"/>
      <c r="T104" s="288"/>
      <c r="U104" s="288"/>
      <c r="V104" s="338">
        <v>-2</v>
      </c>
      <c r="W104" s="291"/>
      <c r="X104" s="5"/>
    </row>
    <row r="105" spans="1:25" ht="15.6" x14ac:dyDescent="0.3">
      <c r="A105" s="340">
        <f>+A104+1</f>
        <v>3</v>
      </c>
      <c r="B105" s="288" t="s">
        <v>204</v>
      </c>
      <c r="C105" s="288"/>
      <c r="D105" s="288"/>
      <c r="E105" s="288"/>
      <c r="F105" s="288"/>
      <c r="G105" s="288"/>
      <c r="H105" s="288"/>
      <c r="I105" s="288"/>
      <c r="J105" s="288"/>
      <c r="K105" s="288"/>
      <c r="L105" s="288"/>
      <c r="M105" s="288"/>
      <c r="N105" s="288"/>
      <c r="O105" s="288"/>
      <c r="P105" s="288"/>
      <c r="Q105" s="288"/>
      <c r="R105" s="288"/>
      <c r="S105" s="288"/>
      <c r="T105" s="288"/>
      <c r="U105" s="288"/>
      <c r="V105" s="338">
        <f>-150-391-14</f>
        <v>-555</v>
      </c>
      <c r="W105" s="291"/>
      <c r="X105" s="5"/>
    </row>
    <row r="106" spans="1:25" ht="15.6" x14ac:dyDescent="0.3">
      <c r="A106" s="340" t="s">
        <v>127</v>
      </c>
      <c r="B106" s="288" t="s">
        <v>116</v>
      </c>
      <c r="C106" s="288"/>
      <c r="D106" s="288"/>
      <c r="E106" s="288"/>
      <c r="F106" s="288"/>
      <c r="G106" s="288"/>
      <c r="H106" s="288"/>
      <c r="I106" s="288"/>
      <c r="J106" s="288"/>
      <c r="K106" s="288"/>
      <c r="L106" s="288"/>
      <c r="M106" s="288"/>
      <c r="N106" s="288"/>
      <c r="O106" s="288"/>
      <c r="P106" s="288"/>
      <c r="Q106" s="288"/>
      <c r="R106" s="288"/>
      <c r="S106" s="288"/>
      <c r="T106" s="288"/>
      <c r="U106" s="288"/>
      <c r="V106" s="338">
        <v>-435</v>
      </c>
      <c r="W106" s="291"/>
      <c r="X106" s="5"/>
    </row>
    <row r="107" spans="1:25" ht="15.6" x14ac:dyDescent="0.3">
      <c r="A107" s="340" t="s">
        <v>128</v>
      </c>
      <c r="B107" s="288" t="s">
        <v>222</v>
      </c>
      <c r="C107" s="288"/>
      <c r="D107" s="288"/>
      <c r="E107" s="288"/>
      <c r="F107" s="288"/>
      <c r="G107" s="288"/>
      <c r="H107" s="288"/>
      <c r="I107" s="288"/>
      <c r="J107" s="288"/>
      <c r="K107" s="288"/>
      <c r="L107" s="288"/>
      <c r="M107" s="288"/>
      <c r="N107" s="288"/>
      <c r="O107" s="288"/>
      <c r="P107" s="288"/>
      <c r="Q107" s="288"/>
      <c r="R107" s="288"/>
      <c r="S107" s="288"/>
      <c r="T107" s="288"/>
      <c r="U107" s="288"/>
      <c r="V107" s="338">
        <f>-1878+177</f>
        <v>-1701</v>
      </c>
      <c r="W107" s="291"/>
      <c r="X107" s="5"/>
      <c r="Y107" s="109"/>
    </row>
    <row r="108" spans="1:25" ht="15.6" x14ac:dyDescent="0.3">
      <c r="A108" s="340" t="s">
        <v>150</v>
      </c>
      <c r="B108" s="288" t="s">
        <v>184</v>
      </c>
      <c r="C108" s="288"/>
      <c r="D108" s="288"/>
      <c r="E108" s="288"/>
      <c r="F108" s="288"/>
      <c r="G108" s="288"/>
      <c r="H108" s="288"/>
      <c r="I108" s="288"/>
      <c r="J108" s="288"/>
      <c r="K108" s="288"/>
      <c r="L108" s="288"/>
      <c r="M108" s="288"/>
      <c r="N108" s="288"/>
      <c r="O108" s="288"/>
      <c r="P108" s="288"/>
      <c r="Q108" s="288"/>
      <c r="R108" s="288"/>
      <c r="S108" s="288"/>
      <c r="T108" s="288"/>
      <c r="U108" s="288"/>
      <c r="V108" s="338">
        <v>-177</v>
      </c>
      <c r="W108" s="291"/>
      <c r="X108" s="5"/>
      <c r="Y108" s="109"/>
    </row>
    <row r="109" spans="1:25" ht="15.6" x14ac:dyDescent="0.3">
      <c r="A109" s="340" t="s">
        <v>236</v>
      </c>
      <c r="B109" s="288" t="s">
        <v>238</v>
      </c>
      <c r="C109" s="288"/>
      <c r="D109" s="288"/>
      <c r="E109" s="288"/>
      <c r="F109" s="288"/>
      <c r="G109" s="288"/>
      <c r="H109" s="288"/>
      <c r="I109" s="288"/>
      <c r="J109" s="288"/>
      <c r="K109" s="288"/>
      <c r="L109" s="288"/>
      <c r="M109" s="288"/>
      <c r="N109" s="288"/>
      <c r="O109" s="288"/>
      <c r="P109" s="288"/>
      <c r="Q109" s="288"/>
      <c r="R109" s="288"/>
      <c r="S109" s="288"/>
      <c r="T109" s="288"/>
      <c r="U109" s="288"/>
      <c r="V109" s="338">
        <v>-1</v>
      </c>
      <c r="W109" s="291"/>
      <c r="X109" s="5"/>
    </row>
    <row r="110" spans="1:25" ht="15.6" x14ac:dyDescent="0.3">
      <c r="A110" s="340" t="s">
        <v>205</v>
      </c>
      <c r="B110" s="288" t="s">
        <v>185</v>
      </c>
      <c r="C110" s="288"/>
      <c r="D110" s="288"/>
      <c r="E110" s="288"/>
      <c r="F110" s="288"/>
      <c r="G110" s="288"/>
      <c r="H110" s="288"/>
      <c r="I110" s="288"/>
      <c r="J110" s="288"/>
      <c r="K110" s="288"/>
      <c r="L110" s="288"/>
      <c r="M110" s="288"/>
      <c r="N110" s="288"/>
      <c r="O110" s="288"/>
      <c r="P110" s="288"/>
      <c r="Q110" s="288"/>
      <c r="R110" s="288"/>
      <c r="S110" s="288"/>
      <c r="T110" s="288"/>
      <c r="U110" s="288"/>
      <c r="V110" s="338">
        <v>-131</v>
      </c>
      <c r="W110" s="291"/>
      <c r="X110" s="5"/>
      <c r="Y110" s="109"/>
    </row>
    <row r="111" spans="1:25" ht="15.6" x14ac:dyDescent="0.3">
      <c r="A111" s="340" t="s">
        <v>206</v>
      </c>
      <c r="B111" s="288" t="s">
        <v>186</v>
      </c>
      <c r="C111" s="288"/>
      <c r="D111" s="288"/>
      <c r="E111" s="288"/>
      <c r="F111" s="288"/>
      <c r="G111" s="288"/>
      <c r="H111" s="288"/>
      <c r="I111" s="288"/>
      <c r="J111" s="288"/>
      <c r="K111" s="288"/>
      <c r="L111" s="288"/>
      <c r="M111" s="288"/>
      <c r="N111" s="288"/>
      <c r="O111" s="288"/>
      <c r="P111" s="288"/>
      <c r="Q111" s="288"/>
      <c r="R111" s="288"/>
      <c r="S111" s="288"/>
      <c r="T111" s="288"/>
      <c r="U111" s="288"/>
      <c r="V111" s="338">
        <v>-108</v>
      </c>
      <c r="W111" s="291"/>
      <c r="X111" s="179"/>
      <c r="Y111" s="109"/>
    </row>
    <row r="112" spans="1:25" ht="15.6" x14ac:dyDescent="0.3">
      <c r="A112" s="340" t="s">
        <v>207</v>
      </c>
      <c r="B112" s="288" t="s">
        <v>196</v>
      </c>
      <c r="C112" s="288"/>
      <c r="D112" s="288"/>
      <c r="E112" s="288"/>
      <c r="F112" s="288"/>
      <c r="G112" s="288"/>
      <c r="H112" s="288"/>
      <c r="I112" s="288"/>
      <c r="J112" s="288"/>
      <c r="K112" s="288"/>
      <c r="L112" s="288"/>
      <c r="M112" s="288"/>
      <c r="N112" s="288"/>
      <c r="O112" s="288"/>
      <c r="P112" s="288"/>
      <c r="Q112" s="288"/>
      <c r="R112" s="288"/>
      <c r="S112" s="288"/>
      <c r="T112" s="288"/>
      <c r="U112" s="288"/>
      <c r="V112" s="338">
        <v>-252</v>
      </c>
      <c r="W112" s="291"/>
      <c r="X112" s="5"/>
      <c r="Y112" s="109"/>
    </row>
    <row r="113" spans="1:25" ht="15.6" x14ac:dyDescent="0.3">
      <c r="A113" s="340" t="s">
        <v>224</v>
      </c>
      <c r="B113" s="288" t="s">
        <v>223</v>
      </c>
      <c r="C113" s="288"/>
      <c r="D113" s="288"/>
      <c r="E113" s="288"/>
      <c r="F113" s="288"/>
      <c r="G113" s="288"/>
      <c r="H113" s="288"/>
      <c r="I113" s="288"/>
      <c r="J113" s="288"/>
      <c r="K113" s="288"/>
      <c r="L113" s="288"/>
      <c r="M113" s="288"/>
      <c r="N113" s="288"/>
      <c r="O113" s="288"/>
      <c r="P113" s="288"/>
      <c r="Q113" s="288"/>
      <c r="R113" s="288"/>
      <c r="S113" s="288"/>
      <c r="T113" s="288"/>
      <c r="U113" s="288"/>
      <c r="V113" s="338">
        <v>-51</v>
      </c>
      <c r="W113" s="291"/>
      <c r="X113" s="5"/>
      <c r="Y113" s="109"/>
    </row>
    <row r="114" spans="1:25" ht="15.6" x14ac:dyDescent="0.3">
      <c r="A114" s="340">
        <v>7</v>
      </c>
      <c r="B114" s="288" t="s">
        <v>35</v>
      </c>
      <c r="C114" s="288"/>
      <c r="D114" s="288"/>
      <c r="E114" s="288"/>
      <c r="F114" s="288"/>
      <c r="G114" s="288"/>
      <c r="H114" s="288"/>
      <c r="I114" s="288"/>
      <c r="J114" s="288"/>
      <c r="K114" s="288"/>
      <c r="L114" s="288"/>
      <c r="M114" s="288"/>
      <c r="N114" s="288"/>
      <c r="O114" s="288"/>
      <c r="P114" s="288"/>
      <c r="Q114" s="288"/>
      <c r="R114" s="288"/>
      <c r="S114" s="288"/>
      <c r="T114" s="288"/>
      <c r="U114" s="288"/>
      <c r="V114" s="338">
        <v>-12</v>
      </c>
      <c r="W114" s="291"/>
      <c r="X114" s="5"/>
    </row>
    <row r="115" spans="1:25" ht="15.6" x14ac:dyDescent="0.3">
      <c r="A115" s="340">
        <f t="shared" ref="A115:A121" si="0">+A114+1</f>
        <v>8</v>
      </c>
      <c r="B115" s="288" t="s">
        <v>45</v>
      </c>
      <c r="C115" s="288"/>
      <c r="D115" s="288"/>
      <c r="E115" s="288"/>
      <c r="F115" s="288"/>
      <c r="G115" s="288"/>
      <c r="H115" s="288"/>
      <c r="I115" s="288"/>
      <c r="J115" s="288"/>
      <c r="K115" s="288"/>
      <c r="L115" s="288"/>
      <c r="M115" s="288"/>
      <c r="N115" s="288"/>
      <c r="O115" s="288"/>
      <c r="P115" s="288"/>
      <c r="Q115" s="288"/>
      <c r="R115" s="288"/>
      <c r="S115" s="288"/>
      <c r="T115" s="337">
        <f>-V115</f>
        <v>626</v>
      </c>
      <c r="U115" s="288"/>
      <c r="V115" s="338">
        <v>-626</v>
      </c>
      <c r="W115" s="291"/>
      <c r="X115" s="5"/>
    </row>
    <row r="116" spans="1:25" ht="15.6" x14ac:dyDescent="0.3">
      <c r="A116" s="340">
        <f t="shared" si="0"/>
        <v>9</v>
      </c>
      <c r="B116" s="288" t="s">
        <v>125</v>
      </c>
      <c r="C116" s="288"/>
      <c r="D116" s="288"/>
      <c r="E116" s="288"/>
      <c r="F116" s="288"/>
      <c r="G116" s="288"/>
      <c r="H116" s="288"/>
      <c r="I116" s="288"/>
      <c r="J116" s="288"/>
      <c r="K116" s="288"/>
      <c r="L116" s="288"/>
      <c r="M116" s="288"/>
      <c r="N116" s="288"/>
      <c r="O116" s="288"/>
      <c r="P116" s="288"/>
      <c r="Q116" s="288"/>
      <c r="R116" s="288"/>
      <c r="S116" s="288"/>
      <c r="T116" s="288"/>
      <c r="U116" s="288"/>
      <c r="V116" s="338">
        <v>0</v>
      </c>
      <c r="W116" s="291"/>
      <c r="X116" s="5"/>
    </row>
    <row r="117" spans="1:25" ht="15.6" x14ac:dyDescent="0.3">
      <c r="A117" s="340">
        <f t="shared" si="0"/>
        <v>10</v>
      </c>
      <c r="B117" s="288" t="s">
        <v>240</v>
      </c>
      <c r="C117" s="288"/>
      <c r="D117" s="288"/>
      <c r="E117" s="288"/>
      <c r="F117" s="288"/>
      <c r="G117" s="288"/>
      <c r="H117" s="288"/>
      <c r="I117" s="288"/>
      <c r="J117" s="288"/>
      <c r="K117" s="288"/>
      <c r="L117" s="288"/>
      <c r="M117" s="288"/>
      <c r="N117" s="288"/>
      <c r="O117" s="288"/>
      <c r="P117" s="288"/>
      <c r="Q117" s="288"/>
      <c r="R117" s="288"/>
      <c r="S117" s="288"/>
      <c r="T117" s="288"/>
      <c r="U117" s="288"/>
      <c r="V117" s="338">
        <v>0</v>
      </c>
      <c r="W117" s="291"/>
      <c r="X117" s="5"/>
    </row>
    <row r="118" spans="1:25" ht="15.6" x14ac:dyDescent="0.3">
      <c r="A118" s="340">
        <f t="shared" si="0"/>
        <v>11</v>
      </c>
      <c r="B118" s="288" t="s">
        <v>36</v>
      </c>
      <c r="C118" s="288"/>
      <c r="D118" s="288"/>
      <c r="E118" s="288"/>
      <c r="F118" s="288"/>
      <c r="G118" s="288"/>
      <c r="H118" s="288"/>
      <c r="I118" s="288"/>
      <c r="J118" s="288"/>
      <c r="K118" s="288"/>
      <c r="L118" s="288"/>
      <c r="M118" s="288"/>
      <c r="N118" s="288"/>
      <c r="O118" s="288"/>
      <c r="P118" s="288"/>
      <c r="Q118" s="288"/>
      <c r="R118" s="288"/>
      <c r="S118" s="288"/>
      <c r="T118" s="288"/>
      <c r="U118" s="288"/>
      <c r="V118" s="338">
        <v>0</v>
      </c>
      <c r="W118" s="291"/>
      <c r="X118" s="5"/>
    </row>
    <row r="119" spans="1:25" ht="15.6" x14ac:dyDescent="0.3">
      <c r="A119" s="340">
        <f t="shared" si="0"/>
        <v>12</v>
      </c>
      <c r="B119" s="288" t="s">
        <v>239</v>
      </c>
      <c r="C119" s="288"/>
      <c r="D119" s="288"/>
      <c r="E119" s="288"/>
      <c r="F119" s="288"/>
      <c r="G119" s="288"/>
      <c r="H119" s="288"/>
      <c r="I119" s="288"/>
      <c r="J119" s="288"/>
      <c r="K119" s="288"/>
      <c r="L119" s="288"/>
      <c r="M119" s="288"/>
      <c r="N119" s="288"/>
      <c r="O119" s="288"/>
      <c r="P119" s="288"/>
      <c r="Q119" s="288"/>
      <c r="R119" s="288"/>
      <c r="S119" s="288"/>
      <c r="T119" s="288"/>
      <c r="U119" s="288"/>
      <c r="V119" s="338">
        <v>0</v>
      </c>
      <c r="W119" s="291"/>
      <c r="X119" s="5"/>
    </row>
    <row r="120" spans="1:25" ht="15.6" x14ac:dyDescent="0.3">
      <c r="A120" s="340">
        <f t="shared" si="0"/>
        <v>13</v>
      </c>
      <c r="B120" s="288" t="s">
        <v>149</v>
      </c>
      <c r="C120" s="288"/>
      <c r="D120" s="288"/>
      <c r="E120" s="288"/>
      <c r="F120" s="288"/>
      <c r="G120" s="288"/>
      <c r="H120" s="288"/>
      <c r="I120" s="288"/>
      <c r="J120" s="288"/>
      <c r="K120" s="288"/>
      <c r="L120" s="288"/>
      <c r="M120" s="288"/>
      <c r="N120" s="288"/>
      <c r="O120" s="288"/>
      <c r="P120" s="288"/>
      <c r="Q120" s="288"/>
      <c r="R120" s="288"/>
      <c r="S120" s="288"/>
      <c r="T120" s="288"/>
      <c r="U120" s="288"/>
      <c r="V120" s="338">
        <v>-752</v>
      </c>
      <c r="W120" s="291"/>
      <c r="X120" s="5"/>
    </row>
    <row r="121" spans="1:25" ht="15.6" x14ac:dyDescent="0.3">
      <c r="A121" s="340">
        <f t="shared" si="0"/>
        <v>14</v>
      </c>
      <c r="B121" s="288" t="s">
        <v>126</v>
      </c>
      <c r="C121" s="288"/>
      <c r="D121" s="288"/>
      <c r="E121" s="288"/>
      <c r="F121" s="288"/>
      <c r="G121" s="288"/>
      <c r="H121" s="288"/>
      <c r="I121" s="288"/>
      <c r="J121" s="288"/>
      <c r="K121" s="288"/>
      <c r="L121" s="288"/>
      <c r="M121" s="288"/>
      <c r="N121" s="288"/>
      <c r="O121" s="288"/>
      <c r="P121" s="288"/>
      <c r="Q121" s="288"/>
      <c r="R121" s="288"/>
      <c r="S121" s="288"/>
      <c r="T121" s="288"/>
      <c r="U121" s="288"/>
      <c r="V121" s="338">
        <f>-V101-SUM(V103:V120)</f>
        <v>-3500</v>
      </c>
      <c r="W121" s="291"/>
      <c r="X121" s="5"/>
    </row>
    <row r="122" spans="1:25" ht="15.6" x14ac:dyDescent="0.3">
      <c r="A122" s="287"/>
      <c r="B122" s="343" t="s">
        <v>37</v>
      </c>
      <c r="C122" s="314"/>
      <c r="D122" s="314"/>
      <c r="E122" s="314"/>
      <c r="F122" s="314"/>
      <c r="G122" s="314"/>
      <c r="H122" s="314"/>
      <c r="I122" s="314"/>
      <c r="J122" s="314"/>
      <c r="K122" s="314"/>
      <c r="L122" s="314"/>
      <c r="M122" s="314"/>
      <c r="N122" s="314"/>
      <c r="O122" s="314"/>
      <c r="P122" s="314"/>
      <c r="Q122" s="314"/>
      <c r="R122" s="314"/>
      <c r="S122" s="314"/>
      <c r="T122" s="314"/>
      <c r="U122" s="314"/>
      <c r="V122" s="346"/>
      <c r="W122" s="318"/>
      <c r="X122" s="5"/>
    </row>
    <row r="123" spans="1:25" ht="15.6" x14ac:dyDescent="0.3">
      <c r="A123" s="340"/>
      <c r="B123" s="288" t="s">
        <v>173</v>
      </c>
      <c r="C123" s="288"/>
      <c r="D123" s="288"/>
      <c r="E123" s="288"/>
      <c r="F123" s="288"/>
      <c r="G123" s="288"/>
      <c r="H123" s="288"/>
      <c r="I123" s="288"/>
      <c r="J123" s="288"/>
      <c r="K123" s="288"/>
      <c r="L123" s="288"/>
      <c r="M123" s="288"/>
      <c r="N123" s="288"/>
      <c r="O123" s="288"/>
      <c r="P123" s="288"/>
      <c r="Q123" s="288"/>
      <c r="R123" s="288"/>
      <c r="S123" s="288"/>
      <c r="T123" s="337">
        <f>-T189</f>
        <v>0</v>
      </c>
      <c r="U123" s="337"/>
      <c r="V123" s="338"/>
      <c r="W123" s="291"/>
      <c r="X123" s="5"/>
    </row>
    <row r="124" spans="1:25" ht="15.6" x14ac:dyDescent="0.3">
      <c r="A124" s="340"/>
      <c r="B124" s="288" t="s">
        <v>174</v>
      </c>
      <c r="C124" s="288"/>
      <c r="D124" s="288"/>
      <c r="E124" s="288"/>
      <c r="F124" s="288"/>
      <c r="G124" s="288"/>
      <c r="H124" s="288"/>
      <c r="I124" s="288"/>
      <c r="J124" s="288"/>
      <c r="K124" s="288"/>
      <c r="L124" s="288"/>
      <c r="M124" s="288"/>
      <c r="N124" s="288"/>
      <c r="O124" s="288"/>
      <c r="P124" s="288"/>
      <c r="Q124" s="288"/>
      <c r="R124" s="288"/>
      <c r="S124" s="288"/>
      <c r="T124" s="337">
        <v>-24</v>
      </c>
      <c r="U124" s="337"/>
      <c r="V124" s="338"/>
      <c r="W124" s="291"/>
      <c r="X124" s="5"/>
    </row>
    <row r="125" spans="1:25" ht="15.6" x14ac:dyDescent="0.3">
      <c r="A125" s="340"/>
      <c r="B125" s="288" t="s">
        <v>38</v>
      </c>
      <c r="C125" s="288"/>
      <c r="D125" s="288"/>
      <c r="E125" s="288"/>
      <c r="F125" s="288"/>
      <c r="G125" s="288"/>
      <c r="H125" s="288"/>
      <c r="I125" s="288"/>
      <c r="J125" s="288"/>
      <c r="K125" s="288"/>
      <c r="L125" s="288"/>
      <c r="M125" s="288"/>
      <c r="N125" s="288"/>
      <c r="O125" s="288"/>
      <c r="P125" s="288"/>
      <c r="Q125" s="288"/>
      <c r="R125" s="288"/>
      <c r="S125" s="288"/>
      <c r="T125" s="337">
        <f>-S189</f>
        <v>-107</v>
      </c>
      <c r="U125" s="337"/>
      <c r="V125" s="338"/>
      <c r="W125" s="291"/>
      <c r="X125" s="5"/>
    </row>
    <row r="126" spans="1:25" ht="15.6" x14ac:dyDescent="0.3">
      <c r="A126" s="340"/>
      <c r="B126" s="288" t="s">
        <v>197</v>
      </c>
      <c r="C126" s="288"/>
      <c r="D126" s="288"/>
      <c r="E126" s="288"/>
      <c r="F126" s="288"/>
      <c r="G126" s="288"/>
      <c r="H126" s="288"/>
      <c r="I126" s="288"/>
      <c r="J126" s="288"/>
      <c r="K126" s="288"/>
      <c r="L126" s="288"/>
      <c r="M126" s="288"/>
      <c r="N126" s="288"/>
      <c r="O126" s="288"/>
      <c r="P126" s="288"/>
      <c r="Q126" s="288"/>
      <c r="R126" s="288"/>
      <c r="S126" s="288"/>
      <c r="T126" s="337">
        <v>-5923</v>
      </c>
      <c r="U126" s="337"/>
      <c r="V126" s="338"/>
      <c r="W126" s="291"/>
      <c r="X126" s="5"/>
    </row>
    <row r="127" spans="1:25" ht="15.6" x14ac:dyDescent="0.3">
      <c r="A127" s="340"/>
      <c r="B127" s="288" t="s">
        <v>195</v>
      </c>
      <c r="C127" s="288"/>
      <c r="D127" s="288"/>
      <c r="E127" s="288"/>
      <c r="F127" s="288"/>
      <c r="G127" s="288"/>
      <c r="H127" s="288"/>
      <c r="I127" s="288"/>
      <c r="J127" s="288"/>
      <c r="K127" s="288"/>
      <c r="L127" s="288"/>
      <c r="M127" s="288"/>
      <c r="N127" s="288"/>
      <c r="O127" s="288"/>
      <c r="P127" s="288"/>
      <c r="Q127" s="288"/>
      <c r="R127" s="288"/>
      <c r="S127" s="288"/>
      <c r="T127" s="337">
        <v>-955</v>
      </c>
      <c r="U127" s="337"/>
      <c r="V127" s="338"/>
      <c r="W127" s="291"/>
      <c r="X127" s="5"/>
    </row>
    <row r="128" spans="1:25" ht="15.6" x14ac:dyDescent="0.3">
      <c r="A128" s="340"/>
      <c r="B128" s="288" t="s">
        <v>194</v>
      </c>
      <c r="C128" s="288"/>
      <c r="D128" s="288"/>
      <c r="E128" s="288"/>
      <c r="F128" s="288"/>
      <c r="G128" s="288"/>
      <c r="H128" s="288"/>
      <c r="I128" s="288"/>
      <c r="J128" s="288"/>
      <c r="K128" s="288"/>
      <c r="L128" s="288"/>
      <c r="M128" s="288"/>
      <c r="N128" s="288"/>
      <c r="O128" s="288"/>
      <c r="P128" s="288"/>
      <c r="Q128" s="288"/>
      <c r="R128" s="288"/>
      <c r="S128" s="288"/>
      <c r="T128" s="337">
        <v>-1285</v>
      </c>
      <c r="U128" s="337"/>
      <c r="V128" s="338"/>
      <c r="W128" s="291"/>
      <c r="X128" s="5"/>
    </row>
    <row r="129" spans="1:24" ht="15.6" x14ac:dyDescent="0.3">
      <c r="A129" s="340"/>
      <c r="B129" s="288" t="s">
        <v>226</v>
      </c>
      <c r="C129" s="288"/>
      <c r="D129" s="288"/>
      <c r="E129" s="288"/>
      <c r="F129" s="288"/>
      <c r="G129" s="288"/>
      <c r="H129" s="288"/>
      <c r="I129" s="288"/>
      <c r="J129" s="288"/>
      <c r="K129" s="288"/>
      <c r="L129" s="288"/>
      <c r="M129" s="288"/>
      <c r="N129" s="288"/>
      <c r="O129" s="288"/>
      <c r="P129" s="288"/>
      <c r="Q129" s="288"/>
      <c r="R129" s="288"/>
      <c r="S129" s="288"/>
      <c r="T129" s="337">
        <v>-1579</v>
      </c>
      <c r="U129" s="337"/>
      <c r="V129" s="338"/>
      <c r="W129" s="291"/>
      <c r="X129" s="5"/>
    </row>
    <row r="130" spans="1:24" ht="15.6" x14ac:dyDescent="0.3">
      <c r="A130" s="340"/>
      <c r="B130" s="288" t="s">
        <v>189</v>
      </c>
      <c r="C130" s="288"/>
      <c r="D130" s="288"/>
      <c r="E130" s="288"/>
      <c r="F130" s="288"/>
      <c r="G130" s="288"/>
      <c r="H130" s="288"/>
      <c r="I130" s="288"/>
      <c r="J130" s="288"/>
      <c r="K130" s="288"/>
      <c r="L130" s="288"/>
      <c r="M130" s="288"/>
      <c r="N130" s="288"/>
      <c r="O130" s="288"/>
      <c r="P130" s="288"/>
      <c r="Q130" s="288"/>
      <c r="R130" s="288"/>
      <c r="S130" s="288"/>
      <c r="T130" s="337">
        <v>0</v>
      </c>
      <c r="U130" s="337"/>
      <c r="V130" s="338"/>
      <c r="W130" s="291"/>
      <c r="X130" s="5"/>
    </row>
    <row r="131" spans="1:24" ht="15.6" x14ac:dyDescent="0.3">
      <c r="A131" s="340"/>
      <c r="B131" s="288" t="s">
        <v>188</v>
      </c>
      <c r="C131" s="288"/>
      <c r="D131" s="288"/>
      <c r="E131" s="288"/>
      <c r="F131" s="288"/>
      <c r="G131" s="288"/>
      <c r="H131" s="288"/>
      <c r="I131" s="288"/>
      <c r="J131" s="288"/>
      <c r="K131" s="288"/>
      <c r="L131" s="288"/>
      <c r="M131" s="288"/>
      <c r="N131" s="288"/>
      <c r="O131" s="288"/>
      <c r="P131" s="288"/>
      <c r="Q131" s="288"/>
      <c r="R131" s="288"/>
      <c r="S131" s="288"/>
      <c r="T131" s="337">
        <v>0</v>
      </c>
      <c r="U131" s="337"/>
      <c r="V131" s="338"/>
      <c r="W131" s="291"/>
      <c r="X131" s="5"/>
    </row>
    <row r="132" spans="1:24" ht="15.6" x14ac:dyDescent="0.3">
      <c r="A132" s="340"/>
      <c r="B132" s="288" t="s">
        <v>227</v>
      </c>
      <c r="C132" s="288"/>
      <c r="D132" s="288"/>
      <c r="E132" s="288"/>
      <c r="F132" s="288"/>
      <c r="G132" s="288"/>
      <c r="H132" s="288"/>
      <c r="I132" s="288"/>
      <c r="J132" s="288"/>
      <c r="K132" s="288"/>
      <c r="L132" s="288"/>
      <c r="M132" s="288"/>
      <c r="N132" s="288"/>
      <c r="O132" s="288"/>
      <c r="P132" s="288"/>
      <c r="Q132" s="288"/>
      <c r="R132" s="288"/>
      <c r="S132" s="288"/>
      <c r="T132" s="337">
        <v>0</v>
      </c>
      <c r="U132" s="337"/>
      <c r="V132" s="338"/>
      <c r="W132" s="291"/>
      <c r="X132" s="5"/>
    </row>
    <row r="133" spans="1:24" ht="15.6" x14ac:dyDescent="0.3">
      <c r="A133" s="340"/>
      <c r="B133" s="288" t="s">
        <v>187</v>
      </c>
      <c r="C133" s="288"/>
      <c r="D133" s="288"/>
      <c r="E133" s="288"/>
      <c r="F133" s="288"/>
      <c r="G133" s="288"/>
      <c r="H133" s="288"/>
      <c r="I133" s="288"/>
      <c r="J133" s="288"/>
      <c r="K133" s="288"/>
      <c r="L133" s="288"/>
      <c r="M133" s="288"/>
      <c r="N133" s="288"/>
      <c r="O133" s="288"/>
      <c r="P133" s="288"/>
      <c r="Q133" s="288"/>
      <c r="R133" s="288"/>
      <c r="S133" s="288"/>
      <c r="T133" s="337">
        <v>0</v>
      </c>
      <c r="U133" s="337"/>
      <c r="V133" s="338"/>
      <c r="W133" s="291"/>
      <c r="X133" s="5"/>
    </row>
    <row r="134" spans="1:24" ht="15.6" x14ac:dyDescent="0.3">
      <c r="A134" s="340"/>
      <c r="B134" s="288" t="s">
        <v>39</v>
      </c>
      <c r="C134" s="288"/>
      <c r="D134" s="288"/>
      <c r="E134" s="288"/>
      <c r="F134" s="288"/>
      <c r="G134" s="288"/>
      <c r="H134" s="288"/>
      <c r="I134" s="288"/>
      <c r="J134" s="288"/>
      <c r="K134" s="288"/>
      <c r="L134" s="288"/>
      <c r="M134" s="288"/>
      <c r="N134" s="288"/>
      <c r="O134" s="288"/>
      <c r="P134" s="288"/>
      <c r="Q134" s="288"/>
      <c r="R134" s="288"/>
      <c r="S134" s="288"/>
      <c r="T134" s="337">
        <f>SUM(T123:T133)</f>
        <v>-9873</v>
      </c>
      <c r="U134" s="337"/>
      <c r="V134" s="337">
        <f>SUM(V102:V131)</f>
        <v>-8303</v>
      </c>
      <c r="W134" s="291"/>
      <c r="X134" s="5"/>
    </row>
    <row r="135" spans="1:24" ht="15.6" x14ac:dyDescent="0.3">
      <c r="A135" s="340"/>
      <c r="B135" s="288" t="s">
        <v>40</v>
      </c>
      <c r="C135" s="288"/>
      <c r="D135" s="288"/>
      <c r="E135" s="288"/>
      <c r="F135" s="288"/>
      <c r="G135" s="288"/>
      <c r="H135" s="288"/>
      <c r="I135" s="288"/>
      <c r="J135" s="288"/>
      <c r="K135" s="288"/>
      <c r="L135" s="288"/>
      <c r="M135" s="288"/>
      <c r="N135" s="288"/>
      <c r="O135" s="288"/>
      <c r="P135" s="288"/>
      <c r="Q135" s="288"/>
      <c r="R135" s="288"/>
      <c r="S135" s="288"/>
      <c r="T135" s="337">
        <f>T101+T134+T115</f>
        <v>0</v>
      </c>
      <c r="U135" s="337"/>
      <c r="V135" s="337">
        <f>V101+V134</f>
        <v>0</v>
      </c>
      <c r="W135" s="291"/>
      <c r="X135" s="5"/>
    </row>
    <row r="136" spans="1:24" ht="15.6" x14ac:dyDescent="0.3">
      <c r="A136" s="243"/>
      <c r="B136" s="284"/>
      <c r="C136" s="284"/>
      <c r="D136" s="284"/>
      <c r="E136" s="284"/>
      <c r="F136" s="284"/>
      <c r="G136" s="284"/>
      <c r="H136" s="284"/>
      <c r="I136" s="284"/>
      <c r="J136" s="284"/>
      <c r="K136" s="284"/>
      <c r="L136" s="284"/>
      <c r="M136" s="284"/>
      <c r="N136" s="284"/>
      <c r="O136" s="284"/>
      <c r="P136" s="284"/>
      <c r="Q136" s="284"/>
      <c r="R136" s="284"/>
      <c r="S136" s="284"/>
      <c r="T136" s="339"/>
      <c r="U136" s="339"/>
      <c r="V136" s="339"/>
      <c r="W136" s="284"/>
      <c r="X136" s="5"/>
    </row>
    <row r="137" spans="1:24" ht="15.6" x14ac:dyDescent="0.3">
      <c r="A137" s="243"/>
      <c r="B137" s="224"/>
      <c r="C137" s="224"/>
      <c r="D137" s="224"/>
      <c r="E137" s="224"/>
      <c r="F137" s="224"/>
      <c r="G137" s="224"/>
      <c r="H137" s="224"/>
      <c r="I137" s="224"/>
      <c r="J137" s="224"/>
      <c r="K137" s="224"/>
      <c r="L137" s="224"/>
      <c r="M137" s="224"/>
      <c r="N137" s="224"/>
      <c r="O137" s="224"/>
      <c r="P137" s="224"/>
      <c r="Q137" s="224"/>
      <c r="R137" s="224"/>
      <c r="S137" s="224"/>
      <c r="T137" s="224"/>
      <c r="U137" s="224"/>
      <c r="V137" s="244"/>
      <c r="W137" s="224"/>
      <c r="X137" s="5"/>
    </row>
    <row r="138" spans="1:24" ht="18" thickBot="1" x14ac:dyDescent="0.35">
      <c r="A138" s="245"/>
      <c r="B138" s="237" t="str">
        <f>B64</f>
        <v>PM14 INVESTOR REPORT QUARTER ENDING MAY 2010</v>
      </c>
      <c r="C138" s="238"/>
      <c r="D138" s="238"/>
      <c r="E138" s="238"/>
      <c r="F138" s="238"/>
      <c r="G138" s="238"/>
      <c r="H138" s="238"/>
      <c r="I138" s="238"/>
      <c r="J138" s="238"/>
      <c r="K138" s="238"/>
      <c r="L138" s="238"/>
      <c r="M138" s="238"/>
      <c r="N138" s="238"/>
      <c r="O138" s="238"/>
      <c r="P138" s="238"/>
      <c r="Q138" s="238"/>
      <c r="R138" s="238"/>
      <c r="S138" s="238"/>
      <c r="T138" s="238"/>
      <c r="U138" s="238"/>
      <c r="V138" s="246"/>
      <c r="W138" s="240"/>
      <c r="X138" s="5"/>
    </row>
    <row r="139" spans="1:24" ht="15.6" x14ac:dyDescent="0.3">
      <c r="A139" s="273"/>
      <c r="B139" s="397" t="s">
        <v>41</v>
      </c>
      <c r="C139" s="274"/>
      <c r="D139" s="274"/>
      <c r="E139" s="274"/>
      <c r="F139" s="274"/>
      <c r="G139" s="274"/>
      <c r="H139" s="274"/>
      <c r="I139" s="274"/>
      <c r="J139" s="274"/>
      <c r="K139" s="274"/>
      <c r="L139" s="274"/>
      <c r="M139" s="274"/>
      <c r="N139" s="274"/>
      <c r="O139" s="274"/>
      <c r="P139" s="274"/>
      <c r="Q139" s="274"/>
      <c r="R139" s="274"/>
      <c r="S139" s="274"/>
      <c r="T139" s="274"/>
      <c r="U139" s="274"/>
      <c r="V139" s="275"/>
      <c r="W139" s="274"/>
      <c r="X139" s="5"/>
    </row>
    <row r="140" spans="1:24" ht="15.6" x14ac:dyDescent="0.3">
      <c r="A140" s="183"/>
      <c r="B140" s="195"/>
      <c r="C140" s="185"/>
      <c r="D140" s="185"/>
      <c r="E140" s="185"/>
      <c r="F140" s="185"/>
      <c r="G140" s="185"/>
      <c r="H140" s="185"/>
      <c r="I140" s="185"/>
      <c r="J140" s="185"/>
      <c r="K140" s="185"/>
      <c r="L140" s="185"/>
      <c r="M140" s="185"/>
      <c r="N140" s="185"/>
      <c r="O140" s="185"/>
      <c r="P140" s="185"/>
      <c r="Q140" s="185"/>
      <c r="R140" s="185"/>
      <c r="S140" s="185"/>
      <c r="T140" s="185"/>
      <c r="U140" s="185"/>
      <c r="V140" s="201"/>
      <c r="W140" s="185"/>
      <c r="X140" s="5"/>
    </row>
    <row r="141" spans="1:24" ht="15.6" x14ac:dyDescent="0.3">
      <c r="A141" s="183"/>
      <c r="B141" s="208" t="s">
        <v>42</v>
      </c>
      <c r="C141" s="185"/>
      <c r="D141" s="185"/>
      <c r="E141" s="185"/>
      <c r="F141" s="185"/>
      <c r="G141" s="185"/>
      <c r="H141" s="185"/>
      <c r="I141" s="185"/>
      <c r="J141" s="185"/>
      <c r="K141" s="185"/>
      <c r="L141" s="185"/>
      <c r="M141" s="185"/>
      <c r="N141" s="185"/>
      <c r="O141" s="185"/>
      <c r="P141" s="185"/>
      <c r="Q141" s="185"/>
      <c r="R141" s="185"/>
      <c r="S141" s="185"/>
      <c r="T141" s="185"/>
      <c r="U141" s="185"/>
      <c r="V141" s="201"/>
      <c r="W141" s="185"/>
      <c r="X141" s="5"/>
    </row>
    <row r="142" spans="1:24" ht="15.6" x14ac:dyDescent="0.3">
      <c r="A142" s="287"/>
      <c r="B142" s="288" t="s">
        <v>43</v>
      </c>
      <c r="C142" s="288"/>
      <c r="D142" s="288"/>
      <c r="E142" s="288"/>
      <c r="F142" s="288"/>
      <c r="G142" s="288"/>
      <c r="H142" s="288"/>
      <c r="I142" s="288"/>
      <c r="J142" s="288"/>
      <c r="K142" s="288"/>
      <c r="L142" s="288"/>
      <c r="M142" s="288"/>
      <c r="N142" s="288"/>
      <c r="O142" s="288"/>
      <c r="P142" s="288"/>
      <c r="Q142" s="288"/>
      <c r="R142" s="288"/>
      <c r="S142" s="288"/>
      <c r="T142" s="288"/>
      <c r="U142" s="288"/>
      <c r="V142" s="338">
        <f>+V34*0.019</f>
        <v>28505.224999999999</v>
      </c>
      <c r="W142" s="291"/>
      <c r="X142" s="5"/>
    </row>
    <row r="143" spans="1:24" ht="15.6" x14ac:dyDescent="0.3">
      <c r="A143" s="287"/>
      <c r="B143" s="288" t="s">
        <v>44</v>
      </c>
      <c r="C143" s="288"/>
      <c r="D143" s="288"/>
      <c r="E143" s="288"/>
      <c r="F143" s="288"/>
      <c r="G143" s="288"/>
      <c r="H143" s="288"/>
      <c r="I143" s="288"/>
      <c r="J143" s="288"/>
      <c r="K143" s="288"/>
      <c r="L143" s="288"/>
      <c r="M143" s="288"/>
      <c r="N143" s="288"/>
      <c r="O143" s="288"/>
      <c r="P143" s="288"/>
      <c r="Q143" s="288"/>
      <c r="R143" s="288"/>
      <c r="S143" s="288"/>
      <c r="T143" s="288"/>
      <c r="U143" s="288"/>
      <c r="V143" s="338">
        <v>28505</v>
      </c>
      <c r="W143" s="291"/>
      <c r="X143" s="5"/>
    </row>
    <row r="144" spans="1:24" ht="15.6" x14ac:dyDescent="0.3">
      <c r="A144" s="287"/>
      <c r="B144" s="288" t="s">
        <v>136</v>
      </c>
      <c r="C144" s="288"/>
      <c r="D144" s="288"/>
      <c r="E144" s="288"/>
      <c r="F144" s="288"/>
      <c r="G144" s="288"/>
      <c r="H144" s="288"/>
      <c r="I144" s="288"/>
      <c r="J144" s="288"/>
      <c r="K144" s="288"/>
      <c r="L144" s="288"/>
      <c r="M144" s="288"/>
      <c r="N144" s="288"/>
      <c r="O144" s="288"/>
      <c r="P144" s="288"/>
      <c r="Q144" s="288"/>
      <c r="R144" s="288"/>
      <c r="S144" s="288"/>
      <c r="T144" s="288"/>
      <c r="U144" s="288"/>
      <c r="V144" s="338"/>
      <c r="W144" s="291"/>
      <c r="X144" s="5"/>
    </row>
    <row r="145" spans="1:25" ht="15.6" x14ac:dyDescent="0.3">
      <c r="A145" s="287"/>
      <c r="B145" s="288" t="s">
        <v>123</v>
      </c>
      <c r="C145" s="288"/>
      <c r="D145" s="288"/>
      <c r="E145" s="288"/>
      <c r="F145" s="288"/>
      <c r="G145" s="288"/>
      <c r="H145" s="288"/>
      <c r="I145" s="288"/>
      <c r="J145" s="288"/>
      <c r="K145" s="288"/>
      <c r="L145" s="288"/>
      <c r="M145" s="288"/>
      <c r="N145" s="288"/>
      <c r="O145" s="288"/>
      <c r="P145" s="288"/>
      <c r="Q145" s="288"/>
      <c r="R145" s="288"/>
      <c r="S145" s="288"/>
      <c r="T145" s="288"/>
      <c r="U145" s="288"/>
      <c r="V145" s="338">
        <v>0</v>
      </c>
      <c r="W145" s="291"/>
      <c r="X145" s="5"/>
    </row>
    <row r="146" spans="1:25" ht="15.6" x14ac:dyDescent="0.3">
      <c r="A146" s="287"/>
      <c r="B146" s="288" t="s">
        <v>124</v>
      </c>
      <c r="C146" s="288"/>
      <c r="D146" s="288"/>
      <c r="E146" s="288"/>
      <c r="F146" s="288"/>
      <c r="G146" s="288"/>
      <c r="H146" s="288"/>
      <c r="I146" s="288"/>
      <c r="J146" s="288"/>
      <c r="K146" s="288"/>
      <c r="L146" s="288"/>
      <c r="M146" s="288"/>
      <c r="N146" s="288"/>
      <c r="O146" s="288"/>
      <c r="P146" s="288"/>
      <c r="Q146" s="288"/>
      <c r="R146" s="288"/>
      <c r="S146" s="288"/>
      <c r="T146" s="288"/>
      <c r="U146" s="288"/>
      <c r="V146" s="338">
        <v>0</v>
      </c>
      <c r="W146" s="291"/>
      <c r="X146" s="5"/>
    </row>
    <row r="147" spans="1:25" ht="15.6" x14ac:dyDescent="0.3">
      <c r="A147" s="287"/>
      <c r="B147" s="288" t="s">
        <v>175</v>
      </c>
      <c r="C147" s="288"/>
      <c r="D147" s="288"/>
      <c r="E147" s="288"/>
      <c r="F147" s="288"/>
      <c r="G147" s="288"/>
      <c r="H147" s="288"/>
      <c r="I147" s="288"/>
      <c r="J147" s="288"/>
      <c r="K147" s="288"/>
      <c r="L147" s="288"/>
      <c r="M147" s="288"/>
      <c r="N147" s="288"/>
      <c r="O147" s="288"/>
      <c r="P147" s="288"/>
      <c r="Q147" s="288"/>
      <c r="R147" s="288"/>
      <c r="S147" s="288"/>
      <c r="T147" s="288"/>
      <c r="U147" s="288"/>
      <c r="V147" s="338">
        <v>0</v>
      </c>
      <c r="W147" s="291"/>
      <c r="X147" s="5"/>
    </row>
    <row r="148" spans="1:25" ht="15.6" x14ac:dyDescent="0.3">
      <c r="A148" s="287"/>
      <c r="B148" s="288" t="s">
        <v>45</v>
      </c>
      <c r="C148" s="288"/>
      <c r="D148" s="288"/>
      <c r="E148" s="288"/>
      <c r="F148" s="288"/>
      <c r="G148" s="288"/>
      <c r="H148" s="288"/>
      <c r="I148" s="288"/>
      <c r="J148" s="288"/>
      <c r="K148" s="288"/>
      <c r="L148" s="288"/>
      <c r="M148" s="288"/>
      <c r="N148" s="288"/>
      <c r="O148" s="288"/>
      <c r="P148" s="288"/>
      <c r="Q148" s="288"/>
      <c r="R148" s="288"/>
      <c r="S148" s="288"/>
      <c r="T148" s="288"/>
      <c r="U148" s="288"/>
      <c r="V148" s="338">
        <v>0</v>
      </c>
      <c r="W148" s="291"/>
      <c r="X148" s="5"/>
    </row>
    <row r="149" spans="1:25" ht="15.6" x14ac:dyDescent="0.3">
      <c r="A149" s="287"/>
      <c r="B149" s="288" t="s">
        <v>129</v>
      </c>
      <c r="C149" s="288"/>
      <c r="D149" s="288"/>
      <c r="E149" s="288"/>
      <c r="F149" s="288"/>
      <c r="G149" s="288"/>
      <c r="H149" s="288"/>
      <c r="I149" s="288"/>
      <c r="J149" s="288"/>
      <c r="K149" s="288"/>
      <c r="L149" s="288"/>
      <c r="M149" s="288"/>
      <c r="N149" s="288"/>
      <c r="O149" s="288"/>
      <c r="P149" s="288"/>
      <c r="Q149" s="288"/>
      <c r="R149" s="288"/>
      <c r="S149" s="288"/>
      <c r="T149" s="288"/>
      <c r="U149" s="288"/>
      <c r="V149" s="338">
        <v>0</v>
      </c>
      <c r="W149" s="291"/>
      <c r="X149" s="5"/>
    </row>
    <row r="150" spans="1:25" ht="15.6" x14ac:dyDescent="0.3">
      <c r="A150" s="287"/>
      <c r="B150" s="288" t="s">
        <v>267</v>
      </c>
      <c r="C150" s="288"/>
      <c r="D150" s="288"/>
      <c r="E150" s="288"/>
      <c r="F150" s="288"/>
      <c r="G150" s="288"/>
      <c r="H150" s="288"/>
      <c r="I150" s="288"/>
      <c r="J150" s="288"/>
      <c r="K150" s="288"/>
      <c r="L150" s="288"/>
      <c r="M150" s="288"/>
      <c r="N150" s="288"/>
      <c r="O150" s="288"/>
      <c r="P150" s="288"/>
      <c r="Q150" s="288"/>
      <c r="R150" s="288"/>
      <c r="S150" s="288"/>
      <c r="T150" s="288"/>
      <c r="U150" s="288"/>
      <c r="V150" s="338">
        <v>0</v>
      </c>
      <c r="W150" s="291"/>
      <c r="X150" s="5"/>
      <c r="Y150" s="109"/>
    </row>
    <row r="151" spans="1:25" ht="15.6" x14ac:dyDescent="0.3">
      <c r="A151" s="287"/>
      <c r="B151" s="288" t="s">
        <v>46</v>
      </c>
      <c r="C151" s="288"/>
      <c r="D151" s="288"/>
      <c r="E151" s="288"/>
      <c r="F151" s="288"/>
      <c r="G151" s="288"/>
      <c r="H151" s="288"/>
      <c r="I151" s="288"/>
      <c r="J151" s="288"/>
      <c r="K151" s="288"/>
      <c r="L151" s="288"/>
      <c r="M151" s="288"/>
      <c r="N151" s="288"/>
      <c r="O151" s="288"/>
      <c r="P151" s="288"/>
      <c r="Q151" s="288"/>
      <c r="R151" s="288"/>
      <c r="S151" s="288"/>
      <c r="T151" s="288"/>
      <c r="U151" s="288"/>
      <c r="V151" s="338">
        <f>SUM(V143:V150)</f>
        <v>28505</v>
      </c>
      <c r="W151" s="291"/>
      <c r="X151" s="5"/>
    </row>
    <row r="152" spans="1:25" ht="15.6" x14ac:dyDescent="0.3">
      <c r="A152" s="287"/>
      <c r="B152" s="314"/>
      <c r="C152" s="314"/>
      <c r="D152" s="314"/>
      <c r="E152" s="314"/>
      <c r="F152" s="314"/>
      <c r="G152" s="314"/>
      <c r="H152" s="314"/>
      <c r="I152" s="314"/>
      <c r="J152" s="314"/>
      <c r="K152" s="314"/>
      <c r="L152" s="314"/>
      <c r="M152" s="314"/>
      <c r="N152" s="314"/>
      <c r="O152" s="314"/>
      <c r="P152" s="314"/>
      <c r="Q152" s="314"/>
      <c r="R152" s="314"/>
      <c r="S152" s="314"/>
      <c r="T152" s="314"/>
      <c r="U152" s="314"/>
      <c r="V152" s="345"/>
      <c r="W152" s="318"/>
      <c r="X152" s="5"/>
    </row>
    <row r="153" spans="1:25" ht="15.6" x14ac:dyDescent="0.3">
      <c r="A153" s="287"/>
      <c r="B153" s="343" t="s">
        <v>237</v>
      </c>
      <c r="C153" s="314"/>
      <c r="D153" s="314"/>
      <c r="E153" s="314"/>
      <c r="F153" s="314"/>
      <c r="G153" s="314"/>
      <c r="H153" s="314"/>
      <c r="I153" s="314"/>
      <c r="J153" s="314"/>
      <c r="K153" s="314"/>
      <c r="L153" s="314"/>
      <c r="M153" s="314"/>
      <c r="N153" s="314"/>
      <c r="O153" s="314"/>
      <c r="P153" s="314"/>
      <c r="Q153" s="314"/>
      <c r="R153" s="314"/>
      <c r="S153" s="314"/>
      <c r="T153" s="314"/>
      <c r="U153" s="314"/>
      <c r="V153" s="345"/>
      <c r="W153" s="318"/>
      <c r="X153" s="5"/>
    </row>
    <row r="154" spans="1:25" ht="15.6" x14ac:dyDescent="0.3">
      <c r="A154" s="287"/>
      <c r="B154" s="288" t="s">
        <v>155</v>
      </c>
      <c r="C154" s="288"/>
      <c r="D154" s="288"/>
      <c r="E154" s="288"/>
      <c r="F154" s="288"/>
      <c r="G154" s="288"/>
      <c r="H154" s="288"/>
      <c r="I154" s="288"/>
      <c r="J154" s="288"/>
      <c r="K154" s="288"/>
      <c r="L154" s="288"/>
      <c r="M154" s="288"/>
      <c r="N154" s="288"/>
      <c r="O154" s="288"/>
      <c r="P154" s="288"/>
      <c r="Q154" s="288"/>
      <c r="R154" s="288"/>
      <c r="S154" s="288"/>
      <c r="T154" s="288"/>
      <c r="U154" s="288"/>
      <c r="V154" s="338">
        <v>7500</v>
      </c>
      <c r="W154" s="291"/>
      <c r="X154" s="5"/>
    </row>
    <row r="155" spans="1:25" ht="15.6" x14ac:dyDescent="0.3">
      <c r="A155" s="287"/>
      <c r="B155" s="288" t="s">
        <v>172</v>
      </c>
      <c r="C155" s="288"/>
      <c r="D155" s="288"/>
      <c r="E155" s="288"/>
      <c r="F155" s="288"/>
      <c r="G155" s="288"/>
      <c r="H155" s="288"/>
      <c r="I155" s="288"/>
      <c r="J155" s="288"/>
      <c r="K155" s="288"/>
      <c r="L155" s="288"/>
      <c r="M155" s="288"/>
      <c r="N155" s="288"/>
      <c r="O155" s="288"/>
      <c r="P155" s="288"/>
      <c r="Q155" s="288"/>
      <c r="R155" s="288"/>
      <c r="S155" s="288"/>
      <c r="T155" s="288"/>
      <c r="U155" s="288"/>
      <c r="V155" s="338">
        <v>0</v>
      </c>
      <c r="W155" s="291"/>
      <c r="X155" s="5"/>
    </row>
    <row r="156" spans="1:25" ht="15.6" x14ac:dyDescent="0.3">
      <c r="A156" s="287"/>
      <c r="B156" s="288" t="s">
        <v>305</v>
      </c>
      <c r="C156" s="288"/>
      <c r="D156" s="288"/>
      <c r="E156" s="288"/>
      <c r="F156" s="288"/>
      <c r="G156" s="288"/>
      <c r="H156" s="288"/>
      <c r="I156" s="288"/>
      <c r="J156" s="288"/>
      <c r="K156" s="288"/>
      <c r="L156" s="288"/>
      <c r="M156" s="288"/>
      <c r="N156" s="288"/>
      <c r="O156" s="288"/>
      <c r="P156" s="288"/>
      <c r="Q156" s="288"/>
      <c r="R156" s="288"/>
      <c r="S156" s="288"/>
      <c r="T156" s="288"/>
      <c r="U156" s="288"/>
      <c r="V156" s="338">
        <v>2101</v>
      </c>
      <c r="W156" s="291"/>
      <c r="X156" s="5"/>
    </row>
    <row r="157" spans="1:25" ht="15.6" x14ac:dyDescent="0.3">
      <c r="A157" s="287"/>
      <c r="B157" s="288"/>
      <c r="C157" s="288"/>
      <c r="D157" s="288"/>
      <c r="E157" s="288"/>
      <c r="F157" s="288"/>
      <c r="G157" s="288"/>
      <c r="H157" s="288"/>
      <c r="I157" s="288"/>
      <c r="J157" s="288"/>
      <c r="K157" s="288"/>
      <c r="L157" s="288"/>
      <c r="M157" s="288"/>
      <c r="N157" s="288"/>
      <c r="O157" s="288"/>
      <c r="P157" s="288"/>
      <c r="Q157" s="288"/>
      <c r="R157" s="288"/>
      <c r="S157" s="288"/>
      <c r="T157" s="288"/>
      <c r="U157" s="288"/>
      <c r="V157" s="338"/>
      <c r="W157" s="291"/>
      <c r="X157" s="5"/>
    </row>
    <row r="158" spans="1:25" ht="15.6" x14ac:dyDescent="0.3">
      <c r="A158" s="183"/>
      <c r="B158" s="198"/>
      <c r="C158" s="198"/>
      <c r="D158" s="198"/>
      <c r="E158" s="198"/>
      <c r="F158" s="198"/>
      <c r="G158" s="198"/>
      <c r="H158" s="198"/>
      <c r="I158" s="198"/>
      <c r="J158" s="198"/>
      <c r="K158" s="198"/>
      <c r="L158" s="198"/>
      <c r="M158" s="198"/>
      <c r="N158" s="198"/>
      <c r="O158" s="198"/>
      <c r="P158" s="198"/>
      <c r="Q158" s="198"/>
      <c r="R158" s="198"/>
      <c r="S158" s="198"/>
      <c r="T158" s="198"/>
      <c r="U158" s="198"/>
      <c r="V158" s="347"/>
      <c r="W158" s="198"/>
      <c r="X158" s="5"/>
    </row>
    <row r="159" spans="1:25" ht="15.6" x14ac:dyDescent="0.3">
      <c r="A159" s="183"/>
      <c r="B159" s="208" t="s">
        <v>24</v>
      </c>
      <c r="C159" s="185"/>
      <c r="D159" s="185"/>
      <c r="E159" s="185"/>
      <c r="F159" s="185"/>
      <c r="G159" s="185"/>
      <c r="H159" s="185"/>
      <c r="I159" s="185"/>
      <c r="J159" s="185"/>
      <c r="K159" s="185"/>
      <c r="L159" s="185"/>
      <c r="M159" s="185"/>
      <c r="N159" s="185"/>
      <c r="O159" s="185"/>
      <c r="P159" s="185"/>
      <c r="Q159" s="185"/>
      <c r="R159" s="185"/>
      <c r="S159" s="185"/>
      <c r="T159" s="185"/>
      <c r="U159" s="185"/>
      <c r="V159" s="201"/>
      <c r="W159" s="185"/>
      <c r="X159" s="5"/>
    </row>
    <row r="160" spans="1:25" ht="15.6" x14ac:dyDescent="0.3">
      <c r="A160" s="287"/>
      <c r="B160" s="288" t="s">
        <v>47</v>
      </c>
      <c r="C160" s="288"/>
      <c r="D160" s="288"/>
      <c r="E160" s="288"/>
      <c r="F160" s="288"/>
      <c r="G160" s="288"/>
      <c r="H160" s="288"/>
      <c r="I160" s="288"/>
      <c r="J160" s="288"/>
      <c r="K160" s="288"/>
      <c r="L160" s="288"/>
      <c r="M160" s="288"/>
      <c r="N160" s="288"/>
      <c r="O160" s="288"/>
      <c r="P160" s="288"/>
      <c r="Q160" s="288"/>
      <c r="R160" s="288"/>
      <c r="S160" s="288"/>
      <c r="T160" s="288"/>
      <c r="U160" s="288"/>
      <c r="V160" s="348" t="s">
        <v>118</v>
      </c>
      <c r="W160" s="291"/>
      <c r="X160" s="5"/>
    </row>
    <row r="161" spans="1:256" ht="15.6" x14ac:dyDescent="0.3">
      <c r="A161" s="287"/>
      <c r="B161" s="288" t="s">
        <v>48</v>
      </c>
      <c r="C161" s="290"/>
      <c r="D161" s="290"/>
      <c r="E161" s="290"/>
      <c r="F161" s="290"/>
      <c r="G161" s="290"/>
      <c r="H161" s="290"/>
      <c r="I161" s="290"/>
      <c r="J161" s="290"/>
      <c r="K161" s="290"/>
      <c r="L161" s="290"/>
      <c r="M161" s="290"/>
      <c r="N161" s="290"/>
      <c r="O161" s="290"/>
      <c r="P161" s="290"/>
      <c r="Q161" s="290"/>
      <c r="R161" s="290"/>
      <c r="S161" s="290"/>
      <c r="T161" s="290"/>
      <c r="U161" s="290"/>
      <c r="V161" s="348" t="s">
        <v>118</v>
      </c>
      <c r="W161" s="291"/>
      <c r="X161" s="5"/>
    </row>
    <row r="162" spans="1:256" ht="15.6" x14ac:dyDescent="0.3">
      <c r="A162" s="287"/>
      <c r="B162" s="288" t="s">
        <v>49</v>
      </c>
      <c r="C162" s="288"/>
      <c r="D162" s="288"/>
      <c r="E162" s="288"/>
      <c r="F162" s="288"/>
      <c r="G162" s="288"/>
      <c r="H162" s="288"/>
      <c r="I162" s="288"/>
      <c r="J162" s="288"/>
      <c r="K162" s="288"/>
      <c r="L162" s="288"/>
      <c r="M162" s="288"/>
      <c r="N162" s="288"/>
      <c r="O162" s="288"/>
      <c r="P162" s="288"/>
      <c r="Q162" s="288"/>
      <c r="R162" s="288"/>
      <c r="S162" s="288"/>
      <c r="T162" s="288"/>
      <c r="U162" s="288"/>
      <c r="V162" s="348" t="s">
        <v>118</v>
      </c>
      <c r="W162" s="291"/>
      <c r="X162" s="5"/>
    </row>
    <row r="163" spans="1:256" ht="15.6" x14ac:dyDescent="0.3">
      <c r="A163" s="287"/>
      <c r="B163" s="288" t="s">
        <v>50</v>
      </c>
      <c r="C163" s="288"/>
      <c r="D163" s="288"/>
      <c r="E163" s="288"/>
      <c r="F163" s="288"/>
      <c r="G163" s="288"/>
      <c r="H163" s="288"/>
      <c r="I163" s="288"/>
      <c r="J163" s="288"/>
      <c r="K163" s="288"/>
      <c r="L163" s="288"/>
      <c r="M163" s="288"/>
      <c r="N163" s="288"/>
      <c r="O163" s="288"/>
      <c r="P163" s="288"/>
      <c r="Q163" s="288"/>
      <c r="R163" s="288"/>
      <c r="S163" s="288"/>
      <c r="T163" s="288"/>
      <c r="U163" s="288"/>
      <c r="V163" s="348" t="s">
        <v>118</v>
      </c>
      <c r="W163" s="291"/>
      <c r="X163" s="5"/>
    </row>
    <row r="164" spans="1:256" ht="15.6" x14ac:dyDescent="0.3">
      <c r="A164" s="183"/>
      <c r="B164" s="198"/>
      <c r="C164" s="198"/>
      <c r="D164" s="198"/>
      <c r="E164" s="198"/>
      <c r="F164" s="198"/>
      <c r="G164" s="198"/>
      <c r="H164" s="198"/>
      <c r="I164" s="198"/>
      <c r="J164" s="198"/>
      <c r="K164" s="198"/>
      <c r="L164" s="198"/>
      <c r="M164" s="198"/>
      <c r="N164" s="198"/>
      <c r="O164" s="198"/>
      <c r="P164" s="198"/>
      <c r="Q164" s="198"/>
      <c r="R164" s="198"/>
      <c r="S164" s="198"/>
      <c r="T164" s="198"/>
      <c r="U164" s="198"/>
      <c r="V164" s="347"/>
      <c r="W164" s="198"/>
      <c r="X164" s="5"/>
    </row>
    <row r="165" spans="1:256" ht="15.6" x14ac:dyDescent="0.3">
      <c r="A165" s="183"/>
      <c r="B165" s="208" t="s">
        <v>51</v>
      </c>
      <c r="C165" s="185"/>
      <c r="D165" s="185"/>
      <c r="E165" s="185"/>
      <c r="F165" s="185"/>
      <c r="G165" s="185"/>
      <c r="H165" s="185"/>
      <c r="I165" s="185"/>
      <c r="J165" s="185"/>
      <c r="K165" s="185"/>
      <c r="L165" s="185"/>
      <c r="M165" s="185"/>
      <c r="N165" s="185"/>
      <c r="O165" s="185"/>
      <c r="P165" s="185"/>
      <c r="Q165" s="185"/>
      <c r="R165" s="185"/>
      <c r="S165" s="185"/>
      <c r="T165" s="185"/>
      <c r="U165" s="185"/>
      <c r="V165" s="209"/>
      <c r="W165" s="185"/>
      <c r="X165" s="5"/>
    </row>
    <row r="166" spans="1:256" ht="15.6" x14ac:dyDescent="0.3">
      <c r="A166" s="287"/>
      <c r="B166" s="288" t="s">
        <v>52</v>
      </c>
      <c r="C166" s="288"/>
      <c r="D166" s="288"/>
      <c r="E166" s="288"/>
      <c r="F166" s="288"/>
      <c r="G166" s="288"/>
      <c r="H166" s="288"/>
      <c r="I166" s="288"/>
      <c r="J166" s="288"/>
      <c r="K166" s="288"/>
      <c r="L166" s="288"/>
      <c r="M166" s="288"/>
      <c r="N166" s="288"/>
      <c r="O166" s="288"/>
      <c r="P166" s="288"/>
      <c r="Q166" s="288"/>
      <c r="R166" s="288"/>
      <c r="S166" s="288"/>
      <c r="T166" s="288"/>
      <c r="U166" s="288"/>
      <c r="V166" s="338">
        <v>0</v>
      </c>
      <c r="W166" s="291"/>
      <c r="X166" s="5"/>
    </row>
    <row r="167" spans="1:256" ht="15.6" x14ac:dyDescent="0.3">
      <c r="A167" s="287"/>
      <c r="B167" s="288" t="s">
        <v>53</v>
      </c>
      <c r="C167" s="288"/>
      <c r="D167" s="288"/>
      <c r="E167" s="288"/>
      <c r="F167" s="288"/>
      <c r="G167" s="288"/>
      <c r="H167" s="288"/>
      <c r="I167" s="288"/>
      <c r="J167" s="288"/>
      <c r="K167" s="288"/>
      <c r="L167" s="288"/>
      <c r="M167" s="288"/>
      <c r="N167" s="288"/>
      <c r="O167" s="288"/>
      <c r="P167" s="288"/>
      <c r="Q167" s="288"/>
      <c r="R167" s="288"/>
      <c r="S167" s="288"/>
      <c r="T167" s="288"/>
      <c r="U167" s="288"/>
      <c r="V167" s="338">
        <v>626</v>
      </c>
      <c r="W167" s="291"/>
      <c r="X167" s="5"/>
    </row>
    <row r="168" spans="1:256" ht="15.6" x14ac:dyDescent="0.3">
      <c r="A168" s="287"/>
      <c r="B168" s="288" t="s">
        <v>54</v>
      </c>
      <c r="C168" s="288"/>
      <c r="D168" s="288"/>
      <c r="E168" s="288"/>
      <c r="F168" s="288"/>
      <c r="G168" s="288"/>
      <c r="H168" s="288"/>
      <c r="I168" s="288"/>
      <c r="J168" s="288"/>
      <c r="K168" s="288"/>
      <c r="L168" s="288"/>
      <c r="M168" s="288"/>
      <c r="N168" s="288"/>
      <c r="O168" s="288"/>
      <c r="P168" s="288"/>
      <c r="Q168" s="288"/>
      <c r="R168" s="288"/>
      <c r="S168" s="288"/>
      <c r="T168" s="288"/>
      <c r="U168" s="288"/>
      <c r="V168" s="338">
        <f>V167+V166</f>
        <v>626</v>
      </c>
      <c r="W168" s="291"/>
      <c r="X168" s="5"/>
    </row>
    <row r="169" spans="1:256" ht="15.6" x14ac:dyDescent="0.3">
      <c r="A169" s="287"/>
      <c r="B169" s="288" t="s">
        <v>315</v>
      </c>
      <c r="C169" s="288"/>
      <c r="D169" s="288"/>
      <c r="E169" s="288"/>
      <c r="F169" s="288"/>
      <c r="G169" s="288"/>
      <c r="H169" s="288"/>
      <c r="I169" s="288"/>
      <c r="J169" s="288"/>
      <c r="K169" s="288"/>
      <c r="L169" s="288"/>
      <c r="M169" s="288"/>
      <c r="N169" s="288"/>
      <c r="O169" s="288"/>
      <c r="P169" s="288"/>
      <c r="Q169" s="288"/>
      <c r="R169" s="288"/>
      <c r="S169" s="288"/>
      <c r="T169" s="288"/>
      <c r="U169" s="288"/>
      <c r="V169" s="338">
        <f>V115</f>
        <v>-626</v>
      </c>
      <c r="W169" s="291"/>
      <c r="X169" s="5"/>
    </row>
    <row r="170" spans="1:256" ht="15.6" x14ac:dyDescent="0.3">
      <c r="A170" s="287"/>
      <c r="B170" s="288" t="s">
        <v>55</v>
      </c>
      <c r="C170" s="288"/>
      <c r="D170" s="288"/>
      <c r="E170" s="288"/>
      <c r="F170" s="288"/>
      <c r="G170" s="288"/>
      <c r="H170" s="288"/>
      <c r="I170" s="288"/>
      <c r="J170" s="288"/>
      <c r="K170" s="288"/>
      <c r="L170" s="288"/>
      <c r="M170" s="288"/>
      <c r="N170" s="288"/>
      <c r="O170" s="288"/>
      <c r="P170" s="288"/>
      <c r="Q170" s="288"/>
      <c r="R170" s="288"/>
      <c r="S170" s="288"/>
      <c r="T170" s="288"/>
      <c r="U170" s="288"/>
      <c r="V170" s="338">
        <f>V168+V169</f>
        <v>0</v>
      </c>
      <c r="W170" s="291"/>
      <c r="X170" s="5"/>
    </row>
    <row r="171" spans="1:256" ht="15.6" x14ac:dyDescent="0.3">
      <c r="A171" s="287"/>
      <c r="B171" s="288" t="s">
        <v>283</v>
      </c>
      <c r="C171" s="288"/>
      <c r="D171" s="288"/>
      <c r="E171" s="288"/>
      <c r="F171" s="288"/>
      <c r="G171" s="288"/>
      <c r="H171" s="288"/>
      <c r="I171" s="288"/>
      <c r="J171" s="288"/>
      <c r="K171" s="288"/>
      <c r="L171" s="288"/>
      <c r="M171" s="288"/>
      <c r="N171" s="288"/>
      <c r="O171" s="288"/>
      <c r="P171" s="288"/>
      <c r="Q171" s="288"/>
      <c r="R171" s="288"/>
      <c r="S171" s="288"/>
      <c r="T171" s="288"/>
      <c r="U171" s="288"/>
      <c r="V171" s="338">
        <v>0</v>
      </c>
      <c r="W171" s="291"/>
      <c r="X171" s="5"/>
    </row>
    <row r="172" spans="1:256" ht="16.2" thickBot="1" x14ac:dyDescent="0.35">
      <c r="A172" s="183"/>
      <c r="B172" s="284"/>
      <c r="C172" s="284"/>
      <c r="D172" s="284"/>
      <c r="E172" s="284"/>
      <c r="F172" s="284"/>
      <c r="G172" s="284"/>
      <c r="H172" s="284"/>
      <c r="I172" s="284"/>
      <c r="J172" s="284"/>
      <c r="K172" s="284"/>
      <c r="L172" s="284"/>
      <c r="M172" s="284"/>
      <c r="N172" s="284"/>
      <c r="O172" s="284"/>
      <c r="P172" s="284"/>
      <c r="Q172" s="284"/>
      <c r="R172" s="284"/>
      <c r="S172" s="284"/>
      <c r="T172" s="284"/>
      <c r="U172" s="284"/>
      <c r="V172" s="349"/>
      <c r="W172" s="284"/>
      <c r="X172" s="5"/>
    </row>
    <row r="173" spans="1:256" ht="15.6" x14ac:dyDescent="0.3">
      <c r="A173" s="180"/>
      <c r="B173" s="247"/>
      <c r="C173" s="247"/>
      <c r="D173" s="247"/>
      <c r="E173" s="247"/>
      <c r="F173" s="247"/>
      <c r="G173" s="247"/>
      <c r="H173" s="247"/>
      <c r="I173" s="247"/>
      <c r="J173" s="247"/>
      <c r="K173" s="247"/>
      <c r="L173" s="247"/>
      <c r="M173" s="247"/>
      <c r="N173" s="247"/>
      <c r="O173" s="247"/>
      <c r="P173" s="247"/>
      <c r="Q173" s="247"/>
      <c r="R173" s="247"/>
      <c r="S173" s="247"/>
      <c r="T173" s="247"/>
      <c r="U173" s="247"/>
      <c r="V173" s="248"/>
      <c r="W173" s="247"/>
      <c r="X173" s="5"/>
    </row>
    <row r="174" spans="1:256" s="161" customFormat="1" ht="15.6" x14ac:dyDescent="0.3">
      <c r="A174" s="183"/>
      <c r="B174" s="208" t="s">
        <v>269</v>
      </c>
      <c r="C174" s="198"/>
      <c r="D174" s="198"/>
      <c r="E174" s="198"/>
      <c r="F174" s="198"/>
      <c r="G174" s="198"/>
      <c r="H174" s="198"/>
      <c r="I174" s="198"/>
      <c r="J174" s="198"/>
      <c r="K174" s="198"/>
      <c r="L174" s="198"/>
      <c r="M174" s="198"/>
      <c r="N174" s="198"/>
      <c r="O174" s="198"/>
      <c r="P174" s="198"/>
      <c r="Q174" s="198"/>
      <c r="R174" s="198"/>
      <c r="S174" s="198"/>
      <c r="T174" s="198"/>
      <c r="U174" s="198"/>
      <c r="V174" s="210"/>
      <c r="W174" s="198"/>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5.6" x14ac:dyDescent="0.3">
      <c r="A175" s="287"/>
      <c r="B175" s="288" t="s">
        <v>270</v>
      </c>
      <c r="C175" s="288"/>
      <c r="D175" s="288"/>
      <c r="E175" s="288"/>
      <c r="F175" s="288"/>
      <c r="G175" s="288"/>
      <c r="H175" s="288"/>
      <c r="I175" s="288"/>
      <c r="J175" s="288"/>
      <c r="K175" s="288"/>
      <c r="L175" s="288"/>
      <c r="M175" s="288"/>
      <c r="N175" s="288"/>
      <c r="O175" s="288"/>
      <c r="P175" s="288"/>
      <c r="Q175" s="288"/>
      <c r="R175" s="288"/>
      <c r="S175" s="288"/>
      <c r="T175" s="288"/>
      <c r="U175" s="288"/>
      <c r="V175" s="338">
        <f>+'Aug 08'!V177</f>
        <v>0</v>
      </c>
      <c r="W175" s="291"/>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3" customFormat="1" ht="15.6" x14ac:dyDescent="0.3">
      <c r="A176" s="287"/>
      <c r="B176" s="288" t="s">
        <v>273</v>
      </c>
      <c r="C176" s="288"/>
      <c r="D176" s="288"/>
      <c r="E176" s="288"/>
      <c r="F176" s="288"/>
      <c r="G176" s="288"/>
      <c r="H176" s="288"/>
      <c r="I176" s="288"/>
      <c r="J176" s="288"/>
      <c r="K176" s="288"/>
      <c r="L176" s="288"/>
      <c r="M176" s="288"/>
      <c r="N176" s="288"/>
      <c r="O176" s="288"/>
      <c r="P176" s="288"/>
      <c r="Q176" s="288"/>
      <c r="R176" s="288"/>
      <c r="S176" s="288"/>
      <c r="T176" s="288"/>
      <c r="U176" s="288"/>
      <c r="V176" s="338">
        <f>+V94</f>
        <v>0</v>
      </c>
      <c r="W176" s="291"/>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s="163" customFormat="1" ht="15.6" x14ac:dyDescent="0.3">
      <c r="A177" s="287"/>
      <c r="B177" s="288" t="s">
        <v>271</v>
      </c>
      <c r="C177" s="288"/>
      <c r="D177" s="288"/>
      <c r="E177" s="288"/>
      <c r="F177" s="288"/>
      <c r="G177" s="288"/>
      <c r="H177" s="288"/>
      <c r="I177" s="288"/>
      <c r="J177" s="288"/>
      <c r="K177" s="288"/>
      <c r="L177" s="288"/>
      <c r="M177" s="288"/>
      <c r="N177" s="288"/>
      <c r="O177" s="288"/>
      <c r="P177" s="288"/>
      <c r="Q177" s="288"/>
      <c r="R177" s="288"/>
      <c r="S177" s="288"/>
      <c r="T177" s="288"/>
      <c r="U177" s="288"/>
      <c r="V177" s="338">
        <f>+V175-V176</f>
        <v>0</v>
      </c>
      <c r="W177" s="291"/>
      <c r="X177" s="5"/>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s="166" customFormat="1" ht="16.2" thickBot="1" x14ac:dyDescent="0.35">
      <c r="A178" s="199"/>
      <c r="B178" s="198"/>
      <c r="C178" s="198"/>
      <c r="D178" s="198"/>
      <c r="E178" s="198"/>
      <c r="F178" s="198"/>
      <c r="G178" s="198"/>
      <c r="H178" s="198"/>
      <c r="I178" s="198"/>
      <c r="J178" s="198"/>
      <c r="K178" s="198"/>
      <c r="L178" s="198"/>
      <c r="M178" s="198"/>
      <c r="N178" s="198"/>
      <c r="O178" s="198"/>
      <c r="P178" s="198"/>
      <c r="Q178" s="198"/>
      <c r="R178" s="198"/>
      <c r="S178" s="198"/>
      <c r="T178" s="198"/>
      <c r="U178" s="198"/>
      <c r="V178" s="347"/>
      <c r="W178" s="198"/>
      <c r="X178" s="5"/>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s="167" customFormat="1" ht="15.6" x14ac:dyDescent="0.3">
      <c r="A179" s="180"/>
      <c r="B179" s="181"/>
      <c r="C179" s="181"/>
      <c r="D179" s="181"/>
      <c r="E179" s="181"/>
      <c r="F179" s="181"/>
      <c r="G179" s="181"/>
      <c r="H179" s="181"/>
      <c r="I179" s="181"/>
      <c r="J179" s="181"/>
      <c r="K179" s="181"/>
      <c r="L179" s="181"/>
      <c r="M179" s="181"/>
      <c r="N179" s="181"/>
      <c r="O179" s="181"/>
      <c r="P179" s="181"/>
      <c r="Q179" s="181"/>
      <c r="R179" s="181"/>
      <c r="S179" s="181"/>
      <c r="T179" s="181"/>
      <c r="U179" s="181"/>
      <c r="V179" s="200"/>
      <c r="W179" s="181"/>
      <c r="X179" s="5"/>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ht="15.6" x14ac:dyDescent="0.3">
      <c r="A180" s="183"/>
      <c r="B180" s="208" t="s">
        <v>56</v>
      </c>
      <c r="C180" s="185"/>
      <c r="D180" s="185"/>
      <c r="E180" s="185"/>
      <c r="F180" s="185"/>
      <c r="G180" s="185"/>
      <c r="H180" s="185"/>
      <c r="I180" s="185"/>
      <c r="J180" s="185"/>
      <c r="K180" s="185"/>
      <c r="L180" s="185"/>
      <c r="M180" s="185"/>
      <c r="N180" s="185"/>
      <c r="O180" s="185"/>
      <c r="P180" s="185"/>
      <c r="Q180" s="185"/>
      <c r="R180" s="185"/>
      <c r="S180" s="185"/>
      <c r="T180" s="185"/>
      <c r="U180" s="185"/>
      <c r="V180" s="201"/>
      <c r="W180" s="185"/>
      <c r="X180" s="5"/>
    </row>
    <row r="181" spans="1:256" ht="15.6" x14ac:dyDescent="0.3">
      <c r="A181" s="183"/>
      <c r="B181" s="195"/>
      <c r="C181" s="185"/>
      <c r="D181" s="185"/>
      <c r="E181" s="185"/>
      <c r="F181" s="185"/>
      <c r="G181" s="185"/>
      <c r="H181" s="185"/>
      <c r="I181" s="185"/>
      <c r="J181" s="185"/>
      <c r="K181" s="185"/>
      <c r="L181" s="185"/>
      <c r="M181" s="185"/>
      <c r="N181" s="185"/>
      <c r="O181" s="185"/>
      <c r="P181" s="185"/>
      <c r="Q181" s="185"/>
      <c r="R181" s="185"/>
      <c r="S181" s="185"/>
      <c r="T181" s="185"/>
      <c r="U181" s="185"/>
      <c r="V181" s="201"/>
      <c r="W181" s="185"/>
      <c r="X181" s="5"/>
    </row>
    <row r="182" spans="1:256" ht="15.6" x14ac:dyDescent="0.3">
      <c r="A182" s="287"/>
      <c r="B182" s="288" t="s">
        <v>57</v>
      </c>
      <c r="C182" s="288"/>
      <c r="D182" s="288"/>
      <c r="E182" s="288"/>
      <c r="F182" s="288"/>
      <c r="G182" s="288"/>
      <c r="H182" s="288"/>
      <c r="I182" s="288"/>
      <c r="J182" s="288"/>
      <c r="K182" s="288"/>
      <c r="L182" s="288"/>
      <c r="M182" s="288"/>
      <c r="N182" s="288"/>
      <c r="O182" s="288"/>
      <c r="P182" s="288"/>
      <c r="Q182" s="288"/>
      <c r="R182" s="288"/>
      <c r="S182" s="288"/>
      <c r="T182" s="288"/>
      <c r="U182" s="288"/>
      <c r="V182" s="338">
        <f>V71</f>
        <v>1179039</v>
      </c>
      <c r="W182" s="291"/>
      <c r="X182" s="5"/>
    </row>
    <row r="183" spans="1:256" ht="15.6" x14ac:dyDescent="0.3">
      <c r="A183" s="287"/>
      <c r="B183" s="288" t="s">
        <v>58</v>
      </c>
      <c r="C183" s="288"/>
      <c r="D183" s="288"/>
      <c r="E183" s="288"/>
      <c r="F183" s="288"/>
      <c r="G183" s="288"/>
      <c r="H183" s="288"/>
      <c r="I183" s="288"/>
      <c r="J183" s="288"/>
      <c r="K183" s="288"/>
      <c r="L183" s="288"/>
      <c r="M183" s="288"/>
      <c r="N183" s="288"/>
      <c r="O183" s="288"/>
      <c r="P183" s="288"/>
      <c r="Q183" s="288"/>
      <c r="R183" s="288"/>
      <c r="S183" s="288"/>
      <c r="T183" s="288"/>
      <c r="U183" s="288"/>
      <c r="V183" s="338">
        <f>V84</f>
        <v>1179039</v>
      </c>
      <c r="W183" s="291"/>
      <c r="X183" s="5"/>
    </row>
    <row r="184" spans="1:256" ht="16.2" thickBot="1" x14ac:dyDescent="0.35">
      <c r="A184" s="183"/>
      <c r="B184" s="198"/>
      <c r="C184" s="198"/>
      <c r="D184" s="198"/>
      <c r="E184" s="198"/>
      <c r="F184" s="198"/>
      <c r="G184" s="198"/>
      <c r="H184" s="198"/>
      <c r="I184" s="198"/>
      <c r="J184" s="198"/>
      <c r="K184" s="198"/>
      <c r="L184" s="198"/>
      <c r="M184" s="198"/>
      <c r="N184" s="198"/>
      <c r="O184" s="198"/>
      <c r="P184" s="198"/>
      <c r="Q184" s="198"/>
      <c r="R184" s="198"/>
      <c r="S184" s="198"/>
      <c r="T184" s="198"/>
      <c r="U184" s="198"/>
      <c r="V184" s="347"/>
      <c r="W184" s="198"/>
      <c r="X184" s="5"/>
    </row>
    <row r="185" spans="1:256" ht="15.6" x14ac:dyDescent="0.3">
      <c r="A185" s="180"/>
      <c r="B185" s="181"/>
      <c r="C185" s="181"/>
      <c r="D185" s="181"/>
      <c r="E185" s="181"/>
      <c r="F185" s="181"/>
      <c r="G185" s="181"/>
      <c r="H185" s="181"/>
      <c r="I185" s="181"/>
      <c r="J185" s="181"/>
      <c r="K185" s="181"/>
      <c r="L185" s="181"/>
      <c r="M185" s="181"/>
      <c r="N185" s="181"/>
      <c r="O185" s="181"/>
      <c r="P185" s="181"/>
      <c r="Q185" s="181"/>
      <c r="R185" s="181"/>
      <c r="S185" s="181"/>
      <c r="T185" s="181"/>
      <c r="U185" s="181"/>
      <c r="V185" s="200"/>
      <c r="W185" s="181"/>
      <c r="X185" s="5"/>
    </row>
    <row r="186" spans="1:256" ht="15.6" x14ac:dyDescent="0.3">
      <c r="A186" s="183"/>
      <c r="B186" s="208" t="s">
        <v>59</v>
      </c>
      <c r="C186" s="205"/>
      <c r="D186" s="205"/>
      <c r="E186" s="205"/>
      <c r="F186" s="205"/>
      <c r="G186" s="205"/>
      <c r="H186" s="211"/>
      <c r="I186" s="211"/>
      <c r="J186" s="211"/>
      <c r="K186" s="211"/>
      <c r="L186" s="211"/>
      <c r="M186" s="211"/>
      <c r="N186" s="211"/>
      <c r="O186" s="211"/>
      <c r="P186" s="211"/>
      <c r="Q186" s="211"/>
      <c r="R186" s="211"/>
      <c r="S186" s="211" t="s">
        <v>101</v>
      </c>
      <c r="T186" s="211" t="s">
        <v>176</v>
      </c>
      <c r="U186" s="187"/>
      <c r="V186" s="212" t="s">
        <v>114</v>
      </c>
      <c r="W186" s="213"/>
      <c r="X186" s="5"/>
    </row>
    <row r="187" spans="1:256" ht="15.6" x14ac:dyDescent="0.3">
      <c r="A187" s="287"/>
      <c r="B187" s="288" t="s">
        <v>60</v>
      </c>
      <c r="C187" s="288"/>
      <c r="D187" s="288"/>
      <c r="E187" s="288"/>
      <c r="F187" s="288"/>
      <c r="G187" s="288"/>
      <c r="H187" s="288"/>
      <c r="I187" s="288"/>
      <c r="J187" s="288"/>
      <c r="K187" s="288"/>
      <c r="L187" s="288"/>
      <c r="M187" s="288"/>
      <c r="N187" s="288"/>
      <c r="O187" s="288"/>
      <c r="P187" s="288"/>
      <c r="Q187" s="288"/>
      <c r="R187" s="288"/>
      <c r="S187" s="338">
        <f>+V34*0.16</f>
        <v>240044</v>
      </c>
      <c r="T187" s="325"/>
      <c r="U187" s="288"/>
      <c r="V187" s="338"/>
      <c r="W187" s="291"/>
      <c r="X187" s="5"/>
    </row>
    <row r="188" spans="1:256" ht="15.6" x14ac:dyDescent="0.3">
      <c r="A188" s="287"/>
      <c r="B188" s="288" t="s">
        <v>61</v>
      </c>
      <c r="C188" s="288"/>
      <c r="D188" s="288"/>
      <c r="E188" s="288"/>
      <c r="F188" s="288"/>
      <c r="G188" s="288"/>
      <c r="H188" s="288"/>
      <c r="I188" s="288"/>
      <c r="J188" s="288"/>
      <c r="K188" s="288"/>
      <c r="L188" s="288"/>
      <c r="M188" s="288"/>
      <c r="N188" s="288"/>
      <c r="O188" s="288"/>
      <c r="P188" s="288"/>
      <c r="Q188" s="288"/>
      <c r="R188" s="288"/>
      <c r="S188" s="338">
        <f>+'Feb 10'!S191</f>
        <v>23491</v>
      </c>
      <c r="T188" s="338">
        <f>+'Feb 10'!T191</f>
        <v>5963</v>
      </c>
      <c r="U188" s="288"/>
      <c r="V188" s="338">
        <f>S188+T188</f>
        <v>29454</v>
      </c>
      <c r="W188" s="291"/>
      <c r="X188" s="5"/>
    </row>
    <row r="189" spans="1:256" ht="15.6" x14ac:dyDescent="0.3">
      <c r="A189" s="287"/>
      <c r="B189" s="288" t="s">
        <v>62</v>
      </c>
      <c r="C189" s="288"/>
      <c r="D189" s="288"/>
      <c r="E189" s="288"/>
      <c r="F189" s="288"/>
      <c r="G189" s="288"/>
      <c r="H189" s="288"/>
      <c r="I189" s="288"/>
      <c r="J189" s="288"/>
      <c r="K189" s="288"/>
      <c r="L189" s="288"/>
      <c r="M189" s="288"/>
      <c r="N189" s="288"/>
      <c r="O189" s="288"/>
      <c r="P189" s="288"/>
      <c r="Q189" s="288"/>
      <c r="R189" s="288"/>
      <c r="S189" s="337">
        <f>29+78</f>
        <v>107</v>
      </c>
      <c r="T189" s="337">
        <v>0</v>
      </c>
      <c r="U189" s="288"/>
      <c r="V189" s="338">
        <f>S189+T189</f>
        <v>107</v>
      </c>
      <c r="W189" s="291"/>
      <c r="X189" s="5"/>
    </row>
    <row r="190" spans="1:256" ht="15.6" x14ac:dyDescent="0.3">
      <c r="A190" s="287"/>
      <c r="B190" s="288" t="s">
        <v>63</v>
      </c>
      <c r="C190" s="288"/>
      <c r="D190" s="288"/>
      <c r="E190" s="288"/>
      <c r="F190" s="288"/>
      <c r="G190" s="288"/>
      <c r="H190" s="288"/>
      <c r="I190" s="288"/>
      <c r="J190" s="288"/>
      <c r="K190" s="288"/>
      <c r="L190" s="288"/>
      <c r="M190" s="288"/>
      <c r="N190" s="288"/>
      <c r="O190" s="288"/>
      <c r="P190" s="288"/>
      <c r="Q190" s="288"/>
      <c r="R190" s="288"/>
      <c r="S190" s="338">
        <f>S188+S189</f>
        <v>23598</v>
      </c>
      <c r="T190" s="338">
        <f>T189+T188</f>
        <v>5963</v>
      </c>
      <c r="U190" s="288"/>
      <c r="V190" s="338">
        <f>S190+T190</f>
        <v>29561</v>
      </c>
      <c r="W190" s="291"/>
      <c r="X190" s="5"/>
    </row>
    <row r="191" spans="1:256" ht="15.6" x14ac:dyDescent="0.3">
      <c r="A191" s="287"/>
      <c r="B191" s="288" t="s">
        <v>64</v>
      </c>
      <c r="C191" s="288"/>
      <c r="D191" s="288"/>
      <c r="E191" s="288"/>
      <c r="F191" s="288"/>
      <c r="G191" s="288"/>
      <c r="H191" s="288"/>
      <c r="I191" s="288"/>
      <c r="J191" s="288"/>
      <c r="K191" s="288"/>
      <c r="L191" s="288"/>
      <c r="M191" s="288"/>
      <c r="N191" s="288"/>
      <c r="O191" s="288"/>
      <c r="P191" s="288"/>
      <c r="Q191" s="288"/>
      <c r="R191" s="288"/>
      <c r="S191" s="338">
        <f>S187-S190-T190</f>
        <v>210483</v>
      </c>
      <c r="T191" s="325"/>
      <c r="U191" s="288"/>
      <c r="V191" s="338"/>
      <c r="W191" s="291"/>
      <c r="X191" s="5"/>
    </row>
    <row r="192" spans="1:256" ht="16.2" thickBot="1" x14ac:dyDescent="0.35">
      <c r="A192" s="183"/>
      <c r="B192" s="198"/>
      <c r="C192" s="198"/>
      <c r="D192" s="198"/>
      <c r="E192" s="198"/>
      <c r="F192" s="198"/>
      <c r="G192" s="198"/>
      <c r="H192" s="198"/>
      <c r="I192" s="198"/>
      <c r="J192" s="198"/>
      <c r="K192" s="198"/>
      <c r="L192" s="198"/>
      <c r="M192" s="198"/>
      <c r="N192" s="198"/>
      <c r="O192" s="198"/>
      <c r="P192" s="198"/>
      <c r="Q192" s="198"/>
      <c r="R192" s="198"/>
      <c r="S192" s="198"/>
      <c r="T192" s="198"/>
      <c r="U192" s="198"/>
      <c r="V192" s="347"/>
      <c r="W192" s="198"/>
      <c r="X192" s="5"/>
    </row>
    <row r="193" spans="1:24" ht="15.6" x14ac:dyDescent="0.3">
      <c r="A193" s="180"/>
      <c r="B193" s="181"/>
      <c r="C193" s="181"/>
      <c r="D193" s="181"/>
      <c r="E193" s="181"/>
      <c r="F193" s="181"/>
      <c r="G193" s="181"/>
      <c r="H193" s="181"/>
      <c r="I193" s="181"/>
      <c r="J193" s="181"/>
      <c r="K193" s="181"/>
      <c r="L193" s="181"/>
      <c r="M193" s="181"/>
      <c r="N193" s="181"/>
      <c r="O193" s="181"/>
      <c r="P193" s="181"/>
      <c r="Q193" s="181"/>
      <c r="R193" s="181"/>
      <c r="S193" s="181"/>
      <c r="T193" s="181"/>
      <c r="U193" s="181"/>
      <c r="V193" s="200"/>
      <c r="W193" s="181"/>
      <c r="X193" s="5"/>
    </row>
    <row r="194" spans="1:24" ht="15.6" x14ac:dyDescent="0.3">
      <c r="A194" s="183"/>
      <c r="B194" s="208" t="s">
        <v>65</v>
      </c>
      <c r="C194" s="185"/>
      <c r="D194" s="185"/>
      <c r="E194" s="185"/>
      <c r="F194" s="185"/>
      <c r="G194" s="185"/>
      <c r="H194" s="185"/>
      <c r="I194" s="185"/>
      <c r="J194" s="185"/>
      <c r="K194" s="185"/>
      <c r="L194" s="185"/>
      <c r="M194" s="185"/>
      <c r="N194" s="185"/>
      <c r="O194" s="185"/>
      <c r="P194" s="185"/>
      <c r="Q194" s="185"/>
      <c r="R194" s="185"/>
      <c r="S194" s="185"/>
      <c r="T194" s="185"/>
      <c r="U194" s="185"/>
      <c r="V194" s="214"/>
      <c r="W194" s="185"/>
      <c r="X194" s="5"/>
    </row>
    <row r="195" spans="1:24" ht="15.6" x14ac:dyDescent="0.3">
      <c r="A195" s="287"/>
      <c r="B195" s="288" t="s">
        <v>66</v>
      </c>
      <c r="C195" s="288"/>
      <c r="D195" s="288"/>
      <c r="E195" s="288"/>
      <c r="F195" s="288"/>
      <c r="G195" s="288"/>
      <c r="H195" s="288"/>
      <c r="I195" s="288"/>
      <c r="J195" s="288"/>
      <c r="K195" s="288"/>
      <c r="L195" s="288"/>
      <c r="M195" s="288"/>
      <c r="N195" s="288"/>
      <c r="O195" s="288"/>
      <c r="P195" s="288"/>
      <c r="Q195" s="288"/>
      <c r="R195" s="288"/>
      <c r="S195" s="288"/>
      <c r="T195" s="288"/>
      <c r="U195" s="288"/>
      <c r="V195" s="348">
        <f>(V101+V103+V104+V105+V106)/-(V107+V108)</f>
        <v>3.8929712460063897</v>
      </c>
      <c r="W195" s="291" t="s">
        <v>115</v>
      </c>
      <c r="X195" s="5"/>
    </row>
    <row r="196" spans="1:24" ht="15.6" x14ac:dyDescent="0.3">
      <c r="A196" s="287"/>
      <c r="B196" s="288" t="s">
        <v>67</v>
      </c>
      <c r="C196" s="288"/>
      <c r="D196" s="288"/>
      <c r="E196" s="288"/>
      <c r="F196" s="288"/>
      <c r="G196" s="288"/>
      <c r="H196" s="288"/>
      <c r="I196" s="288"/>
      <c r="J196" s="288"/>
      <c r="K196" s="288"/>
      <c r="L196" s="288"/>
      <c r="M196" s="288"/>
      <c r="N196" s="288"/>
      <c r="O196" s="288"/>
      <c r="P196" s="288"/>
      <c r="Q196" s="288"/>
      <c r="R196" s="288"/>
      <c r="S196" s="288"/>
      <c r="T196" s="288"/>
      <c r="U196" s="288"/>
      <c r="V196" s="350">
        <v>1.51</v>
      </c>
      <c r="W196" s="291" t="s">
        <v>115</v>
      </c>
      <c r="X196" s="5"/>
    </row>
    <row r="197" spans="1:24" ht="15.6" x14ac:dyDescent="0.3">
      <c r="A197" s="287"/>
      <c r="B197" s="288" t="s">
        <v>68</v>
      </c>
      <c r="C197" s="288"/>
      <c r="D197" s="288"/>
      <c r="E197" s="288"/>
      <c r="F197" s="288"/>
      <c r="G197" s="288"/>
      <c r="H197" s="288"/>
      <c r="I197" s="288"/>
      <c r="J197" s="288"/>
      <c r="K197" s="288"/>
      <c r="L197" s="288"/>
      <c r="M197" s="288"/>
      <c r="N197" s="288"/>
      <c r="O197" s="288"/>
      <c r="P197" s="288"/>
      <c r="Q197" s="288"/>
      <c r="R197" s="288"/>
      <c r="S197" s="288"/>
      <c r="T197" s="288"/>
      <c r="U197" s="288"/>
      <c r="V197" s="348">
        <f>(V101+V103+V104+V105+V106+V107+V108)/-(V110+V111)</f>
        <v>22.732217573221757</v>
      </c>
      <c r="W197" s="291" t="s">
        <v>115</v>
      </c>
      <c r="X197" s="5"/>
    </row>
    <row r="198" spans="1:24" ht="15.6" x14ac:dyDescent="0.3">
      <c r="A198" s="287"/>
      <c r="B198" s="288" t="s">
        <v>69</v>
      </c>
      <c r="C198" s="288"/>
      <c r="D198" s="288"/>
      <c r="E198" s="288"/>
      <c r="F198" s="288"/>
      <c r="G198" s="288"/>
      <c r="H198" s="288"/>
      <c r="I198" s="288"/>
      <c r="J198" s="288"/>
      <c r="K198" s="288"/>
      <c r="L198" s="288"/>
      <c r="M198" s="288"/>
      <c r="N198" s="288"/>
      <c r="O198" s="288"/>
      <c r="P198" s="288"/>
      <c r="Q198" s="288"/>
      <c r="R198" s="288"/>
      <c r="S198" s="288"/>
      <c r="T198" s="288"/>
      <c r="U198" s="288"/>
      <c r="V198" s="350">
        <v>5.18</v>
      </c>
      <c r="W198" s="291" t="s">
        <v>115</v>
      </c>
      <c r="X198" s="5"/>
    </row>
    <row r="199" spans="1:24" ht="15.6" x14ac:dyDescent="0.3">
      <c r="A199" s="287"/>
      <c r="B199" s="288" t="s">
        <v>198</v>
      </c>
      <c r="C199" s="288"/>
      <c r="D199" s="288"/>
      <c r="E199" s="288"/>
      <c r="F199" s="288"/>
      <c r="G199" s="288"/>
      <c r="H199" s="288"/>
      <c r="I199" s="288"/>
      <c r="J199" s="288"/>
      <c r="K199" s="288"/>
      <c r="L199" s="288"/>
      <c r="M199" s="288"/>
      <c r="N199" s="288"/>
      <c r="O199" s="288"/>
      <c r="P199" s="288"/>
      <c r="Q199" s="288"/>
      <c r="R199" s="288"/>
      <c r="S199" s="288"/>
      <c r="T199" s="288"/>
      <c r="U199" s="288"/>
      <c r="V199" s="348">
        <f>(V101+V103+V104+V105+V106+V107+V108+V110+V111)/-(V112+V113)</f>
        <v>17.141914191419144</v>
      </c>
      <c r="W199" s="291" t="s">
        <v>115</v>
      </c>
      <c r="X199" s="5"/>
    </row>
    <row r="200" spans="1:24" ht="15.6" x14ac:dyDescent="0.3">
      <c r="A200" s="287"/>
      <c r="B200" s="288" t="s">
        <v>199</v>
      </c>
      <c r="C200" s="288"/>
      <c r="D200" s="288"/>
      <c r="E200" s="288"/>
      <c r="F200" s="288"/>
      <c r="G200" s="288"/>
      <c r="H200" s="288"/>
      <c r="I200" s="288"/>
      <c r="J200" s="288"/>
      <c r="K200" s="288"/>
      <c r="L200" s="288"/>
      <c r="M200" s="288"/>
      <c r="N200" s="288"/>
      <c r="O200" s="288"/>
      <c r="P200" s="288"/>
      <c r="Q200" s="288"/>
      <c r="R200" s="288"/>
      <c r="S200" s="288"/>
      <c r="T200" s="288"/>
      <c r="U200" s="288"/>
      <c r="V200" s="350">
        <v>3.96</v>
      </c>
      <c r="W200" s="291" t="s">
        <v>115</v>
      </c>
      <c r="X200" s="5"/>
    </row>
    <row r="201" spans="1:24" ht="15.6" x14ac:dyDescent="0.3">
      <c r="A201" s="287"/>
      <c r="B201" s="314"/>
      <c r="C201" s="314"/>
      <c r="D201" s="314"/>
      <c r="E201" s="314"/>
      <c r="F201" s="314"/>
      <c r="G201" s="314"/>
      <c r="H201" s="314"/>
      <c r="I201" s="314"/>
      <c r="J201" s="314"/>
      <c r="K201" s="314"/>
      <c r="L201" s="314"/>
      <c r="M201" s="314"/>
      <c r="N201" s="314"/>
      <c r="O201" s="314"/>
      <c r="P201" s="314"/>
      <c r="Q201" s="314"/>
      <c r="R201" s="314"/>
      <c r="S201" s="314"/>
      <c r="T201" s="314"/>
      <c r="U201" s="314"/>
      <c r="V201" s="314"/>
      <c r="W201" s="318"/>
      <c r="X201" s="5"/>
    </row>
    <row r="202" spans="1:24" ht="15.6" x14ac:dyDescent="0.3">
      <c r="A202" s="183"/>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5"/>
    </row>
    <row r="203" spans="1:24" ht="15.6" x14ac:dyDescent="0.3">
      <c r="A203" s="183"/>
      <c r="B203" s="185"/>
      <c r="C203" s="185"/>
      <c r="D203" s="185"/>
      <c r="E203" s="185"/>
      <c r="F203" s="185"/>
      <c r="G203" s="185"/>
      <c r="H203" s="185"/>
      <c r="I203" s="185"/>
      <c r="J203" s="185"/>
      <c r="K203" s="185"/>
      <c r="L203" s="185"/>
      <c r="M203" s="185"/>
      <c r="N203" s="185"/>
      <c r="O203" s="185"/>
      <c r="P203" s="185"/>
      <c r="Q203" s="185"/>
      <c r="R203" s="185"/>
      <c r="S203" s="185"/>
      <c r="T203" s="185"/>
      <c r="U203" s="185"/>
      <c r="V203" s="185"/>
      <c r="W203" s="185"/>
      <c r="X203" s="5"/>
    </row>
    <row r="204" spans="1:24" ht="18" thickBot="1" x14ac:dyDescent="0.35">
      <c r="A204" s="199"/>
      <c r="B204" s="237" t="str">
        <f>B138</f>
        <v>PM14 INVESTOR REPORT QUARTER ENDING MAY 2010</v>
      </c>
      <c r="C204" s="215"/>
      <c r="D204" s="215"/>
      <c r="E204" s="215"/>
      <c r="F204" s="215"/>
      <c r="G204" s="215"/>
      <c r="H204" s="215"/>
      <c r="I204" s="215"/>
      <c r="J204" s="215"/>
      <c r="K204" s="215"/>
      <c r="L204" s="215"/>
      <c r="M204" s="215"/>
      <c r="N204" s="215"/>
      <c r="O204" s="215"/>
      <c r="P204" s="215"/>
      <c r="Q204" s="215"/>
      <c r="R204" s="215"/>
      <c r="S204" s="215"/>
      <c r="T204" s="215"/>
      <c r="U204" s="215"/>
      <c r="V204" s="215"/>
      <c r="W204" s="216"/>
      <c r="X204" s="5"/>
    </row>
    <row r="205" spans="1:24" ht="15.6" x14ac:dyDescent="0.3">
      <c r="A205" s="273"/>
      <c r="B205" s="397" t="s">
        <v>70</v>
      </c>
      <c r="C205" s="276"/>
      <c r="D205" s="276"/>
      <c r="E205" s="276"/>
      <c r="F205" s="276"/>
      <c r="G205" s="277"/>
      <c r="H205" s="277"/>
      <c r="I205" s="277"/>
      <c r="J205" s="277"/>
      <c r="K205" s="277"/>
      <c r="L205" s="277"/>
      <c r="M205" s="277"/>
      <c r="N205" s="277"/>
      <c r="O205" s="277"/>
      <c r="P205" s="277"/>
      <c r="Q205" s="277"/>
      <c r="R205" s="277"/>
      <c r="S205" s="277"/>
      <c r="T205" s="277">
        <v>40326</v>
      </c>
      <c r="U205" s="274"/>
      <c r="V205" s="274"/>
      <c r="W205" s="274"/>
      <c r="X205" s="5"/>
    </row>
    <row r="206" spans="1:24" ht="15.6" x14ac:dyDescent="0.3">
      <c r="A206" s="217"/>
      <c r="B206" s="230"/>
      <c r="C206" s="249"/>
      <c r="D206" s="249"/>
      <c r="E206" s="249"/>
      <c r="F206" s="249"/>
      <c r="G206" s="229"/>
      <c r="H206" s="229"/>
      <c r="I206" s="229"/>
      <c r="J206" s="229"/>
      <c r="K206" s="229"/>
      <c r="L206" s="229"/>
      <c r="M206" s="229"/>
      <c r="N206" s="229"/>
      <c r="O206" s="229"/>
      <c r="P206" s="229"/>
      <c r="Q206" s="229"/>
      <c r="R206" s="229"/>
      <c r="S206" s="229"/>
      <c r="T206" s="229"/>
      <c r="U206" s="224"/>
      <c r="V206" s="224"/>
      <c r="W206" s="224"/>
      <c r="X206" s="5"/>
    </row>
    <row r="207" spans="1:24" ht="15.6" x14ac:dyDescent="0.3">
      <c r="A207" s="352"/>
      <c r="B207" s="288" t="s">
        <v>71</v>
      </c>
      <c r="C207" s="353"/>
      <c r="D207" s="353"/>
      <c r="E207" s="353"/>
      <c r="F207" s="353"/>
      <c r="G207" s="330"/>
      <c r="H207" s="330"/>
      <c r="I207" s="330"/>
      <c r="J207" s="330"/>
      <c r="K207" s="330"/>
      <c r="L207" s="330"/>
      <c r="M207" s="330"/>
      <c r="N207" s="330"/>
      <c r="O207" s="330"/>
      <c r="P207" s="330"/>
      <c r="Q207" s="330"/>
      <c r="R207" s="330"/>
      <c r="S207" s="330"/>
      <c r="T207" s="321">
        <v>5.2819999999999999E-2</v>
      </c>
      <c r="U207" s="288"/>
      <c r="V207" s="288"/>
      <c r="W207" s="291"/>
      <c r="X207" s="5"/>
    </row>
    <row r="208" spans="1:24" ht="15.6" x14ac:dyDescent="0.3">
      <c r="A208" s="352"/>
      <c r="B208" s="288" t="s">
        <v>151</v>
      </c>
      <c r="C208" s="353"/>
      <c r="D208" s="353"/>
      <c r="E208" s="353"/>
      <c r="F208" s="353"/>
      <c r="G208" s="330"/>
      <c r="H208" s="330"/>
      <c r="I208" s="330"/>
      <c r="J208" s="330"/>
      <c r="K208" s="330"/>
      <c r="L208" s="330"/>
      <c r="M208" s="330"/>
      <c r="N208" s="330"/>
      <c r="O208" s="330"/>
      <c r="P208" s="330"/>
      <c r="Q208" s="330"/>
      <c r="R208" s="330"/>
      <c r="S208" s="330"/>
      <c r="T208" s="321">
        <v>5.7799999999999997E-2</v>
      </c>
      <c r="U208" s="288"/>
      <c r="V208" s="288"/>
      <c r="W208" s="291"/>
      <c r="X208" s="5"/>
    </row>
    <row r="209" spans="1:24" ht="15.6" x14ac:dyDescent="0.3">
      <c r="A209" s="352"/>
      <c r="B209" s="288" t="s">
        <v>72</v>
      </c>
      <c r="C209" s="353"/>
      <c r="D209" s="353"/>
      <c r="E209" s="353"/>
      <c r="F209" s="353"/>
      <c r="G209" s="330"/>
      <c r="H209" s="330"/>
      <c r="I209" s="330"/>
      <c r="J209" s="330"/>
      <c r="K209" s="330"/>
      <c r="L209" s="330"/>
      <c r="M209" s="330"/>
      <c r="N209" s="330"/>
      <c r="O209" s="330"/>
      <c r="P209" s="330"/>
      <c r="Q209" s="330"/>
      <c r="R209" s="330"/>
      <c r="S209" s="330"/>
      <c r="T209" s="321">
        <f>T207-T208</f>
        <v>-4.9799999999999983E-3</v>
      </c>
      <c r="U209" s="288"/>
      <c r="V209" s="288"/>
      <c r="W209" s="291"/>
      <c r="X209" s="5"/>
    </row>
    <row r="210" spans="1:24" ht="15.6" x14ac:dyDescent="0.3">
      <c r="A210" s="352"/>
      <c r="B210" s="288" t="s">
        <v>73</v>
      </c>
      <c r="C210" s="353"/>
      <c r="D210" s="353"/>
      <c r="E210" s="353"/>
      <c r="F210" s="353"/>
      <c r="G210" s="330"/>
      <c r="H210" s="330"/>
      <c r="I210" s="330"/>
      <c r="J210" s="330"/>
      <c r="K210" s="330"/>
      <c r="L210" s="330"/>
      <c r="M210" s="330"/>
      <c r="N210" s="330"/>
      <c r="O210" s="330"/>
      <c r="P210" s="330"/>
      <c r="Q210" s="330"/>
      <c r="R210" s="330"/>
      <c r="S210" s="330"/>
      <c r="T210" s="321">
        <v>2.5559999999999999E-2</v>
      </c>
      <c r="U210" s="288"/>
      <c r="V210" s="288"/>
      <c r="W210" s="291"/>
      <c r="X210" s="5"/>
    </row>
    <row r="211" spans="1:24" ht="15.6" x14ac:dyDescent="0.3">
      <c r="A211" s="352"/>
      <c r="B211" s="288" t="s">
        <v>219</v>
      </c>
      <c r="C211" s="353"/>
      <c r="D211" s="353"/>
      <c r="E211" s="353"/>
      <c r="F211" s="353"/>
      <c r="G211" s="330"/>
      <c r="H211" s="330"/>
      <c r="I211" s="330"/>
      <c r="J211" s="330"/>
      <c r="K211" s="330"/>
      <c r="L211" s="330"/>
      <c r="M211" s="330"/>
      <c r="N211" s="330"/>
      <c r="O211" s="330"/>
      <c r="P211" s="330"/>
      <c r="Q211" s="330"/>
      <c r="R211" s="330"/>
      <c r="S211" s="330"/>
      <c r="T211" s="321">
        <f>V43</f>
        <v>8.0773887978505526E-3</v>
      </c>
      <c r="U211" s="288"/>
      <c r="V211" s="288"/>
      <c r="W211" s="291"/>
      <c r="X211" s="5"/>
    </row>
    <row r="212" spans="1:24" ht="15.6" x14ac:dyDescent="0.3">
      <c r="A212" s="352"/>
      <c r="B212" s="288" t="s">
        <v>74</v>
      </c>
      <c r="C212" s="353"/>
      <c r="D212" s="353"/>
      <c r="E212" s="353"/>
      <c r="F212" s="353"/>
      <c r="G212" s="330"/>
      <c r="H212" s="330"/>
      <c r="I212" s="330"/>
      <c r="J212" s="330"/>
      <c r="K212" s="330"/>
      <c r="L212" s="330"/>
      <c r="M212" s="330"/>
      <c r="N212" s="330"/>
      <c r="O212" s="330"/>
      <c r="P212" s="330"/>
      <c r="Q212" s="330"/>
      <c r="R212" s="330"/>
      <c r="S212" s="330"/>
      <c r="T212" s="321">
        <f>T210-T211</f>
        <v>1.7482611202149445E-2</v>
      </c>
      <c r="U212" s="288"/>
      <c r="V212" s="288"/>
      <c r="W212" s="291"/>
      <c r="X212" s="5"/>
    </row>
    <row r="213" spans="1:24" ht="15.6" x14ac:dyDescent="0.3">
      <c r="A213" s="352"/>
      <c r="B213" s="288" t="s">
        <v>242</v>
      </c>
      <c r="C213" s="353"/>
      <c r="D213" s="353"/>
      <c r="E213" s="353"/>
      <c r="F213" s="353"/>
      <c r="G213" s="330"/>
      <c r="H213" s="330"/>
      <c r="I213" s="330"/>
      <c r="J213" s="330"/>
      <c r="K213" s="330"/>
      <c r="L213" s="330"/>
      <c r="M213" s="330"/>
      <c r="N213" s="330"/>
      <c r="O213" s="330"/>
      <c r="P213" s="330"/>
      <c r="Q213" s="330"/>
      <c r="R213" s="330"/>
      <c r="S213" s="330"/>
      <c r="T213" s="321">
        <f>V101/N71</f>
        <v>6.9844655996352568E-3</v>
      </c>
      <c r="U213" s="288"/>
      <c r="V213" s="288"/>
      <c r="W213" s="291"/>
      <c r="X213" s="5"/>
    </row>
    <row r="214" spans="1:24" ht="15.6" x14ac:dyDescent="0.3">
      <c r="A214" s="352"/>
      <c r="B214" s="288" t="s">
        <v>208</v>
      </c>
      <c r="C214" s="353"/>
      <c r="D214" s="353"/>
      <c r="E214" s="353"/>
      <c r="F214" s="353"/>
      <c r="G214" s="330"/>
      <c r="H214" s="330"/>
      <c r="I214" s="330"/>
      <c r="J214" s="330"/>
      <c r="K214" s="330"/>
      <c r="L214" s="330"/>
      <c r="M214" s="330"/>
      <c r="N214" s="330"/>
      <c r="O214" s="330"/>
      <c r="P214" s="330"/>
      <c r="Q214" s="330"/>
      <c r="R214" s="330"/>
      <c r="S214" s="330"/>
      <c r="T214" s="354">
        <v>51014</v>
      </c>
      <c r="U214" s="288"/>
      <c r="V214" s="288"/>
      <c r="W214" s="291"/>
      <c r="X214" s="5"/>
    </row>
    <row r="215" spans="1:24" ht="15.6" x14ac:dyDescent="0.3">
      <c r="A215" s="352"/>
      <c r="B215" s="288" t="s">
        <v>209</v>
      </c>
      <c r="C215" s="353"/>
      <c r="D215" s="353"/>
      <c r="E215" s="353"/>
      <c r="F215" s="353"/>
      <c r="G215" s="330"/>
      <c r="H215" s="330"/>
      <c r="I215" s="330"/>
      <c r="J215" s="330"/>
      <c r="K215" s="330"/>
      <c r="L215" s="330"/>
      <c r="M215" s="330"/>
      <c r="N215" s="330"/>
      <c r="O215" s="330"/>
      <c r="P215" s="330"/>
      <c r="Q215" s="330"/>
      <c r="R215" s="330"/>
      <c r="S215" s="330"/>
      <c r="T215" s="354">
        <v>51014</v>
      </c>
      <c r="U215" s="288"/>
      <c r="V215" s="288"/>
      <c r="W215" s="291"/>
      <c r="X215" s="5"/>
    </row>
    <row r="216" spans="1:24" ht="15.6" x14ac:dyDescent="0.3">
      <c r="A216" s="352"/>
      <c r="B216" s="288" t="s">
        <v>210</v>
      </c>
      <c r="C216" s="353"/>
      <c r="D216" s="353"/>
      <c r="E216" s="353"/>
      <c r="F216" s="353"/>
      <c r="G216" s="330"/>
      <c r="H216" s="330"/>
      <c r="I216" s="330"/>
      <c r="J216" s="330"/>
      <c r="K216" s="330"/>
      <c r="L216" s="330"/>
      <c r="M216" s="330"/>
      <c r="N216" s="330"/>
      <c r="O216" s="330"/>
      <c r="P216" s="330"/>
      <c r="Q216" s="330"/>
      <c r="R216" s="330"/>
      <c r="S216" s="330"/>
      <c r="T216" s="354">
        <v>51014</v>
      </c>
      <c r="U216" s="288"/>
      <c r="V216" s="288"/>
      <c r="W216" s="291"/>
      <c r="X216" s="5"/>
    </row>
    <row r="217" spans="1:24" ht="15.6" x14ac:dyDescent="0.3">
      <c r="A217" s="352"/>
      <c r="B217" s="288" t="s">
        <v>75</v>
      </c>
      <c r="C217" s="353"/>
      <c r="D217" s="353"/>
      <c r="E217" s="353"/>
      <c r="F217" s="353"/>
      <c r="G217" s="330"/>
      <c r="H217" s="330"/>
      <c r="I217" s="330"/>
      <c r="J217" s="330"/>
      <c r="K217" s="330"/>
      <c r="L217" s="330"/>
      <c r="M217" s="330"/>
      <c r="N217" s="330"/>
      <c r="O217" s="330"/>
      <c r="P217" s="330"/>
      <c r="Q217" s="330"/>
      <c r="R217" s="330"/>
      <c r="S217" s="330"/>
      <c r="T217" s="327">
        <v>20.66</v>
      </c>
      <c r="U217" s="288" t="s">
        <v>110</v>
      </c>
      <c r="V217" s="288"/>
      <c r="W217" s="291"/>
      <c r="X217" s="5"/>
    </row>
    <row r="218" spans="1:24" ht="15.6" x14ac:dyDescent="0.3">
      <c r="A218" s="352"/>
      <c r="B218" s="288" t="s">
        <v>76</v>
      </c>
      <c r="C218" s="353"/>
      <c r="D218" s="353"/>
      <c r="E218" s="353"/>
      <c r="F218" s="353"/>
      <c r="G218" s="330"/>
      <c r="H218" s="330"/>
      <c r="I218" s="330"/>
      <c r="J218" s="330"/>
      <c r="K218" s="330"/>
      <c r="L218" s="330"/>
      <c r="M218" s="330"/>
      <c r="N218" s="330"/>
      <c r="O218" s="330"/>
      <c r="P218" s="330"/>
      <c r="Q218" s="330"/>
      <c r="R218" s="330"/>
      <c r="S218" s="330"/>
      <c r="T218" s="327">
        <v>18.12</v>
      </c>
      <c r="U218" s="288" t="s">
        <v>110</v>
      </c>
      <c r="V218" s="288"/>
      <c r="W218" s="291"/>
      <c r="X218" s="5"/>
    </row>
    <row r="219" spans="1:24" ht="15.6" x14ac:dyDescent="0.3">
      <c r="A219" s="352"/>
      <c r="B219" s="288" t="s">
        <v>77</v>
      </c>
      <c r="C219" s="353"/>
      <c r="D219" s="353"/>
      <c r="E219" s="353"/>
      <c r="F219" s="353"/>
      <c r="G219" s="330"/>
      <c r="H219" s="330"/>
      <c r="I219" s="330"/>
      <c r="J219" s="330"/>
      <c r="K219" s="330"/>
      <c r="L219" s="330"/>
      <c r="M219" s="330"/>
      <c r="N219" s="330"/>
      <c r="O219" s="330"/>
      <c r="P219" s="330"/>
      <c r="Q219" s="330"/>
      <c r="R219" s="330"/>
      <c r="S219" s="330"/>
      <c r="T219" s="321">
        <f>+P68/N68</f>
        <v>8.3446824940842761E-3</v>
      </c>
      <c r="U219" s="288"/>
      <c r="V219" s="288"/>
      <c r="W219" s="291"/>
      <c r="X219" s="5"/>
    </row>
    <row r="220" spans="1:24" ht="15.6" x14ac:dyDescent="0.3">
      <c r="A220" s="352"/>
      <c r="B220" s="288" t="s">
        <v>78</v>
      </c>
      <c r="C220" s="353"/>
      <c r="D220" s="353"/>
      <c r="E220" s="353"/>
      <c r="F220" s="353"/>
      <c r="G220" s="330"/>
      <c r="H220" s="330"/>
      <c r="I220" s="330"/>
      <c r="J220" s="330"/>
      <c r="K220" s="330"/>
      <c r="L220" s="330"/>
      <c r="M220" s="330"/>
      <c r="N220" s="330"/>
      <c r="O220" s="330"/>
      <c r="P220" s="330"/>
      <c r="Q220" s="330"/>
      <c r="R220" s="330"/>
      <c r="S220" s="330"/>
      <c r="T220" s="321">
        <v>7.8700000000000006E-2</v>
      </c>
      <c r="U220" s="288"/>
      <c r="V220" s="288"/>
      <c r="W220" s="291"/>
      <c r="X220" s="5"/>
    </row>
    <row r="221" spans="1:24" ht="15.6" x14ac:dyDescent="0.3">
      <c r="A221" s="217"/>
      <c r="B221" s="284"/>
      <c r="C221" s="284"/>
      <c r="D221" s="284"/>
      <c r="E221" s="284"/>
      <c r="F221" s="284"/>
      <c r="G221" s="284"/>
      <c r="H221" s="284"/>
      <c r="I221" s="284"/>
      <c r="J221" s="284"/>
      <c r="K221" s="284"/>
      <c r="L221" s="284"/>
      <c r="M221" s="284"/>
      <c r="N221" s="284"/>
      <c r="O221" s="284"/>
      <c r="P221" s="284"/>
      <c r="Q221" s="284"/>
      <c r="R221" s="284"/>
      <c r="S221" s="284"/>
      <c r="T221" s="349"/>
      <c r="U221" s="284"/>
      <c r="V221" s="351"/>
      <c r="W221" s="284"/>
      <c r="X221" s="5"/>
    </row>
    <row r="222" spans="1:24" ht="15.6" x14ac:dyDescent="0.3">
      <c r="A222" s="278"/>
      <c r="B222" s="269" t="s">
        <v>79</v>
      </c>
      <c r="C222" s="270"/>
      <c r="D222" s="270"/>
      <c r="E222" s="270"/>
      <c r="F222" s="279"/>
      <c r="G222" s="270"/>
      <c r="H222" s="270"/>
      <c r="I222" s="270"/>
      <c r="J222" s="270"/>
      <c r="K222" s="270"/>
      <c r="L222" s="270"/>
      <c r="M222" s="270"/>
      <c r="N222" s="270"/>
      <c r="O222" s="270"/>
      <c r="P222" s="270"/>
      <c r="Q222" s="270"/>
      <c r="R222" s="270"/>
      <c r="S222" s="270" t="s">
        <v>102</v>
      </c>
      <c r="T222" s="279" t="s">
        <v>108</v>
      </c>
      <c r="U222" s="263"/>
      <c r="V222" s="263"/>
      <c r="W222" s="263"/>
      <c r="X222" s="5"/>
    </row>
    <row r="223" spans="1:24" ht="15.6" x14ac:dyDescent="0.3">
      <c r="A223" s="218"/>
      <c r="B223" s="231" t="s">
        <v>80</v>
      </c>
      <c r="C223" s="234"/>
      <c r="D223" s="234"/>
      <c r="E223" s="234"/>
      <c r="F223" s="231"/>
      <c r="G223" s="231"/>
      <c r="H223" s="233"/>
      <c r="I223" s="233"/>
      <c r="J223" s="233"/>
      <c r="K223" s="233"/>
      <c r="L223" s="233"/>
      <c r="M223" s="233"/>
      <c r="N223" s="233"/>
      <c r="O223" s="233"/>
      <c r="P223" s="233"/>
      <c r="Q223" s="233"/>
      <c r="R223" s="233"/>
      <c r="S223" s="233">
        <v>0</v>
      </c>
      <c r="T223" s="251">
        <v>0</v>
      </c>
      <c r="U223" s="231"/>
      <c r="V223" s="250"/>
      <c r="W223" s="252"/>
      <c r="X223" s="5"/>
    </row>
    <row r="224" spans="1:24" ht="15.6" x14ac:dyDescent="0.3">
      <c r="A224" s="362"/>
      <c r="B224" s="288" t="s">
        <v>145</v>
      </c>
      <c r="C224" s="337"/>
      <c r="D224" s="337"/>
      <c r="E224" s="337"/>
      <c r="F224" s="288"/>
      <c r="G224" s="288"/>
      <c r="H224" s="296"/>
      <c r="I224" s="296"/>
      <c r="J224" s="296"/>
      <c r="K224" s="296"/>
      <c r="L224" s="296"/>
      <c r="M224" s="296"/>
      <c r="N224" s="296"/>
      <c r="O224" s="296"/>
      <c r="P224" s="296"/>
      <c r="Q224" s="296"/>
      <c r="R224" s="296"/>
      <c r="S224" s="363">
        <f>+R264</f>
        <v>174</v>
      </c>
      <c r="T224" s="364">
        <f>+T264</f>
        <v>27479</v>
      </c>
      <c r="U224" s="288"/>
      <c r="V224" s="365"/>
      <c r="W224" s="366"/>
      <c r="X224" s="5"/>
    </row>
    <row r="225" spans="1:24" ht="15.6" x14ac:dyDescent="0.3">
      <c r="A225" s="362"/>
      <c r="B225" s="288" t="s">
        <v>81</v>
      </c>
      <c r="C225" s="337"/>
      <c r="D225" s="337"/>
      <c r="E225" s="337"/>
      <c r="F225" s="288"/>
      <c r="G225" s="288"/>
      <c r="H225" s="296"/>
      <c r="I225" s="296"/>
      <c r="J225" s="296"/>
      <c r="K225" s="296"/>
      <c r="L225" s="296"/>
      <c r="M225" s="296"/>
      <c r="N225" s="296"/>
      <c r="O225" s="296"/>
      <c r="P225" s="296"/>
      <c r="Q225" s="296"/>
      <c r="R225" s="296"/>
      <c r="S225" s="363">
        <f>+R276</f>
        <v>0</v>
      </c>
      <c r="T225" s="364">
        <f>+T276</f>
        <v>0</v>
      </c>
      <c r="U225" s="288"/>
      <c r="V225" s="365"/>
      <c r="W225" s="366"/>
      <c r="X225" s="5"/>
    </row>
    <row r="226" spans="1:24" ht="15.6" x14ac:dyDescent="0.3">
      <c r="A226" s="362"/>
      <c r="B226" s="313" t="s">
        <v>82</v>
      </c>
      <c r="C226" s="367"/>
      <c r="D226" s="367"/>
      <c r="E226" s="367"/>
      <c r="F226" s="314"/>
      <c r="G226" s="314"/>
      <c r="H226" s="314"/>
      <c r="I226" s="314"/>
      <c r="J226" s="314"/>
      <c r="K226" s="314"/>
      <c r="L226" s="314"/>
      <c r="M226" s="314"/>
      <c r="N226" s="314"/>
      <c r="O226" s="314"/>
      <c r="P226" s="314"/>
      <c r="Q226" s="314"/>
      <c r="R226" s="314"/>
      <c r="S226" s="314"/>
      <c r="T226" s="364">
        <v>0</v>
      </c>
      <c r="U226" s="314"/>
      <c r="V226" s="369"/>
      <c r="W226" s="370"/>
      <c r="X226" s="5"/>
    </row>
    <row r="227" spans="1:24" ht="15.6" x14ac:dyDescent="0.3">
      <c r="A227" s="362"/>
      <c r="B227" s="313" t="s">
        <v>243</v>
      </c>
      <c r="C227" s="367"/>
      <c r="D227" s="367"/>
      <c r="E227" s="367"/>
      <c r="F227" s="314"/>
      <c r="G227" s="314"/>
      <c r="H227" s="314"/>
      <c r="I227" s="314"/>
      <c r="J227" s="314"/>
      <c r="K227" s="314"/>
      <c r="L227" s="314"/>
      <c r="M227" s="314"/>
      <c r="N227" s="314"/>
      <c r="O227" s="314"/>
      <c r="P227" s="314"/>
      <c r="Q227" s="314"/>
      <c r="R227" s="314"/>
      <c r="S227" s="314"/>
      <c r="T227" s="364">
        <f>+N81</f>
        <v>0</v>
      </c>
      <c r="U227" s="314"/>
      <c r="V227" s="369"/>
      <c r="W227" s="370"/>
      <c r="X227" s="5"/>
    </row>
    <row r="228" spans="1:24" ht="15.6" x14ac:dyDescent="0.3">
      <c r="A228" s="371"/>
      <c r="B228" s="313" t="s">
        <v>83</v>
      </c>
      <c r="C228" s="372"/>
      <c r="D228" s="372"/>
      <c r="E228" s="372"/>
      <c r="F228" s="372"/>
      <c r="G228" s="314"/>
      <c r="H228" s="314"/>
      <c r="I228" s="314"/>
      <c r="J228" s="314"/>
      <c r="K228" s="314"/>
      <c r="L228" s="314"/>
      <c r="M228" s="314"/>
      <c r="N228" s="314"/>
      <c r="O228" s="314"/>
      <c r="P228" s="314"/>
      <c r="Q228" s="314"/>
      <c r="R228" s="314"/>
      <c r="S228" s="314"/>
      <c r="T228" s="368"/>
      <c r="U228" s="314"/>
      <c r="V228" s="369"/>
      <c r="W228" s="373"/>
      <c r="X228" s="5"/>
    </row>
    <row r="229" spans="1:24" ht="15.6" x14ac:dyDescent="0.3">
      <c r="A229" s="371"/>
      <c r="B229" s="293" t="s">
        <v>84</v>
      </c>
      <c r="C229" s="293"/>
      <c r="D229" s="293"/>
      <c r="E229" s="293"/>
      <c r="F229" s="293"/>
      <c r="G229" s="293"/>
      <c r="H229" s="293"/>
      <c r="I229" s="293"/>
      <c r="J229" s="293"/>
      <c r="K229" s="293"/>
      <c r="L229" s="293"/>
      <c r="M229" s="293"/>
      <c r="N229" s="293"/>
      <c r="O229" s="293"/>
      <c r="P229" s="293"/>
      <c r="Q229" s="293"/>
      <c r="R229" s="293"/>
      <c r="S229" s="324"/>
      <c r="T229" s="374">
        <f>V167</f>
        <v>626</v>
      </c>
      <c r="U229" s="293"/>
      <c r="V229" s="375"/>
      <c r="W229" s="376"/>
      <c r="X229" s="5"/>
    </row>
    <row r="230" spans="1:24" ht="15.6" x14ac:dyDescent="0.3">
      <c r="A230" s="362"/>
      <c r="B230" s="293" t="s">
        <v>85</v>
      </c>
      <c r="C230" s="377"/>
      <c r="D230" s="377"/>
      <c r="E230" s="377"/>
      <c r="F230" s="377"/>
      <c r="G230" s="293"/>
      <c r="H230" s="293"/>
      <c r="I230" s="293"/>
      <c r="J230" s="293"/>
      <c r="K230" s="293"/>
      <c r="L230" s="293"/>
      <c r="M230" s="293"/>
      <c r="N230" s="293"/>
      <c r="O230" s="293"/>
      <c r="P230" s="293"/>
      <c r="Q230" s="293"/>
      <c r="R230" s="293"/>
      <c r="S230" s="324"/>
      <c r="T230" s="374">
        <f>'Feb 10'!T231+T229</f>
        <v>2178</v>
      </c>
      <c r="U230" s="293"/>
      <c r="V230" s="375"/>
      <c r="W230" s="376"/>
      <c r="X230" s="5"/>
    </row>
    <row r="231" spans="1:24" ht="15.6" x14ac:dyDescent="0.3">
      <c r="A231" s="371"/>
      <c r="B231" s="313" t="s">
        <v>295</v>
      </c>
      <c r="C231" s="372"/>
      <c r="D231" s="372"/>
      <c r="E231" s="372"/>
      <c r="F231" s="372"/>
      <c r="G231" s="314"/>
      <c r="H231" s="314"/>
      <c r="I231" s="314"/>
      <c r="J231" s="314"/>
      <c r="K231" s="314"/>
      <c r="L231" s="314"/>
      <c r="M231" s="314"/>
      <c r="N231" s="314"/>
      <c r="O231" s="314"/>
      <c r="P231" s="314"/>
      <c r="Q231" s="314"/>
      <c r="R231" s="314"/>
      <c r="S231" s="316"/>
      <c r="T231" s="368"/>
      <c r="U231" s="314"/>
      <c r="V231" s="369"/>
      <c r="W231" s="373"/>
      <c r="X231" s="5"/>
    </row>
    <row r="232" spans="1:24" ht="15.6" x14ac:dyDescent="0.3">
      <c r="A232" s="371"/>
      <c r="B232" s="288" t="s">
        <v>291</v>
      </c>
      <c r="C232" s="288"/>
      <c r="D232" s="288"/>
      <c r="E232" s="288"/>
      <c r="F232" s="288"/>
      <c r="G232" s="288"/>
      <c r="H232" s="288"/>
      <c r="I232" s="288"/>
      <c r="J232" s="288"/>
      <c r="K232" s="288"/>
      <c r="L232" s="288"/>
      <c r="M232" s="288"/>
      <c r="N232" s="288"/>
      <c r="O232" s="288"/>
      <c r="P232" s="288"/>
      <c r="Q232" s="288"/>
      <c r="R232" s="288"/>
      <c r="S232" s="296">
        <v>0</v>
      </c>
      <c r="T232" s="364">
        <v>0</v>
      </c>
      <c r="U232" s="288"/>
      <c r="V232" s="365"/>
      <c r="W232" s="378"/>
      <c r="X232" s="5"/>
    </row>
    <row r="233" spans="1:24" ht="15.6" x14ac:dyDescent="0.3">
      <c r="A233" s="362"/>
      <c r="B233" s="288" t="s">
        <v>86</v>
      </c>
      <c r="C233" s="325"/>
      <c r="D233" s="325"/>
      <c r="E233" s="325"/>
      <c r="F233" s="379"/>
      <c r="G233" s="288"/>
      <c r="H233" s="288"/>
      <c r="I233" s="288"/>
      <c r="J233" s="288"/>
      <c r="K233" s="288"/>
      <c r="L233" s="288"/>
      <c r="M233" s="288"/>
      <c r="N233" s="288"/>
      <c r="O233" s="288"/>
      <c r="P233" s="288"/>
      <c r="Q233" s="288"/>
      <c r="R233" s="288"/>
      <c r="S233" s="288"/>
      <c r="T233" s="380">
        <v>0</v>
      </c>
      <c r="U233" s="288"/>
      <c r="V233" s="365"/>
      <c r="W233" s="378"/>
      <c r="X233" s="5"/>
    </row>
    <row r="234" spans="1:24" ht="15.6" x14ac:dyDescent="0.3">
      <c r="A234" s="362"/>
      <c r="B234" s="288" t="s">
        <v>87</v>
      </c>
      <c r="C234" s="325"/>
      <c r="D234" s="325"/>
      <c r="E234" s="325"/>
      <c r="F234" s="379"/>
      <c r="G234" s="288"/>
      <c r="H234" s="288"/>
      <c r="I234" s="288"/>
      <c r="J234" s="288"/>
      <c r="K234" s="288"/>
      <c r="L234" s="288"/>
      <c r="M234" s="288"/>
      <c r="N234" s="288"/>
      <c r="O234" s="288"/>
      <c r="P234" s="288"/>
      <c r="Q234" s="288"/>
      <c r="R234" s="288"/>
      <c r="S234" s="288"/>
      <c r="T234" s="380">
        <v>0</v>
      </c>
      <c r="U234" s="288"/>
      <c r="V234" s="365"/>
      <c r="W234" s="378"/>
      <c r="X234" s="5"/>
    </row>
    <row r="235" spans="1:24" ht="15.6" x14ac:dyDescent="0.3">
      <c r="A235" s="362"/>
      <c r="B235" s="313" t="s">
        <v>217</v>
      </c>
      <c r="C235" s="381"/>
      <c r="D235" s="381"/>
      <c r="E235" s="381"/>
      <c r="F235" s="382"/>
      <c r="G235" s="314"/>
      <c r="H235" s="314"/>
      <c r="I235" s="314"/>
      <c r="J235" s="314"/>
      <c r="K235" s="314"/>
      <c r="L235" s="314"/>
      <c r="M235" s="314"/>
      <c r="N235" s="314"/>
      <c r="O235" s="314"/>
      <c r="P235" s="314"/>
      <c r="Q235" s="314"/>
      <c r="R235" s="314"/>
      <c r="S235" s="314"/>
      <c r="T235" s="383"/>
      <c r="U235" s="314"/>
      <c r="V235" s="369"/>
      <c r="W235" s="373"/>
      <c r="X235" s="5"/>
    </row>
    <row r="236" spans="1:24" ht="15.6" x14ac:dyDescent="0.3">
      <c r="A236" s="362"/>
      <c r="B236" s="288" t="s">
        <v>291</v>
      </c>
      <c r="C236" s="381"/>
      <c r="D236" s="381"/>
      <c r="E236" s="381"/>
      <c r="F236" s="382"/>
      <c r="G236" s="314"/>
      <c r="H236" s="314"/>
      <c r="I236" s="314"/>
      <c r="J236" s="314"/>
      <c r="K236" s="314"/>
      <c r="L236" s="314"/>
      <c r="M236" s="314"/>
      <c r="N236" s="314"/>
      <c r="O236" s="314"/>
      <c r="P236" s="314"/>
      <c r="Q236" s="314"/>
      <c r="R236" s="314"/>
      <c r="S236" s="296">
        <v>12</v>
      </c>
      <c r="T236" s="364">
        <v>2833</v>
      </c>
      <c r="U236" s="314"/>
      <c r="V236" s="369"/>
      <c r="W236" s="373"/>
      <c r="X236" s="5"/>
    </row>
    <row r="237" spans="1:24" ht="15.6" x14ac:dyDescent="0.3">
      <c r="A237" s="362"/>
      <c r="B237" s="288" t="s">
        <v>218</v>
      </c>
      <c r="C237" s="381"/>
      <c r="D237" s="381"/>
      <c r="E237" s="381"/>
      <c r="F237" s="382"/>
      <c r="G237" s="314"/>
      <c r="H237" s="314"/>
      <c r="I237" s="314"/>
      <c r="J237" s="314"/>
      <c r="K237" s="314"/>
      <c r="L237" s="314"/>
      <c r="M237" s="314"/>
      <c r="N237" s="314"/>
      <c r="O237" s="314"/>
      <c r="P237" s="314"/>
      <c r="Q237" s="314"/>
      <c r="R237" s="314"/>
      <c r="S237" s="288"/>
      <c r="T237" s="380">
        <v>15.36</v>
      </c>
      <c r="U237" s="314"/>
      <c r="V237" s="369"/>
      <c r="W237" s="373"/>
      <c r="X237" s="5"/>
    </row>
    <row r="238" spans="1:24" ht="15.6" x14ac:dyDescent="0.3">
      <c r="A238" s="362"/>
      <c r="B238" s="372"/>
      <c r="C238" s="381"/>
      <c r="D238" s="381"/>
      <c r="E238" s="381"/>
      <c r="F238" s="382"/>
      <c r="G238" s="314"/>
      <c r="H238" s="314"/>
      <c r="I238" s="314"/>
      <c r="J238" s="314"/>
      <c r="K238" s="314"/>
      <c r="L238" s="314"/>
      <c r="M238" s="314"/>
      <c r="N238" s="314"/>
      <c r="O238" s="314"/>
      <c r="P238" s="314"/>
      <c r="Q238" s="314"/>
      <c r="R238" s="314"/>
      <c r="S238" s="314"/>
      <c r="T238" s="383"/>
      <c r="U238" s="314"/>
      <c r="V238" s="369"/>
      <c r="W238" s="373"/>
      <c r="X238" s="5"/>
    </row>
    <row r="239" spans="1:24" ht="15.6" x14ac:dyDescent="0.3">
      <c r="A239" s="362"/>
      <c r="B239" s="372"/>
      <c r="C239" s="381"/>
      <c r="D239" s="381"/>
      <c r="E239" s="381"/>
      <c r="F239" s="382"/>
      <c r="G239" s="314"/>
      <c r="H239" s="314"/>
      <c r="I239" s="314"/>
      <c r="J239" s="314"/>
      <c r="K239" s="314"/>
      <c r="L239" s="314"/>
      <c r="M239" s="314"/>
      <c r="N239" s="314"/>
      <c r="O239" s="314"/>
      <c r="P239" s="314"/>
      <c r="Q239" s="314"/>
      <c r="R239" s="314"/>
      <c r="S239" s="314"/>
      <c r="T239" s="383"/>
      <c r="U239" s="314"/>
      <c r="V239" s="369"/>
      <c r="W239" s="373"/>
      <c r="X239" s="5"/>
    </row>
    <row r="240" spans="1:24" ht="17.399999999999999" x14ac:dyDescent="0.3">
      <c r="A240" s="362"/>
      <c r="B240" s="384" t="s">
        <v>168</v>
      </c>
      <c r="C240" s="381"/>
      <c r="D240" s="381"/>
      <c r="E240" s="381"/>
      <c r="F240" s="382"/>
      <c r="G240" s="314"/>
      <c r="H240" s="314"/>
      <c r="I240" s="314"/>
      <c r="J240" s="314"/>
      <c r="K240" s="314"/>
      <c r="L240" s="314"/>
      <c r="M240" s="314"/>
      <c r="N240" s="314"/>
      <c r="O240" s="314"/>
      <c r="P240" s="385" t="s">
        <v>167</v>
      </c>
      <c r="Q240" s="314"/>
      <c r="R240" s="314"/>
      <c r="S240" s="314"/>
      <c r="T240" s="383"/>
      <c r="U240" s="314"/>
      <c r="V240" s="369"/>
      <c r="W240" s="373"/>
      <c r="X240" s="5"/>
    </row>
    <row r="241" spans="1:25" ht="15.6" x14ac:dyDescent="0.3">
      <c r="A241" s="355"/>
      <c r="B241" s="356"/>
      <c r="C241" s="357"/>
      <c r="D241" s="357"/>
      <c r="E241" s="357"/>
      <c r="F241" s="358"/>
      <c r="G241" s="198"/>
      <c r="H241" s="198"/>
      <c r="I241" s="198"/>
      <c r="J241" s="198"/>
      <c r="K241" s="198"/>
      <c r="L241" s="198"/>
      <c r="M241" s="198"/>
      <c r="N241" s="198"/>
      <c r="O241" s="198"/>
      <c r="P241" s="198"/>
      <c r="Q241" s="198"/>
      <c r="R241" s="198"/>
      <c r="S241" s="198"/>
      <c r="T241" s="359"/>
      <c r="U241" s="198"/>
      <c r="V241" s="360"/>
      <c r="W241" s="361"/>
      <c r="X241" s="5"/>
    </row>
    <row r="242" spans="1:25" ht="15.6" x14ac:dyDescent="0.3">
      <c r="A242" s="262"/>
      <c r="B242" s="269" t="s">
        <v>162</v>
      </c>
      <c r="C242" s="270"/>
      <c r="D242" s="270"/>
      <c r="E242" s="270"/>
      <c r="F242" s="279"/>
      <c r="G242" s="270"/>
      <c r="H242" s="270"/>
      <c r="I242" s="270"/>
      <c r="J242" s="270"/>
      <c r="K242" s="270"/>
      <c r="L242" s="270"/>
      <c r="M242" s="270"/>
      <c r="N242" s="270"/>
      <c r="O242" s="270"/>
      <c r="P242" s="270"/>
      <c r="Q242" s="270"/>
      <c r="R242" s="279" t="s">
        <v>102</v>
      </c>
      <c r="S242" s="270" t="s">
        <v>103</v>
      </c>
      <c r="T242" s="279" t="s">
        <v>109</v>
      </c>
      <c r="U242" s="270" t="s">
        <v>103</v>
      </c>
      <c r="V242" s="263"/>
      <c r="W242" s="269"/>
      <c r="X242" s="5"/>
    </row>
    <row r="243" spans="1:25" ht="15.6" x14ac:dyDescent="0.3">
      <c r="A243" s="197"/>
      <c r="B243" s="234" t="s">
        <v>88</v>
      </c>
      <c r="C243" s="253"/>
      <c r="D243" s="253"/>
      <c r="E243" s="253"/>
      <c r="F243" s="231"/>
      <c r="G243" s="253"/>
      <c r="H243" s="253"/>
      <c r="I243" s="253"/>
      <c r="J243" s="253"/>
      <c r="K243" s="253"/>
      <c r="L243" s="253"/>
      <c r="M243" s="253"/>
      <c r="N243" s="253"/>
      <c r="O243" s="253"/>
      <c r="P243" s="253"/>
      <c r="Q243" s="253"/>
      <c r="R243" s="234">
        <v>8060</v>
      </c>
      <c r="S243" s="254">
        <f t="shared" ref="S243:S250" si="1">R243/$R$252</f>
        <v>0.99457058242843044</v>
      </c>
      <c r="T243" s="241">
        <v>1141960</v>
      </c>
      <c r="U243" s="254">
        <f t="shared" ref="U243:U250" si="2">T243/$T$252</f>
        <v>0.99166348258015213</v>
      </c>
      <c r="V243" s="250"/>
      <c r="W243" s="232"/>
      <c r="X243" s="5"/>
    </row>
    <row r="244" spans="1:25" ht="15.6" x14ac:dyDescent="0.3">
      <c r="A244" s="287"/>
      <c r="B244" s="337" t="s">
        <v>89</v>
      </c>
      <c r="C244" s="389"/>
      <c r="D244" s="389"/>
      <c r="E244" s="389"/>
      <c r="F244" s="288"/>
      <c r="G244" s="390"/>
      <c r="H244" s="389"/>
      <c r="I244" s="389"/>
      <c r="J244" s="389"/>
      <c r="K244" s="389"/>
      <c r="L244" s="389"/>
      <c r="M244" s="389"/>
      <c r="N244" s="389"/>
      <c r="O244" s="389"/>
      <c r="P244" s="389"/>
      <c r="Q244" s="389"/>
      <c r="R244" s="337">
        <v>23</v>
      </c>
      <c r="S244" s="390">
        <f t="shared" si="1"/>
        <v>2.8381046396841066E-3</v>
      </c>
      <c r="T244" s="338">
        <v>4146</v>
      </c>
      <c r="U244" s="390">
        <f t="shared" si="2"/>
        <v>3.6003334606967939E-3</v>
      </c>
      <c r="V244" s="365"/>
      <c r="W244" s="378"/>
      <c r="X244" s="5"/>
      <c r="Y244" s="109"/>
    </row>
    <row r="245" spans="1:25" ht="15.6" x14ac:dyDescent="0.3">
      <c r="A245" s="287"/>
      <c r="B245" s="337" t="s">
        <v>90</v>
      </c>
      <c r="C245" s="389"/>
      <c r="D245" s="389"/>
      <c r="E245" s="389"/>
      <c r="F245" s="288"/>
      <c r="G245" s="390"/>
      <c r="H245" s="389"/>
      <c r="I245" s="389"/>
      <c r="J245" s="389"/>
      <c r="K245" s="389"/>
      <c r="L245" s="389"/>
      <c r="M245" s="389"/>
      <c r="N245" s="389"/>
      <c r="O245" s="389"/>
      <c r="P245" s="389"/>
      <c r="Q245" s="389"/>
      <c r="R245" s="337">
        <v>7</v>
      </c>
      <c r="S245" s="390">
        <f t="shared" si="1"/>
        <v>8.6377097729516291E-4</v>
      </c>
      <c r="T245" s="338">
        <v>1778</v>
      </c>
      <c r="U245" s="390">
        <f t="shared" si="2"/>
        <v>1.5439924971343221E-3</v>
      </c>
      <c r="V245" s="365"/>
      <c r="W245" s="378"/>
      <c r="X245" s="5"/>
    </row>
    <row r="246" spans="1:25" ht="15.6" x14ac:dyDescent="0.3">
      <c r="A246" s="287"/>
      <c r="B246" s="337" t="s">
        <v>156</v>
      </c>
      <c r="C246" s="389"/>
      <c r="D246" s="389"/>
      <c r="E246" s="389"/>
      <c r="F246" s="288"/>
      <c r="G246" s="390"/>
      <c r="H246" s="389"/>
      <c r="I246" s="389"/>
      <c r="J246" s="389"/>
      <c r="K246" s="389"/>
      <c r="L246" s="389"/>
      <c r="M246" s="389"/>
      <c r="N246" s="389"/>
      <c r="O246" s="389"/>
      <c r="P246" s="389"/>
      <c r="Q246" s="389"/>
      <c r="R246" s="337">
        <v>4</v>
      </c>
      <c r="S246" s="390">
        <f t="shared" si="1"/>
        <v>4.935834155972359E-4</v>
      </c>
      <c r="T246" s="338">
        <v>1070</v>
      </c>
      <c r="U246" s="390">
        <f t="shared" si="2"/>
        <v>9.2917433742054252E-4</v>
      </c>
      <c r="V246" s="365"/>
      <c r="W246" s="378"/>
      <c r="X246" s="5"/>
      <c r="Y246" s="109"/>
    </row>
    <row r="247" spans="1:25" ht="15.6" x14ac:dyDescent="0.3">
      <c r="A247" s="287"/>
      <c r="B247" s="337" t="s">
        <v>157</v>
      </c>
      <c r="C247" s="389"/>
      <c r="D247" s="389"/>
      <c r="E247" s="389"/>
      <c r="F247" s="288"/>
      <c r="G247" s="390"/>
      <c r="H247" s="389"/>
      <c r="I247" s="389"/>
      <c r="J247" s="389"/>
      <c r="K247" s="389"/>
      <c r="L247" s="389"/>
      <c r="M247" s="389"/>
      <c r="N247" s="389"/>
      <c r="O247" s="389"/>
      <c r="P247" s="389"/>
      <c r="Q247" s="389"/>
      <c r="R247" s="337">
        <v>1</v>
      </c>
      <c r="S247" s="390">
        <f t="shared" si="1"/>
        <v>1.2339585389930897E-4</v>
      </c>
      <c r="T247" s="338">
        <v>961</v>
      </c>
      <c r="U247" s="390">
        <f t="shared" si="2"/>
        <v>8.3452012921601999E-4</v>
      </c>
      <c r="V247" s="365"/>
      <c r="W247" s="378"/>
      <c r="X247" s="5"/>
    </row>
    <row r="248" spans="1:25" ht="15.6" x14ac:dyDescent="0.3">
      <c r="A248" s="287"/>
      <c r="B248" s="337" t="s">
        <v>158</v>
      </c>
      <c r="C248" s="389"/>
      <c r="D248" s="389"/>
      <c r="E248" s="389"/>
      <c r="F248" s="288"/>
      <c r="G248" s="390"/>
      <c r="H248" s="389"/>
      <c r="I248" s="389"/>
      <c r="J248" s="389"/>
      <c r="K248" s="389"/>
      <c r="L248" s="389"/>
      <c r="M248" s="389"/>
      <c r="N248" s="389"/>
      <c r="O248" s="389"/>
      <c r="P248" s="389"/>
      <c r="Q248" s="389"/>
      <c r="R248" s="337">
        <v>0</v>
      </c>
      <c r="S248" s="390">
        <f t="shared" si="1"/>
        <v>0</v>
      </c>
      <c r="T248" s="338">
        <v>0</v>
      </c>
      <c r="U248" s="390">
        <f t="shared" si="2"/>
        <v>0</v>
      </c>
      <c r="V248" s="365"/>
      <c r="W248" s="378"/>
      <c r="X248" s="5"/>
      <c r="Y248" s="109"/>
    </row>
    <row r="249" spans="1:25" ht="15.6" x14ac:dyDescent="0.3">
      <c r="A249" s="287"/>
      <c r="B249" s="337" t="s">
        <v>159</v>
      </c>
      <c r="C249" s="389"/>
      <c r="D249" s="389"/>
      <c r="E249" s="389"/>
      <c r="F249" s="288"/>
      <c r="G249" s="390"/>
      <c r="H249" s="389"/>
      <c r="I249" s="389"/>
      <c r="J249" s="389"/>
      <c r="K249" s="389"/>
      <c r="L249" s="389"/>
      <c r="M249" s="389"/>
      <c r="N249" s="389"/>
      <c r="O249" s="389"/>
      <c r="P249" s="389"/>
      <c r="Q249" s="389"/>
      <c r="R249" s="337">
        <v>6</v>
      </c>
      <c r="S249" s="390">
        <f t="shared" si="1"/>
        <v>7.403751233958539E-4</v>
      </c>
      <c r="T249" s="338">
        <v>967</v>
      </c>
      <c r="U249" s="390">
        <f t="shared" si="2"/>
        <v>8.3973045260342491E-4</v>
      </c>
      <c r="V249" s="365"/>
      <c r="W249" s="378"/>
      <c r="X249" s="5"/>
    </row>
    <row r="250" spans="1:25" ht="15.6" x14ac:dyDescent="0.3">
      <c r="A250" s="287"/>
      <c r="B250" s="337" t="s">
        <v>160</v>
      </c>
      <c r="C250" s="389"/>
      <c r="D250" s="389"/>
      <c r="E250" s="389"/>
      <c r="F250" s="288"/>
      <c r="G250" s="390"/>
      <c r="H250" s="389"/>
      <c r="I250" s="389"/>
      <c r="J250" s="389"/>
      <c r="K250" s="389"/>
      <c r="L250" s="389"/>
      <c r="M250" s="389"/>
      <c r="N250" s="389"/>
      <c r="O250" s="389"/>
      <c r="P250" s="389"/>
      <c r="Q250" s="389"/>
      <c r="R250" s="337">
        <v>3</v>
      </c>
      <c r="S250" s="390">
        <f t="shared" si="1"/>
        <v>3.7018756169792695E-4</v>
      </c>
      <c r="T250" s="338">
        <v>678</v>
      </c>
      <c r="U250" s="390">
        <f t="shared" si="2"/>
        <v>5.8876654277675497E-4</v>
      </c>
      <c r="V250" s="365"/>
      <c r="W250" s="378"/>
      <c r="X250" s="5"/>
      <c r="Y250" s="109"/>
    </row>
    <row r="251" spans="1:25" ht="15.6" x14ac:dyDescent="0.3">
      <c r="A251" s="287"/>
      <c r="B251" s="337"/>
      <c r="C251" s="389"/>
      <c r="D251" s="389"/>
      <c r="E251" s="389"/>
      <c r="F251" s="288"/>
      <c r="G251" s="390"/>
      <c r="H251" s="389"/>
      <c r="I251" s="389"/>
      <c r="J251" s="389"/>
      <c r="K251" s="389"/>
      <c r="L251" s="389"/>
      <c r="M251" s="389"/>
      <c r="N251" s="389"/>
      <c r="O251" s="389"/>
      <c r="P251" s="389"/>
      <c r="Q251" s="389"/>
      <c r="R251" s="337"/>
      <c r="S251" s="390"/>
      <c r="T251" s="338"/>
      <c r="U251" s="390"/>
      <c r="V251" s="365"/>
      <c r="W251" s="378"/>
      <c r="X251" s="5"/>
    </row>
    <row r="252" spans="1:25" ht="15.6" x14ac:dyDescent="0.3">
      <c r="A252" s="287"/>
      <c r="B252" s="288"/>
      <c r="C252" s="288"/>
      <c r="D252" s="288"/>
      <c r="E252" s="288"/>
      <c r="F252" s="288"/>
      <c r="G252" s="288"/>
      <c r="H252" s="391"/>
      <c r="I252" s="391"/>
      <c r="J252" s="391"/>
      <c r="K252" s="391"/>
      <c r="L252" s="391"/>
      <c r="M252" s="391"/>
      <c r="N252" s="391"/>
      <c r="O252" s="391"/>
      <c r="P252" s="391"/>
      <c r="Q252" s="391"/>
      <c r="R252" s="337">
        <f>SUM(R243:R251)</f>
        <v>8104</v>
      </c>
      <c r="S252" s="390">
        <f>SUM(S243:S251)</f>
        <v>1</v>
      </c>
      <c r="T252" s="338">
        <f>SUM(T243:T251)</f>
        <v>1151560</v>
      </c>
      <c r="U252" s="390">
        <f>SUM(U243:U251)</f>
        <v>1</v>
      </c>
      <c r="V252" s="288"/>
      <c r="W252" s="291"/>
      <c r="X252" s="5"/>
    </row>
    <row r="253" spans="1:25" ht="15.6" x14ac:dyDescent="0.3">
      <c r="A253" s="183"/>
      <c r="B253" s="198"/>
      <c r="C253" s="198"/>
      <c r="D253" s="198"/>
      <c r="E253" s="198"/>
      <c r="F253" s="198"/>
      <c r="G253" s="198"/>
      <c r="H253" s="386"/>
      <c r="I253" s="386"/>
      <c r="J253" s="386"/>
      <c r="K253" s="386"/>
      <c r="L253" s="386"/>
      <c r="M253" s="386"/>
      <c r="N253" s="386"/>
      <c r="O253" s="386"/>
      <c r="P253" s="386"/>
      <c r="Q253" s="386"/>
      <c r="R253" s="335"/>
      <c r="S253" s="387"/>
      <c r="T253" s="388"/>
      <c r="U253" s="387"/>
      <c r="V253" s="198"/>
      <c r="W253" s="198"/>
      <c r="X253" s="5"/>
    </row>
    <row r="254" spans="1:25" ht="15.6" x14ac:dyDescent="0.3">
      <c r="A254" s="280"/>
      <c r="B254" s="269" t="s">
        <v>275</v>
      </c>
      <c r="C254" s="270"/>
      <c r="D254" s="270"/>
      <c r="E254" s="270"/>
      <c r="F254" s="279"/>
      <c r="G254" s="270"/>
      <c r="H254" s="270"/>
      <c r="I254" s="270"/>
      <c r="J254" s="270"/>
      <c r="K254" s="270"/>
      <c r="L254" s="270"/>
      <c r="M254" s="270"/>
      <c r="N254" s="270"/>
      <c r="O254" s="270"/>
      <c r="P254" s="270"/>
      <c r="Q254" s="270"/>
      <c r="R254" s="279" t="s">
        <v>102</v>
      </c>
      <c r="S254" s="270" t="s">
        <v>103</v>
      </c>
      <c r="T254" s="279" t="s">
        <v>109</v>
      </c>
      <c r="U254" s="270" t="s">
        <v>103</v>
      </c>
      <c r="V254" s="281"/>
      <c r="W254" s="282"/>
      <c r="X254" s="5"/>
    </row>
    <row r="255" spans="1:25" ht="15.6" x14ac:dyDescent="0.3">
      <c r="A255" s="197"/>
      <c r="B255" s="234" t="s">
        <v>88</v>
      </c>
      <c r="C255" s="253"/>
      <c r="D255" s="253"/>
      <c r="E255" s="253"/>
      <c r="F255" s="231"/>
      <c r="G255" s="253"/>
      <c r="H255" s="253"/>
      <c r="I255" s="253"/>
      <c r="J255" s="253"/>
      <c r="K255" s="253"/>
      <c r="L255" s="253"/>
      <c r="M255" s="253"/>
      <c r="N255" s="253"/>
      <c r="O255" s="253"/>
      <c r="P255" s="253"/>
      <c r="Q255" s="253"/>
      <c r="R255" s="234">
        <v>65</v>
      </c>
      <c r="S255" s="254">
        <f t="shared" ref="S255:S262" si="3">R255/$R$264</f>
        <v>0.37356321839080459</v>
      </c>
      <c r="T255" s="241">
        <v>9598</v>
      </c>
      <c r="U255" s="254">
        <f t="shared" ref="U255:U262" si="4">T255/$T$264</f>
        <v>0.34928490847556315</v>
      </c>
      <c r="V255" s="231"/>
      <c r="W255" s="231"/>
      <c r="X255" s="5"/>
    </row>
    <row r="256" spans="1:25" ht="15.6" x14ac:dyDescent="0.3">
      <c r="A256" s="287"/>
      <c r="B256" s="337" t="s">
        <v>89</v>
      </c>
      <c r="C256" s="389"/>
      <c r="D256" s="389"/>
      <c r="E256" s="389"/>
      <c r="F256" s="288"/>
      <c r="G256" s="390"/>
      <c r="H256" s="389"/>
      <c r="I256" s="389"/>
      <c r="J256" s="389"/>
      <c r="K256" s="389"/>
      <c r="L256" s="389"/>
      <c r="M256" s="389"/>
      <c r="N256" s="389"/>
      <c r="O256" s="389"/>
      <c r="P256" s="389"/>
      <c r="Q256" s="389"/>
      <c r="R256" s="337">
        <v>13</v>
      </c>
      <c r="S256" s="390">
        <f t="shared" si="3"/>
        <v>7.4712643678160925E-2</v>
      </c>
      <c r="T256" s="338">
        <v>2248</v>
      </c>
      <c r="U256" s="390">
        <f t="shared" si="4"/>
        <v>8.1807926052622007E-2</v>
      </c>
      <c r="V256" s="288"/>
      <c r="W256" s="291"/>
      <c r="X256" s="5"/>
    </row>
    <row r="257" spans="1:24" ht="15.6" x14ac:dyDescent="0.3">
      <c r="A257" s="287"/>
      <c r="B257" s="337" t="s">
        <v>90</v>
      </c>
      <c r="C257" s="389"/>
      <c r="D257" s="389"/>
      <c r="E257" s="389"/>
      <c r="F257" s="288"/>
      <c r="G257" s="390"/>
      <c r="H257" s="389"/>
      <c r="I257" s="389"/>
      <c r="J257" s="389"/>
      <c r="K257" s="389"/>
      <c r="L257" s="389"/>
      <c r="M257" s="389"/>
      <c r="N257" s="389"/>
      <c r="O257" s="389"/>
      <c r="P257" s="389"/>
      <c r="Q257" s="389"/>
      <c r="R257" s="337">
        <v>14</v>
      </c>
      <c r="S257" s="390">
        <f t="shared" si="3"/>
        <v>8.0459770114942528E-2</v>
      </c>
      <c r="T257" s="338">
        <v>2656</v>
      </c>
      <c r="U257" s="390">
        <f t="shared" si="4"/>
        <v>9.6655627934058741E-2</v>
      </c>
      <c r="V257" s="288"/>
      <c r="W257" s="291"/>
      <c r="X257" s="5"/>
    </row>
    <row r="258" spans="1:24" ht="15.6" x14ac:dyDescent="0.3">
      <c r="A258" s="287"/>
      <c r="B258" s="337" t="s">
        <v>156</v>
      </c>
      <c r="C258" s="389"/>
      <c r="D258" s="389"/>
      <c r="E258" s="389"/>
      <c r="F258" s="288"/>
      <c r="G258" s="390"/>
      <c r="H258" s="389"/>
      <c r="I258" s="389"/>
      <c r="J258" s="389"/>
      <c r="K258" s="389"/>
      <c r="L258" s="389"/>
      <c r="M258" s="389"/>
      <c r="N258" s="389"/>
      <c r="O258" s="389"/>
      <c r="P258" s="389"/>
      <c r="Q258" s="389"/>
      <c r="R258" s="337">
        <v>11</v>
      </c>
      <c r="S258" s="390">
        <f t="shared" si="3"/>
        <v>6.3218390804597707E-2</v>
      </c>
      <c r="T258" s="338">
        <v>1362</v>
      </c>
      <c r="U258" s="390">
        <f t="shared" si="4"/>
        <v>4.9565122457149093E-2</v>
      </c>
      <c r="V258" s="288"/>
      <c r="W258" s="291"/>
      <c r="X258" s="5"/>
    </row>
    <row r="259" spans="1:24" ht="15.6" x14ac:dyDescent="0.3">
      <c r="A259" s="287"/>
      <c r="B259" s="337" t="s">
        <v>157</v>
      </c>
      <c r="C259" s="389"/>
      <c r="D259" s="389"/>
      <c r="E259" s="389"/>
      <c r="F259" s="288"/>
      <c r="G259" s="390"/>
      <c r="H259" s="389"/>
      <c r="I259" s="389"/>
      <c r="J259" s="389"/>
      <c r="K259" s="389"/>
      <c r="L259" s="389"/>
      <c r="M259" s="389"/>
      <c r="N259" s="389"/>
      <c r="O259" s="389"/>
      <c r="P259" s="389"/>
      <c r="Q259" s="389"/>
      <c r="R259" s="337">
        <v>9</v>
      </c>
      <c r="S259" s="390">
        <f t="shared" si="3"/>
        <v>5.1724137931034482E-2</v>
      </c>
      <c r="T259" s="338">
        <v>1123</v>
      </c>
      <c r="U259" s="390">
        <f t="shared" si="4"/>
        <v>4.0867571600131006E-2</v>
      </c>
      <c r="V259" s="288"/>
      <c r="W259" s="291"/>
      <c r="X259" s="5"/>
    </row>
    <row r="260" spans="1:24" ht="15.6" x14ac:dyDescent="0.3">
      <c r="A260" s="287"/>
      <c r="B260" s="337" t="s">
        <v>158</v>
      </c>
      <c r="C260" s="389"/>
      <c r="D260" s="389"/>
      <c r="E260" s="389"/>
      <c r="F260" s="288"/>
      <c r="G260" s="390"/>
      <c r="H260" s="389"/>
      <c r="I260" s="389"/>
      <c r="J260" s="389"/>
      <c r="K260" s="389"/>
      <c r="L260" s="389"/>
      <c r="M260" s="389"/>
      <c r="N260" s="389"/>
      <c r="O260" s="389"/>
      <c r="P260" s="389"/>
      <c r="Q260" s="389"/>
      <c r="R260" s="337">
        <v>4</v>
      </c>
      <c r="S260" s="390">
        <f t="shared" si="3"/>
        <v>2.2988505747126436E-2</v>
      </c>
      <c r="T260" s="338">
        <v>614</v>
      </c>
      <c r="U260" s="390">
        <f t="shared" si="4"/>
        <v>2.2344335674515083E-2</v>
      </c>
      <c r="V260" s="288"/>
      <c r="W260" s="291"/>
      <c r="X260" s="5"/>
    </row>
    <row r="261" spans="1:24" ht="15.6" x14ac:dyDescent="0.3">
      <c r="A261" s="287"/>
      <c r="B261" s="337" t="s">
        <v>159</v>
      </c>
      <c r="C261" s="389"/>
      <c r="D261" s="389"/>
      <c r="E261" s="389"/>
      <c r="F261" s="288"/>
      <c r="G261" s="390"/>
      <c r="H261" s="389"/>
      <c r="I261" s="389"/>
      <c r="J261" s="389"/>
      <c r="K261" s="389"/>
      <c r="L261" s="389"/>
      <c r="M261" s="389"/>
      <c r="N261" s="389"/>
      <c r="O261" s="389"/>
      <c r="P261" s="389"/>
      <c r="Q261" s="389"/>
      <c r="R261" s="337">
        <v>23</v>
      </c>
      <c r="S261" s="390">
        <f t="shared" si="3"/>
        <v>0.13218390804597702</v>
      </c>
      <c r="T261" s="338">
        <v>2981</v>
      </c>
      <c r="U261" s="390">
        <f t="shared" si="4"/>
        <v>0.10848284144255613</v>
      </c>
      <c r="V261" s="288"/>
      <c r="W261" s="291"/>
      <c r="X261" s="5"/>
    </row>
    <row r="262" spans="1:24" ht="15.6" x14ac:dyDescent="0.3">
      <c r="A262" s="287"/>
      <c r="B262" s="337" t="s">
        <v>160</v>
      </c>
      <c r="C262" s="389"/>
      <c r="D262" s="389"/>
      <c r="E262" s="389"/>
      <c r="F262" s="288"/>
      <c r="G262" s="390"/>
      <c r="H262" s="389"/>
      <c r="I262" s="389"/>
      <c r="J262" s="389"/>
      <c r="K262" s="389"/>
      <c r="L262" s="389"/>
      <c r="M262" s="389"/>
      <c r="N262" s="389"/>
      <c r="O262" s="389"/>
      <c r="P262" s="389"/>
      <c r="Q262" s="389"/>
      <c r="R262" s="337">
        <v>35</v>
      </c>
      <c r="S262" s="390">
        <f t="shared" si="3"/>
        <v>0.20114942528735633</v>
      </c>
      <c r="T262" s="338">
        <v>6897</v>
      </c>
      <c r="U262" s="390">
        <f t="shared" si="4"/>
        <v>0.25099166636340481</v>
      </c>
      <c r="V262" s="288"/>
      <c r="W262" s="291"/>
      <c r="X262" s="5"/>
    </row>
    <row r="263" spans="1:24" ht="15.6" x14ac:dyDescent="0.3">
      <c r="A263" s="287"/>
      <c r="B263" s="337"/>
      <c r="C263" s="389"/>
      <c r="D263" s="389"/>
      <c r="E263" s="389"/>
      <c r="F263" s="288"/>
      <c r="G263" s="390"/>
      <c r="H263" s="389"/>
      <c r="I263" s="389"/>
      <c r="J263" s="389"/>
      <c r="K263" s="389"/>
      <c r="L263" s="389"/>
      <c r="M263" s="389"/>
      <c r="N263" s="389"/>
      <c r="O263" s="389"/>
      <c r="P263" s="389"/>
      <c r="Q263" s="389"/>
      <c r="R263" s="337"/>
      <c r="S263" s="390"/>
      <c r="T263" s="338"/>
      <c r="U263" s="390"/>
      <c r="V263" s="288"/>
      <c r="W263" s="291"/>
      <c r="X263" s="5"/>
    </row>
    <row r="264" spans="1:24" ht="15.6" x14ac:dyDescent="0.3">
      <c r="A264" s="287"/>
      <c r="B264" s="288"/>
      <c r="C264" s="288"/>
      <c r="D264" s="288"/>
      <c r="E264" s="288"/>
      <c r="F264" s="288"/>
      <c r="G264" s="288"/>
      <c r="H264" s="391"/>
      <c r="I264" s="391"/>
      <c r="J264" s="391"/>
      <c r="K264" s="391"/>
      <c r="L264" s="391"/>
      <c r="M264" s="391"/>
      <c r="N264" s="391"/>
      <c r="O264" s="391"/>
      <c r="P264" s="391"/>
      <c r="Q264" s="391"/>
      <c r="R264" s="337">
        <f>SUM(R255:R263)</f>
        <v>174</v>
      </c>
      <c r="S264" s="390">
        <f>SUM(S255:S263)</f>
        <v>1</v>
      </c>
      <c r="T264" s="338">
        <f>SUM(T255:T263)</f>
        <v>27479</v>
      </c>
      <c r="U264" s="390">
        <f>SUM(U255:U263)</f>
        <v>1</v>
      </c>
      <c r="V264" s="288"/>
      <c r="W264" s="291"/>
      <c r="X264" s="5"/>
    </row>
    <row r="265" spans="1:24" ht="15.6" x14ac:dyDescent="0.3">
      <c r="A265" s="183"/>
      <c r="B265" s="284"/>
      <c r="C265" s="284"/>
      <c r="D265" s="284"/>
      <c r="E265" s="284"/>
      <c r="F265" s="284"/>
      <c r="G265" s="284"/>
      <c r="H265" s="392"/>
      <c r="I265" s="392"/>
      <c r="J265" s="392"/>
      <c r="K265" s="392"/>
      <c r="L265" s="392"/>
      <c r="M265" s="392"/>
      <c r="N265" s="392"/>
      <c r="O265" s="392"/>
      <c r="P265" s="392"/>
      <c r="Q265" s="392"/>
      <c r="R265" s="339"/>
      <c r="S265" s="393"/>
      <c r="T265" s="394"/>
      <c r="U265" s="393"/>
      <c r="V265" s="284"/>
      <c r="W265" s="284"/>
      <c r="X265" s="5"/>
    </row>
    <row r="266" spans="1:24" ht="15.6" x14ac:dyDescent="0.3">
      <c r="A266" s="280"/>
      <c r="B266" s="269" t="s">
        <v>163</v>
      </c>
      <c r="C266" s="281"/>
      <c r="D266" s="281"/>
      <c r="E266" s="281"/>
      <c r="F266" s="281"/>
      <c r="G266" s="281"/>
      <c r="H266" s="283"/>
      <c r="I266" s="283"/>
      <c r="J266" s="283"/>
      <c r="K266" s="283"/>
      <c r="L266" s="283"/>
      <c r="M266" s="283"/>
      <c r="N266" s="283"/>
      <c r="O266" s="283"/>
      <c r="P266" s="283"/>
      <c r="Q266" s="283"/>
      <c r="R266" s="279" t="s">
        <v>102</v>
      </c>
      <c r="S266" s="270" t="s">
        <v>103</v>
      </c>
      <c r="T266" s="279" t="s">
        <v>109</v>
      </c>
      <c r="U266" s="270" t="s">
        <v>103</v>
      </c>
      <c r="V266" s="281"/>
      <c r="W266" s="282"/>
      <c r="X266" s="5"/>
    </row>
    <row r="267" spans="1:24" ht="15.6" x14ac:dyDescent="0.3">
      <c r="A267" s="197"/>
      <c r="B267" s="234" t="s">
        <v>88</v>
      </c>
      <c r="C267" s="231"/>
      <c r="D267" s="231"/>
      <c r="E267" s="231"/>
      <c r="F267" s="231"/>
      <c r="G267" s="231"/>
      <c r="H267" s="255"/>
      <c r="I267" s="255"/>
      <c r="J267" s="255"/>
      <c r="K267" s="255"/>
      <c r="L267" s="255"/>
      <c r="M267" s="255"/>
      <c r="N267" s="255"/>
      <c r="O267" s="255"/>
      <c r="P267" s="255"/>
      <c r="Q267" s="255"/>
      <c r="R267" s="234">
        <v>0</v>
      </c>
      <c r="S267" s="254">
        <v>0</v>
      </c>
      <c r="T267" s="241">
        <v>0</v>
      </c>
      <c r="U267" s="254">
        <v>0</v>
      </c>
      <c r="V267" s="231"/>
      <c r="W267" s="231"/>
      <c r="X267" s="5"/>
    </row>
    <row r="268" spans="1:24" ht="15.6" x14ac:dyDescent="0.3">
      <c r="A268" s="287"/>
      <c r="B268" s="337" t="s">
        <v>89</v>
      </c>
      <c r="C268" s="288"/>
      <c r="D268" s="288"/>
      <c r="E268" s="288"/>
      <c r="F268" s="288"/>
      <c r="G268" s="288"/>
      <c r="H268" s="391"/>
      <c r="I268" s="391"/>
      <c r="J268" s="391"/>
      <c r="K268" s="391"/>
      <c r="L268" s="391"/>
      <c r="M268" s="391"/>
      <c r="N268" s="391"/>
      <c r="O268" s="391"/>
      <c r="P268" s="391"/>
      <c r="Q268" s="391"/>
      <c r="R268" s="337">
        <v>0</v>
      </c>
      <c r="S268" s="390">
        <v>0</v>
      </c>
      <c r="T268" s="338">
        <v>0</v>
      </c>
      <c r="U268" s="390">
        <v>0</v>
      </c>
      <c r="V268" s="288"/>
      <c r="W268" s="291"/>
      <c r="X268" s="5"/>
    </row>
    <row r="269" spans="1:24" ht="15.6" x14ac:dyDescent="0.3">
      <c r="A269" s="287"/>
      <c r="B269" s="337" t="s">
        <v>90</v>
      </c>
      <c r="C269" s="288"/>
      <c r="D269" s="288"/>
      <c r="E269" s="288"/>
      <c r="F269" s="288"/>
      <c r="G269" s="288"/>
      <c r="H269" s="391"/>
      <c r="I269" s="391"/>
      <c r="J269" s="391"/>
      <c r="K269" s="391"/>
      <c r="L269" s="391"/>
      <c r="M269" s="391"/>
      <c r="N269" s="391"/>
      <c r="O269" s="391"/>
      <c r="P269" s="391"/>
      <c r="Q269" s="391"/>
      <c r="R269" s="337">
        <v>0</v>
      </c>
      <c r="S269" s="390">
        <v>0</v>
      </c>
      <c r="T269" s="338">
        <v>0</v>
      </c>
      <c r="U269" s="390">
        <v>0</v>
      </c>
      <c r="V269" s="288"/>
      <c r="W269" s="291"/>
      <c r="X269" s="5"/>
    </row>
    <row r="270" spans="1:24" ht="15.6" x14ac:dyDescent="0.3">
      <c r="A270" s="287"/>
      <c r="B270" s="337" t="s">
        <v>156</v>
      </c>
      <c r="C270" s="288"/>
      <c r="D270" s="288"/>
      <c r="E270" s="288"/>
      <c r="F270" s="288"/>
      <c r="G270" s="288"/>
      <c r="H270" s="391"/>
      <c r="I270" s="391"/>
      <c r="J270" s="391"/>
      <c r="K270" s="391"/>
      <c r="L270" s="391"/>
      <c r="M270" s="391"/>
      <c r="N270" s="391"/>
      <c r="O270" s="391"/>
      <c r="P270" s="391"/>
      <c r="Q270" s="391"/>
      <c r="R270" s="337">
        <v>0</v>
      </c>
      <c r="S270" s="390">
        <v>0</v>
      </c>
      <c r="T270" s="338">
        <v>0</v>
      </c>
      <c r="U270" s="390">
        <v>0</v>
      </c>
      <c r="V270" s="288"/>
      <c r="W270" s="291"/>
      <c r="X270" s="5"/>
    </row>
    <row r="271" spans="1:24" ht="15.6" x14ac:dyDescent="0.3">
      <c r="A271" s="287"/>
      <c r="B271" s="337" t="s">
        <v>157</v>
      </c>
      <c r="C271" s="288"/>
      <c r="D271" s="288"/>
      <c r="E271" s="288"/>
      <c r="F271" s="288"/>
      <c r="G271" s="288"/>
      <c r="H271" s="391"/>
      <c r="I271" s="391"/>
      <c r="J271" s="391"/>
      <c r="K271" s="391"/>
      <c r="L271" s="391"/>
      <c r="M271" s="391"/>
      <c r="N271" s="391"/>
      <c r="O271" s="391"/>
      <c r="P271" s="391"/>
      <c r="Q271" s="391"/>
      <c r="R271" s="337">
        <v>0</v>
      </c>
      <c r="S271" s="390">
        <v>0</v>
      </c>
      <c r="T271" s="338">
        <v>0</v>
      </c>
      <c r="U271" s="390">
        <v>0</v>
      </c>
      <c r="V271" s="288"/>
      <c r="W271" s="291"/>
      <c r="X271" s="5"/>
    </row>
    <row r="272" spans="1:24" ht="15.6" x14ac:dyDescent="0.3">
      <c r="A272" s="287"/>
      <c r="B272" s="337" t="s">
        <v>158</v>
      </c>
      <c r="C272" s="288"/>
      <c r="D272" s="288"/>
      <c r="E272" s="288"/>
      <c r="F272" s="288"/>
      <c r="G272" s="288"/>
      <c r="H272" s="391"/>
      <c r="I272" s="391"/>
      <c r="J272" s="391"/>
      <c r="K272" s="391"/>
      <c r="L272" s="391"/>
      <c r="M272" s="391"/>
      <c r="N272" s="391"/>
      <c r="O272" s="391"/>
      <c r="P272" s="391"/>
      <c r="Q272" s="391"/>
      <c r="R272" s="337">
        <v>0</v>
      </c>
      <c r="S272" s="390">
        <v>0</v>
      </c>
      <c r="T272" s="338">
        <v>0</v>
      </c>
      <c r="U272" s="390">
        <v>0</v>
      </c>
      <c r="V272" s="288"/>
      <c r="W272" s="291"/>
      <c r="X272" s="5"/>
    </row>
    <row r="273" spans="1:24" ht="15.6" x14ac:dyDescent="0.3">
      <c r="A273" s="287"/>
      <c r="B273" s="337" t="s">
        <v>159</v>
      </c>
      <c r="C273" s="288"/>
      <c r="D273" s="288"/>
      <c r="E273" s="288"/>
      <c r="F273" s="288"/>
      <c r="G273" s="288"/>
      <c r="H273" s="391"/>
      <c r="I273" s="391"/>
      <c r="J273" s="391"/>
      <c r="K273" s="391"/>
      <c r="L273" s="391"/>
      <c r="M273" s="391"/>
      <c r="N273" s="391"/>
      <c r="O273" s="391"/>
      <c r="P273" s="391"/>
      <c r="Q273" s="391"/>
      <c r="R273" s="337">
        <v>0</v>
      </c>
      <c r="S273" s="390">
        <v>0</v>
      </c>
      <c r="T273" s="338">
        <v>0</v>
      </c>
      <c r="U273" s="390">
        <v>0</v>
      </c>
      <c r="V273" s="288"/>
      <c r="W273" s="291"/>
      <c r="X273" s="5"/>
    </row>
    <row r="274" spans="1:24" ht="15.6" x14ac:dyDescent="0.3">
      <c r="A274" s="287"/>
      <c r="B274" s="337" t="s">
        <v>160</v>
      </c>
      <c r="C274" s="288"/>
      <c r="D274" s="288"/>
      <c r="E274" s="288"/>
      <c r="F274" s="288"/>
      <c r="G274" s="288"/>
      <c r="H274" s="391"/>
      <c r="I274" s="391"/>
      <c r="J274" s="391"/>
      <c r="K274" s="391"/>
      <c r="L274" s="391"/>
      <c r="M274" s="391"/>
      <c r="N274" s="391"/>
      <c r="O274" s="391"/>
      <c r="P274" s="391"/>
      <c r="Q274" s="391"/>
      <c r="R274" s="337">
        <v>0</v>
      </c>
      <c r="S274" s="390">
        <v>0</v>
      </c>
      <c r="T274" s="338">
        <v>0</v>
      </c>
      <c r="U274" s="390">
        <v>0</v>
      </c>
      <c r="V274" s="288"/>
      <c r="W274" s="291"/>
      <c r="X274" s="5"/>
    </row>
    <row r="275" spans="1:24" ht="15.6" x14ac:dyDescent="0.3">
      <c r="A275" s="287"/>
      <c r="B275" s="337"/>
      <c r="C275" s="288"/>
      <c r="D275" s="288"/>
      <c r="E275" s="288"/>
      <c r="F275" s="288"/>
      <c r="G275" s="288"/>
      <c r="H275" s="391"/>
      <c r="I275" s="391"/>
      <c r="J275" s="391"/>
      <c r="K275" s="391"/>
      <c r="L275" s="391"/>
      <c r="M275" s="391"/>
      <c r="N275" s="391"/>
      <c r="O275" s="391"/>
      <c r="P275" s="391"/>
      <c r="Q275" s="391"/>
      <c r="R275" s="337"/>
      <c r="S275" s="390"/>
      <c r="T275" s="338"/>
      <c r="U275" s="390"/>
      <c r="V275" s="288"/>
      <c r="W275" s="291"/>
      <c r="X275" s="5"/>
    </row>
    <row r="276" spans="1:24" ht="15.6" x14ac:dyDescent="0.3">
      <c r="A276" s="287"/>
      <c r="B276" s="288" t="s">
        <v>114</v>
      </c>
      <c r="C276" s="288"/>
      <c r="D276" s="288"/>
      <c r="E276" s="288"/>
      <c r="F276" s="288"/>
      <c r="G276" s="288"/>
      <c r="H276" s="391"/>
      <c r="I276" s="391"/>
      <c r="J276" s="391"/>
      <c r="K276" s="391"/>
      <c r="L276" s="391"/>
      <c r="M276" s="391"/>
      <c r="N276" s="391"/>
      <c r="O276" s="391"/>
      <c r="P276" s="391"/>
      <c r="Q276" s="391"/>
      <c r="R276" s="337">
        <f>SUM(R267:R274)</f>
        <v>0</v>
      </c>
      <c r="S276" s="390">
        <f>SUM(S267:S275)</f>
        <v>0</v>
      </c>
      <c r="T276" s="338">
        <f>SUM(T267:T274)</f>
        <v>0</v>
      </c>
      <c r="U276" s="390">
        <f>SUM(U267:U275)</f>
        <v>0</v>
      </c>
      <c r="V276" s="288"/>
      <c r="W276" s="291"/>
      <c r="X276" s="5"/>
    </row>
    <row r="277" spans="1:24" ht="15.6" x14ac:dyDescent="0.3">
      <c r="A277" s="287"/>
      <c r="B277" s="288"/>
      <c r="C277" s="288"/>
      <c r="D277" s="288"/>
      <c r="E277" s="288"/>
      <c r="F277" s="288"/>
      <c r="G277" s="288"/>
      <c r="H277" s="391"/>
      <c r="I277" s="391"/>
      <c r="J277" s="391"/>
      <c r="K277" s="391"/>
      <c r="L277" s="391"/>
      <c r="M277" s="391"/>
      <c r="N277" s="391"/>
      <c r="O277" s="391"/>
      <c r="P277" s="391"/>
      <c r="Q277" s="391"/>
      <c r="R277" s="337"/>
      <c r="S277" s="390"/>
      <c r="T277" s="338"/>
      <c r="U277" s="390"/>
      <c r="V277" s="288"/>
      <c r="W277" s="291"/>
      <c r="X277" s="5"/>
    </row>
    <row r="278" spans="1:24" ht="15.6" x14ac:dyDescent="0.3">
      <c r="A278" s="287"/>
      <c r="B278" s="297" t="s">
        <v>164</v>
      </c>
      <c r="C278" s="288"/>
      <c r="D278" s="288"/>
      <c r="E278" s="288"/>
      <c r="F278" s="288"/>
      <c r="G278" s="288"/>
      <c r="H278" s="391"/>
      <c r="I278" s="391"/>
      <c r="J278" s="391"/>
      <c r="K278" s="391"/>
      <c r="L278" s="391"/>
      <c r="M278" s="391"/>
      <c r="N278" s="391"/>
      <c r="O278" s="391"/>
      <c r="P278" s="391"/>
      <c r="Q278" s="391"/>
      <c r="R278" s="395">
        <f>R276+R264+R252</f>
        <v>8278</v>
      </c>
      <c r="S278" s="390"/>
      <c r="T278" s="396">
        <f>+T276+T264+T252</f>
        <v>1179039</v>
      </c>
      <c r="U278" s="390"/>
      <c r="V278" s="288"/>
      <c r="W278" s="291"/>
      <c r="X278" s="5"/>
    </row>
    <row r="279" spans="1:24" ht="15.6" x14ac:dyDescent="0.3">
      <c r="A279" s="183"/>
      <c r="B279" s="284"/>
      <c r="C279" s="284"/>
      <c r="D279" s="284"/>
      <c r="E279" s="284"/>
      <c r="F279" s="284"/>
      <c r="G279" s="284"/>
      <c r="H279" s="392"/>
      <c r="I279" s="392"/>
      <c r="J279" s="392"/>
      <c r="K279" s="392"/>
      <c r="L279" s="392"/>
      <c r="M279" s="392"/>
      <c r="N279" s="392"/>
      <c r="O279" s="392"/>
      <c r="P279" s="392"/>
      <c r="Q279" s="392"/>
      <c r="R279" s="392"/>
      <c r="S279" s="392"/>
      <c r="T279" s="394"/>
      <c r="U279" s="392"/>
      <c r="V279" s="284"/>
      <c r="W279" s="284"/>
      <c r="X279" s="5"/>
    </row>
    <row r="280" spans="1:24" ht="15.6" x14ac:dyDescent="0.3">
      <c r="A280" s="183"/>
      <c r="B280" s="224"/>
      <c r="C280" s="224"/>
      <c r="D280" s="224"/>
      <c r="E280" s="224"/>
      <c r="F280" s="224"/>
      <c r="G280" s="224"/>
      <c r="H280" s="256"/>
      <c r="I280" s="256"/>
      <c r="J280" s="256"/>
      <c r="K280" s="256"/>
      <c r="L280" s="256"/>
      <c r="M280" s="256"/>
      <c r="N280" s="256"/>
      <c r="O280" s="256"/>
      <c r="P280" s="256"/>
      <c r="Q280" s="256"/>
      <c r="R280" s="256"/>
      <c r="S280" s="256"/>
      <c r="T280" s="257"/>
      <c r="U280" s="256"/>
      <c r="V280" s="224"/>
      <c r="W280" s="224"/>
      <c r="X280" s="5"/>
    </row>
    <row r="281" spans="1:24" ht="15.6" x14ac:dyDescent="0.3">
      <c r="A281" s="219"/>
      <c r="B281" s="222" t="s">
        <v>91</v>
      </c>
      <c r="C281" s="224"/>
      <c r="D281" s="224"/>
      <c r="E281" s="224"/>
      <c r="F281" s="228" t="s">
        <v>97</v>
      </c>
      <c r="G281" s="224"/>
      <c r="H281" s="222" t="s">
        <v>99</v>
      </c>
      <c r="I281" s="222"/>
      <c r="J281" s="222"/>
      <c r="K281" s="258"/>
      <c r="L281" s="258"/>
      <c r="M281" s="258"/>
      <c r="N281" s="258"/>
      <c r="O281" s="258"/>
      <c r="P281" s="258"/>
      <c r="Q281" s="258"/>
      <c r="R281" s="258"/>
      <c r="S281" s="258"/>
      <c r="T281" s="258"/>
      <c r="U281" s="258"/>
      <c r="V281" s="258"/>
      <c r="W281" s="258"/>
      <c r="X281" s="5"/>
    </row>
    <row r="282" spans="1:24" ht="15.6" x14ac:dyDescent="0.3">
      <c r="A282" s="219"/>
      <c r="B282" s="258"/>
      <c r="C282" s="224"/>
      <c r="D282" s="224"/>
      <c r="E282" s="224"/>
      <c r="F282" s="224"/>
      <c r="G282" s="224"/>
      <c r="H282" s="224"/>
      <c r="I282" s="224"/>
      <c r="J282" s="224"/>
      <c r="K282" s="258"/>
      <c r="L282" s="258"/>
      <c r="M282" s="258"/>
      <c r="N282" s="258"/>
      <c r="O282" s="258"/>
      <c r="P282" s="258"/>
      <c r="Q282" s="258"/>
      <c r="R282" s="258"/>
      <c r="S282" s="258"/>
      <c r="T282" s="258"/>
      <c r="U282" s="258"/>
      <c r="V282" s="258"/>
      <c r="W282" s="258"/>
      <c r="X282" s="5"/>
    </row>
    <row r="283" spans="1:24" ht="15.6" x14ac:dyDescent="0.3">
      <c r="A283" s="219"/>
      <c r="B283" s="222" t="s">
        <v>92</v>
      </c>
      <c r="C283" s="222"/>
      <c r="D283" s="222"/>
      <c r="E283" s="222"/>
      <c r="F283" s="259" t="s">
        <v>148</v>
      </c>
      <c r="G283" s="222"/>
      <c r="H283" s="222" t="s">
        <v>152</v>
      </c>
      <c r="I283" s="222"/>
      <c r="J283" s="222"/>
      <c r="K283" s="258"/>
      <c r="L283" s="258"/>
      <c r="M283" s="258"/>
      <c r="N283" s="258"/>
      <c r="O283" s="258"/>
      <c r="P283" s="258"/>
      <c r="Q283" s="258"/>
      <c r="R283" s="258"/>
      <c r="S283" s="258"/>
      <c r="T283" s="258"/>
      <c r="U283" s="258"/>
      <c r="V283" s="258"/>
      <c r="W283" s="258"/>
      <c r="X283" s="5"/>
    </row>
    <row r="284" spans="1:24" ht="15.6" x14ac:dyDescent="0.3">
      <c r="A284" s="219"/>
      <c r="B284" s="222" t="s">
        <v>277</v>
      </c>
      <c r="C284" s="222"/>
      <c r="D284" s="222"/>
      <c r="E284" s="222"/>
      <c r="F284" s="259" t="s">
        <v>278</v>
      </c>
      <c r="G284" s="222"/>
      <c r="H284" s="222" t="s">
        <v>279</v>
      </c>
      <c r="I284" s="258"/>
      <c r="J284" s="222"/>
      <c r="K284" s="258"/>
      <c r="L284" s="258"/>
      <c r="M284" s="258"/>
      <c r="N284" s="258"/>
      <c r="O284" s="258"/>
      <c r="P284" s="258"/>
      <c r="Q284" s="258"/>
      <c r="R284" s="258"/>
      <c r="S284" s="258"/>
      <c r="T284" s="258"/>
      <c r="U284" s="258"/>
      <c r="V284" s="258"/>
      <c r="W284" s="258"/>
      <c r="X284" s="5"/>
    </row>
    <row r="285" spans="1:24" ht="15.6" x14ac:dyDescent="0.3">
      <c r="A285" s="219"/>
      <c r="B285" s="222" t="s">
        <v>93</v>
      </c>
      <c r="C285" s="222"/>
      <c r="D285" s="222"/>
      <c r="E285" s="222"/>
      <c r="F285" s="259" t="s">
        <v>147</v>
      </c>
      <c r="G285" s="222"/>
      <c r="H285" s="222" t="s">
        <v>153</v>
      </c>
      <c r="I285" s="222"/>
      <c r="J285" s="222"/>
      <c r="K285" s="258"/>
      <c r="L285" s="258"/>
      <c r="M285" s="258"/>
      <c r="N285" s="258"/>
      <c r="O285" s="258"/>
      <c r="P285" s="258"/>
      <c r="Q285" s="258"/>
      <c r="R285" s="258"/>
      <c r="S285" s="258"/>
      <c r="T285" s="258"/>
      <c r="U285" s="258"/>
      <c r="V285" s="258"/>
      <c r="W285" s="258"/>
      <c r="X285" s="5"/>
    </row>
    <row r="286" spans="1:24" ht="15.6" x14ac:dyDescent="0.3">
      <c r="A286" s="219"/>
      <c r="B286" s="222"/>
      <c r="C286" s="222"/>
      <c r="D286" s="222"/>
      <c r="E286" s="222"/>
      <c r="F286" s="222"/>
      <c r="G286" s="260"/>
      <c r="H286" s="258"/>
      <c r="I286" s="258"/>
      <c r="J286" s="258"/>
      <c r="K286" s="258"/>
      <c r="L286" s="258"/>
      <c r="M286" s="258"/>
      <c r="N286" s="258"/>
      <c r="O286" s="258"/>
      <c r="P286" s="258"/>
      <c r="Q286" s="258"/>
      <c r="R286" s="258"/>
      <c r="S286" s="258"/>
      <c r="T286" s="258"/>
      <c r="U286" s="258"/>
      <c r="V286" s="258"/>
      <c r="W286" s="258"/>
      <c r="X286" s="5"/>
    </row>
    <row r="287" spans="1:24" ht="15.6" x14ac:dyDescent="0.3">
      <c r="A287" s="219"/>
      <c r="B287" s="222"/>
      <c r="C287" s="222"/>
      <c r="D287" s="222"/>
      <c r="E287" s="222"/>
      <c r="F287" s="222"/>
      <c r="G287" s="260"/>
      <c r="H287" s="258"/>
      <c r="I287" s="258"/>
      <c r="J287" s="258"/>
      <c r="K287" s="258"/>
      <c r="L287" s="258"/>
      <c r="M287" s="258"/>
      <c r="N287" s="258"/>
      <c r="O287" s="258"/>
      <c r="P287" s="258"/>
      <c r="Q287" s="258"/>
      <c r="R287" s="258"/>
      <c r="S287" s="258"/>
      <c r="T287" s="258"/>
      <c r="U287" s="258"/>
      <c r="V287" s="258"/>
      <c r="W287" s="258"/>
      <c r="X287" s="5"/>
    </row>
    <row r="288" spans="1:24" ht="18" thickBot="1" x14ac:dyDescent="0.35">
      <c r="A288" s="219"/>
      <c r="B288" s="261" t="str">
        <f>B204</f>
        <v>PM14 INVESTOR REPORT QUARTER ENDING MAY 2010</v>
      </c>
      <c r="C288" s="222"/>
      <c r="D288" s="222"/>
      <c r="E288" s="222"/>
      <c r="F288" s="222"/>
      <c r="G288" s="260"/>
      <c r="H288" s="258"/>
      <c r="I288" s="258"/>
      <c r="J288" s="258"/>
      <c r="K288" s="258"/>
      <c r="L288" s="258"/>
      <c r="M288" s="258"/>
      <c r="N288" s="258"/>
      <c r="O288" s="258"/>
      <c r="P288" s="258"/>
      <c r="Q288" s="258"/>
      <c r="R288" s="258"/>
      <c r="S288" s="258"/>
      <c r="T288" s="258"/>
      <c r="U288" s="258"/>
      <c r="V288" s="258"/>
      <c r="W288" s="258"/>
      <c r="X288" s="5"/>
    </row>
    <row r="289" spans="1:23" x14ac:dyDescent="0.25">
      <c r="A289" s="100"/>
      <c r="B289" s="100"/>
      <c r="C289" s="100"/>
      <c r="D289" s="100"/>
      <c r="E289" s="100"/>
      <c r="F289" s="100"/>
      <c r="G289" s="100"/>
      <c r="H289" s="100"/>
      <c r="I289" s="100"/>
      <c r="J289" s="100"/>
      <c r="K289" s="100"/>
      <c r="L289" s="100"/>
      <c r="M289" s="100"/>
      <c r="N289" s="100"/>
      <c r="O289" s="100"/>
      <c r="P289" s="100"/>
      <c r="Q289" s="100"/>
      <c r="R289" s="100"/>
      <c r="S289" s="100"/>
      <c r="T289" s="100"/>
      <c r="U289" s="100"/>
      <c r="V289" s="100"/>
      <c r="W289" s="100"/>
    </row>
  </sheetData>
  <phoneticPr fontId="0" type="noConversion"/>
  <hyperlinks>
    <hyperlink ref="P240" r:id="rId1" xr:uid="{00000000-0004-0000-0B00-000000000000}"/>
    <hyperlink ref="I9" r:id="rId2" xr:uid="{00000000-0004-0000-0B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8" max="14" man="1"/>
    <brk id="204" max="14" man="1"/>
  </rowBreak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6"/>
  </sheetPr>
  <dimension ref="A1:IV301"/>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80"/>
      <c r="B1" s="220" t="s">
        <v>244</v>
      </c>
      <c r="C1" s="181"/>
      <c r="D1" s="181"/>
      <c r="E1" s="181"/>
      <c r="F1" s="181"/>
      <c r="G1" s="181"/>
      <c r="H1" s="181"/>
      <c r="I1" s="181"/>
      <c r="J1" s="181"/>
      <c r="K1" s="181"/>
      <c r="L1" s="181"/>
      <c r="M1" s="181"/>
      <c r="N1" s="181"/>
      <c r="O1" s="181"/>
      <c r="P1" s="181"/>
      <c r="Q1" s="181"/>
      <c r="R1" s="181"/>
      <c r="S1" s="181"/>
      <c r="T1" s="181"/>
      <c r="U1" s="181"/>
      <c r="V1" s="181"/>
      <c r="W1" s="181"/>
      <c r="X1" s="5"/>
    </row>
    <row r="2" spans="1:24" ht="15.6" x14ac:dyDescent="0.3">
      <c r="A2" s="183"/>
      <c r="B2" s="184"/>
      <c r="C2" s="185"/>
      <c r="D2" s="185"/>
      <c r="E2" s="185"/>
      <c r="F2" s="185"/>
      <c r="G2" s="185"/>
      <c r="H2" s="185"/>
      <c r="I2" s="185"/>
      <c r="J2" s="185"/>
      <c r="K2" s="185"/>
      <c r="L2" s="185"/>
      <c r="M2" s="185"/>
      <c r="N2" s="185"/>
      <c r="O2" s="185"/>
      <c r="P2" s="185"/>
      <c r="Q2" s="185"/>
      <c r="R2" s="185"/>
      <c r="S2" s="185"/>
      <c r="T2" s="185"/>
      <c r="U2" s="185"/>
      <c r="V2" s="185"/>
      <c r="W2" s="185"/>
      <c r="X2" s="5"/>
    </row>
    <row r="3" spans="1:24" ht="15.6" x14ac:dyDescent="0.3">
      <c r="A3" s="186"/>
      <c r="B3" s="187" t="s">
        <v>245</v>
      </c>
      <c r="C3" s="185"/>
      <c r="D3" s="185"/>
      <c r="E3" s="185"/>
      <c r="F3" s="185"/>
      <c r="G3" s="185"/>
      <c r="H3" s="185"/>
      <c r="I3" s="185"/>
      <c r="J3" s="185"/>
      <c r="K3" s="185"/>
      <c r="L3" s="185"/>
      <c r="M3" s="185"/>
      <c r="N3" s="185"/>
      <c r="O3" s="185"/>
      <c r="P3" s="185"/>
      <c r="Q3" s="185"/>
      <c r="R3" s="185"/>
      <c r="S3" s="185"/>
      <c r="T3" s="185"/>
      <c r="U3" s="185"/>
      <c r="V3" s="185"/>
      <c r="W3" s="185"/>
      <c r="X3" s="5"/>
    </row>
    <row r="4" spans="1:24" ht="15.6" x14ac:dyDescent="0.3">
      <c r="A4" s="183"/>
      <c r="B4" s="184"/>
      <c r="C4" s="185"/>
      <c r="D4" s="185"/>
      <c r="E4" s="185"/>
      <c r="F4" s="185"/>
      <c r="G4" s="185"/>
      <c r="H4" s="185"/>
      <c r="I4" s="185"/>
      <c r="J4" s="185"/>
      <c r="K4" s="185"/>
      <c r="L4" s="185"/>
      <c r="M4" s="185"/>
      <c r="N4" s="185"/>
      <c r="O4" s="185"/>
      <c r="P4" s="185"/>
      <c r="Q4" s="185"/>
      <c r="R4" s="185"/>
      <c r="S4" s="185"/>
      <c r="T4" s="185"/>
      <c r="U4" s="185"/>
      <c r="V4" s="185"/>
      <c r="W4" s="185"/>
      <c r="X4" s="5"/>
    </row>
    <row r="5" spans="1:24" ht="15.6" x14ac:dyDescent="0.3">
      <c r="A5" s="183"/>
      <c r="B5" s="221" t="s">
        <v>137</v>
      </c>
      <c r="C5" s="185"/>
      <c r="D5" s="185"/>
      <c r="E5" s="185"/>
      <c r="F5" s="185"/>
      <c r="G5" s="185"/>
      <c r="H5" s="185"/>
      <c r="I5" s="185"/>
      <c r="J5" s="185"/>
      <c r="K5" s="185"/>
      <c r="L5" s="185"/>
      <c r="M5" s="185"/>
      <c r="N5" s="185"/>
      <c r="O5" s="185"/>
      <c r="P5" s="185"/>
      <c r="Q5" s="185"/>
      <c r="R5" s="185"/>
      <c r="S5" s="185"/>
      <c r="T5" s="185"/>
      <c r="U5" s="185"/>
      <c r="V5" s="185"/>
      <c r="W5" s="185"/>
      <c r="X5" s="5"/>
    </row>
    <row r="6" spans="1:24" ht="15.6" x14ac:dyDescent="0.3">
      <c r="A6" s="183"/>
      <c r="B6" s="221" t="s">
        <v>139</v>
      </c>
      <c r="C6" s="185"/>
      <c r="D6" s="185"/>
      <c r="E6" s="185"/>
      <c r="F6" s="185"/>
      <c r="G6" s="185"/>
      <c r="H6" s="185"/>
      <c r="I6" s="185"/>
      <c r="J6" s="185"/>
      <c r="K6" s="185"/>
      <c r="L6" s="185"/>
      <c r="M6" s="185"/>
      <c r="N6" s="185"/>
      <c r="O6" s="185"/>
      <c r="P6" s="185"/>
      <c r="Q6" s="185"/>
      <c r="R6" s="185"/>
      <c r="S6" s="185"/>
      <c r="T6" s="185"/>
      <c r="U6" s="185"/>
      <c r="V6" s="185"/>
      <c r="W6" s="185"/>
      <c r="X6" s="5"/>
    </row>
    <row r="7" spans="1:24" ht="15.6" x14ac:dyDescent="0.3">
      <c r="A7" s="183"/>
      <c r="B7" s="221" t="s">
        <v>138</v>
      </c>
      <c r="C7" s="185"/>
      <c r="D7" s="185"/>
      <c r="E7" s="185"/>
      <c r="F7" s="185"/>
      <c r="G7" s="185"/>
      <c r="H7" s="185"/>
      <c r="I7" s="185"/>
      <c r="J7" s="185"/>
      <c r="K7" s="185"/>
      <c r="L7" s="185"/>
      <c r="M7" s="185"/>
      <c r="N7" s="185"/>
      <c r="O7" s="185"/>
      <c r="P7" s="185"/>
      <c r="Q7" s="185"/>
      <c r="R7" s="185"/>
      <c r="S7" s="185"/>
      <c r="T7" s="185"/>
      <c r="U7" s="185"/>
      <c r="V7" s="185"/>
      <c r="W7" s="185"/>
      <c r="X7" s="5"/>
    </row>
    <row r="8" spans="1:24" ht="15.6" x14ac:dyDescent="0.3">
      <c r="A8" s="183"/>
      <c r="B8" s="188"/>
      <c r="C8" s="185"/>
      <c r="D8" s="185"/>
      <c r="E8" s="185"/>
      <c r="F8" s="185"/>
      <c r="G8" s="185"/>
      <c r="H8" s="185"/>
      <c r="I8" s="185"/>
      <c r="J8" s="185"/>
      <c r="K8" s="185"/>
      <c r="L8" s="185"/>
      <c r="M8" s="185"/>
      <c r="N8" s="185"/>
      <c r="O8" s="185"/>
      <c r="P8" s="185"/>
      <c r="Q8" s="185"/>
      <c r="R8" s="185"/>
      <c r="S8" s="185"/>
      <c r="T8" s="185"/>
      <c r="U8" s="185"/>
      <c r="V8" s="185"/>
      <c r="W8" s="185"/>
      <c r="X8" s="5"/>
    </row>
    <row r="9" spans="1:24" ht="17.399999999999999" x14ac:dyDescent="0.3">
      <c r="A9" s="183"/>
      <c r="B9" s="189" t="s">
        <v>166</v>
      </c>
      <c r="C9" s="185"/>
      <c r="D9" s="185"/>
      <c r="E9" s="185"/>
      <c r="F9" s="185"/>
      <c r="G9" s="185"/>
      <c r="H9" s="185"/>
      <c r="I9" s="190" t="s">
        <v>167</v>
      </c>
      <c r="J9" s="185"/>
      <c r="K9" s="185"/>
      <c r="L9" s="190"/>
      <c r="M9" s="185"/>
      <c r="N9" s="190"/>
      <c r="O9" s="185"/>
      <c r="P9" s="185"/>
      <c r="Q9" s="185"/>
      <c r="R9" s="185"/>
      <c r="S9" s="185"/>
      <c r="T9" s="185"/>
      <c r="U9" s="185"/>
      <c r="V9" s="185"/>
      <c r="W9" s="185"/>
      <c r="X9" s="5"/>
    </row>
    <row r="10" spans="1:24" ht="15.6" x14ac:dyDescent="0.3">
      <c r="A10" s="183"/>
      <c r="B10" s="188"/>
      <c r="C10" s="191"/>
      <c r="D10" s="191"/>
      <c r="E10" s="191"/>
      <c r="F10" s="185"/>
      <c r="G10" s="185"/>
      <c r="H10" s="185"/>
      <c r="I10" s="185"/>
      <c r="J10" s="185"/>
      <c r="K10" s="185"/>
      <c r="L10" s="185"/>
      <c r="M10" s="185"/>
      <c r="N10" s="185"/>
      <c r="O10" s="185"/>
      <c r="P10" s="185"/>
      <c r="Q10" s="185"/>
      <c r="R10" s="185"/>
      <c r="S10" s="185"/>
      <c r="T10" s="185"/>
      <c r="U10" s="185"/>
      <c r="V10" s="185"/>
      <c r="W10" s="185"/>
      <c r="X10" s="5"/>
    </row>
    <row r="11" spans="1:24" ht="15.6" x14ac:dyDescent="0.3">
      <c r="A11" s="183"/>
      <c r="B11" s="222" t="s">
        <v>0</v>
      </c>
      <c r="C11" s="185"/>
      <c r="D11" s="185"/>
      <c r="E11" s="185"/>
      <c r="F11" s="185"/>
      <c r="G11" s="185"/>
      <c r="H11" s="185"/>
      <c r="I11" s="185"/>
      <c r="J11" s="185"/>
      <c r="K11" s="185"/>
      <c r="L11" s="185"/>
      <c r="M11" s="185"/>
      <c r="N11" s="185"/>
      <c r="O11" s="185"/>
      <c r="P11" s="185"/>
      <c r="Q11" s="185"/>
      <c r="R11" s="185"/>
      <c r="S11" s="185"/>
      <c r="T11" s="185"/>
      <c r="U11" s="185"/>
      <c r="V11" s="185"/>
      <c r="W11" s="185"/>
      <c r="X11" s="5"/>
    </row>
    <row r="12" spans="1:24" ht="16.2" thickBot="1" x14ac:dyDescent="0.35">
      <c r="A12" s="183"/>
      <c r="B12" s="191"/>
      <c r="C12" s="185"/>
      <c r="D12" s="185"/>
      <c r="E12" s="185"/>
      <c r="F12" s="185"/>
      <c r="G12" s="185"/>
      <c r="H12" s="185"/>
      <c r="I12" s="185"/>
      <c r="J12" s="185"/>
      <c r="K12" s="185"/>
      <c r="L12" s="185"/>
      <c r="M12" s="185"/>
      <c r="N12" s="185"/>
      <c r="O12" s="185"/>
      <c r="P12" s="185"/>
      <c r="Q12" s="185"/>
      <c r="R12" s="185"/>
      <c r="S12" s="185"/>
      <c r="T12" s="185"/>
      <c r="U12" s="185"/>
      <c r="V12" s="185"/>
      <c r="W12" s="185"/>
      <c r="X12" s="5"/>
    </row>
    <row r="13" spans="1:24" ht="15.6" x14ac:dyDescent="0.3">
      <c r="A13" s="180"/>
      <c r="B13" s="181"/>
      <c r="C13" s="181"/>
      <c r="D13" s="181"/>
      <c r="E13" s="181"/>
      <c r="F13" s="181"/>
      <c r="G13" s="181"/>
      <c r="H13" s="181"/>
      <c r="I13" s="181"/>
      <c r="J13" s="181"/>
      <c r="K13" s="181"/>
      <c r="L13" s="181"/>
      <c r="M13" s="181"/>
      <c r="N13" s="181"/>
      <c r="O13" s="181"/>
      <c r="P13" s="181"/>
      <c r="Q13" s="181"/>
      <c r="R13" s="181"/>
      <c r="S13" s="181"/>
      <c r="T13" s="181"/>
      <c r="U13" s="181"/>
      <c r="V13" s="181"/>
      <c r="W13" s="181"/>
      <c r="X13" s="5"/>
    </row>
    <row r="14" spans="1:24" ht="15.6" x14ac:dyDescent="0.3">
      <c r="A14" s="183"/>
      <c r="B14" s="222" t="s">
        <v>1</v>
      </c>
      <c r="C14" s="192"/>
      <c r="D14" s="192"/>
      <c r="E14" s="192"/>
      <c r="F14" s="192"/>
      <c r="G14" s="192"/>
      <c r="H14" s="192"/>
      <c r="I14" s="192"/>
      <c r="J14" s="192"/>
      <c r="K14" s="192"/>
      <c r="L14" s="192"/>
      <c r="M14" s="192"/>
      <c r="N14" s="192"/>
      <c r="O14" s="192"/>
      <c r="P14" s="192"/>
      <c r="Q14" s="192"/>
      <c r="R14" s="224"/>
      <c r="S14" s="224"/>
      <c r="T14" s="224"/>
      <c r="U14" s="224"/>
      <c r="V14" s="225" t="s">
        <v>246</v>
      </c>
      <c r="W14" s="192"/>
      <c r="X14" s="5"/>
    </row>
    <row r="15" spans="1:24" ht="15.6" x14ac:dyDescent="0.3">
      <c r="A15" s="183"/>
      <c r="B15" s="222" t="s">
        <v>2</v>
      </c>
      <c r="C15" s="192"/>
      <c r="D15" s="192"/>
      <c r="E15" s="192"/>
      <c r="F15" s="192"/>
      <c r="G15" s="192"/>
      <c r="H15" s="193"/>
      <c r="I15" s="193"/>
      <c r="J15" s="193"/>
      <c r="K15" s="193"/>
      <c r="L15" s="193"/>
      <c r="M15" s="193"/>
      <c r="N15" s="193"/>
      <c r="O15" s="193"/>
      <c r="P15" s="193"/>
      <c r="Q15" s="193"/>
      <c r="R15" s="226" t="s">
        <v>104</v>
      </c>
      <c r="S15" s="227">
        <v>0.38300000000000001</v>
      </c>
      <c r="T15" s="228" t="s">
        <v>140</v>
      </c>
      <c r="U15" s="227">
        <v>0.61699999999999999</v>
      </c>
      <c r="V15" s="225"/>
      <c r="W15" s="192"/>
      <c r="X15" s="5"/>
    </row>
    <row r="16" spans="1:24" ht="15.6" x14ac:dyDescent="0.3">
      <c r="A16" s="183"/>
      <c r="B16" s="222" t="s">
        <v>3</v>
      </c>
      <c r="C16" s="192"/>
      <c r="D16" s="192"/>
      <c r="E16" s="192"/>
      <c r="F16" s="192"/>
      <c r="G16" s="192"/>
      <c r="H16" s="193"/>
      <c r="I16" s="193"/>
      <c r="J16" s="193"/>
      <c r="K16" s="193"/>
      <c r="L16" s="193"/>
      <c r="M16" s="193"/>
      <c r="N16" s="193"/>
      <c r="O16" s="193"/>
      <c r="P16" s="193"/>
      <c r="Q16" s="193"/>
      <c r="R16" s="226" t="s">
        <v>104</v>
      </c>
      <c r="S16" s="227">
        <v>0.45469999999999999</v>
      </c>
      <c r="T16" s="228" t="s">
        <v>140</v>
      </c>
      <c r="U16" s="227">
        <v>0.54530000000000001</v>
      </c>
      <c r="V16" s="225"/>
      <c r="W16" s="192"/>
      <c r="X16" s="5"/>
    </row>
    <row r="17" spans="1:24" ht="15.6" x14ac:dyDescent="0.3">
      <c r="A17" s="183"/>
      <c r="B17" s="222" t="s">
        <v>4</v>
      </c>
      <c r="C17" s="192"/>
      <c r="D17" s="192"/>
      <c r="E17" s="192"/>
      <c r="F17" s="192"/>
      <c r="G17" s="192"/>
      <c r="H17" s="192"/>
      <c r="I17" s="192"/>
      <c r="J17" s="192"/>
      <c r="K17" s="192"/>
      <c r="L17" s="192"/>
      <c r="M17" s="192"/>
      <c r="N17" s="192"/>
      <c r="O17" s="192"/>
      <c r="P17" s="192"/>
      <c r="Q17" s="192"/>
      <c r="R17" s="224"/>
      <c r="S17" s="224"/>
      <c r="T17" s="224"/>
      <c r="U17" s="224"/>
      <c r="V17" s="229">
        <v>39163</v>
      </c>
      <c r="W17" s="192"/>
      <c r="X17" s="5"/>
    </row>
    <row r="18" spans="1:24" ht="15.6" x14ac:dyDescent="0.3">
      <c r="A18" s="183"/>
      <c r="B18" s="222" t="s">
        <v>5</v>
      </c>
      <c r="C18" s="192"/>
      <c r="D18" s="192"/>
      <c r="E18" s="192"/>
      <c r="F18" s="192"/>
      <c r="G18" s="192"/>
      <c r="H18" s="192"/>
      <c r="I18" s="192"/>
      <c r="J18" s="192"/>
      <c r="K18" s="192"/>
      <c r="L18" s="192"/>
      <c r="M18" s="192"/>
      <c r="N18" s="192"/>
      <c r="O18" s="192"/>
      <c r="P18" s="192"/>
      <c r="Q18" s="192"/>
      <c r="R18" s="224"/>
      <c r="S18" s="224"/>
      <c r="T18" s="224"/>
      <c r="U18" s="224"/>
      <c r="V18" s="229">
        <v>40437</v>
      </c>
      <c r="W18" s="192"/>
      <c r="X18" s="5"/>
    </row>
    <row r="19" spans="1:24" ht="15.6" x14ac:dyDescent="0.3">
      <c r="A19" s="183"/>
      <c r="B19" s="185"/>
      <c r="C19" s="185"/>
      <c r="D19" s="185"/>
      <c r="E19" s="185"/>
      <c r="F19" s="185"/>
      <c r="G19" s="185"/>
      <c r="H19" s="185"/>
      <c r="I19" s="185"/>
      <c r="J19" s="185"/>
      <c r="K19" s="185"/>
      <c r="L19" s="185"/>
      <c r="M19" s="185"/>
      <c r="N19" s="185"/>
      <c r="O19" s="185"/>
      <c r="P19" s="185"/>
      <c r="Q19" s="185"/>
      <c r="R19" s="185"/>
      <c r="S19" s="185"/>
      <c r="T19" s="185"/>
      <c r="U19" s="185"/>
      <c r="V19" s="194"/>
      <c r="W19" s="185"/>
      <c r="X19" s="5"/>
    </row>
    <row r="20" spans="1:24" ht="15.6" x14ac:dyDescent="0.3">
      <c r="A20" s="183"/>
      <c r="B20" s="230" t="s">
        <v>6</v>
      </c>
      <c r="C20" s="185"/>
      <c r="D20" s="185"/>
      <c r="E20" s="185"/>
      <c r="F20" s="185"/>
      <c r="G20" s="185"/>
      <c r="H20" s="185"/>
      <c r="I20" s="185"/>
      <c r="J20" s="185"/>
      <c r="K20" s="185"/>
      <c r="L20" s="185"/>
      <c r="M20" s="185"/>
      <c r="N20" s="185"/>
      <c r="O20" s="185"/>
      <c r="P20" s="185"/>
      <c r="Q20" s="185"/>
      <c r="R20" s="185"/>
      <c r="S20" s="185"/>
      <c r="T20" s="223" t="s">
        <v>105</v>
      </c>
      <c r="U20" s="185"/>
      <c r="V20" s="182"/>
      <c r="W20" s="185"/>
      <c r="X20" s="5"/>
    </row>
    <row r="21" spans="1:24" ht="15.6" x14ac:dyDescent="0.3">
      <c r="A21" s="183"/>
      <c r="B21" s="185"/>
      <c r="C21" s="185"/>
      <c r="D21" s="185"/>
      <c r="E21" s="185"/>
      <c r="F21" s="185"/>
      <c r="G21" s="185"/>
      <c r="H21" s="185"/>
      <c r="I21" s="185"/>
      <c r="J21" s="185"/>
      <c r="K21" s="185"/>
      <c r="L21" s="185"/>
      <c r="M21" s="185"/>
      <c r="N21" s="185"/>
      <c r="O21" s="185"/>
      <c r="P21" s="185"/>
      <c r="Q21" s="185"/>
      <c r="R21" s="185"/>
      <c r="S21" s="185"/>
      <c r="T21" s="185"/>
      <c r="U21" s="185"/>
      <c r="V21" s="196"/>
      <c r="W21" s="185"/>
      <c r="X21" s="5"/>
    </row>
    <row r="22" spans="1:24" ht="15.6" x14ac:dyDescent="0.3">
      <c r="A22" s="262"/>
      <c r="B22" s="263"/>
      <c r="C22" s="264"/>
      <c r="D22" s="264" t="s">
        <v>177</v>
      </c>
      <c r="E22" s="264"/>
      <c r="F22" s="264" t="s">
        <v>178</v>
      </c>
      <c r="G22" s="264"/>
      <c r="H22" s="264" t="s">
        <v>179</v>
      </c>
      <c r="I22" s="264"/>
      <c r="J22" s="264" t="s">
        <v>220</v>
      </c>
      <c r="K22" s="264"/>
      <c r="L22" s="264" t="s">
        <v>180</v>
      </c>
      <c r="M22" s="264"/>
      <c r="N22" s="264" t="s">
        <v>181</v>
      </c>
      <c r="O22" s="264"/>
      <c r="P22" s="264" t="s">
        <v>221</v>
      </c>
      <c r="Q22" s="264"/>
      <c r="R22" s="264" t="s">
        <v>182</v>
      </c>
      <c r="S22" s="265"/>
      <c r="T22" s="266"/>
      <c r="U22" s="267"/>
      <c r="V22" s="267"/>
      <c r="W22" s="263"/>
      <c r="X22" s="5"/>
    </row>
    <row r="23" spans="1:24" ht="15.6" x14ac:dyDescent="0.3">
      <c r="A23" s="287"/>
      <c r="B23" s="288" t="s">
        <v>7</v>
      </c>
      <c r="C23" s="289"/>
      <c r="D23" s="289" t="s">
        <v>213</v>
      </c>
      <c r="E23" s="289"/>
      <c r="F23" s="289" t="s">
        <v>141</v>
      </c>
      <c r="G23" s="289"/>
      <c r="H23" s="289" t="s">
        <v>141</v>
      </c>
      <c r="I23" s="289"/>
      <c r="J23" s="289" t="s">
        <v>141</v>
      </c>
      <c r="K23" s="289"/>
      <c r="L23" s="289" t="s">
        <v>183</v>
      </c>
      <c r="M23" s="289"/>
      <c r="N23" s="289" t="s">
        <v>183</v>
      </c>
      <c r="O23" s="289"/>
      <c r="P23" s="289" t="s">
        <v>142</v>
      </c>
      <c r="Q23" s="289"/>
      <c r="R23" s="289" t="s">
        <v>142</v>
      </c>
      <c r="S23" s="289"/>
      <c r="T23" s="289"/>
      <c r="U23" s="290"/>
      <c r="V23" s="290"/>
      <c r="W23" s="291"/>
      <c r="X23" s="5"/>
    </row>
    <row r="24" spans="1:24" ht="15.6" x14ac:dyDescent="0.3">
      <c r="A24" s="287"/>
      <c r="B24" s="288" t="s">
        <v>8</v>
      </c>
      <c r="C24" s="289"/>
      <c r="D24" s="289" t="s">
        <v>214</v>
      </c>
      <c r="E24" s="289"/>
      <c r="F24" s="289" t="s">
        <v>143</v>
      </c>
      <c r="G24" s="289"/>
      <c r="H24" s="289" t="s">
        <v>143</v>
      </c>
      <c r="I24" s="289"/>
      <c r="J24" s="289" t="s">
        <v>143</v>
      </c>
      <c r="K24" s="289"/>
      <c r="L24" s="289" t="s">
        <v>165</v>
      </c>
      <c r="M24" s="289"/>
      <c r="N24" s="289" t="s">
        <v>165</v>
      </c>
      <c r="O24" s="289"/>
      <c r="P24" s="289" t="s">
        <v>144</v>
      </c>
      <c r="Q24" s="289"/>
      <c r="R24" s="289" t="s">
        <v>144</v>
      </c>
      <c r="S24" s="289"/>
      <c r="T24" s="289"/>
      <c r="U24" s="290"/>
      <c r="V24" s="290"/>
      <c r="W24" s="291"/>
      <c r="X24" s="5"/>
    </row>
    <row r="25" spans="1:24" ht="15.6" x14ac:dyDescent="0.3">
      <c r="A25" s="292"/>
      <c r="B25" s="293" t="s">
        <v>190</v>
      </c>
      <c r="C25" s="294"/>
      <c r="D25" s="289" t="s">
        <v>215</v>
      </c>
      <c r="E25" s="289"/>
      <c r="F25" s="289" t="s">
        <v>143</v>
      </c>
      <c r="G25" s="289"/>
      <c r="H25" s="289" t="s">
        <v>143</v>
      </c>
      <c r="I25" s="289"/>
      <c r="J25" s="289" t="s">
        <v>143</v>
      </c>
      <c r="K25" s="289"/>
      <c r="L25" s="289" t="s">
        <v>293</v>
      </c>
      <c r="M25" s="289"/>
      <c r="N25" s="289" t="s">
        <v>293</v>
      </c>
      <c r="O25" s="289"/>
      <c r="P25" s="289" t="s">
        <v>144</v>
      </c>
      <c r="Q25" s="289"/>
      <c r="R25" s="289" t="s">
        <v>144</v>
      </c>
      <c r="S25" s="294"/>
      <c r="T25" s="289"/>
      <c r="U25" s="290"/>
      <c r="V25" s="290"/>
      <c r="W25" s="291"/>
      <c r="X25" s="5"/>
    </row>
    <row r="26" spans="1:24" ht="15.6" x14ac:dyDescent="0.3">
      <c r="A26" s="292"/>
      <c r="B26" s="295" t="s">
        <v>9</v>
      </c>
      <c r="C26" s="294"/>
      <c r="D26" s="294" t="s">
        <v>213</v>
      </c>
      <c r="E26" s="294"/>
      <c r="F26" s="294" t="s">
        <v>141</v>
      </c>
      <c r="G26" s="294"/>
      <c r="H26" s="294" t="s">
        <v>141</v>
      </c>
      <c r="I26" s="294"/>
      <c r="J26" s="294" t="s">
        <v>141</v>
      </c>
      <c r="K26" s="294"/>
      <c r="L26" s="294" t="s">
        <v>183</v>
      </c>
      <c r="M26" s="294"/>
      <c r="N26" s="294" t="s">
        <v>183</v>
      </c>
      <c r="O26" s="294"/>
      <c r="P26" s="294" t="s">
        <v>142</v>
      </c>
      <c r="Q26" s="294"/>
      <c r="R26" s="294" t="s">
        <v>142</v>
      </c>
      <c r="S26" s="294"/>
      <c r="T26" s="289"/>
      <c r="U26" s="290"/>
      <c r="V26" s="290"/>
      <c r="W26" s="291"/>
      <c r="X26" s="5"/>
    </row>
    <row r="27" spans="1:24" ht="15.6" x14ac:dyDescent="0.3">
      <c r="A27" s="287"/>
      <c r="B27" s="295" t="s">
        <v>191</v>
      </c>
      <c r="C27" s="289"/>
      <c r="D27" s="294" t="s">
        <v>214</v>
      </c>
      <c r="E27" s="294"/>
      <c r="F27" s="294" t="s">
        <v>143</v>
      </c>
      <c r="G27" s="294"/>
      <c r="H27" s="294" t="s">
        <v>143</v>
      </c>
      <c r="I27" s="294"/>
      <c r="J27" s="294" t="s">
        <v>143</v>
      </c>
      <c r="K27" s="294"/>
      <c r="L27" s="294" t="s">
        <v>165</v>
      </c>
      <c r="M27" s="294"/>
      <c r="N27" s="294" t="s">
        <v>165</v>
      </c>
      <c r="O27" s="294"/>
      <c r="P27" s="294" t="s">
        <v>144</v>
      </c>
      <c r="Q27" s="294"/>
      <c r="R27" s="294" t="s">
        <v>144</v>
      </c>
      <c r="S27" s="289"/>
      <c r="T27" s="296"/>
      <c r="U27" s="290"/>
      <c r="V27" s="290"/>
      <c r="W27" s="291"/>
      <c r="X27" s="5"/>
    </row>
    <row r="28" spans="1:24" ht="15.6" x14ac:dyDescent="0.3">
      <c r="A28" s="287"/>
      <c r="B28" s="297" t="s">
        <v>192</v>
      </c>
      <c r="C28" s="289"/>
      <c r="D28" s="294" t="s">
        <v>215</v>
      </c>
      <c r="E28" s="294"/>
      <c r="F28" s="294" t="s">
        <v>143</v>
      </c>
      <c r="G28" s="294"/>
      <c r="H28" s="294" t="s">
        <v>143</v>
      </c>
      <c r="I28" s="294"/>
      <c r="J28" s="294" t="s">
        <v>143</v>
      </c>
      <c r="K28" s="294"/>
      <c r="L28" s="294" t="s">
        <v>293</v>
      </c>
      <c r="M28" s="294"/>
      <c r="N28" s="294" t="s">
        <v>293</v>
      </c>
      <c r="O28" s="294"/>
      <c r="P28" s="294" t="s">
        <v>144</v>
      </c>
      <c r="Q28" s="294"/>
      <c r="R28" s="294" t="s">
        <v>144</v>
      </c>
      <c r="S28" s="289"/>
      <c r="T28" s="296"/>
      <c r="U28" s="290"/>
      <c r="V28" s="290"/>
      <c r="W28" s="291"/>
      <c r="X28" s="5"/>
    </row>
    <row r="29" spans="1:24" ht="15.6" x14ac:dyDescent="0.3">
      <c r="A29" s="287"/>
      <c r="B29" s="288" t="s">
        <v>10</v>
      </c>
      <c r="C29" s="298"/>
      <c r="D29" s="289" t="s">
        <v>249</v>
      </c>
      <c r="E29" s="289"/>
      <c r="F29" s="296" t="s">
        <v>250</v>
      </c>
      <c r="G29" s="289"/>
      <c r="H29" s="289" t="s">
        <v>251</v>
      </c>
      <c r="I29" s="289"/>
      <c r="J29" s="289" t="s">
        <v>253</v>
      </c>
      <c r="K29" s="289"/>
      <c r="L29" s="289" t="s">
        <v>254</v>
      </c>
      <c r="M29" s="289"/>
      <c r="N29" s="289" t="s">
        <v>255</v>
      </c>
      <c r="O29" s="289"/>
      <c r="P29" s="289" t="s">
        <v>256</v>
      </c>
      <c r="Q29" s="289"/>
      <c r="R29" s="289" t="s">
        <v>257</v>
      </c>
      <c r="S29" s="299"/>
      <c r="T29" s="299"/>
      <c r="U29" s="300"/>
      <c r="V29" s="299"/>
      <c r="W29" s="301"/>
      <c r="X29" s="5"/>
    </row>
    <row r="30" spans="1:24" ht="15.6" x14ac:dyDescent="0.3">
      <c r="A30" s="287"/>
      <c r="B30" s="288" t="s">
        <v>10</v>
      </c>
      <c r="C30" s="298"/>
      <c r="D30" s="289" t="s">
        <v>248</v>
      </c>
      <c r="E30" s="289"/>
      <c r="F30" s="296" t="s">
        <v>118</v>
      </c>
      <c r="G30" s="289"/>
      <c r="H30" s="289" t="s">
        <v>118</v>
      </c>
      <c r="I30" s="289"/>
      <c r="J30" s="289" t="s">
        <v>252</v>
      </c>
      <c r="K30" s="289"/>
      <c r="L30" s="289" t="s">
        <v>118</v>
      </c>
      <c r="M30" s="289"/>
      <c r="N30" s="289" t="s">
        <v>118</v>
      </c>
      <c r="O30" s="289"/>
      <c r="P30" s="289" t="s">
        <v>118</v>
      </c>
      <c r="Q30" s="289"/>
      <c r="R30" s="289" t="s">
        <v>118</v>
      </c>
      <c r="S30" s="299"/>
      <c r="T30" s="299"/>
      <c r="U30" s="300"/>
      <c r="V30" s="299"/>
      <c r="W30" s="301"/>
      <c r="X30" s="5"/>
    </row>
    <row r="31" spans="1:24" ht="15.6" x14ac:dyDescent="0.3">
      <c r="A31" s="292"/>
      <c r="B31" s="288" t="s">
        <v>133</v>
      </c>
      <c r="C31" s="302"/>
      <c r="D31" s="303">
        <v>1500000</v>
      </c>
      <c r="E31" s="298"/>
      <c r="F31" s="299">
        <v>125000</v>
      </c>
      <c r="G31" s="299"/>
      <c r="H31" s="304">
        <v>246000</v>
      </c>
      <c r="I31" s="304"/>
      <c r="J31" s="303">
        <v>400000</v>
      </c>
      <c r="K31" s="299"/>
      <c r="L31" s="299">
        <v>51900</v>
      </c>
      <c r="M31" s="299"/>
      <c r="N31" s="304">
        <v>88800</v>
      </c>
      <c r="O31" s="299"/>
      <c r="P31" s="299">
        <v>20000</v>
      </c>
      <c r="Q31" s="299"/>
      <c r="R31" s="304">
        <v>135500</v>
      </c>
      <c r="S31" s="305"/>
      <c r="T31" s="305"/>
      <c r="U31" s="306"/>
      <c r="V31" s="305"/>
      <c r="W31" s="301"/>
      <c r="X31" s="5"/>
    </row>
    <row r="32" spans="1:24" ht="15.6" x14ac:dyDescent="0.3">
      <c r="A32" s="287"/>
      <c r="B32" s="288" t="s">
        <v>132</v>
      </c>
      <c r="C32" s="298"/>
      <c r="D32" s="303">
        <f>D31*D38</f>
        <v>1122092.8499999999</v>
      </c>
      <c r="E32" s="298"/>
      <c r="F32" s="299">
        <f>F31*F38</f>
        <v>93507.8</v>
      </c>
      <c r="G32" s="299"/>
      <c r="H32" s="304">
        <f>H31*H38</f>
        <v>184023.3504</v>
      </c>
      <c r="I32" s="304"/>
      <c r="J32" s="303">
        <f>J31*J38</f>
        <v>299224.75999999995</v>
      </c>
      <c r="K32" s="299"/>
      <c r="L32" s="299">
        <f>+L31</f>
        <v>51900</v>
      </c>
      <c r="M32" s="299"/>
      <c r="N32" s="304">
        <f>+N31</f>
        <v>88800</v>
      </c>
      <c r="O32" s="299"/>
      <c r="P32" s="299">
        <f>+P31</f>
        <v>20000</v>
      </c>
      <c r="Q32" s="299"/>
      <c r="R32" s="304">
        <f>+R31</f>
        <v>135500</v>
      </c>
      <c r="S32" s="299"/>
      <c r="T32" s="299"/>
      <c r="U32" s="300"/>
      <c r="V32" s="299"/>
      <c r="W32" s="301"/>
      <c r="X32" s="5"/>
    </row>
    <row r="33" spans="1:24" ht="15.6" x14ac:dyDescent="0.3">
      <c r="A33" s="287"/>
      <c r="B33" s="295" t="s">
        <v>134</v>
      </c>
      <c r="C33" s="298"/>
      <c r="D33" s="307">
        <f>D37*D31</f>
        <v>1110546.45</v>
      </c>
      <c r="E33" s="302"/>
      <c r="F33" s="305">
        <f>F37*F31</f>
        <v>92545.600000000006</v>
      </c>
      <c r="G33" s="305"/>
      <c r="H33" s="308">
        <f>H31*H37</f>
        <v>182129.7408</v>
      </c>
      <c r="I33" s="308"/>
      <c r="J33" s="307">
        <f>J37*J31</f>
        <v>296145.71999999997</v>
      </c>
      <c r="K33" s="305"/>
      <c r="L33" s="305">
        <f>L31*L37</f>
        <v>51900</v>
      </c>
      <c r="M33" s="305"/>
      <c r="N33" s="308">
        <f>N31*N37</f>
        <v>88800</v>
      </c>
      <c r="O33" s="305"/>
      <c r="P33" s="305">
        <f>P31*P37</f>
        <v>20000</v>
      </c>
      <c r="Q33" s="305"/>
      <c r="R33" s="308">
        <f>R31*R37</f>
        <v>135500</v>
      </c>
      <c r="S33" s="299"/>
      <c r="T33" s="299"/>
      <c r="U33" s="300"/>
      <c r="V33" s="299"/>
      <c r="W33" s="301"/>
      <c r="X33" s="5"/>
    </row>
    <row r="34" spans="1:24" ht="15.6" x14ac:dyDescent="0.3">
      <c r="A34" s="292"/>
      <c r="B34" s="288" t="s">
        <v>296</v>
      </c>
      <c r="C34" s="302"/>
      <c r="D34" s="299">
        <v>775194</v>
      </c>
      <c r="E34" s="298"/>
      <c r="F34" s="299">
        <v>125000</v>
      </c>
      <c r="G34" s="299"/>
      <c r="H34" s="299">
        <v>168148</v>
      </c>
      <c r="I34" s="299"/>
      <c r="J34" s="299">
        <v>206718</v>
      </c>
      <c r="K34" s="299"/>
      <c r="L34" s="299">
        <v>51900</v>
      </c>
      <c r="M34" s="299"/>
      <c r="N34" s="299">
        <v>60697</v>
      </c>
      <c r="O34" s="299"/>
      <c r="P34" s="299">
        <v>20000</v>
      </c>
      <c r="Q34" s="299"/>
      <c r="R34" s="299">
        <v>92618</v>
      </c>
      <c r="S34" s="305"/>
      <c r="T34" s="305"/>
      <c r="U34" s="306"/>
      <c r="V34" s="309">
        <f>SUM(C34:R34)</f>
        <v>1500275</v>
      </c>
      <c r="W34" s="301"/>
      <c r="X34" s="5"/>
    </row>
    <row r="35" spans="1:24" ht="15.6" x14ac:dyDescent="0.3">
      <c r="A35" s="292"/>
      <c r="B35" s="288" t="s">
        <v>297</v>
      </c>
      <c r="C35" s="310"/>
      <c r="D35" s="299">
        <f>D34*D38</f>
        <v>579893.09650859993</v>
      </c>
      <c r="E35" s="298"/>
      <c r="F35" s="299">
        <f>F34*F38</f>
        <v>93507.8</v>
      </c>
      <c r="G35" s="299"/>
      <c r="H35" s="299">
        <f>H34*H38</f>
        <v>125785.19643520001</v>
      </c>
      <c r="I35" s="299"/>
      <c r="J35" s="299">
        <f>J34*J38</f>
        <v>154637.85984419999</v>
      </c>
      <c r="K35" s="299"/>
      <c r="L35" s="299">
        <f>+L34</f>
        <v>51900</v>
      </c>
      <c r="M35" s="299"/>
      <c r="N35" s="299">
        <f>+N34</f>
        <v>60697</v>
      </c>
      <c r="O35" s="299"/>
      <c r="P35" s="299">
        <f>+P34</f>
        <v>20000</v>
      </c>
      <c r="Q35" s="299"/>
      <c r="R35" s="299">
        <f>+R34</f>
        <v>92618</v>
      </c>
      <c r="S35" s="299"/>
      <c r="T35" s="299"/>
      <c r="U35" s="300"/>
      <c r="V35" s="309">
        <f>SUM(C35:R35)</f>
        <v>1179038.952788</v>
      </c>
      <c r="W35" s="301"/>
      <c r="X35" s="5"/>
    </row>
    <row r="36" spans="1:24" ht="15.6" x14ac:dyDescent="0.3">
      <c r="A36" s="292"/>
      <c r="B36" s="295" t="s">
        <v>298</v>
      </c>
      <c r="C36" s="310"/>
      <c r="D36" s="305">
        <f>D34*D37</f>
        <v>573925.96317420003</v>
      </c>
      <c r="E36" s="302"/>
      <c r="F36" s="305">
        <f>F34*F37</f>
        <v>92545.600000000006</v>
      </c>
      <c r="G36" s="305"/>
      <c r="H36" s="305">
        <f>H34*H37</f>
        <v>124490.8603904</v>
      </c>
      <c r="I36" s="305"/>
      <c r="J36" s="305">
        <f>J34*J37</f>
        <v>153046.62736739998</v>
      </c>
      <c r="K36" s="305"/>
      <c r="L36" s="305">
        <f>L34*L37</f>
        <v>51900</v>
      </c>
      <c r="M36" s="305"/>
      <c r="N36" s="305">
        <f>N34*N37</f>
        <v>60697</v>
      </c>
      <c r="O36" s="305"/>
      <c r="P36" s="305">
        <f>P34*P37</f>
        <v>20000</v>
      </c>
      <c r="Q36" s="305"/>
      <c r="R36" s="305">
        <f>R34*R37</f>
        <v>92618</v>
      </c>
      <c r="S36" s="311"/>
      <c r="T36" s="311"/>
      <c r="U36" s="300"/>
      <c r="V36" s="312">
        <f>SUM(C36:R36)</f>
        <v>1169224.0509319999</v>
      </c>
      <c r="W36" s="301"/>
      <c r="X36" s="5"/>
    </row>
    <row r="37" spans="1:24" ht="15.6" x14ac:dyDescent="0.3">
      <c r="A37" s="287"/>
      <c r="B37" s="313" t="s">
        <v>130</v>
      </c>
      <c r="C37" s="314"/>
      <c r="D37" s="315">
        <v>0.74036429999999998</v>
      </c>
      <c r="E37" s="315"/>
      <c r="F37" s="315">
        <v>0.74036480000000005</v>
      </c>
      <c r="G37" s="315"/>
      <c r="H37" s="315">
        <v>0.74036480000000005</v>
      </c>
      <c r="I37" s="315"/>
      <c r="J37" s="315">
        <v>0.74036429999999998</v>
      </c>
      <c r="K37" s="315"/>
      <c r="L37" s="315">
        <v>1</v>
      </c>
      <c r="M37" s="315"/>
      <c r="N37" s="315">
        <v>1</v>
      </c>
      <c r="O37" s="315"/>
      <c r="P37" s="315">
        <v>1</v>
      </c>
      <c r="Q37" s="315"/>
      <c r="R37" s="315">
        <v>1</v>
      </c>
      <c r="S37" s="316"/>
      <c r="T37" s="316"/>
      <c r="U37" s="317"/>
      <c r="V37" s="317"/>
      <c r="W37" s="318"/>
      <c r="X37" s="5"/>
    </row>
    <row r="38" spans="1:24" ht="15.6" x14ac:dyDescent="0.3">
      <c r="A38" s="287"/>
      <c r="B38" s="313" t="s">
        <v>131</v>
      </c>
      <c r="C38" s="314"/>
      <c r="D38" s="315">
        <v>0.74806189999999995</v>
      </c>
      <c r="E38" s="315"/>
      <c r="F38" s="315">
        <v>0.74806240000000002</v>
      </c>
      <c r="G38" s="315"/>
      <c r="H38" s="315">
        <v>0.74806240000000002</v>
      </c>
      <c r="I38" s="315"/>
      <c r="J38" s="315">
        <v>0.74806189999999995</v>
      </c>
      <c r="K38" s="315"/>
      <c r="L38" s="315">
        <v>1</v>
      </c>
      <c r="M38" s="315"/>
      <c r="N38" s="315">
        <v>1</v>
      </c>
      <c r="O38" s="315"/>
      <c r="P38" s="315">
        <v>1</v>
      </c>
      <c r="Q38" s="315"/>
      <c r="R38" s="315">
        <v>1</v>
      </c>
      <c r="S38" s="319"/>
      <c r="T38" s="320"/>
      <c r="U38" s="317"/>
      <c r="V38" s="319"/>
      <c r="W38" s="318"/>
      <c r="X38" s="5"/>
    </row>
    <row r="39" spans="1:24" ht="15.6" x14ac:dyDescent="0.3">
      <c r="A39" s="287"/>
      <c r="B39" s="288" t="s">
        <v>11</v>
      </c>
      <c r="C39" s="288"/>
      <c r="D39" s="296" t="s">
        <v>285</v>
      </c>
      <c r="E39" s="288"/>
      <c r="F39" s="296" t="s">
        <v>258</v>
      </c>
      <c r="G39" s="296"/>
      <c r="H39" s="296" t="s">
        <v>258</v>
      </c>
      <c r="I39" s="296"/>
      <c r="J39" s="296" t="s">
        <v>258</v>
      </c>
      <c r="K39" s="296"/>
      <c r="L39" s="296" t="s">
        <v>232</v>
      </c>
      <c r="M39" s="296"/>
      <c r="N39" s="296" t="s">
        <v>232</v>
      </c>
      <c r="O39" s="296"/>
      <c r="P39" s="296" t="s">
        <v>233</v>
      </c>
      <c r="Q39" s="296"/>
      <c r="R39" s="296" t="s">
        <v>233</v>
      </c>
      <c r="S39" s="321"/>
      <c r="T39" s="322"/>
      <c r="U39" s="290"/>
      <c r="V39" s="290"/>
      <c r="W39" s="291"/>
      <c r="X39" s="5"/>
    </row>
    <row r="40" spans="1:24" ht="15.6" x14ac:dyDescent="0.3">
      <c r="A40" s="287"/>
      <c r="B40" s="288" t="s">
        <v>12</v>
      </c>
      <c r="C40" s="288"/>
      <c r="D40" s="322">
        <v>3.7594E-3</v>
      </c>
      <c r="E40" s="288"/>
      <c r="F40" s="322">
        <v>8.3000000000000001E-3</v>
      </c>
      <c r="G40" s="321"/>
      <c r="H40" s="322">
        <v>8.1899999999999994E-3</v>
      </c>
      <c r="I40" s="322"/>
      <c r="J40" s="322">
        <v>6.3705999999999997E-3</v>
      </c>
      <c r="K40" s="321"/>
      <c r="L40" s="322">
        <v>9.1000000000000004E-3</v>
      </c>
      <c r="M40" s="321"/>
      <c r="N40" s="322">
        <v>8.9899999999999997E-3</v>
      </c>
      <c r="O40" s="321"/>
      <c r="P40" s="322">
        <v>1.11E-2</v>
      </c>
      <c r="Q40" s="321"/>
      <c r="R40" s="322">
        <v>1.099E-2</v>
      </c>
      <c r="S40" s="321"/>
      <c r="T40" s="322"/>
      <c r="U40" s="290"/>
      <c r="V40" s="296"/>
      <c r="W40" s="291"/>
      <c r="X40" s="5"/>
    </row>
    <row r="41" spans="1:24" ht="15.6" x14ac:dyDescent="0.3">
      <c r="A41" s="287"/>
      <c r="B41" s="288" t="s">
        <v>13</v>
      </c>
      <c r="C41" s="288"/>
      <c r="D41" s="322">
        <v>4.3687999999999999E-3</v>
      </c>
      <c r="E41" s="288"/>
      <c r="F41" s="322">
        <v>7.45E-3</v>
      </c>
      <c r="G41" s="321"/>
      <c r="H41" s="322">
        <v>7.4999999999999997E-3</v>
      </c>
      <c r="I41" s="322"/>
      <c r="J41" s="322">
        <v>3.5703000000000002E-3</v>
      </c>
      <c r="K41" s="321"/>
      <c r="L41" s="322">
        <v>8.2500000000000004E-3</v>
      </c>
      <c r="M41" s="321"/>
      <c r="N41" s="322">
        <v>8.3000000000000001E-3</v>
      </c>
      <c r="O41" s="321"/>
      <c r="P41" s="322">
        <v>1.025E-2</v>
      </c>
      <c r="Q41" s="321"/>
      <c r="R41" s="322">
        <v>1.03E-2</v>
      </c>
      <c r="S41" s="321"/>
      <c r="T41" s="322"/>
      <c r="U41" s="290"/>
      <c r="V41" s="321" t="s">
        <v>193</v>
      </c>
      <c r="W41" s="291"/>
      <c r="X41" s="5"/>
    </row>
    <row r="42" spans="1:24" ht="15.6" x14ac:dyDescent="0.3">
      <c r="A42" s="287"/>
      <c r="B42" s="288" t="s">
        <v>299</v>
      </c>
      <c r="C42" s="288"/>
      <c r="D42" s="296" t="s">
        <v>286</v>
      </c>
      <c r="E42" s="288"/>
      <c r="F42" s="296" t="s">
        <v>258</v>
      </c>
      <c r="G42" s="296"/>
      <c r="H42" s="296" t="s">
        <v>259</v>
      </c>
      <c r="I42" s="296"/>
      <c r="J42" s="296" t="s">
        <v>260</v>
      </c>
      <c r="K42" s="296"/>
      <c r="L42" s="296" t="s">
        <v>232</v>
      </c>
      <c r="M42" s="296"/>
      <c r="N42" s="296" t="s">
        <v>235</v>
      </c>
      <c r="O42" s="296"/>
      <c r="P42" s="296" t="s">
        <v>233</v>
      </c>
      <c r="Q42" s="296"/>
      <c r="R42" s="296" t="s">
        <v>261</v>
      </c>
      <c r="S42" s="321"/>
      <c r="T42" s="322"/>
      <c r="U42" s="290"/>
      <c r="V42" s="290"/>
      <c r="W42" s="291"/>
      <c r="X42" s="5"/>
    </row>
    <row r="43" spans="1:24" ht="15.6" x14ac:dyDescent="0.3">
      <c r="A43" s="287"/>
      <c r="B43" s="288" t="s">
        <v>300</v>
      </c>
      <c r="C43" s="323"/>
      <c r="D43" s="322">
        <v>8.6390000000000008E-3</v>
      </c>
      <c r="E43" s="322"/>
      <c r="F43" s="322">
        <f>+F40</f>
        <v>8.3000000000000001E-3</v>
      </c>
      <c r="G43" s="322"/>
      <c r="H43" s="322">
        <v>8.4399999999999996E-3</v>
      </c>
      <c r="I43" s="322"/>
      <c r="J43" s="322">
        <v>8.6630000000000006E-3</v>
      </c>
      <c r="K43" s="322"/>
      <c r="L43" s="322">
        <f>+L40</f>
        <v>9.1000000000000004E-3</v>
      </c>
      <c r="M43" s="322"/>
      <c r="N43" s="322">
        <v>9.3959999999999998E-3</v>
      </c>
      <c r="O43" s="322"/>
      <c r="P43" s="322">
        <f>+P40</f>
        <v>1.11E-2</v>
      </c>
      <c r="Q43" s="321"/>
      <c r="R43" s="322">
        <v>1.1632999999999999E-2</v>
      </c>
      <c r="S43" s="296"/>
      <c r="T43" s="296"/>
      <c r="U43" s="290"/>
      <c r="V43" s="321">
        <f>SUMPRODUCT(D43:R43,D35:R35)/V35</f>
        <v>8.9302310323027944E-3</v>
      </c>
      <c r="W43" s="291"/>
      <c r="X43" s="5"/>
    </row>
    <row r="44" spans="1:24" ht="15.6" x14ac:dyDescent="0.3">
      <c r="A44" s="287"/>
      <c r="B44" s="288" t="s">
        <v>301</v>
      </c>
      <c r="C44" s="323"/>
      <c r="D44" s="322">
        <v>7.7889999999999999E-3</v>
      </c>
      <c r="E44" s="322"/>
      <c r="F44" s="322">
        <f>+F41</f>
        <v>7.45E-3</v>
      </c>
      <c r="G44" s="322"/>
      <c r="H44" s="322">
        <v>7.5900000000000004E-3</v>
      </c>
      <c r="I44" s="322"/>
      <c r="J44" s="322">
        <v>7.8130000000000005E-3</v>
      </c>
      <c r="K44" s="322"/>
      <c r="L44" s="322">
        <f>+L41</f>
        <v>8.2500000000000004E-3</v>
      </c>
      <c r="M44" s="322"/>
      <c r="N44" s="322">
        <v>8.5459999999999998E-3</v>
      </c>
      <c r="O44" s="322"/>
      <c r="P44" s="322">
        <f>+P41</f>
        <v>1.025E-2</v>
      </c>
      <c r="Q44" s="321"/>
      <c r="R44" s="322">
        <v>1.0782999999999999E-2</v>
      </c>
      <c r="S44" s="296"/>
      <c r="T44" s="296"/>
      <c r="U44" s="290"/>
      <c r="V44" s="290"/>
      <c r="W44" s="291"/>
      <c r="X44" s="5"/>
    </row>
    <row r="45" spans="1:24" ht="15.6" x14ac:dyDescent="0.3">
      <c r="A45" s="287"/>
      <c r="B45" s="288" t="s">
        <v>14</v>
      </c>
      <c r="C45" s="288"/>
      <c r="D45" s="323">
        <v>40617</v>
      </c>
      <c r="E45" s="323"/>
      <c r="F45" s="323">
        <v>40617</v>
      </c>
      <c r="G45" s="323"/>
      <c r="H45" s="323">
        <v>40617</v>
      </c>
      <c r="I45" s="323"/>
      <c r="J45" s="323">
        <v>40617</v>
      </c>
      <c r="K45" s="323"/>
      <c r="L45" s="323">
        <v>40617</v>
      </c>
      <c r="M45" s="323"/>
      <c r="N45" s="323">
        <v>40617</v>
      </c>
      <c r="O45" s="323"/>
      <c r="P45" s="323">
        <v>40617</v>
      </c>
      <c r="Q45" s="323"/>
      <c r="R45" s="323">
        <v>40617</v>
      </c>
      <c r="S45" s="296"/>
      <c r="T45" s="296"/>
      <c r="U45" s="290"/>
      <c r="V45" s="290"/>
      <c r="W45" s="291"/>
      <c r="X45" s="5"/>
    </row>
    <row r="46" spans="1:24" ht="15.6" x14ac:dyDescent="0.3">
      <c r="A46" s="287"/>
      <c r="B46" s="288" t="s">
        <v>15</v>
      </c>
      <c r="C46" s="288"/>
      <c r="D46" s="323" t="s">
        <v>118</v>
      </c>
      <c r="E46" s="323"/>
      <c r="F46" s="323">
        <v>40983</v>
      </c>
      <c r="G46" s="323"/>
      <c r="H46" s="323">
        <v>40983</v>
      </c>
      <c r="I46" s="323"/>
      <c r="J46" s="323">
        <v>40983</v>
      </c>
      <c r="K46" s="296"/>
      <c r="L46" s="323">
        <v>40983</v>
      </c>
      <c r="M46" s="296"/>
      <c r="N46" s="323">
        <v>40983</v>
      </c>
      <c r="O46" s="296"/>
      <c r="P46" s="323">
        <v>40983</v>
      </c>
      <c r="Q46" s="296"/>
      <c r="R46" s="323">
        <v>40983</v>
      </c>
      <c r="S46" s="296"/>
      <c r="T46" s="296"/>
      <c r="U46" s="290"/>
      <c r="V46" s="290"/>
      <c r="W46" s="291"/>
      <c r="X46" s="5"/>
    </row>
    <row r="47" spans="1:24" ht="15.6" x14ac:dyDescent="0.3">
      <c r="A47" s="287"/>
      <c r="B47" s="288" t="s">
        <v>119</v>
      </c>
      <c r="C47" s="288"/>
      <c r="D47" s="324" t="s">
        <v>118</v>
      </c>
      <c r="E47" s="288"/>
      <c r="F47" s="296" t="s">
        <v>231</v>
      </c>
      <c r="G47" s="296"/>
      <c r="H47" s="296" t="s">
        <v>231</v>
      </c>
      <c r="I47" s="296"/>
      <c r="J47" s="296" t="s">
        <v>231</v>
      </c>
      <c r="K47" s="296"/>
      <c r="L47" s="296" t="s">
        <v>265</v>
      </c>
      <c r="M47" s="296"/>
      <c r="N47" s="296" t="s">
        <v>265</v>
      </c>
      <c r="O47" s="296"/>
      <c r="P47" s="296" t="s">
        <v>266</v>
      </c>
      <c r="Q47" s="296"/>
      <c r="R47" s="296" t="s">
        <v>266</v>
      </c>
      <c r="S47" s="325"/>
      <c r="T47" s="325"/>
      <c r="U47" s="325"/>
      <c r="V47" s="325"/>
      <c r="W47" s="291"/>
      <c r="X47" s="5"/>
    </row>
    <row r="48" spans="1:24" ht="15.6" x14ac:dyDescent="0.3">
      <c r="A48" s="287"/>
      <c r="B48" s="288" t="s">
        <v>302</v>
      </c>
      <c r="C48" s="288"/>
      <c r="D48" s="296" t="s">
        <v>200</v>
      </c>
      <c r="E48" s="288"/>
      <c r="F48" s="296" t="s">
        <v>231</v>
      </c>
      <c r="G48" s="296"/>
      <c r="H48" s="296" t="s">
        <v>262</v>
      </c>
      <c r="I48" s="296"/>
      <c r="J48" s="296" t="s">
        <v>263</v>
      </c>
      <c r="K48" s="296"/>
      <c r="L48" s="296" t="s">
        <v>265</v>
      </c>
      <c r="M48" s="296"/>
      <c r="N48" s="296" t="s">
        <v>234</v>
      </c>
      <c r="O48" s="296"/>
      <c r="P48" s="296" t="s">
        <v>266</v>
      </c>
      <c r="Q48" s="296"/>
      <c r="R48" s="296" t="s">
        <v>264</v>
      </c>
      <c r="S48" s="288"/>
      <c r="T48" s="288"/>
      <c r="U48" s="288"/>
      <c r="V48" s="321"/>
      <c r="W48" s="291"/>
      <c r="X48" s="5"/>
    </row>
    <row r="49" spans="1:25" ht="15.6" x14ac:dyDescent="0.3">
      <c r="A49" s="287"/>
      <c r="B49" s="288"/>
      <c r="C49" s="288"/>
      <c r="D49" s="296"/>
      <c r="E49" s="288"/>
      <c r="F49" s="296"/>
      <c r="G49" s="296"/>
      <c r="H49" s="296"/>
      <c r="I49" s="296"/>
      <c r="J49" s="296"/>
      <c r="K49" s="296"/>
      <c r="L49" s="296"/>
      <c r="M49" s="296"/>
      <c r="N49" s="296"/>
      <c r="O49" s="296"/>
      <c r="P49" s="296"/>
      <c r="Q49" s="296"/>
      <c r="R49" s="296"/>
      <c r="S49" s="288"/>
      <c r="T49" s="288"/>
      <c r="U49" s="288"/>
      <c r="V49" s="321" t="s">
        <v>193</v>
      </c>
      <c r="W49" s="291"/>
      <c r="X49" s="5"/>
    </row>
    <row r="50" spans="1:25" ht="15.6" x14ac:dyDescent="0.3">
      <c r="A50" s="287"/>
      <c r="B50" s="288" t="s">
        <v>169</v>
      </c>
      <c r="C50" s="288"/>
      <c r="D50" s="296"/>
      <c r="E50" s="288"/>
      <c r="F50" s="296"/>
      <c r="G50" s="296"/>
      <c r="H50" s="296"/>
      <c r="I50" s="296"/>
      <c r="J50" s="296"/>
      <c r="K50" s="296"/>
      <c r="L50" s="296"/>
      <c r="M50" s="296"/>
      <c r="N50" s="296"/>
      <c r="O50" s="296"/>
      <c r="P50" s="296"/>
      <c r="Q50" s="296"/>
      <c r="R50" s="296"/>
      <c r="S50" s="288"/>
      <c r="T50" s="288"/>
      <c r="U50" s="288"/>
      <c r="V50" s="321">
        <f>SUM(L34:R34)/SUM(D34:J34)</f>
        <v>0.17663090364375009</v>
      </c>
      <c r="W50" s="291"/>
      <c r="X50" s="5"/>
    </row>
    <row r="51" spans="1:25" ht="15.6" x14ac:dyDescent="0.3">
      <c r="A51" s="287"/>
      <c r="B51" s="288" t="s">
        <v>170</v>
      </c>
      <c r="C51" s="288"/>
      <c r="D51" s="288"/>
      <c r="E51" s="288"/>
      <c r="F51" s="326"/>
      <c r="G51" s="288"/>
      <c r="H51" s="288"/>
      <c r="I51" s="288"/>
      <c r="J51" s="288"/>
      <c r="K51" s="288"/>
      <c r="L51" s="288"/>
      <c r="M51" s="288"/>
      <c r="N51" s="288"/>
      <c r="O51" s="288"/>
      <c r="P51" s="288"/>
      <c r="Q51" s="288"/>
      <c r="R51" s="288"/>
      <c r="S51" s="288"/>
      <c r="T51" s="288"/>
      <c r="U51" s="288"/>
      <c r="V51" s="321">
        <f>SUM(L36:R36)/SUM(D36:J36)</f>
        <v>0.2385729244625886</v>
      </c>
      <c r="W51" s="291"/>
      <c r="X51" s="5"/>
    </row>
    <row r="52" spans="1:25" ht="15.6" x14ac:dyDescent="0.3">
      <c r="A52" s="287"/>
      <c r="B52" s="288" t="s">
        <v>171</v>
      </c>
      <c r="C52" s="288"/>
      <c r="D52" s="288"/>
      <c r="E52" s="288"/>
      <c r="F52" s="288"/>
      <c r="G52" s="288"/>
      <c r="H52" s="288"/>
      <c r="I52" s="288"/>
      <c r="J52" s="288"/>
      <c r="K52" s="288"/>
      <c r="L52" s="288"/>
      <c r="M52" s="288"/>
      <c r="N52" s="288"/>
      <c r="O52" s="288"/>
      <c r="P52" s="288"/>
      <c r="Q52" s="288"/>
      <c r="R52" s="288"/>
      <c r="S52" s="288"/>
      <c r="T52" s="296"/>
      <c r="U52" s="296"/>
      <c r="V52" s="299" t="s">
        <v>276</v>
      </c>
      <c r="W52" s="291"/>
      <c r="X52" s="5"/>
    </row>
    <row r="53" spans="1:25" ht="15.6" x14ac:dyDescent="0.3">
      <c r="A53" s="287"/>
      <c r="B53" s="288"/>
      <c r="C53" s="288"/>
      <c r="D53" s="288"/>
      <c r="E53" s="288"/>
      <c r="F53" s="288"/>
      <c r="G53" s="288"/>
      <c r="H53" s="288"/>
      <c r="I53" s="288"/>
      <c r="J53" s="288"/>
      <c r="K53" s="288"/>
      <c r="L53" s="288"/>
      <c r="M53" s="288"/>
      <c r="N53" s="288"/>
      <c r="O53" s="288"/>
      <c r="P53" s="288"/>
      <c r="Q53" s="288"/>
      <c r="R53" s="288"/>
      <c r="S53" s="288"/>
      <c r="T53" s="288"/>
      <c r="U53" s="288"/>
      <c r="V53" s="327"/>
      <c r="W53" s="291"/>
      <c r="X53" s="5"/>
    </row>
    <row r="54" spans="1:25" ht="15.6" x14ac:dyDescent="0.3">
      <c r="A54" s="287"/>
      <c r="B54" s="288" t="s">
        <v>202</v>
      </c>
      <c r="C54" s="288"/>
      <c r="D54" s="288"/>
      <c r="E54" s="288"/>
      <c r="F54" s="288"/>
      <c r="G54" s="288"/>
      <c r="H54" s="288"/>
      <c r="I54" s="288"/>
      <c r="J54" s="288"/>
      <c r="K54" s="288"/>
      <c r="L54" s="288"/>
      <c r="M54" s="288"/>
      <c r="N54" s="288"/>
      <c r="O54" s="288"/>
      <c r="P54" s="288"/>
      <c r="Q54" s="288"/>
      <c r="R54" s="288"/>
      <c r="S54" s="288"/>
      <c r="T54" s="288"/>
      <c r="U54" s="288"/>
      <c r="V54" s="328" t="s">
        <v>203</v>
      </c>
      <c r="W54" s="291"/>
      <c r="X54" s="5"/>
    </row>
    <row r="55" spans="1:25" ht="15.6" x14ac:dyDescent="0.3">
      <c r="A55" s="287"/>
      <c r="B55" s="288" t="s">
        <v>280</v>
      </c>
      <c r="C55" s="288"/>
      <c r="D55" s="288"/>
      <c r="E55" s="288"/>
      <c r="F55" s="288"/>
      <c r="G55" s="288"/>
      <c r="H55" s="288"/>
      <c r="I55" s="288"/>
      <c r="J55" s="288"/>
      <c r="K55" s="288"/>
      <c r="L55" s="288"/>
      <c r="M55" s="288"/>
      <c r="N55" s="288"/>
      <c r="O55" s="288"/>
      <c r="P55" s="288"/>
      <c r="Q55" s="288"/>
      <c r="R55" s="288"/>
      <c r="S55" s="288"/>
      <c r="T55" s="296"/>
      <c r="U55" s="296"/>
      <c r="V55" s="329" t="s">
        <v>111</v>
      </c>
      <c r="W55" s="291"/>
      <c r="X55" s="5"/>
    </row>
    <row r="56" spans="1:25" ht="15.6" x14ac:dyDescent="0.3">
      <c r="A56" s="287"/>
      <c r="B56" s="295" t="s">
        <v>201</v>
      </c>
      <c r="C56" s="295"/>
      <c r="D56" s="295"/>
      <c r="E56" s="295"/>
      <c r="F56" s="295"/>
      <c r="G56" s="295"/>
      <c r="H56" s="295"/>
      <c r="I56" s="295"/>
      <c r="J56" s="295"/>
      <c r="K56" s="295"/>
      <c r="L56" s="295"/>
      <c r="M56" s="295"/>
      <c r="N56" s="295"/>
      <c r="O56" s="295"/>
      <c r="P56" s="295"/>
      <c r="Q56" s="295"/>
      <c r="R56" s="295"/>
      <c r="S56" s="295"/>
      <c r="T56" s="330"/>
      <c r="U56" s="330"/>
      <c r="V56" s="331">
        <v>40436</v>
      </c>
      <c r="W56" s="291"/>
      <c r="X56" s="5"/>
    </row>
    <row r="57" spans="1:25" ht="15.6" x14ac:dyDescent="0.3">
      <c r="A57" s="287"/>
      <c r="B57" s="288" t="s">
        <v>121</v>
      </c>
      <c r="C57" s="288"/>
      <c r="D57" s="288"/>
      <c r="E57" s="288"/>
      <c r="F57" s="288"/>
      <c r="G57" s="288"/>
      <c r="H57" s="332"/>
      <c r="I57" s="332"/>
      <c r="J57" s="332"/>
      <c r="K57" s="332"/>
      <c r="L57" s="332"/>
      <c r="M57" s="332"/>
      <c r="N57" s="332"/>
      <c r="O57" s="332"/>
      <c r="P57" s="332"/>
      <c r="Q57" s="332"/>
      <c r="R57" s="288">
        <f>+V57-T57+1</f>
        <v>92</v>
      </c>
      <c r="S57" s="332"/>
      <c r="T57" s="333">
        <v>40252</v>
      </c>
      <c r="U57" s="334"/>
      <c r="V57" s="333">
        <v>40343</v>
      </c>
      <c r="W57" s="291"/>
      <c r="X57" s="5"/>
    </row>
    <row r="58" spans="1:25" ht="15.6" x14ac:dyDescent="0.3">
      <c r="A58" s="287"/>
      <c r="B58" s="288" t="s">
        <v>122</v>
      </c>
      <c r="C58" s="288"/>
      <c r="D58" s="288"/>
      <c r="E58" s="288"/>
      <c r="F58" s="288"/>
      <c r="G58" s="288"/>
      <c r="H58" s="288"/>
      <c r="I58" s="288"/>
      <c r="J58" s="288"/>
      <c r="K58" s="288"/>
      <c r="L58" s="288"/>
      <c r="M58" s="288"/>
      <c r="N58" s="288"/>
      <c r="O58" s="288"/>
      <c r="P58" s="288"/>
      <c r="Q58" s="288"/>
      <c r="R58" s="288">
        <f>+V58-T58+1</f>
        <v>92</v>
      </c>
      <c r="S58" s="288"/>
      <c r="T58" s="333">
        <v>40344</v>
      </c>
      <c r="U58" s="334"/>
      <c r="V58" s="333">
        <v>40435</v>
      </c>
      <c r="W58" s="291"/>
      <c r="X58" s="5"/>
    </row>
    <row r="59" spans="1:25" ht="15.6" x14ac:dyDescent="0.3">
      <c r="A59" s="287"/>
      <c r="B59" s="288" t="s">
        <v>229</v>
      </c>
      <c r="C59" s="288"/>
      <c r="D59" s="288"/>
      <c r="E59" s="288"/>
      <c r="F59" s="288"/>
      <c r="G59" s="288"/>
      <c r="H59" s="288"/>
      <c r="I59" s="288"/>
      <c r="J59" s="288"/>
      <c r="K59" s="288"/>
      <c r="L59" s="288"/>
      <c r="M59" s="288"/>
      <c r="N59" s="288"/>
      <c r="O59" s="288"/>
      <c r="P59" s="288"/>
      <c r="Q59" s="288"/>
      <c r="R59" s="288"/>
      <c r="S59" s="288"/>
      <c r="T59" s="333"/>
      <c r="U59" s="334"/>
      <c r="V59" s="333" t="s">
        <v>120</v>
      </c>
      <c r="W59" s="291"/>
      <c r="X59" s="5"/>
    </row>
    <row r="60" spans="1:25" ht="15.6" x14ac:dyDescent="0.3">
      <c r="A60" s="287"/>
      <c r="B60" s="288" t="s">
        <v>228</v>
      </c>
      <c r="C60" s="288"/>
      <c r="D60" s="288"/>
      <c r="E60" s="288"/>
      <c r="F60" s="288"/>
      <c r="G60" s="288"/>
      <c r="H60" s="288"/>
      <c r="I60" s="288"/>
      <c r="J60" s="288"/>
      <c r="K60" s="288"/>
      <c r="L60" s="288"/>
      <c r="M60" s="288"/>
      <c r="N60" s="288"/>
      <c r="O60" s="288"/>
      <c r="P60" s="288"/>
      <c r="Q60" s="288"/>
      <c r="R60" s="288"/>
      <c r="S60" s="288"/>
      <c r="T60" s="333"/>
      <c r="U60" s="334"/>
      <c r="V60" s="333" t="s">
        <v>154</v>
      </c>
      <c r="W60" s="291"/>
      <c r="X60" s="5"/>
      <c r="Y60" s="134"/>
    </row>
    <row r="61" spans="1:25" ht="15.6" x14ac:dyDescent="0.3">
      <c r="A61" s="287"/>
      <c r="B61" s="288" t="s">
        <v>16</v>
      </c>
      <c r="C61" s="288"/>
      <c r="D61" s="288"/>
      <c r="E61" s="288"/>
      <c r="F61" s="288"/>
      <c r="G61" s="288"/>
      <c r="H61" s="288"/>
      <c r="I61" s="288"/>
      <c r="J61" s="288"/>
      <c r="K61" s="288"/>
      <c r="L61" s="288"/>
      <c r="M61" s="288"/>
      <c r="N61" s="288"/>
      <c r="O61" s="288"/>
      <c r="P61" s="288"/>
      <c r="Q61" s="288"/>
      <c r="R61" s="288"/>
      <c r="S61" s="288"/>
      <c r="T61" s="333"/>
      <c r="U61" s="334"/>
      <c r="V61" s="333">
        <v>40422</v>
      </c>
      <c r="W61" s="291"/>
      <c r="X61" s="5"/>
    </row>
    <row r="62" spans="1:25" ht="15.6" x14ac:dyDescent="0.3">
      <c r="A62" s="183"/>
      <c r="B62" s="284"/>
      <c r="C62" s="284"/>
      <c r="D62" s="284"/>
      <c r="E62" s="284"/>
      <c r="F62" s="284"/>
      <c r="G62" s="284"/>
      <c r="H62" s="284"/>
      <c r="I62" s="284"/>
      <c r="J62" s="284"/>
      <c r="K62" s="284"/>
      <c r="L62" s="284"/>
      <c r="M62" s="284"/>
      <c r="N62" s="284"/>
      <c r="O62" s="284"/>
      <c r="P62" s="284"/>
      <c r="Q62" s="284"/>
      <c r="R62" s="284"/>
      <c r="S62" s="284"/>
      <c r="T62" s="285"/>
      <c r="U62" s="286"/>
      <c r="V62" s="285"/>
      <c r="W62" s="284"/>
      <c r="X62" s="5"/>
    </row>
    <row r="63" spans="1:25" ht="15.6" x14ac:dyDescent="0.3">
      <c r="A63" s="183"/>
      <c r="B63" s="224"/>
      <c r="C63" s="224"/>
      <c r="D63" s="224"/>
      <c r="E63" s="224"/>
      <c r="F63" s="224"/>
      <c r="G63" s="224"/>
      <c r="H63" s="224"/>
      <c r="I63" s="224"/>
      <c r="J63" s="224"/>
      <c r="K63" s="224"/>
      <c r="L63" s="224"/>
      <c r="M63" s="224"/>
      <c r="N63" s="224"/>
      <c r="O63" s="224"/>
      <c r="P63" s="224"/>
      <c r="Q63" s="224"/>
      <c r="R63" s="224"/>
      <c r="S63" s="224"/>
      <c r="T63" s="235"/>
      <c r="U63" s="236"/>
      <c r="V63" s="235"/>
      <c r="W63" s="224"/>
      <c r="X63" s="5"/>
    </row>
    <row r="64" spans="1:25" ht="18" thickBot="1" x14ac:dyDescent="0.35">
      <c r="A64" s="199"/>
      <c r="B64" s="237" t="s">
        <v>307</v>
      </c>
      <c r="C64" s="238"/>
      <c r="D64" s="238"/>
      <c r="E64" s="238"/>
      <c r="F64" s="238"/>
      <c r="G64" s="238"/>
      <c r="H64" s="238"/>
      <c r="I64" s="238"/>
      <c r="J64" s="238"/>
      <c r="K64" s="238"/>
      <c r="L64" s="238"/>
      <c r="M64" s="238"/>
      <c r="N64" s="238"/>
      <c r="O64" s="238"/>
      <c r="P64" s="238"/>
      <c r="Q64" s="238"/>
      <c r="R64" s="238"/>
      <c r="S64" s="238"/>
      <c r="T64" s="238"/>
      <c r="U64" s="238"/>
      <c r="V64" s="239"/>
      <c r="W64" s="240"/>
      <c r="X64" s="5"/>
    </row>
    <row r="65" spans="1:24" ht="15.6" x14ac:dyDescent="0.3">
      <c r="A65" s="262"/>
      <c r="B65" s="269" t="s">
        <v>17</v>
      </c>
      <c r="C65" s="263"/>
      <c r="D65" s="263"/>
      <c r="E65" s="263"/>
      <c r="F65" s="263"/>
      <c r="G65" s="263"/>
      <c r="H65" s="263"/>
      <c r="I65" s="263"/>
      <c r="J65" s="263"/>
      <c r="K65" s="263"/>
      <c r="L65" s="263"/>
      <c r="M65" s="263"/>
      <c r="N65" s="263"/>
      <c r="O65" s="263"/>
      <c r="P65" s="263"/>
      <c r="Q65" s="263"/>
      <c r="R65" s="263"/>
      <c r="S65" s="263"/>
      <c r="T65" s="263"/>
      <c r="U65" s="263"/>
      <c r="V65" s="268"/>
      <c r="W65" s="263"/>
      <c r="X65" s="5"/>
    </row>
    <row r="66" spans="1:24" ht="15.6" x14ac:dyDescent="0.3">
      <c r="A66" s="183"/>
      <c r="B66" s="191"/>
      <c r="C66" s="185"/>
      <c r="D66" s="185"/>
      <c r="E66" s="185"/>
      <c r="F66" s="185"/>
      <c r="G66" s="185"/>
      <c r="H66" s="185"/>
      <c r="I66" s="185"/>
      <c r="J66" s="185"/>
      <c r="K66" s="185"/>
      <c r="L66" s="185"/>
      <c r="M66" s="185"/>
      <c r="N66" s="185"/>
      <c r="O66" s="185"/>
      <c r="P66" s="185"/>
      <c r="Q66" s="185"/>
      <c r="R66" s="185"/>
      <c r="S66" s="185"/>
      <c r="T66" s="185"/>
      <c r="U66" s="185"/>
      <c r="V66" s="201"/>
      <c r="W66" s="185"/>
      <c r="X66" s="5"/>
    </row>
    <row r="67" spans="1:24" ht="46.8" x14ac:dyDescent="0.3">
      <c r="A67" s="183"/>
      <c r="B67" s="202" t="s">
        <v>18</v>
      </c>
      <c r="C67" s="203"/>
      <c r="D67" s="203"/>
      <c r="E67" s="203"/>
      <c r="F67" s="203"/>
      <c r="G67" s="203"/>
      <c r="H67" s="203"/>
      <c r="I67" s="203"/>
      <c r="J67" s="203"/>
      <c r="K67" s="203"/>
      <c r="L67" s="203" t="s">
        <v>94</v>
      </c>
      <c r="M67" s="203"/>
      <c r="N67" s="203" t="s">
        <v>96</v>
      </c>
      <c r="O67" s="203"/>
      <c r="P67" s="203" t="s">
        <v>98</v>
      </c>
      <c r="Q67" s="203"/>
      <c r="R67" s="203" t="s">
        <v>100</v>
      </c>
      <c r="S67" s="203"/>
      <c r="T67" s="203" t="s">
        <v>106</v>
      </c>
      <c r="U67" s="203"/>
      <c r="V67" s="204" t="s">
        <v>112</v>
      </c>
      <c r="W67" s="205"/>
      <c r="X67" s="5"/>
    </row>
    <row r="68" spans="1:24" ht="15.6" x14ac:dyDescent="0.3">
      <c r="A68" s="287"/>
      <c r="B68" s="288" t="s">
        <v>19</v>
      </c>
      <c r="C68" s="337"/>
      <c r="D68" s="337"/>
      <c r="E68" s="337"/>
      <c r="F68" s="337"/>
      <c r="G68" s="337"/>
      <c r="H68" s="337"/>
      <c r="I68" s="337"/>
      <c r="J68" s="337"/>
      <c r="K68" s="337"/>
      <c r="L68" s="337">
        <v>1158015</v>
      </c>
      <c r="M68" s="337"/>
      <c r="N68" s="338">
        <v>1179039</v>
      </c>
      <c r="O68" s="337"/>
      <c r="P68" s="337">
        <f>9815+58+99</f>
        <v>9972</v>
      </c>
      <c r="Q68" s="337"/>
      <c r="R68" s="337">
        <f>58+99</f>
        <v>157</v>
      </c>
      <c r="S68" s="337"/>
      <c r="T68" s="337">
        <v>0</v>
      </c>
      <c r="U68" s="337"/>
      <c r="V68" s="338">
        <f>+N68-P68+R68-T68</f>
        <v>1169224</v>
      </c>
      <c r="W68" s="291"/>
      <c r="X68" s="5"/>
    </row>
    <row r="69" spans="1:24" ht="15.6" x14ac:dyDescent="0.3">
      <c r="A69" s="287"/>
      <c r="B69" s="288" t="s">
        <v>20</v>
      </c>
      <c r="C69" s="337"/>
      <c r="D69" s="337"/>
      <c r="E69" s="337"/>
      <c r="F69" s="337"/>
      <c r="G69" s="337"/>
      <c r="H69" s="337"/>
      <c r="I69" s="337"/>
      <c r="J69" s="337"/>
      <c r="K69" s="337"/>
      <c r="L69" s="337">
        <v>15</v>
      </c>
      <c r="M69" s="337"/>
      <c r="N69" s="338">
        <v>0</v>
      </c>
      <c r="O69" s="337"/>
      <c r="P69" s="337">
        <v>0</v>
      </c>
      <c r="Q69" s="337"/>
      <c r="R69" s="337">
        <v>0</v>
      </c>
      <c r="S69" s="337"/>
      <c r="T69" s="337">
        <v>0</v>
      </c>
      <c r="U69" s="337"/>
      <c r="V69" s="338">
        <v>0</v>
      </c>
      <c r="W69" s="291"/>
      <c r="X69" s="5"/>
    </row>
    <row r="70" spans="1:24" ht="15.6" x14ac:dyDescent="0.3">
      <c r="A70" s="287"/>
      <c r="B70" s="288"/>
      <c r="C70" s="337"/>
      <c r="D70" s="337"/>
      <c r="E70" s="337"/>
      <c r="F70" s="337"/>
      <c r="G70" s="337"/>
      <c r="H70" s="337"/>
      <c r="I70" s="337"/>
      <c r="J70" s="337"/>
      <c r="K70" s="337"/>
      <c r="L70" s="337"/>
      <c r="M70" s="337"/>
      <c r="N70" s="338"/>
      <c r="O70" s="337"/>
      <c r="P70" s="337"/>
      <c r="Q70" s="337"/>
      <c r="R70" s="337"/>
      <c r="S70" s="337"/>
      <c r="T70" s="337"/>
      <c r="U70" s="337"/>
      <c r="V70" s="338"/>
      <c r="W70" s="291"/>
      <c r="X70" s="5"/>
    </row>
    <row r="71" spans="1:24" ht="15.6" x14ac:dyDescent="0.3">
      <c r="A71" s="287"/>
      <c r="B71" s="288" t="s">
        <v>21</v>
      </c>
      <c r="C71" s="337"/>
      <c r="D71" s="337"/>
      <c r="E71" s="337"/>
      <c r="F71" s="337"/>
      <c r="G71" s="337"/>
      <c r="H71" s="337"/>
      <c r="I71" s="337"/>
      <c r="J71" s="337"/>
      <c r="K71" s="337"/>
      <c r="L71" s="337">
        <f>SUM(L68:L70)</f>
        <v>1158030</v>
      </c>
      <c r="M71" s="337"/>
      <c r="N71" s="337">
        <f>N68+N69</f>
        <v>1179039</v>
      </c>
      <c r="O71" s="337"/>
      <c r="P71" s="337">
        <f>SUM(P68:P70)</f>
        <v>9972</v>
      </c>
      <c r="Q71" s="337"/>
      <c r="R71" s="337">
        <f>SUM(R68:R70)</f>
        <v>157</v>
      </c>
      <c r="S71" s="337"/>
      <c r="T71" s="337">
        <f>SUM(T68:T70)</f>
        <v>0</v>
      </c>
      <c r="U71" s="337"/>
      <c r="V71" s="337">
        <f>SUM(V68:V70)</f>
        <v>1169224</v>
      </c>
      <c r="W71" s="291"/>
      <c r="X71" s="5"/>
    </row>
    <row r="72" spans="1:24" ht="15.6" x14ac:dyDescent="0.3">
      <c r="A72" s="183"/>
      <c r="B72" s="198"/>
      <c r="C72" s="335"/>
      <c r="D72" s="335"/>
      <c r="E72" s="335"/>
      <c r="F72" s="335"/>
      <c r="G72" s="335"/>
      <c r="H72" s="335"/>
      <c r="I72" s="335"/>
      <c r="J72" s="335"/>
      <c r="K72" s="335"/>
      <c r="L72" s="335"/>
      <c r="M72" s="335"/>
      <c r="N72" s="335"/>
      <c r="O72" s="335"/>
      <c r="P72" s="335"/>
      <c r="Q72" s="335"/>
      <c r="R72" s="335"/>
      <c r="S72" s="335"/>
      <c r="T72" s="335"/>
      <c r="U72" s="335"/>
      <c r="V72" s="336"/>
      <c r="W72" s="198"/>
      <c r="X72" s="5"/>
    </row>
    <row r="73" spans="1:24" ht="15.6" x14ac:dyDescent="0.3">
      <c r="A73" s="183"/>
      <c r="B73" s="187" t="s">
        <v>22</v>
      </c>
      <c r="C73" s="206"/>
      <c r="D73" s="206"/>
      <c r="E73" s="206"/>
      <c r="F73" s="206"/>
      <c r="G73" s="206"/>
      <c r="H73" s="206"/>
      <c r="I73" s="206"/>
      <c r="J73" s="206"/>
      <c r="K73" s="206"/>
      <c r="L73" s="206"/>
      <c r="M73" s="206"/>
      <c r="N73" s="206"/>
      <c r="O73" s="206"/>
      <c r="P73" s="206"/>
      <c r="Q73" s="206"/>
      <c r="R73" s="206"/>
      <c r="S73" s="206"/>
      <c r="T73" s="206"/>
      <c r="U73" s="206"/>
      <c r="V73" s="207"/>
      <c r="W73" s="185"/>
      <c r="X73" s="5"/>
    </row>
    <row r="74" spans="1:24" ht="15.6" x14ac:dyDescent="0.3">
      <c r="A74" s="183"/>
      <c r="B74" s="185"/>
      <c r="C74" s="206"/>
      <c r="D74" s="206"/>
      <c r="E74" s="206"/>
      <c r="F74" s="206"/>
      <c r="G74" s="206"/>
      <c r="H74" s="206"/>
      <c r="I74" s="206"/>
      <c r="J74" s="206"/>
      <c r="K74" s="206"/>
      <c r="L74" s="206"/>
      <c r="M74" s="206"/>
      <c r="N74" s="206"/>
      <c r="O74" s="206"/>
      <c r="P74" s="206"/>
      <c r="Q74" s="206"/>
      <c r="R74" s="206"/>
      <c r="S74" s="206"/>
      <c r="T74" s="206"/>
      <c r="U74" s="206"/>
      <c r="V74" s="207"/>
      <c r="W74" s="185"/>
      <c r="X74" s="5"/>
    </row>
    <row r="75" spans="1:24" ht="15.6" x14ac:dyDescent="0.3">
      <c r="A75" s="340"/>
      <c r="B75" s="288" t="s">
        <v>19</v>
      </c>
      <c r="C75" s="337"/>
      <c r="D75" s="337"/>
      <c r="E75" s="337"/>
      <c r="F75" s="337"/>
      <c r="G75" s="337"/>
      <c r="H75" s="337"/>
      <c r="I75" s="337"/>
      <c r="J75" s="337"/>
      <c r="K75" s="337"/>
      <c r="L75" s="337"/>
      <c r="M75" s="337"/>
      <c r="N75" s="337"/>
      <c r="O75" s="337"/>
      <c r="P75" s="337"/>
      <c r="Q75" s="337"/>
      <c r="R75" s="337"/>
      <c r="S75" s="337"/>
      <c r="T75" s="337"/>
      <c r="U75" s="337"/>
      <c r="V75" s="337"/>
      <c r="W75" s="291"/>
      <c r="X75" s="5"/>
    </row>
    <row r="76" spans="1:24" ht="15.6" x14ac:dyDescent="0.3">
      <c r="A76" s="340"/>
      <c r="B76" s="288" t="s">
        <v>20</v>
      </c>
      <c r="C76" s="337"/>
      <c r="D76" s="337"/>
      <c r="E76" s="337"/>
      <c r="F76" s="337"/>
      <c r="G76" s="337"/>
      <c r="H76" s="337"/>
      <c r="I76" s="337"/>
      <c r="J76" s="337"/>
      <c r="K76" s="337"/>
      <c r="L76" s="337"/>
      <c r="M76" s="337"/>
      <c r="N76" s="337"/>
      <c r="O76" s="337"/>
      <c r="P76" s="337"/>
      <c r="Q76" s="337"/>
      <c r="R76" s="337"/>
      <c r="S76" s="337"/>
      <c r="T76" s="337"/>
      <c r="U76" s="337"/>
      <c r="V76" s="337"/>
      <c r="W76" s="291"/>
      <c r="X76" s="5"/>
    </row>
    <row r="77" spans="1:24" ht="15.6" x14ac:dyDescent="0.3">
      <c r="A77" s="340"/>
      <c r="B77" s="288"/>
      <c r="C77" s="337"/>
      <c r="D77" s="337"/>
      <c r="E77" s="337"/>
      <c r="F77" s="337"/>
      <c r="G77" s="337"/>
      <c r="H77" s="337"/>
      <c r="I77" s="337"/>
      <c r="J77" s="337"/>
      <c r="K77" s="337"/>
      <c r="L77" s="337"/>
      <c r="M77" s="337"/>
      <c r="N77" s="337"/>
      <c r="O77" s="337"/>
      <c r="P77" s="337"/>
      <c r="Q77" s="337"/>
      <c r="R77" s="337"/>
      <c r="S77" s="337"/>
      <c r="T77" s="337"/>
      <c r="U77" s="337"/>
      <c r="V77" s="337"/>
      <c r="W77" s="291"/>
      <c r="X77" s="5"/>
    </row>
    <row r="78" spans="1:24" ht="15.6" x14ac:dyDescent="0.3">
      <c r="A78" s="340"/>
      <c r="B78" s="288" t="s">
        <v>21</v>
      </c>
      <c r="C78" s="337"/>
      <c r="D78" s="337"/>
      <c r="E78" s="337"/>
      <c r="F78" s="337"/>
      <c r="G78" s="337"/>
      <c r="H78" s="337"/>
      <c r="I78" s="337"/>
      <c r="J78" s="337"/>
      <c r="K78" s="337"/>
      <c r="L78" s="337"/>
      <c r="M78" s="337"/>
      <c r="N78" s="337"/>
      <c r="O78" s="337"/>
      <c r="P78" s="337"/>
      <c r="Q78" s="337"/>
      <c r="R78" s="337"/>
      <c r="S78" s="337"/>
      <c r="T78" s="337"/>
      <c r="U78" s="337"/>
      <c r="V78" s="337"/>
      <c r="W78" s="291"/>
      <c r="X78" s="5"/>
    </row>
    <row r="79" spans="1:24" ht="15.6" x14ac:dyDescent="0.3">
      <c r="A79" s="340"/>
      <c r="B79" s="288"/>
      <c r="C79" s="337"/>
      <c r="D79" s="337"/>
      <c r="E79" s="337"/>
      <c r="F79" s="337"/>
      <c r="G79" s="337"/>
      <c r="H79" s="337"/>
      <c r="I79" s="337"/>
      <c r="J79" s="337"/>
      <c r="K79" s="337"/>
      <c r="L79" s="337"/>
      <c r="M79" s="337"/>
      <c r="N79" s="337"/>
      <c r="O79" s="337"/>
      <c r="P79" s="337"/>
      <c r="Q79" s="337"/>
      <c r="R79" s="337"/>
      <c r="S79" s="337"/>
      <c r="T79" s="337"/>
      <c r="U79" s="337"/>
      <c r="V79" s="337"/>
      <c r="W79" s="291"/>
      <c r="X79" s="5"/>
    </row>
    <row r="80" spans="1:24" ht="15.6" x14ac:dyDescent="0.3">
      <c r="A80" s="340"/>
      <c r="B80" s="288" t="s">
        <v>23</v>
      </c>
      <c r="C80" s="337"/>
      <c r="D80" s="337"/>
      <c r="E80" s="337"/>
      <c r="F80" s="337"/>
      <c r="G80" s="337"/>
      <c r="H80" s="337"/>
      <c r="I80" s="337"/>
      <c r="J80" s="337"/>
      <c r="K80" s="337"/>
      <c r="L80" s="337">
        <v>0</v>
      </c>
      <c r="M80" s="337"/>
      <c r="N80" s="337">
        <v>0</v>
      </c>
      <c r="O80" s="337"/>
      <c r="P80" s="337"/>
      <c r="Q80" s="337"/>
      <c r="R80" s="337"/>
      <c r="S80" s="337"/>
      <c r="T80" s="337"/>
      <c r="U80" s="337"/>
      <c r="V80" s="338">
        <v>0</v>
      </c>
      <c r="W80" s="291"/>
      <c r="X80" s="5"/>
    </row>
    <row r="81" spans="1:24" ht="15.6" x14ac:dyDescent="0.3">
      <c r="A81" s="340"/>
      <c r="B81" s="288" t="s">
        <v>117</v>
      </c>
      <c r="C81" s="337"/>
      <c r="D81" s="337"/>
      <c r="E81" s="337"/>
      <c r="F81" s="337"/>
      <c r="G81" s="337"/>
      <c r="H81" s="337"/>
      <c r="I81" s="337"/>
      <c r="J81" s="337"/>
      <c r="K81" s="337"/>
      <c r="L81" s="337">
        <v>342245</v>
      </c>
      <c r="M81" s="337"/>
      <c r="N81" s="337">
        <v>0</v>
      </c>
      <c r="O81" s="337"/>
      <c r="P81" s="337">
        <v>0</v>
      </c>
      <c r="Q81" s="337"/>
      <c r="R81" s="337"/>
      <c r="S81" s="337"/>
      <c r="T81" s="337"/>
      <c r="U81" s="337"/>
      <c r="V81" s="337">
        <f>SUM(N81:R81)</f>
        <v>0</v>
      </c>
      <c r="W81" s="291"/>
      <c r="X81" s="5"/>
    </row>
    <row r="82" spans="1:24" ht="15.6" x14ac:dyDescent="0.3">
      <c r="A82" s="340"/>
      <c r="B82" s="288"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91"/>
      <c r="X82" s="5"/>
    </row>
    <row r="83" spans="1:24" ht="15.6" x14ac:dyDescent="0.3">
      <c r="A83" s="340"/>
      <c r="B83" s="288" t="s">
        <v>25</v>
      </c>
      <c r="C83" s="337"/>
      <c r="D83" s="337"/>
      <c r="E83" s="337"/>
      <c r="F83" s="337"/>
      <c r="G83" s="337"/>
      <c r="H83" s="337"/>
      <c r="I83" s="337"/>
      <c r="J83" s="337"/>
      <c r="K83" s="337"/>
      <c r="L83" s="337">
        <v>0</v>
      </c>
      <c r="M83" s="337"/>
      <c r="N83" s="337">
        <v>0</v>
      </c>
      <c r="O83" s="337"/>
      <c r="P83" s="337"/>
      <c r="Q83" s="337"/>
      <c r="R83" s="337"/>
      <c r="S83" s="337"/>
      <c r="T83" s="337"/>
      <c r="U83" s="337"/>
      <c r="V83" s="337">
        <v>0</v>
      </c>
      <c r="W83" s="291"/>
      <c r="X83" s="5"/>
    </row>
    <row r="84" spans="1:24" ht="15.6" x14ac:dyDescent="0.3">
      <c r="A84" s="340"/>
      <c r="B84" s="288" t="s">
        <v>26</v>
      </c>
      <c r="C84" s="337"/>
      <c r="D84" s="337"/>
      <c r="E84" s="337"/>
      <c r="F84" s="337"/>
      <c r="G84" s="337"/>
      <c r="H84" s="337"/>
      <c r="I84" s="337"/>
      <c r="J84" s="337"/>
      <c r="K84" s="337"/>
      <c r="L84" s="337">
        <f>SUM(L71:L83)</f>
        <v>1500275</v>
      </c>
      <c r="M84" s="337"/>
      <c r="N84" s="337">
        <f>SUM(N71:N83)</f>
        <v>1179039</v>
      </c>
      <c r="O84" s="337"/>
      <c r="P84" s="337"/>
      <c r="Q84" s="337"/>
      <c r="R84" s="337"/>
      <c r="S84" s="337"/>
      <c r="T84" s="337"/>
      <c r="U84" s="337"/>
      <c r="V84" s="337">
        <f>SUM(V71:V83)</f>
        <v>1169224</v>
      </c>
      <c r="W84" s="291"/>
      <c r="X84" s="5"/>
    </row>
    <row r="85" spans="1:24" ht="15.6" x14ac:dyDescent="0.3">
      <c r="A85" s="243"/>
      <c r="B85" s="284"/>
      <c r="C85" s="339"/>
      <c r="D85" s="339"/>
      <c r="E85" s="339"/>
      <c r="F85" s="339"/>
      <c r="G85" s="339"/>
      <c r="H85" s="339"/>
      <c r="I85" s="339"/>
      <c r="J85" s="339"/>
      <c r="K85" s="339"/>
      <c r="L85" s="339"/>
      <c r="M85" s="339"/>
      <c r="N85" s="339"/>
      <c r="O85" s="339"/>
      <c r="P85" s="339"/>
      <c r="Q85" s="339"/>
      <c r="R85" s="339"/>
      <c r="S85" s="339"/>
      <c r="T85" s="339"/>
      <c r="U85" s="339"/>
      <c r="V85" s="339"/>
      <c r="W85" s="284"/>
      <c r="X85" s="5"/>
    </row>
    <row r="86" spans="1:24" ht="15.6" x14ac:dyDescent="0.3">
      <c r="A86" s="243"/>
      <c r="B86" s="224"/>
      <c r="C86" s="224"/>
      <c r="D86" s="224"/>
      <c r="E86" s="224"/>
      <c r="F86" s="224"/>
      <c r="G86" s="224"/>
      <c r="H86" s="224"/>
      <c r="I86" s="224"/>
      <c r="J86" s="224"/>
      <c r="K86" s="224"/>
      <c r="L86" s="224"/>
      <c r="M86" s="224"/>
      <c r="N86" s="224"/>
      <c r="O86" s="224"/>
      <c r="P86" s="224"/>
      <c r="Q86" s="224"/>
      <c r="R86" s="224"/>
      <c r="S86" s="224"/>
      <c r="T86" s="224"/>
      <c r="U86" s="224"/>
      <c r="V86" s="224"/>
      <c r="W86" s="224"/>
      <c r="X86" s="5"/>
    </row>
    <row r="87" spans="1:24" ht="15.6" x14ac:dyDescent="0.3">
      <c r="A87" s="262"/>
      <c r="B87" s="269" t="s">
        <v>27</v>
      </c>
      <c r="C87" s="269"/>
      <c r="D87" s="269"/>
      <c r="E87" s="269"/>
      <c r="F87" s="269"/>
      <c r="G87" s="269"/>
      <c r="H87" s="270"/>
      <c r="I87" s="270"/>
      <c r="J87" s="270"/>
      <c r="K87" s="270"/>
      <c r="L87" s="271" t="s">
        <v>95</v>
      </c>
      <c r="M87" s="270"/>
      <c r="N87" s="272">
        <f>+T205</f>
        <v>40421</v>
      </c>
      <c r="O87" s="270"/>
      <c r="P87" s="270"/>
      <c r="Q87" s="270"/>
      <c r="R87" s="270"/>
      <c r="S87" s="270"/>
      <c r="T87" s="270" t="s">
        <v>107</v>
      </c>
      <c r="U87" s="270"/>
      <c r="V87" s="270" t="s">
        <v>113</v>
      </c>
      <c r="W87" s="263"/>
      <c r="X87" s="5"/>
    </row>
    <row r="88" spans="1:24" ht="15.6" x14ac:dyDescent="0.3">
      <c r="A88" s="242"/>
      <c r="B88" s="231" t="s">
        <v>28</v>
      </c>
      <c r="C88" s="231"/>
      <c r="D88" s="231"/>
      <c r="E88" s="231"/>
      <c r="F88" s="231"/>
      <c r="G88" s="231"/>
      <c r="H88" s="231"/>
      <c r="I88" s="231"/>
      <c r="J88" s="231"/>
      <c r="K88" s="231"/>
      <c r="L88" s="231"/>
      <c r="M88" s="231"/>
      <c r="N88" s="231"/>
      <c r="O88" s="231"/>
      <c r="P88" s="231"/>
      <c r="Q88" s="231"/>
      <c r="R88" s="231"/>
      <c r="S88" s="231"/>
      <c r="T88" s="234">
        <v>0</v>
      </c>
      <c r="U88" s="231"/>
      <c r="V88" s="241">
        <v>0</v>
      </c>
      <c r="W88" s="231"/>
      <c r="X88" s="5"/>
    </row>
    <row r="89" spans="1:24" ht="15.6" x14ac:dyDescent="0.3">
      <c r="A89" s="340"/>
      <c r="B89" s="288" t="s">
        <v>29</v>
      </c>
      <c r="C89" s="288"/>
      <c r="D89" s="288"/>
      <c r="E89" s="288"/>
      <c r="F89" s="288"/>
      <c r="G89" s="288"/>
      <c r="H89" s="325"/>
      <c r="I89" s="325"/>
      <c r="J89" s="325"/>
      <c r="K89" s="341"/>
      <c r="L89" s="325"/>
      <c r="M89" s="288"/>
      <c r="N89" s="342"/>
      <c r="O89" s="288"/>
      <c r="P89" s="288"/>
      <c r="Q89" s="288"/>
      <c r="R89" s="288"/>
      <c r="S89" s="288"/>
      <c r="T89" s="337">
        <f>9972-177</f>
        <v>9795</v>
      </c>
      <c r="U89" s="288"/>
      <c r="V89" s="338"/>
      <c r="W89" s="291"/>
      <c r="X89" s="5"/>
    </row>
    <row r="90" spans="1:24" ht="15.6" x14ac:dyDescent="0.3">
      <c r="A90" s="340"/>
      <c r="B90" s="288" t="s">
        <v>216</v>
      </c>
      <c r="C90" s="288"/>
      <c r="D90" s="288"/>
      <c r="E90" s="288"/>
      <c r="F90" s="288"/>
      <c r="G90" s="288"/>
      <c r="H90" s="325"/>
      <c r="I90" s="325"/>
      <c r="J90" s="325"/>
      <c r="K90" s="341"/>
      <c r="L90" s="325"/>
      <c r="M90" s="288"/>
      <c r="N90" s="342"/>
      <c r="O90" s="288"/>
      <c r="P90" s="288"/>
      <c r="Q90" s="288"/>
      <c r="R90" s="288"/>
      <c r="S90" s="288"/>
      <c r="T90" s="337"/>
      <c r="U90" s="288"/>
      <c r="V90" s="338">
        <f>3702+5111-400-824+12</f>
        <v>7601</v>
      </c>
      <c r="W90" s="291"/>
      <c r="X90" s="5"/>
    </row>
    <row r="91" spans="1:24" ht="15.6" x14ac:dyDescent="0.3">
      <c r="A91" s="340"/>
      <c r="B91" s="288" t="s">
        <v>211</v>
      </c>
      <c r="C91" s="288"/>
      <c r="D91" s="288"/>
      <c r="E91" s="288"/>
      <c r="F91" s="288"/>
      <c r="G91" s="288"/>
      <c r="H91" s="325"/>
      <c r="I91" s="325"/>
      <c r="J91" s="325"/>
      <c r="K91" s="341"/>
      <c r="L91" s="325"/>
      <c r="M91" s="288"/>
      <c r="N91" s="342"/>
      <c r="O91" s="288"/>
      <c r="P91" s="288"/>
      <c r="Q91" s="288"/>
      <c r="R91" s="288"/>
      <c r="S91" s="288"/>
      <c r="T91" s="337"/>
      <c r="U91" s="288"/>
      <c r="V91" s="338">
        <f>155+42</f>
        <v>197</v>
      </c>
      <c r="W91" s="291"/>
      <c r="X91" s="5"/>
    </row>
    <row r="92" spans="1:24" ht="15.6" x14ac:dyDescent="0.3">
      <c r="A92" s="340"/>
      <c r="B92" s="288" t="s">
        <v>212</v>
      </c>
      <c r="C92" s="288"/>
      <c r="D92" s="288"/>
      <c r="E92" s="288"/>
      <c r="F92" s="288"/>
      <c r="G92" s="288"/>
      <c r="H92" s="325"/>
      <c r="I92" s="325"/>
      <c r="J92" s="325"/>
      <c r="K92" s="341"/>
      <c r="L92" s="325"/>
      <c r="M92" s="288"/>
      <c r="N92" s="342"/>
      <c r="O92" s="288"/>
      <c r="P92" s="288"/>
      <c r="Q92" s="288"/>
      <c r="R92" s="288"/>
      <c r="S92" s="288"/>
      <c r="T92" s="337"/>
      <c r="U92" s="288"/>
      <c r="V92" s="338">
        <v>46</v>
      </c>
      <c r="W92" s="291"/>
      <c r="X92" s="5"/>
    </row>
    <row r="93" spans="1:24" ht="15.6" x14ac:dyDescent="0.3">
      <c r="A93" s="340"/>
      <c r="B93" s="288" t="s">
        <v>272</v>
      </c>
      <c r="C93" s="288"/>
      <c r="D93" s="288"/>
      <c r="E93" s="288"/>
      <c r="F93" s="288"/>
      <c r="G93" s="288"/>
      <c r="H93" s="325"/>
      <c r="I93" s="325"/>
      <c r="J93" s="325"/>
      <c r="K93" s="341"/>
      <c r="L93" s="325"/>
      <c r="M93" s="288"/>
      <c r="N93" s="342"/>
      <c r="O93" s="288"/>
      <c r="P93" s="288"/>
      <c r="Q93" s="288"/>
      <c r="R93" s="288"/>
      <c r="S93" s="288"/>
      <c r="T93" s="337"/>
      <c r="U93" s="288"/>
      <c r="V93" s="338">
        <v>0</v>
      </c>
      <c r="W93" s="291"/>
      <c r="X93" s="5"/>
    </row>
    <row r="94" spans="1:24" ht="15.6" x14ac:dyDescent="0.3">
      <c r="A94" s="340"/>
      <c r="B94" s="288" t="s">
        <v>274</v>
      </c>
      <c r="C94" s="288"/>
      <c r="D94" s="288"/>
      <c r="E94" s="288"/>
      <c r="F94" s="288"/>
      <c r="G94" s="288"/>
      <c r="H94" s="325"/>
      <c r="I94" s="325"/>
      <c r="J94" s="325"/>
      <c r="K94" s="341"/>
      <c r="L94" s="325"/>
      <c r="M94" s="288"/>
      <c r="N94" s="342"/>
      <c r="O94" s="288"/>
      <c r="P94" s="288"/>
      <c r="Q94" s="288"/>
      <c r="R94" s="288"/>
      <c r="S94" s="288"/>
      <c r="T94" s="337"/>
      <c r="U94" s="288"/>
      <c r="V94" s="338">
        <v>0</v>
      </c>
      <c r="W94" s="291"/>
      <c r="X94" s="5"/>
    </row>
    <row r="95" spans="1:24" ht="15.6" x14ac:dyDescent="0.3">
      <c r="A95" s="340"/>
      <c r="B95" s="288" t="s">
        <v>135</v>
      </c>
      <c r="C95" s="288"/>
      <c r="D95" s="288"/>
      <c r="E95" s="288"/>
      <c r="F95" s="288"/>
      <c r="G95" s="288"/>
      <c r="H95" s="288"/>
      <c r="I95" s="288"/>
      <c r="J95" s="288"/>
      <c r="K95" s="288"/>
      <c r="L95" s="288"/>
      <c r="M95" s="288"/>
      <c r="N95" s="288"/>
      <c r="O95" s="288"/>
      <c r="P95" s="288"/>
      <c r="Q95" s="288"/>
      <c r="R95" s="288"/>
      <c r="S95" s="288"/>
      <c r="T95" s="337"/>
      <c r="U95" s="288"/>
      <c r="V95" s="338">
        <v>0</v>
      </c>
      <c r="W95" s="291"/>
      <c r="X95" s="5"/>
    </row>
    <row r="96" spans="1:24" ht="15.6" x14ac:dyDescent="0.3">
      <c r="A96" s="340"/>
      <c r="B96" s="288" t="s">
        <v>268</v>
      </c>
      <c r="C96" s="288"/>
      <c r="D96" s="288"/>
      <c r="E96" s="288"/>
      <c r="F96" s="288"/>
      <c r="G96" s="288"/>
      <c r="H96" s="288"/>
      <c r="I96" s="288"/>
      <c r="J96" s="288"/>
      <c r="K96" s="288"/>
      <c r="L96" s="288"/>
      <c r="M96" s="288"/>
      <c r="N96" s="288"/>
      <c r="O96" s="288"/>
      <c r="P96" s="288"/>
      <c r="Q96" s="288"/>
      <c r="R96" s="288"/>
      <c r="S96" s="288"/>
      <c r="T96" s="337"/>
      <c r="U96" s="288"/>
      <c r="V96" s="338">
        <v>0</v>
      </c>
      <c r="W96" s="291"/>
      <c r="X96" s="5"/>
    </row>
    <row r="97" spans="1:25" ht="15.6" x14ac:dyDescent="0.3">
      <c r="A97" s="340"/>
      <c r="B97" s="288" t="s">
        <v>30</v>
      </c>
      <c r="C97" s="288"/>
      <c r="D97" s="288"/>
      <c r="E97" s="288"/>
      <c r="F97" s="288"/>
      <c r="G97" s="288"/>
      <c r="H97" s="288"/>
      <c r="I97" s="288"/>
      <c r="J97" s="288"/>
      <c r="K97" s="288"/>
      <c r="L97" s="288"/>
      <c r="M97" s="288"/>
      <c r="N97" s="288"/>
      <c r="O97" s="288"/>
      <c r="P97" s="288"/>
      <c r="Q97" s="288"/>
      <c r="R97" s="288"/>
      <c r="S97" s="288"/>
      <c r="T97" s="337">
        <f>SUM(T88:T96)</f>
        <v>9795</v>
      </c>
      <c r="U97" s="288"/>
      <c r="V97" s="337">
        <f>SUM(V88:V96)</f>
        <v>7844</v>
      </c>
      <c r="W97" s="291"/>
      <c r="X97" s="5"/>
    </row>
    <row r="98" spans="1:25" ht="15.6" x14ac:dyDescent="0.3">
      <c r="A98" s="340"/>
      <c r="B98" s="288" t="s">
        <v>161</v>
      </c>
      <c r="C98" s="288"/>
      <c r="D98" s="288"/>
      <c r="E98" s="288"/>
      <c r="F98" s="288"/>
      <c r="G98" s="288"/>
      <c r="H98" s="288"/>
      <c r="I98" s="288"/>
      <c r="J98" s="288"/>
      <c r="K98" s="288"/>
      <c r="L98" s="288"/>
      <c r="M98" s="288"/>
      <c r="N98" s="288"/>
      <c r="O98" s="288"/>
      <c r="P98" s="288"/>
      <c r="Q98" s="288"/>
      <c r="R98" s="288"/>
      <c r="S98" s="288"/>
      <c r="T98" s="337">
        <f>-V98</f>
        <v>-48</v>
      </c>
      <c r="U98" s="288"/>
      <c r="V98" s="337">
        <v>48</v>
      </c>
      <c r="W98" s="291"/>
      <c r="X98" s="5"/>
    </row>
    <row r="99" spans="1:25" ht="15.6" x14ac:dyDescent="0.3">
      <c r="A99" s="340"/>
      <c r="B99" s="288" t="s">
        <v>31</v>
      </c>
      <c r="C99" s="288"/>
      <c r="D99" s="288"/>
      <c r="E99" s="288"/>
      <c r="F99" s="288"/>
      <c r="G99" s="288"/>
      <c r="H99" s="288"/>
      <c r="I99" s="288"/>
      <c r="J99" s="288"/>
      <c r="K99" s="288"/>
      <c r="L99" s="288"/>
      <c r="M99" s="288"/>
      <c r="N99" s="288"/>
      <c r="O99" s="288"/>
      <c r="P99" s="288"/>
      <c r="Q99" s="288"/>
      <c r="R99" s="288"/>
      <c r="S99" s="288"/>
      <c r="T99" s="337">
        <f>-V99</f>
        <v>0</v>
      </c>
      <c r="U99" s="288"/>
      <c r="V99" s="338">
        <v>0</v>
      </c>
      <c r="W99" s="291"/>
      <c r="X99" s="5"/>
    </row>
    <row r="100" spans="1:25" ht="15.6" x14ac:dyDescent="0.3">
      <c r="A100" s="340"/>
      <c r="B100" s="288" t="s">
        <v>283</v>
      </c>
      <c r="C100" s="288"/>
      <c r="D100" s="288"/>
      <c r="E100" s="288"/>
      <c r="F100" s="288"/>
      <c r="G100" s="288"/>
      <c r="H100" s="288"/>
      <c r="I100" s="288"/>
      <c r="J100" s="288"/>
      <c r="K100" s="288"/>
      <c r="L100" s="288"/>
      <c r="M100" s="288"/>
      <c r="N100" s="288"/>
      <c r="O100" s="288"/>
      <c r="P100" s="288"/>
      <c r="Q100" s="288"/>
      <c r="R100" s="288"/>
      <c r="S100" s="288"/>
      <c r="T100" s="337"/>
      <c r="U100" s="288"/>
      <c r="V100" s="338">
        <v>-1173</v>
      </c>
      <c r="W100" s="291"/>
      <c r="X100" s="5"/>
    </row>
    <row r="101" spans="1:25" ht="15.6" x14ac:dyDescent="0.3">
      <c r="A101" s="340"/>
      <c r="B101" s="288" t="s">
        <v>32</v>
      </c>
      <c r="C101" s="288"/>
      <c r="D101" s="288"/>
      <c r="E101" s="288"/>
      <c r="F101" s="288"/>
      <c r="G101" s="288"/>
      <c r="H101" s="288"/>
      <c r="I101" s="288"/>
      <c r="J101" s="288"/>
      <c r="K101" s="288"/>
      <c r="L101" s="288"/>
      <c r="M101" s="288"/>
      <c r="N101" s="288"/>
      <c r="O101" s="288"/>
      <c r="P101" s="288"/>
      <c r="Q101" s="288"/>
      <c r="R101" s="288"/>
      <c r="S101" s="288"/>
      <c r="T101" s="337">
        <f>T97+T99+T98</f>
        <v>9747</v>
      </c>
      <c r="U101" s="288"/>
      <c r="V101" s="337">
        <f>V97+V99+V98+V100</f>
        <v>6719</v>
      </c>
      <c r="W101" s="291"/>
      <c r="X101" s="5"/>
    </row>
    <row r="102" spans="1:25" ht="15.6" x14ac:dyDescent="0.3">
      <c r="A102" s="287"/>
      <c r="B102" s="343" t="s">
        <v>33</v>
      </c>
      <c r="C102" s="314"/>
      <c r="D102" s="314"/>
      <c r="E102" s="314"/>
      <c r="F102" s="314"/>
      <c r="G102" s="314"/>
      <c r="H102" s="314"/>
      <c r="I102" s="314"/>
      <c r="J102" s="314"/>
      <c r="K102" s="314"/>
      <c r="L102" s="314"/>
      <c r="M102" s="314"/>
      <c r="N102" s="314"/>
      <c r="O102" s="314"/>
      <c r="P102" s="314"/>
      <c r="Q102" s="314"/>
      <c r="R102" s="314"/>
      <c r="S102" s="314"/>
      <c r="T102" s="344"/>
      <c r="U102" s="314"/>
      <c r="V102" s="345"/>
      <c r="W102" s="318"/>
      <c r="X102" s="5"/>
    </row>
    <row r="103" spans="1:25" ht="15.6" x14ac:dyDescent="0.3">
      <c r="A103" s="340">
        <v>1</v>
      </c>
      <c r="B103" s="288" t="s">
        <v>34</v>
      </c>
      <c r="C103" s="288"/>
      <c r="D103" s="288"/>
      <c r="E103" s="288"/>
      <c r="F103" s="288"/>
      <c r="G103" s="288"/>
      <c r="H103" s="288"/>
      <c r="I103" s="288"/>
      <c r="J103" s="288"/>
      <c r="K103" s="288"/>
      <c r="L103" s="288"/>
      <c r="M103" s="288"/>
      <c r="N103" s="288"/>
      <c r="O103" s="288"/>
      <c r="P103" s="288"/>
      <c r="Q103" s="288"/>
      <c r="R103" s="288"/>
      <c r="S103" s="288"/>
      <c r="T103" s="288"/>
      <c r="U103" s="288"/>
      <c r="V103" s="338">
        <v>0</v>
      </c>
      <c r="W103" s="291"/>
      <c r="X103" s="5"/>
    </row>
    <row r="104" spans="1:25" ht="15.6" x14ac:dyDescent="0.3">
      <c r="A104" s="340">
        <f>+A103+1</f>
        <v>2</v>
      </c>
      <c r="B104" s="288" t="s">
        <v>225</v>
      </c>
      <c r="C104" s="288"/>
      <c r="D104" s="288"/>
      <c r="E104" s="288"/>
      <c r="F104" s="288"/>
      <c r="G104" s="288"/>
      <c r="H104" s="288"/>
      <c r="I104" s="288"/>
      <c r="J104" s="288"/>
      <c r="K104" s="288"/>
      <c r="L104" s="288"/>
      <c r="M104" s="288"/>
      <c r="N104" s="288"/>
      <c r="O104" s="288"/>
      <c r="P104" s="288"/>
      <c r="Q104" s="288"/>
      <c r="R104" s="288"/>
      <c r="S104" s="288"/>
      <c r="T104" s="288"/>
      <c r="U104" s="288"/>
      <c r="V104" s="338">
        <v>-2</v>
      </c>
      <c r="W104" s="291"/>
      <c r="X104" s="5"/>
    </row>
    <row r="105" spans="1:25" ht="15.6" x14ac:dyDescent="0.3">
      <c r="A105" s="340">
        <f>+A104+1</f>
        <v>3</v>
      </c>
      <c r="B105" s="288" t="s">
        <v>204</v>
      </c>
      <c r="C105" s="288"/>
      <c r="D105" s="288"/>
      <c r="E105" s="288"/>
      <c r="F105" s="288"/>
      <c r="G105" s="288"/>
      <c r="H105" s="288"/>
      <c r="I105" s="288"/>
      <c r="J105" s="288"/>
      <c r="K105" s="288"/>
      <c r="L105" s="288"/>
      <c r="M105" s="288"/>
      <c r="N105" s="288"/>
      <c r="O105" s="288"/>
      <c r="P105" s="288"/>
      <c r="Q105" s="288"/>
      <c r="R105" s="288"/>
      <c r="S105" s="288"/>
      <c r="T105" s="288"/>
      <c r="U105" s="288"/>
      <c r="V105" s="338">
        <f>-149-196-14</f>
        <v>-359</v>
      </c>
      <c r="W105" s="291"/>
      <c r="X105" s="5"/>
    </row>
    <row r="106" spans="1:25" ht="15.6" x14ac:dyDescent="0.3">
      <c r="A106" s="340" t="s">
        <v>127</v>
      </c>
      <c r="B106" s="288" t="s">
        <v>116</v>
      </c>
      <c r="C106" s="288"/>
      <c r="D106" s="288"/>
      <c r="E106" s="288"/>
      <c r="F106" s="288"/>
      <c r="G106" s="288"/>
      <c r="H106" s="288"/>
      <c r="I106" s="288"/>
      <c r="J106" s="288"/>
      <c r="K106" s="288"/>
      <c r="L106" s="288"/>
      <c r="M106" s="288"/>
      <c r="N106" s="288"/>
      <c r="O106" s="288"/>
      <c r="P106" s="288"/>
      <c r="Q106" s="288"/>
      <c r="R106" s="288"/>
      <c r="S106" s="288"/>
      <c r="T106" s="288"/>
      <c r="U106" s="288"/>
      <c r="V106" s="338">
        <v>-126</v>
      </c>
      <c r="W106" s="291"/>
      <c r="X106" s="5"/>
    </row>
    <row r="107" spans="1:25" ht="15.6" x14ac:dyDescent="0.3">
      <c r="A107" s="340" t="s">
        <v>128</v>
      </c>
      <c r="B107" s="288" t="s">
        <v>222</v>
      </c>
      <c r="C107" s="288"/>
      <c r="D107" s="288"/>
      <c r="E107" s="288"/>
      <c r="F107" s="288"/>
      <c r="G107" s="288"/>
      <c r="H107" s="288"/>
      <c r="I107" s="288"/>
      <c r="J107" s="288"/>
      <c r="K107" s="288"/>
      <c r="L107" s="288"/>
      <c r="M107" s="288"/>
      <c r="N107" s="288"/>
      <c r="O107" s="288"/>
      <c r="P107" s="288"/>
      <c r="Q107" s="288"/>
      <c r="R107" s="288"/>
      <c r="S107" s="288"/>
      <c r="T107" s="288"/>
      <c r="U107" s="288"/>
      <c r="V107" s="338">
        <f>-2064+196</f>
        <v>-1868</v>
      </c>
      <c r="W107" s="291"/>
      <c r="X107" s="5"/>
      <c r="Y107" s="109"/>
    </row>
    <row r="108" spans="1:25" ht="15.6" x14ac:dyDescent="0.3">
      <c r="A108" s="340" t="s">
        <v>150</v>
      </c>
      <c r="B108" s="288" t="s">
        <v>184</v>
      </c>
      <c r="C108" s="288"/>
      <c r="D108" s="288"/>
      <c r="E108" s="288"/>
      <c r="F108" s="288"/>
      <c r="G108" s="288"/>
      <c r="H108" s="288"/>
      <c r="I108" s="288"/>
      <c r="J108" s="288"/>
      <c r="K108" s="288"/>
      <c r="L108" s="288"/>
      <c r="M108" s="288"/>
      <c r="N108" s="288"/>
      <c r="O108" s="288"/>
      <c r="P108" s="288"/>
      <c r="Q108" s="288"/>
      <c r="R108" s="288"/>
      <c r="S108" s="288"/>
      <c r="T108" s="288"/>
      <c r="U108" s="288"/>
      <c r="V108" s="338">
        <v>-196</v>
      </c>
      <c r="W108" s="291"/>
      <c r="X108" s="5"/>
      <c r="Y108" s="109"/>
    </row>
    <row r="109" spans="1:25" ht="15.6" x14ac:dyDescent="0.3">
      <c r="A109" s="340" t="s">
        <v>236</v>
      </c>
      <c r="B109" s="288" t="s">
        <v>238</v>
      </c>
      <c r="C109" s="288"/>
      <c r="D109" s="288"/>
      <c r="E109" s="288"/>
      <c r="F109" s="288"/>
      <c r="G109" s="288"/>
      <c r="H109" s="288"/>
      <c r="I109" s="288"/>
      <c r="J109" s="288"/>
      <c r="K109" s="288"/>
      <c r="L109" s="288"/>
      <c r="M109" s="288"/>
      <c r="N109" s="288"/>
      <c r="O109" s="288"/>
      <c r="P109" s="288"/>
      <c r="Q109" s="288"/>
      <c r="R109" s="288"/>
      <c r="S109" s="288"/>
      <c r="T109" s="288"/>
      <c r="U109" s="288"/>
      <c r="V109" s="338">
        <v>-1</v>
      </c>
      <c r="W109" s="291"/>
      <c r="X109" s="5"/>
    </row>
    <row r="110" spans="1:25" ht="15.6" x14ac:dyDescent="0.3">
      <c r="A110" s="340" t="s">
        <v>205</v>
      </c>
      <c r="B110" s="288" t="s">
        <v>185</v>
      </c>
      <c r="C110" s="288"/>
      <c r="D110" s="288"/>
      <c r="E110" s="288"/>
      <c r="F110" s="288"/>
      <c r="G110" s="288"/>
      <c r="H110" s="288"/>
      <c r="I110" s="288"/>
      <c r="J110" s="288"/>
      <c r="K110" s="288"/>
      <c r="L110" s="288"/>
      <c r="M110" s="288"/>
      <c r="N110" s="288"/>
      <c r="O110" s="288"/>
      <c r="P110" s="288"/>
      <c r="Q110" s="288"/>
      <c r="R110" s="288"/>
      <c r="S110" s="288"/>
      <c r="T110" s="288"/>
      <c r="U110" s="288"/>
      <c r="V110" s="338">
        <v>-144</v>
      </c>
      <c r="W110" s="291"/>
      <c r="X110" s="5"/>
      <c r="Y110" s="109"/>
    </row>
    <row r="111" spans="1:25" ht="15.6" x14ac:dyDescent="0.3">
      <c r="A111" s="340" t="s">
        <v>206</v>
      </c>
      <c r="B111" s="288" t="s">
        <v>186</v>
      </c>
      <c r="C111" s="288"/>
      <c r="D111" s="288"/>
      <c r="E111" s="288"/>
      <c r="F111" s="288"/>
      <c r="G111" s="288"/>
      <c r="H111" s="288"/>
      <c r="I111" s="288"/>
      <c r="J111" s="288"/>
      <c r="K111" s="288"/>
      <c r="L111" s="288"/>
      <c r="M111" s="288"/>
      <c r="N111" s="288"/>
      <c r="O111" s="288"/>
      <c r="P111" s="288"/>
      <c r="Q111" s="288"/>
      <c r="R111" s="288"/>
      <c r="S111" s="288"/>
      <c r="T111" s="288"/>
      <c r="U111" s="288"/>
      <c r="V111" s="338">
        <v>-119</v>
      </c>
      <c r="W111" s="291"/>
      <c r="X111" s="179"/>
      <c r="Y111" s="109"/>
    </row>
    <row r="112" spans="1:25" ht="15.6" x14ac:dyDescent="0.3">
      <c r="A112" s="340" t="s">
        <v>207</v>
      </c>
      <c r="B112" s="288" t="s">
        <v>196</v>
      </c>
      <c r="C112" s="288"/>
      <c r="D112" s="288"/>
      <c r="E112" s="288"/>
      <c r="F112" s="288"/>
      <c r="G112" s="288"/>
      <c r="H112" s="288"/>
      <c r="I112" s="288"/>
      <c r="J112" s="288"/>
      <c r="K112" s="288"/>
      <c r="L112" s="288"/>
      <c r="M112" s="288"/>
      <c r="N112" s="288"/>
      <c r="O112" s="288"/>
      <c r="P112" s="288"/>
      <c r="Q112" s="288"/>
      <c r="R112" s="288"/>
      <c r="S112" s="288"/>
      <c r="T112" s="288"/>
      <c r="U112" s="288"/>
      <c r="V112" s="338">
        <v>-271</v>
      </c>
      <c r="W112" s="291"/>
      <c r="X112" s="5"/>
      <c r="Y112" s="109"/>
    </row>
    <row r="113" spans="1:25" ht="15.6" x14ac:dyDescent="0.3">
      <c r="A113" s="340" t="s">
        <v>224</v>
      </c>
      <c r="B113" s="288" t="s">
        <v>223</v>
      </c>
      <c r="C113" s="288"/>
      <c r="D113" s="288"/>
      <c r="E113" s="288"/>
      <c r="F113" s="288"/>
      <c r="G113" s="288"/>
      <c r="H113" s="288"/>
      <c r="I113" s="288"/>
      <c r="J113" s="288"/>
      <c r="K113" s="288"/>
      <c r="L113" s="288"/>
      <c r="M113" s="288"/>
      <c r="N113" s="288"/>
      <c r="O113" s="288"/>
      <c r="P113" s="288"/>
      <c r="Q113" s="288"/>
      <c r="R113" s="288"/>
      <c r="S113" s="288"/>
      <c r="T113" s="288"/>
      <c r="U113" s="288"/>
      <c r="V113" s="338">
        <v>-56</v>
      </c>
      <c r="W113" s="291"/>
      <c r="X113" s="5"/>
      <c r="Y113" s="109"/>
    </row>
    <row r="114" spans="1:25" ht="15.6" x14ac:dyDescent="0.3">
      <c r="A114" s="340">
        <v>7</v>
      </c>
      <c r="B114" s="288" t="s">
        <v>35</v>
      </c>
      <c r="C114" s="288"/>
      <c r="D114" s="288"/>
      <c r="E114" s="288"/>
      <c r="F114" s="288"/>
      <c r="G114" s="288"/>
      <c r="H114" s="288"/>
      <c r="I114" s="288"/>
      <c r="J114" s="288"/>
      <c r="K114" s="288"/>
      <c r="L114" s="288"/>
      <c r="M114" s="288"/>
      <c r="N114" s="288"/>
      <c r="O114" s="288"/>
      <c r="P114" s="288"/>
      <c r="Q114" s="288"/>
      <c r="R114" s="288"/>
      <c r="S114" s="288"/>
      <c r="T114" s="288"/>
      <c r="U114" s="288"/>
      <c r="V114" s="338">
        <v>-12</v>
      </c>
      <c r="W114" s="291"/>
      <c r="X114" s="5"/>
    </row>
    <row r="115" spans="1:25" ht="15.6" x14ac:dyDescent="0.3">
      <c r="A115" s="340">
        <f t="shared" ref="A115:A121" si="0">+A114+1</f>
        <v>8</v>
      </c>
      <c r="B115" s="288" t="s">
        <v>45</v>
      </c>
      <c r="C115" s="288"/>
      <c r="D115" s="288"/>
      <c r="E115" s="288"/>
      <c r="F115" s="288"/>
      <c r="G115" s="288"/>
      <c r="H115" s="288"/>
      <c r="I115" s="288"/>
      <c r="J115" s="288"/>
      <c r="K115" s="288"/>
      <c r="L115" s="288"/>
      <c r="M115" s="288"/>
      <c r="N115" s="288"/>
      <c r="O115" s="288"/>
      <c r="P115" s="288"/>
      <c r="Q115" s="288"/>
      <c r="R115" s="288"/>
      <c r="S115" s="288"/>
      <c r="T115" s="337">
        <f>-V115</f>
        <v>177</v>
      </c>
      <c r="U115" s="288"/>
      <c r="V115" s="338">
        <v>-177</v>
      </c>
      <c r="W115" s="291"/>
      <c r="X115" s="5"/>
    </row>
    <row r="116" spans="1:25" ht="15.6" x14ac:dyDescent="0.3">
      <c r="A116" s="340">
        <f t="shared" si="0"/>
        <v>9</v>
      </c>
      <c r="B116" s="288" t="s">
        <v>125</v>
      </c>
      <c r="C116" s="288"/>
      <c r="D116" s="288"/>
      <c r="E116" s="288"/>
      <c r="F116" s="288"/>
      <c r="G116" s="288"/>
      <c r="H116" s="288"/>
      <c r="I116" s="288"/>
      <c r="J116" s="288"/>
      <c r="K116" s="288"/>
      <c r="L116" s="288"/>
      <c r="M116" s="288"/>
      <c r="N116" s="288"/>
      <c r="O116" s="288"/>
      <c r="P116" s="288"/>
      <c r="Q116" s="288"/>
      <c r="R116" s="288"/>
      <c r="S116" s="288"/>
      <c r="T116" s="288"/>
      <c r="U116" s="288"/>
      <c r="V116" s="338">
        <v>0</v>
      </c>
      <c r="W116" s="291"/>
      <c r="X116" s="5"/>
    </row>
    <row r="117" spans="1:25" ht="15.6" x14ac:dyDescent="0.3">
      <c r="A117" s="340">
        <f t="shared" si="0"/>
        <v>10</v>
      </c>
      <c r="B117" s="288" t="s">
        <v>240</v>
      </c>
      <c r="C117" s="288"/>
      <c r="D117" s="288"/>
      <c r="E117" s="288"/>
      <c r="F117" s="288"/>
      <c r="G117" s="288"/>
      <c r="H117" s="288"/>
      <c r="I117" s="288"/>
      <c r="J117" s="288"/>
      <c r="K117" s="288"/>
      <c r="L117" s="288"/>
      <c r="M117" s="288"/>
      <c r="N117" s="288"/>
      <c r="O117" s="288"/>
      <c r="P117" s="288"/>
      <c r="Q117" s="288"/>
      <c r="R117" s="288"/>
      <c r="S117" s="288"/>
      <c r="T117" s="288"/>
      <c r="U117" s="288"/>
      <c r="V117" s="338">
        <v>0</v>
      </c>
      <c r="W117" s="291"/>
      <c r="X117" s="5"/>
    </row>
    <row r="118" spans="1:25" ht="15.6" x14ac:dyDescent="0.3">
      <c r="A118" s="340">
        <f t="shared" si="0"/>
        <v>11</v>
      </c>
      <c r="B118" s="288" t="s">
        <v>36</v>
      </c>
      <c r="C118" s="288"/>
      <c r="D118" s="288"/>
      <c r="E118" s="288"/>
      <c r="F118" s="288"/>
      <c r="G118" s="288"/>
      <c r="H118" s="288"/>
      <c r="I118" s="288"/>
      <c r="J118" s="288"/>
      <c r="K118" s="288"/>
      <c r="L118" s="288"/>
      <c r="M118" s="288"/>
      <c r="N118" s="288"/>
      <c r="O118" s="288"/>
      <c r="P118" s="288"/>
      <c r="Q118" s="288"/>
      <c r="R118" s="288"/>
      <c r="S118" s="288"/>
      <c r="T118" s="288"/>
      <c r="U118" s="288"/>
      <c r="V118" s="338">
        <v>0</v>
      </c>
      <c r="W118" s="291"/>
      <c r="X118" s="5"/>
    </row>
    <row r="119" spans="1:25" ht="15.6" x14ac:dyDescent="0.3">
      <c r="A119" s="340">
        <f t="shared" si="0"/>
        <v>12</v>
      </c>
      <c r="B119" s="288" t="s">
        <v>239</v>
      </c>
      <c r="C119" s="288"/>
      <c r="D119" s="288"/>
      <c r="E119" s="288"/>
      <c r="F119" s="288"/>
      <c r="G119" s="288"/>
      <c r="H119" s="288"/>
      <c r="I119" s="288"/>
      <c r="J119" s="288"/>
      <c r="K119" s="288"/>
      <c r="L119" s="288"/>
      <c r="M119" s="288"/>
      <c r="N119" s="288"/>
      <c r="O119" s="288"/>
      <c r="P119" s="288"/>
      <c r="Q119" s="288"/>
      <c r="R119" s="288"/>
      <c r="S119" s="288"/>
      <c r="T119" s="288"/>
      <c r="U119" s="288"/>
      <c r="V119" s="338">
        <v>0</v>
      </c>
      <c r="W119" s="291"/>
      <c r="X119" s="5"/>
    </row>
    <row r="120" spans="1:25" ht="15.6" x14ac:dyDescent="0.3">
      <c r="A120" s="340">
        <f t="shared" si="0"/>
        <v>13</v>
      </c>
      <c r="B120" s="288" t="s">
        <v>149</v>
      </c>
      <c r="C120" s="288"/>
      <c r="D120" s="288"/>
      <c r="E120" s="288"/>
      <c r="F120" s="288"/>
      <c r="G120" s="288"/>
      <c r="H120" s="288"/>
      <c r="I120" s="288"/>
      <c r="J120" s="288"/>
      <c r="K120" s="288"/>
      <c r="L120" s="288"/>
      <c r="M120" s="288"/>
      <c r="N120" s="288"/>
      <c r="O120" s="288"/>
      <c r="P120" s="288"/>
      <c r="Q120" s="288"/>
      <c r="R120" s="288"/>
      <c r="S120" s="288"/>
      <c r="T120" s="288"/>
      <c r="U120" s="288"/>
      <c r="V120" s="338">
        <v>-746</v>
      </c>
      <c r="W120" s="291"/>
      <c r="X120" s="5"/>
    </row>
    <row r="121" spans="1:25" ht="15.6" x14ac:dyDescent="0.3">
      <c r="A121" s="340">
        <f t="shared" si="0"/>
        <v>14</v>
      </c>
      <c r="B121" s="288" t="s">
        <v>126</v>
      </c>
      <c r="C121" s="288"/>
      <c r="D121" s="288"/>
      <c r="E121" s="288"/>
      <c r="F121" s="288"/>
      <c r="G121" s="288"/>
      <c r="H121" s="288"/>
      <c r="I121" s="288"/>
      <c r="J121" s="288"/>
      <c r="K121" s="288"/>
      <c r="L121" s="288"/>
      <c r="M121" s="288"/>
      <c r="N121" s="288"/>
      <c r="O121" s="288"/>
      <c r="P121" s="288"/>
      <c r="Q121" s="288"/>
      <c r="R121" s="288"/>
      <c r="S121" s="288"/>
      <c r="T121" s="288"/>
      <c r="U121" s="288"/>
      <c r="V121" s="338">
        <f>-V101-SUM(V103:V120)</f>
        <v>-2642</v>
      </c>
      <c r="W121" s="291"/>
      <c r="X121" s="5"/>
    </row>
    <row r="122" spans="1:25" ht="15.6" x14ac:dyDescent="0.3">
      <c r="A122" s="287"/>
      <c r="B122" s="343" t="s">
        <v>37</v>
      </c>
      <c r="C122" s="314"/>
      <c r="D122" s="314"/>
      <c r="E122" s="314"/>
      <c r="F122" s="314"/>
      <c r="G122" s="314"/>
      <c r="H122" s="314"/>
      <c r="I122" s="314"/>
      <c r="J122" s="314"/>
      <c r="K122" s="314"/>
      <c r="L122" s="314"/>
      <c r="M122" s="314"/>
      <c r="N122" s="314"/>
      <c r="O122" s="314"/>
      <c r="P122" s="314"/>
      <c r="Q122" s="314"/>
      <c r="R122" s="314"/>
      <c r="S122" s="314"/>
      <c r="T122" s="314"/>
      <c r="U122" s="314"/>
      <c r="V122" s="346"/>
      <c r="W122" s="318"/>
      <c r="X122" s="5"/>
    </row>
    <row r="123" spans="1:25" ht="15.6" x14ac:dyDescent="0.3">
      <c r="A123" s="340"/>
      <c r="B123" s="288" t="s">
        <v>173</v>
      </c>
      <c r="C123" s="288"/>
      <c r="D123" s="288"/>
      <c r="E123" s="288"/>
      <c r="F123" s="288"/>
      <c r="G123" s="288"/>
      <c r="H123" s="288"/>
      <c r="I123" s="288"/>
      <c r="J123" s="288"/>
      <c r="K123" s="288"/>
      <c r="L123" s="288"/>
      <c r="M123" s="288"/>
      <c r="N123" s="288"/>
      <c r="O123" s="288"/>
      <c r="P123" s="288"/>
      <c r="Q123" s="288"/>
      <c r="R123" s="288"/>
      <c r="S123" s="288"/>
      <c r="T123" s="337">
        <f>-T189</f>
        <v>0</v>
      </c>
      <c r="U123" s="337"/>
      <c r="V123" s="338"/>
      <c r="W123" s="291"/>
      <c r="X123" s="5"/>
    </row>
    <row r="124" spans="1:25" ht="15.6" x14ac:dyDescent="0.3">
      <c r="A124" s="340"/>
      <c r="B124" s="288" t="s">
        <v>174</v>
      </c>
      <c r="C124" s="288"/>
      <c r="D124" s="288"/>
      <c r="E124" s="288"/>
      <c r="F124" s="288"/>
      <c r="G124" s="288"/>
      <c r="H124" s="288"/>
      <c r="I124" s="288"/>
      <c r="J124" s="288"/>
      <c r="K124" s="288"/>
      <c r="L124" s="288"/>
      <c r="M124" s="288"/>
      <c r="N124" s="288"/>
      <c r="O124" s="288"/>
      <c r="P124" s="288"/>
      <c r="Q124" s="288"/>
      <c r="R124" s="288"/>
      <c r="S124" s="288"/>
      <c r="T124" s="337">
        <v>-50</v>
      </c>
      <c r="U124" s="337"/>
      <c r="V124" s="338"/>
      <c r="W124" s="291"/>
      <c r="X124" s="5"/>
    </row>
    <row r="125" spans="1:25" ht="15.6" x14ac:dyDescent="0.3">
      <c r="A125" s="340"/>
      <c r="B125" s="288" t="s">
        <v>38</v>
      </c>
      <c r="C125" s="288"/>
      <c r="D125" s="288"/>
      <c r="E125" s="288"/>
      <c r="F125" s="288"/>
      <c r="G125" s="288"/>
      <c r="H125" s="288"/>
      <c r="I125" s="288"/>
      <c r="J125" s="288"/>
      <c r="K125" s="288"/>
      <c r="L125" s="288"/>
      <c r="M125" s="288"/>
      <c r="N125" s="288"/>
      <c r="O125" s="288"/>
      <c r="P125" s="288"/>
      <c r="Q125" s="288"/>
      <c r="R125" s="288"/>
      <c r="S125" s="288"/>
      <c r="T125" s="337">
        <f>-S189</f>
        <v>-59</v>
      </c>
      <c r="U125" s="337"/>
      <c r="V125" s="338"/>
      <c r="W125" s="291"/>
      <c r="X125" s="5"/>
    </row>
    <row r="126" spans="1:25" ht="15.6" x14ac:dyDescent="0.3">
      <c r="A126" s="340"/>
      <c r="B126" s="288" t="s">
        <v>197</v>
      </c>
      <c r="C126" s="288"/>
      <c r="D126" s="288"/>
      <c r="E126" s="288"/>
      <c r="F126" s="288"/>
      <c r="G126" s="288"/>
      <c r="H126" s="288"/>
      <c r="I126" s="288"/>
      <c r="J126" s="288"/>
      <c r="K126" s="288"/>
      <c r="L126" s="288"/>
      <c r="M126" s="288"/>
      <c r="N126" s="288"/>
      <c r="O126" s="288"/>
      <c r="P126" s="288"/>
      <c r="Q126" s="288"/>
      <c r="R126" s="288"/>
      <c r="S126" s="288"/>
      <c r="T126" s="337">
        <v>-5967</v>
      </c>
      <c r="U126" s="337"/>
      <c r="V126" s="338"/>
      <c r="W126" s="291"/>
      <c r="X126" s="5"/>
    </row>
    <row r="127" spans="1:25" ht="15.6" x14ac:dyDescent="0.3">
      <c r="A127" s="340"/>
      <c r="B127" s="288" t="s">
        <v>195</v>
      </c>
      <c r="C127" s="288"/>
      <c r="D127" s="288"/>
      <c r="E127" s="288"/>
      <c r="F127" s="288"/>
      <c r="G127" s="288"/>
      <c r="H127" s="288"/>
      <c r="I127" s="288"/>
      <c r="J127" s="288"/>
      <c r="K127" s="288"/>
      <c r="L127" s="288"/>
      <c r="M127" s="288"/>
      <c r="N127" s="288"/>
      <c r="O127" s="288"/>
      <c r="P127" s="288"/>
      <c r="Q127" s="288"/>
      <c r="R127" s="288"/>
      <c r="S127" s="288"/>
      <c r="T127" s="337">
        <v>-962</v>
      </c>
      <c r="U127" s="337"/>
      <c r="V127" s="338"/>
      <c r="W127" s="291"/>
      <c r="X127" s="5"/>
    </row>
    <row r="128" spans="1:25" ht="15.6" x14ac:dyDescent="0.3">
      <c r="A128" s="340"/>
      <c r="B128" s="288" t="s">
        <v>194</v>
      </c>
      <c r="C128" s="288"/>
      <c r="D128" s="288"/>
      <c r="E128" s="288"/>
      <c r="F128" s="288"/>
      <c r="G128" s="288"/>
      <c r="H128" s="288"/>
      <c r="I128" s="288"/>
      <c r="J128" s="288"/>
      <c r="K128" s="288"/>
      <c r="L128" s="288"/>
      <c r="M128" s="288"/>
      <c r="N128" s="288"/>
      <c r="O128" s="288"/>
      <c r="P128" s="288"/>
      <c r="Q128" s="288"/>
      <c r="R128" s="288"/>
      <c r="S128" s="288"/>
      <c r="T128" s="337">
        <v>-1295</v>
      </c>
      <c r="U128" s="337"/>
      <c r="V128" s="338"/>
      <c r="W128" s="291"/>
      <c r="X128" s="5"/>
    </row>
    <row r="129" spans="1:24" ht="15.6" x14ac:dyDescent="0.3">
      <c r="A129" s="340"/>
      <c r="B129" s="288" t="s">
        <v>226</v>
      </c>
      <c r="C129" s="288"/>
      <c r="D129" s="288"/>
      <c r="E129" s="288"/>
      <c r="F129" s="288"/>
      <c r="G129" s="288"/>
      <c r="H129" s="288"/>
      <c r="I129" s="288"/>
      <c r="J129" s="288"/>
      <c r="K129" s="288"/>
      <c r="L129" s="288"/>
      <c r="M129" s="288"/>
      <c r="N129" s="288"/>
      <c r="O129" s="288"/>
      <c r="P129" s="288"/>
      <c r="Q129" s="288"/>
      <c r="R129" s="288"/>
      <c r="S129" s="288"/>
      <c r="T129" s="337">
        <v>-1591</v>
      </c>
      <c r="U129" s="337"/>
      <c r="V129" s="338"/>
      <c r="W129" s="291"/>
      <c r="X129" s="5"/>
    </row>
    <row r="130" spans="1:24" ht="15.6" x14ac:dyDescent="0.3">
      <c r="A130" s="340"/>
      <c r="B130" s="288" t="s">
        <v>189</v>
      </c>
      <c r="C130" s="288"/>
      <c r="D130" s="288"/>
      <c r="E130" s="288"/>
      <c r="F130" s="288"/>
      <c r="G130" s="288"/>
      <c r="H130" s="288"/>
      <c r="I130" s="288"/>
      <c r="J130" s="288"/>
      <c r="K130" s="288"/>
      <c r="L130" s="288"/>
      <c r="M130" s="288"/>
      <c r="N130" s="288"/>
      <c r="O130" s="288"/>
      <c r="P130" s="288"/>
      <c r="Q130" s="288"/>
      <c r="R130" s="288"/>
      <c r="S130" s="288"/>
      <c r="T130" s="337">
        <v>0</v>
      </c>
      <c r="U130" s="337"/>
      <c r="V130" s="338"/>
      <c r="W130" s="291"/>
      <c r="X130" s="5"/>
    </row>
    <row r="131" spans="1:24" ht="15.6" x14ac:dyDescent="0.3">
      <c r="A131" s="340"/>
      <c r="B131" s="288" t="s">
        <v>188</v>
      </c>
      <c r="C131" s="288"/>
      <c r="D131" s="288"/>
      <c r="E131" s="288"/>
      <c r="F131" s="288"/>
      <c r="G131" s="288"/>
      <c r="H131" s="288"/>
      <c r="I131" s="288"/>
      <c r="J131" s="288"/>
      <c r="K131" s="288"/>
      <c r="L131" s="288"/>
      <c r="M131" s="288"/>
      <c r="N131" s="288"/>
      <c r="O131" s="288"/>
      <c r="P131" s="288"/>
      <c r="Q131" s="288"/>
      <c r="R131" s="288"/>
      <c r="S131" s="288"/>
      <c r="T131" s="337">
        <v>0</v>
      </c>
      <c r="U131" s="337"/>
      <c r="V131" s="338"/>
      <c r="W131" s="291"/>
      <c r="X131" s="5"/>
    </row>
    <row r="132" spans="1:24" ht="15.6" x14ac:dyDescent="0.3">
      <c r="A132" s="340"/>
      <c r="B132" s="288" t="s">
        <v>227</v>
      </c>
      <c r="C132" s="288"/>
      <c r="D132" s="288"/>
      <c r="E132" s="288"/>
      <c r="F132" s="288"/>
      <c r="G132" s="288"/>
      <c r="H132" s="288"/>
      <c r="I132" s="288"/>
      <c r="J132" s="288"/>
      <c r="K132" s="288"/>
      <c r="L132" s="288"/>
      <c r="M132" s="288"/>
      <c r="N132" s="288"/>
      <c r="O132" s="288"/>
      <c r="P132" s="288"/>
      <c r="Q132" s="288"/>
      <c r="R132" s="288"/>
      <c r="S132" s="288"/>
      <c r="T132" s="337">
        <v>0</v>
      </c>
      <c r="U132" s="337"/>
      <c r="V132" s="338"/>
      <c r="W132" s="291"/>
      <c r="X132" s="5"/>
    </row>
    <row r="133" spans="1:24" ht="15.6" x14ac:dyDescent="0.3">
      <c r="A133" s="340"/>
      <c r="B133" s="288" t="s">
        <v>187</v>
      </c>
      <c r="C133" s="288"/>
      <c r="D133" s="288"/>
      <c r="E133" s="288"/>
      <c r="F133" s="288"/>
      <c r="G133" s="288"/>
      <c r="H133" s="288"/>
      <c r="I133" s="288"/>
      <c r="J133" s="288"/>
      <c r="K133" s="288"/>
      <c r="L133" s="288"/>
      <c r="M133" s="288"/>
      <c r="N133" s="288"/>
      <c r="O133" s="288"/>
      <c r="P133" s="288"/>
      <c r="Q133" s="288"/>
      <c r="R133" s="288"/>
      <c r="S133" s="288"/>
      <c r="T133" s="337">
        <v>0</v>
      </c>
      <c r="U133" s="337"/>
      <c r="V133" s="338"/>
      <c r="W133" s="291"/>
      <c r="X133" s="5"/>
    </row>
    <row r="134" spans="1:24" ht="15.6" x14ac:dyDescent="0.3">
      <c r="A134" s="340"/>
      <c r="B134" s="288" t="s">
        <v>39</v>
      </c>
      <c r="C134" s="288"/>
      <c r="D134" s="288"/>
      <c r="E134" s="288"/>
      <c r="F134" s="288"/>
      <c r="G134" s="288"/>
      <c r="H134" s="288"/>
      <c r="I134" s="288"/>
      <c r="J134" s="288"/>
      <c r="K134" s="288"/>
      <c r="L134" s="288"/>
      <c r="M134" s="288"/>
      <c r="N134" s="288"/>
      <c r="O134" s="288"/>
      <c r="P134" s="288"/>
      <c r="Q134" s="288"/>
      <c r="R134" s="288"/>
      <c r="S134" s="288"/>
      <c r="T134" s="337">
        <f>SUM(T123:T133)</f>
        <v>-9924</v>
      </c>
      <c r="U134" s="337"/>
      <c r="V134" s="337">
        <f>SUM(V102:V131)</f>
        <v>-6719</v>
      </c>
      <c r="W134" s="291"/>
      <c r="X134" s="5"/>
    </row>
    <row r="135" spans="1:24" ht="15.6" x14ac:dyDescent="0.3">
      <c r="A135" s="340"/>
      <c r="B135" s="288" t="s">
        <v>40</v>
      </c>
      <c r="C135" s="288"/>
      <c r="D135" s="288"/>
      <c r="E135" s="288"/>
      <c r="F135" s="288"/>
      <c r="G135" s="288"/>
      <c r="H135" s="288"/>
      <c r="I135" s="288"/>
      <c r="J135" s="288"/>
      <c r="K135" s="288"/>
      <c r="L135" s="288"/>
      <c r="M135" s="288"/>
      <c r="N135" s="288"/>
      <c r="O135" s="288"/>
      <c r="P135" s="288"/>
      <c r="Q135" s="288"/>
      <c r="R135" s="288"/>
      <c r="S135" s="288"/>
      <c r="T135" s="337">
        <f>T101+T134+T115</f>
        <v>0</v>
      </c>
      <c r="U135" s="337"/>
      <c r="V135" s="337">
        <f>V101+V134</f>
        <v>0</v>
      </c>
      <c r="W135" s="291"/>
      <c r="X135" s="5"/>
    </row>
    <row r="136" spans="1:24" ht="15.6" x14ac:dyDescent="0.3">
      <c r="A136" s="243"/>
      <c r="B136" s="284"/>
      <c r="C136" s="284"/>
      <c r="D136" s="284"/>
      <c r="E136" s="284"/>
      <c r="F136" s="284"/>
      <c r="G136" s="284"/>
      <c r="H136" s="284"/>
      <c r="I136" s="284"/>
      <c r="J136" s="284"/>
      <c r="K136" s="284"/>
      <c r="L136" s="284"/>
      <c r="M136" s="284"/>
      <c r="N136" s="284"/>
      <c r="O136" s="284"/>
      <c r="P136" s="284"/>
      <c r="Q136" s="284"/>
      <c r="R136" s="284"/>
      <c r="S136" s="284"/>
      <c r="T136" s="339"/>
      <c r="U136" s="339"/>
      <c r="V136" s="339"/>
      <c r="W136" s="284"/>
      <c r="X136" s="5"/>
    </row>
    <row r="137" spans="1:24" ht="15.6" x14ac:dyDescent="0.3">
      <c r="A137" s="243"/>
      <c r="B137" s="224"/>
      <c r="C137" s="224"/>
      <c r="D137" s="224"/>
      <c r="E137" s="224"/>
      <c r="F137" s="224"/>
      <c r="G137" s="224"/>
      <c r="H137" s="224"/>
      <c r="I137" s="224"/>
      <c r="J137" s="224"/>
      <c r="K137" s="224"/>
      <c r="L137" s="224"/>
      <c r="M137" s="224"/>
      <c r="N137" s="224"/>
      <c r="O137" s="224"/>
      <c r="P137" s="224"/>
      <c r="Q137" s="224"/>
      <c r="R137" s="224"/>
      <c r="S137" s="224"/>
      <c r="T137" s="224"/>
      <c r="U137" s="224"/>
      <c r="V137" s="244"/>
      <c r="W137" s="224"/>
      <c r="X137" s="5"/>
    </row>
    <row r="138" spans="1:24" ht="18" thickBot="1" x14ac:dyDescent="0.35">
      <c r="A138" s="245"/>
      <c r="B138" s="237" t="str">
        <f>B64</f>
        <v>PM14 INVESTOR REPORT QUARTER ENDING AUGUST 2010</v>
      </c>
      <c r="C138" s="238"/>
      <c r="D138" s="238"/>
      <c r="E138" s="238"/>
      <c r="F138" s="238"/>
      <c r="G138" s="238"/>
      <c r="H138" s="238"/>
      <c r="I138" s="238"/>
      <c r="J138" s="238"/>
      <c r="K138" s="238"/>
      <c r="L138" s="238"/>
      <c r="M138" s="238"/>
      <c r="N138" s="238"/>
      <c r="O138" s="238"/>
      <c r="P138" s="238"/>
      <c r="Q138" s="238"/>
      <c r="R138" s="238"/>
      <c r="S138" s="238"/>
      <c r="T138" s="238"/>
      <c r="U138" s="238"/>
      <c r="V138" s="246"/>
      <c r="W138" s="240"/>
      <c r="X138" s="5"/>
    </row>
    <row r="139" spans="1:24" ht="15.6" x14ac:dyDescent="0.3">
      <c r="A139" s="273"/>
      <c r="B139" s="397" t="s">
        <v>41</v>
      </c>
      <c r="C139" s="274"/>
      <c r="D139" s="274"/>
      <c r="E139" s="274"/>
      <c r="F139" s="274"/>
      <c r="G139" s="274"/>
      <c r="H139" s="274"/>
      <c r="I139" s="274"/>
      <c r="J139" s="274"/>
      <c r="K139" s="274"/>
      <c r="L139" s="274"/>
      <c r="M139" s="274"/>
      <c r="N139" s="274"/>
      <c r="O139" s="274"/>
      <c r="P139" s="274"/>
      <c r="Q139" s="274"/>
      <c r="R139" s="274"/>
      <c r="S139" s="274"/>
      <c r="T139" s="274"/>
      <c r="U139" s="274"/>
      <c r="V139" s="275"/>
      <c r="W139" s="274"/>
      <c r="X139" s="5"/>
    </row>
    <row r="140" spans="1:24" ht="15.6" x14ac:dyDescent="0.3">
      <c r="A140" s="183"/>
      <c r="B140" s="195"/>
      <c r="C140" s="185"/>
      <c r="D140" s="185"/>
      <c r="E140" s="185"/>
      <c r="F140" s="185"/>
      <c r="G140" s="185"/>
      <c r="H140" s="185"/>
      <c r="I140" s="185"/>
      <c r="J140" s="185"/>
      <c r="K140" s="185"/>
      <c r="L140" s="185"/>
      <c r="M140" s="185"/>
      <c r="N140" s="185"/>
      <c r="O140" s="185"/>
      <c r="P140" s="185"/>
      <c r="Q140" s="185"/>
      <c r="R140" s="185"/>
      <c r="S140" s="185"/>
      <c r="T140" s="185"/>
      <c r="U140" s="185"/>
      <c r="V140" s="201"/>
      <c r="W140" s="185"/>
      <c r="X140" s="5"/>
    </row>
    <row r="141" spans="1:24" ht="15.6" x14ac:dyDescent="0.3">
      <c r="A141" s="183"/>
      <c r="B141" s="208" t="s">
        <v>42</v>
      </c>
      <c r="C141" s="185"/>
      <c r="D141" s="185"/>
      <c r="E141" s="185"/>
      <c r="F141" s="185"/>
      <c r="G141" s="185"/>
      <c r="H141" s="185"/>
      <c r="I141" s="185"/>
      <c r="J141" s="185"/>
      <c r="K141" s="185"/>
      <c r="L141" s="185"/>
      <c r="M141" s="185"/>
      <c r="N141" s="185"/>
      <c r="O141" s="185"/>
      <c r="P141" s="185"/>
      <c r="Q141" s="185"/>
      <c r="R141" s="185"/>
      <c r="S141" s="185"/>
      <c r="T141" s="185"/>
      <c r="U141" s="185"/>
      <c r="V141" s="201"/>
      <c r="W141" s="185"/>
      <c r="X141" s="5"/>
    </row>
    <row r="142" spans="1:24" ht="15.6" x14ac:dyDescent="0.3">
      <c r="A142" s="287"/>
      <c r="B142" s="288" t="s">
        <v>43</v>
      </c>
      <c r="C142" s="288"/>
      <c r="D142" s="288"/>
      <c r="E142" s="288"/>
      <c r="F142" s="288"/>
      <c r="G142" s="288"/>
      <c r="H142" s="288"/>
      <c r="I142" s="288"/>
      <c r="J142" s="288"/>
      <c r="K142" s="288"/>
      <c r="L142" s="288"/>
      <c r="M142" s="288"/>
      <c r="N142" s="288"/>
      <c r="O142" s="288"/>
      <c r="P142" s="288"/>
      <c r="Q142" s="288"/>
      <c r="R142" s="288"/>
      <c r="S142" s="288"/>
      <c r="T142" s="288"/>
      <c r="U142" s="288"/>
      <c r="V142" s="338">
        <f>+V34*0.019</f>
        <v>28505.224999999999</v>
      </c>
      <c r="W142" s="291"/>
      <c r="X142" s="5"/>
    </row>
    <row r="143" spans="1:24" ht="15.6" x14ac:dyDescent="0.3">
      <c r="A143" s="287"/>
      <c r="B143" s="288" t="s">
        <v>44</v>
      </c>
      <c r="C143" s="288"/>
      <c r="D143" s="288"/>
      <c r="E143" s="288"/>
      <c r="F143" s="288"/>
      <c r="G143" s="288"/>
      <c r="H143" s="288"/>
      <c r="I143" s="288"/>
      <c r="J143" s="288"/>
      <c r="K143" s="288"/>
      <c r="L143" s="288"/>
      <c r="M143" s="288"/>
      <c r="N143" s="288"/>
      <c r="O143" s="288"/>
      <c r="P143" s="288"/>
      <c r="Q143" s="288"/>
      <c r="R143" s="288"/>
      <c r="S143" s="288"/>
      <c r="T143" s="288"/>
      <c r="U143" s="288"/>
      <c r="V143" s="338">
        <v>28505</v>
      </c>
      <c r="W143" s="291"/>
      <c r="X143" s="5"/>
    </row>
    <row r="144" spans="1:24" ht="15.6" x14ac:dyDescent="0.3">
      <c r="A144" s="287"/>
      <c r="B144" s="288" t="s">
        <v>136</v>
      </c>
      <c r="C144" s="288"/>
      <c r="D144" s="288"/>
      <c r="E144" s="288"/>
      <c r="F144" s="288"/>
      <c r="G144" s="288"/>
      <c r="H144" s="288"/>
      <c r="I144" s="288"/>
      <c r="J144" s="288"/>
      <c r="K144" s="288"/>
      <c r="L144" s="288"/>
      <c r="M144" s="288"/>
      <c r="N144" s="288"/>
      <c r="O144" s="288"/>
      <c r="P144" s="288"/>
      <c r="Q144" s="288"/>
      <c r="R144" s="288"/>
      <c r="S144" s="288"/>
      <c r="T144" s="288"/>
      <c r="U144" s="288"/>
      <c r="V144" s="338"/>
      <c r="W144" s="291"/>
      <c r="X144" s="5"/>
    </row>
    <row r="145" spans="1:25" ht="15.6" x14ac:dyDescent="0.3">
      <c r="A145" s="287"/>
      <c r="B145" s="288" t="s">
        <v>123</v>
      </c>
      <c r="C145" s="288"/>
      <c r="D145" s="288"/>
      <c r="E145" s="288"/>
      <c r="F145" s="288"/>
      <c r="G145" s="288"/>
      <c r="H145" s="288"/>
      <c r="I145" s="288"/>
      <c r="J145" s="288"/>
      <c r="K145" s="288"/>
      <c r="L145" s="288"/>
      <c r="M145" s="288"/>
      <c r="N145" s="288"/>
      <c r="O145" s="288"/>
      <c r="P145" s="288"/>
      <c r="Q145" s="288"/>
      <c r="R145" s="288"/>
      <c r="S145" s="288"/>
      <c r="T145" s="288"/>
      <c r="U145" s="288"/>
      <c r="V145" s="338">
        <v>0</v>
      </c>
      <c r="W145" s="291"/>
      <c r="X145" s="5"/>
    </row>
    <row r="146" spans="1:25" ht="15.6" x14ac:dyDescent="0.3">
      <c r="A146" s="287"/>
      <c r="B146" s="288" t="s">
        <v>124</v>
      </c>
      <c r="C146" s="288"/>
      <c r="D146" s="288"/>
      <c r="E146" s="288"/>
      <c r="F146" s="288"/>
      <c r="G146" s="288"/>
      <c r="H146" s="288"/>
      <c r="I146" s="288"/>
      <c r="J146" s="288"/>
      <c r="K146" s="288"/>
      <c r="L146" s="288"/>
      <c r="M146" s="288"/>
      <c r="N146" s="288"/>
      <c r="O146" s="288"/>
      <c r="P146" s="288"/>
      <c r="Q146" s="288"/>
      <c r="R146" s="288"/>
      <c r="S146" s="288"/>
      <c r="T146" s="288"/>
      <c r="U146" s="288"/>
      <c r="V146" s="338">
        <v>0</v>
      </c>
      <c r="W146" s="291"/>
      <c r="X146" s="5"/>
    </row>
    <row r="147" spans="1:25" ht="15.6" x14ac:dyDescent="0.3">
      <c r="A147" s="287"/>
      <c r="B147" s="288" t="s">
        <v>175</v>
      </c>
      <c r="C147" s="288"/>
      <c r="D147" s="288"/>
      <c r="E147" s="288"/>
      <c r="F147" s="288"/>
      <c r="G147" s="288"/>
      <c r="H147" s="288"/>
      <c r="I147" s="288"/>
      <c r="J147" s="288"/>
      <c r="K147" s="288"/>
      <c r="L147" s="288"/>
      <c r="M147" s="288"/>
      <c r="N147" s="288"/>
      <c r="O147" s="288"/>
      <c r="P147" s="288"/>
      <c r="Q147" s="288"/>
      <c r="R147" s="288"/>
      <c r="S147" s="288"/>
      <c r="T147" s="288"/>
      <c r="U147" s="288"/>
      <c r="V147" s="338">
        <v>0</v>
      </c>
      <c r="W147" s="291"/>
      <c r="X147" s="5"/>
    </row>
    <row r="148" spans="1:25" ht="15.6" x14ac:dyDescent="0.3">
      <c r="A148" s="287"/>
      <c r="B148" s="288" t="s">
        <v>45</v>
      </c>
      <c r="C148" s="288"/>
      <c r="D148" s="288"/>
      <c r="E148" s="288"/>
      <c r="F148" s="288"/>
      <c r="G148" s="288"/>
      <c r="H148" s="288"/>
      <c r="I148" s="288"/>
      <c r="J148" s="288"/>
      <c r="K148" s="288"/>
      <c r="L148" s="288"/>
      <c r="M148" s="288"/>
      <c r="N148" s="288"/>
      <c r="O148" s="288"/>
      <c r="P148" s="288"/>
      <c r="Q148" s="288"/>
      <c r="R148" s="288"/>
      <c r="S148" s="288"/>
      <c r="T148" s="288"/>
      <c r="U148" s="288"/>
      <c r="V148" s="338">
        <v>0</v>
      </c>
      <c r="W148" s="291"/>
      <c r="X148" s="5"/>
    </row>
    <row r="149" spans="1:25" ht="15.6" x14ac:dyDescent="0.3">
      <c r="A149" s="287"/>
      <c r="B149" s="288" t="s">
        <v>129</v>
      </c>
      <c r="C149" s="288"/>
      <c r="D149" s="288"/>
      <c r="E149" s="288"/>
      <c r="F149" s="288"/>
      <c r="G149" s="288"/>
      <c r="H149" s="288"/>
      <c r="I149" s="288"/>
      <c r="J149" s="288"/>
      <c r="K149" s="288"/>
      <c r="L149" s="288"/>
      <c r="M149" s="288"/>
      <c r="N149" s="288"/>
      <c r="O149" s="288"/>
      <c r="P149" s="288"/>
      <c r="Q149" s="288"/>
      <c r="R149" s="288"/>
      <c r="S149" s="288"/>
      <c r="T149" s="288"/>
      <c r="U149" s="288"/>
      <c r="V149" s="338">
        <v>0</v>
      </c>
      <c r="W149" s="291"/>
      <c r="X149" s="5"/>
    </row>
    <row r="150" spans="1:25" ht="15.6" x14ac:dyDescent="0.3">
      <c r="A150" s="287"/>
      <c r="B150" s="288" t="s">
        <v>267</v>
      </c>
      <c r="C150" s="288"/>
      <c r="D150" s="288"/>
      <c r="E150" s="288"/>
      <c r="F150" s="288"/>
      <c r="G150" s="288"/>
      <c r="H150" s="288"/>
      <c r="I150" s="288"/>
      <c r="J150" s="288"/>
      <c r="K150" s="288"/>
      <c r="L150" s="288"/>
      <c r="M150" s="288"/>
      <c r="N150" s="288"/>
      <c r="O150" s="288"/>
      <c r="P150" s="288"/>
      <c r="Q150" s="288"/>
      <c r="R150" s="288"/>
      <c r="S150" s="288"/>
      <c r="T150" s="288"/>
      <c r="U150" s="288"/>
      <c r="V150" s="338">
        <v>0</v>
      </c>
      <c r="W150" s="291"/>
      <c r="X150" s="5"/>
      <c r="Y150" s="109"/>
    </row>
    <row r="151" spans="1:25" ht="15.6" x14ac:dyDescent="0.3">
      <c r="A151" s="287"/>
      <c r="B151" s="288" t="s">
        <v>46</v>
      </c>
      <c r="C151" s="288"/>
      <c r="D151" s="288"/>
      <c r="E151" s="288"/>
      <c r="F151" s="288"/>
      <c r="G151" s="288"/>
      <c r="H151" s="288"/>
      <c r="I151" s="288"/>
      <c r="J151" s="288"/>
      <c r="K151" s="288"/>
      <c r="L151" s="288"/>
      <c r="M151" s="288"/>
      <c r="N151" s="288"/>
      <c r="O151" s="288"/>
      <c r="P151" s="288"/>
      <c r="Q151" s="288"/>
      <c r="R151" s="288"/>
      <c r="S151" s="288"/>
      <c r="T151" s="288"/>
      <c r="U151" s="288"/>
      <c r="V151" s="338">
        <f>SUM(V143:V150)</f>
        <v>28505</v>
      </c>
      <c r="W151" s="291"/>
      <c r="X151" s="5"/>
    </row>
    <row r="152" spans="1:25" ht="15.6" x14ac:dyDescent="0.3">
      <c r="A152" s="287"/>
      <c r="B152" s="314"/>
      <c r="C152" s="314"/>
      <c r="D152" s="314"/>
      <c r="E152" s="314"/>
      <c r="F152" s="314"/>
      <c r="G152" s="314"/>
      <c r="H152" s="314"/>
      <c r="I152" s="314"/>
      <c r="J152" s="314"/>
      <c r="K152" s="314"/>
      <c r="L152" s="314"/>
      <c r="M152" s="314"/>
      <c r="N152" s="314"/>
      <c r="O152" s="314"/>
      <c r="P152" s="314"/>
      <c r="Q152" s="314"/>
      <c r="R152" s="314"/>
      <c r="S152" s="314"/>
      <c r="T152" s="314"/>
      <c r="U152" s="314"/>
      <c r="V152" s="345"/>
      <c r="W152" s="318"/>
      <c r="X152" s="5"/>
    </row>
    <row r="153" spans="1:25" ht="15.6" x14ac:dyDescent="0.3">
      <c r="A153" s="287"/>
      <c r="B153" s="343" t="s">
        <v>237</v>
      </c>
      <c r="C153" s="314"/>
      <c r="D153" s="314"/>
      <c r="E153" s="314"/>
      <c r="F153" s="314"/>
      <c r="G153" s="314"/>
      <c r="H153" s="314"/>
      <c r="I153" s="314"/>
      <c r="J153" s="314"/>
      <c r="K153" s="314"/>
      <c r="L153" s="314"/>
      <c r="M153" s="314"/>
      <c r="N153" s="314"/>
      <c r="O153" s="314"/>
      <c r="P153" s="314"/>
      <c r="Q153" s="314"/>
      <c r="R153" s="314"/>
      <c r="S153" s="314"/>
      <c r="T153" s="314"/>
      <c r="U153" s="314"/>
      <c r="V153" s="345"/>
      <c r="W153" s="318"/>
      <c r="X153" s="5"/>
    </row>
    <row r="154" spans="1:25" ht="15.6" x14ac:dyDescent="0.3">
      <c r="A154" s="287"/>
      <c r="B154" s="288" t="s">
        <v>155</v>
      </c>
      <c r="C154" s="288"/>
      <c r="D154" s="288"/>
      <c r="E154" s="288"/>
      <c r="F154" s="288"/>
      <c r="G154" s="288"/>
      <c r="H154" s="288"/>
      <c r="I154" s="288"/>
      <c r="J154" s="288"/>
      <c r="K154" s="288"/>
      <c r="L154" s="288"/>
      <c r="M154" s="288"/>
      <c r="N154" s="288"/>
      <c r="O154" s="288"/>
      <c r="P154" s="288"/>
      <c r="Q154" s="288"/>
      <c r="R154" s="288"/>
      <c r="S154" s="288"/>
      <c r="T154" s="288"/>
      <c r="U154" s="288"/>
      <c r="V154" s="338">
        <v>7500</v>
      </c>
      <c r="W154" s="291"/>
      <c r="X154" s="5"/>
    </row>
    <row r="155" spans="1:25" ht="15.6" x14ac:dyDescent="0.3">
      <c r="A155" s="287"/>
      <c r="B155" s="288" t="s">
        <v>172</v>
      </c>
      <c r="C155" s="288"/>
      <c r="D155" s="288"/>
      <c r="E155" s="288"/>
      <c r="F155" s="288"/>
      <c r="G155" s="288"/>
      <c r="H155" s="288"/>
      <c r="I155" s="288"/>
      <c r="J155" s="288"/>
      <c r="K155" s="288"/>
      <c r="L155" s="288"/>
      <c r="M155" s="288"/>
      <c r="N155" s="288"/>
      <c r="O155" s="288"/>
      <c r="P155" s="288"/>
      <c r="Q155" s="288"/>
      <c r="R155" s="288"/>
      <c r="S155" s="288"/>
      <c r="T155" s="288"/>
      <c r="U155" s="288"/>
      <c r="V155" s="338">
        <v>0</v>
      </c>
      <c r="W155" s="291"/>
      <c r="X155" s="5"/>
    </row>
    <row r="156" spans="1:25" ht="15.6" x14ac:dyDescent="0.3">
      <c r="A156" s="287"/>
      <c r="B156" s="288" t="s">
        <v>305</v>
      </c>
      <c r="C156" s="288"/>
      <c r="D156" s="288"/>
      <c r="E156" s="288"/>
      <c r="F156" s="288"/>
      <c r="G156" s="288"/>
      <c r="H156" s="288"/>
      <c r="I156" s="288"/>
      <c r="J156" s="288"/>
      <c r="K156" s="288"/>
      <c r="L156" s="288"/>
      <c r="M156" s="288"/>
      <c r="N156" s="288"/>
      <c r="O156" s="288"/>
      <c r="P156" s="288"/>
      <c r="Q156" s="288"/>
      <c r="R156" s="288"/>
      <c r="S156" s="288"/>
      <c r="T156" s="288"/>
      <c r="U156" s="288"/>
      <c r="V156" s="338">
        <v>2101</v>
      </c>
      <c r="W156" s="291"/>
      <c r="X156" s="5"/>
    </row>
    <row r="157" spans="1:25" ht="15.6" x14ac:dyDescent="0.3">
      <c r="A157" s="287"/>
      <c r="B157" s="288"/>
      <c r="C157" s="288"/>
      <c r="D157" s="288"/>
      <c r="E157" s="288"/>
      <c r="F157" s="288"/>
      <c r="G157" s="288"/>
      <c r="H157" s="288"/>
      <c r="I157" s="288"/>
      <c r="J157" s="288"/>
      <c r="K157" s="288"/>
      <c r="L157" s="288"/>
      <c r="M157" s="288"/>
      <c r="N157" s="288"/>
      <c r="O157" s="288"/>
      <c r="P157" s="288"/>
      <c r="Q157" s="288"/>
      <c r="R157" s="288"/>
      <c r="S157" s="288"/>
      <c r="T157" s="288"/>
      <c r="U157" s="288"/>
      <c r="V157" s="338"/>
      <c r="W157" s="291"/>
      <c r="X157" s="5"/>
    </row>
    <row r="158" spans="1:25" ht="15.6" x14ac:dyDescent="0.3">
      <c r="A158" s="183"/>
      <c r="B158" s="198"/>
      <c r="C158" s="198"/>
      <c r="D158" s="198"/>
      <c r="E158" s="198"/>
      <c r="F158" s="198"/>
      <c r="G158" s="198"/>
      <c r="H158" s="198"/>
      <c r="I158" s="198"/>
      <c r="J158" s="198"/>
      <c r="K158" s="198"/>
      <c r="L158" s="198"/>
      <c r="M158" s="198"/>
      <c r="N158" s="198"/>
      <c r="O158" s="198"/>
      <c r="P158" s="198"/>
      <c r="Q158" s="198"/>
      <c r="R158" s="198"/>
      <c r="S158" s="198"/>
      <c r="T158" s="198"/>
      <c r="U158" s="198"/>
      <c r="V158" s="347"/>
      <c r="W158" s="198"/>
      <c r="X158" s="5"/>
    </row>
    <row r="159" spans="1:25" ht="15.6" x14ac:dyDescent="0.3">
      <c r="A159" s="183"/>
      <c r="B159" s="208" t="s">
        <v>24</v>
      </c>
      <c r="C159" s="185"/>
      <c r="D159" s="185"/>
      <c r="E159" s="185"/>
      <c r="F159" s="185"/>
      <c r="G159" s="185"/>
      <c r="H159" s="185"/>
      <c r="I159" s="185"/>
      <c r="J159" s="185"/>
      <c r="K159" s="185"/>
      <c r="L159" s="185"/>
      <c r="M159" s="185"/>
      <c r="N159" s="185"/>
      <c r="O159" s="185"/>
      <c r="P159" s="185"/>
      <c r="Q159" s="185"/>
      <c r="R159" s="185"/>
      <c r="S159" s="185"/>
      <c r="T159" s="185"/>
      <c r="U159" s="185"/>
      <c r="V159" s="201"/>
      <c r="W159" s="185"/>
      <c r="X159" s="5"/>
    </row>
    <row r="160" spans="1:25" ht="15.6" x14ac:dyDescent="0.3">
      <c r="A160" s="287"/>
      <c r="B160" s="288" t="s">
        <v>47</v>
      </c>
      <c r="C160" s="288"/>
      <c r="D160" s="288"/>
      <c r="E160" s="288"/>
      <c r="F160" s="288"/>
      <c r="G160" s="288"/>
      <c r="H160" s="288"/>
      <c r="I160" s="288"/>
      <c r="J160" s="288"/>
      <c r="K160" s="288"/>
      <c r="L160" s="288"/>
      <c r="M160" s="288"/>
      <c r="N160" s="288"/>
      <c r="O160" s="288"/>
      <c r="P160" s="288"/>
      <c r="Q160" s="288"/>
      <c r="R160" s="288"/>
      <c r="S160" s="288"/>
      <c r="T160" s="288"/>
      <c r="U160" s="288"/>
      <c r="V160" s="348" t="s">
        <v>118</v>
      </c>
      <c r="W160" s="291"/>
      <c r="X160" s="5"/>
    </row>
    <row r="161" spans="1:256" ht="15.6" x14ac:dyDescent="0.3">
      <c r="A161" s="287"/>
      <c r="B161" s="288" t="s">
        <v>48</v>
      </c>
      <c r="C161" s="290"/>
      <c r="D161" s="290"/>
      <c r="E161" s="290"/>
      <c r="F161" s="290"/>
      <c r="G161" s="290"/>
      <c r="H161" s="290"/>
      <c r="I161" s="290"/>
      <c r="J161" s="290"/>
      <c r="K161" s="290"/>
      <c r="L161" s="290"/>
      <c r="M161" s="290"/>
      <c r="N161" s="290"/>
      <c r="O161" s="290"/>
      <c r="P161" s="290"/>
      <c r="Q161" s="290"/>
      <c r="R161" s="290"/>
      <c r="S161" s="290"/>
      <c r="T161" s="290"/>
      <c r="U161" s="290"/>
      <c r="V161" s="348" t="s">
        <v>118</v>
      </c>
      <c r="W161" s="291"/>
      <c r="X161" s="5"/>
    </row>
    <row r="162" spans="1:256" ht="15.6" x14ac:dyDescent="0.3">
      <c r="A162" s="287"/>
      <c r="B162" s="288" t="s">
        <v>49</v>
      </c>
      <c r="C162" s="288"/>
      <c r="D162" s="288"/>
      <c r="E162" s="288"/>
      <c r="F162" s="288"/>
      <c r="G162" s="288"/>
      <c r="H162" s="288"/>
      <c r="I162" s="288"/>
      <c r="J162" s="288"/>
      <c r="K162" s="288"/>
      <c r="L162" s="288"/>
      <c r="M162" s="288"/>
      <c r="N162" s="288"/>
      <c r="O162" s="288"/>
      <c r="P162" s="288"/>
      <c r="Q162" s="288"/>
      <c r="R162" s="288"/>
      <c r="S162" s="288"/>
      <c r="T162" s="288"/>
      <c r="U162" s="288"/>
      <c r="V162" s="348" t="s">
        <v>118</v>
      </c>
      <c r="W162" s="291"/>
      <c r="X162" s="5"/>
    </row>
    <row r="163" spans="1:256" ht="15.6" x14ac:dyDescent="0.3">
      <c r="A163" s="287"/>
      <c r="B163" s="288" t="s">
        <v>50</v>
      </c>
      <c r="C163" s="288"/>
      <c r="D163" s="288"/>
      <c r="E163" s="288"/>
      <c r="F163" s="288"/>
      <c r="G163" s="288"/>
      <c r="H163" s="288"/>
      <c r="I163" s="288"/>
      <c r="J163" s="288"/>
      <c r="K163" s="288"/>
      <c r="L163" s="288"/>
      <c r="M163" s="288"/>
      <c r="N163" s="288"/>
      <c r="O163" s="288"/>
      <c r="P163" s="288"/>
      <c r="Q163" s="288"/>
      <c r="R163" s="288"/>
      <c r="S163" s="288"/>
      <c r="T163" s="288"/>
      <c r="U163" s="288"/>
      <c r="V163" s="348" t="s">
        <v>118</v>
      </c>
      <c r="W163" s="291"/>
      <c r="X163" s="5"/>
    </row>
    <row r="164" spans="1:256" ht="15.6" x14ac:dyDescent="0.3">
      <c r="A164" s="183"/>
      <c r="B164" s="198"/>
      <c r="C164" s="198"/>
      <c r="D164" s="198"/>
      <c r="E164" s="198"/>
      <c r="F164" s="198"/>
      <c r="G164" s="198"/>
      <c r="H164" s="198"/>
      <c r="I164" s="198"/>
      <c r="J164" s="198"/>
      <c r="K164" s="198"/>
      <c r="L164" s="198"/>
      <c r="M164" s="198"/>
      <c r="N164" s="198"/>
      <c r="O164" s="198"/>
      <c r="P164" s="198"/>
      <c r="Q164" s="198"/>
      <c r="R164" s="198"/>
      <c r="S164" s="198"/>
      <c r="T164" s="198"/>
      <c r="U164" s="198"/>
      <c r="V164" s="347"/>
      <c r="W164" s="198"/>
      <c r="X164" s="5"/>
    </row>
    <row r="165" spans="1:256" ht="15.6" x14ac:dyDescent="0.3">
      <c r="A165" s="183"/>
      <c r="B165" s="208" t="s">
        <v>51</v>
      </c>
      <c r="C165" s="185"/>
      <c r="D165" s="185"/>
      <c r="E165" s="185"/>
      <c r="F165" s="185"/>
      <c r="G165" s="185"/>
      <c r="H165" s="185"/>
      <c r="I165" s="185"/>
      <c r="J165" s="185"/>
      <c r="K165" s="185"/>
      <c r="L165" s="185"/>
      <c r="M165" s="185"/>
      <c r="N165" s="185"/>
      <c r="O165" s="185"/>
      <c r="P165" s="185"/>
      <c r="Q165" s="185"/>
      <c r="R165" s="185"/>
      <c r="S165" s="185"/>
      <c r="T165" s="185"/>
      <c r="U165" s="185"/>
      <c r="V165" s="209"/>
      <c r="W165" s="185"/>
      <c r="X165" s="5"/>
    </row>
    <row r="166" spans="1:256" ht="15.6" x14ac:dyDescent="0.3">
      <c r="A166" s="287"/>
      <c r="B166" s="288" t="s">
        <v>52</v>
      </c>
      <c r="C166" s="288"/>
      <c r="D166" s="288"/>
      <c r="E166" s="288"/>
      <c r="F166" s="288"/>
      <c r="G166" s="288"/>
      <c r="H166" s="288"/>
      <c r="I166" s="288"/>
      <c r="J166" s="288"/>
      <c r="K166" s="288"/>
      <c r="L166" s="288"/>
      <c r="M166" s="288"/>
      <c r="N166" s="288"/>
      <c r="O166" s="288"/>
      <c r="P166" s="288"/>
      <c r="Q166" s="288"/>
      <c r="R166" s="288"/>
      <c r="S166" s="288"/>
      <c r="T166" s="288"/>
      <c r="U166" s="288"/>
      <c r="V166" s="338">
        <v>0</v>
      </c>
      <c r="W166" s="291"/>
      <c r="X166" s="5"/>
    </row>
    <row r="167" spans="1:256" ht="15.6" x14ac:dyDescent="0.3">
      <c r="A167" s="287"/>
      <c r="B167" s="288" t="s">
        <v>53</v>
      </c>
      <c r="C167" s="288"/>
      <c r="D167" s="288"/>
      <c r="E167" s="288"/>
      <c r="F167" s="288"/>
      <c r="G167" s="288"/>
      <c r="H167" s="288"/>
      <c r="I167" s="288"/>
      <c r="J167" s="288"/>
      <c r="K167" s="288"/>
      <c r="L167" s="288"/>
      <c r="M167" s="288"/>
      <c r="N167" s="288"/>
      <c r="O167" s="288"/>
      <c r="P167" s="288"/>
      <c r="Q167" s="288"/>
      <c r="R167" s="288"/>
      <c r="S167" s="288"/>
      <c r="T167" s="288"/>
      <c r="U167" s="288"/>
      <c r="V167" s="338">
        <v>177</v>
      </c>
      <c r="W167" s="291"/>
      <c r="X167" s="5"/>
    </row>
    <row r="168" spans="1:256" ht="15.6" x14ac:dyDescent="0.3">
      <c r="A168" s="287"/>
      <c r="B168" s="288" t="s">
        <v>54</v>
      </c>
      <c r="C168" s="288"/>
      <c r="D168" s="288"/>
      <c r="E168" s="288"/>
      <c r="F168" s="288"/>
      <c r="G168" s="288"/>
      <c r="H168" s="288"/>
      <c r="I168" s="288"/>
      <c r="J168" s="288"/>
      <c r="K168" s="288"/>
      <c r="L168" s="288"/>
      <c r="M168" s="288"/>
      <c r="N168" s="288"/>
      <c r="O168" s="288"/>
      <c r="P168" s="288"/>
      <c r="Q168" s="288"/>
      <c r="R168" s="288"/>
      <c r="S168" s="288"/>
      <c r="T168" s="288"/>
      <c r="U168" s="288"/>
      <c r="V168" s="338">
        <f>V167+V166</f>
        <v>177</v>
      </c>
      <c r="W168" s="291"/>
      <c r="X168" s="5"/>
    </row>
    <row r="169" spans="1:256" ht="15.6" x14ac:dyDescent="0.3">
      <c r="A169" s="287"/>
      <c r="B169" s="288" t="s">
        <v>315</v>
      </c>
      <c r="C169" s="288"/>
      <c r="D169" s="288"/>
      <c r="E169" s="288"/>
      <c r="F169" s="288"/>
      <c r="G169" s="288"/>
      <c r="H169" s="288"/>
      <c r="I169" s="288"/>
      <c r="J169" s="288"/>
      <c r="K169" s="288"/>
      <c r="L169" s="288"/>
      <c r="M169" s="288"/>
      <c r="N169" s="288"/>
      <c r="O169" s="288"/>
      <c r="P169" s="288"/>
      <c r="Q169" s="288"/>
      <c r="R169" s="288"/>
      <c r="S169" s="288"/>
      <c r="T169" s="288"/>
      <c r="U169" s="288"/>
      <c r="V169" s="338">
        <f>V115</f>
        <v>-177</v>
      </c>
      <c r="W169" s="291"/>
      <c r="X169" s="5"/>
    </row>
    <row r="170" spans="1:256" ht="15.6" x14ac:dyDescent="0.3">
      <c r="A170" s="287"/>
      <c r="B170" s="288" t="s">
        <v>55</v>
      </c>
      <c r="C170" s="288"/>
      <c r="D170" s="288"/>
      <c r="E170" s="288"/>
      <c r="F170" s="288"/>
      <c r="G170" s="288"/>
      <c r="H170" s="288"/>
      <c r="I170" s="288"/>
      <c r="J170" s="288"/>
      <c r="K170" s="288"/>
      <c r="L170" s="288"/>
      <c r="M170" s="288"/>
      <c r="N170" s="288"/>
      <c r="O170" s="288"/>
      <c r="P170" s="288"/>
      <c r="Q170" s="288"/>
      <c r="R170" s="288"/>
      <c r="S170" s="288"/>
      <c r="T170" s="288"/>
      <c r="U170" s="288"/>
      <c r="V170" s="338">
        <f>V168+V169</f>
        <v>0</v>
      </c>
      <c r="W170" s="291"/>
      <c r="X170" s="5"/>
    </row>
    <row r="171" spans="1:256" ht="15.6" x14ac:dyDescent="0.3">
      <c r="A171" s="287"/>
      <c r="B171" s="288" t="s">
        <v>283</v>
      </c>
      <c r="C171" s="288"/>
      <c r="D171" s="288"/>
      <c r="E171" s="288"/>
      <c r="F171" s="288"/>
      <c r="G171" s="288"/>
      <c r="H171" s="288"/>
      <c r="I171" s="288"/>
      <c r="J171" s="288"/>
      <c r="K171" s="288"/>
      <c r="L171" s="288"/>
      <c r="M171" s="288"/>
      <c r="N171" s="288"/>
      <c r="O171" s="288"/>
      <c r="P171" s="288"/>
      <c r="Q171" s="288"/>
      <c r="R171" s="288"/>
      <c r="S171" s="288"/>
      <c r="T171" s="288"/>
      <c r="U171" s="288"/>
      <c r="V171" s="338">
        <f>-V100</f>
        <v>1173</v>
      </c>
      <c r="W171" s="291"/>
      <c r="X171" s="5"/>
    </row>
    <row r="172" spans="1:256" ht="16.2" thickBot="1" x14ac:dyDescent="0.35">
      <c r="A172" s="183"/>
      <c r="B172" s="284"/>
      <c r="C172" s="284"/>
      <c r="D172" s="284"/>
      <c r="E172" s="284"/>
      <c r="F172" s="284"/>
      <c r="G172" s="284"/>
      <c r="H172" s="284"/>
      <c r="I172" s="284"/>
      <c r="J172" s="284"/>
      <c r="K172" s="284"/>
      <c r="L172" s="284"/>
      <c r="M172" s="284"/>
      <c r="N172" s="284"/>
      <c r="O172" s="284"/>
      <c r="P172" s="284"/>
      <c r="Q172" s="284"/>
      <c r="R172" s="284"/>
      <c r="S172" s="284"/>
      <c r="T172" s="284"/>
      <c r="U172" s="284"/>
      <c r="V172" s="349"/>
      <c r="W172" s="284"/>
      <c r="X172" s="5"/>
    </row>
    <row r="173" spans="1:256" ht="15.6" x14ac:dyDescent="0.3">
      <c r="A173" s="180"/>
      <c r="B173" s="247"/>
      <c r="C173" s="247"/>
      <c r="D173" s="247"/>
      <c r="E173" s="247"/>
      <c r="F173" s="247"/>
      <c r="G173" s="247"/>
      <c r="H173" s="247"/>
      <c r="I173" s="247"/>
      <c r="J173" s="247"/>
      <c r="K173" s="247"/>
      <c r="L173" s="247"/>
      <c r="M173" s="247"/>
      <c r="N173" s="247"/>
      <c r="O173" s="247"/>
      <c r="P173" s="247"/>
      <c r="Q173" s="247"/>
      <c r="R173" s="247"/>
      <c r="S173" s="247"/>
      <c r="T173" s="247"/>
      <c r="U173" s="247"/>
      <c r="V173" s="248"/>
      <c r="W173" s="247"/>
      <c r="X173" s="5"/>
    </row>
    <row r="174" spans="1:256" s="161" customFormat="1" ht="15.6" x14ac:dyDescent="0.3">
      <c r="A174" s="183"/>
      <c r="B174" s="208" t="s">
        <v>269</v>
      </c>
      <c r="C174" s="198"/>
      <c r="D174" s="198"/>
      <c r="E174" s="198"/>
      <c r="F174" s="198"/>
      <c r="G174" s="198"/>
      <c r="H174" s="198"/>
      <c r="I174" s="198"/>
      <c r="J174" s="198"/>
      <c r="K174" s="198"/>
      <c r="L174" s="198"/>
      <c r="M174" s="198"/>
      <c r="N174" s="198"/>
      <c r="O174" s="198"/>
      <c r="P174" s="198"/>
      <c r="Q174" s="198"/>
      <c r="R174" s="198"/>
      <c r="S174" s="198"/>
      <c r="T174" s="198"/>
      <c r="U174" s="198"/>
      <c r="V174" s="210"/>
      <c r="W174" s="198"/>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5.6" x14ac:dyDescent="0.3">
      <c r="A175" s="287"/>
      <c r="B175" s="288" t="s">
        <v>270</v>
      </c>
      <c r="C175" s="288"/>
      <c r="D175" s="288"/>
      <c r="E175" s="288"/>
      <c r="F175" s="288"/>
      <c r="G175" s="288"/>
      <c r="H175" s="288"/>
      <c r="I175" s="288"/>
      <c r="J175" s="288"/>
      <c r="K175" s="288"/>
      <c r="L175" s="288"/>
      <c r="M175" s="288"/>
      <c r="N175" s="288"/>
      <c r="O175" s="288"/>
      <c r="P175" s="288"/>
      <c r="Q175" s="288"/>
      <c r="R175" s="288"/>
      <c r="S175" s="288"/>
      <c r="T175" s="288"/>
      <c r="U175" s="288"/>
      <c r="V175" s="338">
        <f>+'Aug 08'!V177</f>
        <v>0</v>
      </c>
      <c r="W175" s="291"/>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3" customFormat="1" ht="15.6" x14ac:dyDescent="0.3">
      <c r="A176" s="287"/>
      <c r="B176" s="288" t="s">
        <v>273</v>
      </c>
      <c r="C176" s="288"/>
      <c r="D176" s="288"/>
      <c r="E176" s="288"/>
      <c r="F176" s="288"/>
      <c r="G176" s="288"/>
      <c r="H176" s="288"/>
      <c r="I176" s="288"/>
      <c r="J176" s="288"/>
      <c r="K176" s="288"/>
      <c r="L176" s="288"/>
      <c r="M176" s="288"/>
      <c r="N176" s="288"/>
      <c r="O176" s="288"/>
      <c r="P176" s="288"/>
      <c r="Q176" s="288"/>
      <c r="R176" s="288"/>
      <c r="S176" s="288"/>
      <c r="T176" s="288"/>
      <c r="U176" s="288"/>
      <c r="V176" s="338">
        <f>+V94</f>
        <v>0</v>
      </c>
      <c r="W176" s="291"/>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s="163" customFormat="1" ht="15.6" x14ac:dyDescent="0.3">
      <c r="A177" s="287"/>
      <c r="B177" s="288" t="s">
        <v>271</v>
      </c>
      <c r="C177" s="288"/>
      <c r="D177" s="288"/>
      <c r="E177" s="288"/>
      <c r="F177" s="288"/>
      <c r="G177" s="288"/>
      <c r="H177" s="288"/>
      <c r="I177" s="288"/>
      <c r="J177" s="288"/>
      <c r="K177" s="288"/>
      <c r="L177" s="288"/>
      <c r="M177" s="288"/>
      <c r="N177" s="288"/>
      <c r="O177" s="288"/>
      <c r="P177" s="288"/>
      <c r="Q177" s="288"/>
      <c r="R177" s="288"/>
      <c r="S177" s="288"/>
      <c r="T177" s="288"/>
      <c r="U177" s="288"/>
      <c r="V177" s="338">
        <f>+V175-V176</f>
        <v>0</v>
      </c>
      <c r="W177" s="291"/>
      <c r="X177" s="5"/>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s="166" customFormat="1" ht="16.2" thickBot="1" x14ac:dyDescent="0.35">
      <c r="A178" s="199"/>
      <c r="B178" s="198"/>
      <c r="C178" s="198"/>
      <c r="D178" s="198"/>
      <c r="E178" s="198"/>
      <c r="F178" s="198"/>
      <c r="G178" s="198"/>
      <c r="H178" s="198"/>
      <c r="I178" s="198"/>
      <c r="J178" s="198"/>
      <c r="K178" s="198"/>
      <c r="L178" s="198"/>
      <c r="M178" s="198"/>
      <c r="N178" s="198"/>
      <c r="O178" s="198"/>
      <c r="P178" s="198"/>
      <c r="Q178" s="198"/>
      <c r="R178" s="198"/>
      <c r="S178" s="198"/>
      <c r="T178" s="198"/>
      <c r="U178" s="198"/>
      <c r="V178" s="347"/>
      <c r="W178" s="198"/>
      <c r="X178" s="5"/>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s="167" customFormat="1" ht="15.6" x14ac:dyDescent="0.3">
      <c r="A179" s="180"/>
      <c r="B179" s="181"/>
      <c r="C179" s="181"/>
      <c r="D179" s="181"/>
      <c r="E179" s="181"/>
      <c r="F179" s="181"/>
      <c r="G179" s="181"/>
      <c r="H179" s="181"/>
      <c r="I179" s="181"/>
      <c r="J179" s="181"/>
      <c r="K179" s="181"/>
      <c r="L179" s="181"/>
      <c r="M179" s="181"/>
      <c r="N179" s="181"/>
      <c r="O179" s="181"/>
      <c r="P179" s="181"/>
      <c r="Q179" s="181"/>
      <c r="R179" s="181"/>
      <c r="S179" s="181"/>
      <c r="T179" s="181"/>
      <c r="U179" s="181"/>
      <c r="V179" s="200"/>
      <c r="W179" s="181"/>
      <c r="X179" s="5"/>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ht="15.6" x14ac:dyDescent="0.3">
      <c r="A180" s="183"/>
      <c r="B180" s="208" t="s">
        <v>56</v>
      </c>
      <c r="C180" s="185"/>
      <c r="D180" s="185"/>
      <c r="E180" s="185"/>
      <c r="F180" s="185"/>
      <c r="G180" s="185"/>
      <c r="H180" s="185"/>
      <c r="I180" s="185"/>
      <c r="J180" s="185"/>
      <c r="K180" s="185"/>
      <c r="L180" s="185"/>
      <c r="M180" s="185"/>
      <c r="N180" s="185"/>
      <c r="O180" s="185"/>
      <c r="P180" s="185"/>
      <c r="Q180" s="185"/>
      <c r="R180" s="185"/>
      <c r="S180" s="185"/>
      <c r="T180" s="185"/>
      <c r="U180" s="185"/>
      <c r="V180" s="201"/>
      <c r="W180" s="185"/>
      <c r="X180" s="5"/>
    </row>
    <row r="181" spans="1:256" ht="15.6" x14ac:dyDescent="0.3">
      <c r="A181" s="183"/>
      <c r="B181" s="195"/>
      <c r="C181" s="185"/>
      <c r="D181" s="185"/>
      <c r="E181" s="185"/>
      <c r="F181" s="185"/>
      <c r="G181" s="185"/>
      <c r="H181" s="185"/>
      <c r="I181" s="185"/>
      <c r="J181" s="185"/>
      <c r="K181" s="185"/>
      <c r="L181" s="185"/>
      <c r="M181" s="185"/>
      <c r="N181" s="185"/>
      <c r="O181" s="185"/>
      <c r="P181" s="185"/>
      <c r="Q181" s="185"/>
      <c r="R181" s="185"/>
      <c r="S181" s="185"/>
      <c r="T181" s="185"/>
      <c r="U181" s="185"/>
      <c r="V181" s="201"/>
      <c r="W181" s="185"/>
      <c r="X181" s="5"/>
    </row>
    <row r="182" spans="1:256" ht="15.6" x14ac:dyDescent="0.3">
      <c r="A182" s="287"/>
      <c r="B182" s="288" t="s">
        <v>57</v>
      </c>
      <c r="C182" s="288"/>
      <c r="D182" s="288"/>
      <c r="E182" s="288"/>
      <c r="F182" s="288"/>
      <c r="G182" s="288"/>
      <c r="H182" s="288"/>
      <c r="I182" s="288"/>
      <c r="J182" s="288"/>
      <c r="K182" s="288"/>
      <c r="L182" s="288"/>
      <c r="M182" s="288"/>
      <c r="N182" s="288"/>
      <c r="O182" s="288"/>
      <c r="P182" s="288"/>
      <c r="Q182" s="288"/>
      <c r="R182" s="288"/>
      <c r="S182" s="288"/>
      <c r="T182" s="288"/>
      <c r="U182" s="288"/>
      <c r="V182" s="338">
        <f>V71</f>
        <v>1169224</v>
      </c>
      <c r="W182" s="291"/>
      <c r="X182" s="5"/>
    </row>
    <row r="183" spans="1:256" ht="15.6" x14ac:dyDescent="0.3">
      <c r="A183" s="287"/>
      <c r="B183" s="288" t="s">
        <v>58</v>
      </c>
      <c r="C183" s="288"/>
      <c r="D183" s="288"/>
      <c r="E183" s="288"/>
      <c r="F183" s="288"/>
      <c r="G183" s="288"/>
      <c r="H183" s="288"/>
      <c r="I183" s="288"/>
      <c r="J183" s="288"/>
      <c r="K183" s="288"/>
      <c r="L183" s="288"/>
      <c r="M183" s="288"/>
      <c r="N183" s="288"/>
      <c r="O183" s="288"/>
      <c r="P183" s="288"/>
      <c r="Q183" s="288"/>
      <c r="R183" s="288"/>
      <c r="S183" s="288"/>
      <c r="T183" s="288"/>
      <c r="U183" s="288"/>
      <c r="V183" s="338">
        <f>V84</f>
        <v>1169224</v>
      </c>
      <c r="W183" s="291"/>
      <c r="X183" s="5"/>
    </row>
    <row r="184" spans="1:256" ht="16.2" thickBot="1" x14ac:dyDescent="0.35">
      <c r="A184" s="183"/>
      <c r="B184" s="198"/>
      <c r="C184" s="198"/>
      <c r="D184" s="198"/>
      <c r="E184" s="198"/>
      <c r="F184" s="198"/>
      <c r="G184" s="198"/>
      <c r="H184" s="198"/>
      <c r="I184" s="198"/>
      <c r="J184" s="198"/>
      <c r="K184" s="198"/>
      <c r="L184" s="198"/>
      <c r="M184" s="198"/>
      <c r="N184" s="198"/>
      <c r="O184" s="198"/>
      <c r="P184" s="198"/>
      <c r="Q184" s="198"/>
      <c r="R184" s="198"/>
      <c r="S184" s="198"/>
      <c r="T184" s="198"/>
      <c r="U184" s="198"/>
      <c r="V184" s="347"/>
      <c r="W184" s="198"/>
      <c r="X184" s="5"/>
    </row>
    <row r="185" spans="1:256" ht="15.6" x14ac:dyDescent="0.3">
      <c r="A185" s="180"/>
      <c r="B185" s="181"/>
      <c r="C185" s="181"/>
      <c r="D185" s="181"/>
      <c r="E185" s="181"/>
      <c r="F185" s="181"/>
      <c r="G185" s="181"/>
      <c r="H185" s="181"/>
      <c r="I185" s="181"/>
      <c r="J185" s="181"/>
      <c r="K185" s="181"/>
      <c r="L185" s="181"/>
      <c r="M185" s="181"/>
      <c r="N185" s="181"/>
      <c r="O185" s="181"/>
      <c r="P185" s="181"/>
      <c r="Q185" s="181"/>
      <c r="R185" s="181"/>
      <c r="S185" s="181"/>
      <c r="T185" s="181"/>
      <c r="U185" s="181"/>
      <c r="V185" s="200"/>
      <c r="W185" s="181"/>
      <c r="X185" s="5"/>
    </row>
    <row r="186" spans="1:256" ht="15.6" x14ac:dyDescent="0.3">
      <c r="A186" s="183"/>
      <c r="B186" s="208" t="s">
        <v>59</v>
      </c>
      <c r="C186" s="205"/>
      <c r="D186" s="205"/>
      <c r="E186" s="205"/>
      <c r="F186" s="205"/>
      <c r="G186" s="205"/>
      <c r="H186" s="211"/>
      <c r="I186" s="211"/>
      <c r="J186" s="211"/>
      <c r="K186" s="211"/>
      <c r="L186" s="211"/>
      <c r="M186" s="211"/>
      <c r="N186" s="211"/>
      <c r="O186" s="211"/>
      <c r="P186" s="211"/>
      <c r="Q186" s="211"/>
      <c r="R186" s="211"/>
      <c r="S186" s="211" t="s">
        <v>101</v>
      </c>
      <c r="T186" s="211" t="s">
        <v>176</v>
      </c>
      <c r="U186" s="187"/>
      <c r="V186" s="212" t="s">
        <v>114</v>
      </c>
      <c r="W186" s="213"/>
      <c r="X186" s="5"/>
    </row>
    <row r="187" spans="1:256" ht="15.6" x14ac:dyDescent="0.3">
      <c r="A187" s="287"/>
      <c r="B187" s="288" t="s">
        <v>60</v>
      </c>
      <c r="C187" s="288"/>
      <c r="D187" s="288"/>
      <c r="E187" s="288"/>
      <c r="F187" s="288"/>
      <c r="G187" s="288"/>
      <c r="H187" s="288"/>
      <c r="I187" s="288"/>
      <c r="J187" s="288"/>
      <c r="K187" s="288"/>
      <c r="L187" s="288"/>
      <c r="M187" s="288"/>
      <c r="N187" s="288"/>
      <c r="O187" s="288"/>
      <c r="P187" s="288"/>
      <c r="Q187" s="288"/>
      <c r="R187" s="288"/>
      <c r="S187" s="338">
        <f>+V34*0.16</f>
        <v>240044</v>
      </c>
      <c r="T187" s="325"/>
      <c r="U187" s="288"/>
      <c r="V187" s="338"/>
      <c r="W187" s="291"/>
      <c r="X187" s="5"/>
    </row>
    <row r="188" spans="1:256" ht="15.6" x14ac:dyDescent="0.3">
      <c r="A188" s="287"/>
      <c r="B188" s="288" t="s">
        <v>61</v>
      </c>
      <c r="C188" s="288"/>
      <c r="D188" s="288"/>
      <c r="E188" s="288"/>
      <c r="F188" s="288"/>
      <c r="G188" s="288"/>
      <c r="H188" s="288"/>
      <c r="I188" s="288"/>
      <c r="J188" s="288"/>
      <c r="K188" s="288"/>
      <c r="L188" s="288"/>
      <c r="M188" s="288"/>
      <c r="N188" s="288"/>
      <c r="O188" s="288"/>
      <c r="P188" s="288"/>
      <c r="Q188" s="288"/>
      <c r="R188" s="288"/>
      <c r="S188" s="338">
        <f>+'May 10'!S190</f>
        <v>23598</v>
      </c>
      <c r="T188" s="338">
        <f>+'May 10'!T190</f>
        <v>5963</v>
      </c>
      <c r="U188" s="288"/>
      <c r="V188" s="338">
        <f>S188+T188</f>
        <v>29561</v>
      </c>
      <c r="W188" s="291"/>
      <c r="X188" s="5"/>
    </row>
    <row r="189" spans="1:256" ht="15.6" x14ac:dyDescent="0.3">
      <c r="A189" s="287"/>
      <c r="B189" s="288" t="s">
        <v>62</v>
      </c>
      <c r="C189" s="288"/>
      <c r="D189" s="288"/>
      <c r="E189" s="288"/>
      <c r="F189" s="288"/>
      <c r="G189" s="288"/>
      <c r="H189" s="288"/>
      <c r="I189" s="288"/>
      <c r="J189" s="288"/>
      <c r="K189" s="288"/>
      <c r="L189" s="288"/>
      <c r="M189" s="288"/>
      <c r="N189" s="288"/>
      <c r="O189" s="288"/>
      <c r="P189" s="288"/>
      <c r="Q189" s="288"/>
      <c r="R189" s="288"/>
      <c r="S189" s="337">
        <v>59</v>
      </c>
      <c r="T189" s="337">
        <v>0</v>
      </c>
      <c r="U189" s="288"/>
      <c r="V189" s="338">
        <f>S189+T189</f>
        <v>59</v>
      </c>
      <c r="W189" s="291"/>
      <c r="X189" s="5"/>
    </row>
    <row r="190" spans="1:256" ht="15.6" x14ac:dyDescent="0.3">
      <c r="A190" s="287"/>
      <c r="B190" s="288" t="s">
        <v>63</v>
      </c>
      <c r="C190" s="288"/>
      <c r="D190" s="288"/>
      <c r="E190" s="288"/>
      <c r="F190" s="288"/>
      <c r="G190" s="288"/>
      <c r="H190" s="288"/>
      <c r="I190" s="288"/>
      <c r="J190" s="288"/>
      <c r="K190" s="288"/>
      <c r="L190" s="288"/>
      <c r="M190" s="288"/>
      <c r="N190" s="288"/>
      <c r="O190" s="288"/>
      <c r="P190" s="288"/>
      <c r="Q190" s="288"/>
      <c r="R190" s="288"/>
      <c r="S190" s="338">
        <f>S188+S189</f>
        <v>23657</v>
      </c>
      <c r="T190" s="338">
        <f>T189+T188</f>
        <v>5963</v>
      </c>
      <c r="U190" s="288"/>
      <c r="V190" s="338">
        <f>S190+T190</f>
        <v>29620</v>
      </c>
      <c r="W190" s="291"/>
      <c r="X190" s="5"/>
    </row>
    <row r="191" spans="1:256" ht="15.6" x14ac:dyDescent="0.3">
      <c r="A191" s="287"/>
      <c r="B191" s="288" t="s">
        <v>64</v>
      </c>
      <c r="C191" s="288"/>
      <c r="D191" s="288"/>
      <c r="E191" s="288"/>
      <c r="F191" s="288"/>
      <c r="G191" s="288"/>
      <c r="H191" s="288"/>
      <c r="I191" s="288"/>
      <c r="J191" s="288"/>
      <c r="K191" s="288"/>
      <c r="L191" s="288"/>
      <c r="M191" s="288"/>
      <c r="N191" s="288"/>
      <c r="O191" s="288"/>
      <c r="P191" s="288"/>
      <c r="Q191" s="288"/>
      <c r="R191" s="288"/>
      <c r="S191" s="338">
        <f>S187-S190-T190</f>
        <v>210424</v>
      </c>
      <c r="T191" s="325"/>
      <c r="U191" s="288"/>
      <c r="V191" s="338"/>
      <c r="W191" s="291"/>
      <c r="X191" s="5"/>
    </row>
    <row r="192" spans="1:256" ht="16.2" thickBot="1" x14ac:dyDescent="0.35">
      <c r="A192" s="183"/>
      <c r="B192" s="198"/>
      <c r="C192" s="198"/>
      <c r="D192" s="198"/>
      <c r="E192" s="198"/>
      <c r="F192" s="198"/>
      <c r="G192" s="198"/>
      <c r="H192" s="198"/>
      <c r="I192" s="198"/>
      <c r="J192" s="198"/>
      <c r="K192" s="198"/>
      <c r="L192" s="198"/>
      <c r="M192" s="198"/>
      <c r="N192" s="198"/>
      <c r="O192" s="198"/>
      <c r="P192" s="198"/>
      <c r="Q192" s="198"/>
      <c r="R192" s="198"/>
      <c r="S192" s="198"/>
      <c r="T192" s="198"/>
      <c r="U192" s="198"/>
      <c r="V192" s="347"/>
      <c r="W192" s="198"/>
      <c r="X192" s="5"/>
    </row>
    <row r="193" spans="1:24" ht="15.6" x14ac:dyDescent="0.3">
      <c r="A193" s="180"/>
      <c r="B193" s="181"/>
      <c r="C193" s="181"/>
      <c r="D193" s="181"/>
      <c r="E193" s="181"/>
      <c r="F193" s="181"/>
      <c r="G193" s="181"/>
      <c r="H193" s="181"/>
      <c r="I193" s="181"/>
      <c r="J193" s="181"/>
      <c r="K193" s="181"/>
      <c r="L193" s="181"/>
      <c r="M193" s="181"/>
      <c r="N193" s="181"/>
      <c r="O193" s="181"/>
      <c r="P193" s="181"/>
      <c r="Q193" s="181"/>
      <c r="R193" s="181"/>
      <c r="S193" s="181"/>
      <c r="T193" s="181"/>
      <c r="U193" s="181"/>
      <c r="V193" s="200"/>
      <c r="W193" s="181"/>
      <c r="X193" s="5"/>
    </row>
    <row r="194" spans="1:24" ht="15.6" x14ac:dyDescent="0.3">
      <c r="A194" s="183"/>
      <c r="B194" s="208" t="s">
        <v>65</v>
      </c>
      <c r="C194" s="185"/>
      <c r="D194" s="185"/>
      <c r="E194" s="185"/>
      <c r="F194" s="185"/>
      <c r="G194" s="185"/>
      <c r="H194" s="185"/>
      <c r="I194" s="185"/>
      <c r="J194" s="185"/>
      <c r="K194" s="185"/>
      <c r="L194" s="185"/>
      <c r="M194" s="185"/>
      <c r="N194" s="185"/>
      <c r="O194" s="185"/>
      <c r="P194" s="185"/>
      <c r="Q194" s="185"/>
      <c r="R194" s="185"/>
      <c r="S194" s="185"/>
      <c r="T194" s="185"/>
      <c r="U194" s="185"/>
      <c r="V194" s="214"/>
      <c r="W194" s="185"/>
      <c r="X194" s="5"/>
    </row>
    <row r="195" spans="1:24" ht="15.6" x14ac:dyDescent="0.3">
      <c r="A195" s="287"/>
      <c r="B195" s="288" t="s">
        <v>66</v>
      </c>
      <c r="C195" s="288"/>
      <c r="D195" s="288"/>
      <c r="E195" s="288"/>
      <c r="F195" s="288"/>
      <c r="G195" s="288"/>
      <c r="H195" s="288"/>
      <c r="I195" s="288"/>
      <c r="J195" s="288"/>
      <c r="K195" s="288"/>
      <c r="L195" s="288"/>
      <c r="M195" s="288"/>
      <c r="N195" s="288"/>
      <c r="O195" s="288"/>
      <c r="P195" s="288"/>
      <c r="Q195" s="288"/>
      <c r="R195" s="288"/>
      <c r="S195" s="288"/>
      <c r="T195" s="288"/>
      <c r="U195" s="288"/>
      <c r="V195" s="348">
        <f>(V101+V103+V104+V105+V106)/-(V107+V108)</f>
        <v>3.0193798449612403</v>
      </c>
      <c r="W195" s="291" t="s">
        <v>115</v>
      </c>
      <c r="X195" s="5"/>
    </row>
    <row r="196" spans="1:24" ht="15.6" x14ac:dyDescent="0.3">
      <c r="A196" s="287"/>
      <c r="B196" s="288" t="s">
        <v>67</v>
      </c>
      <c r="C196" s="288"/>
      <c r="D196" s="288"/>
      <c r="E196" s="288"/>
      <c r="F196" s="288"/>
      <c r="G196" s="288"/>
      <c r="H196" s="288"/>
      <c r="I196" s="288"/>
      <c r="J196" s="288"/>
      <c r="K196" s="288"/>
      <c r="L196" s="288"/>
      <c r="M196" s="288"/>
      <c r="N196" s="288"/>
      <c r="O196" s="288"/>
      <c r="P196" s="288"/>
      <c r="Q196" s="288"/>
      <c r="R196" s="288"/>
      <c r="S196" s="288"/>
      <c r="T196" s="288"/>
      <c r="U196" s="288"/>
      <c r="V196" s="350">
        <v>1.53</v>
      </c>
      <c r="W196" s="291" t="s">
        <v>115</v>
      </c>
      <c r="X196" s="5"/>
    </row>
    <row r="197" spans="1:24" ht="15.6" x14ac:dyDescent="0.3">
      <c r="A197" s="287"/>
      <c r="B197" s="288" t="s">
        <v>68</v>
      </c>
      <c r="C197" s="288"/>
      <c r="D197" s="288"/>
      <c r="E197" s="288"/>
      <c r="F197" s="288"/>
      <c r="G197" s="288"/>
      <c r="H197" s="288"/>
      <c r="I197" s="288"/>
      <c r="J197" s="288"/>
      <c r="K197" s="288"/>
      <c r="L197" s="288"/>
      <c r="M197" s="288"/>
      <c r="N197" s="288"/>
      <c r="O197" s="288"/>
      <c r="P197" s="288"/>
      <c r="Q197" s="288"/>
      <c r="R197" s="288"/>
      <c r="S197" s="288"/>
      <c r="T197" s="288"/>
      <c r="U197" s="288"/>
      <c r="V197" s="348">
        <f>(V101+V103+V104+V105+V106+V107+V108)/-(V110+V111)</f>
        <v>15.847908745247148</v>
      </c>
      <c r="W197" s="291" t="s">
        <v>115</v>
      </c>
      <c r="X197" s="5"/>
    </row>
    <row r="198" spans="1:24" ht="15.6" x14ac:dyDescent="0.3">
      <c r="A198" s="287"/>
      <c r="B198" s="288" t="s">
        <v>69</v>
      </c>
      <c r="C198" s="288"/>
      <c r="D198" s="288"/>
      <c r="E198" s="288"/>
      <c r="F198" s="288"/>
      <c r="G198" s="288"/>
      <c r="H198" s="288"/>
      <c r="I198" s="288"/>
      <c r="J198" s="288"/>
      <c r="K198" s="288"/>
      <c r="L198" s="288"/>
      <c r="M198" s="288"/>
      <c r="N198" s="288"/>
      <c r="O198" s="288"/>
      <c r="P198" s="288"/>
      <c r="Q198" s="288"/>
      <c r="R198" s="288"/>
      <c r="S198" s="288"/>
      <c r="T198" s="288"/>
      <c r="U198" s="288"/>
      <c r="V198" s="350">
        <v>5.37</v>
      </c>
      <c r="W198" s="291" t="s">
        <v>115</v>
      </c>
      <c r="X198" s="5"/>
    </row>
    <row r="199" spans="1:24" ht="15.6" x14ac:dyDescent="0.3">
      <c r="A199" s="287"/>
      <c r="B199" s="288" t="s">
        <v>198</v>
      </c>
      <c r="C199" s="288"/>
      <c r="D199" s="288"/>
      <c r="E199" s="288"/>
      <c r="F199" s="288"/>
      <c r="G199" s="288"/>
      <c r="H199" s="288"/>
      <c r="I199" s="288"/>
      <c r="J199" s="288"/>
      <c r="K199" s="288"/>
      <c r="L199" s="288"/>
      <c r="M199" s="288"/>
      <c r="N199" s="288"/>
      <c r="O199" s="288"/>
      <c r="P199" s="288"/>
      <c r="Q199" s="288"/>
      <c r="R199" s="288"/>
      <c r="S199" s="288"/>
      <c r="T199" s="288"/>
      <c r="U199" s="288"/>
      <c r="V199" s="348">
        <f>(V101+V103+V104+V105+V106+V107+V108+V110+V111)/-(V112+V113)</f>
        <v>11.941896024464832</v>
      </c>
      <c r="W199" s="291" t="s">
        <v>115</v>
      </c>
      <c r="X199" s="5"/>
    </row>
    <row r="200" spans="1:24" ht="15.6" x14ac:dyDescent="0.3">
      <c r="A200" s="287"/>
      <c r="B200" s="288" t="s">
        <v>199</v>
      </c>
      <c r="C200" s="288"/>
      <c r="D200" s="288"/>
      <c r="E200" s="288"/>
      <c r="F200" s="288"/>
      <c r="G200" s="288"/>
      <c r="H200" s="288"/>
      <c r="I200" s="288"/>
      <c r="J200" s="288"/>
      <c r="K200" s="288"/>
      <c r="L200" s="288"/>
      <c r="M200" s="288"/>
      <c r="N200" s="288"/>
      <c r="O200" s="288"/>
      <c r="P200" s="288"/>
      <c r="Q200" s="288"/>
      <c r="R200" s="288"/>
      <c r="S200" s="288"/>
      <c r="T200" s="288"/>
      <c r="U200" s="288"/>
      <c r="V200" s="350">
        <v>4.12</v>
      </c>
      <c r="W200" s="291" t="s">
        <v>115</v>
      </c>
      <c r="X200" s="5"/>
    </row>
    <row r="201" spans="1:24" ht="15.6" x14ac:dyDescent="0.3">
      <c r="A201" s="287"/>
      <c r="B201" s="314"/>
      <c r="C201" s="314"/>
      <c r="D201" s="314"/>
      <c r="E201" s="314"/>
      <c r="F201" s="314"/>
      <c r="G201" s="314"/>
      <c r="H201" s="314"/>
      <c r="I201" s="314"/>
      <c r="J201" s="314"/>
      <c r="K201" s="314"/>
      <c r="L201" s="314"/>
      <c r="M201" s="314"/>
      <c r="N201" s="314"/>
      <c r="O201" s="314"/>
      <c r="P201" s="314"/>
      <c r="Q201" s="314"/>
      <c r="R201" s="314"/>
      <c r="S201" s="314"/>
      <c r="T201" s="314"/>
      <c r="U201" s="314"/>
      <c r="V201" s="314"/>
      <c r="W201" s="318"/>
      <c r="X201" s="5"/>
    </row>
    <row r="202" spans="1:24" ht="15.6" x14ac:dyDescent="0.3">
      <c r="A202" s="183"/>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5"/>
    </row>
    <row r="203" spans="1:24" ht="15.6" x14ac:dyDescent="0.3">
      <c r="A203" s="183"/>
      <c r="B203" s="185"/>
      <c r="C203" s="185"/>
      <c r="D203" s="185"/>
      <c r="E203" s="185"/>
      <c r="F203" s="185"/>
      <c r="G203" s="185"/>
      <c r="H203" s="185"/>
      <c r="I203" s="185"/>
      <c r="J203" s="185"/>
      <c r="K203" s="185"/>
      <c r="L203" s="185"/>
      <c r="M203" s="185"/>
      <c r="N203" s="185"/>
      <c r="O203" s="185"/>
      <c r="P203" s="185"/>
      <c r="Q203" s="185"/>
      <c r="R203" s="185"/>
      <c r="S203" s="185"/>
      <c r="T203" s="185"/>
      <c r="U203" s="185"/>
      <c r="V203" s="185"/>
      <c r="W203" s="185"/>
      <c r="X203" s="5"/>
    </row>
    <row r="204" spans="1:24" ht="18" thickBot="1" x14ac:dyDescent="0.35">
      <c r="A204" s="199"/>
      <c r="B204" s="237" t="str">
        <f>B138</f>
        <v>PM14 INVESTOR REPORT QUARTER ENDING AUGUST 2010</v>
      </c>
      <c r="C204" s="215"/>
      <c r="D204" s="215"/>
      <c r="E204" s="215"/>
      <c r="F204" s="215"/>
      <c r="G204" s="215"/>
      <c r="H204" s="215"/>
      <c r="I204" s="215"/>
      <c r="J204" s="215"/>
      <c r="K204" s="215"/>
      <c r="L204" s="215"/>
      <c r="M204" s="215"/>
      <c r="N204" s="215"/>
      <c r="O204" s="215"/>
      <c r="P204" s="215"/>
      <c r="Q204" s="215"/>
      <c r="R204" s="215"/>
      <c r="S204" s="215"/>
      <c r="T204" s="215"/>
      <c r="U204" s="215"/>
      <c r="V204" s="215"/>
      <c r="W204" s="216"/>
      <c r="X204" s="5"/>
    </row>
    <row r="205" spans="1:24" ht="15.6" x14ac:dyDescent="0.3">
      <c r="A205" s="273"/>
      <c r="B205" s="397" t="s">
        <v>70</v>
      </c>
      <c r="C205" s="276"/>
      <c r="D205" s="276"/>
      <c r="E205" s="276"/>
      <c r="F205" s="276"/>
      <c r="G205" s="277"/>
      <c r="H205" s="277"/>
      <c r="I205" s="277"/>
      <c r="J205" s="277"/>
      <c r="K205" s="277"/>
      <c r="L205" s="277"/>
      <c r="M205" s="277"/>
      <c r="N205" s="277"/>
      <c r="O205" s="277"/>
      <c r="P205" s="277"/>
      <c r="Q205" s="277"/>
      <c r="R205" s="277"/>
      <c r="S205" s="277"/>
      <c r="T205" s="277">
        <v>40421</v>
      </c>
      <c r="U205" s="274"/>
      <c r="V205" s="274"/>
      <c r="W205" s="274"/>
      <c r="X205" s="5"/>
    </row>
    <row r="206" spans="1:24" ht="15.6" x14ac:dyDescent="0.3">
      <c r="A206" s="217"/>
      <c r="B206" s="230"/>
      <c r="C206" s="249"/>
      <c r="D206" s="249"/>
      <c r="E206" s="249"/>
      <c r="F206" s="249"/>
      <c r="G206" s="229"/>
      <c r="H206" s="229"/>
      <c r="I206" s="229"/>
      <c r="J206" s="229"/>
      <c r="K206" s="229"/>
      <c r="L206" s="229"/>
      <c r="M206" s="229"/>
      <c r="N206" s="229"/>
      <c r="O206" s="229"/>
      <c r="P206" s="229"/>
      <c r="Q206" s="229"/>
      <c r="R206" s="229"/>
      <c r="S206" s="229"/>
      <c r="T206" s="229"/>
      <c r="U206" s="224"/>
      <c r="V206" s="224"/>
      <c r="W206" s="224"/>
      <c r="X206" s="5"/>
    </row>
    <row r="207" spans="1:24" ht="15.6" x14ac:dyDescent="0.3">
      <c r="A207" s="352"/>
      <c r="B207" s="288" t="s">
        <v>71</v>
      </c>
      <c r="C207" s="353"/>
      <c r="D207" s="353"/>
      <c r="E207" s="353"/>
      <c r="F207" s="353"/>
      <c r="G207" s="330"/>
      <c r="H207" s="330"/>
      <c r="I207" s="330"/>
      <c r="J207" s="330"/>
      <c r="K207" s="330"/>
      <c r="L207" s="330"/>
      <c r="M207" s="330"/>
      <c r="N207" s="330"/>
      <c r="O207" s="330"/>
      <c r="P207" s="330"/>
      <c r="Q207" s="330"/>
      <c r="R207" s="330"/>
      <c r="S207" s="330"/>
      <c r="T207" s="321">
        <v>5.2819999999999999E-2</v>
      </c>
      <c r="U207" s="288"/>
      <c r="V207" s="288"/>
      <c r="W207" s="291"/>
      <c r="X207" s="5"/>
    </row>
    <row r="208" spans="1:24" ht="15.6" x14ac:dyDescent="0.3">
      <c r="A208" s="352"/>
      <c r="B208" s="288" t="s">
        <v>151</v>
      </c>
      <c r="C208" s="353"/>
      <c r="D208" s="353"/>
      <c r="E208" s="353"/>
      <c r="F208" s="353"/>
      <c r="G208" s="330"/>
      <c r="H208" s="330"/>
      <c r="I208" s="330"/>
      <c r="J208" s="330"/>
      <c r="K208" s="330"/>
      <c r="L208" s="330"/>
      <c r="M208" s="330"/>
      <c r="N208" s="330"/>
      <c r="O208" s="330"/>
      <c r="P208" s="330"/>
      <c r="Q208" s="330"/>
      <c r="R208" s="330"/>
      <c r="S208" s="330"/>
      <c r="T208" s="321">
        <v>5.7799999999999997E-2</v>
      </c>
      <c r="U208" s="288"/>
      <c r="V208" s="288"/>
      <c r="W208" s="291"/>
      <c r="X208" s="5"/>
    </row>
    <row r="209" spans="1:24" ht="15.6" x14ac:dyDescent="0.3">
      <c r="A209" s="352"/>
      <c r="B209" s="288" t="s">
        <v>72</v>
      </c>
      <c r="C209" s="353"/>
      <c r="D209" s="353"/>
      <c r="E209" s="353"/>
      <c r="F209" s="353"/>
      <c r="G209" s="330"/>
      <c r="H209" s="330"/>
      <c r="I209" s="330"/>
      <c r="J209" s="330"/>
      <c r="K209" s="330"/>
      <c r="L209" s="330"/>
      <c r="M209" s="330"/>
      <c r="N209" s="330"/>
      <c r="O209" s="330"/>
      <c r="P209" s="330"/>
      <c r="Q209" s="330"/>
      <c r="R209" s="330"/>
      <c r="S209" s="330"/>
      <c r="T209" s="321">
        <f>T207-T208</f>
        <v>-4.9799999999999983E-3</v>
      </c>
      <c r="U209" s="288"/>
      <c r="V209" s="288"/>
      <c r="W209" s="291"/>
      <c r="X209" s="5"/>
    </row>
    <row r="210" spans="1:24" ht="15.6" x14ac:dyDescent="0.3">
      <c r="A210" s="352"/>
      <c r="B210" s="288" t="s">
        <v>73</v>
      </c>
      <c r="C210" s="353"/>
      <c r="D210" s="353"/>
      <c r="E210" s="353"/>
      <c r="F210" s="353"/>
      <c r="G210" s="330"/>
      <c r="H210" s="330"/>
      <c r="I210" s="330"/>
      <c r="J210" s="330"/>
      <c r="K210" s="330"/>
      <c r="L210" s="330"/>
      <c r="M210" s="330"/>
      <c r="N210" s="330"/>
      <c r="O210" s="330"/>
      <c r="P210" s="330"/>
      <c r="Q210" s="330"/>
      <c r="R210" s="330"/>
      <c r="S210" s="330"/>
      <c r="T210" s="321">
        <v>2.5499999999999998E-2</v>
      </c>
      <c r="U210" s="288"/>
      <c r="V210" s="288"/>
      <c r="W210" s="291"/>
      <c r="X210" s="5"/>
    </row>
    <row r="211" spans="1:24" ht="15.6" x14ac:dyDescent="0.3">
      <c r="A211" s="352"/>
      <c r="B211" s="288" t="s">
        <v>219</v>
      </c>
      <c r="C211" s="353"/>
      <c r="D211" s="353"/>
      <c r="E211" s="353"/>
      <c r="F211" s="353"/>
      <c r="G211" s="330"/>
      <c r="H211" s="330"/>
      <c r="I211" s="330"/>
      <c r="J211" s="330"/>
      <c r="K211" s="330"/>
      <c r="L211" s="330"/>
      <c r="M211" s="330"/>
      <c r="N211" s="330"/>
      <c r="O211" s="330"/>
      <c r="P211" s="330"/>
      <c r="Q211" s="330"/>
      <c r="R211" s="330"/>
      <c r="S211" s="330"/>
      <c r="T211" s="321">
        <f>V43</f>
        <v>8.9302310323027944E-3</v>
      </c>
      <c r="U211" s="288"/>
      <c r="V211" s="288"/>
      <c r="W211" s="291"/>
      <c r="X211" s="5"/>
    </row>
    <row r="212" spans="1:24" ht="15.6" x14ac:dyDescent="0.3">
      <c r="A212" s="352"/>
      <c r="B212" s="288" t="s">
        <v>74</v>
      </c>
      <c r="C212" s="353"/>
      <c r="D212" s="353"/>
      <c r="E212" s="353"/>
      <c r="F212" s="353"/>
      <c r="G212" s="330"/>
      <c r="H212" s="330"/>
      <c r="I212" s="330"/>
      <c r="J212" s="330"/>
      <c r="K212" s="330"/>
      <c r="L212" s="330"/>
      <c r="M212" s="330"/>
      <c r="N212" s="330"/>
      <c r="O212" s="330"/>
      <c r="P212" s="330"/>
      <c r="Q212" s="330"/>
      <c r="R212" s="330"/>
      <c r="S212" s="330"/>
      <c r="T212" s="321">
        <f>T210-T211</f>
        <v>1.6569768967697206E-2</v>
      </c>
      <c r="U212" s="288"/>
      <c r="V212" s="288"/>
      <c r="W212" s="291"/>
      <c r="X212" s="5"/>
    </row>
    <row r="213" spans="1:24" ht="15.6" x14ac:dyDescent="0.3">
      <c r="A213" s="352"/>
      <c r="B213" s="288" t="s">
        <v>242</v>
      </c>
      <c r="C213" s="353"/>
      <c r="D213" s="353"/>
      <c r="E213" s="353"/>
      <c r="F213" s="353"/>
      <c r="G213" s="330"/>
      <c r="H213" s="330"/>
      <c r="I213" s="330"/>
      <c r="J213" s="330"/>
      <c r="K213" s="330"/>
      <c r="L213" s="330"/>
      <c r="M213" s="330"/>
      <c r="N213" s="330"/>
      <c r="O213" s="330"/>
      <c r="P213" s="330"/>
      <c r="Q213" s="330"/>
      <c r="R213" s="330"/>
      <c r="S213" s="330"/>
      <c r="T213" s="321">
        <f>V101/N71</f>
        <v>5.6987088637441173E-3</v>
      </c>
      <c r="U213" s="288"/>
      <c r="V213" s="288"/>
      <c r="W213" s="291"/>
      <c r="X213" s="5"/>
    </row>
    <row r="214" spans="1:24" ht="15.6" x14ac:dyDescent="0.3">
      <c r="A214" s="352"/>
      <c r="B214" s="288" t="s">
        <v>208</v>
      </c>
      <c r="C214" s="353"/>
      <c r="D214" s="353"/>
      <c r="E214" s="353"/>
      <c r="F214" s="353"/>
      <c r="G214" s="330"/>
      <c r="H214" s="330"/>
      <c r="I214" s="330"/>
      <c r="J214" s="330"/>
      <c r="K214" s="330"/>
      <c r="L214" s="330"/>
      <c r="M214" s="330"/>
      <c r="N214" s="330"/>
      <c r="O214" s="330"/>
      <c r="P214" s="330"/>
      <c r="Q214" s="330"/>
      <c r="R214" s="330"/>
      <c r="S214" s="330"/>
      <c r="T214" s="354">
        <v>51014</v>
      </c>
      <c r="U214" s="288"/>
      <c r="V214" s="288"/>
      <c r="W214" s="291"/>
      <c r="X214" s="5"/>
    </row>
    <row r="215" spans="1:24" ht="15.6" x14ac:dyDescent="0.3">
      <c r="A215" s="352"/>
      <c r="B215" s="288" t="s">
        <v>209</v>
      </c>
      <c r="C215" s="353"/>
      <c r="D215" s="353"/>
      <c r="E215" s="353"/>
      <c r="F215" s="353"/>
      <c r="G215" s="330"/>
      <c r="H215" s="330"/>
      <c r="I215" s="330"/>
      <c r="J215" s="330"/>
      <c r="K215" s="330"/>
      <c r="L215" s="330"/>
      <c r="M215" s="330"/>
      <c r="N215" s="330"/>
      <c r="O215" s="330"/>
      <c r="P215" s="330"/>
      <c r="Q215" s="330"/>
      <c r="R215" s="330"/>
      <c r="S215" s="330"/>
      <c r="T215" s="354">
        <v>51014</v>
      </c>
      <c r="U215" s="288"/>
      <c r="V215" s="288"/>
      <c r="W215" s="291"/>
      <c r="X215" s="5"/>
    </row>
    <row r="216" spans="1:24" ht="15.6" x14ac:dyDescent="0.3">
      <c r="A216" s="352"/>
      <c r="B216" s="288" t="s">
        <v>210</v>
      </c>
      <c r="C216" s="353"/>
      <c r="D216" s="353"/>
      <c r="E216" s="353"/>
      <c r="F216" s="353"/>
      <c r="G216" s="330"/>
      <c r="H216" s="330"/>
      <c r="I216" s="330"/>
      <c r="J216" s="330"/>
      <c r="K216" s="330"/>
      <c r="L216" s="330"/>
      <c r="M216" s="330"/>
      <c r="N216" s="330"/>
      <c r="O216" s="330"/>
      <c r="P216" s="330"/>
      <c r="Q216" s="330"/>
      <c r="R216" s="330"/>
      <c r="S216" s="330"/>
      <c r="T216" s="354">
        <v>51014</v>
      </c>
      <c r="U216" s="288"/>
      <c r="V216" s="288"/>
      <c r="W216" s="291"/>
      <c r="X216" s="5"/>
    </row>
    <row r="217" spans="1:24" ht="15.6" x14ac:dyDescent="0.3">
      <c r="A217" s="352"/>
      <c r="B217" s="288" t="s">
        <v>75</v>
      </c>
      <c r="C217" s="353"/>
      <c r="D217" s="353"/>
      <c r="E217" s="353"/>
      <c r="F217" s="353"/>
      <c r="G217" s="330"/>
      <c r="H217" s="330"/>
      <c r="I217" s="330"/>
      <c r="J217" s="330"/>
      <c r="K217" s="330"/>
      <c r="L217" s="330"/>
      <c r="M217" s="330"/>
      <c r="N217" s="330"/>
      <c r="O217" s="330"/>
      <c r="P217" s="330"/>
      <c r="Q217" s="330"/>
      <c r="R217" s="330"/>
      <c r="S217" s="330"/>
      <c r="T217" s="327">
        <v>20.66</v>
      </c>
      <c r="U217" s="288" t="s">
        <v>110</v>
      </c>
      <c r="V217" s="288"/>
      <c r="W217" s="291"/>
      <c r="X217" s="5"/>
    </row>
    <row r="218" spans="1:24" ht="15.6" x14ac:dyDescent="0.3">
      <c r="A218" s="352"/>
      <c r="B218" s="288" t="s">
        <v>76</v>
      </c>
      <c r="C218" s="353"/>
      <c r="D218" s="353"/>
      <c r="E218" s="353"/>
      <c r="F218" s="353"/>
      <c r="G218" s="330"/>
      <c r="H218" s="330"/>
      <c r="I218" s="330"/>
      <c r="J218" s="330"/>
      <c r="K218" s="330"/>
      <c r="L218" s="330"/>
      <c r="M218" s="330"/>
      <c r="N218" s="330"/>
      <c r="O218" s="330"/>
      <c r="P218" s="330"/>
      <c r="Q218" s="330"/>
      <c r="R218" s="330"/>
      <c r="S218" s="330"/>
      <c r="T218" s="327">
        <v>17.87</v>
      </c>
      <c r="U218" s="288" t="s">
        <v>110</v>
      </c>
      <c r="V218" s="288"/>
      <c r="W218" s="291"/>
      <c r="X218" s="5"/>
    </row>
    <row r="219" spans="1:24" ht="15.6" x14ac:dyDescent="0.3">
      <c r="A219" s="352"/>
      <c r="B219" s="288" t="s">
        <v>77</v>
      </c>
      <c r="C219" s="353"/>
      <c r="D219" s="353"/>
      <c r="E219" s="353"/>
      <c r="F219" s="353"/>
      <c r="G219" s="330"/>
      <c r="H219" s="330"/>
      <c r="I219" s="330"/>
      <c r="J219" s="330"/>
      <c r="K219" s="330"/>
      <c r="L219" s="330"/>
      <c r="M219" s="330"/>
      <c r="N219" s="330"/>
      <c r="O219" s="330"/>
      <c r="P219" s="330"/>
      <c r="Q219" s="330"/>
      <c r="R219" s="330"/>
      <c r="S219" s="330"/>
      <c r="T219" s="321">
        <f>+P68/N68</f>
        <v>8.4577354947546271E-3</v>
      </c>
      <c r="U219" s="288"/>
      <c r="V219" s="288"/>
      <c r="W219" s="291"/>
      <c r="X219" s="5"/>
    </row>
    <row r="220" spans="1:24" ht="15.6" x14ac:dyDescent="0.3">
      <c r="A220" s="352"/>
      <c r="B220" s="288" t="s">
        <v>78</v>
      </c>
      <c r="C220" s="353"/>
      <c r="D220" s="353"/>
      <c r="E220" s="353"/>
      <c r="F220" s="353"/>
      <c r="G220" s="330"/>
      <c r="H220" s="330"/>
      <c r="I220" s="330"/>
      <c r="J220" s="330"/>
      <c r="K220" s="330"/>
      <c r="L220" s="330"/>
      <c r="M220" s="330"/>
      <c r="N220" s="330"/>
      <c r="O220" s="330"/>
      <c r="P220" s="330"/>
      <c r="Q220" s="330"/>
      <c r="R220" s="330"/>
      <c r="S220" s="330"/>
      <c r="T220" s="321">
        <v>7.5399999999999995E-2</v>
      </c>
      <c r="U220" s="288"/>
      <c r="V220" s="288"/>
      <c r="W220" s="291"/>
      <c r="X220" s="5"/>
    </row>
    <row r="221" spans="1:24" ht="15.6" x14ac:dyDescent="0.3">
      <c r="A221" s="217"/>
      <c r="B221" s="284"/>
      <c r="C221" s="284"/>
      <c r="D221" s="284"/>
      <c r="E221" s="284"/>
      <c r="F221" s="284"/>
      <c r="G221" s="284"/>
      <c r="H221" s="284"/>
      <c r="I221" s="284"/>
      <c r="J221" s="284"/>
      <c r="K221" s="284"/>
      <c r="L221" s="284"/>
      <c r="M221" s="284"/>
      <c r="N221" s="284"/>
      <c r="O221" s="284"/>
      <c r="P221" s="284"/>
      <c r="Q221" s="284"/>
      <c r="R221" s="284"/>
      <c r="S221" s="284"/>
      <c r="T221" s="349"/>
      <c r="U221" s="284"/>
      <c r="V221" s="351"/>
      <c r="W221" s="284"/>
      <c r="X221" s="5"/>
    </row>
    <row r="222" spans="1:24" ht="15.6" x14ac:dyDescent="0.3">
      <c r="A222" s="278"/>
      <c r="B222" s="269" t="s">
        <v>79</v>
      </c>
      <c r="C222" s="270"/>
      <c r="D222" s="270"/>
      <c r="E222" s="270"/>
      <c r="F222" s="279"/>
      <c r="G222" s="270"/>
      <c r="H222" s="270"/>
      <c r="I222" s="270"/>
      <c r="J222" s="270"/>
      <c r="K222" s="270"/>
      <c r="L222" s="270"/>
      <c r="M222" s="270"/>
      <c r="N222" s="270"/>
      <c r="O222" s="270"/>
      <c r="P222" s="270"/>
      <c r="Q222" s="270"/>
      <c r="R222" s="270"/>
      <c r="S222" s="270" t="s">
        <v>102</v>
      </c>
      <c r="T222" s="279" t="s">
        <v>108</v>
      </c>
      <c r="U222" s="263"/>
      <c r="V222" s="263"/>
      <c r="W222" s="263"/>
      <c r="X222" s="5"/>
    </row>
    <row r="223" spans="1:24" ht="15.6" x14ac:dyDescent="0.3">
      <c r="A223" s="218"/>
      <c r="B223" s="231" t="s">
        <v>80</v>
      </c>
      <c r="C223" s="234"/>
      <c r="D223" s="234"/>
      <c r="E223" s="234"/>
      <c r="F223" s="231"/>
      <c r="G223" s="231"/>
      <c r="H223" s="233"/>
      <c r="I223" s="233"/>
      <c r="J223" s="233"/>
      <c r="K223" s="233"/>
      <c r="L223" s="233"/>
      <c r="M223" s="233"/>
      <c r="N223" s="233"/>
      <c r="O223" s="233"/>
      <c r="P223" s="233"/>
      <c r="Q223" s="233"/>
      <c r="R223" s="233"/>
      <c r="S223" s="233">
        <v>0</v>
      </c>
      <c r="T223" s="251">
        <v>0</v>
      </c>
      <c r="U223" s="231"/>
      <c r="V223" s="250"/>
      <c r="W223" s="252"/>
      <c r="X223" s="5"/>
    </row>
    <row r="224" spans="1:24" ht="15.6" x14ac:dyDescent="0.3">
      <c r="A224" s="362"/>
      <c r="B224" s="288" t="s">
        <v>145</v>
      </c>
      <c r="C224" s="337"/>
      <c r="D224" s="337"/>
      <c r="E224" s="337"/>
      <c r="F224" s="288"/>
      <c r="G224" s="288"/>
      <c r="H224" s="296"/>
      <c r="I224" s="296"/>
      <c r="J224" s="296"/>
      <c r="K224" s="296"/>
      <c r="L224" s="296"/>
      <c r="M224" s="296"/>
      <c r="N224" s="296"/>
      <c r="O224" s="296"/>
      <c r="P224" s="296"/>
      <c r="Q224" s="296"/>
      <c r="R224" s="296"/>
      <c r="S224" s="363">
        <f>+R276</f>
        <v>167</v>
      </c>
      <c r="T224" s="364">
        <f>+T276</f>
        <v>24270</v>
      </c>
      <c r="U224" s="288"/>
      <c r="V224" s="365"/>
      <c r="W224" s="366"/>
      <c r="X224" s="5"/>
    </row>
    <row r="225" spans="1:24" ht="15.6" x14ac:dyDescent="0.3">
      <c r="A225" s="362"/>
      <c r="B225" s="288" t="s">
        <v>81</v>
      </c>
      <c r="C225" s="337"/>
      <c r="D225" s="337"/>
      <c r="E225" s="337"/>
      <c r="F225" s="288"/>
      <c r="G225" s="288"/>
      <c r="H225" s="296"/>
      <c r="I225" s="296"/>
      <c r="J225" s="296"/>
      <c r="K225" s="296"/>
      <c r="L225" s="296"/>
      <c r="M225" s="296"/>
      <c r="N225" s="296"/>
      <c r="O225" s="296"/>
      <c r="P225" s="296"/>
      <c r="Q225" s="296"/>
      <c r="R225" s="296"/>
      <c r="S225" s="363">
        <f>+R288</f>
        <v>0</v>
      </c>
      <c r="T225" s="364">
        <f>+T288</f>
        <v>0</v>
      </c>
      <c r="U225" s="288"/>
      <c r="V225" s="365"/>
      <c r="W225" s="366"/>
      <c r="X225" s="5"/>
    </row>
    <row r="226" spans="1:24" ht="15.6" x14ac:dyDescent="0.3">
      <c r="A226" s="362"/>
      <c r="B226" s="313" t="s">
        <v>82</v>
      </c>
      <c r="C226" s="367"/>
      <c r="D226" s="367"/>
      <c r="E226" s="367"/>
      <c r="F226" s="314"/>
      <c r="G226" s="314"/>
      <c r="H226" s="314"/>
      <c r="I226" s="314"/>
      <c r="J226" s="314"/>
      <c r="K226" s="314"/>
      <c r="L226" s="314"/>
      <c r="M226" s="314"/>
      <c r="N226" s="314"/>
      <c r="O226" s="314"/>
      <c r="P226" s="314"/>
      <c r="Q226" s="314"/>
      <c r="R226" s="314"/>
      <c r="S226" s="314"/>
      <c r="T226" s="364">
        <v>0</v>
      </c>
      <c r="U226" s="314"/>
      <c r="V226" s="369"/>
      <c r="W226" s="370"/>
      <c r="X226" s="5"/>
    </row>
    <row r="227" spans="1:24" ht="15.6" x14ac:dyDescent="0.3">
      <c r="A227" s="362"/>
      <c r="B227" s="313" t="s">
        <v>243</v>
      </c>
      <c r="C227" s="367"/>
      <c r="D227" s="367"/>
      <c r="E227" s="367"/>
      <c r="F227" s="314"/>
      <c r="G227" s="314"/>
      <c r="H227" s="314"/>
      <c r="I227" s="314"/>
      <c r="J227" s="314"/>
      <c r="K227" s="314"/>
      <c r="L227" s="314"/>
      <c r="M227" s="314"/>
      <c r="N227" s="314"/>
      <c r="O227" s="314"/>
      <c r="P227" s="314"/>
      <c r="Q227" s="314"/>
      <c r="R227" s="314"/>
      <c r="S227" s="314"/>
      <c r="T227" s="364">
        <f>+N81</f>
        <v>0</v>
      </c>
      <c r="U227" s="314"/>
      <c r="V227" s="369"/>
      <c r="W227" s="370"/>
      <c r="X227" s="5"/>
    </row>
    <row r="228" spans="1:24" ht="15.6" x14ac:dyDescent="0.3">
      <c r="A228" s="371"/>
      <c r="B228" s="313" t="s">
        <v>83</v>
      </c>
      <c r="C228" s="372"/>
      <c r="D228" s="372"/>
      <c r="E228" s="372"/>
      <c r="F228" s="372"/>
      <c r="G228" s="314"/>
      <c r="H228" s="314"/>
      <c r="I228" s="314"/>
      <c r="J228" s="314"/>
      <c r="K228" s="314"/>
      <c r="L228" s="314"/>
      <c r="M228" s="314"/>
      <c r="N228" s="314"/>
      <c r="O228" s="314"/>
      <c r="P228" s="314"/>
      <c r="Q228" s="314"/>
      <c r="R228" s="314"/>
      <c r="S228" s="314"/>
      <c r="T228" s="368"/>
      <c r="U228" s="314"/>
      <c r="V228" s="369"/>
      <c r="W228" s="373"/>
      <c r="X228" s="5"/>
    </row>
    <row r="229" spans="1:24" ht="15.6" x14ac:dyDescent="0.3">
      <c r="A229" s="371"/>
      <c r="B229" s="293" t="s">
        <v>84</v>
      </c>
      <c r="C229" s="293"/>
      <c r="D229" s="293"/>
      <c r="E229" s="293"/>
      <c r="F229" s="293"/>
      <c r="G229" s="293"/>
      <c r="H229" s="293"/>
      <c r="I229" s="293"/>
      <c r="J229" s="293"/>
      <c r="K229" s="293"/>
      <c r="L229" s="293"/>
      <c r="M229" s="293"/>
      <c r="N229" s="293"/>
      <c r="O229" s="293"/>
      <c r="P229" s="293"/>
      <c r="Q229" s="293"/>
      <c r="R229" s="293"/>
      <c r="S229" s="324"/>
      <c r="T229" s="374">
        <f>V167</f>
        <v>177</v>
      </c>
      <c r="U229" s="293"/>
      <c r="V229" s="375"/>
      <c r="W229" s="376"/>
      <c r="X229" s="5"/>
    </row>
    <row r="230" spans="1:24" ht="15.6" x14ac:dyDescent="0.3">
      <c r="A230" s="362"/>
      <c r="B230" s="293" t="s">
        <v>85</v>
      </c>
      <c r="C230" s="377"/>
      <c r="D230" s="377"/>
      <c r="E230" s="377"/>
      <c r="F230" s="377"/>
      <c r="G230" s="293"/>
      <c r="H230" s="293"/>
      <c r="I230" s="293"/>
      <c r="J230" s="293"/>
      <c r="K230" s="293"/>
      <c r="L230" s="293"/>
      <c r="M230" s="293"/>
      <c r="N230" s="293"/>
      <c r="O230" s="293"/>
      <c r="P230" s="293"/>
      <c r="Q230" s="293"/>
      <c r="R230" s="293"/>
      <c r="S230" s="324"/>
      <c r="T230" s="374">
        <f>'May 10'!T230+T229</f>
        <v>2355</v>
      </c>
      <c r="U230" s="293"/>
      <c r="V230" s="375"/>
      <c r="W230" s="376"/>
      <c r="X230" s="5"/>
    </row>
    <row r="231" spans="1:24" ht="15.6" x14ac:dyDescent="0.3">
      <c r="A231" s="371"/>
      <c r="B231" s="313" t="s">
        <v>295</v>
      </c>
      <c r="C231" s="372"/>
      <c r="D231" s="372"/>
      <c r="E231" s="372"/>
      <c r="F231" s="372"/>
      <c r="G231" s="314"/>
      <c r="H231" s="314"/>
      <c r="I231" s="314"/>
      <c r="J231" s="314"/>
      <c r="K231" s="314"/>
      <c r="L231" s="314"/>
      <c r="M231" s="314"/>
      <c r="N231" s="314"/>
      <c r="O231" s="314"/>
      <c r="P231" s="314"/>
      <c r="Q231" s="314"/>
      <c r="R231" s="314"/>
      <c r="S231" s="316"/>
      <c r="T231" s="368"/>
      <c r="U231" s="314"/>
      <c r="V231" s="369"/>
      <c r="W231" s="373"/>
      <c r="X231" s="5"/>
    </row>
    <row r="232" spans="1:24" ht="15.6" x14ac:dyDescent="0.3">
      <c r="A232" s="371"/>
      <c r="B232" s="288" t="s">
        <v>291</v>
      </c>
      <c r="C232" s="288"/>
      <c r="D232" s="288"/>
      <c r="E232" s="288"/>
      <c r="F232" s="288"/>
      <c r="G232" s="288"/>
      <c r="H232" s="288"/>
      <c r="I232" s="288"/>
      <c r="J232" s="288"/>
      <c r="K232" s="288"/>
      <c r="L232" s="288"/>
      <c r="M232" s="288"/>
      <c r="N232" s="288"/>
      <c r="O232" s="288"/>
      <c r="P232" s="288"/>
      <c r="Q232" s="288"/>
      <c r="R232" s="288"/>
      <c r="S232" s="296">
        <v>0</v>
      </c>
      <c r="T232" s="364">
        <v>0</v>
      </c>
      <c r="U232" s="288"/>
      <c r="V232" s="365"/>
      <c r="W232" s="378"/>
      <c r="X232" s="5"/>
    </row>
    <row r="233" spans="1:24" ht="15.6" x14ac:dyDescent="0.3">
      <c r="A233" s="362"/>
      <c r="B233" s="288" t="s">
        <v>86</v>
      </c>
      <c r="C233" s="325"/>
      <c r="D233" s="325"/>
      <c r="E233" s="325"/>
      <c r="F233" s="379"/>
      <c r="G233" s="288"/>
      <c r="H233" s="288"/>
      <c r="I233" s="288"/>
      <c r="J233" s="288"/>
      <c r="K233" s="288"/>
      <c r="L233" s="288"/>
      <c r="M233" s="288"/>
      <c r="N233" s="288"/>
      <c r="O233" s="288"/>
      <c r="P233" s="288"/>
      <c r="Q233" s="288"/>
      <c r="R233" s="288"/>
      <c r="S233" s="288"/>
      <c r="T233" s="380">
        <v>0</v>
      </c>
      <c r="U233" s="288"/>
      <c r="V233" s="365"/>
      <c r="W233" s="378"/>
      <c r="X233" s="5"/>
    </row>
    <row r="234" spans="1:24" ht="15.6" x14ac:dyDescent="0.3">
      <c r="A234" s="362"/>
      <c r="B234" s="288" t="s">
        <v>87</v>
      </c>
      <c r="C234" s="325"/>
      <c r="D234" s="325"/>
      <c r="E234" s="325"/>
      <c r="F234" s="379"/>
      <c r="G234" s="288"/>
      <c r="H234" s="288"/>
      <c r="I234" s="288"/>
      <c r="J234" s="288"/>
      <c r="K234" s="288"/>
      <c r="L234" s="288"/>
      <c r="M234" s="288"/>
      <c r="N234" s="288"/>
      <c r="O234" s="288"/>
      <c r="P234" s="288"/>
      <c r="Q234" s="288"/>
      <c r="R234" s="288"/>
      <c r="S234" s="288"/>
      <c r="T234" s="380">
        <v>0</v>
      </c>
      <c r="U234" s="288"/>
      <c r="V234" s="365"/>
      <c r="W234" s="378"/>
      <c r="X234" s="5"/>
    </row>
    <row r="235" spans="1:24" ht="15.6" x14ac:dyDescent="0.3">
      <c r="A235" s="362"/>
      <c r="B235" s="313" t="s">
        <v>217</v>
      </c>
      <c r="C235" s="381"/>
      <c r="D235" s="381"/>
      <c r="E235" s="381"/>
      <c r="F235" s="382"/>
      <c r="G235" s="314"/>
      <c r="H235" s="314"/>
      <c r="I235" s="314"/>
      <c r="J235" s="314"/>
      <c r="K235" s="314"/>
      <c r="L235" s="314"/>
      <c r="M235" s="314"/>
      <c r="N235" s="314"/>
      <c r="O235" s="314"/>
      <c r="P235" s="314"/>
      <c r="Q235" s="314"/>
      <c r="R235" s="314"/>
      <c r="S235" s="314"/>
      <c r="T235" s="383"/>
      <c r="U235" s="314"/>
      <c r="V235" s="369"/>
      <c r="W235" s="373"/>
      <c r="X235" s="5"/>
    </row>
    <row r="236" spans="1:24" ht="15.6" x14ac:dyDescent="0.3">
      <c r="A236" s="362"/>
      <c r="B236" s="288" t="s">
        <v>291</v>
      </c>
      <c r="C236" s="381"/>
      <c r="D236" s="381"/>
      <c r="E236" s="381"/>
      <c r="F236" s="382"/>
      <c r="G236" s="314"/>
      <c r="H236" s="314"/>
      <c r="I236" s="314"/>
      <c r="J236" s="314"/>
      <c r="K236" s="314"/>
      <c r="L236" s="314"/>
      <c r="M236" s="314"/>
      <c r="N236" s="314"/>
      <c r="O236" s="314"/>
      <c r="P236" s="314"/>
      <c r="Q236" s="314"/>
      <c r="R236" s="314"/>
      <c r="S236" s="296">
        <v>7</v>
      </c>
      <c r="T236" s="364">
        <v>1542</v>
      </c>
      <c r="U236" s="314"/>
      <c r="V236" s="369"/>
      <c r="W236" s="373"/>
      <c r="X236" s="5"/>
    </row>
    <row r="237" spans="1:24" ht="15.6" x14ac:dyDescent="0.3">
      <c r="A237" s="362"/>
      <c r="B237" s="288" t="s">
        <v>218</v>
      </c>
      <c r="C237" s="381"/>
      <c r="D237" s="381"/>
      <c r="E237" s="381"/>
      <c r="F237" s="382"/>
      <c r="G237" s="314"/>
      <c r="H237" s="314"/>
      <c r="I237" s="314"/>
      <c r="J237" s="314"/>
      <c r="K237" s="314"/>
      <c r="L237" s="314"/>
      <c r="M237" s="314"/>
      <c r="N237" s="314"/>
      <c r="O237" s="314"/>
      <c r="P237" s="314"/>
      <c r="Q237" s="314"/>
      <c r="R237" s="314"/>
      <c r="S237" s="288"/>
      <c r="T237" s="380">
        <v>15.44</v>
      </c>
      <c r="U237" s="314"/>
      <c r="V237" s="369"/>
      <c r="W237" s="373"/>
      <c r="X237" s="5"/>
    </row>
    <row r="238" spans="1:24" ht="15.6" x14ac:dyDescent="0.3">
      <c r="A238" s="362"/>
      <c r="B238" s="372"/>
      <c r="C238" s="381"/>
      <c r="D238" s="381"/>
      <c r="E238" s="381"/>
      <c r="F238" s="382"/>
      <c r="G238" s="314"/>
      <c r="H238" s="314"/>
      <c r="I238" s="314"/>
      <c r="J238" s="314"/>
      <c r="K238" s="314"/>
      <c r="L238" s="314"/>
      <c r="M238" s="314"/>
      <c r="N238" s="314"/>
      <c r="O238" s="314"/>
      <c r="P238" s="314"/>
      <c r="Q238" s="314"/>
      <c r="R238" s="314"/>
      <c r="S238" s="314"/>
      <c r="T238" s="383"/>
      <c r="U238" s="314"/>
      <c r="V238" s="369"/>
      <c r="W238" s="373"/>
      <c r="X238" s="5"/>
    </row>
    <row r="239" spans="1:24" ht="15.6" x14ac:dyDescent="0.3">
      <c r="A239" s="362"/>
      <c r="B239" s="372"/>
      <c r="C239" s="381"/>
      <c r="D239" s="381"/>
      <c r="E239" s="381"/>
      <c r="F239" s="382"/>
      <c r="G239" s="314"/>
      <c r="H239" s="314"/>
      <c r="I239" s="314"/>
      <c r="J239" s="314"/>
      <c r="K239" s="314"/>
      <c r="L239" s="314"/>
      <c r="M239" s="314"/>
      <c r="N239" s="314"/>
      <c r="O239" s="314"/>
      <c r="P239" s="314"/>
      <c r="Q239" s="314"/>
      <c r="R239" s="314"/>
      <c r="S239" s="314"/>
      <c r="T239" s="383"/>
      <c r="U239" s="314"/>
      <c r="V239" s="369"/>
      <c r="W239" s="373"/>
      <c r="X239" s="5"/>
    </row>
    <row r="240" spans="1:24" ht="17.399999999999999" x14ac:dyDescent="0.3">
      <c r="A240" s="362"/>
      <c r="B240" s="384" t="s">
        <v>168</v>
      </c>
      <c r="C240" s="381"/>
      <c r="D240" s="381"/>
      <c r="E240" s="381"/>
      <c r="F240" s="382"/>
      <c r="G240" s="314"/>
      <c r="H240" s="314"/>
      <c r="I240" s="314"/>
      <c r="J240" s="314"/>
      <c r="K240" s="314"/>
      <c r="L240" s="314"/>
      <c r="M240" s="314"/>
      <c r="N240" s="314"/>
      <c r="O240" s="314"/>
      <c r="P240" s="385" t="s">
        <v>167</v>
      </c>
      <c r="Q240" s="314"/>
      <c r="R240" s="314"/>
      <c r="S240" s="314"/>
      <c r="T240" s="383"/>
      <c r="U240" s="314"/>
      <c r="V240" s="369"/>
      <c r="W240" s="373"/>
      <c r="X240" s="5"/>
    </row>
    <row r="241" spans="1:25" ht="15.6" x14ac:dyDescent="0.3">
      <c r="A241" s="355"/>
      <c r="B241" s="356"/>
      <c r="C241" s="357"/>
      <c r="D241" s="357"/>
      <c r="E241" s="357"/>
      <c r="F241" s="358"/>
      <c r="G241" s="198"/>
      <c r="H241" s="198"/>
      <c r="I241" s="198"/>
      <c r="J241" s="198"/>
      <c r="K241" s="198"/>
      <c r="L241" s="198"/>
      <c r="M241" s="198"/>
      <c r="N241" s="198"/>
      <c r="O241" s="198"/>
      <c r="P241" s="198"/>
      <c r="Q241" s="198"/>
      <c r="R241" s="198"/>
      <c r="S241" s="198"/>
      <c r="T241" s="359"/>
      <c r="U241" s="198"/>
      <c r="V241" s="360"/>
      <c r="W241" s="361"/>
      <c r="X241" s="5"/>
    </row>
    <row r="242" spans="1:25" ht="15.6" x14ac:dyDescent="0.3">
      <c r="A242" s="262"/>
      <c r="B242" s="269" t="s">
        <v>308</v>
      </c>
      <c r="C242" s="270"/>
      <c r="D242" s="270"/>
      <c r="E242" s="270"/>
      <c r="F242" s="279"/>
      <c r="G242" s="270"/>
      <c r="H242" s="270"/>
      <c r="I242" s="270"/>
      <c r="J242" s="270"/>
      <c r="K242" s="270"/>
      <c r="L242" s="270"/>
      <c r="M242" s="270"/>
      <c r="N242" s="270"/>
      <c r="O242" s="270"/>
      <c r="P242" s="270"/>
      <c r="Q242" s="270"/>
      <c r="R242" s="279" t="s">
        <v>102</v>
      </c>
      <c r="S242" s="270" t="s">
        <v>103</v>
      </c>
      <c r="T242" s="279" t="s">
        <v>109</v>
      </c>
      <c r="U242" s="270" t="s">
        <v>103</v>
      </c>
      <c r="V242" s="263"/>
      <c r="W242" s="269"/>
      <c r="X242" s="5"/>
    </row>
    <row r="243" spans="1:25" ht="15.6" x14ac:dyDescent="0.3">
      <c r="A243" s="197"/>
      <c r="B243" s="234" t="s">
        <v>88</v>
      </c>
      <c r="C243" s="253"/>
      <c r="D243" s="253"/>
      <c r="E243" s="253"/>
      <c r="F243" s="231"/>
      <c r="G243" s="253"/>
      <c r="H243" s="253"/>
      <c r="I243" s="253"/>
      <c r="J243" s="253"/>
      <c r="K243" s="253"/>
      <c r="L243" s="253"/>
      <c r="M243" s="253"/>
      <c r="N243" s="253"/>
      <c r="O243" s="253"/>
      <c r="P243" s="253"/>
      <c r="Q243" s="253"/>
      <c r="R243" s="234">
        <f t="shared" ref="R243:R250" si="1">+R255+R267+R279</f>
        <v>8080</v>
      </c>
      <c r="S243" s="254">
        <f>R243/$R$252</f>
        <v>0.9821320043758357</v>
      </c>
      <c r="T243" s="241">
        <f t="shared" ref="T243:T250" si="2">+T255+T267+T279</f>
        <v>1143230</v>
      </c>
      <c r="U243" s="254">
        <f>T243/$T$252</f>
        <v>0.97776816076303597</v>
      </c>
      <c r="V243" s="250"/>
      <c r="W243" s="232"/>
      <c r="X243" s="5"/>
    </row>
    <row r="244" spans="1:25" ht="15.6" x14ac:dyDescent="0.3">
      <c r="A244" s="287"/>
      <c r="B244" s="337" t="s">
        <v>89</v>
      </c>
      <c r="C244" s="389"/>
      <c r="D244" s="389"/>
      <c r="E244" s="389"/>
      <c r="F244" s="288"/>
      <c r="G244" s="390"/>
      <c r="H244" s="389"/>
      <c r="I244" s="389"/>
      <c r="J244" s="389"/>
      <c r="K244" s="389"/>
      <c r="L244" s="389"/>
      <c r="M244" s="389"/>
      <c r="N244" s="389"/>
      <c r="O244" s="389"/>
      <c r="P244" s="389"/>
      <c r="Q244" s="389"/>
      <c r="R244" s="337">
        <f t="shared" si="1"/>
        <v>44</v>
      </c>
      <c r="S244" s="390">
        <f t="shared" ref="S244:S250" si="3">R244/$R$252</f>
        <v>5.3482435881852435E-3</v>
      </c>
      <c r="T244" s="338">
        <f t="shared" si="2"/>
        <v>9345</v>
      </c>
      <c r="U244" s="390">
        <f t="shared" ref="U244:U250" si="4">T244/$T$252</f>
        <v>7.9924804827817431E-3</v>
      </c>
      <c r="V244" s="365"/>
      <c r="W244" s="378"/>
      <c r="X244" s="5"/>
      <c r="Y244" s="109"/>
    </row>
    <row r="245" spans="1:25" ht="15.6" x14ac:dyDescent="0.3">
      <c r="A245" s="287"/>
      <c r="B245" s="337" t="s">
        <v>90</v>
      </c>
      <c r="C245" s="389"/>
      <c r="D245" s="389"/>
      <c r="E245" s="389"/>
      <c r="F245" s="288"/>
      <c r="G245" s="390"/>
      <c r="H245" s="389"/>
      <c r="I245" s="389"/>
      <c r="J245" s="389"/>
      <c r="K245" s="389"/>
      <c r="L245" s="389"/>
      <c r="M245" s="389"/>
      <c r="N245" s="389"/>
      <c r="O245" s="389"/>
      <c r="P245" s="389"/>
      <c r="Q245" s="389"/>
      <c r="R245" s="337">
        <f t="shared" si="1"/>
        <v>18</v>
      </c>
      <c r="S245" s="390">
        <f t="shared" si="3"/>
        <v>2.187917831530327E-3</v>
      </c>
      <c r="T245" s="338">
        <f t="shared" si="2"/>
        <v>2730</v>
      </c>
      <c r="U245" s="390">
        <f t="shared" si="4"/>
        <v>2.3348819387901719E-3</v>
      </c>
      <c r="V245" s="365"/>
      <c r="W245" s="378"/>
      <c r="X245" s="5"/>
    </row>
    <row r="246" spans="1:25" ht="15.6" x14ac:dyDescent="0.3">
      <c r="A246" s="287"/>
      <c r="B246" s="337" t="s">
        <v>156</v>
      </c>
      <c r="C246" s="389"/>
      <c r="D246" s="389"/>
      <c r="E246" s="389"/>
      <c r="F246" s="288"/>
      <c r="G246" s="390"/>
      <c r="H246" s="389"/>
      <c r="I246" s="389"/>
      <c r="J246" s="389"/>
      <c r="K246" s="389"/>
      <c r="L246" s="389"/>
      <c r="M246" s="389"/>
      <c r="N246" s="389"/>
      <c r="O246" s="389"/>
      <c r="P246" s="389"/>
      <c r="Q246" s="389"/>
      <c r="R246" s="337">
        <f t="shared" si="1"/>
        <v>8</v>
      </c>
      <c r="S246" s="390">
        <f t="shared" si="3"/>
        <v>9.7240792512458978E-4</v>
      </c>
      <c r="T246" s="338">
        <f t="shared" si="2"/>
        <v>1710</v>
      </c>
      <c r="U246" s="390">
        <f t="shared" si="4"/>
        <v>1.4625084671542835E-3</v>
      </c>
      <c r="V246" s="365"/>
      <c r="W246" s="378"/>
      <c r="X246" s="5"/>
      <c r="Y246" s="109"/>
    </row>
    <row r="247" spans="1:25" ht="15.6" x14ac:dyDescent="0.3">
      <c r="A247" s="287"/>
      <c r="B247" s="337" t="s">
        <v>157</v>
      </c>
      <c r="C247" s="389"/>
      <c r="D247" s="389"/>
      <c r="E247" s="389"/>
      <c r="F247" s="288"/>
      <c r="G247" s="390"/>
      <c r="H247" s="389"/>
      <c r="I247" s="389"/>
      <c r="J247" s="389"/>
      <c r="K247" s="389"/>
      <c r="L247" s="389"/>
      <c r="M247" s="389"/>
      <c r="N247" s="389"/>
      <c r="O247" s="389"/>
      <c r="P247" s="389"/>
      <c r="Q247" s="389"/>
      <c r="R247" s="337">
        <f t="shared" si="1"/>
        <v>5</v>
      </c>
      <c r="S247" s="390">
        <f t="shared" si="3"/>
        <v>6.0775495320286859E-4</v>
      </c>
      <c r="T247" s="338">
        <f t="shared" si="2"/>
        <v>648</v>
      </c>
      <c r="U247" s="390">
        <f t="shared" si="4"/>
        <v>5.5421373492162325E-4</v>
      </c>
      <c r="V247" s="365"/>
      <c r="W247" s="378"/>
      <c r="X247" s="5"/>
    </row>
    <row r="248" spans="1:25" ht="15.6" x14ac:dyDescent="0.3">
      <c r="A248" s="287"/>
      <c r="B248" s="337" t="s">
        <v>158</v>
      </c>
      <c r="C248" s="389"/>
      <c r="D248" s="389"/>
      <c r="E248" s="389"/>
      <c r="F248" s="288"/>
      <c r="G248" s="390"/>
      <c r="H248" s="389"/>
      <c r="I248" s="389"/>
      <c r="J248" s="389"/>
      <c r="K248" s="389"/>
      <c r="L248" s="389"/>
      <c r="M248" s="389"/>
      <c r="N248" s="389"/>
      <c r="O248" s="389"/>
      <c r="P248" s="389"/>
      <c r="Q248" s="389"/>
      <c r="R248" s="337">
        <f t="shared" si="1"/>
        <v>4</v>
      </c>
      <c r="S248" s="390">
        <f t="shared" si="3"/>
        <v>4.8620396256229489E-4</v>
      </c>
      <c r="T248" s="338">
        <f t="shared" si="2"/>
        <v>520</v>
      </c>
      <c r="U248" s="390">
        <f t="shared" si="4"/>
        <v>4.447394169124137E-4</v>
      </c>
      <c r="V248" s="365"/>
      <c r="W248" s="378"/>
      <c r="X248" s="5"/>
      <c r="Y248" s="109"/>
    </row>
    <row r="249" spans="1:25" ht="15.6" x14ac:dyDescent="0.3">
      <c r="A249" s="287"/>
      <c r="B249" s="337" t="s">
        <v>159</v>
      </c>
      <c r="C249" s="389"/>
      <c r="D249" s="389"/>
      <c r="E249" s="389"/>
      <c r="F249" s="288"/>
      <c r="G249" s="390"/>
      <c r="H249" s="389"/>
      <c r="I249" s="389"/>
      <c r="J249" s="389"/>
      <c r="K249" s="389"/>
      <c r="L249" s="389"/>
      <c r="M249" s="389"/>
      <c r="N249" s="389"/>
      <c r="O249" s="389"/>
      <c r="P249" s="389"/>
      <c r="Q249" s="389"/>
      <c r="R249" s="337">
        <f t="shared" si="1"/>
        <v>35</v>
      </c>
      <c r="S249" s="390">
        <f t="shared" si="3"/>
        <v>4.2542846724200802E-3</v>
      </c>
      <c r="T249" s="338">
        <f t="shared" si="2"/>
        <v>4775</v>
      </c>
      <c r="U249" s="390">
        <f t="shared" si="4"/>
        <v>4.0839052226091833E-3</v>
      </c>
      <c r="V249" s="365"/>
      <c r="W249" s="378"/>
      <c r="X249" s="5"/>
    </row>
    <row r="250" spans="1:25" ht="15.6" x14ac:dyDescent="0.3">
      <c r="A250" s="287"/>
      <c r="B250" s="337" t="s">
        <v>160</v>
      </c>
      <c r="C250" s="389"/>
      <c r="D250" s="389"/>
      <c r="E250" s="389"/>
      <c r="F250" s="288"/>
      <c r="G250" s="390"/>
      <c r="H250" s="389"/>
      <c r="I250" s="389"/>
      <c r="J250" s="389"/>
      <c r="K250" s="389"/>
      <c r="L250" s="389"/>
      <c r="M250" s="389"/>
      <c r="N250" s="389"/>
      <c r="O250" s="389"/>
      <c r="P250" s="389"/>
      <c r="Q250" s="389"/>
      <c r="R250" s="339">
        <f t="shared" si="1"/>
        <v>33</v>
      </c>
      <c r="S250" s="393">
        <f t="shared" si="3"/>
        <v>4.0111826911389328E-3</v>
      </c>
      <c r="T250" s="394">
        <f t="shared" si="2"/>
        <v>6266</v>
      </c>
      <c r="U250" s="393">
        <f t="shared" si="4"/>
        <v>5.3591099737945848E-3</v>
      </c>
      <c r="V250" s="365"/>
      <c r="W250" s="378"/>
      <c r="X250" s="5"/>
      <c r="Y250" s="109"/>
    </row>
    <row r="251" spans="1:25" ht="15.6" x14ac:dyDescent="0.3">
      <c r="A251" s="287"/>
      <c r="B251" s="337"/>
      <c r="C251" s="389"/>
      <c r="D251" s="389"/>
      <c r="E251" s="389"/>
      <c r="F251" s="288"/>
      <c r="G251" s="390"/>
      <c r="H251" s="389"/>
      <c r="I251" s="389"/>
      <c r="J251" s="389"/>
      <c r="K251" s="389"/>
      <c r="L251" s="389"/>
      <c r="M251" s="389"/>
      <c r="N251" s="389"/>
      <c r="O251" s="389"/>
      <c r="P251" s="389"/>
      <c r="Q251" s="389"/>
      <c r="R251" s="337"/>
      <c r="S251" s="390"/>
      <c r="T251" s="338"/>
      <c r="U251" s="390"/>
      <c r="V251" s="365"/>
      <c r="W251" s="378"/>
      <c r="X251" s="5"/>
    </row>
    <row r="252" spans="1:25" ht="15.6" x14ac:dyDescent="0.3">
      <c r="A252" s="287"/>
      <c r="B252" s="288"/>
      <c r="C252" s="288"/>
      <c r="D252" s="288"/>
      <c r="E252" s="288"/>
      <c r="F252" s="288"/>
      <c r="G252" s="288"/>
      <c r="H252" s="391"/>
      <c r="I252" s="391"/>
      <c r="J252" s="391"/>
      <c r="K252" s="391"/>
      <c r="L252" s="391"/>
      <c r="M252" s="391"/>
      <c r="N252" s="391"/>
      <c r="O252" s="391"/>
      <c r="P252" s="391"/>
      <c r="Q252" s="391"/>
      <c r="R252" s="337">
        <f>SUM(R243:R251)</f>
        <v>8227</v>
      </c>
      <c r="S252" s="390">
        <f>SUM(S243:S251)</f>
        <v>0.99999999999999989</v>
      </c>
      <c r="T252" s="338">
        <f>SUM(T243:T251)</f>
        <v>1169224</v>
      </c>
      <c r="U252" s="390">
        <f>SUM(U243:U251)</f>
        <v>0.99999999999999989</v>
      </c>
      <c r="V252" s="288"/>
      <c r="W252" s="291"/>
      <c r="X252" s="5"/>
    </row>
    <row r="253" spans="1:25" ht="15.6" x14ac:dyDescent="0.3">
      <c r="A253" s="183"/>
      <c r="B253" s="198"/>
      <c r="C253" s="198"/>
      <c r="D253" s="198"/>
      <c r="E253" s="198"/>
      <c r="F253" s="198"/>
      <c r="G253" s="198"/>
      <c r="H253" s="386"/>
      <c r="I253" s="386"/>
      <c r="J253" s="386"/>
      <c r="K253" s="386"/>
      <c r="L253" s="386"/>
      <c r="M253" s="386"/>
      <c r="N253" s="386"/>
      <c r="O253" s="386"/>
      <c r="P253" s="386"/>
      <c r="Q253" s="386"/>
      <c r="R253" s="335"/>
      <c r="S253" s="387"/>
      <c r="T253" s="388"/>
      <c r="U253" s="387"/>
      <c r="V253" s="198"/>
      <c r="W253" s="198"/>
      <c r="X253" s="5"/>
    </row>
    <row r="254" spans="1:25" ht="15.6" x14ac:dyDescent="0.3">
      <c r="A254" s="262"/>
      <c r="B254" s="269" t="s">
        <v>162</v>
      </c>
      <c r="C254" s="270"/>
      <c r="D254" s="270"/>
      <c r="E254" s="270"/>
      <c r="F254" s="279"/>
      <c r="G254" s="270"/>
      <c r="H254" s="270"/>
      <c r="I254" s="270"/>
      <c r="J254" s="270"/>
      <c r="K254" s="270"/>
      <c r="L254" s="270"/>
      <c r="M254" s="270"/>
      <c r="N254" s="270"/>
      <c r="O254" s="270"/>
      <c r="P254" s="270"/>
      <c r="Q254" s="270"/>
      <c r="R254" s="279" t="s">
        <v>102</v>
      </c>
      <c r="S254" s="270" t="s">
        <v>103</v>
      </c>
      <c r="T254" s="279" t="s">
        <v>109</v>
      </c>
      <c r="U254" s="270" t="s">
        <v>103</v>
      </c>
      <c r="V254" s="263"/>
      <c r="W254" s="269"/>
      <c r="X254" s="5"/>
    </row>
    <row r="255" spans="1:25" ht="15.6" x14ac:dyDescent="0.3">
      <c r="A255" s="197"/>
      <c r="B255" s="234" t="s">
        <v>88</v>
      </c>
      <c r="C255" s="253"/>
      <c r="D255" s="253"/>
      <c r="E255" s="253"/>
      <c r="F255" s="231"/>
      <c r="G255" s="253"/>
      <c r="H255" s="253"/>
      <c r="I255" s="253"/>
      <c r="J255" s="253"/>
      <c r="K255" s="253"/>
      <c r="L255" s="253"/>
      <c r="M255" s="253"/>
      <c r="N255" s="253"/>
      <c r="O255" s="253"/>
      <c r="P255" s="253"/>
      <c r="Q255" s="253"/>
      <c r="R255" s="234">
        <v>8007</v>
      </c>
      <c r="S255" s="254">
        <f t="shared" ref="S255:S262" si="5">R255/$R$264</f>
        <v>0.99342431761786598</v>
      </c>
      <c r="T255" s="241">
        <v>1132971</v>
      </c>
      <c r="U255" s="254">
        <f t="shared" ref="U255:U262" si="6">T255/$T$264</f>
        <v>0.98953407735157917</v>
      </c>
      <c r="V255" s="250"/>
      <c r="W255" s="232"/>
      <c r="X255" s="5"/>
    </row>
    <row r="256" spans="1:25" ht="15.6" x14ac:dyDescent="0.3">
      <c r="A256" s="287"/>
      <c r="B256" s="337" t="s">
        <v>89</v>
      </c>
      <c r="C256" s="389"/>
      <c r="D256" s="389"/>
      <c r="E256" s="389"/>
      <c r="F256" s="288"/>
      <c r="G256" s="390"/>
      <c r="H256" s="389"/>
      <c r="I256" s="389"/>
      <c r="J256" s="389"/>
      <c r="K256" s="389"/>
      <c r="L256" s="389"/>
      <c r="M256" s="389"/>
      <c r="N256" s="389"/>
      <c r="O256" s="389"/>
      <c r="P256" s="389"/>
      <c r="Q256" s="389"/>
      <c r="R256" s="337">
        <v>33</v>
      </c>
      <c r="S256" s="390">
        <f t="shared" si="5"/>
        <v>4.0942928039702231E-3</v>
      </c>
      <c r="T256" s="338">
        <v>7865</v>
      </c>
      <c r="U256" s="390">
        <f t="shared" si="6"/>
        <v>6.869271603924699E-3</v>
      </c>
      <c r="V256" s="365"/>
      <c r="W256" s="378"/>
      <c r="X256" s="5"/>
      <c r="Y256" s="109"/>
    </row>
    <row r="257" spans="1:25" ht="15.6" x14ac:dyDescent="0.3">
      <c r="A257" s="287"/>
      <c r="B257" s="337" t="s">
        <v>90</v>
      </c>
      <c r="C257" s="389"/>
      <c r="D257" s="389"/>
      <c r="E257" s="389"/>
      <c r="F257" s="288"/>
      <c r="G257" s="390"/>
      <c r="H257" s="389"/>
      <c r="I257" s="389"/>
      <c r="J257" s="389"/>
      <c r="K257" s="389"/>
      <c r="L257" s="389"/>
      <c r="M257" s="389"/>
      <c r="N257" s="389"/>
      <c r="O257" s="389"/>
      <c r="P257" s="389"/>
      <c r="Q257" s="389"/>
      <c r="R257" s="337">
        <v>11</v>
      </c>
      <c r="S257" s="390">
        <f t="shared" si="5"/>
        <v>1.3647642679900744E-3</v>
      </c>
      <c r="T257" s="338">
        <v>1898</v>
      </c>
      <c r="U257" s="390">
        <f t="shared" si="6"/>
        <v>1.657708519294225E-3</v>
      </c>
      <c r="V257" s="365"/>
      <c r="W257" s="378"/>
      <c r="X257" s="5"/>
    </row>
    <row r="258" spans="1:25" ht="15.6" x14ac:dyDescent="0.3">
      <c r="A258" s="287"/>
      <c r="B258" s="337" t="s">
        <v>156</v>
      </c>
      <c r="C258" s="389"/>
      <c r="D258" s="389"/>
      <c r="E258" s="389"/>
      <c r="F258" s="288"/>
      <c r="G258" s="390"/>
      <c r="H258" s="389"/>
      <c r="I258" s="389"/>
      <c r="J258" s="389"/>
      <c r="K258" s="389"/>
      <c r="L258" s="389"/>
      <c r="M258" s="389"/>
      <c r="N258" s="389"/>
      <c r="O258" s="389"/>
      <c r="P258" s="389"/>
      <c r="Q258" s="389"/>
      <c r="R258" s="337">
        <v>1</v>
      </c>
      <c r="S258" s="390">
        <f t="shared" si="5"/>
        <v>1.2406947890818859E-4</v>
      </c>
      <c r="T258" s="338">
        <v>961</v>
      </c>
      <c r="U258" s="390">
        <f t="shared" si="6"/>
        <v>8.393350300536091E-4</v>
      </c>
      <c r="V258" s="365"/>
      <c r="W258" s="378"/>
      <c r="X258" s="5"/>
      <c r="Y258" s="109"/>
    </row>
    <row r="259" spans="1:25" ht="15.6" x14ac:dyDescent="0.3">
      <c r="A259" s="287"/>
      <c r="B259" s="337" t="s">
        <v>157</v>
      </c>
      <c r="C259" s="389"/>
      <c r="D259" s="389"/>
      <c r="E259" s="389"/>
      <c r="F259" s="288"/>
      <c r="G259" s="390"/>
      <c r="H259" s="389"/>
      <c r="I259" s="389"/>
      <c r="J259" s="389"/>
      <c r="K259" s="389"/>
      <c r="L259" s="389"/>
      <c r="M259" s="389"/>
      <c r="N259" s="389"/>
      <c r="O259" s="389"/>
      <c r="P259" s="389"/>
      <c r="Q259" s="389"/>
      <c r="R259" s="337">
        <v>0</v>
      </c>
      <c r="S259" s="390">
        <f t="shared" si="5"/>
        <v>0</v>
      </c>
      <c r="T259" s="338">
        <v>0</v>
      </c>
      <c r="U259" s="390">
        <f t="shared" si="6"/>
        <v>0</v>
      </c>
      <c r="V259" s="365"/>
      <c r="W259" s="378"/>
      <c r="X259" s="5"/>
    </row>
    <row r="260" spans="1:25" ht="15.6" x14ac:dyDescent="0.3">
      <c r="A260" s="287"/>
      <c r="B260" s="337" t="s">
        <v>158</v>
      </c>
      <c r="C260" s="389"/>
      <c r="D260" s="389"/>
      <c r="E260" s="389"/>
      <c r="F260" s="288"/>
      <c r="G260" s="390"/>
      <c r="H260" s="389"/>
      <c r="I260" s="389"/>
      <c r="J260" s="389"/>
      <c r="K260" s="389"/>
      <c r="L260" s="389"/>
      <c r="M260" s="389"/>
      <c r="N260" s="389"/>
      <c r="O260" s="389"/>
      <c r="P260" s="389"/>
      <c r="Q260" s="389"/>
      <c r="R260" s="337">
        <v>0</v>
      </c>
      <c r="S260" s="390">
        <f t="shared" si="5"/>
        <v>0</v>
      </c>
      <c r="T260" s="338">
        <v>0</v>
      </c>
      <c r="U260" s="390">
        <f t="shared" si="6"/>
        <v>0</v>
      </c>
      <c r="V260" s="365"/>
      <c r="W260" s="378"/>
      <c r="X260" s="5"/>
      <c r="Y260" s="109"/>
    </row>
    <row r="261" spans="1:25" ht="15.6" x14ac:dyDescent="0.3">
      <c r="A261" s="287"/>
      <c r="B261" s="337" t="s">
        <v>159</v>
      </c>
      <c r="C261" s="389"/>
      <c r="D261" s="389"/>
      <c r="E261" s="389"/>
      <c r="F261" s="288"/>
      <c r="G261" s="390"/>
      <c r="H261" s="389"/>
      <c r="I261" s="389"/>
      <c r="J261" s="389"/>
      <c r="K261" s="389"/>
      <c r="L261" s="389"/>
      <c r="M261" s="389"/>
      <c r="N261" s="389"/>
      <c r="O261" s="389"/>
      <c r="P261" s="389"/>
      <c r="Q261" s="389"/>
      <c r="R261" s="337">
        <v>6</v>
      </c>
      <c r="S261" s="390">
        <f t="shared" si="5"/>
        <v>7.4441687344913151E-4</v>
      </c>
      <c r="T261" s="338">
        <v>967</v>
      </c>
      <c r="U261" s="390">
        <f t="shared" si="6"/>
        <v>8.4457541525685752E-4</v>
      </c>
      <c r="V261" s="365"/>
      <c r="W261" s="378"/>
      <c r="X261" s="5"/>
    </row>
    <row r="262" spans="1:25" ht="15.6" x14ac:dyDescent="0.3">
      <c r="A262" s="287"/>
      <c r="B262" s="337" t="s">
        <v>160</v>
      </c>
      <c r="C262" s="389"/>
      <c r="D262" s="389"/>
      <c r="E262" s="389"/>
      <c r="F262" s="288"/>
      <c r="G262" s="390"/>
      <c r="H262" s="389"/>
      <c r="I262" s="389"/>
      <c r="J262" s="389"/>
      <c r="K262" s="389"/>
      <c r="L262" s="389"/>
      <c r="M262" s="389"/>
      <c r="N262" s="389"/>
      <c r="O262" s="389"/>
      <c r="P262" s="389"/>
      <c r="Q262" s="389"/>
      <c r="R262" s="337">
        <v>2</v>
      </c>
      <c r="S262" s="390">
        <f t="shared" si="5"/>
        <v>2.4813895781637717E-4</v>
      </c>
      <c r="T262" s="338">
        <v>292</v>
      </c>
      <c r="U262" s="390">
        <f t="shared" si="6"/>
        <v>2.550320798914192E-4</v>
      </c>
      <c r="V262" s="365"/>
      <c r="W262" s="378"/>
      <c r="X262" s="5"/>
      <c r="Y262" s="109"/>
    </row>
    <row r="263" spans="1:25" ht="15.6" x14ac:dyDescent="0.3">
      <c r="A263" s="287"/>
      <c r="B263" s="337"/>
      <c r="C263" s="389"/>
      <c r="D263" s="389"/>
      <c r="E263" s="389"/>
      <c r="F263" s="288"/>
      <c r="G263" s="390"/>
      <c r="H263" s="389"/>
      <c r="I263" s="389"/>
      <c r="J263" s="389"/>
      <c r="K263" s="389"/>
      <c r="L263" s="389"/>
      <c r="M263" s="389"/>
      <c r="N263" s="389"/>
      <c r="O263" s="389"/>
      <c r="P263" s="389"/>
      <c r="Q263" s="389"/>
      <c r="R263" s="337"/>
      <c r="S263" s="390"/>
      <c r="T263" s="338"/>
      <c r="U263" s="390"/>
      <c r="V263" s="365"/>
      <c r="W263" s="378"/>
      <c r="X263" s="5"/>
    </row>
    <row r="264" spans="1:25" ht="15.6" x14ac:dyDescent="0.3">
      <c r="A264" s="287"/>
      <c r="B264" s="288"/>
      <c r="C264" s="288"/>
      <c r="D264" s="288"/>
      <c r="E264" s="288"/>
      <c r="F264" s="288"/>
      <c r="G264" s="288"/>
      <c r="H264" s="391"/>
      <c r="I264" s="391"/>
      <c r="J264" s="391"/>
      <c r="K264" s="391"/>
      <c r="L264" s="391"/>
      <c r="M264" s="391"/>
      <c r="N264" s="391"/>
      <c r="O264" s="391"/>
      <c r="P264" s="391"/>
      <c r="Q264" s="391"/>
      <c r="R264" s="337">
        <f>SUM(R255:R263)</f>
        <v>8060</v>
      </c>
      <c r="S264" s="390">
        <f>SUM(S255:S263)</f>
        <v>1</v>
      </c>
      <c r="T264" s="338">
        <f>SUM(T255:T263)</f>
        <v>1144954</v>
      </c>
      <c r="U264" s="390">
        <f>SUM(U255:U263)</f>
        <v>1</v>
      </c>
      <c r="V264" s="288"/>
      <c r="W264" s="291"/>
      <c r="X264" s="5"/>
    </row>
    <row r="265" spans="1:25" ht="15.6" x14ac:dyDescent="0.3">
      <c r="A265" s="183"/>
      <c r="B265" s="198"/>
      <c r="C265" s="198"/>
      <c r="D265" s="198"/>
      <c r="E265" s="198"/>
      <c r="F265" s="198"/>
      <c r="G265" s="198"/>
      <c r="H265" s="386"/>
      <c r="I265" s="386"/>
      <c r="J265" s="386"/>
      <c r="K265" s="386"/>
      <c r="L265" s="386"/>
      <c r="M265" s="386"/>
      <c r="N265" s="386"/>
      <c r="O265" s="386"/>
      <c r="P265" s="386"/>
      <c r="Q265" s="386"/>
      <c r="R265" s="335"/>
      <c r="S265" s="387"/>
      <c r="T265" s="388"/>
      <c r="U265" s="387"/>
      <c r="V265" s="198"/>
      <c r="W265" s="198"/>
      <c r="X265" s="5"/>
    </row>
    <row r="266" spans="1:25" ht="15.6" x14ac:dyDescent="0.3">
      <c r="A266" s="280"/>
      <c r="B266" s="269" t="s">
        <v>275</v>
      </c>
      <c r="C266" s="270"/>
      <c r="D266" s="270"/>
      <c r="E266" s="270"/>
      <c r="F266" s="279"/>
      <c r="G266" s="270"/>
      <c r="H266" s="270"/>
      <c r="I266" s="270"/>
      <c r="J266" s="270"/>
      <c r="K266" s="270"/>
      <c r="L266" s="270"/>
      <c r="M266" s="270"/>
      <c r="N266" s="270"/>
      <c r="O266" s="270"/>
      <c r="P266" s="270"/>
      <c r="Q266" s="270"/>
      <c r="R266" s="279" t="s">
        <v>102</v>
      </c>
      <c r="S266" s="270" t="s">
        <v>103</v>
      </c>
      <c r="T266" s="279" t="s">
        <v>109</v>
      </c>
      <c r="U266" s="270" t="s">
        <v>103</v>
      </c>
      <c r="V266" s="281"/>
      <c r="W266" s="282"/>
      <c r="X266" s="5"/>
    </row>
    <row r="267" spans="1:25" ht="15.6" x14ac:dyDescent="0.3">
      <c r="A267" s="197"/>
      <c r="B267" s="234" t="s">
        <v>88</v>
      </c>
      <c r="C267" s="253"/>
      <c r="D267" s="253"/>
      <c r="E267" s="253"/>
      <c r="F267" s="231"/>
      <c r="G267" s="253"/>
      <c r="H267" s="253"/>
      <c r="I267" s="253"/>
      <c r="J267" s="253"/>
      <c r="K267" s="253"/>
      <c r="L267" s="253"/>
      <c r="M267" s="253"/>
      <c r="N267" s="253"/>
      <c r="O267" s="253"/>
      <c r="P267" s="253"/>
      <c r="Q267" s="253"/>
      <c r="R267" s="234">
        <v>73</v>
      </c>
      <c r="S267" s="254">
        <f t="shared" ref="S267:S274" si="7">R267/$R$276</f>
        <v>0.43712574850299402</v>
      </c>
      <c r="T267" s="241">
        <v>10259</v>
      </c>
      <c r="U267" s="254">
        <f t="shared" ref="U267:U274" si="8">T267/$T$276</f>
        <v>0.42270292542233212</v>
      </c>
      <c r="V267" s="231"/>
      <c r="W267" s="231"/>
      <c r="X267" s="5"/>
    </row>
    <row r="268" spans="1:25" ht="15.6" x14ac:dyDescent="0.3">
      <c r="A268" s="287"/>
      <c r="B268" s="337" t="s">
        <v>89</v>
      </c>
      <c r="C268" s="389"/>
      <c r="D268" s="389"/>
      <c r="E268" s="389"/>
      <c r="F268" s="288"/>
      <c r="G268" s="390"/>
      <c r="H268" s="389"/>
      <c r="I268" s="389"/>
      <c r="J268" s="389"/>
      <c r="K268" s="389"/>
      <c r="L268" s="389"/>
      <c r="M268" s="389"/>
      <c r="N268" s="389"/>
      <c r="O268" s="389"/>
      <c r="P268" s="389"/>
      <c r="Q268" s="389"/>
      <c r="R268" s="337">
        <v>11</v>
      </c>
      <c r="S268" s="390">
        <f t="shared" si="7"/>
        <v>6.5868263473053898E-2</v>
      </c>
      <c r="T268" s="338">
        <v>1480</v>
      </c>
      <c r="U268" s="390">
        <f t="shared" si="8"/>
        <v>6.0980634528224144E-2</v>
      </c>
      <c r="V268" s="288"/>
      <c r="W268" s="291"/>
      <c r="X268" s="5"/>
    </row>
    <row r="269" spans="1:25" ht="15.6" x14ac:dyDescent="0.3">
      <c r="A269" s="287"/>
      <c r="B269" s="337" t="s">
        <v>90</v>
      </c>
      <c r="C269" s="389"/>
      <c r="D269" s="389"/>
      <c r="E269" s="389"/>
      <c r="F269" s="288"/>
      <c r="G269" s="390"/>
      <c r="H269" s="389"/>
      <c r="I269" s="389"/>
      <c r="J269" s="389"/>
      <c r="K269" s="389"/>
      <c r="L269" s="389"/>
      <c r="M269" s="389"/>
      <c r="N269" s="389"/>
      <c r="O269" s="389"/>
      <c r="P269" s="389"/>
      <c r="Q269" s="389"/>
      <c r="R269" s="337">
        <v>7</v>
      </c>
      <c r="S269" s="390">
        <f t="shared" si="7"/>
        <v>4.1916167664670656E-2</v>
      </c>
      <c r="T269" s="338">
        <v>832</v>
      </c>
      <c r="U269" s="390">
        <f t="shared" si="8"/>
        <v>3.4281005356407088E-2</v>
      </c>
      <c r="V269" s="288"/>
      <c r="W269" s="291"/>
      <c r="X269" s="5"/>
    </row>
    <row r="270" spans="1:25" ht="15.6" x14ac:dyDescent="0.3">
      <c r="A270" s="287"/>
      <c r="B270" s="337" t="s">
        <v>156</v>
      </c>
      <c r="C270" s="389"/>
      <c r="D270" s="389"/>
      <c r="E270" s="389"/>
      <c r="F270" s="288"/>
      <c r="G270" s="390"/>
      <c r="H270" s="389"/>
      <c r="I270" s="389"/>
      <c r="J270" s="389"/>
      <c r="K270" s="389"/>
      <c r="L270" s="389"/>
      <c r="M270" s="389"/>
      <c r="N270" s="389"/>
      <c r="O270" s="389"/>
      <c r="P270" s="389"/>
      <c r="Q270" s="389"/>
      <c r="R270" s="337">
        <v>7</v>
      </c>
      <c r="S270" s="390">
        <f t="shared" si="7"/>
        <v>4.1916167664670656E-2</v>
      </c>
      <c r="T270" s="338">
        <v>749</v>
      </c>
      <c r="U270" s="390">
        <f t="shared" si="8"/>
        <v>3.0861145447053977E-2</v>
      </c>
      <c r="V270" s="288"/>
      <c r="W270" s="291"/>
      <c r="X270" s="5"/>
    </row>
    <row r="271" spans="1:25" ht="15.6" x14ac:dyDescent="0.3">
      <c r="A271" s="287"/>
      <c r="B271" s="337" t="s">
        <v>157</v>
      </c>
      <c r="C271" s="389"/>
      <c r="D271" s="389"/>
      <c r="E271" s="389"/>
      <c r="F271" s="288"/>
      <c r="G271" s="390"/>
      <c r="H271" s="389"/>
      <c r="I271" s="389"/>
      <c r="J271" s="389"/>
      <c r="K271" s="389"/>
      <c r="L271" s="389"/>
      <c r="M271" s="389"/>
      <c r="N271" s="389"/>
      <c r="O271" s="389"/>
      <c r="P271" s="389"/>
      <c r="Q271" s="389"/>
      <c r="R271" s="337">
        <v>5</v>
      </c>
      <c r="S271" s="390">
        <f t="shared" si="7"/>
        <v>2.9940119760479042E-2</v>
      </c>
      <c r="T271" s="338">
        <v>648</v>
      </c>
      <c r="U271" s="390">
        <f t="shared" si="8"/>
        <v>2.669962917181706E-2</v>
      </c>
      <c r="V271" s="288"/>
      <c r="W271" s="291"/>
      <c r="X271" s="5"/>
    </row>
    <row r="272" spans="1:25" ht="15.6" x14ac:dyDescent="0.3">
      <c r="A272" s="287"/>
      <c r="B272" s="337" t="s">
        <v>158</v>
      </c>
      <c r="C272" s="389"/>
      <c r="D272" s="389"/>
      <c r="E272" s="389"/>
      <c r="F272" s="288"/>
      <c r="G272" s="390"/>
      <c r="H272" s="389"/>
      <c r="I272" s="389"/>
      <c r="J272" s="389"/>
      <c r="K272" s="389"/>
      <c r="L272" s="389"/>
      <c r="M272" s="389"/>
      <c r="N272" s="389"/>
      <c r="O272" s="389"/>
      <c r="P272" s="389"/>
      <c r="Q272" s="389"/>
      <c r="R272" s="337">
        <v>4</v>
      </c>
      <c r="S272" s="390">
        <f t="shared" si="7"/>
        <v>2.3952095808383235E-2</v>
      </c>
      <c r="T272" s="338">
        <v>520</v>
      </c>
      <c r="U272" s="390">
        <f t="shared" si="8"/>
        <v>2.1425628347754428E-2</v>
      </c>
      <c r="V272" s="288"/>
      <c r="W272" s="291"/>
      <c r="X272" s="5"/>
    </row>
    <row r="273" spans="1:24" ht="15.6" x14ac:dyDescent="0.3">
      <c r="A273" s="287"/>
      <c r="B273" s="337" t="s">
        <v>159</v>
      </c>
      <c r="C273" s="389"/>
      <c r="D273" s="389"/>
      <c r="E273" s="389"/>
      <c r="F273" s="288"/>
      <c r="G273" s="390"/>
      <c r="H273" s="389"/>
      <c r="I273" s="389"/>
      <c r="J273" s="389"/>
      <c r="K273" s="389"/>
      <c r="L273" s="389"/>
      <c r="M273" s="389"/>
      <c r="N273" s="389"/>
      <c r="O273" s="389"/>
      <c r="P273" s="389"/>
      <c r="Q273" s="389"/>
      <c r="R273" s="337">
        <v>29</v>
      </c>
      <c r="S273" s="390">
        <f t="shared" si="7"/>
        <v>0.17365269461077845</v>
      </c>
      <c r="T273" s="338">
        <v>3808</v>
      </c>
      <c r="U273" s="390">
        <f t="shared" si="8"/>
        <v>0.1569015245158632</v>
      </c>
      <c r="V273" s="288"/>
      <c r="W273" s="291"/>
      <c r="X273" s="5"/>
    </row>
    <row r="274" spans="1:24" ht="15.6" x14ac:dyDescent="0.3">
      <c r="A274" s="287"/>
      <c r="B274" s="337" t="s">
        <v>160</v>
      </c>
      <c r="C274" s="389"/>
      <c r="D274" s="389"/>
      <c r="E274" s="389"/>
      <c r="F274" s="288"/>
      <c r="G274" s="390"/>
      <c r="H274" s="389"/>
      <c r="I274" s="389"/>
      <c r="J274" s="389"/>
      <c r="K274" s="389"/>
      <c r="L274" s="389"/>
      <c r="M274" s="389"/>
      <c r="N274" s="389"/>
      <c r="O274" s="389"/>
      <c r="P274" s="389"/>
      <c r="Q274" s="389"/>
      <c r="R274" s="337">
        <v>31</v>
      </c>
      <c r="S274" s="390">
        <f t="shared" si="7"/>
        <v>0.18562874251497005</v>
      </c>
      <c r="T274" s="338">
        <v>5974</v>
      </c>
      <c r="U274" s="390">
        <f t="shared" si="8"/>
        <v>0.24614750721054801</v>
      </c>
      <c r="V274" s="288"/>
      <c r="W274" s="291"/>
      <c r="X274" s="5"/>
    </row>
    <row r="275" spans="1:24" ht="15.6" x14ac:dyDescent="0.3">
      <c r="A275" s="287"/>
      <c r="B275" s="337"/>
      <c r="C275" s="389"/>
      <c r="D275" s="389"/>
      <c r="E275" s="389"/>
      <c r="F275" s="288"/>
      <c r="G275" s="390"/>
      <c r="H275" s="389"/>
      <c r="I275" s="389"/>
      <c r="J275" s="389"/>
      <c r="K275" s="389"/>
      <c r="L275" s="389"/>
      <c r="M275" s="389"/>
      <c r="N275" s="389"/>
      <c r="O275" s="389"/>
      <c r="P275" s="389"/>
      <c r="Q275" s="389"/>
      <c r="R275" s="337"/>
      <c r="S275" s="390"/>
      <c r="T275" s="338"/>
      <c r="U275" s="390"/>
      <c r="V275" s="288"/>
      <c r="W275" s="291"/>
      <c r="X275" s="5"/>
    </row>
    <row r="276" spans="1:24" ht="15.6" x14ac:dyDescent="0.3">
      <c r="A276" s="287"/>
      <c r="B276" s="288"/>
      <c r="C276" s="288"/>
      <c r="D276" s="288"/>
      <c r="E276" s="288"/>
      <c r="F276" s="288"/>
      <c r="G276" s="288"/>
      <c r="H276" s="391"/>
      <c r="I276" s="391"/>
      <c r="J276" s="391"/>
      <c r="K276" s="391"/>
      <c r="L276" s="391"/>
      <c r="M276" s="391"/>
      <c r="N276" s="391"/>
      <c r="O276" s="391"/>
      <c r="P276" s="391"/>
      <c r="Q276" s="391"/>
      <c r="R276" s="337">
        <f>SUM(R267:R275)</f>
        <v>167</v>
      </c>
      <c r="S276" s="390">
        <f>SUM(S267:S275)</f>
        <v>1</v>
      </c>
      <c r="T276" s="338">
        <f>SUM(T267:T275)</f>
        <v>24270</v>
      </c>
      <c r="U276" s="390">
        <f>SUM(U267:U275)</f>
        <v>0.99999999999999989</v>
      </c>
      <c r="V276" s="288"/>
      <c r="W276" s="291"/>
      <c r="X276" s="5"/>
    </row>
    <row r="277" spans="1:24" ht="15.6" x14ac:dyDescent="0.3">
      <c r="A277" s="183"/>
      <c r="B277" s="284"/>
      <c r="C277" s="284"/>
      <c r="D277" s="284"/>
      <c r="E277" s="284"/>
      <c r="F277" s="284"/>
      <c r="G277" s="284"/>
      <c r="H277" s="392"/>
      <c r="I277" s="392"/>
      <c r="J277" s="392"/>
      <c r="K277" s="392"/>
      <c r="L277" s="392"/>
      <c r="M277" s="392"/>
      <c r="N277" s="392"/>
      <c r="O277" s="392"/>
      <c r="P277" s="392"/>
      <c r="Q277" s="392"/>
      <c r="R277" s="339"/>
      <c r="S277" s="393"/>
      <c r="T277" s="394"/>
      <c r="U277" s="393"/>
      <c r="V277" s="284"/>
      <c r="W277" s="284"/>
      <c r="X277" s="5"/>
    </row>
    <row r="278" spans="1:24" ht="15.6" x14ac:dyDescent="0.3">
      <c r="A278" s="280"/>
      <c r="B278" s="269" t="s">
        <v>163</v>
      </c>
      <c r="C278" s="281"/>
      <c r="D278" s="281"/>
      <c r="E278" s="281"/>
      <c r="F278" s="281"/>
      <c r="G278" s="281"/>
      <c r="H278" s="283"/>
      <c r="I278" s="283"/>
      <c r="J278" s="283"/>
      <c r="K278" s="283"/>
      <c r="L278" s="283"/>
      <c r="M278" s="283"/>
      <c r="N278" s="283"/>
      <c r="O278" s="283"/>
      <c r="P278" s="283"/>
      <c r="Q278" s="283"/>
      <c r="R278" s="279" t="s">
        <v>102</v>
      </c>
      <c r="S278" s="270" t="s">
        <v>103</v>
      </c>
      <c r="T278" s="279" t="s">
        <v>109</v>
      </c>
      <c r="U278" s="270" t="s">
        <v>103</v>
      </c>
      <c r="V278" s="281"/>
      <c r="W278" s="282"/>
      <c r="X278" s="5"/>
    </row>
    <row r="279" spans="1:24" ht="15.6" x14ac:dyDescent="0.3">
      <c r="A279" s="197"/>
      <c r="B279" s="234" t="s">
        <v>88</v>
      </c>
      <c r="C279" s="231"/>
      <c r="D279" s="231"/>
      <c r="E279" s="231"/>
      <c r="F279" s="231"/>
      <c r="G279" s="231"/>
      <c r="H279" s="255"/>
      <c r="I279" s="255"/>
      <c r="J279" s="255"/>
      <c r="K279" s="255"/>
      <c r="L279" s="255"/>
      <c r="M279" s="255"/>
      <c r="N279" s="255"/>
      <c r="O279" s="255"/>
      <c r="P279" s="255"/>
      <c r="Q279" s="255"/>
      <c r="R279" s="234">
        <v>0</v>
      </c>
      <c r="S279" s="254">
        <v>0</v>
      </c>
      <c r="T279" s="241">
        <v>0</v>
      </c>
      <c r="U279" s="254">
        <v>0</v>
      </c>
      <c r="V279" s="231"/>
      <c r="W279" s="231"/>
      <c r="X279" s="5"/>
    </row>
    <row r="280" spans="1:24" ht="15.6" x14ac:dyDescent="0.3">
      <c r="A280" s="287"/>
      <c r="B280" s="337" t="s">
        <v>89</v>
      </c>
      <c r="C280" s="288"/>
      <c r="D280" s="288"/>
      <c r="E280" s="288"/>
      <c r="F280" s="288"/>
      <c r="G280" s="288"/>
      <c r="H280" s="391"/>
      <c r="I280" s="391"/>
      <c r="J280" s="391"/>
      <c r="K280" s="391"/>
      <c r="L280" s="391"/>
      <c r="M280" s="391"/>
      <c r="N280" s="391"/>
      <c r="O280" s="391"/>
      <c r="P280" s="391"/>
      <c r="Q280" s="391"/>
      <c r="R280" s="337">
        <v>0</v>
      </c>
      <c r="S280" s="390">
        <v>0</v>
      </c>
      <c r="T280" s="338">
        <v>0</v>
      </c>
      <c r="U280" s="390">
        <v>0</v>
      </c>
      <c r="V280" s="288"/>
      <c r="W280" s="291"/>
      <c r="X280" s="5"/>
    </row>
    <row r="281" spans="1:24" ht="15.6" x14ac:dyDescent="0.3">
      <c r="A281" s="287"/>
      <c r="B281" s="337" t="s">
        <v>90</v>
      </c>
      <c r="C281" s="288"/>
      <c r="D281" s="288"/>
      <c r="E281" s="288"/>
      <c r="F281" s="288"/>
      <c r="G281" s="288"/>
      <c r="H281" s="391"/>
      <c r="I281" s="391"/>
      <c r="J281" s="391"/>
      <c r="K281" s="391"/>
      <c r="L281" s="391"/>
      <c r="M281" s="391"/>
      <c r="N281" s="391"/>
      <c r="O281" s="391"/>
      <c r="P281" s="391"/>
      <c r="Q281" s="391"/>
      <c r="R281" s="337">
        <v>0</v>
      </c>
      <c r="S281" s="390">
        <v>0</v>
      </c>
      <c r="T281" s="338">
        <v>0</v>
      </c>
      <c r="U281" s="390">
        <v>0</v>
      </c>
      <c r="V281" s="288"/>
      <c r="W281" s="291"/>
      <c r="X281" s="5"/>
    </row>
    <row r="282" spans="1:24" ht="15.6" x14ac:dyDescent="0.3">
      <c r="A282" s="287"/>
      <c r="B282" s="337" t="s">
        <v>156</v>
      </c>
      <c r="C282" s="288"/>
      <c r="D282" s="288"/>
      <c r="E282" s="288"/>
      <c r="F282" s="288"/>
      <c r="G282" s="288"/>
      <c r="H282" s="391"/>
      <c r="I282" s="391"/>
      <c r="J282" s="391"/>
      <c r="K282" s="391"/>
      <c r="L282" s="391"/>
      <c r="M282" s="391"/>
      <c r="N282" s="391"/>
      <c r="O282" s="391"/>
      <c r="P282" s="391"/>
      <c r="Q282" s="391"/>
      <c r="R282" s="337">
        <v>0</v>
      </c>
      <c r="S282" s="390">
        <v>0</v>
      </c>
      <c r="T282" s="338">
        <v>0</v>
      </c>
      <c r="U282" s="390">
        <v>0</v>
      </c>
      <c r="V282" s="288"/>
      <c r="W282" s="291"/>
      <c r="X282" s="5"/>
    </row>
    <row r="283" spans="1:24" ht="15.6" x14ac:dyDescent="0.3">
      <c r="A283" s="287"/>
      <c r="B283" s="337" t="s">
        <v>157</v>
      </c>
      <c r="C283" s="288"/>
      <c r="D283" s="288"/>
      <c r="E283" s="288"/>
      <c r="F283" s="288"/>
      <c r="G283" s="288"/>
      <c r="H283" s="391"/>
      <c r="I283" s="391"/>
      <c r="J283" s="391"/>
      <c r="K283" s="391"/>
      <c r="L283" s="391"/>
      <c r="M283" s="391"/>
      <c r="N283" s="391"/>
      <c r="O283" s="391"/>
      <c r="P283" s="391"/>
      <c r="Q283" s="391"/>
      <c r="R283" s="337">
        <v>0</v>
      </c>
      <c r="S283" s="390">
        <v>0</v>
      </c>
      <c r="T283" s="338">
        <v>0</v>
      </c>
      <c r="U283" s="390">
        <v>0</v>
      </c>
      <c r="V283" s="288"/>
      <c r="W283" s="291"/>
      <c r="X283" s="5"/>
    </row>
    <row r="284" spans="1:24" ht="15.6" x14ac:dyDescent="0.3">
      <c r="A284" s="287"/>
      <c r="B284" s="337" t="s">
        <v>158</v>
      </c>
      <c r="C284" s="288"/>
      <c r="D284" s="288"/>
      <c r="E284" s="288"/>
      <c r="F284" s="288"/>
      <c r="G284" s="288"/>
      <c r="H284" s="391"/>
      <c r="I284" s="391"/>
      <c r="J284" s="391"/>
      <c r="K284" s="391"/>
      <c r="L284" s="391"/>
      <c r="M284" s="391"/>
      <c r="N284" s="391"/>
      <c r="O284" s="391"/>
      <c r="P284" s="391"/>
      <c r="Q284" s="391"/>
      <c r="R284" s="337">
        <v>0</v>
      </c>
      <c r="S284" s="390">
        <v>0</v>
      </c>
      <c r="T284" s="338">
        <v>0</v>
      </c>
      <c r="U284" s="390">
        <v>0</v>
      </c>
      <c r="V284" s="288"/>
      <c r="W284" s="291"/>
      <c r="X284" s="5"/>
    </row>
    <row r="285" spans="1:24" ht="15.6" x14ac:dyDescent="0.3">
      <c r="A285" s="287"/>
      <c r="B285" s="337" t="s">
        <v>159</v>
      </c>
      <c r="C285" s="288"/>
      <c r="D285" s="288"/>
      <c r="E285" s="288"/>
      <c r="F285" s="288"/>
      <c r="G285" s="288"/>
      <c r="H285" s="391"/>
      <c r="I285" s="391"/>
      <c r="J285" s="391"/>
      <c r="K285" s="391"/>
      <c r="L285" s="391"/>
      <c r="M285" s="391"/>
      <c r="N285" s="391"/>
      <c r="O285" s="391"/>
      <c r="P285" s="391"/>
      <c r="Q285" s="391"/>
      <c r="R285" s="337">
        <v>0</v>
      </c>
      <c r="S285" s="390">
        <v>0</v>
      </c>
      <c r="T285" s="338">
        <v>0</v>
      </c>
      <c r="U285" s="390">
        <v>0</v>
      </c>
      <c r="V285" s="288"/>
      <c r="W285" s="291"/>
      <c r="X285" s="5"/>
    </row>
    <row r="286" spans="1:24" ht="15.6" x14ac:dyDescent="0.3">
      <c r="A286" s="287"/>
      <c r="B286" s="337" t="s">
        <v>160</v>
      </c>
      <c r="C286" s="288"/>
      <c r="D286" s="288"/>
      <c r="E286" s="288"/>
      <c r="F286" s="288"/>
      <c r="G286" s="288"/>
      <c r="H286" s="391"/>
      <c r="I286" s="391"/>
      <c r="J286" s="391"/>
      <c r="K286" s="391"/>
      <c r="L286" s="391"/>
      <c r="M286" s="391"/>
      <c r="N286" s="391"/>
      <c r="O286" s="391"/>
      <c r="P286" s="391"/>
      <c r="Q286" s="391"/>
      <c r="R286" s="337">
        <v>0</v>
      </c>
      <c r="S286" s="390">
        <v>0</v>
      </c>
      <c r="T286" s="338">
        <v>0</v>
      </c>
      <c r="U286" s="390">
        <v>0</v>
      </c>
      <c r="V286" s="288"/>
      <c r="W286" s="291"/>
      <c r="X286" s="5"/>
    </row>
    <row r="287" spans="1:24" ht="15.6" x14ac:dyDescent="0.3">
      <c r="A287" s="287"/>
      <c r="B287" s="337"/>
      <c r="C287" s="288"/>
      <c r="D287" s="288"/>
      <c r="E287" s="288"/>
      <c r="F287" s="288"/>
      <c r="G287" s="288"/>
      <c r="H287" s="391"/>
      <c r="I287" s="391"/>
      <c r="J287" s="391"/>
      <c r="K287" s="391"/>
      <c r="L287" s="391"/>
      <c r="M287" s="391"/>
      <c r="N287" s="391"/>
      <c r="O287" s="391"/>
      <c r="P287" s="391"/>
      <c r="Q287" s="391"/>
      <c r="R287" s="337"/>
      <c r="S287" s="390"/>
      <c r="T287" s="338"/>
      <c r="U287" s="390"/>
      <c r="V287" s="288"/>
      <c r="W287" s="291"/>
      <c r="X287" s="5"/>
    </row>
    <row r="288" spans="1:24" ht="15.6" x14ac:dyDescent="0.3">
      <c r="A288" s="287"/>
      <c r="B288" s="288" t="s">
        <v>114</v>
      </c>
      <c r="C288" s="288"/>
      <c r="D288" s="288"/>
      <c r="E288" s="288"/>
      <c r="F288" s="288"/>
      <c r="G288" s="288"/>
      <c r="H288" s="391"/>
      <c r="I288" s="391"/>
      <c r="J288" s="391"/>
      <c r="K288" s="391"/>
      <c r="L288" s="391"/>
      <c r="M288" s="391"/>
      <c r="N288" s="391"/>
      <c r="O288" s="391"/>
      <c r="P288" s="391"/>
      <c r="Q288" s="391"/>
      <c r="R288" s="337">
        <f>SUM(R279:R286)</f>
        <v>0</v>
      </c>
      <c r="S288" s="390">
        <f>SUM(S279:S287)</f>
        <v>0</v>
      </c>
      <c r="T288" s="338">
        <f>SUM(T279:T286)</f>
        <v>0</v>
      </c>
      <c r="U288" s="390">
        <f>SUM(U279:U287)</f>
        <v>0</v>
      </c>
      <c r="V288" s="288"/>
      <c r="W288" s="291"/>
      <c r="X288" s="5"/>
    </row>
    <row r="289" spans="1:24" ht="15.6" x14ac:dyDescent="0.3">
      <c r="A289" s="287"/>
      <c r="B289" s="288"/>
      <c r="C289" s="288"/>
      <c r="D289" s="288"/>
      <c r="E289" s="288"/>
      <c r="F289" s="288"/>
      <c r="G289" s="288"/>
      <c r="H289" s="391"/>
      <c r="I289" s="391"/>
      <c r="J289" s="391"/>
      <c r="K289" s="391"/>
      <c r="L289" s="391"/>
      <c r="M289" s="391"/>
      <c r="N289" s="391"/>
      <c r="O289" s="391"/>
      <c r="P289" s="391"/>
      <c r="Q289" s="391"/>
      <c r="R289" s="337"/>
      <c r="S289" s="390"/>
      <c r="T289" s="338"/>
      <c r="U289" s="390"/>
      <c r="V289" s="288"/>
      <c r="W289" s="291"/>
      <c r="X289" s="5"/>
    </row>
    <row r="290" spans="1:24" ht="15.6" x14ac:dyDescent="0.3">
      <c r="A290" s="287"/>
      <c r="B290" s="297" t="s">
        <v>164</v>
      </c>
      <c r="C290" s="288"/>
      <c r="D290" s="288"/>
      <c r="E290" s="288"/>
      <c r="F290" s="288"/>
      <c r="G290" s="288"/>
      <c r="H290" s="391"/>
      <c r="I290" s="391"/>
      <c r="J290" s="391"/>
      <c r="K290" s="391"/>
      <c r="L290" s="391"/>
      <c r="M290" s="391"/>
      <c r="N290" s="391"/>
      <c r="O290" s="391"/>
      <c r="P290" s="391"/>
      <c r="Q290" s="391"/>
      <c r="R290" s="395">
        <f>R288+R276+R264</f>
        <v>8227</v>
      </c>
      <c r="S290" s="390"/>
      <c r="T290" s="396">
        <f>+T288+T276+T264</f>
        <v>1169224</v>
      </c>
      <c r="U290" s="390"/>
      <c r="V290" s="288"/>
      <c r="W290" s="291"/>
      <c r="X290" s="5"/>
    </row>
    <row r="291" spans="1:24" ht="15.6" x14ac:dyDescent="0.3">
      <c r="A291" s="183"/>
      <c r="B291" s="284"/>
      <c r="C291" s="284"/>
      <c r="D291" s="284"/>
      <c r="E291" s="284"/>
      <c r="F291" s="284"/>
      <c r="G291" s="284"/>
      <c r="H291" s="392"/>
      <c r="I291" s="392"/>
      <c r="J291" s="392"/>
      <c r="K291" s="392"/>
      <c r="L291" s="392"/>
      <c r="M291" s="392"/>
      <c r="N291" s="392"/>
      <c r="O291" s="392"/>
      <c r="P291" s="392"/>
      <c r="Q291" s="392"/>
      <c r="R291" s="392"/>
      <c r="S291" s="392"/>
      <c r="T291" s="394"/>
      <c r="U291" s="392"/>
      <c r="V291" s="284"/>
      <c r="W291" s="284"/>
      <c r="X291" s="5"/>
    </row>
    <row r="292" spans="1:24" ht="15.6" x14ac:dyDescent="0.3">
      <c r="A292" s="183"/>
      <c r="B292" s="224"/>
      <c r="C292" s="224"/>
      <c r="D292" s="224"/>
      <c r="E292" s="224"/>
      <c r="F292" s="224"/>
      <c r="G292" s="224"/>
      <c r="H292" s="256"/>
      <c r="I292" s="256"/>
      <c r="J292" s="256"/>
      <c r="K292" s="256"/>
      <c r="L292" s="256"/>
      <c r="M292" s="256"/>
      <c r="N292" s="256"/>
      <c r="O292" s="256"/>
      <c r="P292" s="256"/>
      <c r="Q292" s="256"/>
      <c r="R292" s="256"/>
      <c r="S292" s="256"/>
      <c r="T292" s="257"/>
      <c r="U292" s="256"/>
      <c r="V292" s="224"/>
      <c r="W292" s="224"/>
      <c r="X292" s="5"/>
    </row>
    <row r="293" spans="1:24" ht="15.6" x14ac:dyDescent="0.3">
      <c r="A293" s="219"/>
      <c r="B293" s="222" t="s">
        <v>91</v>
      </c>
      <c r="C293" s="224"/>
      <c r="D293" s="224"/>
      <c r="E293" s="224"/>
      <c r="F293" s="228" t="s">
        <v>97</v>
      </c>
      <c r="G293" s="224"/>
      <c r="H293" s="222" t="s">
        <v>99</v>
      </c>
      <c r="I293" s="222"/>
      <c r="J293" s="222"/>
      <c r="K293" s="258"/>
      <c r="L293" s="258"/>
      <c r="M293" s="258"/>
      <c r="N293" s="258"/>
      <c r="O293" s="258"/>
      <c r="P293" s="258"/>
      <c r="Q293" s="258"/>
      <c r="R293" s="258"/>
      <c r="S293" s="258"/>
      <c r="T293" s="258"/>
      <c r="U293" s="258"/>
      <c r="V293" s="258"/>
      <c r="W293" s="258"/>
      <c r="X293" s="5"/>
    </row>
    <row r="294" spans="1:24" ht="15.6" x14ac:dyDescent="0.3">
      <c r="A294" s="219"/>
      <c r="B294" s="258"/>
      <c r="C294" s="224"/>
      <c r="D294" s="224"/>
      <c r="E294" s="224"/>
      <c r="F294" s="224"/>
      <c r="G294" s="224"/>
      <c r="H294" s="224"/>
      <c r="I294" s="224"/>
      <c r="J294" s="224"/>
      <c r="K294" s="258"/>
      <c r="L294" s="258"/>
      <c r="M294" s="258"/>
      <c r="N294" s="258"/>
      <c r="O294" s="258"/>
      <c r="P294" s="258"/>
      <c r="Q294" s="258"/>
      <c r="R294" s="258"/>
      <c r="S294" s="258"/>
      <c r="T294" s="258"/>
      <c r="U294" s="258"/>
      <c r="V294" s="258"/>
      <c r="W294" s="258"/>
      <c r="X294" s="5"/>
    </row>
    <row r="295" spans="1:24" ht="15.6" x14ac:dyDescent="0.3">
      <c r="A295" s="219"/>
      <c r="B295" s="222" t="s">
        <v>92</v>
      </c>
      <c r="C295" s="222"/>
      <c r="D295" s="222"/>
      <c r="E295" s="222"/>
      <c r="F295" s="259" t="s">
        <v>148</v>
      </c>
      <c r="G295" s="222"/>
      <c r="H295" s="222" t="s">
        <v>152</v>
      </c>
      <c r="I295" s="222"/>
      <c r="J295" s="222"/>
      <c r="K295" s="258"/>
      <c r="L295" s="258"/>
      <c r="M295" s="258"/>
      <c r="N295" s="258"/>
      <c r="O295" s="258"/>
      <c r="P295" s="258"/>
      <c r="Q295" s="258"/>
      <c r="R295" s="258"/>
      <c r="S295" s="258"/>
      <c r="T295" s="258"/>
      <c r="U295" s="258"/>
      <c r="V295" s="258"/>
      <c r="W295" s="258"/>
      <c r="X295" s="5"/>
    </row>
    <row r="296" spans="1:24" ht="15.6" x14ac:dyDescent="0.3">
      <c r="A296" s="219"/>
      <c r="B296" s="222" t="s">
        <v>277</v>
      </c>
      <c r="C296" s="222"/>
      <c r="D296" s="222"/>
      <c r="E296" s="222"/>
      <c r="F296" s="259" t="s">
        <v>278</v>
      </c>
      <c r="G296" s="222"/>
      <c r="H296" s="222" t="s">
        <v>279</v>
      </c>
      <c r="I296" s="258"/>
      <c r="J296" s="222"/>
      <c r="K296" s="258"/>
      <c r="L296" s="258"/>
      <c r="M296" s="258"/>
      <c r="N296" s="258"/>
      <c r="O296" s="258"/>
      <c r="P296" s="258"/>
      <c r="Q296" s="258"/>
      <c r="R296" s="258"/>
      <c r="S296" s="258"/>
      <c r="T296" s="258"/>
      <c r="U296" s="258"/>
      <c r="V296" s="258"/>
      <c r="W296" s="258"/>
      <c r="X296" s="5"/>
    </row>
    <row r="297" spans="1:24" ht="15.6" x14ac:dyDescent="0.3">
      <c r="A297" s="219"/>
      <c r="B297" s="222" t="s">
        <v>93</v>
      </c>
      <c r="C297" s="222"/>
      <c r="D297" s="222"/>
      <c r="E297" s="222"/>
      <c r="F297" s="259" t="s">
        <v>147</v>
      </c>
      <c r="G297" s="222"/>
      <c r="H297" s="222" t="s">
        <v>153</v>
      </c>
      <c r="I297" s="222"/>
      <c r="J297" s="222"/>
      <c r="K297" s="258"/>
      <c r="L297" s="258"/>
      <c r="M297" s="258"/>
      <c r="N297" s="258"/>
      <c r="O297" s="258"/>
      <c r="P297" s="258"/>
      <c r="Q297" s="258"/>
      <c r="R297" s="258"/>
      <c r="S297" s="258"/>
      <c r="T297" s="258"/>
      <c r="U297" s="258"/>
      <c r="V297" s="258"/>
      <c r="W297" s="258"/>
      <c r="X297" s="5"/>
    </row>
    <row r="298" spans="1:24" ht="15.6" x14ac:dyDescent="0.3">
      <c r="A298" s="219"/>
      <c r="B298" s="222"/>
      <c r="C298" s="222"/>
      <c r="D298" s="222"/>
      <c r="E298" s="222"/>
      <c r="F298" s="222"/>
      <c r="G298" s="260"/>
      <c r="H298" s="258"/>
      <c r="I298" s="258"/>
      <c r="J298" s="258"/>
      <c r="K298" s="258"/>
      <c r="L298" s="258"/>
      <c r="M298" s="258"/>
      <c r="N298" s="258"/>
      <c r="O298" s="258"/>
      <c r="P298" s="258"/>
      <c r="Q298" s="258"/>
      <c r="R298" s="258"/>
      <c r="S298" s="258"/>
      <c r="T298" s="258"/>
      <c r="U298" s="258"/>
      <c r="V298" s="258"/>
      <c r="W298" s="258"/>
      <c r="X298" s="5"/>
    </row>
    <row r="299" spans="1:24" ht="15.6" x14ac:dyDescent="0.3">
      <c r="A299" s="219"/>
      <c r="B299" s="222"/>
      <c r="C299" s="222"/>
      <c r="D299" s="222"/>
      <c r="E299" s="222"/>
      <c r="F299" s="222"/>
      <c r="G299" s="260"/>
      <c r="H299" s="258"/>
      <c r="I299" s="258"/>
      <c r="J299" s="258"/>
      <c r="K299" s="258"/>
      <c r="L299" s="258"/>
      <c r="M299" s="258"/>
      <c r="N299" s="258"/>
      <c r="O299" s="258"/>
      <c r="P299" s="258"/>
      <c r="Q299" s="258"/>
      <c r="R299" s="258"/>
      <c r="S299" s="258"/>
      <c r="T299" s="258"/>
      <c r="U299" s="258"/>
      <c r="V299" s="258"/>
      <c r="W299" s="258"/>
      <c r="X299" s="5"/>
    </row>
    <row r="300" spans="1:24" ht="18" thickBot="1" x14ac:dyDescent="0.35">
      <c r="A300" s="219"/>
      <c r="B300" s="261" t="str">
        <f>B204</f>
        <v>PM14 INVESTOR REPORT QUARTER ENDING AUGUST 2010</v>
      </c>
      <c r="C300" s="222"/>
      <c r="D300" s="222"/>
      <c r="E300" s="222"/>
      <c r="F300" s="222"/>
      <c r="G300" s="260"/>
      <c r="H300" s="258"/>
      <c r="I300" s="258"/>
      <c r="J300" s="258"/>
      <c r="K300" s="258"/>
      <c r="L300" s="258"/>
      <c r="M300" s="258"/>
      <c r="N300" s="258"/>
      <c r="O300" s="258"/>
      <c r="P300" s="258"/>
      <c r="Q300" s="258"/>
      <c r="R300" s="258"/>
      <c r="S300" s="258"/>
      <c r="T300" s="258"/>
      <c r="U300" s="258"/>
      <c r="V300" s="258"/>
      <c r="W300" s="258"/>
      <c r="X300" s="5"/>
    </row>
    <row r="301" spans="1:24" x14ac:dyDescent="0.25">
      <c r="A301" s="100"/>
      <c r="B301" s="100"/>
      <c r="C301" s="100"/>
      <c r="D301" s="100"/>
      <c r="E301" s="100"/>
      <c r="F301" s="100"/>
      <c r="G301" s="100"/>
      <c r="H301" s="100"/>
      <c r="I301" s="100"/>
      <c r="J301" s="100"/>
      <c r="K301" s="100"/>
      <c r="L301" s="100"/>
      <c r="M301" s="100"/>
      <c r="N301" s="100"/>
      <c r="O301" s="100"/>
      <c r="P301" s="100"/>
      <c r="Q301" s="100"/>
      <c r="R301" s="100"/>
      <c r="S301" s="100"/>
      <c r="T301" s="100"/>
      <c r="U301" s="100"/>
      <c r="V301" s="100"/>
      <c r="W301" s="100"/>
    </row>
  </sheetData>
  <phoneticPr fontId="0" type="noConversion"/>
  <hyperlinks>
    <hyperlink ref="P240" r:id="rId1" xr:uid="{00000000-0004-0000-0C00-000000000000}"/>
    <hyperlink ref="I9" r:id="rId2" xr:uid="{00000000-0004-0000-0C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8" max="14" man="1"/>
    <brk id="204" max="14" man="1"/>
  </rowBreak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4"/>
  </sheetPr>
  <dimension ref="A1:IV301"/>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80"/>
      <c r="B1" s="220" t="s">
        <v>244</v>
      </c>
      <c r="C1" s="181"/>
      <c r="D1" s="181"/>
      <c r="E1" s="181"/>
      <c r="F1" s="181"/>
      <c r="G1" s="181"/>
      <c r="H1" s="181"/>
      <c r="I1" s="181"/>
      <c r="J1" s="181"/>
      <c r="K1" s="181"/>
      <c r="L1" s="181"/>
      <c r="M1" s="181"/>
      <c r="N1" s="181"/>
      <c r="O1" s="181"/>
      <c r="P1" s="181"/>
      <c r="Q1" s="181"/>
      <c r="R1" s="181"/>
      <c r="S1" s="181"/>
      <c r="T1" s="181"/>
      <c r="U1" s="181"/>
      <c r="V1" s="181"/>
      <c r="W1" s="181"/>
      <c r="X1" s="5"/>
    </row>
    <row r="2" spans="1:24" ht="15.6" x14ac:dyDescent="0.3">
      <c r="A2" s="183"/>
      <c r="B2" s="184"/>
      <c r="C2" s="185"/>
      <c r="D2" s="185"/>
      <c r="E2" s="185"/>
      <c r="F2" s="185"/>
      <c r="G2" s="185"/>
      <c r="H2" s="185"/>
      <c r="I2" s="185"/>
      <c r="J2" s="185"/>
      <c r="K2" s="185"/>
      <c r="L2" s="185"/>
      <c r="M2" s="185"/>
      <c r="N2" s="185"/>
      <c r="O2" s="185"/>
      <c r="P2" s="185"/>
      <c r="Q2" s="185"/>
      <c r="R2" s="185"/>
      <c r="S2" s="185"/>
      <c r="T2" s="185"/>
      <c r="U2" s="185"/>
      <c r="V2" s="185"/>
      <c r="W2" s="185"/>
      <c r="X2" s="5"/>
    </row>
    <row r="3" spans="1:24" ht="15.6" x14ac:dyDescent="0.3">
      <c r="A3" s="186"/>
      <c r="B3" s="187" t="s">
        <v>245</v>
      </c>
      <c r="C3" s="185"/>
      <c r="D3" s="185"/>
      <c r="E3" s="185"/>
      <c r="F3" s="185"/>
      <c r="G3" s="185"/>
      <c r="H3" s="185"/>
      <c r="I3" s="185"/>
      <c r="J3" s="185"/>
      <c r="K3" s="185"/>
      <c r="L3" s="185"/>
      <c r="M3" s="185"/>
      <c r="N3" s="185"/>
      <c r="O3" s="185"/>
      <c r="P3" s="185"/>
      <c r="Q3" s="185"/>
      <c r="R3" s="185"/>
      <c r="S3" s="185"/>
      <c r="T3" s="185"/>
      <c r="U3" s="185"/>
      <c r="V3" s="185"/>
      <c r="W3" s="185"/>
      <c r="X3" s="5"/>
    </row>
    <row r="4" spans="1:24" ht="15.6" x14ac:dyDescent="0.3">
      <c r="A4" s="183"/>
      <c r="B4" s="184"/>
      <c r="C4" s="185"/>
      <c r="D4" s="185"/>
      <c r="E4" s="185"/>
      <c r="F4" s="185"/>
      <c r="G4" s="185"/>
      <c r="H4" s="185"/>
      <c r="I4" s="185"/>
      <c r="J4" s="185"/>
      <c r="K4" s="185"/>
      <c r="L4" s="185"/>
      <c r="M4" s="185"/>
      <c r="N4" s="185"/>
      <c r="O4" s="185"/>
      <c r="P4" s="185"/>
      <c r="Q4" s="185"/>
      <c r="R4" s="185"/>
      <c r="S4" s="185"/>
      <c r="T4" s="185"/>
      <c r="U4" s="185"/>
      <c r="V4" s="185"/>
      <c r="W4" s="185"/>
      <c r="X4" s="5"/>
    </row>
    <row r="5" spans="1:24" ht="15.6" x14ac:dyDescent="0.3">
      <c r="A5" s="183"/>
      <c r="B5" s="221" t="s">
        <v>137</v>
      </c>
      <c r="C5" s="185"/>
      <c r="D5" s="185"/>
      <c r="E5" s="185"/>
      <c r="F5" s="185"/>
      <c r="G5" s="185"/>
      <c r="H5" s="185"/>
      <c r="I5" s="185"/>
      <c r="J5" s="185"/>
      <c r="K5" s="185"/>
      <c r="L5" s="185"/>
      <c r="M5" s="185"/>
      <c r="N5" s="185"/>
      <c r="O5" s="185"/>
      <c r="P5" s="185"/>
      <c r="Q5" s="185"/>
      <c r="R5" s="185"/>
      <c r="S5" s="185"/>
      <c r="T5" s="185"/>
      <c r="U5" s="185"/>
      <c r="V5" s="185"/>
      <c r="W5" s="185"/>
      <c r="X5" s="5"/>
    </row>
    <row r="6" spans="1:24" ht="15.6" x14ac:dyDescent="0.3">
      <c r="A6" s="183"/>
      <c r="B6" s="221" t="s">
        <v>139</v>
      </c>
      <c r="C6" s="185"/>
      <c r="D6" s="185"/>
      <c r="E6" s="185"/>
      <c r="F6" s="185"/>
      <c r="G6" s="185"/>
      <c r="H6" s="185"/>
      <c r="I6" s="185"/>
      <c r="J6" s="185"/>
      <c r="K6" s="185"/>
      <c r="L6" s="185"/>
      <c r="M6" s="185"/>
      <c r="N6" s="185"/>
      <c r="O6" s="185"/>
      <c r="P6" s="185"/>
      <c r="Q6" s="185"/>
      <c r="R6" s="185"/>
      <c r="S6" s="185"/>
      <c r="T6" s="185"/>
      <c r="U6" s="185"/>
      <c r="V6" s="185"/>
      <c r="W6" s="185"/>
      <c r="X6" s="5"/>
    </row>
    <row r="7" spans="1:24" ht="15.6" x14ac:dyDescent="0.3">
      <c r="A7" s="183"/>
      <c r="B7" s="221" t="s">
        <v>138</v>
      </c>
      <c r="C7" s="185"/>
      <c r="D7" s="185"/>
      <c r="E7" s="185"/>
      <c r="F7" s="185"/>
      <c r="G7" s="185"/>
      <c r="H7" s="185"/>
      <c r="I7" s="185"/>
      <c r="J7" s="185"/>
      <c r="K7" s="185"/>
      <c r="L7" s="185"/>
      <c r="M7" s="185"/>
      <c r="N7" s="185"/>
      <c r="O7" s="185"/>
      <c r="P7" s="185"/>
      <c r="Q7" s="185"/>
      <c r="R7" s="185"/>
      <c r="S7" s="185"/>
      <c r="T7" s="185"/>
      <c r="U7" s="185"/>
      <c r="V7" s="185"/>
      <c r="W7" s="185"/>
      <c r="X7" s="5"/>
    </row>
    <row r="8" spans="1:24" ht="15.6" x14ac:dyDescent="0.3">
      <c r="A8" s="183"/>
      <c r="B8" s="188"/>
      <c r="C8" s="185"/>
      <c r="D8" s="185"/>
      <c r="E8" s="185"/>
      <c r="F8" s="185"/>
      <c r="G8" s="185"/>
      <c r="H8" s="185"/>
      <c r="I8" s="185"/>
      <c r="J8" s="185"/>
      <c r="K8" s="185"/>
      <c r="L8" s="185"/>
      <c r="M8" s="185"/>
      <c r="N8" s="185"/>
      <c r="O8" s="185"/>
      <c r="P8" s="185"/>
      <c r="Q8" s="185"/>
      <c r="R8" s="185"/>
      <c r="S8" s="185"/>
      <c r="T8" s="185"/>
      <c r="U8" s="185"/>
      <c r="V8" s="185"/>
      <c r="W8" s="185"/>
      <c r="X8" s="5"/>
    </row>
    <row r="9" spans="1:24" ht="17.399999999999999" x14ac:dyDescent="0.3">
      <c r="A9" s="183"/>
      <c r="B9" s="189" t="s">
        <v>166</v>
      </c>
      <c r="C9" s="185"/>
      <c r="D9" s="185"/>
      <c r="E9" s="185"/>
      <c r="F9" s="185"/>
      <c r="G9" s="185"/>
      <c r="H9" s="185"/>
      <c r="I9" s="190" t="s">
        <v>167</v>
      </c>
      <c r="J9" s="185"/>
      <c r="K9" s="185"/>
      <c r="L9" s="190"/>
      <c r="M9" s="185"/>
      <c r="N9" s="190"/>
      <c r="O9" s="185"/>
      <c r="P9" s="185"/>
      <c r="Q9" s="185"/>
      <c r="R9" s="185"/>
      <c r="S9" s="185"/>
      <c r="T9" s="185"/>
      <c r="U9" s="185"/>
      <c r="V9" s="185"/>
      <c r="W9" s="185"/>
      <c r="X9" s="5"/>
    </row>
    <row r="10" spans="1:24" ht="15.6" x14ac:dyDescent="0.3">
      <c r="A10" s="183"/>
      <c r="B10" s="188"/>
      <c r="C10" s="191"/>
      <c r="D10" s="191"/>
      <c r="E10" s="191"/>
      <c r="F10" s="185"/>
      <c r="G10" s="185"/>
      <c r="H10" s="185"/>
      <c r="I10" s="185"/>
      <c r="J10" s="185"/>
      <c r="K10" s="185"/>
      <c r="L10" s="185"/>
      <c r="M10" s="185"/>
      <c r="N10" s="185"/>
      <c r="O10" s="185"/>
      <c r="P10" s="185"/>
      <c r="Q10" s="185"/>
      <c r="R10" s="185"/>
      <c r="S10" s="185"/>
      <c r="T10" s="185"/>
      <c r="U10" s="185"/>
      <c r="V10" s="185"/>
      <c r="W10" s="185"/>
      <c r="X10" s="5"/>
    </row>
    <row r="11" spans="1:24" ht="15.6" x14ac:dyDescent="0.3">
      <c r="A11" s="183"/>
      <c r="B11" s="222" t="s">
        <v>0</v>
      </c>
      <c r="C11" s="185"/>
      <c r="D11" s="185"/>
      <c r="E11" s="185"/>
      <c r="F11" s="185"/>
      <c r="G11" s="185"/>
      <c r="H11" s="185"/>
      <c r="I11" s="185"/>
      <c r="J11" s="185"/>
      <c r="K11" s="185"/>
      <c r="L11" s="185"/>
      <c r="M11" s="185"/>
      <c r="N11" s="185"/>
      <c r="O11" s="185"/>
      <c r="P11" s="185"/>
      <c r="Q11" s="185"/>
      <c r="R11" s="185"/>
      <c r="S11" s="185"/>
      <c r="T11" s="185"/>
      <c r="U11" s="185"/>
      <c r="V11" s="185"/>
      <c r="W11" s="185"/>
      <c r="X11" s="5"/>
    </row>
    <row r="12" spans="1:24" ht="16.2" thickBot="1" x14ac:dyDescent="0.35">
      <c r="A12" s="183"/>
      <c r="B12" s="191"/>
      <c r="C12" s="185"/>
      <c r="D12" s="185"/>
      <c r="E12" s="185"/>
      <c r="F12" s="185"/>
      <c r="G12" s="185"/>
      <c r="H12" s="185"/>
      <c r="I12" s="185"/>
      <c r="J12" s="185"/>
      <c r="K12" s="185"/>
      <c r="L12" s="185"/>
      <c r="M12" s="185"/>
      <c r="N12" s="185"/>
      <c r="O12" s="185"/>
      <c r="P12" s="185"/>
      <c r="Q12" s="185"/>
      <c r="R12" s="185"/>
      <c r="S12" s="185"/>
      <c r="T12" s="185"/>
      <c r="U12" s="185"/>
      <c r="V12" s="185"/>
      <c r="W12" s="185"/>
      <c r="X12" s="5"/>
    </row>
    <row r="13" spans="1:24" ht="15.6" x14ac:dyDescent="0.3">
      <c r="A13" s="180"/>
      <c r="B13" s="181"/>
      <c r="C13" s="181"/>
      <c r="D13" s="181"/>
      <c r="E13" s="181"/>
      <c r="F13" s="181"/>
      <c r="G13" s="181"/>
      <c r="H13" s="181"/>
      <c r="I13" s="181"/>
      <c r="J13" s="181"/>
      <c r="K13" s="181"/>
      <c r="L13" s="181"/>
      <c r="M13" s="181"/>
      <c r="N13" s="181"/>
      <c r="O13" s="181"/>
      <c r="P13" s="181"/>
      <c r="Q13" s="181"/>
      <c r="R13" s="181"/>
      <c r="S13" s="181"/>
      <c r="T13" s="181"/>
      <c r="U13" s="181"/>
      <c r="V13" s="181"/>
      <c r="W13" s="181"/>
      <c r="X13" s="5"/>
    </row>
    <row r="14" spans="1:24" ht="15.6" x14ac:dyDescent="0.3">
      <c r="A14" s="183"/>
      <c r="B14" s="222" t="s">
        <v>1</v>
      </c>
      <c r="C14" s="192"/>
      <c r="D14" s="192"/>
      <c r="E14" s="192"/>
      <c r="F14" s="192"/>
      <c r="G14" s="192"/>
      <c r="H14" s="192"/>
      <c r="I14" s="192"/>
      <c r="J14" s="192"/>
      <c r="K14" s="192"/>
      <c r="L14" s="192"/>
      <c r="M14" s="192"/>
      <c r="N14" s="192"/>
      <c r="O14" s="192"/>
      <c r="P14" s="192"/>
      <c r="Q14" s="192"/>
      <c r="R14" s="224"/>
      <c r="S14" s="224"/>
      <c r="T14" s="224"/>
      <c r="U14" s="224"/>
      <c r="V14" s="225" t="s">
        <v>246</v>
      </c>
      <c r="W14" s="192"/>
      <c r="X14" s="5"/>
    </row>
    <row r="15" spans="1:24" ht="15.6" x14ac:dyDescent="0.3">
      <c r="A15" s="183"/>
      <c r="B15" s="222" t="s">
        <v>2</v>
      </c>
      <c r="C15" s="192"/>
      <c r="D15" s="192"/>
      <c r="E15" s="192"/>
      <c r="F15" s="192"/>
      <c r="G15" s="192"/>
      <c r="H15" s="193"/>
      <c r="I15" s="193"/>
      <c r="J15" s="193"/>
      <c r="K15" s="193"/>
      <c r="L15" s="193"/>
      <c r="M15" s="193"/>
      <c r="N15" s="193"/>
      <c r="O15" s="193"/>
      <c r="P15" s="193"/>
      <c r="Q15" s="193"/>
      <c r="R15" s="226" t="s">
        <v>104</v>
      </c>
      <c r="S15" s="227">
        <v>0.38300000000000001</v>
      </c>
      <c r="T15" s="228" t="s">
        <v>140</v>
      </c>
      <c r="U15" s="227">
        <v>0.61699999999999999</v>
      </c>
      <c r="V15" s="225"/>
      <c r="W15" s="192"/>
      <c r="X15" s="5"/>
    </row>
    <row r="16" spans="1:24" ht="15.6" x14ac:dyDescent="0.3">
      <c r="A16" s="183"/>
      <c r="B16" s="222" t="s">
        <v>3</v>
      </c>
      <c r="C16" s="192"/>
      <c r="D16" s="192"/>
      <c r="E16" s="192"/>
      <c r="F16" s="192"/>
      <c r="G16" s="192"/>
      <c r="H16" s="193"/>
      <c r="I16" s="193"/>
      <c r="J16" s="193"/>
      <c r="K16" s="193"/>
      <c r="L16" s="193"/>
      <c r="M16" s="193"/>
      <c r="N16" s="193"/>
      <c r="O16" s="193"/>
      <c r="P16" s="193"/>
      <c r="Q16" s="193"/>
      <c r="R16" s="226" t="s">
        <v>104</v>
      </c>
      <c r="S16" s="227">
        <v>0.45490000000000003</v>
      </c>
      <c r="T16" s="228" t="s">
        <v>140</v>
      </c>
      <c r="U16" s="227">
        <v>0.54510000000000003</v>
      </c>
      <c r="V16" s="225"/>
      <c r="W16" s="192"/>
      <c r="X16" s="5"/>
    </row>
    <row r="17" spans="1:24" ht="15.6" x14ac:dyDescent="0.3">
      <c r="A17" s="183"/>
      <c r="B17" s="222" t="s">
        <v>4</v>
      </c>
      <c r="C17" s="192"/>
      <c r="D17" s="192"/>
      <c r="E17" s="192"/>
      <c r="F17" s="192"/>
      <c r="G17" s="192"/>
      <c r="H17" s="192"/>
      <c r="I17" s="192"/>
      <c r="J17" s="192"/>
      <c r="K17" s="192"/>
      <c r="L17" s="192"/>
      <c r="M17" s="192"/>
      <c r="N17" s="192"/>
      <c r="O17" s="192"/>
      <c r="P17" s="192"/>
      <c r="Q17" s="192"/>
      <c r="R17" s="224"/>
      <c r="S17" s="224"/>
      <c r="T17" s="224"/>
      <c r="U17" s="224"/>
      <c r="V17" s="229">
        <v>39163</v>
      </c>
      <c r="W17" s="192"/>
      <c r="X17" s="5"/>
    </row>
    <row r="18" spans="1:24" ht="15.6" x14ac:dyDescent="0.3">
      <c r="A18" s="183"/>
      <c r="B18" s="222" t="s">
        <v>5</v>
      </c>
      <c r="C18" s="192"/>
      <c r="D18" s="192"/>
      <c r="E18" s="192"/>
      <c r="F18" s="192"/>
      <c r="G18" s="192"/>
      <c r="H18" s="192"/>
      <c r="I18" s="192"/>
      <c r="J18" s="192"/>
      <c r="K18" s="192"/>
      <c r="L18" s="192"/>
      <c r="M18" s="192"/>
      <c r="N18" s="192"/>
      <c r="O18" s="192"/>
      <c r="P18" s="192"/>
      <c r="Q18" s="192"/>
      <c r="R18" s="224"/>
      <c r="S18" s="224"/>
      <c r="T18" s="224"/>
      <c r="U18" s="224"/>
      <c r="V18" s="229">
        <v>40529</v>
      </c>
      <c r="W18" s="192"/>
      <c r="X18" s="5"/>
    </row>
    <row r="19" spans="1:24" ht="15.6" x14ac:dyDescent="0.3">
      <c r="A19" s="183"/>
      <c r="B19" s="185"/>
      <c r="C19" s="185"/>
      <c r="D19" s="185"/>
      <c r="E19" s="185"/>
      <c r="F19" s="185"/>
      <c r="G19" s="185"/>
      <c r="H19" s="185"/>
      <c r="I19" s="185"/>
      <c r="J19" s="185"/>
      <c r="K19" s="185"/>
      <c r="L19" s="185"/>
      <c r="M19" s="185"/>
      <c r="N19" s="185"/>
      <c r="O19" s="185"/>
      <c r="P19" s="185"/>
      <c r="Q19" s="185"/>
      <c r="R19" s="185"/>
      <c r="S19" s="185"/>
      <c r="T19" s="185"/>
      <c r="U19" s="185"/>
      <c r="V19" s="194"/>
      <c r="W19" s="185"/>
      <c r="X19" s="5"/>
    </row>
    <row r="20" spans="1:24" ht="15.6" x14ac:dyDescent="0.3">
      <c r="A20" s="183"/>
      <c r="B20" s="230" t="s">
        <v>6</v>
      </c>
      <c r="C20" s="185"/>
      <c r="D20" s="185"/>
      <c r="E20" s="185"/>
      <c r="F20" s="185"/>
      <c r="G20" s="185"/>
      <c r="H20" s="185"/>
      <c r="I20" s="185"/>
      <c r="J20" s="185"/>
      <c r="K20" s="185"/>
      <c r="L20" s="185"/>
      <c r="M20" s="185"/>
      <c r="N20" s="185"/>
      <c r="O20" s="185"/>
      <c r="P20" s="185"/>
      <c r="Q20" s="185"/>
      <c r="R20" s="185"/>
      <c r="S20" s="185"/>
      <c r="T20" s="223" t="s">
        <v>105</v>
      </c>
      <c r="U20" s="185"/>
      <c r="V20" s="182"/>
      <c r="W20" s="185"/>
      <c r="X20" s="5"/>
    </row>
    <row r="21" spans="1:24" ht="15.6" x14ac:dyDescent="0.3">
      <c r="A21" s="183"/>
      <c r="B21" s="185"/>
      <c r="C21" s="185"/>
      <c r="D21" s="185"/>
      <c r="E21" s="185"/>
      <c r="F21" s="185"/>
      <c r="G21" s="185"/>
      <c r="H21" s="185"/>
      <c r="I21" s="185"/>
      <c r="J21" s="185"/>
      <c r="K21" s="185"/>
      <c r="L21" s="185"/>
      <c r="M21" s="185"/>
      <c r="N21" s="185"/>
      <c r="O21" s="185"/>
      <c r="P21" s="185"/>
      <c r="Q21" s="185"/>
      <c r="R21" s="185"/>
      <c r="S21" s="185"/>
      <c r="T21" s="185"/>
      <c r="U21" s="185"/>
      <c r="V21" s="196"/>
      <c r="W21" s="185"/>
      <c r="X21" s="5"/>
    </row>
    <row r="22" spans="1:24" ht="15.6" x14ac:dyDescent="0.3">
      <c r="A22" s="262"/>
      <c r="B22" s="263"/>
      <c r="C22" s="264"/>
      <c r="D22" s="264" t="s">
        <v>177</v>
      </c>
      <c r="E22" s="264"/>
      <c r="F22" s="264" t="s">
        <v>178</v>
      </c>
      <c r="G22" s="264"/>
      <c r="H22" s="264" t="s">
        <v>179</v>
      </c>
      <c r="I22" s="264"/>
      <c r="J22" s="264" t="s">
        <v>220</v>
      </c>
      <c r="K22" s="264"/>
      <c r="L22" s="264" t="s">
        <v>180</v>
      </c>
      <c r="M22" s="264"/>
      <c r="N22" s="264" t="s">
        <v>181</v>
      </c>
      <c r="O22" s="264"/>
      <c r="P22" s="264" t="s">
        <v>221</v>
      </c>
      <c r="Q22" s="264"/>
      <c r="R22" s="264" t="s">
        <v>182</v>
      </c>
      <c r="S22" s="265"/>
      <c r="T22" s="266"/>
      <c r="U22" s="267"/>
      <c r="V22" s="267"/>
      <c r="W22" s="263"/>
      <c r="X22" s="5"/>
    </row>
    <row r="23" spans="1:24" ht="15.6" x14ac:dyDescent="0.3">
      <c r="A23" s="287"/>
      <c r="B23" s="288" t="s">
        <v>7</v>
      </c>
      <c r="C23" s="289"/>
      <c r="D23" s="289" t="s">
        <v>213</v>
      </c>
      <c r="E23" s="289"/>
      <c r="F23" s="289" t="s">
        <v>141</v>
      </c>
      <c r="G23" s="289"/>
      <c r="H23" s="289" t="s">
        <v>141</v>
      </c>
      <c r="I23" s="289"/>
      <c r="J23" s="289" t="s">
        <v>141</v>
      </c>
      <c r="K23" s="289"/>
      <c r="L23" s="289" t="s">
        <v>183</v>
      </c>
      <c r="M23" s="289"/>
      <c r="N23" s="289" t="s">
        <v>183</v>
      </c>
      <c r="O23" s="289"/>
      <c r="P23" s="289" t="s">
        <v>142</v>
      </c>
      <c r="Q23" s="289"/>
      <c r="R23" s="289" t="s">
        <v>142</v>
      </c>
      <c r="S23" s="289"/>
      <c r="T23" s="289"/>
      <c r="U23" s="290"/>
      <c r="V23" s="290"/>
      <c r="W23" s="291"/>
      <c r="X23" s="5"/>
    </row>
    <row r="24" spans="1:24" ht="15.6" x14ac:dyDescent="0.3">
      <c r="A24" s="287"/>
      <c r="B24" s="288" t="s">
        <v>8</v>
      </c>
      <c r="C24" s="289"/>
      <c r="D24" s="289" t="s">
        <v>214</v>
      </c>
      <c r="E24" s="289"/>
      <c r="F24" s="289" t="s">
        <v>143</v>
      </c>
      <c r="G24" s="289"/>
      <c r="H24" s="289" t="s">
        <v>143</v>
      </c>
      <c r="I24" s="289"/>
      <c r="J24" s="289" t="s">
        <v>143</v>
      </c>
      <c r="K24" s="289"/>
      <c r="L24" s="289" t="s">
        <v>165</v>
      </c>
      <c r="M24" s="289"/>
      <c r="N24" s="289" t="s">
        <v>165</v>
      </c>
      <c r="O24" s="289"/>
      <c r="P24" s="289" t="s">
        <v>144</v>
      </c>
      <c r="Q24" s="289"/>
      <c r="R24" s="289" t="s">
        <v>144</v>
      </c>
      <c r="S24" s="289"/>
      <c r="T24" s="289"/>
      <c r="U24" s="290"/>
      <c r="V24" s="290"/>
      <c r="W24" s="291"/>
      <c r="X24" s="5"/>
    </row>
    <row r="25" spans="1:24" ht="15.6" x14ac:dyDescent="0.3">
      <c r="A25" s="292"/>
      <c r="B25" s="293" t="s">
        <v>190</v>
      </c>
      <c r="C25" s="294"/>
      <c r="D25" s="289" t="s">
        <v>215</v>
      </c>
      <c r="E25" s="289"/>
      <c r="F25" s="289" t="s">
        <v>143</v>
      </c>
      <c r="G25" s="289"/>
      <c r="H25" s="289" t="s">
        <v>143</v>
      </c>
      <c r="I25" s="289"/>
      <c r="J25" s="289" t="s">
        <v>143</v>
      </c>
      <c r="K25" s="289"/>
      <c r="L25" s="289" t="s">
        <v>293</v>
      </c>
      <c r="M25" s="289"/>
      <c r="N25" s="289" t="s">
        <v>293</v>
      </c>
      <c r="O25" s="289"/>
      <c r="P25" s="289" t="s">
        <v>144</v>
      </c>
      <c r="Q25" s="289"/>
      <c r="R25" s="289" t="s">
        <v>144</v>
      </c>
      <c r="S25" s="294"/>
      <c r="T25" s="289"/>
      <c r="U25" s="290"/>
      <c r="V25" s="290"/>
      <c r="W25" s="291"/>
      <c r="X25" s="5"/>
    </row>
    <row r="26" spans="1:24" ht="15.6" x14ac:dyDescent="0.3">
      <c r="A26" s="292"/>
      <c r="B26" s="295" t="s">
        <v>9</v>
      </c>
      <c r="C26" s="294"/>
      <c r="D26" s="294" t="s">
        <v>213</v>
      </c>
      <c r="E26" s="294"/>
      <c r="F26" s="294" t="s">
        <v>141</v>
      </c>
      <c r="G26" s="294"/>
      <c r="H26" s="294" t="s">
        <v>141</v>
      </c>
      <c r="I26" s="294"/>
      <c r="J26" s="294" t="s">
        <v>141</v>
      </c>
      <c r="K26" s="294"/>
      <c r="L26" s="294" t="s">
        <v>183</v>
      </c>
      <c r="M26" s="294"/>
      <c r="N26" s="294" t="s">
        <v>183</v>
      </c>
      <c r="O26" s="294"/>
      <c r="P26" s="294" t="s">
        <v>142</v>
      </c>
      <c r="Q26" s="294"/>
      <c r="R26" s="294" t="s">
        <v>142</v>
      </c>
      <c r="S26" s="294"/>
      <c r="T26" s="289"/>
      <c r="U26" s="290"/>
      <c r="V26" s="290"/>
      <c r="W26" s="291"/>
      <c r="X26" s="5"/>
    </row>
    <row r="27" spans="1:24" ht="15.6" x14ac:dyDescent="0.3">
      <c r="A27" s="287"/>
      <c r="B27" s="295" t="s">
        <v>191</v>
      </c>
      <c r="C27" s="289"/>
      <c r="D27" s="294" t="s">
        <v>214</v>
      </c>
      <c r="E27" s="294"/>
      <c r="F27" s="294" t="s">
        <v>143</v>
      </c>
      <c r="G27" s="294"/>
      <c r="H27" s="294" t="s">
        <v>143</v>
      </c>
      <c r="I27" s="294"/>
      <c r="J27" s="294" t="s">
        <v>143</v>
      </c>
      <c r="K27" s="294"/>
      <c r="L27" s="294" t="s">
        <v>165</v>
      </c>
      <c r="M27" s="294"/>
      <c r="N27" s="294" t="s">
        <v>165</v>
      </c>
      <c r="O27" s="294"/>
      <c r="P27" s="294" t="s">
        <v>144</v>
      </c>
      <c r="Q27" s="294"/>
      <c r="R27" s="294" t="s">
        <v>144</v>
      </c>
      <c r="S27" s="289"/>
      <c r="T27" s="296"/>
      <c r="U27" s="290"/>
      <c r="V27" s="290"/>
      <c r="W27" s="291"/>
      <c r="X27" s="5"/>
    </row>
    <row r="28" spans="1:24" ht="15.6" x14ac:dyDescent="0.3">
      <c r="A28" s="287"/>
      <c r="B28" s="297" t="s">
        <v>192</v>
      </c>
      <c r="C28" s="289"/>
      <c r="D28" s="294" t="s">
        <v>215</v>
      </c>
      <c r="E28" s="294"/>
      <c r="F28" s="294" t="s">
        <v>143</v>
      </c>
      <c r="G28" s="294"/>
      <c r="H28" s="294" t="s">
        <v>143</v>
      </c>
      <c r="I28" s="294"/>
      <c r="J28" s="294" t="s">
        <v>143</v>
      </c>
      <c r="K28" s="294"/>
      <c r="L28" s="294" t="s">
        <v>293</v>
      </c>
      <c r="M28" s="294"/>
      <c r="N28" s="294" t="s">
        <v>293</v>
      </c>
      <c r="O28" s="294"/>
      <c r="P28" s="294" t="s">
        <v>144</v>
      </c>
      <c r="Q28" s="294"/>
      <c r="R28" s="294" t="s">
        <v>144</v>
      </c>
      <c r="S28" s="289"/>
      <c r="T28" s="296"/>
      <c r="U28" s="290"/>
      <c r="V28" s="290"/>
      <c r="W28" s="291"/>
      <c r="X28" s="5"/>
    </row>
    <row r="29" spans="1:24" ht="15.6" x14ac:dyDescent="0.3">
      <c r="A29" s="287"/>
      <c r="B29" s="288" t="s">
        <v>10</v>
      </c>
      <c r="C29" s="298"/>
      <c r="D29" s="289" t="s">
        <v>249</v>
      </c>
      <c r="E29" s="289"/>
      <c r="F29" s="296" t="s">
        <v>250</v>
      </c>
      <c r="G29" s="289"/>
      <c r="H29" s="289" t="s">
        <v>251</v>
      </c>
      <c r="I29" s="289"/>
      <c r="J29" s="289" t="s">
        <v>253</v>
      </c>
      <c r="K29" s="289"/>
      <c r="L29" s="289" t="s">
        <v>254</v>
      </c>
      <c r="M29" s="289"/>
      <c r="N29" s="289" t="s">
        <v>255</v>
      </c>
      <c r="O29" s="289"/>
      <c r="P29" s="289" t="s">
        <v>256</v>
      </c>
      <c r="Q29" s="289"/>
      <c r="R29" s="289" t="s">
        <v>257</v>
      </c>
      <c r="S29" s="299"/>
      <c r="T29" s="299"/>
      <c r="U29" s="300"/>
      <c r="V29" s="299"/>
      <c r="W29" s="301"/>
      <c r="X29" s="5"/>
    </row>
    <row r="30" spans="1:24" ht="15.6" x14ac:dyDescent="0.3">
      <c r="A30" s="287"/>
      <c r="B30" s="288" t="s">
        <v>10</v>
      </c>
      <c r="C30" s="298"/>
      <c r="D30" s="289" t="s">
        <v>248</v>
      </c>
      <c r="E30" s="289"/>
      <c r="F30" s="296" t="s">
        <v>118</v>
      </c>
      <c r="G30" s="289"/>
      <c r="H30" s="289" t="s">
        <v>118</v>
      </c>
      <c r="I30" s="289"/>
      <c r="J30" s="289" t="s">
        <v>252</v>
      </c>
      <c r="K30" s="289"/>
      <c r="L30" s="289" t="s">
        <v>118</v>
      </c>
      <c r="M30" s="289"/>
      <c r="N30" s="289" t="s">
        <v>118</v>
      </c>
      <c r="O30" s="289"/>
      <c r="P30" s="289" t="s">
        <v>118</v>
      </c>
      <c r="Q30" s="289"/>
      <c r="R30" s="289" t="s">
        <v>118</v>
      </c>
      <c r="S30" s="299"/>
      <c r="T30" s="299"/>
      <c r="U30" s="300"/>
      <c r="V30" s="299"/>
      <c r="W30" s="301"/>
      <c r="X30" s="5"/>
    </row>
    <row r="31" spans="1:24" ht="15.6" x14ac:dyDescent="0.3">
      <c r="A31" s="292"/>
      <c r="B31" s="288" t="s">
        <v>133</v>
      </c>
      <c r="C31" s="302"/>
      <c r="D31" s="303">
        <v>1500000</v>
      </c>
      <c r="E31" s="298"/>
      <c r="F31" s="299">
        <v>125000</v>
      </c>
      <c r="G31" s="299"/>
      <c r="H31" s="304">
        <v>246000</v>
      </c>
      <c r="I31" s="304"/>
      <c r="J31" s="303">
        <v>400000</v>
      </c>
      <c r="K31" s="299"/>
      <c r="L31" s="299">
        <v>51900</v>
      </c>
      <c r="M31" s="299"/>
      <c r="N31" s="304">
        <v>88800</v>
      </c>
      <c r="O31" s="299"/>
      <c r="P31" s="299">
        <v>20000</v>
      </c>
      <c r="Q31" s="299"/>
      <c r="R31" s="304">
        <v>135500</v>
      </c>
      <c r="S31" s="305"/>
      <c r="T31" s="305"/>
      <c r="U31" s="306"/>
      <c r="V31" s="305"/>
      <c r="W31" s="301"/>
      <c r="X31" s="5"/>
    </row>
    <row r="32" spans="1:24" ht="15.6" x14ac:dyDescent="0.3">
      <c r="A32" s="287"/>
      <c r="B32" s="288" t="s">
        <v>132</v>
      </c>
      <c r="C32" s="298"/>
      <c r="D32" s="303">
        <f>D31*D38</f>
        <v>1110546.45</v>
      </c>
      <c r="E32" s="298"/>
      <c r="F32" s="299">
        <f>F31*F38</f>
        <v>92545.600000000006</v>
      </c>
      <c r="G32" s="299"/>
      <c r="H32" s="304">
        <f>H31*H38</f>
        <v>182129.7408</v>
      </c>
      <c r="I32" s="304"/>
      <c r="J32" s="303">
        <f>J31*J38</f>
        <v>296145.71999999997</v>
      </c>
      <c r="K32" s="299"/>
      <c r="L32" s="299">
        <f>+L31</f>
        <v>51900</v>
      </c>
      <c r="M32" s="299"/>
      <c r="N32" s="304">
        <f>+N31</f>
        <v>88800</v>
      </c>
      <c r="O32" s="299"/>
      <c r="P32" s="299">
        <f>+P31</f>
        <v>20000</v>
      </c>
      <c r="Q32" s="299"/>
      <c r="R32" s="304">
        <f>+R31</f>
        <v>135500</v>
      </c>
      <c r="S32" s="299"/>
      <c r="T32" s="299"/>
      <c r="U32" s="300"/>
      <c r="V32" s="299"/>
      <c r="W32" s="301"/>
      <c r="X32" s="5"/>
    </row>
    <row r="33" spans="1:24" ht="15.6" x14ac:dyDescent="0.3">
      <c r="A33" s="287"/>
      <c r="B33" s="295" t="s">
        <v>134</v>
      </c>
      <c r="C33" s="298"/>
      <c r="D33" s="307">
        <f>D37*D31</f>
        <v>1102113.1499999999</v>
      </c>
      <c r="E33" s="302"/>
      <c r="F33" s="305">
        <f>F37*F31</f>
        <v>91842.824999999997</v>
      </c>
      <c r="G33" s="305"/>
      <c r="H33" s="308">
        <f>H31*H37</f>
        <v>180746.6796</v>
      </c>
      <c r="I33" s="308"/>
      <c r="J33" s="307">
        <f>J37*J31</f>
        <v>293896.83999999997</v>
      </c>
      <c r="K33" s="305"/>
      <c r="L33" s="305">
        <f>L31*L37</f>
        <v>51900</v>
      </c>
      <c r="M33" s="305"/>
      <c r="N33" s="308">
        <f>N31*N37</f>
        <v>88800</v>
      </c>
      <c r="O33" s="305"/>
      <c r="P33" s="305">
        <f>P31*P37</f>
        <v>20000</v>
      </c>
      <c r="Q33" s="305"/>
      <c r="R33" s="308">
        <f>R31*R37</f>
        <v>135500</v>
      </c>
      <c r="S33" s="299"/>
      <c r="T33" s="299"/>
      <c r="U33" s="300"/>
      <c r="V33" s="299"/>
      <c r="W33" s="301"/>
      <c r="X33" s="5"/>
    </row>
    <row r="34" spans="1:24" ht="15.6" x14ac:dyDescent="0.3">
      <c r="A34" s="292"/>
      <c r="B34" s="288" t="s">
        <v>296</v>
      </c>
      <c r="C34" s="302"/>
      <c r="D34" s="299">
        <v>775194</v>
      </c>
      <c r="E34" s="298"/>
      <c r="F34" s="299">
        <v>125000</v>
      </c>
      <c r="G34" s="299"/>
      <c r="H34" s="299">
        <v>168148</v>
      </c>
      <c r="I34" s="299"/>
      <c r="J34" s="299">
        <v>206718</v>
      </c>
      <c r="K34" s="299"/>
      <c r="L34" s="299">
        <v>51900</v>
      </c>
      <c r="M34" s="299"/>
      <c r="N34" s="299">
        <v>60697</v>
      </c>
      <c r="O34" s="299"/>
      <c r="P34" s="299">
        <v>20000</v>
      </c>
      <c r="Q34" s="299"/>
      <c r="R34" s="299">
        <v>92618</v>
      </c>
      <c r="S34" s="305"/>
      <c r="T34" s="305"/>
      <c r="U34" s="306"/>
      <c r="V34" s="309">
        <f>SUM(C34:R34)</f>
        <v>1500275</v>
      </c>
      <c r="W34" s="301"/>
      <c r="X34" s="5"/>
    </row>
    <row r="35" spans="1:24" ht="15.6" x14ac:dyDescent="0.3">
      <c r="A35" s="292"/>
      <c r="B35" s="288" t="s">
        <v>297</v>
      </c>
      <c r="C35" s="310"/>
      <c r="D35" s="299">
        <f>D34*D38</f>
        <v>573925.96317420003</v>
      </c>
      <c r="E35" s="298"/>
      <c r="F35" s="299">
        <f>F34*F38</f>
        <v>92545.600000000006</v>
      </c>
      <c r="G35" s="299"/>
      <c r="H35" s="299">
        <f>H34*H38</f>
        <v>124490.8603904</v>
      </c>
      <c r="I35" s="299"/>
      <c r="J35" s="299">
        <f>J34*J38</f>
        <v>153046.62736739998</v>
      </c>
      <c r="K35" s="299"/>
      <c r="L35" s="299">
        <f>+L34</f>
        <v>51900</v>
      </c>
      <c r="M35" s="299"/>
      <c r="N35" s="299">
        <f>+N34</f>
        <v>60697</v>
      </c>
      <c r="O35" s="299"/>
      <c r="P35" s="299">
        <f>+P34</f>
        <v>20000</v>
      </c>
      <c r="Q35" s="299"/>
      <c r="R35" s="299">
        <f>+R34</f>
        <v>92618</v>
      </c>
      <c r="S35" s="299"/>
      <c r="T35" s="299"/>
      <c r="U35" s="300"/>
      <c r="V35" s="309">
        <f>SUM(C35:R35)</f>
        <v>1169224.0509319999</v>
      </c>
      <c r="W35" s="301"/>
      <c r="X35" s="5"/>
    </row>
    <row r="36" spans="1:24" ht="15.6" x14ac:dyDescent="0.3">
      <c r="A36" s="292"/>
      <c r="B36" s="295" t="s">
        <v>298</v>
      </c>
      <c r="C36" s="310"/>
      <c r="D36" s="305">
        <f>D34*D37</f>
        <v>569567.66746739997</v>
      </c>
      <c r="E36" s="302"/>
      <c r="F36" s="305">
        <f>F34*F37</f>
        <v>91842.824999999997</v>
      </c>
      <c r="G36" s="305"/>
      <c r="H36" s="305">
        <f>H34*H37</f>
        <v>123545.4987048</v>
      </c>
      <c r="I36" s="305"/>
      <c r="J36" s="305">
        <f>J34*J37</f>
        <v>151884.41742779998</v>
      </c>
      <c r="K36" s="305"/>
      <c r="L36" s="305">
        <f>L34*L37</f>
        <v>51900</v>
      </c>
      <c r="M36" s="305"/>
      <c r="N36" s="305">
        <f>N34*N37</f>
        <v>60697</v>
      </c>
      <c r="O36" s="305"/>
      <c r="P36" s="305">
        <f>P34*P37</f>
        <v>20000</v>
      </c>
      <c r="Q36" s="305"/>
      <c r="R36" s="305">
        <f>R34*R37</f>
        <v>92618</v>
      </c>
      <c r="S36" s="311"/>
      <c r="T36" s="311"/>
      <c r="U36" s="300"/>
      <c r="V36" s="312">
        <f>SUM(C36:R36)</f>
        <v>1162055.4086</v>
      </c>
      <c r="W36" s="301"/>
      <c r="X36" s="5"/>
    </row>
    <row r="37" spans="1:24" ht="15.6" x14ac:dyDescent="0.3">
      <c r="A37" s="287"/>
      <c r="B37" s="313" t="s">
        <v>130</v>
      </c>
      <c r="C37" s="314"/>
      <c r="D37" s="315">
        <v>0.73474209999999995</v>
      </c>
      <c r="E37" s="315"/>
      <c r="F37" s="315">
        <v>0.73474260000000002</v>
      </c>
      <c r="G37" s="315"/>
      <c r="H37" s="315">
        <v>0.73474260000000002</v>
      </c>
      <c r="I37" s="315"/>
      <c r="J37" s="315">
        <v>0.73474209999999995</v>
      </c>
      <c r="K37" s="315"/>
      <c r="L37" s="315">
        <v>1</v>
      </c>
      <c r="M37" s="315"/>
      <c r="N37" s="315">
        <v>1</v>
      </c>
      <c r="O37" s="315"/>
      <c r="P37" s="315">
        <v>1</v>
      </c>
      <c r="Q37" s="315"/>
      <c r="R37" s="315">
        <v>1</v>
      </c>
      <c r="S37" s="316"/>
      <c r="T37" s="316"/>
      <c r="U37" s="317"/>
      <c r="V37" s="317"/>
      <c r="W37" s="318"/>
      <c r="X37" s="5"/>
    </row>
    <row r="38" spans="1:24" ht="15.6" x14ac:dyDescent="0.3">
      <c r="A38" s="287"/>
      <c r="B38" s="313" t="s">
        <v>131</v>
      </c>
      <c r="C38" s="314"/>
      <c r="D38" s="315">
        <v>0.74036429999999998</v>
      </c>
      <c r="E38" s="315"/>
      <c r="F38" s="315">
        <v>0.74036480000000005</v>
      </c>
      <c r="G38" s="315"/>
      <c r="H38" s="315">
        <v>0.74036480000000005</v>
      </c>
      <c r="I38" s="315"/>
      <c r="J38" s="315">
        <v>0.74036429999999998</v>
      </c>
      <c r="K38" s="315"/>
      <c r="L38" s="315">
        <v>1</v>
      </c>
      <c r="M38" s="315"/>
      <c r="N38" s="315">
        <v>1</v>
      </c>
      <c r="O38" s="315"/>
      <c r="P38" s="315">
        <v>1</v>
      </c>
      <c r="Q38" s="315"/>
      <c r="R38" s="315">
        <v>1</v>
      </c>
      <c r="S38" s="319"/>
      <c r="T38" s="320"/>
      <c r="U38" s="317"/>
      <c r="V38" s="319"/>
      <c r="W38" s="318"/>
      <c r="X38" s="5"/>
    </row>
    <row r="39" spans="1:24" ht="15.6" x14ac:dyDescent="0.3">
      <c r="A39" s="287"/>
      <c r="B39" s="288" t="s">
        <v>11</v>
      </c>
      <c r="C39" s="288"/>
      <c r="D39" s="296" t="s">
        <v>285</v>
      </c>
      <c r="E39" s="288"/>
      <c r="F39" s="296" t="s">
        <v>258</v>
      </c>
      <c r="G39" s="296"/>
      <c r="H39" s="296" t="s">
        <v>258</v>
      </c>
      <c r="I39" s="296"/>
      <c r="J39" s="296" t="s">
        <v>258</v>
      </c>
      <c r="K39" s="296"/>
      <c r="L39" s="296" t="s">
        <v>232</v>
      </c>
      <c r="M39" s="296"/>
      <c r="N39" s="296" t="s">
        <v>232</v>
      </c>
      <c r="O39" s="296"/>
      <c r="P39" s="296" t="s">
        <v>233</v>
      </c>
      <c r="Q39" s="296"/>
      <c r="R39" s="296" t="s">
        <v>233</v>
      </c>
      <c r="S39" s="321"/>
      <c r="T39" s="322"/>
      <c r="U39" s="290"/>
      <c r="V39" s="290"/>
      <c r="W39" s="291"/>
      <c r="X39" s="5"/>
    </row>
    <row r="40" spans="1:24" ht="15.6" x14ac:dyDescent="0.3">
      <c r="A40" s="287"/>
      <c r="B40" s="288" t="s">
        <v>12</v>
      </c>
      <c r="C40" s="288"/>
      <c r="D40" s="322">
        <v>3.5344E-3</v>
      </c>
      <c r="E40" s="288"/>
      <c r="F40" s="322">
        <v>8.2468999999999997E-3</v>
      </c>
      <c r="G40" s="321"/>
      <c r="H40" s="322">
        <v>9.7900000000000001E-3</v>
      </c>
      <c r="I40" s="322"/>
      <c r="J40" s="322">
        <v>3.9218999999999999E-3</v>
      </c>
      <c r="K40" s="321"/>
      <c r="L40" s="322">
        <v>9.0469000000000001E-3</v>
      </c>
      <c r="M40" s="321"/>
      <c r="N40" s="322">
        <v>1.059E-2</v>
      </c>
      <c r="O40" s="321"/>
      <c r="P40" s="322">
        <v>1.10469E-2</v>
      </c>
      <c r="Q40" s="321"/>
      <c r="R40" s="322">
        <v>1.259E-2</v>
      </c>
      <c r="S40" s="321"/>
      <c r="T40" s="322"/>
      <c r="U40" s="290"/>
      <c r="V40" s="296"/>
      <c r="W40" s="291"/>
      <c r="X40" s="5"/>
    </row>
    <row r="41" spans="1:24" ht="15.6" x14ac:dyDescent="0.3">
      <c r="A41" s="287"/>
      <c r="B41" s="288" t="s">
        <v>13</v>
      </c>
      <c r="C41" s="288"/>
      <c r="D41" s="322">
        <v>3.7594E-3</v>
      </c>
      <c r="E41" s="288"/>
      <c r="F41" s="322">
        <v>8.3000000000000001E-3</v>
      </c>
      <c r="G41" s="321"/>
      <c r="H41" s="322">
        <v>8.1899999999999994E-3</v>
      </c>
      <c r="I41" s="322"/>
      <c r="J41" s="322">
        <v>6.3705999999999997E-3</v>
      </c>
      <c r="K41" s="321"/>
      <c r="L41" s="322">
        <v>9.1000000000000004E-3</v>
      </c>
      <c r="M41" s="321"/>
      <c r="N41" s="322">
        <v>8.9899999999999997E-3</v>
      </c>
      <c r="O41" s="321"/>
      <c r="P41" s="322">
        <v>1.11E-2</v>
      </c>
      <c r="Q41" s="321"/>
      <c r="R41" s="322">
        <v>1.099E-2</v>
      </c>
      <c r="S41" s="321"/>
      <c r="T41" s="322"/>
      <c r="U41" s="290"/>
      <c r="V41" s="321" t="s">
        <v>193</v>
      </c>
      <c r="W41" s="291"/>
      <c r="X41" s="5"/>
    </row>
    <row r="42" spans="1:24" ht="15.6" x14ac:dyDescent="0.3">
      <c r="A42" s="287"/>
      <c r="B42" s="288" t="s">
        <v>299</v>
      </c>
      <c r="C42" s="288"/>
      <c r="D42" s="296" t="s">
        <v>286</v>
      </c>
      <c r="E42" s="288"/>
      <c r="F42" s="296" t="s">
        <v>258</v>
      </c>
      <c r="G42" s="296"/>
      <c r="H42" s="296" t="s">
        <v>259</v>
      </c>
      <c r="I42" s="296"/>
      <c r="J42" s="296" t="s">
        <v>260</v>
      </c>
      <c r="K42" s="296"/>
      <c r="L42" s="296" t="s">
        <v>232</v>
      </c>
      <c r="M42" s="296"/>
      <c r="N42" s="296" t="s">
        <v>235</v>
      </c>
      <c r="O42" s="296"/>
      <c r="P42" s="296" t="s">
        <v>233</v>
      </c>
      <c r="Q42" s="296"/>
      <c r="R42" s="296" t="s">
        <v>261</v>
      </c>
      <c r="S42" s="321"/>
      <c r="T42" s="322"/>
      <c r="U42" s="290"/>
      <c r="V42" s="290"/>
      <c r="W42" s="291"/>
      <c r="X42" s="5"/>
    </row>
    <row r="43" spans="1:24" ht="15.6" x14ac:dyDescent="0.3">
      <c r="A43" s="287"/>
      <c r="B43" s="288" t="s">
        <v>300</v>
      </c>
      <c r="C43" s="323"/>
      <c r="D43" s="322">
        <v>8.5859000000000005E-3</v>
      </c>
      <c r="E43" s="322"/>
      <c r="F43" s="322">
        <f>+F40</f>
        <v>8.2468999999999997E-3</v>
      </c>
      <c r="G43" s="322"/>
      <c r="H43" s="322">
        <v>8.3868999999999992E-3</v>
      </c>
      <c r="I43" s="322"/>
      <c r="J43" s="322">
        <v>8.6099000000000002E-3</v>
      </c>
      <c r="K43" s="322"/>
      <c r="L43" s="322">
        <f>+L40</f>
        <v>9.0469000000000001E-3</v>
      </c>
      <c r="M43" s="322"/>
      <c r="N43" s="322">
        <v>9.3428999999999995E-3</v>
      </c>
      <c r="O43" s="322"/>
      <c r="P43" s="322">
        <f>+P40</f>
        <v>1.10469E-2</v>
      </c>
      <c r="Q43" s="321"/>
      <c r="R43" s="322">
        <v>1.1579900000000001E-2</v>
      </c>
      <c r="S43" s="296"/>
      <c r="T43" s="296"/>
      <c r="U43" s="290"/>
      <c r="V43" s="321">
        <f>SUMPRODUCT(D43:R43,D35:R35)/V35</f>
        <v>8.8800423418077916E-3</v>
      </c>
      <c r="W43" s="291"/>
      <c r="X43" s="5"/>
    </row>
    <row r="44" spans="1:24" ht="15.6" x14ac:dyDescent="0.3">
      <c r="A44" s="287"/>
      <c r="B44" s="288" t="s">
        <v>301</v>
      </c>
      <c r="C44" s="323"/>
      <c r="D44" s="322">
        <v>8.6390000000000008E-3</v>
      </c>
      <c r="E44" s="322"/>
      <c r="F44" s="322">
        <f>+F41</f>
        <v>8.3000000000000001E-3</v>
      </c>
      <c r="G44" s="322"/>
      <c r="H44" s="322">
        <v>8.4399999999999996E-3</v>
      </c>
      <c r="I44" s="322"/>
      <c r="J44" s="322">
        <v>8.6630000000000006E-3</v>
      </c>
      <c r="K44" s="322"/>
      <c r="L44" s="322">
        <f>+L41</f>
        <v>9.1000000000000004E-3</v>
      </c>
      <c r="M44" s="322"/>
      <c r="N44" s="322">
        <v>9.3959999999999998E-3</v>
      </c>
      <c r="O44" s="322"/>
      <c r="P44" s="322">
        <f>+P41</f>
        <v>1.11E-2</v>
      </c>
      <c r="Q44" s="321"/>
      <c r="R44" s="322">
        <v>1.1632999999999999E-2</v>
      </c>
      <c r="S44" s="296"/>
      <c r="T44" s="296"/>
      <c r="U44" s="290"/>
      <c r="V44" s="290"/>
      <c r="W44" s="291"/>
      <c r="X44" s="5"/>
    </row>
    <row r="45" spans="1:24" ht="15.6" x14ac:dyDescent="0.3">
      <c r="A45" s="287"/>
      <c r="B45" s="288" t="s">
        <v>14</v>
      </c>
      <c r="C45" s="288"/>
      <c r="D45" s="323">
        <v>40617</v>
      </c>
      <c r="E45" s="323"/>
      <c r="F45" s="323">
        <v>40617</v>
      </c>
      <c r="G45" s="323"/>
      <c r="H45" s="323">
        <v>40617</v>
      </c>
      <c r="I45" s="323"/>
      <c r="J45" s="323">
        <v>40617</v>
      </c>
      <c r="K45" s="323"/>
      <c r="L45" s="323">
        <v>40617</v>
      </c>
      <c r="M45" s="323"/>
      <c r="N45" s="323">
        <v>40617</v>
      </c>
      <c r="O45" s="323"/>
      <c r="P45" s="323">
        <v>40617</v>
      </c>
      <c r="Q45" s="323"/>
      <c r="R45" s="323">
        <v>40617</v>
      </c>
      <c r="S45" s="296"/>
      <c r="T45" s="296"/>
      <c r="U45" s="290"/>
      <c r="V45" s="290"/>
      <c r="W45" s="291"/>
      <c r="X45" s="5"/>
    </row>
    <row r="46" spans="1:24" ht="15.6" x14ac:dyDescent="0.3">
      <c r="A46" s="287"/>
      <c r="B46" s="288" t="s">
        <v>15</v>
      </c>
      <c r="C46" s="288"/>
      <c r="D46" s="323" t="s">
        <v>118</v>
      </c>
      <c r="E46" s="323"/>
      <c r="F46" s="323">
        <v>40983</v>
      </c>
      <c r="G46" s="323"/>
      <c r="H46" s="323">
        <v>40983</v>
      </c>
      <c r="I46" s="323"/>
      <c r="J46" s="323">
        <v>40983</v>
      </c>
      <c r="K46" s="296"/>
      <c r="L46" s="323">
        <v>40983</v>
      </c>
      <c r="M46" s="296"/>
      <c r="N46" s="323">
        <v>40983</v>
      </c>
      <c r="O46" s="296"/>
      <c r="P46" s="323">
        <v>40983</v>
      </c>
      <c r="Q46" s="296"/>
      <c r="R46" s="323">
        <v>40983</v>
      </c>
      <c r="S46" s="296"/>
      <c r="T46" s="296"/>
      <c r="U46" s="290"/>
      <c r="V46" s="290"/>
      <c r="W46" s="291"/>
      <c r="X46" s="5"/>
    </row>
    <row r="47" spans="1:24" ht="15.6" x14ac:dyDescent="0.3">
      <c r="A47" s="287"/>
      <c r="B47" s="288" t="s">
        <v>119</v>
      </c>
      <c r="C47" s="288"/>
      <c r="D47" s="324" t="s">
        <v>118</v>
      </c>
      <c r="E47" s="288"/>
      <c r="F47" s="296" t="s">
        <v>231</v>
      </c>
      <c r="G47" s="296"/>
      <c r="H47" s="296" t="s">
        <v>231</v>
      </c>
      <c r="I47" s="296"/>
      <c r="J47" s="296" t="s">
        <v>231</v>
      </c>
      <c r="K47" s="296"/>
      <c r="L47" s="296" t="s">
        <v>265</v>
      </c>
      <c r="M47" s="296"/>
      <c r="N47" s="296" t="s">
        <v>265</v>
      </c>
      <c r="O47" s="296"/>
      <c r="P47" s="296" t="s">
        <v>266</v>
      </c>
      <c r="Q47" s="296"/>
      <c r="R47" s="296" t="s">
        <v>266</v>
      </c>
      <c r="S47" s="325"/>
      <c r="T47" s="325"/>
      <c r="U47" s="325"/>
      <c r="V47" s="325"/>
      <c r="W47" s="291"/>
      <c r="X47" s="5"/>
    </row>
    <row r="48" spans="1:24" ht="15.6" x14ac:dyDescent="0.3">
      <c r="A48" s="287"/>
      <c r="B48" s="288" t="s">
        <v>302</v>
      </c>
      <c r="C48" s="288"/>
      <c r="D48" s="296" t="s">
        <v>200</v>
      </c>
      <c r="E48" s="288"/>
      <c r="F48" s="296" t="s">
        <v>231</v>
      </c>
      <c r="G48" s="296"/>
      <c r="H48" s="296" t="s">
        <v>262</v>
      </c>
      <c r="I48" s="296"/>
      <c r="J48" s="296" t="s">
        <v>263</v>
      </c>
      <c r="K48" s="296"/>
      <c r="L48" s="296" t="s">
        <v>265</v>
      </c>
      <c r="M48" s="296"/>
      <c r="N48" s="296" t="s">
        <v>234</v>
      </c>
      <c r="O48" s="296"/>
      <c r="P48" s="296" t="s">
        <v>266</v>
      </c>
      <c r="Q48" s="296"/>
      <c r="R48" s="296" t="s">
        <v>264</v>
      </c>
      <c r="S48" s="288"/>
      <c r="T48" s="288"/>
      <c r="U48" s="288"/>
      <c r="V48" s="321"/>
      <c r="W48" s="291"/>
      <c r="X48" s="5"/>
    </row>
    <row r="49" spans="1:25" ht="15.6" x14ac:dyDescent="0.3">
      <c r="A49" s="287"/>
      <c r="B49" s="288"/>
      <c r="C49" s="288"/>
      <c r="D49" s="296"/>
      <c r="E49" s="288"/>
      <c r="F49" s="296"/>
      <c r="G49" s="296"/>
      <c r="H49" s="296"/>
      <c r="I49" s="296"/>
      <c r="J49" s="296"/>
      <c r="K49" s="296"/>
      <c r="L49" s="296"/>
      <c r="M49" s="296"/>
      <c r="N49" s="296"/>
      <c r="O49" s="296"/>
      <c r="P49" s="296"/>
      <c r="Q49" s="296"/>
      <c r="R49" s="296"/>
      <c r="S49" s="288"/>
      <c r="T49" s="288"/>
      <c r="U49" s="288"/>
      <c r="V49" s="321" t="s">
        <v>193</v>
      </c>
      <c r="W49" s="291"/>
      <c r="X49" s="5"/>
    </row>
    <row r="50" spans="1:25" ht="15.6" x14ac:dyDescent="0.3">
      <c r="A50" s="287"/>
      <c r="B50" s="288" t="s">
        <v>169</v>
      </c>
      <c r="C50" s="288"/>
      <c r="D50" s="296"/>
      <c r="E50" s="288"/>
      <c r="F50" s="296"/>
      <c r="G50" s="296"/>
      <c r="H50" s="296"/>
      <c r="I50" s="296"/>
      <c r="J50" s="296"/>
      <c r="K50" s="296"/>
      <c r="L50" s="296"/>
      <c r="M50" s="296"/>
      <c r="N50" s="296"/>
      <c r="O50" s="296"/>
      <c r="P50" s="296"/>
      <c r="Q50" s="296"/>
      <c r="R50" s="296"/>
      <c r="S50" s="288"/>
      <c r="T50" s="288"/>
      <c r="U50" s="288"/>
      <c r="V50" s="321">
        <f>SUM(L34:R34)/SUM(D34:J34)</f>
        <v>0.17663090364375009</v>
      </c>
      <c r="W50" s="291"/>
      <c r="X50" s="5"/>
    </row>
    <row r="51" spans="1:25" ht="15.6" x14ac:dyDescent="0.3">
      <c r="A51" s="287"/>
      <c r="B51" s="288" t="s">
        <v>170</v>
      </c>
      <c r="C51" s="288"/>
      <c r="D51" s="288"/>
      <c r="E51" s="288"/>
      <c r="F51" s="326"/>
      <c r="G51" s="288"/>
      <c r="H51" s="288"/>
      <c r="I51" s="288"/>
      <c r="J51" s="288"/>
      <c r="K51" s="288"/>
      <c r="L51" s="288"/>
      <c r="M51" s="288"/>
      <c r="N51" s="288"/>
      <c r="O51" s="288"/>
      <c r="P51" s="288"/>
      <c r="Q51" s="288"/>
      <c r="R51" s="288"/>
      <c r="S51" s="288"/>
      <c r="T51" s="288"/>
      <c r="U51" s="288"/>
      <c r="V51" s="321">
        <f>SUM(L36:R36)/SUM(D36:J36)</f>
        <v>0.24039846908029711</v>
      </c>
      <c r="W51" s="291"/>
      <c r="X51" s="5"/>
    </row>
    <row r="52" spans="1:25" ht="15.6" x14ac:dyDescent="0.3">
      <c r="A52" s="287"/>
      <c r="B52" s="288" t="s">
        <v>171</v>
      </c>
      <c r="C52" s="288"/>
      <c r="D52" s="288"/>
      <c r="E52" s="288"/>
      <c r="F52" s="288"/>
      <c r="G52" s="288"/>
      <c r="H52" s="288"/>
      <c r="I52" s="288"/>
      <c r="J52" s="288"/>
      <c r="K52" s="288"/>
      <c r="L52" s="288"/>
      <c r="M52" s="288"/>
      <c r="N52" s="288"/>
      <c r="O52" s="288"/>
      <c r="P52" s="288"/>
      <c r="Q52" s="288"/>
      <c r="R52" s="288"/>
      <c r="S52" s="288"/>
      <c r="T52" s="296"/>
      <c r="U52" s="296"/>
      <c r="V52" s="299" t="s">
        <v>276</v>
      </c>
      <c r="W52" s="291"/>
      <c r="X52" s="5"/>
    </row>
    <row r="53" spans="1:25" ht="15.6" x14ac:dyDescent="0.3">
      <c r="A53" s="287"/>
      <c r="B53" s="288"/>
      <c r="C53" s="288"/>
      <c r="D53" s="288"/>
      <c r="E53" s="288"/>
      <c r="F53" s="288"/>
      <c r="G53" s="288"/>
      <c r="H53" s="288"/>
      <c r="I53" s="288"/>
      <c r="J53" s="288"/>
      <c r="K53" s="288"/>
      <c r="L53" s="288"/>
      <c r="M53" s="288"/>
      <c r="N53" s="288"/>
      <c r="O53" s="288"/>
      <c r="P53" s="288"/>
      <c r="Q53" s="288"/>
      <c r="R53" s="288"/>
      <c r="S53" s="288"/>
      <c r="T53" s="288"/>
      <c r="U53" s="288"/>
      <c r="V53" s="327"/>
      <c r="W53" s="291"/>
      <c r="X53" s="5"/>
    </row>
    <row r="54" spans="1:25" ht="15.6" x14ac:dyDescent="0.3">
      <c r="A54" s="287"/>
      <c r="B54" s="288" t="s">
        <v>202</v>
      </c>
      <c r="C54" s="288"/>
      <c r="D54" s="288"/>
      <c r="E54" s="288"/>
      <c r="F54" s="288"/>
      <c r="G54" s="288"/>
      <c r="H54" s="288"/>
      <c r="I54" s="288"/>
      <c r="J54" s="288"/>
      <c r="K54" s="288"/>
      <c r="L54" s="288"/>
      <c r="M54" s="288"/>
      <c r="N54" s="288"/>
      <c r="O54" s="288"/>
      <c r="P54" s="288"/>
      <c r="Q54" s="288"/>
      <c r="R54" s="288"/>
      <c r="S54" s="288"/>
      <c r="T54" s="288"/>
      <c r="U54" s="288"/>
      <c r="V54" s="328" t="s">
        <v>203</v>
      </c>
      <c r="W54" s="291"/>
      <c r="X54" s="5"/>
    </row>
    <row r="55" spans="1:25" ht="15.6" x14ac:dyDescent="0.3">
      <c r="A55" s="287"/>
      <c r="B55" s="288" t="s">
        <v>280</v>
      </c>
      <c r="C55" s="288"/>
      <c r="D55" s="288"/>
      <c r="E55" s="288"/>
      <c r="F55" s="288"/>
      <c r="G55" s="288"/>
      <c r="H55" s="288"/>
      <c r="I55" s="288"/>
      <c r="J55" s="288"/>
      <c r="K55" s="288"/>
      <c r="L55" s="288"/>
      <c r="M55" s="288"/>
      <c r="N55" s="288"/>
      <c r="O55" s="288"/>
      <c r="P55" s="288"/>
      <c r="Q55" s="288"/>
      <c r="R55" s="288"/>
      <c r="S55" s="288"/>
      <c r="T55" s="296"/>
      <c r="U55" s="296"/>
      <c r="V55" s="329" t="s">
        <v>111</v>
      </c>
      <c r="W55" s="291"/>
      <c r="X55" s="5"/>
    </row>
    <row r="56" spans="1:25" ht="15.6" x14ac:dyDescent="0.3">
      <c r="A56" s="287"/>
      <c r="B56" s="295" t="s">
        <v>201</v>
      </c>
      <c r="C56" s="295"/>
      <c r="D56" s="295"/>
      <c r="E56" s="295"/>
      <c r="F56" s="295"/>
      <c r="G56" s="295"/>
      <c r="H56" s="295"/>
      <c r="I56" s="295"/>
      <c r="J56" s="295"/>
      <c r="K56" s="295"/>
      <c r="L56" s="295"/>
      <c r="M56" s="295"/>
      <c r="N56" s="295"/>
      <c r="O56" s="295"/>
      <c r="P56" s="295"/>
      <c r="Q56" s="295"/>
      <c r="R56" s="295"/>
      <c r="S56" s="295"/>
      <c r="T56" s="330"/>
      <c r="U56" s="330"/>
      <c r="V56" s="331">
        <v>40527</v>
      </c>
      <c r="W56" s="291"/>
      <c r="X56" s="5"/>
    </row>
    <row r="57" spans="1:25" ht="15.6" x14ac:dyDescent="0.3">
      <c r="A57" s="287"/>
      <c r="B57" s="288" t="s">
        <v>121</v>
      </c>
      <c r="C57" s="288"/>
      <c r="D57" s="288"/>
      <c r="E57" s="288"/>
      <c r="F57" s="288"/>
      <c r="G57" s="288"/>
      <c r="H57" s="332"/>
      <c r="I57" s="332"/>
      <c r="J57" s="332"/>
      <c r="K57" s="332"/>
      <c r="L57" s="332"/>
      <c r="M57" s="332"/>
      <c r="N57" s="332"/>
      <c r="O57" s="332"/>
      <c r="P57" s="332"/>
      <c r="Q57" s="332"/>
      <c r="R57" s="288">
        <f>+V57-T57+1</f>
        <v>92</v>
      </c>
      <c r="S57" s="332"/>
      <c r="T57" s="333">
        <v>40344</v>
      </c>
      <c r="U57" s="334"/>
      <c r="V57" s="333">
        <v>40435</v>
      </c>
      <c r="W57" s="291"/>
      <c r="X57" s="5"/>
    </row>
    <row r="58" spans="1:25" ht="15.6" x14ac:dyDescent="0.3">
      <c r="A58" s="287"/>
      <c r="B58" s="288" t="s">
        <v>122</v>
      </c>
      <c r="C58" s="288"/>
      <c r="D58" s="288"/>
      <c r="E58" s="288"/>
      <c r="F58" s="288"/>
      <c r="G58" s="288"/>
      <c r="H58" s="288"/>
      <c r="I58" s="288"/>
      <c r="J58" s="288"/>
      <c r="K58" s="288"/>
      <c r="L58" s="288"/>
      <c r="M58" s="288"/>
      <c r="N58" s="288"/>
      <c r="O58" s="288"/>
      <c r="P58" s="288"/>
      <c r="Q58" s="288"/>
      <c r="R58" s="288">
        <f>+V58-T58+1</f>
        <v>91</v>
      </c>
      <c r="S58" s="288"/>
      <c r="T58" s="333">
        <v>40436</v>
      </c>
      <c r="U58" s="334"/>
      <c r="V58" s="333">
        <v>40526</v>
      </c>
      <c r="W58" s="291"/>
      <c r="X58" s="5"/>
    </row>
    <row r="59" spans="1:25" ht="15.6" x14ac:dyDescent="0.3">
      <c r="A59" s="287"/>
      <c r="B59" s="288" t="s">
        <v>229</v>
      </c>
      <c r="C59" s="288"/>
      <c r="D59" s="288"/>
      <c r="E59" s="288"/>
      <c r="F59" s="288"/>
      <c r="G59" s="288"/>
      <c r="H59" s="288"/>
      <c r="I59" s="288"/>
      <c r="J59" s="288"/>
      <c r="K59" s="288"/>
      <c r="L59" s="288"/>
      <c r="M59" s="288"/>
      <c r="N59" s="288"/>
      <c r="O59" s="288"/>
      <c r="P59" s="288"/>
      <c r="Q59" s="288"/>
      <c r="R59" s="288"/>
      <c r="S59" s="288"/>
      <c r="T59" s="333"/>
      <c r="U59" s="334"/>
      <c r="V59" s="333" t="s">
        <v>120</v>
      </c>
      <c r="W59" s="291"/>
      <c r="X59" s="5"/>
    </row>
    <row r="60" spans="1:25" ht="15.6" x14ac:dyDescent="0.3">
      <c r="A60" s="287"/>
      <c r="B60" s="288" t="s">
        <v>228</v>
      </c>
      <c r="C60" s="288"/>
      <c r="D60" s="288"/>
      <c r="E60" s="288"/>
      <c r="F60" s="288"/>
      <c r="G60" s="288"/>
      <c r="H60" s="288"/>
      <c r="I60" s="288"/>
      <c r="J60" s="288"/>
      <c r="K60" s="288"/>
      <c r="L60" s="288"/>
      <c r="M60" s="288"/>
      <c r="N60" s="288"/>
      <c r="O60" s="288"/>
      <c r="P60" s="288"/>
      <c r="Q60" s="288"/>
      <c r="R60" s="288"/>
      <c r="S60" s="288"/>
      <c r="T60" s="333"/>
      <c r="U60" s="334"/>
      <c r="V60" s="333" t="s">
        <v>154</v>
      </c>
      <c r="W60" s="291"/>
      <c r="X60" s="5"/>
      <c r="Y60" s="134"/>
    </row>
    <row r="61" spans="1:25" ht="15.6" x14ac:dyDescent="0.3">
      <c r="A61" s="287"/>
      <c r="B61" s="288" t="s">
        <v>16</v>
      </c>
      <c r="C61" s="288"/>
      <c r="D61" s="288"/>
      <c r="E61" s="288"/>
      <c r="F61" s="288"/>
      <c r="G61" s="288"/>
      <c r="H61" s="288"/>
      <c r="I61" s="288"/>
      <c r="J61" s="288"/>
      <c r="K61" s="288"/>
      <c r="L61" s="288"/>
      <c r="M61" s="288"/>
      <c r="N61" s="288"/>
      <c r="O61" s="288"/>
      <c r="P61" s="288"/>
      <c r="Q61" s="288"/>
      <c r="R61" s="288"/>
      <c r="S61" s="288"/>
      <c r="T61" s="333"/>
      <c r="U61" s="334"/>
      <c r="V61" s="333">
        <v>40513</v>
      </c>
      <c r="W61" s="291"/>
      <c r="X61" s="5"/>
    </row>
    <row r="62" spans="1:25" ht="15.6" x14ac:dyDescent="0.3">
      <c r="A62" s="183"/>
      <c r="B62" s="284"/>
      <c r="C62" s="284"/>
      <c r="D62" s="284"/>
      <c r="E62" s="284"/>
      <c r="F62" s="284"/>
      <c r="G62" s="284"/>
      <c r="H62" s="284"/>
      <c r="I62" s="284"/>
      <c r="J62" s="284"/>
      <c r="K62" s="284"/>
      <c r="L62" s="284"/>
      <c r="M62" s="284"/>
      <c r="N62" s="284"/>
      <c r="O62" s="284"/>
      <c r="P62" s="284"/>
      <c r="Q62" s="284"/>
      <c r="R62" s="284"/>
      <c r="S62" s="284"/>
      <c r="T62" s="285"/>
      <c r="U62" s="286"/>
      <c r="V62" s="285"/>
      <c r="W62" s="284"/>
      <c r="X62" s="5"/>
    </row>
    <row r="63" spans="1:25" ht="15.6" x14ac:dyDescent="0.3">
      <c r="A63" s="183"/>
      <c r="B63" s="224"/>
      <c r="C63" s="224"/>
      <c r="D63" s="224"/>
      <c r="E63" s="224"/>
      <c r="F63" s="224"/>
      <c r="G63" s="224"/>
      <c r="H63" s="224"/>
      <c r="I63" s="224"/>
      <c r="J63" s="224"/>
      <c r="K63" s="224"/>
      <c r="L63" s="224"/>
      <c r="M63" s="224"/>
      <c r="N63" s="224"/>
      <c r="O63" s="224"/>
      <c r="P63" s="224"/>
      <c r="Q63" s="224"/>
      <c r="R63" s="224"/>
      <c r="S63" s="224"/>
      <c r="T63" s="235"/>
      <c r="U63" s="236"/>
      <c r="V63" s="235"/>
      <c r="W63" s="224"/>
      <c r="X63" s="5"/>
    </row>
    <row r="64" spans="1:25" ht="18" thickBot="1" x14ac:dyDescent="0.35">
      <c r="A64" s="199"/>
      <c r="B64" s="237" t="s">
        <v>309</v>
      </c>
      <c r="C64" s="238"/>
      <c r="D64" s="238"/>
      <c r="E64" s="238"/>
      <c r="F64" s="238"/>
      <c r="G64" s="238"/>
      <c r="H64" s="238"/>
      <c r="I64" s="238"/>
      <c r="J64" s="238"/>
      <c r="K64" s="238"/>
      <c r="L64" s="238"/>
      <c r="M64" s="238"/>
      <c r="N64" s="238"/>
      <c r="O64" s="238"/>
      <c r="P64" s="238"/>
      <c r="Q64" s="238"/>
      <c r="R64" s="238"/>
      <c r="S64" s="238"/>
      <c r="T64" s="238"/>
      <c r="U64" s="238"/>
      <c r="V64" s="239"/>
      <c r="W64" s="240"/>
      <c r="X64" s="5"/>
    </row>
    <row r="65" spans="1:24" ht="15.6" x14ac:dyDescent="0.3">
      <c r="A65" s="262"/>
      <c r="B65" s="269" t="s">
        <v>17</v>
      </c>
      <c r="C65" s="263"/>
      <c r="D65" s="263"/>
      <c r="E65" s="263"/>
      <c r="F65" s="263"/>
      <c r="G65" s="263"/>
      <c r="H65" s="263"/>
      <c r="I65" s="263"/>
      <c r="J65" s="263"/>
      <c r="K65" s="263"/>
      <c r="L65" s="263"/>
      <c r="M65" s="263"/>
      <c r="N65" s="263"/>
      <c r="O65" s="263"/>
      <c r="P65" s="263"/>
      <c r="Q65" s="263"/>
      <c r="R65" s="263"/>
      <c r="S65" s="263"/>
      <c r="T65" s="263"/>
      <c r="U65" s="263"/>
      <c r="V65" s="268"/>
      <c r="W65" s="263"/>
      <c r="X65" s="5"/>
    </row>
    <row r="66" spans="1:24" ht="15.6" x14ac:dyDescent="0.3">
      <c r="A66" s="183"/>
      <c r="B66" s="191"/>
      <c r="C66" s="185"/>
      <c r="D66" s="185"/>
      <c r="E66" s="185"/>
      <c r="F66" s="185"/>
      <c r="G66" s="185"/>
      <c r="H66" s="185"/>
      <c r="I66" s="185"/>
      <c r="J66" s="185"/>
      <c r="K66" s="185"/>
      <c r="L66" s="185"/>
      <c r="M66" s="185"/>
      <c r="N66" s="185"/>
      <c r="O66" s="185"/>
      <c r="P66" s="185"/>
      <c r="Q66" s="185"/>
      <c r="R66" s="185"/>
      <c r="S66" s="185"/>
      <c r="T66" s="185"/>
      <c r="U66" s="185"/>
      <c r="V66" s="201"/>
      <c r="W66" s="185"/>
      <c r="X66" s="5"/>
    </row>
    <row r="67" spans="1:24" ht="46.8" x14ac:dyDescent="0.3">
      <c r="A67" s="183"/>
      <c r="B67" s="202" t="s">
        <v>18</v>
      </c>
      <c r="C67" s="203"/>
      <c r="D67" s="203"/>
      <c r="E67" s="203"/>
      <c r="F67" s="203"/>
      <c r="G67" s="203"/>
      <c r="H67" s="203"/>
      <c r="I67" s="203"/>
      <c r="J67" s="203"/>
      <c r="K67" s="203"/>
      <c r="L67" s="203" t="s">
        <v>94</v>
      </c>
      <c r="M67" s="203"/>
      <c r="N67" s="203" t="s">
        <v>96</v>
      </c>
      <c r="O67" s="203"/>
      <c r="P67" s="203" t="s">
        <v>98</v>
      </c>
      <c r="Q67" s="203"/>
      <c r="R67" s="203" t="s">
        <v>100</v>
      </c>
      <c r="S67" s="203"/>
      <c r="T67" s="203" t="s">
        <v>106</v>
      </c>
      <c r="U67" s="203"/>
      <c r="V67" s="204" t="s">
        <v>112</v>
      </c>
      <c r="W67" s="205"/>
      <c r="X67" s="5"/>
    </row>
    <row r="68" spans="1:24" ht="15.6" x14ac:dyDescent="0.3">
      <c r="A68" s="287"/>
      <c r="B68" s="288" t="s">
        <v>19</v>
      </c>
      <c r="C68" s="337"/>
      <c r="D68" s="337"/>
      <c r="E68" s="337"/>
      <c r="F68" s="337"/>
      <c r="G68" s="337"/>
      <c r="H68" s="337"/>
      <c r="I68" s="337"/>
      <c r="J68" s="337"/>
      <c r="K68" s="337"/>
      <c r="L68" s="337">
        <v>1158015</v>
      </c>
      <c r="M68" s="337"/>
      <c r="N68" s="338">
        <v>1169224</v>
      </c>
      <c r="O68" s="337"/>
      <c r="P68" s="337">
        <f>7169+31+301</f>
        <v>7501</v>
      </c>
      <c r="Q68" s="337"/>
      <c r="R68" s="337">
        <f>31+301</f>
        <v>332</v>
      </c>
      <c r="S68" s="337"/>
      <c r="T68" s="337">
        <v>0</v>
      </c>
      <c r="U68" s="337"/>
      <c r="V68" s="338">
        <f>+N68-P68+R68-T68</f>
        <v>1162055</v>
      </c>
      <c r="W68" s="291"/>
      <c r="X68" s="5"/>
    </row>
    <row r="69" spans="1:24" ht="15.6" x14ac:dyDescent="0.3">
      <c r="A69" s="287"/>
      <c r="B69" s="288" t="s">
        <v>20</v>
      </c>
      <c r="C69" s="337"/>
      <c r="D69" s="337"/>
      <c r="E69" s="337"/>
      <c r="F69" s="337"/>
      <c r="G69" s="337"/>
      <c r="H69" s="337"/>
      <c r="I69" s="337"/>
      <c r="J69" s="337"/>
      <c r="K69" s="337"/>
      <c r="L69" s="337">
        <v>15</v>
      </c>
      <c r="M69" s="337"/>
      <c r="N69" s="338">
        <v>0</v>
      </c>
      <c r="O69" s="337"/>
      <c r="P69" s="337">
        <v>0</v>
      </c>
      <c r="Q69" s="337"/>
      <c r="R69" s="337">
        <v>0</v>
      </c>
      <c r="S69" s="337"/>
      <c r="T69" s="337">
        <v>0</v>
      </c>
      <c r="U69" s="337"/>
      <c r="V69" s="338">
        <v>0</v>
      </c>
      <c r="W69" s="291"/>
      <c r="X69" s="5"/>
    </row>
    <row r="70" spans="1:24" ht="15.6" x14ac:dyDescent="0.3">
      <c r="A70" s="287"/>
      <c r="B70" s="288"/>
      <c r="C70" s="337"/>
      <c r="D70" s="337"/>
      <c r="E70" s="337"/>
      <c r="F70" s="337"/>
      <c r="G70" s="337"/>
      <c r="H70" s="337"/>
      <c r="I70" s="337"/>
      <c r="J70" s="337"/>
      <c r="K70" s="337"/>
      <c r="L70" s="337"/>
      <c r="M70" s="337"/>
      <c r="N70" s="338"/>
      <c r="O70" s="337"/>
      <c r="P70" s="337"/>
      <c r="Q70" s="337"/>
      <c r="R70" s="337"/>
      <c r="S70" s="337"/>
      <c r="T70" s="337"/>
      <c r="U70" s="337"/>
      <c r="V70" s="338"/>
      <c r="W70" s="291"/>
      <c r="X70" s="5"/>
    </row>
    <row r="71" spans="1:24" ht="15.6" x14ac:dyDescent="0.3">
      <c r="A71" s="287"/>
      <c r="B71" s="288" t="s">
        <v>21</v>
      </c>
      <c r="C71" s="337"/>
      <c r="D71" s="337"/>
      <c r="E71" s="337"/>
      <c r="F71" s="337"/>
      <c r="G71" s="337"/>
      <c r="H71" s="337"/>
      <c r="I71" s="337"/>
      <c r="J71" s="337"/>
      <c r="K71" s="337"/>
      <c r="L71" s="337">
        <f>SUM(L68:L70)</f>
        <v>1158030</v>
      </c>
      <c r="M71" s="337"/>
      <c r="N71" s="337">
        <f>N68+N69</f>
        <v>1169224</v>
      </c>
      <c r="O71" s="337"/>
      <c r="P71" s="337">
        <f>SUM(P68:P70)</f>
        <v>7501</v>
      </c>
      <c r="Q71" s="337"/>
      <c r="R71" s="337">
        <f>SUM(R68:R70)</f>
        <v>332</v>
      </c>
      <c r="S71" s="337"/>
      <c r="T71" s="337">
        <f>SUM(T68:T70)</f>
        <v>0</v>
      </c>
      <c r="U71" s="337"/>
      <c r="V71" s="337">
        <f>SUM(V68:V70)</f>
        <v>1162055</v>
      </c>
      <c r="W71" s="291"/>
      <c r="X71" s="5"/>
    </row>
    <row r="72" spans="1:24" ht="15.6" x14ac:dyDescent="0.3">
      <c r="A72" s="183"/>
      <c r="B72" s="198"/>
      <c r="C72" s="335"/>
      <c r="D72" s="335"/>
      <c r="E72" s="335"/>
      <c r="F72" s="335"/>
      <c r="G72" s="335"/>
      <c r="H72" s="335"/>
      <c r="I72" s="335"/>
      <c r="J72" s="335"/>
      <c r="K72" s="335"/>
      <c r="L72" s="335"/>
      <c r="M72" s="335"/>
      <c r="N72" s="335"/>
      <c r="O72" s="335"/>
      <c r="P72" s="335"/>
      <c r="Q72" s="335"/>
      <c r="R72" s="335"/>
      <c r="S72" s="335"/>
      <c r="T72" s="335"/>
      <c r="U72" s="335"/>
      <c r="V72" s="336"/>
      <c r="W72" s="198"/>
      <c r="X72" s="5"/>
    </row>
    <row r="73" spans="1:24" ht="15.6" x14ac:dyDescent="0.3">
      <c r="A73" s="183"/>
      <c r="B73" s="187" t="s">
        <v>22</v>
      </c>
      <c r="C73" s="206"/>
      <c r="D73" s="206"/>
      <c r="E73" s="206"/>
      <c r="F73" s="206"/>
      <c r="G73" s="206"/>
      <c r="H73" s="206"/>
      <c r="I73" s="206"/>
      <c r="J73" s="206"/>
      <c r="K73" s="206"/>
      <c r="L73" s="206"/>
      <c r="M73" s="206"/>
      <c r="N73" s="206"/>
      <c r="O73" s="206"/>
      <c r="P73" s="206"/>
      <c r="Q73" s="206"/>
      <c r="R73" s="206"/>
      <c r="S73" s="206"/>
      <c r="T73" s="206"/>
      <c r="U73" s="206"/>
      <c r="V73" s="207"/>
      <c r="W73" s="185"/>
      <c r="X73" s="5"/>
    </row>
    <row r="74" spans="1:24" ht="15.6" x14ac:dyDescent="0.3">
      <c r="A74" s="183"/>
      <c r="B74" s="185"/>
      <c r="C74" s="206"/>
      <c r="D74" s="206"/>
      <c r="E74" s="206"/>
      <c r="F74" s="206"/>
      <c r="G74" s="206"/>
      <c r="H74" s="206"/>
      <c r="I74" s="206"/>
      <c r="J74" s="206"/>
      <c r="K74" s="206"/>
      <c r="L74" s="206"/>
      <c r="M74" s="206"/>
      <c r="N74" s="206"/>
      <c r="O74" s="206"/>
      <c r="P74" s="206"/>
      <c r="Q74" s="206"/>
      <c r="R74" s="206"/>
      <c r="S74" s="206"/>
      <c r="T74" s="206"/>
      <c r="U74" s="206"/>
      <c r="V74" s="207"/>
      <c r="W74" s="185"/>
      <c r="X74" s="5"/>
    </row>
    <row r="75" spans="1:24" ht="15.6" x14ac:dyDescent="0.3">
      <c r="A75" s="340"/>
      <c r="B75" s="288" t="s">
        <v>19</v>
      </c>
      <c r="C75" s="337"/>
      <c r="D75" s="337"/>
      <c r="E75" s="337"/>
      <c r="F75" s="337"/>
      <c r="G75" s="337"/>
      <c r="H75" s="337"/>
      <c r="I75" s="337"/>
      <c r="J75" s="337"/>
      <c r="K75" s="337"/>
      <c r="L75" s="337"/>
      <c r="M75" s="337"/>
      <c r="N75" s="337"/>
      <c r="O75" s="337"/>
      <c r="P75" s="337"/>
      <c r="Q75" s="337"/>
      <c r="R75" s="337"/>
      <c r="S75" s="337"/>
      <c r="T75" s="337"/>
      <c r="U75" s="337"/>
      <c r="V75" s="337"/>
      <c r="W75" s="291"/>
      <c r="X75" s="5"/>
    </row>
    <row r="76" spans="1:24" ht="15.6" x14ac:dyDescent="0.3">
      <c r="A76" s="340"/>
      <c r="B76" s="288" t="s">
        <v>20</v>
      </c>
      <c r="C76" s="337"/>
      <c r="D76" s="337"/>
      <c r="E76" s="337"/>
      <c r="F76" s="337"/>
      <c r="G76" s="337"/>
      <c r="H76" s="337"/>
      <c r="I76" s="337"/>
      <c r="J76" s="337"/>
      <c r="K76" s="337"/>
      <c r="L76" s="337"/>
      <c r="M76" s="337"/>
      <c r="N76" s="337"/>
      <c r="O76" s="337"/>
      <c r="P76" s="337"/>
      <c r="Q76" s="337"/>
      <c r="R76" s="337"/>
      <c r="S76" s="337"/>
      <c r="T76" s="337"/>
      <c r="U76" s="337"/>
      <c r="V76" s="337"/>
      <c r="W76" s="291"/>
      <c r="X76" s="5"/>
    </row>
    <row r="77" spans="1:24" ht="15.6" x14ac:dyDescent="0.3">
      <c r="A77" s="340"/>
      <c r="B77" s="288"/>
      <c r="C77" s="337"/>
      <c r="D77" s="337"/>
      <c r="E77" s="337"/>
      <c r="F77" s="337"/>
      <c r="G77" s="337"/>
      <c r="H77" s="337"/>
      <c r="I77" s="337"/>
      <c r="J77" s="337"/>
      <c r="K77" s="337"/>
      <c r="L77" s="337"/>
      <c r="M77" s="337"/>
      <c r="N77" s="337"/>
      <c r="O77" s="337"/>
      <c r="P77" s="337"/>
      <c r="Q77" s="337"/>
      <c r="R77" s="337"/>
      <c r="S77" s="337"/>
      <c r="T77" s="337"/>
      <c r="U77" s="337"/>
      <c r="V77" s="337"/>
      <c r="W77" s="291"/>
      <c r="X77" s="5"/>
    </row>
    <row r="78" spans="1:24" ht="15.6" x14ac:dyDescent="0.3">
      <c r="A78" s="340"/>
      <c r="B78" s="288" t="s">
        <v>21</v>
      </c>
      <c r="C78" s="337"/>
      <c r="D78" s="337"/>
      <c r="E78" s="337"/>
      <c r="F78" s="337"/>
      <c r="G78" s="337"/>
      <c r="H78" s="337"/>
      <c r="I78" s="337"/>
      <c r="J78" s="337"/>
      <c r="K78" s="337"/>
      <c r="L78" s="337"/>
      <c r="M78" s="337"/>
      <c r="N78" s="337"/>
      <c r="O78" s="337"/>
      <c r="P78" s="337"/>
      <c r="Q78" s="337"/>
      <c r="R78" s="337"/>
      <c r="S78" s="337"/>
      <c r="T78" s="337"/>
      <c r="U78" s="337"/>
      <c r="V78" s="337"/>
      <c r="W78" s="291"/>
      <c r="X78" s="5"/>
    </row>
    <row r="79" spans="1:24" ht="15.6" x14ac:dyDescent="0.3">
      <c r="A79" s="340"/>
      <c r="B79" s="288"/>
      <c r="C79" s="337"/>
      <c r="D79" s="337"/>
      <c r="E79" s="337"/>
      <c r="F79" s="337"/>
      <c r="G79" s="337"/>
      <c r="H79" s="337"/>
      <c r="I79" s="337"/>
      <c r="J79" s="337"/>
      <c r="K79" s="337"/>
      <c r="L79" s="337"/>
      <c r="M79" s="337"/>
      <c r="N79" s="337"/>
      <c r="O79" s="337"/>
      <c r="P79" s="337"/>
      <c r="Q79" s="337"/>
      <c r="R79" s="337"/>
      <c r="S79" s="337"/>
      <c r="T79" s="337"/>
      <c r="U79" s="337"/>
      <c r="V79" s="337"/>
      <c r="W79" s="291"/>
      <c r="X79" s="5"/>
    </row>
    <row r="80" spans="1:24" ht="15.6" x14ac:dyDescent="0.3">
      <c r="A80" s="340"/>
      <c r="B80" s="288" t="s">
        <v>23</v>
      </c>
      <c r="C80" s="337"/>
      <c r="D80" s="337"/>
      <c r="E80" s="337"/>
      <c r="F80" s="337"/>
      <c r="G80" s="337"/>
      <c r="H80" s="337"/>
      <c r="I80" s="337"/>
      <c r="J80" s="337"/>
      <c r="K80" s="337"/>
      <c r="L80" s="337">
        <v>0</v>
      </c>
      <c r="M80" s="337"/>
      <c r="N80" s="337">
        <v>0</v>
      </c>
      <c r="O80" s="337"/>
      <c r="P80" s="337"/>
      <c r="Q80" s="337"/>
      <c r="R80" s="337"/>
      <c r="S80" s="337"/>
      <c r="T80" s="337"/>
      <c r="U80" s="337"/>
      <c r="V80" s="338">
        <v>0</v>
      </c>
      <c r="W80" s="291"/>
      <c r="X80" s="5"/>
    </row>
    <row r="81" spans="1:24" ht="15.6" x14ac:dyDescent="0.3">
      <c r="A81" s="340"/>
      <c r="B81" s="288" t="s">
        <v>117</v>
      </c>
      <c r="C81" s="337"/>
      <c r="D81" s="337"/>
      <c r="E81" s="337"/>
      <c r="F81" s="337"/>
      <c r="G81" s="337"/>
      <c r="H81" s="337"/>
      <c r="I81" s="337"/>
      <c r="J81" s="337"/>
      <c r="K81" s="337"/>
      <c r="L81" s="337">
        <v>342245</v>
      </c>
      <c r="M81" s="337"/>
      <c r="N81" s="337">
        <v>0</v>
      </c>
      <c r="O81" s="337"/>
      <c r="P81" s="337">
        <v>0</v>
      </c>
      <c r="Q81" s="337"/>
      <c r="R81" s="337"/>
      <c r="S81" s="337"/>
      <c r="T81" s="337"/>
      <c r="U81" s="337"/>
      <c r="V81" s="337">
        <f>SUM(N81:R81)</f>
        <v>0</v>
      </c>
      <c r="W81" s="291"/>
      <c r="X81" s="5"/>
    </row>
    <row r="82" spans="1:24" ht="15.6" x14ac:dyDescent="0.3">
      <c r="A82" s="340"/>
      <c r="B82" s="288"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91"/>
      <c r="X82" s="5"/>
    </row>
    <row r="83" spans="1:24" ht="15.6" x14ac:dyDescent="0.3">
      <c r="A83" s="340"/>
      <c r="B83" s="288" t="s">
        <v>25</v>
      </c>
      <c r="C83" s="337"/>
      <c r="D83" s="337"/>
      <c r="E83" s="337"/>
      <c r="F83" s="337"/>
      <c r="G83" s="337"/>
      <c r="H83" s="337"/>
      <c r="I83" s="337"/>
      <c r="J83" s="337"/>
      <c r="K83" s="337"/>
      <c r="L83" s="337">
        <v>0</v>
      </c>
      <c r="M83" s="337"/>
      <c r="N83" s="337">
        <v>0</v>
      </c>
      <c r="O83" s="337"/>
      <c r="P83" s="337"/>
      <c r="Q83" s="337"/>
      <c r="R83" s="337"/>
      <c r="S83" s="337"/>
      <c r="T83" s="337"/>
      <c r="U83" s="337"/>
      <c r="V83" s="337">
        <v>0</v>
      </c>
      <c r="W83" s="291"/>
      <c r="X83" s="5"/>
    </row>
    <row r="84" spans="1:24" ht="15.6" x14ac:dyDescent="0.3">
      <c r="A84" s="340"/>
      <c r="B84" s="288" t="s">
        <v>26</v>
      </c>
      <c r="C84" s="337"/>
      <c r="D84" s="337"/>
      <c r="E84" s="337"/>
      <c r="F84" s="337"/>
      <c r="G84" s="337"/>
      <c r="H84" s="337"/>
      <c r="I84" s="337"/>
      <c r="J84" s="337"/>
      <c r="K84" s="337"/>
      <c r="L84" s="337">
        <f>SUM(L71:L83)</f>
        <v>1500275</v>
      </c>
      <c r="M84" s="337"/>
      <c r="N84" s="337">
        <f>SUM(N71:N83)</f>
        <v>1169224</v>
      </c>
      <c r="O84" s="337"/>
      <c r="P84" s="337"/>
      <c r="Q84" s="337"/>
      <c r="R84" s="337"/>
      <c r="S84" s="337"/>
      <c r="T84" s="337"/>
      <c r="U84" s="337"/>
      <c r="V84" s="337">
        <f>SUM(V71:V83)</f>
        <v>1162055</v>
      </c>
      <c r="W84" s="291"/>
      <c r="X84" s="5"/>
    </row>
    <row r="85" spans="1:24" ht="15.6" x14ac:dyDescent="0.3">
      <c r="A85" s="243"/>
      <c r="B85" s="284"/>
      <c r="C85" s="339"/>
      <c r="D85" s="339"/>
      <c r="E85" s="339"/>
      <c r="F85" s="339"/>
      <c r="G85" s="339"/>
      <c r="H85" s="339"/>
      <c r="I85" s="339"/>
      <c r="J85" s="339"/>
      <c r="K85" s="339"/>
      <c r="L85" s="339"/>
      <c r="M85" s="339"/>
      <c r="N85" s="339"/>
      <c r="O85" s="339"/>
      <c r="P85" s="339"/>
      <c r="Q85" s="339"/>
      <c r="R85" s="339"/>
      <c r="S85" s="339"/>
      <c r="T85" s="339"/>
      <c r="U85" s="339"/>
      <c r="V85" s="339"/>
      <c r="W85" s="284"/>
      <c r="X85" s="5"/>
    </row>
    <row r="86" spans="1:24" ht="15.6" x14ac:dyDescent="0.3">
      <c r="A86" s="243"/>
      <c r="B86" s="224"/>
      <c r="C86" s="224"/>
      <c r="D86" s="224"/>
      <c r="E86" s="224"/>
      <c r="F86" s="224"/>
      <c r="G86" s="224"/>
      <c r="H86" s="224"/>
      <c r="I86" s="224"/>
      <c r="J86" s="224"/>
      <c r="K86" s="224"/>
      <c r="L86" s="224"/>
      <c r="M86" s="224"/>
      <c r="N86" s="224"/>
      <c r="O86" s="224"/>
      <c r="P86" s="224"/>
      <c r="Q86" s="224"/>
      <c r="R86" s="224"/>
      <c r="S86" s="224"/>
      <c r="T86" s="224"/>
      <c r="U86" s="224"/>
      <c r="V86" s="224"/>
      <c r="W86" s="224"/>
      <c r="X86" s="5"/>
    </row>
    <row r="87" spans="1:24" ht="15.6" x14ac:dyDescent="0.3">
      <c r="A87" s="262"/>
      <c r="B87" s="269" t="s">
        <v>27</v>
      </c>
      <c r="C87" s="269"/>
      <c r="D87" s="269"/>
      <c r="E87" s="269"/>
      <c r="F87" s="269"/>
      <c r="G87" s="269"/>
      <c r="H87" s="270"/>
      <c r="I87" s="270"/>
      <c r="J87" s="270"/>
      <c r="K87" s="270"/>
      <c r="L87" s="271" t="s">
        <v>95</v>
      </c>
      <c r="M87" s="270"/>
      <c r="N87" s="272">
        <f>+T205</f>
        <v>40512</v>
      </c>
      <c r="O87" s="270"/>
      <c r="P87" s="270"/>
      <c r="Q87" s="270"/>
      <c r="R87" s="270"/>
      <c r="S87" s="270"/>
      <c r="T87" s="270" t="s">
        <v>107</v>
      </c>
      <c r="U87" s="270"/>
      <c r="V87" s="270" t="s">
        <v>113</v>
      </c>
      <c r="W87" s="263"/>
      <c r="X87" s="5"/>
    </row>
    <row r="88" spans="1:24" ht="15.6" x14ac:dyDescent="0.3">
      <c r="A88" s="242"/>
      <c r="B88" s="231" t="s">
        <v>28</v>
      </c>
      <c r="C88" s="231"/>
      <c r="D88" s="231"/>
      <c r="E88" s="231"/>
      <c r="F88" s="231"/>
      <c r="G88" s="231"/>
      <c r="H88" s="231"/>
      <c r="I88" s="231"/>
      <c r="J88" s="231"/>
      <c r="K88" s="231"/>
      <c r="L88" s="231"/>
      <c r="M88" s="231"/>
      <c r="N88" s="231"/>
      <c r="O88" s="231"/>
      <c r="P88" s="231"/>
      <c r="Q88" s="231"/>
      <c r="R88" s="231"/>
      <c r="S88" s="231"/>
      <c r="T88" s="234">
        <v>0</v>
      </c>
      <c r="U88" s="231"/>
      <c r="V88" s="241">
        <v>0</v>
      </c>
      <c r="W88" s="231"/>
      <c r="X88" s="5"/>
    </row>
    <row r="89" spans="1:24" ht="15.6" x14ac:dyDescent="0.3">
      <c r="A89" s="340"/>
      <c r="B89" s="288" t="s">
        <v>29</v>
      </c>
      <c r="C89" s="288"/>
      <c r="D89" s="288"/>
      <c r="E89" s="288"/>
      <c r="F89" s="288"/>
      <c r="G89" s="288"/>
      <c r="H89" s="325"/>
      <c r="I89" s="325"/>
      <c r="J89" s="325"/>
      <c r="K89" s="341"/>
      <c r="L89" s="325"/>
      <c r="M89" s="288"/>
      <c r="N89" s="342"/>
      <c r="O89" s="288"/>
      <c r="P89" s="288"/>
      <c r="Q89" s="288"/>
      <c r="R89" s="288"/>
      <c r="S89" s="288"/>
      <c r="T89" s="337">
        <f>7501-229</f>
        <v>7272</v>
      </c>
      <c r="U89" s="288"/>
      <c r="V89" s="338"/>
      <c r="W89" s="291"/>
      <c r="X89" s="5"/>
    </row>
    <row r="90" spans="1:24" ht="15.6" x14ac:dyDescent="0.3">
      <c r="A90" s="340"/>
      <c r="B90" s="288" t="s">
        <v>216</v>
      </c>
      <c r="C90" s="288"/>
      <c r="D90" s="288"/>
      <c r="E90" s="288"/>
      <c r="F90" s="288"/>
      <c r="G90" s="288"/>
      <c r="H90" s="325"/>
      <c r="I90" s="325"/>
      <c r="J90" s="325"/>
      <c r="K90" s="341"/>
      <c r="L90" s="325"/>
      <c r="M90" s="288"/>
      <c r="N90" s="342"/>
      <c r="O90" s="288"/>
      <c r="P90" s="288"/>
      <c r="Q90" s="288"/>
      <c r="R90" s="288"/>
      <c r="S90" s="288"/>
      <c r="T90" s="337"/>
      <c r="U90" s="288"/>
      <c r="V90" s="338">
        <f>3515+4726-213-689+25</f>
        <v>7364</v>
      </c>
      <c r="W90" s="291"/>
      <c r="X90" s="5"/>
    </row>
    <row r="91" spans="1:24" ht="15.6" x14ac:dyDescent="0.3">
      <c r="A91" s="340"/>
      <c r="B91" s="288" t="s">
        <v>211</v>
      </c>
      <c r="C91" s="288"/>
      <c r="D91" s="288"/>
      <c r="E91" s="288"/>
      <c r="F91" s="288"/>
      <c r="G91" s="288"/>
      <c r="H91" s="325"/>
      <c r="I91" s="325"/>
      <c r="J91" s="325"/>
      <c r="K91" s="341"/>
      <c r="L91" s="325"/>
      <c r="M91" s="288"/>
      <c r="N91" s="342"/>
      <c r="O91" s="288"/>
      <c r="P91" s="288"/>
      <c r="Q91" s="288"/>
      <c r="R91" s="288"/>
      <c r="S91" s="288"/>
      <c r="T91" s="337"/>
      <c r="U91" s="288"/>
      <c r="V91" s="338">
        <f>15+77</f>
        <v>92</v>
      </c>
      <c r="W91" s="291"/>
      <c r="X91" s="5"/>
    </row>
    <row r="92" spans="1:24" ht="15.6" x14ac:dyDescent="0.3">
      <c r="A92" s="340"/>
      <c r="B92" s="288" t="s">
        <v>212</v>
      </c>
      <c r="C92" s="288"/>
      <c r="D92" s="288"/>
      <c r="E92" s="288"/>
      <c r="F92" s="288"/>
      <c r="G92" s="288"/>
      <c r="H92" s="325"/>
      <c r="I92" s="325"/>
      <c r="J92" s="325"/>
      <c r="K92" s="341"/>
      <c r="L92" s="325"/>
      <c r="M92" s="288"/>
      <c r="N92" s="342"/>
      <c r="O92" s="288"/>
      <c r="P92" s="288"/>
      <c r="Q92" s="288"/>
      <c r="R92" s="288"/>
      <c r="S92" s="288"/>
      <c r="T92" s="337"/>
      <c r="U92" s="288"/>
      <c r="V92" s="338">
        <v>60</v>
      </c>
      <c r="W92" s="291"/>
      <c r="X92" s="5"/>
    </row>
    <row r="93" spans="1:24" ht="15.6" x14ac:dyDescent="0.3">
      <c r="A93" s="340"/>
      <c r="B93" s="288" t="s">
        <v>272</v>
      </c>
      <c r="C93" s="288"/>
      <c r="D93" s="288"/>
      <c r="E93" s="288"/>
      <c r="F93" s="288"/>
      <c r="G93" s="288"/>
      <c r="H93" s="325"/>
      <c r="I93" s="325"/>
      <c r="J93" s="325"/>
      <c r="K93" s="341"/>
      <c r="L93" s="325"/>
      <c r="M93" s="288"/>
      <c r="N93" s="342"/>
      <c r="O93" s="288"/>
      <c r="P93" s="288"/>
      <c r="Q93" s="288"/>
      <c r="R93" s="288"/>
      <c r="S93" s="288"/>
      <c r="T93" s="337"/>
      <c r="U93" s="288"/>
      <c r="V93" s="338">
        <v>0</v>
      </c>
      <c r="W93" s="291"/>
      <c r="X93" s="5"/>
    </row>
    <row r="94" spans="1:24" ht="15.6" x14ac:dyDescent="0.3">
      <c r="A94" s="340"/>
      <c r="B94" s="288" t="s">
        <v>274</v>
      </c>
      <c r="C94" s="288"/>
      <c r="D94" s="288"/>
      <c r="E94" s="288"/>
      <c r="F94" s="288"/>
      <c r="G94" s="288"/>
      <c r="H94" s="325"/>
      <c r="I94" s="325"/>
      <c r="J94" s="325"/>
      <c r="K94" s="341"/>
      <c r="L94" s="325"/>
      <c r="M94" s="288"/>
      <c r="N94" s="342"/>
      <c r="O94" s="288"/>
      <c r="P94" s="288"/>
      <c r="Q94" s="288"/>
      <c r="R94" s="288"/>
      <c r="S94" s="288"/>
      <c r="T94" s="337"/>
      <c r="U94" s="288"/>
      <c r="V94" s="338">
        <v>0</v>
      </c>
      <c r="W94" s="291"/>
      <c r="X94" s="5"/>
    </row>
    <row r="95" spans="1:24" ht="15.6" x14ac:dyDescent="0.3">
      <c r="A95" s="340"/>
      <c r="B95" s="288" t="s">
        <v>135</v>
      </c>
      <c r="C95" s="288"/>
      <c r="D95" s="288"/>
      <c r="E95" s="288"/>
      <c r="F95" s="288"/>
      <c r="G95" s="288"/>
      <c r="H95" s="288"/>
      <c r="I95" s="288"/>
      <c r="J95" s="288"/>
      <c r="K95" s="288"/>
      <c r="L95" s="288"/>
      <c r="M95" s="288"/>
      <c r="N95" s="288"/>
      <c r="O95" s="288"/>
      <c r="P95" s="288"/>
      <c r="Q95" s="288"/>
      <c r="R95" s="288"/>
      <c r="S95" s="288"/>
      <c r="T95" s="337"/>
      <c r="U95" s="288"/>
      <c r="V95" s="338">
        <v>0</v>
      </c>
      <c r="W95" s="291"/>
      <c r="X95" s="5"/>
    </row>
    <row r="96" spans="1:24" ht="15.6" x14ac:dyDescent="0.3">
      <c r="A96" s="340"/>
      <c r="B96" s="288" t="s">
        <v>268</v>
      </c>
      <c r="C96" s="288"/>
      <c r="D96" s="288"/>
      <c r="E96" s="288"/>
      <c r="F96" s="288"/>
      <c r="G96" s="288"/>
      <c r="H96" s="288"/>
      <c r="I96" s="288"/>
      <c r="J96" s="288"/>
      <c r="K96" s="288"/>
      <c r="L96" s="288"/>
      <c r="M96" s="288"/>
      <c r="N96" s="288"/>
      <c r="O96" s="288"/>
      <c r="P96" s="288"/>
      <c r="Q96" s="288"/>
      <c r="R96" s="288"/>
      <c r="S96" s="288"/>
      <c r="T96" s="337"/>
      <c r="U96" s="288"/>
      <c r="V96" s="338">
        <v>0</v>
      </c>
      <c r="W96" s="291"/>
      <c r="X96" s="5"/>
    </row>
    <row r="97" spans="1:25" ht="15.6" x14ac:dyDescent="0.3">
      <c r="A97" s="340"/>
      <c r="B97" s="288" t="s">
        <v>30</v>
      </c>
      <c r="C97" s="288"/>
      <c r="D97" s="288"/>
      <c r="E97" s="288"/>
      <c r="F97" s="288"/>
      <c r="G97" s="288"/>
      <c r="H97" s="288"/>
      <c r="I97" s="288"/>
      <c r="J97" s="288"/>
      <c r="K97" s="288"/>
      <c r="L97" s="288"/>
      <c r="M97" s="288"/>
      <c r="N97" s="288"/>
      <c r="O97" s="288"/>
      <c r="P97" s="288"/>
      <c r="Q97" s="288"/>
      <c r="R97" s="288"/>
      <c r="S97" s="288"/>
      <c r="T97" s="337">
        <f>SUM(T88:T96)</f>
        <v>7272</v>
      </c>
      <c r="U97" s="288"/>
      <c r="V97" s="337">
        <f>SUM(V88:V96)</f>
        <v>7516</v>
      </c>
      <c r="W97" s="291"/>
      <c r="X97" s="5"/>
    </row>
    <row r="98" spans="1:25" ht="15.6" x14ac:dyDescent="0.3">
      <c r="A98" s="340"/>
      <c r="B98" s="288" t="s">
        <v>161</v>
      </c>
      <c r="C98" s="288"/>
      <c r="D98" s="288"/>
      <c r="E98" s="288"/>
      <c r="F98" s="288"/>
      <c r="G98" s="288"/>
      <c r="H98" s="288"/>
      <c r="I98" s="288"/>
      <c r="J98" s="288"/>
      <c r="K98" s="288"/>
      <c r="L98" s="288"/>
      <c r="M98" s="288"/>
      <c r="N98" s="288"/>
      <c r="O98" s="288"/>
      <c r="P98" s="288"/>
      <c r="Q98" s="288"/>
      <c r="R98" s="288"/>
      <c r="S98" s="288"/>
      <c r="T98" s="337">
        <f>-V98</f>
        <v>-127</v>
      </c>
      <c r="U98" s="288"/>
      <c r="V98" s="337">
        <v>127</v>
      </c>
      <c r="W98" s="291"/>
      <c r="X98" s="5"/>
    </row>
    <row r="99" spans="1:25" ht="15.6" x14ac:dyDescent="0.3">
      <c r="A99" s="340"/>
      <c r="B99" s="288" t="s">
        <v>31</v>
      </c>
      <c r="C99" s="288"/>
      <c r="D99" s="288"/>
      <c r="E99" s="288"/>
      <c r="F99" s="288"/>
      <c r="G99" s="288"/>
      <c r="H99" s="288"/>
      <c r="I99" s="288"/>
      <c r="J99" s="288"/>
      <c r="K99" s="288"/>
      <c r="L99" s="288"/>
      <c r="M99" s="288"/>
      <c r="N99" s="288"/>
      <c r="O99" s="288"/>
      <c r="P99" s="288"/>
      <c r="Q99" s="288"/>
      <c r="R99" s="288"/>
      <c r="S99" s="288"/>
      <c r="T99" s="337">
        <f>-V99</f>
        <v>0</v>
      </c>
      <c r="U99" s="288"/>
      <c r="V99" s="338">
        <v>0</v>
      </c>
      <c r="W99" s="291"/>
      <c r="X99" s="5"/>
    </row>
    <row r="100" spans="1:25" ht="15.6" x14ac:dyDescent="0.3">
      <c r="A100" s="340"/>
      <c r="B100" s="288" t="s">
        <v>283</v>
      </c>
      <c r="C100" s="288"/>
      <c r="D100" s="288"/>
      <c r="E100" s="288"/>
      <c r="F100" s="288"/>
      <c r="G100" s="288"/>
      <c r="H100" s="288"/>
      <c r="I100" s="288"/>
      <c r="J100" s="288"/>
      <c r="K100" s="288"/>
      <c r="L100" s="288"/>
      <c r="M100" s="288"/>
      <c r="N100" s="288"/>
      <c r="O100" s="288"/>
      <c r="P100" s="288"/>
      <c r="Q100" s="288"/>
      <c r="R100" s="288"/>
      <c r="S100" s="288"/>
      <c r="T100" s="337"/>
      <c r="U100" s="288"/>
      <c r="V100" s="338">
        <v>-15</v>
      </c>
      <c r="W100" s="291"/>
      <c r="X100" s="5"/>
    </row>
    <row r="101" spans="1:25" ht="15.6" x14ac:dyDescent="0.3">
      <c r="A101" s="340"/>
      <c r="B101" s="288" t="s">
        <v>32</v>
      </c>
      <c r="C101" s="288"/>
      <c r="D101" s="288"/>
      <c r="E101" s="288"/>
      <c r="F101" s="288"/>
      <c r="G101" s="288"/>
      <c r="H101" s="288"/>
      <c r="I101" s="288"/>
      <c r="J101" s="288"/>
      <c r="K101" s="288"/>
      <c r="L101" s="288"/>
      <c r="M101" s="288"/>
      <c r="N101" s="288"/>
      <c r="O101" s="288"/>
      <c r="P101" s="288"/>
      <c r="Q101" s="288"/>
      <c r="R101" s="288"/>
      <c r="S101" s="288"/>
      <c r="T101" s="337">
        <f>T97+T99+T98</f>
        <v>7145</v>
      </c>
      <c r="U101" s="288"/>
      <c r="V101" s="337">
        <f>V97+V99+V98+V100</f>
        <v>7628</v>
      </c>
      <c r="W101" s="291"/>
      <c r="X101" s="5"/>
    </row>
    <row r="102" spans="1:25" ht="15.6" x14ac:dyDescent="0.3">
      <c r="A102" s="287"/>
      <c r="B102" s="343" t="s">
        <v>33</v>
      </c>
      <c r="C102" s="314"/>
      <c r="D102" s="314"/>
      <c r="E102" s="314"/>
      <c r="F102" s="314"/>
      <c r="G102" s="314"/>
      <c r="H102" s="314"/>
      <c r="I102" s="314"/>
      <c r="J102" s="314"/>
      <c r="K102" s="314"/>
      <c r="L102" s="314"/>
      <c r="M102" s="314"/>
      <c r="N102" s="314"/>
      <c r="O102" s="314"/>
      <c r="P102" s="314"/>
      <c r="Q102" s="314"/>
      <c r="R102" s="314"/>
      <c r="S102" s="314"/>
      <c r="T102" s="344"/>
      <c r="U102" s="314"/>
      <c r="V102" s="345"/>
      <c r="W102" s="318"/>
      <c r="X102" s="5"/>
    </row>
    <row r="103" spans="1:25" ht="15.6" x14ac:dyDescent="0.3">
      <c r="A103" s="340">
        <v>1</v>
      </c>
      <c r="B103" s="288" t="s">
        <v>34</v>
      </c>
      <c r="C103" s="288"/>
      <c r="D103" s="288"/>
      <c r="E103" s="288"/>
      <c r="F103" s="288"/>
      <c r="G103" s="288"/>
      <c r="H103" s="288"/>
      <c r="I103" s="288"/>
      <c r="J103" s="288"/>
      <c r="K103" s="288"/>
      <c r="L103" s="288"/>
      <c r="M103" s="288"/>
      <c r="N103" s="288"/>
      <c r="O103" s="288"/>
      <c r="P103" s="288"/>
      <c r="Q103" s="288"/>
      <c r="R103" s="288"/>
      <c r="S103" s="288"/>
      <c r="T103" s="288"/>
      <c r="U103" s="288"/>
      <c r="V103" s="338">
        <v>0</v>
      </c>
      <c r="W103" s="291"/>
      <c r="X103" s="5"/>
    </row>
    <row r="104" spans="1:25" ht="15.6" x14ac:dyDescent="0.3">
      <c r="A104" s="340">
        <f>+A103+1</f>
        <v>2</v>
      </c>
      <c r="B104" s="288" t="s">
        <v>225</v>
      </c>
      <c r="C104" s="288"/>
      <c r="D104" s="288"/>
      <c r="E104" s="288"/>
      <c r="F104" s="288"/>
      <c r="G104" s="288"/>
      <c r="H104" s="288"/>
      <c r="I104" s="288"/>
      <c r="J104" s="288"/>
      <c r="K104" s="288"/>
      <c r="L104" s="288"/>
      <c r="M104" s="288"/>
      <c r="N104" s="288"/>
      <c r="O104" s="288"/>
      <c r="P104" s="288"/>
      <c r="Q104" s="288"/>
      <c r="R104" s="288"/>
      <c r="S104" s="288"/>
      <c r="T104" s="288"/>
      <c r="U104" s="288"/>
      <c r="V104" s="338">
        <v>-2</v>
      </c>
      <c r="W104" s="291"/>
      <c r="X104" s="5"/>
    </row>
    <row r="105" spans="1:25" ht="15.6" x14ac:dyDescent="0.3">
      <c r="A105" s="340">
        <f>+A104+1</f>
        <v>3</v>
      </c>
      <c r="B105" s="288" t="s">
        <v>204</v>
      </c>
      <c r="C105" s="288"/>
      <c r="D105" s="288"/>
      <c r="E105" s="288"/>
      <c r="F105" s="288"/>
      <c r="G105" s="288"/>
      <c r="H105" s="288"/>
      <c r="I105" s="288"/>
      <c r="J105" s="288"/>
      <c r="K105" s="288"/>
      <c r="L105" s="288"/>
      <c r="M105" s="288"/>
      <c r="N105" s="288"/>
      <c r="O105" s="288"/>
      <c r="P105" s="288"/>
      <c r="Q105" s="288"/>
      <c r="R105" s="288"/>
      <c r="S105" s="288"/>
      <c r="T105" s="288"/>
      <c r="U105" s="288"/>
      <c r="V105" s="338">
        <f>-146-278-14</f>
        <v>-438</v>
      </c>
      <c r="W105" s="291"/>
      <c r="X105" s="5"/>
    </row>
    <row r="106" spans="1:25" ht="15.6" x14ac:dyDescent="0.3">
      <c r="A106" s="340" t="s">
        <v>127</v>
      </c>
      <c r="B106" s="288" t="s">
        <v>116</v>
      </c>
      <c r="C106" s="288"/>
      <c r="D106" s="288"/>
      <c r="E106" s="288"/>
      <c r="F106" s="288"/>
      <c r="G106" s="288"/>
      <c r="H106" s="288"/>
      <c r="I106" s="288"/>
      <c r="J106" s="288"/>
      <c r="K106" s="288"/>
      <c r="L106" s="288"/>
      <c r="M106" s="288"/>
      <c r="N106" s="288"/>
      <c r="O106" s="288"/>
      <c r="P106" s="288"/>
      <c r="Q106" s="288"/>
      <c r="R106" s="288"/>
      <c r="S106" s="288"/>
      <c r="T106" s="288"/>
      <c r="U106" s="288"/>
      <c r="V106" s="338">
        <v>-125</v>
      </c>
      <c r="W106" s="291"/>
      <c r="X106" s="5"/>
    </row>
    <row r="107" spans="1:25" ht="15.6" x14ac:dyDescent="0.3">
      <c r="A107" s="340" t="s">
        <v>128</v>
      </c>
      <c r="B107" s="288" t="s">
        <v>222</v>
      </c>
      <c r="C107" s="288"/>
      <c r="D107" s="288"/>
      <c r="E107" s="288"/>
      <c r="F107" s="288"/>
      <c r="G107" s="288"/>
      <c r="H107" s="288"/>
      <c r="I107" s="288"/>
      <c r="J107" s="288"/>
      <c r="K107" s="288"/>
      <c r="L107" s="288"/>
      <c r="M107" s="288"/>
      <c r="N107" s="288"/>
      <c r="O107" s="288"/>
      <c r="P107" s="288"/>
      <c r="Q107" s="288"/>
      <c r="R107" s="288"/>
      <c r="S107" s="288"/>
      <c r="T107" s="288"/>
      <c r="U107" s="288"/>
      <c r="V107" s="338">
        <f>190-2007</f>
        <v>-1817</v>
      </c>
      <c r="W107" s="291"/>
      <c r="X107" s="5"/>
      <c r="Y107" s="109"/>
    </row>
    <row r="108" spans="1:25" ht="15.6" x14ac:dyDescent="0.3">
      <c r="A108" s="340" t="s">
        <v>150</v>
      </c>
      <c r="B108" s="288" t="s">
        <v>184</v>
      </c>
      <c r="C108" s="288"/>
      <c r="D108" s="288"/>
      <c r="E108" s="288"/>
      <c r="F108" s="288"/>
      <c r="G108" s="288"/>
      <c r="H108" s="288"/>
      <c r="I108" s="288"/>
      <c r="J108" s="288"/>
      <c r="K108" s="288"/>
      <c r="L108" s="288"/>
      <c r="M108" s="288"/>
      <c r="N108" s="288"/>
      <c r="O108" s="288"/>
      <c r="P108" s="288"/>
      <c r="Q108" s="288"/>
      <c r="R108" s="288"/>
      <c r="S108" s="288"/>
      <c r="T108" s="288"/>
      <c r="U108" s="288"/>
      <c r="V108" s="338">
        <v>-190</v>
      </c>
      <c r="W108" s="291"/>
      <c r="X108" s="5"/>
      <c r="Y108" s="109"/>
    </row>
    <row r="109" spans="1:25" ht="15.6" x14ac:dyDescent="0.3">
      <c r="A109" s="340" t="s">
        <v>236</v>
      </c>
      <c r="B109" s="288" t="s">
        <v>238</v>
      </c>
      <c r="C109" s="288"/>
      <c r="D109" s="288"/>
      <c r="E109" s="288"/>
      <c r="F109" s="288"/>
      <c r="G109" s="288"/>
      <c r="H109" s="288"/>
      <c r="I109" s="288"/>
      <c r="J109" s="288"/>
      <c r="K109" s="288"/>
      <c r="L109" s="288"/>
      <c r="M109" s="288"/>
      <c r="N109" s="288"/>
      <c r="O109" s="288"/>
      <c r="P109" s="288"/>
      <c r="Q109" s="288"/>
      <c r="R109" s="288"/>
      <c r="S109" s="288"/>
      <c r="T109" s="288"/>
      <c r="U109" s="288"/>
      <c r="V109" s="338">
        <v>-1</v>
      </c>
      <c r="W109" s="291"/>
      <c r="X109" s="5"/>
    </row>
    <row r="110" spans="1:25" ht="15.6" x14ac:dyDescent="0.3">
      <c r="A110" s="340" t="s">
        <v>205</v>
      </c>
      <c r="B110" s="288" t="s">
        <v>185</v>
      </c>
      <c r="C110" s="288"/>
      <c r="D110" s="288"/>
      <c r="E110" s="288"/>
      <c r="F110" s="288"/>
      <c r="G110" s="288"/>
      <c r="H110" s="288"/>
      <c r="I110" s="288"/>
      <c r="J110" s="288"/>
      <c r="K110" s="288"/>
      <c r="L110" s="288"/>
      <c r="M110" s="288"/>
      <c r="N110" s="288"/>
      <c r="O110" s="288"/>
      <c r="P110" s="288"/>
      <c r="Q110" s="288"/>
      <c r="R110" s="288"/>
      <c r="S110" s="288"/>
      <c r="T110" s="288"/>
      <c r="U110" s="288"/>
      <c r="V110" s="338">
        <v>-141</v>
      </c>
      <c r="W110" s="291"/>
      <c r="X110" s="5"/>
      <c r="Y110" s="109"/>
    </row>
    <row r="111" spans="1:25" ht="15.6" x14ac:dyDescent="0.3">
      <c r="A111" s="340" t="s">
        <v>206</v>
      </c>
      <c r="B111" s="288" t="s">
        <v>186</v>
      </c>
      <c r="C111" s="288"/>
      <c r="D111" s="288"/>
      <c r="E111" s="288"/>
      <c r="F111" s="288"/>
      <c r="G111" s="288"/>
      <c r="H111" s="288"/>
      <c r="I111" s="288"/>
      <c r="J111" s="288"/>
      <c r="K111" s="288"/>
      <c r="L111" s="288"/>
      <c r="M111" s="288"/>
      <c r="N111" s="288"/>
      <c r="O111" s="288"/>
      <c r="P111" s="288"/>
      <c r="Q111" s="288"/>
      <c r="R111" s="288"/>
      <c r="S111" s="288"/>
      <c r="T111" s="288"/>
      <c r="U111" s="288"/>
      <c r="V111" s="338">
        <v>-117</v>
      </c>
      <c r="W111" s="291"/>
      <c r="X111" s="179"/>
      <c r="Y111" s="109"/>
    </row>
    <row r="112" spans="1:25" ht="15.6" x14ac:dyDescent="0.3">
      <c r="A112" s="340" t="s">
        <v>207</v>
      </c>
      <c r="B112" s="288" t="s">
        <v>196</v>
      </c>
      <c r="C112" s="288"/>
      <c r="D112" s="288"/>
      <c r="E112" s="288"/>
      <c r="F112" s="288"/>
      <c r="G112" s="288"/>
      <c r="H112" s="288"/>
      <c r="I112" s="288"/>
      <c r="J112" s="288"/>
      <c r="K112" s="288"/>
      <c r="L112" s="288"/>
      <c r="M112" s="288"/>
      <c r="N112" s="288"/>
      <c r="O112" s="288"/>
      <c r="P112" s="288"/>
      <c r="Q112" s="288"/>
      <c r="R112" s="288"/>
      <c r="S112" s="288"/>
      <c r="T112" s="288"/>
      <c r="U112" s="288"/>
      <c r="V112" s="338">
        <v>-267</v>
      </c>
      <c r="W112" s="291"/>
      <c r="X112" s="5"/>
      <c r="Y112" s="109"/>
    </row>
    <row r="113" spans="1:25" ht="15.6" x14ac:dyDescent="0.3">
      <c r="A113" s="340" t="s">
        <v>224</v>
      </c>
      <c r="B113" s="288" t="s">
        <v>223</v>
      </c>
      <c r="C113" s="288"/>
      <c r="D113" s="288"/>
      <c r="E113" s="288"/>
      <c r="F113" s="288"/>
      <c r="G113" s="288"/>
      <c r="H113" s="288"/>
      <c r="I113" s="288"/>
      <c r="J113" s="288"/>
      <c r="K113" s="288"/>
      <c r="L113" s="288"/>
      <c r="M113" s="288"/>
      <c r="N113" s="288"/>
      <c r="O113" s="288"/>
      <c r="P113" s="288"/>
      <c r="Q113" s="288"/>
      <c r="R113" s="288"/>
      <c r="S113" s="288"/>
      <c r="T113" s="288"/>
      <c r="U113" s="288"/>
      <c r="V113" s="338">
        <v>-55</v>
      </c>
      <c r="W113" s="291"/>
      <c r="X113" s="5"/>
      <c r="Y113" s="109"/>
    </row>
    <row r="114" spans="1:25" ht="15.6" x14ac:dyDescent="0.3">
      <c r="A114" s="340">
        <v>7</v>
      </c>
      <c r="B114" s="288" t="s">
        <v>35</v>
      </c>
      <c r="C114" s="288"/>
      <c r="D114" s="288"/>
      <c r="E114" s="288"/>
      <c r="F114" s="288"/>
      <c r="G114" s="288"/>
      <c r="H114" s="288"/>
      <c r="I114" s="288"/>
      <c r="J114" s="288"/>
      <c r="K114" s="288"/>
      <c r="L114" s="288"/>
      <c r="M114" s="288"/>
      <c r="N114" s="288"/>
      <c r="O114" s="288"/>
      <c r="P114" s="288"/>
      <c r="Q114" s="288"/>
      <c r="R114" s="288"/>
      <c r="S114" s="288"/>
      <c r="T114" s="288"/>
      <c r="U114" s="288"/>
      <c r="V114" s="338">
        <v>-12</v>
      </c>
      <c r="W114" s="291"/>
      <c r="X114" s="5"/>
    </row>
    <row r="115" spans="1:25" ht="15.6" x14ac:dyDescent="0.3">
      <c r="A115" s="340">
        <f t="shared" ref="A115:A121" si="0">+A114+1</f>
        <v>8</v>
      </c>
      <c r="B115" s="288" t="s">
        <v>45</v>
      </c>
      <c r="C115" s="288"/>
      <c r="D115" s="288"/>
      <c r="E115" s="288"/>
      <c r="F115" s="288"/>
      <c r="G115" s="288"/>
      <c r="H115" s="288"/>
      <c r="I115" s="288"/>
      <c r="J115" s="288"/>
      <c r="K115" s="288"/>
      <c r="L115" s="288"/>
      <c r="M115" s="288"/>
      <c r="N115" s="288"/>
      <c r="O115" s="288"/>
      <c r="P115" s="288"/>
      <c r="Q115" s="288"/>
      <c r="R115" s="288"/>
      <c r="S115" s="288"/>
      <c r="T115" s="337">
        <f>-V115</f>
        <v>229</v>
      </c>
      <c r="U115" s="288"/>
      <c r="V115" s="338">
        <v>-229</v>
      </c>
      <c r="W115" s="291"/>
      <c r="X115" s="5"/>
    </row>
    <row r="116" spans="1:25" ht="15.6" x14ac:dyDescent="0.3">
      <c r="A116" s="340">
        <f t="shared" si="0"/>
        <v>9</v>
      </c>
      <c r="B116" s="288" t="s">
        <v>125</v>
      </c>
      <c r="C116" s="288"/>
      <c r="D116" s="288"/>
      <c r="E116" s="288"/>
      <c r="F116" s="288"/>
      <c r="G116" s="288"/>
      <c r="H116" s="288"/>
      <c r="I116" s="288"/>
      <c r="J116" s="288"/>
      <c r="K116" s="288"/>
      <c r="L116" s="288"/>
      <c r="M116" s="288"/>
      <c r="N116" s="288"/>
      <c r="O116" s="288"/>
      <c r="P116" s="288"/>
      <c r="Q116" s="288"/>
      <c r="R116" s="288"/>
      <c r="S116" s="288"/>
      <c r="T116" s="288"/>
      <c r="U116" s="288"/>
      <c r="V116" s="338">
        <v>0</v>
      </c>
      <c r="W116" s="291"/>
      <c r="X116" s="5"/>
    </row>
    <row r="117" spans="1:25" ht="15.6" x14ac:dyDescent="0.3">
      <c r="A117" s="340">
        <f t="shared" si="0"/>
        <v>10</v>
      </c>
      <c r="B117" s="288" t="s">
        <v>240</v>
      </c>
      <c r="C117" s="288"/>
      <c r="D117" s="288"/>
      <c r="E117" s="288"/>
      <c r="F117" s="288"/>
      <c r="G117" s="288"/>
      <c r="H117" s="288"/>
      <c r="I117" s="288"/>
      <c r="J117" s="288"/>
      <c r="K117" s="288"/>
      <c r="L117" s="288"/>
      <c r="M117" s="288"/>
      <c r="N117" s="288"/>
      <c r="O117" s="288"/>
      <c r="P117" s="288"/>
      <c r="Q117" s="288"/>
      <c r="R117" s="288"/>
      <c r="S117" s="288"/>
      <c r="T117" s="288"/>
      <c r="U117" s="288"/>
      <c r="V117" s="338">
        <v>0</v>
      </c>
      <c r="W117" s="291"/>
      <c r="X117" s="5"/>
    </row>
    <row r="118" spans="1:25" ht="15.6" x14ac:dyDescent="0.3">
      <c r="A118" s="340">
        <f t="shared" si="0"/>
        <v>11</v>
      </c>
      <c r="B118" s="288" t="s">
        <v>36</v>
      </c>
      <c r="C118" s="288"/>
      <c r="D118" s="288"/>
      <c r="E118" s="288"/>
      <c r="F118" s="288"/>
      <c r="G118" s="288"/>
      <c r="H118" s="288"/>
      <c r="I118" s="288"/>
      <c r="J118" s="288"/>
      <c r="K118" s="288"/>
      <c r="L118" s="288"/>
      <c r="M118" s="288"/>
      <c r="N118" s="288"/>
      <c r="O118" s="288"/>
      <c r="P118" s="288"/>
      <c r="Q118" s="288"/>
      <c r="R118" s="288"/>
      <c r="S118" s="288"/>
      <c r="T118" s="288"/>
      <c r="U118" s="288"/>
      <c r="V118" s="338">
        <v>0</v>
      </c>
      <c r="W118" s="291"/>
      <c r="X118" s="5"/>
    </row>
    <row r="119" spans="1:25" ht="15.6" x14ac:dyDescent="0.3">
      <c r="A119" s="340">
        <f t="shared" si="0"/>
        <v>12</v>
      </c>
      <c r="B119" s="288" t="s">
        <v>239</v>
      </c>
      <c r="C119" s="288"/>
      <c r="D119" s="288"/>
      <c r="E119" s="288"/>
      <c r="F119" s="288"/>
      <c r="G119" s="288"/>
      <c r="H119" s="288"/>
      <c r="I119" s="288"/>
      <c r="J119" s="288"/>
      <c r="K119" s="288"/>
      <c r="L119" s="288"/>
      <c r="M119" s="288"/>
      <c r="N119" s="288"/>
      <c r="O119" s="288"/>
      <c r="P119" s="288"/>
      <c r="Q119" s="288"/>
      <c r="R119" s="288"/>
      <c r="S119" s="288"/>
      <c r="T119" s="288"/>
      <c r="U119" s="288"/>
      <c r="V119" s="338">
        <v>0</v>
      </c>
      <c r="W119" s="291"/>
      <c r="X119" s="5"/>
    </row>
    <row r="120" spans="1:25" ht="15.6" x14ac:dyDescent="0.3">
      <c r="A120" s="340">
        <f t="shared" si="0"/>
        <v>13</v>
      </c>
      <c r="B120" s="288" t="s">
        <v>149</v>
      </c>
      <c r="C120" s="288"/>
      <c r="D120" s="288"/>
      <c r="E120" s="288"/>
      <c r="F120" s="288"/>
      <c r="G120" s="288"/>
      <c r="H120" s="288"/>
      <c r="I120" s="288"/>
      <c r="J120" s="288"/>
      <c r="K120" s="288"/>
      <c r="L120" s="288"/>
      <c r="M120" s="288"/>
      <c r="N120" s="288"/>
      <c r="O120" s="288"/>
      <c r="P120" s="288"/>
      <c r="Q120" s="288"/>
      <c r="R120" s="288"/>
      <c r="S120" s="288"/>
      <c r="T120" s="288"/>
      <c r="U120" s="288"/>
      <c r="V120" s="338">
        <v>-732</v>
      </c>
      <c r="W120" s="291"/>
      <c r="X120" s="5"/>
    </row>
    <row r="121" spans="1:25" ht="15.6" x14ac:dyDescent="0.3">
      <c r="A121" s="340">
        <f t="shared" si="0"/>
        <v>14</v>
      </c>
      <c r="B121" s="288" t="s">
        <v>126</v>
      </c>
      <c r="C121" s="288"/>
      <c r="D121" s="288"/>
      <c r="E121" s="288"/>
      <c r="F121" s="288"/>
      <c r="G121" s="288"/>
      <c r="H121" s="288"/>
      <c r="I121" s="288"/>
      <c r="J121" s="288"/>
      <c r="K121" s="288"/>
      <c r="L121" s="288"/>
      <c r="M121" s="288"/>
      <c r="N121" s="288"/>
      <c r="O121" s="288"/>
      <c r="P121" s="288"/>
      <c r="Q121" s="288"/>
      <c r="R121" s="288"/>
      <c r="S121" s="288"/>
      <c r="T121" s="288"/>
      <c r="U121" s="288"/>
      <c r="V121" s="338">
        <f>-V101-SUM(V103:V120)</f>
        <v>-3502</v>
      </c>
      <c r="W121" s="291"/>
      <c r="X121" s="5"/>
    </row>
    <row r="122" spans="1:25" ht="15.6" x14ac:dyDescent="0.3">
      <c r="A122" s="287"/>
      <c r="B122" s="343" t="s">
        <v>37</v>
      </c>
      <c r="C122" s="314"/>
      <c r="D122" s="314"/>
      <c r="E122" s="314"/>
      <c r="F122" s="314"/>
      <c r="G122" s="314"/>
      <c r="H122" s="314"/>
      <c r="I122" s="314"/>
      <c r="J122" s="314"/>
      <c r="K122" s="314"/>
      <c r="L122" s="314"/>
      <c r="M122" s="314"/>
      <c r="N122" s="314"/>
      <c r="O122" s="314"/>
      <c r="P122" s="314"/>
      <c r="Q122" s="314"/>
      <c r="R122" s="314"/>
      <c r="S122" s="314"/>
      <c r="T122" s="314"/>
      <c r="U122" s="314"/>
      <c r="V122" s="346"/>
      <c r="W122" s="318"/>
      <c r="X122" s="5"/>
    </row>
    <row r="123" spans="1:25" ht="15.6" x14ac:dyDescent="0.3">
      <c r="A123" s="340"/>
      <c r="B123" s="288" t="s">
        <v>173</v>
      </c>
      <c r="C123" s="288"/>
      <c r="D123" s="288"/>
      <c r="E123" s="288"/>
      <c r="F123" s="288"/>
      <c r="G123" s="288"/>
      <c r="H123" s="288"/>
      <c r="I123" s="288"/>
      <c r="J123" s="288"/>
      <c r="K123" s="288"/>
      <c r="L123" s="288"/>
      <c r="M123" s="288"/>
      <c r="N123" s="288"/>
      <c r="O123" s="288"/>
      <c r="P123" s="288"/>
      <c r="Q123" s="288"/>
      <c r="R123" s="288"/>
      <c r="S123" s="288"/>
      <c r="T123" s="337">
        <f>-T189</f>
        <v>-7</v>
      </c>
      <c r="U123" s="337"/>
      <c r="V123" s="338"/>
      <c r="W123" s="291"/>
      <c r="X123" s="5"/>
    </row>
    <row r="124" spans="1:25" ht="15.6" x14ac:dyDescent="0.3">
      <c r="A124" s="340"/>
      <c r="B124" s="288" t="s">
        <v>174</v>
      </c>
      <c r="C124" s="288"/>
      <c r="D124" s="288"/>
      <c r="E124" s="288"/>
      <c r="F124" s="288"/>
      <c r="G124" s="288"/>
      <c r="H124" s="288"/>
      <c r="I124" s="288"/>
      <c r="J124" s="288"/>
      <c r="K124" s="288"/>
      <c r="L124" s="288"/>
      <c r="M124" s="288"/>
      <c r="N124" s="288"/>
      <c r="O124" s="288"/>
      <c r="P124" s="288"/>
      <c r="Q124" s="288"/>
      <c r="R124" s="288"/>
      <c r="S124" s="288"/>
      <c r="T124" s="337">
        <v>-83</v>
      </c>
      <c r="U124" s="337"/>
      <c r="V124" s="338"/>
      <c r="W124" s="291"/>
      <c r="X124" s="5"/>
    </row>
    <row r="125" spans="1:25" ht="15.6" x14ac:dyDescent="0.3">
      <c r="A125" s="340"/>
      <c r="B125" s="288" t="s">
        <v>38</v>
      </c>
      <c r="C125" s="288"/>
      <c r="D125" s="288"/>
      <c r="E125" s="288"/>
      <c r="F125" s="288"/>
      <c r="G125" s="288"/>
      <c r="H125" s="288"/>
      <c r="I125" s="288"/>
      <c r="J125" s="288"/>
      <c r="K125" s="288"/>
      <c r="L125" s="288"/>
      <c r="M125" s="288"/>
      <c r="N125" s="288"/>
      <c r="O125" s="288"/>
      <c r="P125" s="288"/>
      <c r="Q125" s="288"/>
      <c r="R125" s="288"/>
      <c r="S125" s="288"/>
      <c r="T125" s="337">
        <f>-S189</f>
        <v>-115</v>
      </c>
      <c r="U125" s="337"/>
      <c r="V125" s="338"/>
      <c r="W125" s="291"/>
      <c r="X125" s="5"/>
    </row>
    <row r="126" spans="1:25" ht="15.6" x14ac:dyDescent="0.3">
      <c r="A126" s="340"/>
      <c r="B126" s="288" t="s">
        <v>197</v>
      </c>
      <c r="C126" s="288"/>
      <c r="D126" s="288"/>
      <c r="E126" s="288"/>
      <c r="F126" s="288"/>
      <c r="G126" s="288"/>
      <c r="H126" s="288"/>
      <c r="I126" s="288"/>
      <c r="J126" s="288"/>
      <c r="K126" s="288"/>
      <c r="L126" s="288"/>
      <c r="M126" s="288"/>
      <c r="N126" s="288"/>
      <c r="O126" s="288"/>
      <c r="P126" s="288"/>
      <c r="Q126" s="288"/>
      <c r="R126" s="288"/>
      <c r="S126" s="288"/>
      <c r="T126" s="337">
        <v>-4358</v>
      </c>
      <c r="U126" s="337"/>
      <c r="V126" s="338"/>
      <c r="W126" s="291"/>
      <c r="X126" s="5"/>
    </row>
    <row r="127" spans="1:25" ht="15.6" x14ac:dyDescent="0.3">
      <c r="A127" s="340"/>
      <c r="B127" s="288" t="s">
        <v>195</v>
      </c>
      <c r="C127" s="288"/>
      <c r="D127" s="288"/>
      <c r="E127" s="288"/>
      <c r="F127" s="288"/>
      <c r="G127" s="288"/>
      <c r="H127" s="288"/>
      <c r="I127" s="288"/>
      <c r="J127" s="288"/>
      <c r="K127" s="288"/>
      <c r="L127" s="288"/>
      <c r="M127" s="288"/>
      <c r="N127" s="288"/>
      <c r="O127" s="288"/>
      <c r="P127" s="288"/>
      <c r="Q127" s="288"/>
      <c r="R127" s="288"/>
      <c r="S127" s="288"/>
      <c r="T127" s="337">
        <v>-703</v>
      </c>
      <c r="U127" s="337"/>
      <c r="V127" s="338"/>
      <c r="W127" s="291"/>
      <c r="X127" s="5"/>
    </row>
    <row r="128" spans="1:25" ht="15.6" x14ac:dyDescent="0.3">
      <c r="A128" s="340"/>
      <c r="B128" s="288" t="s">
        <v>194</v>
      </c>
      <c r="C128" s="288"/>
      <c r="D128" s="288"/>
      <c r="E128" s="288"/>
      <c r="F128" s="288"/>
      <c r="G128" s="288"/>
      <c r="H128" s="288"/>
      <c r="I128" s="288"/>
      <c r="J128" s="288"/>
      <c r="K128" s="288"/>
      <c r="L128" s="288"/>
      <c r="M128" s="288"/>
      <c r="N128" s="288"/>
      <c r="O128" s="288"/>
      <c r="P128" s="288"/>
      <c r="Q128" s="288"/>
      <c r="R128" s="288"/>
      <c r="S128" s="288"/>
      <c r="T128" s="337">
        <v>-946</v>
      </c>
      <c r="U128" s="337"/>
      <c r="V128" s="338"/>
      <c r="W128" s="291"/>
      <c r="X128" s="5"/>
    </row>
    <row r="129" spans="1:24" ht="15.6" x14ac:dyDescent="0.3">
      <c r="A129" s="340"/>
      <c r="B129" s="288" t="s">
        <v>226</v>
      </c>
      <c r="C129" s="288"/>
      <c r="D129" s="288"/>
      <c r="E129" s="288"/>
      <c r="F129" s="288"/>
      <c r="G129" s="288"/>
      <c r="H129" s="288"/>
      <c r="I129" s="288"/>
      <c r="J129" s="288"/>
      <c r="K129" s="288"/>
      <c r="L129" s="288"/>
      <c r="M129" s="288"/>
      <c r="N129" s="288"/>
      <c r="O129" s="288"/>
      <c r="P129" s="288"/>
      <c r="Q129" s="288"/>
      <c r="R129" s="288"/>
      <c r="S129" s="288"/>
      <c r="T129" s="337">
        <v>-1162</v>
      </c>
      <c r="U129" s="337"/>
      <c r="V129" s="338"/>
      <c r="W129" s="291"/>
      <c r="X129" s="5"/>
    </row>
    <row r="130" spans="1:24" ht="15.6" x14ac:dyDescent="0.3">
      <c r="A130" s="340"/>
      <c r="B130" s="288" t="s">
        <v>189</v>
      </c>
      <c r="C130" s="288"/>
      <c r="D130" s="288"/>
      <c r="E130" s="288"/>
      <c r="F130" s="288"/>
      <c r="G130" s="288"/>
      <c r="H130" s="288"/>
      <c r="I130" s="288"/>
      <c r="J130" s="288"/>
      <c r="K130" s="288"/>
      <c r="L130" s="288"/>
      <c r="M130" s="288"/>
      <c r="N130" s="288"/>
      <c r="O130" s="288"/>
      <c r="P130" s="288"/>
      <c r="Q130" s="288"/>
      <c r="R130" s="288"/>
      <c r="S130" s="288"/>
      <c r="T130" s="337">
        <v>0</v>
      </c>
      <c r="U130" s="337"/>
      <c r="V130" s="338"/>
      <c r="W130" s="291"/>
      <c r="X130" s="5"/>
    </row>
    <row r="131" spans="1:24" ht="15.6" x14ac:dyDescent="0.3">
      <c r="A131" s="340"/>
      <c r="B131" s="288" t="s">
        <v>188</v>
      </c>
      <c r="C131" s="288"/>
      <c r="D131" s="288"/>
      <c r="E131" s="288"/>
      <c r="F131" s="288"/>
      <c r="G131" s="288"/>
      <c r="H131" s="288"/>
      <c r="I131" s="288"/>
      <c r="J131" s="288"/>
      <c r="K131" s="288"/>
      <c r="L131" s="288"/>
      <c r="M131" s="288"/>
      <c r="N131" s="288"/>
      <c r="O131" s="288"/>
      <c r="P131" s="288"/>
      <c r="Q131" s="288"/>
      <c r="R131" s="288"/>
      <c r="S131" s="288"/>
      <c r="T131" s="337">
        <v>0</v>
      </c>
      <c r="U131" s="337"/>
      <c r="V131" s="338"/>
      <c r="W131" s="291"/>
      <c r="X131" s="5"/>
    </row>
    <row r="132" spans="1:24" ht="15.6" x14ac:dyDescent="0.3">
      <c r="A132" s="340"/>
      <c r="B132" s="288" t="s">
        <v>227</v>
      </c>
      <c r="C132" s="288"/>
      <c r="D132" s="288"/>
      <c r="E132" s="288"/>
      <c r="F132" s="288"/>
      <c r="G132" s="288"/>
      <c r="H132" s="288"/>
      <c r="I132" s="288"/>
      <c r="J132" s="288"/>
      <c r="K132" s="288"/>
      <c r="L132" s="288"/>
      <c r="M132" s="288"/>
      <c r="N132" s="288"/>
      <c r="O132" s="288"/>
      <c r="P132" s="288"/>
      <c r="Q132" s="288"/>
      <c r="R132" s="288"/>
      <c r="S132" s="288"/>
      <c r="T132" s="337">
        <v>0</v>
      </c>
      <c r="U132" s="337"/>
      <c r="V132" s="338"/>
      <c r="W132" s="291"/>
      <c r="X132" s="5"/>
    </row>
    <row r="133" spans="1:24" ht="15.6" x14ac:dyDescent="0.3">
      <c r="A133" s="340"/>
      <c r="B133" s="288" t="s">
        <v>187</v>
      </c>
      <c r="C133" s="288"/>
      <c r="D133" s="288"/>
      <c r="E133" s="288"/>
      <c r="F133" s="288"/>
      <c r="G133" s="288"/>
      <c r="H133" s="288"/>
      <c r="I133" s="288"/>
      <c r="J133" s="288"/>
      <c r="K133" s="288"/>
      <c r="L133" s="288"/>
      <c r="M133" s="288"/>
      <c r="N133" s="288"/>
      <c r="O133" s="288"/>
      <c r="P133" s="288"/>
      <c r="Q133" s="288"/>
      <c r="R133" s="288"/>
      <c r="S133" s="288"/>
      <c r="T133" s="337">
        <v>0</v>
      </c>
      <c r="U133" s="337"/>
      <c r="V133" s="338"/>
      <c r="W133" s="291"/>
      <c r="X133" s="5"/>
    </row>
    <row r="134" spans="1:24" ht="15.6" x14ac:dyDescent="0.3">
      <c r="A134" s="340"/>
      <c r="B134" s="288" t="s">
        <v>39</v>
      </c>
      <c r="C134" s="288"/>
      <c r="D134" s="288"/>
      <c r="E134" s="288"/>
      <c r="F134" s="288"/>
      <c r="G134" s="288"/>
      <c r="H134" s="288"/>
      <c r="I134" s="288"/>
      <c r="J134" s="288"/>
      <c r="K134" s="288"/>
      <c r="L134" s="288"/>
      <c r="M134" s="288"/>
      <c r="N134" s="288"/>
      <c r="O134" s="288"/>
      <c r="P134" s="288"/>
      <c r="Q134" s="288"/>
      <c r="R134" s="288"/>
      <c r="S134" s="288"/>
      <c r="T134" s="337">
        <f>SUM(T123:T133)</f>
        <v>-7374</v>
      </c>
      <c r="U134" s="337"/>
      <c r="V134" s="337">
        <f>SUM(V102:V131)</f>
        <v>-7628</v>
      </c>
      <c r="W134" s="291"/>
      <c r="X134" s="5"/>
    </row>
    <row r="135" spans="1:24" ht="15.6" x14ac:dyDescent="0.3">
      <c r="A135" s="340"/>
      <c r="B135" s="288" t="s">
        <v>40</v>
      </c>
      <c r="C135" s="288"/>
      <c r="D135" s="288"/>
      <c r="E135" s="288"/>
      <c r="F135" s="288"/>
      <c r="G135" s="288"/>
      <c r="H135" s="288"/>
      <c r="I135" s="288"/>
      <c r="J135" s="288"/>
      <c r="K135" s="288"/>
      <c r="L135" s="288"/>
      <c r="M135" s="288"/>
      <c r="N135" s="288"/>
      <c r="O135" s="288"/>
      <c r="P135" s="288"/>
      <c r="Q135" s="288"/>
      <c r="R135" s="288"/>
      <c r="S135" s="288"/>
      <c r="T135" s="337">
        <f>T101+T134+T115</f>
        <v>0</v>
      </c>
      <c r="U135" s="337"/>
      <c r="V135" s="337">
        <f>V101+V134</f>
        <v>0</v>
      </c>
      <c r="W135" s="291"/>
      <c r="X135" s="5"/>
    </row>
    <row r="136" spans="1:24" ht="15.6" x14ac:dyDescent="0.3">
      <c r="A136" s="243"/>
      <c r="B136" s="284"/>
      <c r="C136" s="284"/>
      <c r="D136" s="284"/>
      <c r="E136" s="284"/>
      <c r="F136" s="284"/>
      <c r="G136" s="284"/>
      <c r="H136" s="284"/>
      <c r="I136" s="284"/>
      <c r="J136" s="284"/>
      <c r="K136" s="284"/>
      <c r="L136" s="284"/>
      <c r="M136" s="284"/>
      <c r="N136" s="284"/>
      <c r="O136" s="284"/>
      <c r="P136" s="284"/>
      <c r="Q136" s="284"/>
      <c r="R136" s="284"/>
      <c r="S136" s="284"/>
      <c r="T136" s="339"/>
      <c r="U136" s="339"/>
      <c r="V136" s="339"/>
      <c r="W136" s="284"/>
      <c r="X136" s="5"/>
    </row>
    <row r="137" spans="1:24" ht="15.6" x14ac:dyDescent="0.3">
      <c r="A137" s="243"/>
      <c r="B137" s="224"/>
      <c r="C137" s="224"/>
      <c r="D137" s="224"/>
      <c r="E137" s="224"/>
      <c r="F137" s="224"/>
      <c r="G137" s="224"/>
      <c r="H137" s="224"/>
      <c r="I137" s="224"/>
      <c r="J137" s="224"/>
      <c r="K137" s="224"/>
      <c r="L137" s="224"/>
      <c r="M137" s="224"/>
      <c r="N137" s="224"/>
      <c r="O137" s="224"/>
      <c r="P137" s="224"/>
      <c r="Q137" s="224"/>
      <c r="R137" s="224"/>
      <c r="S137" s="224"/>
      <c r="T137" s="224"/>
      <c r="U137" s="224"/>
      <c r="V137" s="244"/>
      <c r="W137" s="224"/>
      <c r="X137" s="5"/>
    </row>
    <row r="138" spans="1:24" ht="18" thickBot="1" x14ac:dyDescent="0.35">
      <c r="A138" s="245"/>
      <c r="B138" s="237" t="str">
        <f>B64</f>
        <v>PM14 INVESTOR REPORT QUARTER ENDING NOVEMBER 2010</v>
      </c>
      <c r="C138" s="238"/>
      <c r="D138" s="238"/>
      <c r="E138" s="238"/>
      <c r="F138" s="238"/>
      <c r="G138" s="238"/>
      <c r="H138" s="238"/>
      <c r="I138" s="238"/>
      <c r="J138" s="238"/>
      <c r="K138" s="238"/>
      <c r="L138" s="238"/>
      <c r="M138" s="238"/>
      <c r="N138" s="238"/>
      <c r="O138" s="238"/>
      <c r="P138" s="238"/>
      <c r="Q138" s="238"/>
      <c r="R138" s="238"/>
      <c r="S138" s="238"/>
      <c r="T138" s="238"/>
      <c r="U138" s="238"/>
      <c r="V138" s="246"/>
      <c r="W138" s="240"/>
      <c r="X138" s="5"/>
    </row>
    <row r="139" spans="1:24" ht="15.6" x14ac:dyDescent="0.3">
      <c r="A139" s="273"/>
      <c r="B139" s="397" t="s">
        <v>41</v>
      </c>
      <c r="C139" s="274"/>
      <c r="D139" s="274"/>
      <c r="E139" s="274"/>
      <c r="F139" s="274"/>
      <c r="G139" s="274"/>
      <c r="H139" s="274"/>
      <c r="I139" s="274"/>
      <c r="J139" s="274"/>
      <c r="K139" s="274"/>
      <c r="L139" s="274"/>
      <c r="M139" s="274"/>
      <c r="N139" s="274"/>
      <c r="O139" s="274"/>
      <c r="P139" s="274"/>
      <c r="Q139" s="274"/>
      <c r="R139" s="274"/>
      <c r="S139" s="274"/>
      <c r="T139" s="274"/>
      <c r="U139" s="274"/>
      <c r="V139" s="275"/>
      <c r="W139" s="274"/>
      <c r="X139" s="5"/>
    </row>
    <row r="140" spans="1:24" ht="15.6" x14ac:dyDescent="0.3">
      <c r="A140" s="183"/>
      <c r="B140" s="195"/>
      <c r="C140" s="185"/>
      <c r="D140" s="185"/>
      <c r="E140" s="185"/>
      <c r="F140" s="185"/>
      <c r="G140" s="185"/>
      <c r="H140" s="185"/>
      <c r="I140" s="185"/>
      <c r="J140" s="185"/>
      <c r="K140" s="185"/>
      <c r="L140" s="185"/>
      <c r="M140" s="185"/>
      <c r="N140" s="185"/>
      <c r="O140" s="185"/>
      <c r="P140" s="185"/>
      <c r="Q140" s="185"/>
      <c r="R140" s="185"/>
      <c r="S140" s="185"/>
      <c r="T140" s="185"/>
      <c r="U140" s="185"/>
      <c r="V140" s="201"/>
      <c r="W140" s="185"/>
      <c r="X140" s="5"/>
    </row>
    <row r="141" spans="1:24" ht="15.6" x14ac:dyDescent="0.3">
      <c r="A141" s="183"/>
      <c r="B141" s="208" t="s">
        <v>42</v>
      </c>
      <c r="C141" s="185"/>
      <c r="D141" s="185"/>
      <c r="E141" s="185"/>
      <c r="F141" s="185"/>
      <c r="G141" s="185"/>
      <c r="H141" s="185"/>
      <c r="I141" s="185"/>
      <c r="J141" s="185"/>
      <c r="K141" s="185"/>
      <c r="L141" s="185"/>
      <c r="M141" s="185"/>
      <c r="N141" s="185"/>
      <c r="O141" s="185"/>
      <c r="P141" s="185"/>
      <c r="Q141" s="185"/>
      <c r="R141" s="185"/>
      <c r="S141" s="185"/>
      <c r="T141" s="185"/>
      <c r="U141" s="185"/>
      <c r="V141" s="201"/>
      <c r="W141" s="185"/>
      <c r="X141" s="5"/>
    </row>
    <row r="142" spans="1:24" ht="15.6" x14ac:dyDescent="0.3">
      <c r="A142" s="287"/>
      <c r="B142" s="288" t="s">
        <v>43</v>
      </c>
      <c r="C142" s="288"/>
      <c r="D142" s="288"/>
      <c r="E142" s="288"/>
      <c r="F142" s="288"/>
      <c r="G142" s="288"/>
      <c r="H142" s="288"/>
      <c r="I142" s="288"/>
      <c r="J142" s="288"/>
      <c r="K142" s="288"/>
      <c r="L142" s="288"/>
      <c r="M142" s="288"/>
      <c r="N142" s="288"/>
      <c r="O142" s="288"/>
      <c r="P142" s="288"/>
      <c r="Q142" s="288"/>
      <c r="R142" s="288"/>
      <c r="S142" s="288"/>
      <c r="T142" s="288"/>
      <c r="U142" s="288"/>
      <c r="V142" s="338">
        <f>+V34*0.019</f>
        <v>28505.224999999999</v>
      </c>
      <c r="W142" s="291"/>
      <c r="X142" s="5"/>
    </row>
    <row r="143" spans="1:24" ht="15.6" x14ac:dyDescent="0.3">
      <c r="A143" s="287"/>
      <c r="B143" s="288" t="s">
        <v>44</v>
      </c>
      <c r="C143" s="288"/>
      <c r="D143" s="288"/>
      <c r="E143" s="288"/>
      <c r="F143" s="288"/>
      <c r="G143" s="288"/>
      <c r="H143" s="288"/>
      <c r="I143" s="288"/>
      <c r="J143" s="288"/>
      <c r="K143" s="288"/>
      <c r="L143" s="288"/>
      <c r="M143" s="288"/>
      <c r="N143" s="288"/>
      <c r="O143" s="288"/>
      <c r="P143" s="288"/>
      <c r="Q143" s="288"/>
      <c r="R143" s="288"/>
      <c r="S143" s="288"/>
      <c r="T143" s="288"/>
      <c r="U143" s="288"/>
      <c r="V143" s="338">
        <v>28505</v>
      </c>
      <c r="W143" s="291"/>
      <c r="X143" s="5"/>
    </row>
    <row r="144" spans="1:24" ht="15.6" x14ac:dyDescent="0.3">
      <c r="A144" s="287"/>
      <c r="B144" s="288" t="s">
        <v>136</v>
      </c>
      <c r="C144" s="288"/>
      <c r="D144" s="288"/>
      <c r="E144" s="288"/>
      <c r="F144" s="288"/>
      <c r="G144" s="288"/>
      <c r="H144" s="288"/>
      <c r="I144" s="288"/>
      <c r="J144" s="288"/>
      <c r="K144" s="288"/>
      <c r="L144" s="288"/>
      <c r="M144" s="288"/>
      <c r="N144" s="288"/>
      <c r="O144" s="288"/>
      <c r="P144" s="288"/>
      <c r="Q144" s="288"/>
      <c r="R144" s="288"/>
      <c r="S144" s="288"/>
      <c r="T144" s="288"/>
      <c r="U144" s="288"/>
      <c r="V144" s="338"/>
      <c r="W144" s="291"/>
      <c r="X144" s="5"/>
    </row>
    <row r="145" spans="1:25" ht="15.6" x14ac:dyDescent="0.3">
      <c r="A145" s="287"/>
      <c r="B145" s="288" t="s">
        <v>123</v>
      </c>
      <c r="C145" s="288"/>
      <c r="D145" s="288"/>
      <c r="E145" s="288"/>
      <c r="F145" s="288"/>
      <c r="G145" s="288"/>
      <c r="H145" s="288"/>
      <c r="I145" s="288"/>
      <c r="J145" s="288"/>
      <c r="K145" s="288"/>
      <c r="L145" s="288"/>
      <c r="M145" s="288"/>
      <c r="N145" s="288"/>
      <c r="O145" s="288"/>
      <c r="P145" s="288"/>
      <c r="Q145" s="288"/>
      <c r="R145" s="288"/>
      <c r="S145" s="288"/>
      <c r="T145" s="288"/>
      <c r="U145" s="288"/>
      <c r="V145" s="338">
        <v>0</v>
      </c>
      <c r="W145" s="291"/>
      <c r="X145" s="5"/>
    </row>
    <row r="146" spans="1:25" ht="15.6" x14ac:dyDescent="0.3">
      <c r="A146" s="287"/>
      <c r="B146" s="288" t="s">
        <v>124</v>
      </c>
      <c r="C146" s="288"/>
      <c r="D146" s="288"/>
      <c r="E146" s="288"/>
      <c r="F146" s="288"/>
      <c r="G146" s="288"/>
      <c r="H146" s="288"/>
      <c r="I146" s="288"/>
      <c r="J146" s="288"/>
      <c r="K146" s="288"/>
      <c r="L146" s="288"/>
      <c r="M146" s="288"/>
      <c r="N146" s="288"/>
      <c r="O146" s="288"/>
      <c r="P146" s="288"/>
      <c r="Q146" s="288"/>
      <c r="R146" s="288"/>
      <c r="S146" s="288"/>
      <c r="T146" s="288"/>
      <c r="U146" s="288"/>
      <c r="V146" s="338">
        <v>0</v>
      </c>
      <c r="W146" s="291"/>
      <c r="X146" s="5"/>
    </row>
    <row r="147" spans="1:25" ht="15.6" x14ac:dyDescent="0.3">
      <c r="A147" s="287"/>
      <c r="B147" s="288" t="s">
        <v>175</v>
      </c>
      <c r="C147" s="288"/>
      <c r="D147" s="288"/>
      <c r="E147" s="288"/>
      <c r="F147" s="288"/>
      <c r="G147" s="288"/>
      <c r="H147" s="288"/>
      <c r="I147" s="288"/>
      <c r="J147" s="288"/>
      <c r="K147" s="288"/>
      <c r="L147" s="288"/>
      <c r="M147" s="288"/>
      <c r="N147" s="288"/>
      <c r="O147" s="288"/>
      <c r="P147" s="288"/>
      <c r="Q147" s="288"/>
      <c r="R147" s="288"/>
      <c r="S147" s="288"/>
      <c r="T147" s="288"/>
      <c r="U147" s="288"/>
      <c r="V147" s="338">
        <v>0</v>
      </c>
      <c r="W147" s="291"/>
      <c r="X147" s="5"/>
    </row>
    <row r="148" spans="1:25" ht="15.6" x14ac:dyDescent="0.3">
      <c r="A148" s="287"/>
      <c r="B148" s="288" t="s">
        <v>45</v>
      </c>
      <c r="C148" s="288"/>
      <c r="D148" s="288"/>
      <c r="E148" s="288"/>
      <c r="F148" s="288"/>
      <c r="G148" s="288"/>
      <c r="H148" s="288"/>
      <c r="I148" s="288"/>
      <c r="J148" s="288"/>
      <c r="K148" s="288"/>
      <c r="L148" s="288"/>
      <c r="M148" s="288"/>
      <c r="N148" s="288"/>
      <c r="O148" s="288"/>
      <c r="P148" s="288"/>
      <c r="Q148" s="288"/>
      <c r="R148" s="288"/>
      <c r="S148" s="288"/>
      <c r="T148" s="288"/>
      <c r="U148" s="288"/>
      <c r="V148" s="338">
        <v>0</v>
      </c>
      <c r="W148" s="291"/>
      <c r="X148" s="5"/>
    </row>
    <row r="149" spans="1:25" ht="15.6" x14ac:dyDescent="0.3">
      <c r="A149" s="287"/>
      <c r="B149" s="288" t="s">
        <v>129</v>
      </c>
      <c r="C149" s="288"/>
      <c r="D149" s="288"/>
      <c r="E149" s="288"/>
      <c r="F149" s="288"/>
      <c r="G149" s="288"/>
      <c r="H149" s="288"/>
      <c r="I149" s="288"/>
      <c r="J149" s="288"/>
      <c r="K149" s="288"/>
      <c r="L149" s="288"/>
      <c r="M149" s="288"/>
      <c r="N149" s="288"/>
      <c r="O149" s="288"/>
      <c r="P149" s="288"/>
      <c r="Q149" s="288"/>
      <c r="R149" s="288"/>
      <c r="S149" s="288"/>
      <c r="T149" s="288"/>
      <c r="U149" s="288"/>
      <c r="V149" s="338">
        <v>0</v>
      </c>
      <c r="W149" s="291"/>
      <c r="X149" s="5"/>
    </row>
    <row r="150" spans="1:25" ht="15.6" x14ac:dyDescent="0.3">
      <c r="A150" s="287"/>
      <c r="B150" s="288" t="s">
        <v>267</v>
      </c>
      <c r="C150" s="288"/>
      <c r="D150" s="288"/>
      <c r="E150" s="288"/>
      <c r="F150" s="288"/>
      <c r="G150" s="288"/>
      <c r="H150" s="288"/>
      <c r="I150" s="288"/>
      <c r="J150" s="288"/>
      <c r="K150" s="288"/>
      <c r="L150" s="288"/>
      <c r="M150" s="288"/>
      <c r="N150" s="288"/>
      <c r="O150" s="288"/>
      <c r="P150" s="288"/>
      <c r="Q150" s="288"/>
      <c r="R150" s="288"/>
      <c r="S150" s="288"/>
      <c r="T150" s="288"/>
      <c r="U150" s="288"/>
      <c r="V150" s="338">
        <v>0</v>
      </c>
      <c r="W150" s="291"/>
      <c r="X150" s="5"/>
      <c r="Y150" s="109"/>
    </row>
    <row r="151" spans="1:25" ht="15.6" x14ac:dyDescent="0.3">
      <c r="A151" s="287"/>
      <c r="B151" s="288" t="s">
        <v>46</v>
      </c>
      <c r="C151" s="288"/>
      <c r="D151" s="288"/>
      <c r="E151" s="288"/>
      <c r="F151" s="288"/>
      <c r="G151" s="288"/>
      <c r="H151" s="288"/>
      <c r="I151" s="288"/>
      <c r="J151" s="288"/>
      <c r="K151" s="288"/>
      <c r="L151" s="288"/>
      <c r="M151" s="288"/>
      <c r="N151" s="288"/>
      <c r="O151" s="288"/>
      <c r="P151" s="288"/>
      <c r="Q151" s="288"/>
      <c r="R151" s="288"/>
      <c r="S151" s="288"/>
      <c r="T151" s="288"/>
      <c r="U151" s="288"/>
      <c r="V151" s="338">
        <f>SUM(V143:V150)</f>
        <v>28505</v>
      </c>
      <c r="W151" s="291"/>
      <c r="X151" s="5"/>
    </row>
    <row r="152" spans="1:25" ht="15.6" x14ac:dyDescent="0.3">
      <c r="A152" s="287"/>
      <c r="B152" s="314"/>
      <c r="C152" s="314"/>
      <c r="D152" s="314"/>
      <c r="E152" s="314"/>
      <c r="F152" s="314"/>
      <c r="G152" s="314"/>
      <c r="H152" s="314"/>
      <c r="I152" s="314"/>
      <c r="J152" s="314"/>
      <c r="K152" s="314"/>
      <c r="L152" s="314"/>
      <c r="M152" s="314"/>
      <c r="N152" s="314"/>
      <c r="O152" s="314"/>
      <c r="P152" s="314"/>
      <c r="Q152" s="314"/>
      <c r="R152" s="314"/>
      <c r="S152" s="314"/>
      <c r="T152" s="314"/>
      <c r="U152" s="314"/>
      <c r="V152" s="345"/>
      <c r="W152" s="318"/>
      <c r="X152" s="5"/>
    </row>
    <row r="153" spans="1:25" ht="15.6" x14ac:dyDescent="0.3">
      <c r="A153" s="287"/>
      <c r="B153" s="343" t="s">
        <v>237</v>
      </c>
      <c r="C153" s="314"/>
      <c r="D153" s="314"/>
      <c r="E153" s="314"/>
      <c r="F153" s="314"/>
      <c r="G153" s="314"/>
      <c r="H153" s="314"/>
      <c r="I153" s="314"/>
      <c r="J153" s="314"/>
      <c r="K153" s="314"/>
      <c r="L153" s="314"/>
      <c r="M153" s="314"/>
      <c r="N153" s="314"/>
      <c r="O153" s="314"/>
      <c r="P153" s="314"/>
      <c r="Q153" s="314"/>
      <c r="R153" s="314"/>
      <c r="S153" s="314"/>
      <c r="T153" s="314"/>
      <c r="U153" s="314"/>
      <c r="V153" s="345"/>
      <c r="W153" s="318"/>
      <c r="X153" s="5"/>
    </row>
    <row r="154" spans="1:25" ht="15.6" x14ac:dyDescent="0.3">
      <c r="A154" s="287"/>
      <c r="B154" s="288" t="s">
        <v>155</v>
      </c>
      <c r="C154" s="288"/>
      <c r="D154" s="288"/>
      <c r="E154" s="288"/>
      <c r="F154" s="288"/>
      <c r="G154" s="288"/>
      <c r="H154" s="288"/>
      <c r="I154" s="288"/>
      <c r="J154" s="288"/>
      <c r="K154" s="288"/>
      <c r="L154" s="288"/>
      <c r="M154" s="288"/>
      <c r="N154" s="288"/>
      <c r="O154" s="288"/>
      <c r="P154" s="288"/>
      <c r="Q154" s="288"/>
      <c r="R154" s="288"/>
      <c r="S154" s="288"/>
      <c r="T154" s="288"/>
      <c r="U154" s="288"/>
      <c r="V154" s="338">
        <v>7500</v>
      </c>
      <c r="W154" s="291"/>
      <c r="X154" s="5"/>
    </row>
    <row r="155" spans="1:25" ht="15.6" x14ac:dyDescent="0.3">
      <c r="A155" s="287"/>
      <c r="B155" s="288" t="s">
        <v>172</v>
      </c>
      <c r="C155" s="288"/>
      <c r="D155" s="288"/>
      <c r="E155" s="288"/>
      <c r="F155" s="288"/>
      <c r="G155" s="288"/>
      <c r="H155" s="288"/>
      <c r="I155" s="288"/>
      <c r="J155" s="288"/>
      <c r="K155" s="288"/>
      <c r="L155" s="288"/>
      <c r="M155" s="288"/>
      <c r="N155" s="288"/>
      <c r="O155" s="288"/>
      <c r="P155" s="288"/>
      <c r="Q155" s="288"/>
      <c r="R155" s="288"/>
      <c r="S155" s="288"/>
      <c r="T155" s="288"/>
      <c r="U155" s="288"/>
      <c r="V155" s="338">
        <v>0</v>
      </c>
      <c r="W155" s="291"/>
      <c r="X155" s="5"/>
    </row>
    <row r="156" spans="1:25" ht="15.6" x14ac:dyDescent="0.3">
      <c r="A156" s="287"/>
      <c r="B156" s="288" t="s">
        <v>305</v>
      </c>
      <c r="C156" s="288"/>
      <c r="D156" s="288"/>
      <c r="E156" s="288"/>
      <c r="F156" s="288"/>
      <c r="G156" s="288"/>
      <c r="H156" s="288"/>
      <c r="I156" s="288"/>
      <c r="J156" s="288"/>
      <c r="K156" s="288"/>
      <c r="L156" s="288"/>
      <c r="M156" s="288"/>
      <c r="N156" s="288"/>
      <c r="O156" s="288"/>
      <c r="P156" s="288"/>
      <c r="Q156" s="288"/>
      <c r="R156" s="288"/>
      <c r="S156" s="288"/>
      <c r="T156" s="288"/>
      <c r="U156" s="288"/>
      <c r="V156" s="338">
        <v>2101</v>
      </c>
      <c r="W156" s="291"/>
      <c r="X156" s="5"/>
    </row>
    <row r="157" spans="1:25" ht="15.6" x14ac:dyDescent="0.3">
      <c r="A157" s="287"/>
      <c r="B157" s="288"/>
      <c r="C157" s="288"/>
      <c r="D157" s="288"/>
      <c r="E157" s="288"/>
      <c r="F157" s="288"/>
      <c r="G157" s="288"/>
      <c r="H157" s="288"/>
      <c r="I157" s="288"/>
      <c r="J157" s="288"/>
      <c r="K157" s="288"/>
      <c r="L157" s="288"/>
      <c r="M157" s="288"/>
      <c r="N157" s="288"/>
      <c r="O157" s="288"/>
      <c r="P157" s="288"/>
      <c r="Q157" s="288"/>
      <c r="R157" s="288"/>
      <c r="S157" s="288"/>
      <c r="T157" s="288"/>
      <c r="U157" s="288"/>
      <c r="V157" s="338"/>
      <c r="W157" s="291"/>
      <c r="X157" s="5"/>
    </row>
    <row r="158" spans="1:25" ht="15.6" x14ac:dyDescent="0.3">
      <c r="A158" s="183"/>
      <c r="B158" s="198"/>
      <c r="C158" s="198"/>
      <c r="D158" s="198"/>
      <c r="E158" s="198"/>
      <c r="F158" s="198"/>
      <c r="G158" s="198"/>
      <c r="H158" s="198"/>
      <c r="I158" s="198"/>
      <c r="J158" s="198"/>
      <c r="K158" s="198"/>
      <c r="L158" s="198"/>
      <c r="M158" s="198"/>
      <c r="N158" s="198"/>
      <c r="O158" s="198"/>
      <c r="P158" s="198"/>
      <c r="Q158" s="198"/>
      <c r="R158" s="198"/>
      <c r="S158" s="198"/>
      <c r="T158" s="198"/>
      <c r="U158" s="198"/>
      <c r="V158" s="347"/>
      <c r="W158" s="198"/>
      <c r="X158" s="5"/>
    </row>
    <row r="159" spans="1:25" ht="15.6" x14ac:dyDescent="0.3">
      <c r="A159" s="183"/>
      <c r="B159" s="208" t="s">
        <v>24</v>
      </c>
      <c r="C159" s="185"/>
      <c r="D159" s="185"/>
      <c r="E159" s="185"/>
      <c r="F159" s="185"/>
      <c r="G159" s="185"/>
      <c r="H159" s="185"/>
      <c r="I159" s="185"/>
      <c r="J159" s="185"/>
      <c r="K159" s="185"/>
      <c r="L159" s="185"/>
      <c r="M159" s="185"/>
      <c r="N159" s="185"/>
      <c r="O159" s="185"/>
      <c r="P159" s="185"/>
      <c r="Q159" s="185"/>
      <c r="R159" s="185"/>
      <c r="S159" s="185"/>
      <c r="T159" s="185"/>
      <c r="U159" s="185"/>
      <c r="V159" s="201"/>
      <c r="W159" s="185"/>
      <c r="X159" s="5"/>
    </row>
    <row r="160" spans="1:25" ht="15.6" x14ac:dyDescent="0.3">
      <c r="A160" s="287"/>
      <c r="B160" s="288" t="s">
        <v>47</v>
      </c>
      <c r="C160" s="288"/>
      <c r="D160" s="288"/>
      <c r="E160" s="288"/>
      <c r="F160" s="288"/>
      <c r="G160" s="288"/>
      <c r="H160" s="288"/>
      <c r="I160" s="288"/>
      <c r="J160" s="288"/>
      <c r="K160" s="288"/>
      <c r="L160" s="288"/>
      <c r="M160" s="288"/>
      <c r="N160" s="288"/>
      <c r="O160" s="288"/>
      <c r="P160" s="288"/>
      <c r="Q160" s="288"/>
      <c r="R160" s="288"/>
      <c r="S160" s="288"/>
      <c r="T160" s="288"/>
      <c r="U160" s="288"/>
      <c r="V160" s="348" t="s">
        <v>118</v>
      </c>
      <c r="W160" s="291"/>
      <c r="X160" s="5"/>
    </row>
    <row r="161" spans="1:256" ht="15.6" x14ac:dyDescent="0.3">
      <c r="A161" s="287"/>
      <c r="B161" s="288" t="s">
        <v>48</v>
      </c>
      <c r="C161" s="290"/>
      <c r="D161" s="290"/>
      <c r="E161" s="290"/>
      <c r="F161" s="290"/>
      <c r="G161" s="290"/>
      <c r="H161" s="290"/>
      <c r="I161" s="290"/>
      <c r="J161" s="290"/>
      <c r="K161" s="290"/>
      <c r="L161" s="290"/>
      <c r="M161" s="290"/>
      <c r="N161" s="290"/>
      <c r="O161" s="290"/>
      <c r="P161" s="290"/>
      <c r="Q161" s="290"/>
      <c r="R161" s="290"/>
      <c r="S161" s="290"/>
      <c r="T161" s="290"/>
      <c r="U161" s="290"/>
      <c r="V161" s="348" t="s">
        <v>118</v>
      </c>
      <c r="W161" s="291"/>
      <c r="X161" s="5"/>
    </row>
    <row r="162" spans="1:256" ht="15.6" x14ac:dyDescent="0.3">
      <c r="A162" s="287"/>
      <c r="B162" s="288" t="s">
        <v>49</v>
      </c>
      <c r="C162" s="288"/>
      <c r="D162" s="288"/>
      <c r="E162" s="288"/>
      <c r="F162" s="288"/>
      <c r="G162" s="288"/>
      <c r="H162" s="288"/>
      <c r="I162" s="288"/>
      <c r="J162" s="288"/>
      <c r="K162" s="288"/>
      <c r="L162" s="288"/>
      <c r="M162" s="288"/>
      <c r="N162" s="288"/>
      <c r="O162" s="288"/>
      <c r="P162" s="288"/>
      <c r="Q162" s="288"/>
      <c r="R162" s="288"/>
      <c r="S162" s="288"/>
      <c r="T162" s="288"/>
      <c r="U162" s="288"/>
      <c r="V162" s="348" t="s">
        <v>118</v>
      </c>
      <c r="W162" s="291"/>
      <c r="X162" s="5"/>
    </row>
    <row r="163" spans="1:256" ht="15.6" x14ac:dyDescent="0.3">
      <c r="A163" s="287"/>
      <c r="B163" s="288" t="s">
        <v>50</v>
      </c>
      <c r="C163" s="288"/>
      <c r="D163" s="288"/>
      <c r="E163" s="288"/>
      <c r="F163" s="288"/>
      <c r="G163" s="288"/>
      <c r="H163" s="288"/>
      <c r="I163" s="288"/>
      <c r="J163" s="288"/>
      <c r="K163" s="288"/>
      <c r="L163" s="288"/>
      <c r="M163" s="288"/>
      <c r="N163" s="288"/>
      <c r="O163" s="288"/>
      <c r="P163" s="288"/>
      <c r="Q163" s="288"/>
      <c r="R163" s="288"/>
      <c r="S163" s="288"/>
      <c r="T163" s="288"/>
      <c r="U163" s="288"/>
      <c r="V163" s="348" t="s">
        <v>118</v>
      </c>
      <c r="W163" s="291"/>
      <c r="X163" s="5"/>
    </row>
    <row r="164" spans="1:256" ht="15.6" x14ac:dyDescent="0.3">
      <c r="A164" s="183"/>
      <c r="B164" s="198"/>
      <c r="C164" s="198"/>
      <c r="D164" s="198"/>
      <c r="E164" s="198"/>
      <c r="F164" s="198"/>
      <c r="G164" s="198"/>
      <c r="H164" s="198"/>
      <c r="I164" s="198"/>
      <c r="J164" s="198"/>
      <c r="K164" s="198"/>
      <c r="L164" s="198"/>
      <c r="M164" s="198"/>
      <c r="N164" s="198"/>
      <c r="O164" s="198"/>
      <c r="P164" s="198"/>
      <c r="Q164" s="198"/>
      <c r="R164" s="198"/>
      <c r="S164" s="198"/>
      <c r="T164" s="198"/>
      <c r="U164" s="198"/>
      <c r="V164" s="347"/>
      <c r="W164" s="198"/>
      <c r="X164" s="5"/>
    </row>
    <row r="165" spans="1:256" ht="15.6" x14ac:dyDescent="0.3">
      <c r="A165" s="183"/>
      <c r="B165" s="208" t="s">
        <v>51</v>
      </c>
      <c r="C165" s="185"/>
      <c r="D165" s="185"/>
      <c r="E165" s="185"/>
      <c r="F165" s="185"/>
      <c r="G165" s="185"/>
      <c r="H165" s="185"/>
      <c r="I165" s="185"/>
      <c r="J165" s="185"/>
      <c r="K165" s="185"/>
      <c r="L165" s="185"/>
      <c r="M165" s="185"/>
      <c r="N165" s="185"/>
      <c r="O165" s="185"/>
      <c r="P165" s="185"/>
      <c r="Q165" s="185"/>
      <c r="R165" s="185"/>
      <c r="S165" s="185"/>
      <c r="T165" s="185"/>
      <c r="U165" s="185"/>
      <c r="V165" s="209"/>
      <c r="W165" s="185"/>
      <c r="X165" s="5"/>
    </row>
    <row r="166" spans="1:256" ht="15.6" x14ac:dyDescent="0.3">
      <c r="A166" s="287"/>
      <c r="B166" s="288" t="s">
        <v>52</v>
      </c>
      <c r="C166" s="288"/>
      <c r="D166" s="288"/>
      <c r="E166" s="288"/>
      <c r="F166" s="288"/>
      <c r="G166" s="288"/>
      <c r="H166" s="288"/>
      <c r="I166" s="288"/>
      <c r="J166" s="288"/>
      <c r="K166" s="288"/>
      <c r="L166" s="288"/>
      <c r="M166" s="288"/>
      <c r="N166" s="288"/>
      <c r="O166" s="288"/>
      <c r="P166" s="288"/>
      <c r="Q166" s="288"/>
      <c r="R166" s="288"/>
      <c r="S166" s="288"/>
      <c r="T166" s="288"/>
      <c r="U166" s="288"/>
      <c r="V166" s="338">
        <v>0</v>
      </c>
      <c r="W166" s="291"/>
      <c r="X166" s="5"/>
    </row>
    <row r="167" spans="1:256" ht="15.6" x14ac:dyDescent="0.3">
      <c r="A167" s="287"/>
      <c r="B167" s="288" t="s">
        <v>53</v>
      </c>
      <c r="C167" s="288"/>
      <c r="D167" s="288"/>
      <c r="E167" s="288"/>
      <c r="F167" s="288"/>
      <c r="G167" s="288"/>
      <c r="H167" s="288"/>
      <c r="I167" s="288"/>
      <c r="J167" s="288"/>
      <c r="K167" s="288"/>
      <c r="L167" s="288"/>
      <c r="M167" s="288"/>
      <c r="N167" s="288"/>
      <c r="O167" s="288"/>
      <c r="P167" s="288"/>
      <c r="Q167" s="288"/>
      <c r="R167" s="288"/>
      <c r="S167" s="288"/>
      <c r="T167" s="288"/>
      <c r="U167" s="288"/>
      <c r="V167" s="338">
        <v>229</v>
      </c>
      <c r="W167" s="291"/>
      <c r="X167" s="5"/>
    </row>
    <row r="168" spans="1:256" ht="15.6" x14ac:dyDescent="0.3">
      <c r="A168" s="287"/>
      <c r="B168" s="288" t="s">
        <v>54</v>
      </c>
      <c r="C168" s="288"/>
      <c r="D168" s="288"/>
      <c r="E168" s="288"/>
      <c r="F168" s="288"/>
      <c r="G168" s="288"/>
      <c r="H168" s="288"/>
      <c r="I168" s="288"/>
      <c r="J168" s="288"/>
      <c r="K168" s="288"/>
      <c r="L168" s="288"/>
      <c r="M168" s="288"/>
      <c r="N168" s="288"/>
      <c r="O168" s="288"/>
      <c r="P168" s="288"/>
      <c r="Q168" s="288"/>
      <c r="R168" s="288"/>
      <c r="S168" s="288"/>
      <c r="T168" s="288"/>
      <c r="U168" s="288"/>
      <c r="V168" s="338">
        <f>V167+V166</f>
        <v>229</v>
      </c>
      <c r="W168" s="291"/>
      <c r="X168" s="5"/>
    </row>
    <row r="169" spans="1:256" ht="15.6" x14ac:dyDescent="0.3">
      <c r="A169" s="287"/>
      <c r="B169" s="288" t="s">
        <v>315</v>
      </c>
      <c r="C169" s="288"/>
      <c r="D169" s="288"/>
      <c r="E169" s="288"/>
      <c r="F169" s="288"/>
      <c r="G169" s="288"/>
      <c r="H169" s="288"/>
      <c r="I169" s="288"/>
      <c r="J169" s="288"/>
      <c r="K169" s="288"/>
      <c r="L169" s="288"/>
      <c r="M169" s="288"/>
      <c r="N169" s="288"/>
      <c r="O169" s="288"/>
      <c r="P169" s="288"/>
      <c r="Q169" s="288"/>
      <c r="R169" s="288"/>
      <c r="S169" s="288"/>
      <c r="T169" s="288"/>
      <c r="U169" s="288"/>
      <c r="V169" s="338">
        <f>V115</f>
        <v>-229</v>
      </c>
      <c r="W169" s="291"/>
      <c r="X169" s="5"/>
    </row>
    <row r="170" spans="1:256" ht="15.6" x14ac:dyDescent="0.3">
      <c r="A170" s="287"/>
      <c r="B170" s="288" t="s">
        <v>55</v>
      </c>
      <c r="C170" s="288"/>
      <c r="D170" s="288"/>
      <c r="E170" s="288"/>
      <c r="F170" s="288"/>
      <c r="G170" s="288"/>
      <c r="H170" s="288"/>
      <c r="I170" s="288"/>
      <c r="J170" s="288"/>
      <c r="K170" s="288"/>
      <c r="L170" s="288"/>
      <c r="M170" s="288"/>
      <c r="N170" s="288"/>
      <c r="O170" s="288"/>
      <c r="P170" s="288"/>
      <c r="Q170" s="288"/>
      <c r="R170" s="288"/>
      <c r="S170" s="288"/>
      <c r="T170" s="288"/>
      <c r="U170" s="288"/>
      <c r="V170" s="338">
        <f>V168+V169</f>
        <v>0</v>
      </c>
      <c r="W170" s="291"/>
      <c r="X170" s="5"/>
    </row>
    <row r="171" spans="1:256" ht="15.6" x14ac:dyDescent="0.3">
      <c r="A171" s="287"/>
      <c r="B171" s="288" t="s">
        <v>283</v>
      </c>
      <c r="C171" s="288"/>
      <c r="D171" s="288"/>
      <c r="E171" s="288"/>
      <c r="F171" s="288"/>
      <c r="G171" s="288"/>
      <c r="H171" s="288"/>
      <c r="I171" s="288"/>
      <c r="J171" s="288"/>
      <c r="K171" s="288"/>
      <c r="L171" s="288"/>
      <c r="M171" s="288"/>
      <c r="N171" s="288"/>
      <c r="O171" s="288"/>
      <c r="P171" s="288"/>
      <c r="Q171" s="288"/>
      <c r="R171" s="288"/>
      <c r="S171" s="288"/>
      <c r="T171" s="288"/>
      <c r="U171" s="288"/>
      <c r="V171" s="338">
        <f>-V100</f>
        <v>15</v>
      </c>
      <c r="W171" s="291"/>
      <c r="X171" s="5"/>
    </row>
    <row r="172" spans="1:256" ht="16.2" thickBot="1" x14ac:dyDescent="0.35">
      <c r="A172" s="183"/>
      <c r="B172" s="284"/>
      <c r="C172" s="284"/>
      <c r="D172" s="284"/>
      <c r="E172" s="284"/>
      <c r="F172" s="284"/>
      <c r="G172" s="284"/>
      <c r="H172" s="284"/>
      <c r="I172" s="284"/>
      <c r="J172" s="284"/>
      <c r="K172" s="284"/>
      <c r="L172" s="284"/>
      <c r="M172" s="284"/>
      <c r="N172" s="284"/>
      <c r="O172" s="284"/>
      <c r="P172" s="284"/>
      <c r="Q172" s="284"/>
      <c r="R172" s="284"/>
      <c r="S172" s="284"/>
      <c r="T172" s="284"/>
      <c r="U172" s="284"/>
      <c r="V172" s="349"/>
      <c r="W172" s="284"/>
      <c r="X172" s="5"/>
    </row>
    <row r="173" spans="1:256" ht="15.6" x14ac:dyDescent="0.3">
      <c r="A173" s="180"/>
      <c r="B173" s="247"/>
      <c r="C173" s="247"/>
      <c r="D173" s="247"/>
      <c r="E173" s="247"/>
      <c r="F173" s="247"/>
      <c r="G173" s="247"/>
      <c r="H173" s="247"/>
      <c r="I173" s="247"/>
      <c r="J173" s="247"/>
      <c r="K173" s="247"/>
      <c r="L173" s="247"/>
      <c r="M173" s="247"/>
      <c r="N173" s="247"/>
      <c r="O173" s="247"/>
      <c r="P173" s="247"/>
      <c r="Q173" s="247"/>
      <c r="R173" s="247"/>
      <c r="S173" s="247"/>
      <c r="T173" s="247"/>
      <c r="U173" s="247"/>
      <c r="V173" s="248"/>
      <c r="W173" s="247"/>
      <c r="X173" s="5"/>
    </row>
    <row r="174" spans="1:256" s="161" customFormat="1" ht="15.6" x14ac:dyDescent="0.3">
      <c r="A174" s="183"/>
      <c r="B174" s="208" t="s">
        <v>269</v>
      </c>
      <c r="C174" s="198"/>
      <c r="D174" s="198"/>
      <c r="E174" s="198"/>
      <c r="F174" s="198"/>
      <c r="G174" s="198"/>
      <c r="H174" s="198"/>
      <c r="I174" s="198"/>
      <c r="J174" s="198"/>
      <c r="K174" s="198"/>
      <c r="L174" s="198"/>
      <c r="M174" s="198"/>
      <c r="N174" s="198"/>
      <c r="O174" s="198"/>
      <c r="P174" s="198"/>
      <c r="Q174" s="198"/>
      <c r="R174" s="198"/>
      <c r="S174" s="198"/>
      <c r="T174" s="198"/>
      <c r="U174" s="198"/>
      <c r="V174" s="210"/>
      <c r="W174" s="198"/>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5.6" x14ac:dyDescent="0.3">
      <c r="A175" s="287"/>
      <c r="B175" s="288" t="s">
        <v>270</v>
      </c>
      <c r="C175" s="288"/>
      <c r="D175" s="288"/>
      <c r="E175" s="288"/>
      <c r="F175" s="288"/>
      <c r="G175" s="288"/>
      <c r="H175" s="288"/>
      <c r="I175" s="288"/>
      <c r="J175" s="288"/>
      <c r="K175" s="288"/>
      <c r="L175" s="288"/>
      <c r="M175" s="288"/>
      <c r="N175" s="288"/>
      <c r="O175" s="288"/>
      <c r="P175" s="288"/>
      <c r="Q175" s="288"/>
      <c r="R175" s="288"/>
      <c r="S175" s="288"/>
      <c r="T175" s="288"/>
      <c r="U175" s="288"/>
      <c r="V175" s="338">
        <f>+'Aug 08'!V177</f>
        <v>0</v>
      </c>
      <c r="W175" s="291"/>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3" customFormat="1" ht="15.6" x14ac:dyDescent="0.3">
      <c r="A176" s="287"/>
      <c r="B176" s="288" t="s">
        <v>273</v>
      </c>
      <c r="C176" s="288"/>
      <c r="D176" s="288"/>
      <c r="E176" s="288"/>
      <c r="F176" s="288"/>
      <c r="G176" s="288"/>
      <c r="H176" s="288"/>
      <c r="I176" s="288"/>
      <c r="J176" s="288"/>
      <c r="K176" s="288"/>
      <c r="L176" s="288"/>
      <c r="M176" s="288"/>
      <c r="N176" s="288"/>
      <c r="O176" s="288"/>
      <c r="P176" s="288"/>
      <c r="Q176" s="288"/>
      <c r="R176" s="288"/>
      <c r="S176" s="288"/>
      <c r="T176" s="288"/>
      <c r="U176" s="288"/>
      <c r="V176" s="338">
        <f>+V94</f>
        <v>0</v>
      </c>
      <c r="W176" s="291"/>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s="163" customFormat="1" ht="15.6" x14ac:dyDescent="0.3">
      <c r="A177" s="287"/>
      <c r="B177" s="288" t="s">
        <v>271</v>
      </c>
      <c r="C177" s="288"/>
      <c r="D177" s="288"/>
      <c r="E177" s="288"/>
      <c r="F177" s="288"/>
      <c r="G177" s="288"/>
      <c r="H177" s="288"/>
      <c r="I177" s="288"/>
      <c r="J177" s="288"/>
      <c r="K177" s="288"/>
      <c r="L177" s="288"/>
      <c r="M177" s="288"/>
      <c r="N177" s="288"/>
      <c r="O177" s="288"/>
      <c r="P177" s="288"/>
      <c r="Q177" s="288"/>
      <c r="R177" s="288"/>
      <c r="S177" s="288"/>
      <c r="T177" s="288"/>
      <c r="U177" s="288"/>
      <c r="V177" s="338">
        <f>+V175-V176</f>
        <v>0</v>
      </c>
      <c r="W177" s="291"/>
      <c r="X177" s="5"/>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s="166" customFormat="1" ht="16.2" thickBot="1" x14ac:dyDescent="0.35">
      <c r="A178" s="199"/>
      <c r="B178" s="198"/>
      <c r="C178" s="198"/>
      <c r="D178" s="198"/>
      <c r="E178" s="198"/>
      <c r="F178" s="198"/>
      <c r="G178" s="198"/>
      <c r="H178" s="198"/>
      <c r="I178" s="198"/>
      <c r="J178" s="198"/>
      <c r="K178" s="198"/>
      <c r="L178" s="198"/>
      <c r="M178" s="198"/>
      <c r="N178" s="198"/>
      <c r="O178" s="198"/>
      <c r="P178" s="198"/>
      <c r="Q178" s="198"/>
      <c r="R178" s="198"/>
      <c r="S178" s="198"/>
      <c r="T178" s="198"/>
      <c r="U178" s="198"/>
      <c r="V178" s="347"/>
      <c r="W178" s="198"/>
      <c r="X178" s="5"/>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s="167" customFormat="1" ht="15.6" x14ac:dyDescent="0.3">
      <c r="A179" s="180"/>
      <c r="B179" s="181"/>
      <c r="C179" s="181"/>
      <c r="D179" s="181"/>
      <c r="E179" s="181"/>
      <c r="F179" s="181"/>
      <c r="G179" s="181"/>
      <c r="H179" s="181"/>
      <c r="I179" s="181"/>
      <c r="J179" s="181"/>
      <c r="K179" s="181"/>
      <c r="L179" s="181"/>
      <c r="M179" s="181"/>
      <c r="N179" s="181"/>
      <c r="O179" s="181"/>
      <c r="P179" s="181"/>
      <c r="Q179" s="181"/>
      <c r="R179" s="181"/>
      <c r="S179" s="181"/>
      <c r="T179" s="181"/>
      <c r="U179" s="181"/>
      <c r="V179" s="200"/>
      <c r="W179" s="181"/>
      <c r="X179" s="5"/>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ht="15.6" x14ac:dyDescent="0.3">
      <c r="A180" s="183"/>
      <c r="B180" s="208" t="s">
        <v>56</v>
      </c>
      <c r="C180" s="185"/>
      <c r="D180" s="185"/>
      <c r="E180" s="185"/>
      <c r="F180" s="185"/>
      <c r="G180" s="185"/>
      <c r="H180" s="185"/>
      <c r="I180" s="185"/>
      <c r="J180" s="185"/>
      <c r="K180" s="185"/>
      <c r="L180" s="185"/>
      <c r="M180" s="185"/>
      <c r="N180" s="185"/>
      <c r="O180" s="185"/>
      <c r="P180" s="185"/>
      <c r="Q180" s="185"/>
      <c r="R180" s="185"/>
      <c r="S180" s="185"/>
      <c r="T180" s="185"/>
      <c r="U180" s="185"/>
      <c r="V180" s="201"/>
      <c r="W180" s="185"/>
      <c r="X180" s="5"/>
    </row>
    <row r="181" spans="1:256" ht="15.6" x14ac:dyDescent="0.3">
      <c r="A181" s="183"/>
      <c r="B181" s="195"/>
      <c r="C181" s="185"/>
      <c r="D181" s="185"/>
      <c r="E181" s="185"/>
      <c r="F181" s="185"/>
      <c r="G181" s="185"/>
      <c r="H181" s="185"/>
      <c r="I181" s="185"/>
      <c r="J181" s="185"/>
      <c r="K181" s="185"/>
      <c r="L181" s="185"/>
      <c r="M181" s="185"/>
      <c r="N181" s="185"/>
      <c r="O181" s="185"/>
      <c r="P181" s="185"/>
      <c r="Q181" s="185"/>
      <c r="R181" s="185"/>
      <c r="S181" s="185"/>
      <c r="T181" s="185"/>
      <c r="U181" s="185"/>
      <c r="V181" s="201"/>
      <c r="W181" s="185"/>
      <c r="X181" s="5"/>
    </row>
    <row r="182" spans="1:256" ht="15.6" x14ac:dyDescent="0.3">
      <c r="A182" s="287"/>
      <c r="B182" s="288" t="s">
        <v>57</v>
      </c>
      <c r="C182" s="288"/>
      <c r="D182" s="288"/>
      <c r="E182" s="288"/>
      <c r="F182" s="288"/>
      <c r="G182" s="288"/>
      <c r="H182" s="288"/>
      <c r="I182" s="288"/>
      <c r="J182" s="288"/>
      <c r="K182" s="288"/>
      <c r="L182" s="288"/>
      <c r="M182" s="288"/>
      <c r="N182" s="288"/>
      <c r="O182" s="288"/>
      <c r="P182" s="288"/>
      <c r="Q182" s="288"/>
      <c r="R182" s="288"/>
      <c r="S182" s="288"/>
      <c r="T182" s="288"/>
      <c r="U182" s="288"/>
      <c r="V182" s="338">
        <f>V71</f>
        <v>1162055</v>
      </c>
      <c r="W182" s="291"/>
      <c r="X182" s="5"/>
    </row>
    <row r="183" spans="1:256" ht="15.6" x14ac:dyDescent="0.3">
      <c r="A183" s="287"/>
      <c r="B183" s="288" t="s">
        <v>58</v>
      </c>
      <c r="C183" s="288"/>
      <c r="D183" s="288"/>
      <c r="E183" s="288"/>
      <c r="F183" s="288"/>
      <c r="G183" s="288"/>
      <c r="H183" s="288"/>
      <c r="I183" s="288"/>
      <c r="J183" s="288"/>
      <c r="K183" s="288"/>
      <c r="L183" s="288"/>
      <c r="M183" s="288"/>
      <c r="N183" s="288"/>
      <c r="O183" s="288"/>
      <c r="P183" s="288"/>
      <c r="Q183" s="288"/>
      <c r="R183" s="288"/>
      <c r="S183" s="288"/>
      <c r="T183" s="288"/>
      <c r="U183" s="288"/>
      <c r="V183" s="338">
        <f>V84</f>
        <v>1162055</v>
      </c>
      <c r="W183" s="291"/>
      <c r="X183" s="5"/>
    </row>
    <row r="184" spans="1:256" ht="16.2" thickBot="1" x14ac:dyDescent="0.35">
      <c r="A184" s="183"/>
      <c r="B184" s="198"/>
      <c r="C184" s="198"/>
      <c r="D184" s="198"/>
      <c r="E184" s="198"/>
      <c r="F184" s="198"/>
      <c r="G184" s="198"/>
      <c r="H184" s="198"/>
      <c r="I184" s="198"/>
      <c r="J184" s="198"/>
      <c r="K184" s="198"/>
      <c r="L184" s="198"/>
      <c r="M184" s="198"/>
      <c r="N184" s="198"/>
      <c r="O184" s="198"/>
      <c r="P184" s="198"/>
      <c r="Q184" s="198"/>
      <c r="R184" s="198"/>
      <c r="S184" s="198"/>
      <c r="T184" s="198"/>
      <c r="U184" s="198"/>
      <c r="V184" s="347"/>
      <c r="W184" s="198"/>
      <c r="X184" s="5"/>
    </row>
    <row r="185" spans="1:256" ht="15.6" x14ac:dyDescent="0.3">
      <c r="A185" s="180"/>
      <c r="B185" s="181"/>
      <c r="C185" s="181"/>
      <c r="D185" s="181"/>
      <c r="E185" s="181"/>
      <c r="F185" s="181"/>
      <c r="G185" s="181"/>
      <c r="H185" s="181"/>
      <c r="I185" s="181"/>
      <c r="J185" s="181"/>
      <c r="K185" s="181"/>
      <c r="L185" s="181"/>
      <c r="M185" s="181"/>
      <c r="N185" s="181"/>
      <c r="O185" s="181"/>
      <c r="P185" s="181"/>
      <c r="Q185" s="181"/>
      <c r="R185" s="181"/>
      <c r="S185" s="181"/>
      <c r="T185" s="181"/>
      <c r="U185" s="181"/>
      <c r="V185" s="200"/>
      <c r="W185" s="181"/>
      <c r="X185" s="5"/>
    </row>
    <row r="186" spans="1:256" ht="15.6" x14ac:dyDescent="0.3">
      <c r="A186" s="183"/>
      <c r="B186" s="208" t="s">
        <v>59</v>
      </c>
      <c r="C186" s="205"/>
      <c r="D186" s="205"/>
      <c r="E186" s="205"/>
      <c r="F186" s="205"/>
      <c r="G186" s="205"/>
      <c r="H186" s="211"/>
      <c r="I186" s="211"/>
      <c r="J186" s="211"/>
      <c r="K186" s="211"/>
      <c r="L186" s="211"/>
      <c r="M186" s="211"/>
      <c r="N186" s="211"/>
      <c r="O186" s="211"/>
      <c r="P186" s="211"/>
      <c r="Q186" s="211"/>
      <c r="R186" s="211"/>
      <c r="S186" s="211" t="s">
        <v>101</v>
      </c>
      <c r="T186" s="211" t="s">
        <v>176</v>
      </c>
      <c r="U186" s="187"/>
      <c r="V186" s="212" t="s">
        <v>114</v>
      </c>
      <c r="W186" s="213"/>
      <c r="X186" s="5"/>
    </row>
    <row r="187" spans="1:256" ht="15.6" x14ac:dyDescent="0.3">
      <c r="A187" s="287"/>
      <c r="B187" s="288" t="s">
        <v>60</v>
      </c>
      <c r="C187" s="288"/>
      <c r="D187" s="288"/>
      <c r="E187" s="288"/>
      <c r="F187" s="288"/>
      <c r="G187" s="288"/>
      <c r="H187" s="288"/>
      <c r="I187" s="288"/>
      <c r="J187" s="288"/>
      <c r="K187" s="288"/>
      <c r="L187" s="288"/>
      <c r="M187" s="288"/>
      <c r="N187" s="288"/>
      <c r="O187" s="288"/>
      <c r="P187" s="288"/>
      <c r="Q187" s="288"/>
      <c r="R187" s="288"/>
      <c r="S187" s="338">
        <f>+V34*0.16</f>
        <v>240044</v>
      </c>
      <c r="T187" s="325"/>
      <c r="U187" s="288"/>
      <c r="V187" s="338"/>
      <c r="W187" s="291"/>
      <c r="X187" s="5"/>
    </row>
    <row r="188" spans="1:256" ht="15.6" x14ac:dyDescent="0.3">
      <c r="A188" s="287"/>
      <c r="B188" s="288" t="s">
        <v>61</v>
      </c>
      <c r="C188" s="288"/>
      <c r="D188" s="288"/>
      <c r="E188" s="288"/>
      <c r="F188" s="288"/>
      <c r="G188" s="288"/>
      <c r="H188" s="288"/>
      <c r="I188" s="288"/>
      <c r="J188" s="288"/>
      <c r="K188" s="288"/>
      <c r="L188" s="288"/>
      <c r="M188" s="288"/>
      <c r="N188" s="288"/>
      <c r="O188" s="288"/>
      <c r="P188" s="288"/>
      <c r="Q188" s="288"/>
      <c r="R188" s="288"/>
      <c r="S188" s="338">
        <f>+'Aug 10'!S190</f>
        <v>23657</v>
      </c>
      <c r="T188" s="338">
        <f>+'Aug 10'!T190</f>
        <v>5963</v>
      </c>
      <c r="U188" s="288"/>
      <c r="V188" s="338">
        <f>S188+T188</f>
        <v>29620</v>
      </c>
      <c r="W188" s="291"/>
      <c r="X188" s="5"/>
    </row>
    <row r="189" spans="1:256" ht="15.6" x14ac:dyDescent="0.3">
      <c r="A189" s="287"/>
      <c r="B189" s="288" t="s">
        <v>62</v>
      </c>
      <c r="C189" s="288"/>
      <c r="D189" s="288"/>
      <c r="E189" s="288"/>
      <c r="F189" s="288"/>
      <c r="G189" s="288"/>
      <c r="H189" s="288"/>
      <c r="I189" s="288"/>
      <c r="J189" s="288"/>
      <c r="K189" s="288"/>
      <c r="L189" s="288"/>
      <c r="M189" s="288"/>
      <c r="N189" s="288"/>
      <c r="O189" s="288"/>
      <c r="P189" s="288"/>
      <c r="Q189" s="288"/>
      <c r="R189" s="288"/>
      <c r="S189" s="337">
        <f>25+90</f>
        <v>115</v>
      </c>
      <c r="T189" s="337">
        <v>7</v>
      </c>
      <c r="U189" s="288"/>
      <c r="V189" s="338">
        <f>S189+T189</f>
        <v>122</v>
      </c>
      <c r="W189" s="291"/>
      <c r="X189" s="5"/>
    </row>
    <row r="190" spans="1:256" ht="15.6" x14ac:dyDescent="0.3">
      <c r="A190" s="287"/>
      <c r="B190" s="288" t="s">
        <v>63</v>
      </c>
      <c r="C190" s="288"/>
      <c r="D190" s="288"/>
      <c r="E190" s="288"/>
      <c r="F190" s="288"/>
      <c r="G190" s="288"/>
      <c r="H190" s="288"/>
      <c r="I190" s="288"/>
      <c r="J190" s="288"/>
      <c r="K190" s="288"/>
      <c r="L190" s="288"/>
      <c r="M190" s="288"/>
      <c r="N190" s="288"/>
      <c r="O190" s="288"/>
      <c r="P190" s="288"/>
      <c r="Q190" s="288"/>
      <c r="R190" s="288"/>
      <c r="S190" s="338">
        <f>S188+S189</f>
        <v>23772</v>
      </c>
      <c r="T190" s="338">
        <f>T189+T188</f>
        <v>5970</v>
      </c>
      <c r="U190" s="288"/>
      <c r="V190" s="338">
        <f>S190+T190</f>
        <v>29742</v>
      </c>
      <c r="W190" s="291"/>
      <c r="X190" s="5"/>
    </row>
    <row r="191" spans="1:256" ht="15.6" x14ac:dyDescent="0.3">
      <c r="A191" s="287"/>
      <c r="B191" s="288" t="s">
        <v>64</v>
      </c>
      <c r="C191" s="288"/>
      <c r="D191" s="288"/>
      <c r="E191" s="288"/>
      <c r="F191" s="288"/>
      <c r="G191" s="288"/>
      <c r="H191" s="288"/>
      <c r="I191" s="288"/>
      <c r="J191" s="288"/>
      <c r="K191" s="288"/>
      <c r="L191" s="288"/>
      <c r="M191" s="288"/>
      <c r="N191" s="288"/>
      <c r="O191" s="288"/>
      <c r="P191" s="288"/>
      <c r="Q191" s="288"/>
      <c r="R191" s="288"/>
      <c r="S191" s="338">
        <f>S187-S190-T190</f>
        <v>210302</v>
      </c>
      <c r="T191" s="325"/>
      <c r="U191" s="288"/>
      <c r="V191" s="338"/>
      <c r="W191" s="291"/>
      <c r="X191" s="5"/>
    </row>
    <row r="192" spans="1:256" ht="16.2" thickBot="1" x14ac:dyDescent="0.35">
      <c r="A192" s="183"/>
      <c r="B192" s="198"/>
      <c r="C192" s="198"/>
      <c r="D192" s="198"/>
      <c r="E192" s="198"/>
      <c r="F192" s="198"/>
      <c r="G192" s="198"/>
      <c r="H192" s="198"/>
      <c r="I192" s="198"/>
      <c r="J192" s="198"/>
      <c r="K192" s="198"/>
      <c r="L192" s="198"/>
      <c r="M192" s="198"/>
      <c r="N192" s="198"/>
      <c r="O192" s="198"/>
      <c r="P192" s="198"/>
      <c r="Q192" s="198"/>
      <c r="R192" s="198"/>
      <c r="S192" s="198"/>
      <c r="T192" s="198"/>
      <c r="U192" s="198"/>
      <c r="V192" s="347"/>
      <c r="W192" s="198"/>
      <c r="X192" s="5"/>
    </row>
    <row r="193" spans="1:24" ht="15.6" x14ac:dyDescent="0.3">
      <c r="A193" s="180"/>
      <c r="B193" s="181"/>
      <c r="C193" s="181"/>
      <c r="D193" s="181"/>
      <c r="E193" s="181"/>
      <c r="F193" s="181"/>
      <c r="G193" s="181"/>
      <c r="H193" s="181"/>
      <c r="I193" s="181"/>
      <c r="J193" s="181"/>
      <c r="K193" s="181"/>
      <c r="L193" s="181"/>
      <c r="M193" s="181"/>
      <c r="N193" s="181"/>
      <c r="O193" s="181"/>
      <c r="P193" s="181"/>
      <c r="Q193" s="181"/>
      <c r="R193" s="181"/>
      <c r="S193" s="181"/>
      <c r="T193" s="181"/>
      <c r="U193" s="181"/>
      <c r="V193" s="200"/>
      <c r="W193" s="181"/>
      <c r="X193" s="5"/>
    </row>
    <row r="194" spans="1:24" ht="15.6" x14ac:dyDescent="0.3">
      <c r="A194" s="183"/>
      <c r="B194" s="208" t="s">
        <v>65</v>
      </c>
      <c r="C194" s="185"/>
      <c r="D194" s="185"/>
      <c r="E194" s="185"/>
      <c r="F194" s="185"/>
      <c r="G194" s="185"/>
      <c r="H194" s="185"/>
      <c r="I194" s="185"/>
      <c r="J194" s="185"/>
      <c r="K194" s="185"/>
      <c r="L194" s="185"/>
      <c r="M194" s="185"/>
      <c r="N194" s="185"/>
      <c r="O194" s="185"/>
      <c r="P194" s="185"/>
      <c r="Q194" s="185"/>
      <c r="R194" s="185"/>
      <c r="S194" s="185"/>
      <c r="T194" s="185"/>
      <c r="U194" s="185"/>
      <c r="V194" s="214"/>
      <c r="W194" s="185"/>
      <c r="X194" s="5"/>
    </row>
    <row r="195" spans="1:24" ht="15.6" x14ac:dyDescent="0.3">
      <c r="A195" s="287"/>
      <c r="B195" s="288" t="s">
        <v>66</v>
      </c>
      <c r="C195" s="288"/>
      <c r="D195" s="288"/>
      <c r="E195" s="288"/>
      <c r="F195" s="288"/>
      <c r="G195" s="288"/>
      <c r="H195" s="288"/>
      <c r="I195" s="288"/>
      <c r="J195" s="288"/>
      <c r="K195" s="288"/>
      <c r="L195" s="288"/>
      <c r="M195" s="288"/>
      <c r="N195" s="288"/>
      <c r="O195" s="288"/>
      <c r="P195" s="288"/>
      <c r="Q195" s="288"/>
      <c r="R195" s="288"/>
      <c r="S195" s="288"/>
      <c r="T195" s="288"/>
      <c r="U195" s="288"/>
      <c r="V195" s="348">
        <f>(V101+V103+V104+V105+V106)/-(V107+V108)</f>
        <v>3.519182859990035</v>
      </c>
      <c r="W195" s="291" t="s">
        <v>115</v>
      </c>
      <c r="X195" s="5"/>
    </row>
    <row r="196" spans="1:24" ht="15.6" x14ac:dyDescent="0.3">
      <c r="A196" s="287"/>
      <c r="B196" s="288" t="s">
        <v>67</v>
      </c>
      <c r="C196" s="288"/>
      <c r="D196" s="288"/>
      <c r="E196" s="288"/>
      <c r="F196" s="288"/>
      <c r="G196" s="288"/>
      <c r="H196" s="288"/>
      <c r="I196" s="288"/>
      <c r="J196" s="288"/>
      <c r="K196" s="288"/>
      <c r="L196" s="288"/>
      <c r="M196" s="288"/>
      <c r="N196" s="288"/>
      <c r="O196" s="288"/>
      <c r="P196" s="288"/>
      <c r="Q196" s="288"/>
      <c r="R196" s="288"/>
      <c r="S196" s="288"/>
      <c r="T196" s="288"/>
      <c r="U196" s="288"/>
      <c r="V196" s="350">
        <v>1.56</v>
      </c>
      <c r="W196" s="291" t="s">
        <v>115</v>
      </c>
      <c r="X196" s="5"/>
    </row>
    <row r="197" spans="1:24" ht="15.6" x14ac:dyDescent="0.3">
      <c r="A197" s="287"/>
      <c r="B197" s="288" t="s">
        <v>68</v>
      </c>
      <c r="C197" s="288"/>
      <c r="D197" s="288"/>
      <c r="E197" s="288"/>
      <c r="F197" s="288"/>
      <c r="G197" s="288"/>
      <c r="H197" s="288"/>
      <c r="I197" s="288"/>
      <c r="J197" s="288"/>
      <c r="K197" s="288"/>
      <c r="L197" s="288"/>
      <c r="M197" s="288"/>
      <c r="N197" s="288"/>
      <c r="O197" s="288"/>
      <c r="P197" s="288"/>
      <c r="Q197" s="288"/>
      <c r="R197" s="288"/>
      <c r="S197" s="288"/>
      <c r="T197" s="288"/>
      <c r="U197" s="288"/>
      <c r="V197" s="348">
        <f>(V101+V103+V104+V105+V106+V107+V108)/-(V110+V111)</f>
        <v>19.596899224806201</v>
      </c>
      <c r="W197" s="291" t="s">
        <v>115</v>
      </c>
      <c r="X197" s="5"/>
    </row>
    <row r="198" spans="1:24" ht="15.6" x14ac:dyDescent="0.3">
      <c r="A198" s="287"/>
      <c r="B198" s="288" t="s">
        <v>69</v>
      </c>
      <c r="C198" s="288"/>
      <c r="D198" s="288"/>
      <c r="E198" s="288"/>
      <c r="F198" s="288"/>
      <c r="G198" s="288"/>
      <c r="H198" s="288"/>
      <c r="I198" s="288"/>
      <c r="J198" s="288"/>
      <c r="K198" s="288"/>
      <c r="L198" s="288"/>
      <c r="M198" s="288"/>
      <c r="N198" s="288"/>
      <c r="O198" s="288"/>
      <c r="P198" s="288"/>
      <c r="Q198" s="288"/>
      <c r="R198" s="288"/>
      <c r="S198" s="288"/>
      <c r="T198" s="288"/>
      <c r="U198" s="288"/>
      <c r="V198" s="350">
        <v>5.61</v>
      </c>
      <c r="W198" s="291" t="s">
        <v>115</v>
      </c>
      <c r="X198" s="5"/>
    </row>
    <row r="199" spans="1:24" ht="15.6" x14ac:dyDescent="0.3">
      <c r="A199" s="287"/>
      <c r="B199" s="288" t="s">
        <v>198</v>
      </c>
      <c r="C199" s="288"/>
      <c r="D199" s="288"/>
      <c r="E199" s="288"/>
      <c r="F199" s="288"/>
      <c r="G199" s="288"/>
      <c r="H199" s="288"/>
      <c r="I199" s="288"/>
      <c r="J199" s="288"/>
      <c r="K199" s="288"/>
      <c r="L199" s="288"/>
      <c r="M199" s="288"/>
      <c r="N199" s="288"/>
      <c r="O199" s="288"/>
      <c r="P199" s="288"/>
      <c r="Q199" s="288"/>
      <c r="R199" s="288"/>
      <c r="S199" s="288"/>
      <c r="T199" s="288"/>
      <c r="U199" s="288"/>
      <c r="V199" s="348">
        <f>(V101+V103+V104+V105+V106+V107+V108+V110+V111)/-(V112+V113)</f>
        <v>14.900621118012422</v>
      </c>
      <c r="W199" s="291" t="s">
        <v>115</v>
      </c>
      <c r="X199" s="5"/>
    </row>
    <row r="200" spans="1:24" ht="15.6" x14ac:dyDescent="0.3">
      <c r="A200" s="287"/>
      <c r="B200" s="288" t="s">
        <v>199</v>
      </c>
      <c r="C200" s="288"/>
      <c r="D200" s="288"/>
      <c r="E200" s="288"/>
      <c r="F200" s="288"/>
      <c r="G200" s="288"/>
      <c r="H200" s="288"/>
      <c r="I200" s="288"/>
      <c r="J200" s="288"/>
      <c r="K200" s="288"/>
      <c r="L200" s="288"/>
      <c r="M200" s="288"/>
      <c r="N200" s="288"/>
      <c r="O200" s="288"/>
      <c r="P200" s="288"/>
      <c r="Q200" s="288"/>
      <c r="R200" s="288"/>
      <c r="S200" s="288"/>
      <c r="T200" s="288"/>
      <c r="U200" s="288"/>
      <c r="V200" s="350">
        <v>4.34</v>
      </c>
      <c r="W200" s="291" t="s">
        <v>115</v>
      </c>
      <c r="X200" s="5"/>
    </row>
    <row r="201" spans="1:24" ht="15.6" x14ac:dyDescent="0.3">
      <c r="A201" s="287"/>
      <c r="B201" s="314"/>
      <c r="C201" s="314"/>
      <c r="D201" s="314"/>
      <c r="E201" s="314"/>
      <c r="F201" s="314"/>
      <c r="G201" s="314"/>
      <c r="H201" s="314"/>
      <c r="I201" s="314"/>
      <c r="J201" s="314"/>
      <c r="K201" s="314"/>
      <c r="L201" s="314"/>
      <c r="M201" s="314"/>
      <c r="N201" s="314"/>
      <c r="O201" s="314"/>
      <c r="P201" s="314"/>
      <c r="Q201" s="314"/>
      <c r="R201" s="314"/>
      <c r="S201" s="314"/>
      <c r="T201" s="314"/>
      <c r="U201" s="314"/>
      <c r="V201" s="314"/>
      <c r="W201" s="318"/>
      <c r="X201" s="5"/>
    </row>
    <row r="202" spans="1:24" ht="15.6" x14ac:dyDescent="0.3">
      <c r="A202" s="183"/>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5"/>
    </row>
    <row r="203" spans="1:24" ht="15.6" x14ac:dyDescent="0.3">
      <c r="A203" s="183"/>
      <c r="B203" s="185"/>
      <c r="C203" s="185"/>
      <c r="D203" s="185"/>
      <c r="E203" s="185"/>
      <c r="F203" s="185"/>
      <c r="G203" s="185"/>
      <c r="H203" s="185"/>
      <c r="I203" s="185"/>
      <c r="J203" s="185"/>
      <c r="K203" s="185"/>
      <c r="L203" s="185"/>
      <c r="M203" s="185"/>
      <c r="N203" s="185"/>
      <c r="O203" s="185"/>
      <c r="P203" s="185"/>
      <c r="Q203" s="185"/>
      <c r="R203" s="185"/>
      <c r="S203" s="185"/>
      <c r="T203" s="185"/>
      <c r="U203" s="185"/>
      <c r="V203" s="185"/>
      <c r="W203" s="185"/>
      <c r="X203" s="5"/>
    </row>
    <row r="204" spans="1:24" ht="18" thickBot="1" x14ac:dyDescent="0.35">
      <c r="A204" s="199"/>
      <c r="B204" s="237" t="str">
        <f>B138</f>
        <v>PM14 INVESTOR REPORT QUARTER ENDING NOVEMBER 2010</v>
      </c>
      <c r="C204" s="215"/>
      <c r="D204" s="215"/>
      <c r="E204" s="215"/>
      <c r="F204" s="215"/>
      <c r="G204" s="215"/>
      <c r="H204" s="215"/>
      <c r="I204" s="215"/>
      <c r="J204" s="215"/>
      <c r="K204" s="215"/>
      <c r="L204" s="215"/>
      <c r="M204" s="215"/>
      <c r="N204" s="215"/>
      <c r="O204" s="215"/>
      <c r="P204" s="215"/>
      <c r="Q204" s="215"/>
      <c r="R204" s="215"/>
      <c r="S204" s="215"/>
      <c r="T204" s="215"/>
      <c r="U204" s="215"/>
      <c r="V204" s="215"/>
      <c r="W204" s="216"/>
      <c r="X204" s="5"/>
    </row>
    <row r="205" spans="1:24" ht="15.6" x14ac:dyDescent="0.3">
      <c r="A205" s="273"/>
      <c r="B205" s="397" t="s">
        <v>70</v>
      </c>
      <c r="C205" s="276"/>
      <c r="D205" s="276"/>
      <c r="E205" s="276"/>
      <c r="F205" s="276"/>
      <c r="G205" s="277"/>
      <c r="H205" s="277"/>
      <c r="I205" s="277"/>
      <c r="J205" s="277"/>
      <c r="K205" s="277"/>
      <c r="L205" s="277"/>
      <c r="M205" s="277"/>
      <c r="N205" s="277"/>
      <c r="O205" s="277"/>
      <c r="P205" s="277"/>
      <c r="Q205" s="277"/>
      <c r="R205" s="277"/>
      <c r="S205" s="277"/>
      <c r="T205" s="277">
        <v>40512</v>
      </c>
      <c r="U205" s="274"/>
      <c r="V205" s="274"/>
      <c r="W205" s="274"/>
      <c r="X205" s="5"/>
    </row>
    <row r="206" spans="1:24" ht="15.6" x14ac:dyDescent="0.3">
      <c r="A206" s="217"/>
      <c r="B206" s="230"/>
      <c r="C206" s="249"/>
      <c r="D206" s="249"/>
      <c r="E206" s="249"/>
      <c r="F206" s="249"/>
      <c r="G206" s="229"/>
      <c r="H206" s="229"/>
      <c r="I206" s="229"/>
      <c r="J206" s="229"/>
      <c r="K206" s="229"/>
      <c r="L206" s="229"/>
      <c r="M206" s="229"/>
      <c r="N206" s="229"/>
      <c r="O206" s="229"/>
      <c r="P206" s="229"/>
      <c r="Q206" s="229"/>
      <c r="R206" s="229"/>
      <c r="S206" s="229"/>
      <c r="T206" s="229"/>
      <c r="U206" s="224"/>
      <c r="V206" s="224"/>
      <c r="W206" s="224"/>
      <c r="X206" s="5"/>
    </row>
    <row r="207" spans="1:24" ht="15.6" x14ac:dyDescent="0.3">
      <c r="A207" s="352"/>
      <c r="B207" s="288" t="s">
        <v>71</v>
      </c>
      <c r="C207" s="353"/>
      <c r="D207" s="353"/>
      <c r="E207" s="353"/>
      <c r="F207" s="353"/>
      <c r="G207" s="330"/>
      <c r="H207" s="330"/>
      <c r="I207" s="330"/>
      <c r="J207" s="330"/>
      <c r="K207" s="330"/>
      <c r="L207" s="330"/>
      <c r="M207" s="330"/>
      <c r="N207" s="330"/>
      <c r="O207" s="330"/>
      <c r="P207" s="330"/>
      <c r="Q207" s="330"/>
      <c r="R207" s="330"/>
      <c r="S207" s="330"/>
      <c r="T207" s="321">
        <v>5.2819999999999999E-2</v>
      </c>
      <c r="U207" s="288"/>
      <c r="V207" s="288"/>
      <c r="W207" s="291"/>
      <c r="X207" s="5"/>
    </row>
    <row r="208" spans="1:24" ht="15.6" x14ac:dyDescent="0.3">
      <c r="A208" s="352"/>
      <c r="B208" s="288" t="s">
        <v>151</v>
      </c>
      <c r="C208" s="353"/>
      <c r="D208" s="353"/>
      <c r="E208" s="353"/>
      <c r="F208" s="353"/>
      <c r="G208" s="330"/>
      <c r="H208" s="330"/>
      <c r="I208" s="330"/>
      <c r="J208" s="330"/>
      <c r="K208" s="330"/>
      <c r="L208" s="330"/>
      <c r="M208" s="330"/>
      <c r="N208" s="330"/>
      <c r="O208" s="330"/>
      <c r="P208" s="330"/>
      <c r="Q208" s="330"/>
      <c r="R208" s="330"/>
      <c r="S208" s="330"/>
      <c r="T208" s="321">
        <v>5.7799999999999997E-2</v>
      </c>
      <c r="U208" s="288"/>
      <c r="V208" s="288"/>
      <c r="W208" s="291"/>
      <c r="X208" s="5"/>
    </row>
    <row r="209" spans="1:24" ht="15.6" x14ac:dyDescent="0.3">
      <c r="A209" s="352"/>
      <c r="B209" s="288" t="s">
        <v>72</v>
      </c>
      <c r="C209" s="353"/>
      <c r="D209" s="353"/>
      <c r="E209" s="353"/>
      <c r="F209" s="353"/>
      <c r="G209" s="330"/>
      <c r="H209" s="330"/>
      <c r="I209" s="330"/>
      <c r="J209" s="330"/>
      <c r="K209" s="330"/>
      <c r="L209" s="330"/>
      <c r="M209" s="330"/>
      <c r="N209" s="330"/>
      <c r="O209" s="330"/>
      <c r="P209" s="330"/>
      <c r="Q209" s="330"/>
      <c r="R209" s="330"/>
      <c r="S209" s="330"/>
      <c r="T209" s="321">
        <f>T207-T208</f>
        <v>-4.9799999999999983E-3</v>
      </c>
      <c r="U209" s="288"/>
      <c r="V209" s="288"/>
      <c r="W209" s="291"/>
      <c r="X209" s="5"/>
    </row>
    <row r="210" spans="1:24" ht="15.6" x14ac:dyDescent="0.3">
      <c r="A210" s="352"/>
      <c r="B210" s="288" t="s">
        <v>73</v>
      </c>
      <c r="C210" s="353"/>
      <c r="D210" s="353"/>
      <c r="E210" s="353"/>
      <c r="F210" s="353"/>
      <c r="G210" s="330"/>
      <c r="H210" s="330"/>
      <c r="I210" s="330"/>
      <c r="J210" s="330"/>
      <c r="K210" s="330"/>
      <c r="L210" s="330"/>
      <c r="M210" s="330"/>
      <c r="N210" s="330"/>
      <c r="O210" s="330"/>
      <c r="P210" s="330"/>
      <c r="Q210" s="330"/>
      <c r="R210" s="330"/>
      <c r="S210" s="330"/>
      <c r="T210" s="321">
        <v>2.555E-2</v>
      </c>
      <c r="U210" s="288"/>
      <c r="V210" s="288"/>
      <c r="W210" s="291"/>
      <c r="X210" s="5"/>
    </row>
    <row r="211" spans="1:24" ht="15.6" x14ac:dyDescent="0.3">
      <c r="A211" s="352"/>
      <c r="B211" s="288" t="s">
        <v>219</v>
      </c>
      <c r="C211" s="353"/>
      <c r="D211" s="353"/>
      <c r="E211" s="353"/>
      <c r="F211" s="353"/>
      <c r="G211" s="330"/>
      <c r="H211" s="330"/>
      <c r="I211" s="330"/>
      <c r="J211" s="330"/>
      <c r="K211" s="330"/>
      <c r="L211" s="330"/>
      <c r="M211" s="330"/>
      <c r="N211" s="330"/>
      <c r="O211" s="330"/>
      <c r="P211" s="330"/>
      <c r="Q211" s="330"/>
      <c r="R211" s="330"/>
      <c r="S211" s="330"/>
      <c r="T211" s="321">
        <f>V43</f>
        <v>8.8800423418077916E-3</v>
      </c>
      <c r="U211" s="288"/>
      <c r="V211" s="288"/>
      <c r="W211" s="291"/>
      <c r="X211" s="5"/>
    </row>
    <row r="212" spans="1:24" ht="15.6" x14ac:dyDescent="0.3">
      <c r="A212" s="352"/>
      <c r="B212" s="288" t="s">
        <v>74</v>
      </c>
      <c r="C212" s="353"/>
      <c r="D212" s="353"/>
      <c r="E212" s="353"/>
      <c r="F212" s="353"/>
      <c r="G212" s="330"/>
      <c r="H212" s="330"/>
      <c r="I212" s="330"/>
      <c r="J212" s="330"/>
      <c r="K212" s="330"/>
      <c r="L212" s="330"/>
      <c r="M212" s="330"/>
      <c r="N212" s="330"/>
      <c r="O212" s="330"/>
      <c r="P212" s="330"/>
      <c r="Q212" s="330"/>
      <c r="R212" s="330"/>
      <c r="S212" s="330"/>
      <c r="T212" s="321">
        <f>T210-T211</f>
        <v>1.6669957658192208E-2</v>
      </c>
      <c r="U212" s="288"/>
      <c r="V212" s="288"/>
      <c r="W212" s="291"/>
      <c r="X212" s="5"/>
    </row>
    <row r="213" spans="1:24" ht="15.6" x14ac:dyDescent="0.3">
      <c r="A213" s="352"/>
      <c r="B213" s="288" t="s">
        <v>242</v>
      </c>
      <c r="C213" s="353"/>
      <c r="D213" s="353"/>
      <c r="E213" s="353"/>
      <c r="F213" s="353"/>
      <c r="G213" s="330"/>
      <c r="H213" s="330"/>
      <c r="I213" s="330"/>
      <c r="J213" s="330"/>
      <c r="K213" s="330"/>
      <c r="L213" s="330"/>
      <c r="M213" s="330"/>
      <c r="N213" s="330"/>
      <c r="O213" s="330"/>
      <c r="P213" s="330"/>
      <c r="Q213" s="330"/>
      <c r="R213" s="330"/>
      <c r="S213" s="330"/>
      <c r="T213" s="321">
        <f>V101/N71</f>
        <v>6.5239851388613299E-3</v>
      </c>
      <c r="U213" s="288"/>
      <c r="V213" s="288"/>
      <c r="W213" s="291"/>
      <c r="X213" s="5"/>
    </row>
    <row r="214" spans="1:24" ht="15.6" x14ac:dyDescent="0.3">
      <c r="A214" s="352"/>
      <c r="B214" s="288" t="s">
        <v>208</v>
      </c>
      <c r="C214" s="353"/>
      <c r="D214" s="353"/>
      <c r="E214" s="353"/>
      <c r="F214" s="353"/>
      <c r="G214" s="330"/>
      <c r="H214" s="330"/>
      <c r="I214" s="330"/>
      <c r="J214" s="330"/>
      <c r="K214" s="330"/>
      <c r="L214" s="330"/>
      <c r="M214" s="330"/>
      <c r="N214" s="330"/>
      <c r="O214" s="330"/>
      <c r="P214" s="330"/>
      <c r="Q214" s="330"/>
      <c r="R214" s="330"/>
      <c r="S214" s="330"/>
      <c r="T214" s="354">
        <v>51014</v>
      </c>
      <c r="U214" s="288"/>
      <c r="V214" s="288"/>
      <c r="W214" s="291"/>
      <c r="X214" s="5"/>
    </row>
    <row r="215" spans="1:24" ht="15.6" x14ac:dyDescent="0.3">
      <c r="A215" s="352"/>
      <c r="B215" s="288" t="s">
        <v>209</v>
      </c>
      <c r="C215" s="353"/>
      <c r="D215" s="353"/>
      <c r="E215" s="353"/>
      <c r="F215" s="353"/>
      <c r="G215" s="330"/>
      <c r="H215" s="330"/>
      <c r="I215" s="330"/>
      <c r="J215" s="330"/>
      <c r="K215" s="330"/>
      <c r="L215" s="330"/>
      <c r="M215" s="330"/>
      <c r="N215" s="330"/>
      <c r="O215" s="330"/>
      <c r="P215" s="330"/>
      <c r="Q215" s="330"/>
      <c r="R215" s="330"/>
      <c r="S215" s="330"/>
      <c r="T215" s="354">
        <v>51014</v>
      </c>
      <c r="U215" s="288"/>
      <c r="V215" s="288"/>
      <c r="W215" s="291"/>
      <c r="X215" s="5"/>
    </row>
    <row r="216" spans="1:24" ht="15.6" x14ac:dyDescent="0.3">
      <c r="A216" s="352"/>
      <c r="B216" s="288" t="s">
        <v>210</v>
      </c>
      <c r="C216" s="353"/>
      <c r="D216" s="353"/>
      <c r="E216" s="353"/>
      <c r="F216" s="353"/>
      <c r="G216" s="330"/>
      <c r="H216" s="330"/>
      <c r="I216" s="330"/>
      <c r="J216" s="330"/>
      <c r="K216" s="330"/>
      <c r="L216" s="330"/>
      <c r="M216" s="330"/>
      <c r="N216" s="330"/>
      <c r="O216" s="330"/>
      <c r="P216" s="330"/>
      <c r="Q216" s="330"/>
      <c r="R216" s="330"/>
      <c r="S216" s="330"/>
      <c r="T216" s="354">
        <v>51014</v>
      </c>
      <c r="U216" s="288"/>
      <c r="V216" s="288"/>
      <c r="W216" s="291"/>
      <c r="X216" s="5"/>
    </row>
    <row r="217" spans="1:24" ht="15.6" x14ac:dyDescent="0.3">
      <c r="A217" s="352"/>
      <c r="B217" s="288" t="s">
        <v>75</v>
      </c>
      <c r="C217" s="353"/>
      <c r="D217" s="353"/>
      <c r="E217" s="353"/>
      <c r="F217" s="353"/>
      <c r="G217" s="330"/>
      <c r="H217" s="330"/>
      <c r="I217" s="330"/>
      <c r="J217" s="330"/>
      <c r="K217" s="330"/>
      <c r="L217" s="330"/>
      <c r="M217" s="330"/>
      <c r="N217" s="330"/>
      <c r="O217" s="330"/>
      <c r="P217" s="330"/>
      <c r="Q217" s="330"/>
      <c r="R217" s="330"/>
      <c r="S217" s="330"/>
      <c r="T217" s="327">
        <v>20.66</v>
      </c>
      <c r="U217" s="288" t="s">
        <v>110</v>
      </c>
      <c r="V217" s="288"/>
      <c r="W217" s="291"/>
      <c r="X217" s="5"/>
    </row>
    <row r="218" spans="1:24" ht="15.6" x14ac:dyDescent="0.3">
      <c r="A218" s="352"/>
      <c r="B218" s="288" t="s">
        <v>76</v>
      </c>
      <c r="C218" s="353"/>
      <c r="D218" s="353"/>
      <c r="E218" s="353"/>
      <c r="F218" s="353"/>
      <c r="G218" s="330"/>
      <c r="H218" s="330"/>
      <c r="I218" s="330"/>
      <c r="J218" s="330"/>
      <c r="K218" s="330"/>
      <c r="L218" s="330"/>
      <c r="M218" s="330"/>
      <c r="N218" s="330"/>
      <c r="O218" s="330"/>
      <c r="P218" s="330"/>
      <c r="Q218" s="330"/>
      <c r="R218" s="330"/>
      <c r="S218" s="330"/>
      <c r="T218" s="327">
        <v>17.63</v>
      </c>
      <c r="U218" s="288" t="s">
        <v>110</v>
      </c>
      <c r="V218" s="288"/>
      <c r="W218" s="291"/>
      <c r="X218" s="5"/>
    </row>
    <row r="219" spans="1:24" ht="15.6" x14ac:dyDescent="0.3">
      <c r="A219" s="352"/>
      <c r="B219" s="288" t="s">
        <v>77</v>
      </c>
      <c r="C219" s="353"/>
      <c r="D219" s="353"/>
      <c r="E219" s="353"/>
      <c r="F219" s="353"/>
      <c r="G219" s="330"/>
      <c r="H219" s="330"/>
      <c r="I219" s="330"/>
      <c r="J219" s="330"/>
      <c r="K219" s="330"/>
      <c r="L219" s="330"/>
      <c r="M219" s="330"/>
      <c r="N219" s="330"/>
      <c r="O219" s="330"/>
      <c r="P219" s="330"/>
      <c r="Q219" s="330"/>
      <c r="R219" s="330"/>
      <c r="S219" s="330"/>
      <c r="T219" s="321">
        <f>+P68/N68</f>
        <v>6.4153660889615678E-3</v>
      </c>
      <c r="U219" s="288"/>
      <c r="V219" s="288"/>
      <c r="W219" s="291"/>
      <c r="X219" s="5"/>
    </row>
    <row r="220" spans="1:24" ht="15.6" x14ac:dyDescent="0.3">
      <c r="A220" s="352"/>
      <c r="B220" s="288" t="s">
        <v>78</v>
      </c>
      <c r="C220" s="353"/>
      <c r="D220" s="353"/>
      <c r="E220" s="353"/>
      <c r="F220" s="353"/>
      <c r="G220" s="330"/>
      <c r="H220" s="330"/>
      <c r="I220" s="330"/>
      <c r="J220" s="330"/>
      <c r="K220" s="330"/>
      <c r="L220" s="330"/>
      <c r="M220" s="330"/>
      <c r="N220" s="330"/>
      <c r="O220" s="330"/>
      <c r="P220" s="330"/>
      <c r="Q220" s="330"/>
      <c r="R220" s="330"/>
      <c r="S220" s="330"/>
      <c r="T220" s="321">
        <v>7.2099999999999997E-2</v>
      </c>
      <c r="U220" s="288"/>
      <c r="V220" s="288"/>
      <c r="W220" s="291"/>
      <c r="X220" s="5"/>
    </row>
    <row r="221" spans="1:24" ht="15.6" x14ac:dyDescent="0.3">
      <c r="A221" s="217"/>
      <c r="B221" s="284"/>
      <c r="C221" s="284"/>
      <c r="D221" s="284"/>
      <c r="E221" s="284"/>
      <c r="F221" s="284"/>
      <c r="G221" s="284"/>
      <c r="H221" s="284"/>
      <c r="I221" s="284"/>
      <c r="J221" s="284"/>
      <c r="K221" s="284"/>
      <c r="L221" s="284"/>
      <c r="M221" s="284"/>
      <c r="N221" s="284"/>
      <c r="O221" s="284"/>
      <c r="P221" s="284"/>
      <c r="Q221" s="284"/>
      <c r="R221" s="284"/>
      <c r="S221" s="284"/>
      <c r="T221" s="349"/>
      <c r="U221" s="284"/>
      <c r="V221" s="351"/>
      <c r="W221" s="284"/>
      <c r="X221" s="5"/>
    </row>
    <row r="222" spans="1:24" ht="15.6" x14ac:dyDescent="0.3">
      <c r="A222" s="278"/>
      <c r="B222" s="269" t="s">
        <v>79</v>
      </c>
      <c r="C222" s="270"/>
      <c r="D222" s="270"/>
      <c r="E222" s="270"/>
      <c r="F222" s="279"/>
      <c r="G222" s="270"/>
      <c r="H222" s="270"/>
      <c r="I222" s="270"/>
      <c r="J222" s="270"/>
      <c r="K222" s="270"/>
      <c r="L222" s="270"/>
      <c r="M222" s="270"/>
      <c r="N222" s="270"/>
      <c r="O222" s="270"/>
      <c r="P222" s="270"/>
      <c r="Q222" s="270"/>
      <c r="R222" s="270"/>
      <c r="S222" s="270" t="s">
        <v>102</v>
      </c>
      <c r="T222" s="279" t="s">
        <v>108</v>
      </c>
      <c r="U222" s="263"/>
      <c r="V222" s="263"/>
      <c r="W222" s="263"/>
      <c r="X222" s="5"/>
    </row>
    <row r="223" spans="1:24" ht="15.6" x14ac:dyDescent="0.3">
      <c r="A223" s="218"/>
      <c r="B223" s="231" t="s">
        <v>80</v>
      </c>
      <c r="C223" s="234"/>
      <c r="D223" s="234"/>
      <c r="E223" s="234"/>
      <c r="F223" s="231"/>
      <c r="G223" s="231"/>
      <c r="H223" s="233"/>
      <c r="I223" s="233"/>
      <c r="J223" s="233"/>
      <c r="K223" s="233"/>
      <c r="L223" s="233"/>
      <c r="M223" s="233"/>
      <c r="N223" s="233"/>
      <c r="O223" s="233"/>
      <c r="P223" s="233"/>
      <c r="Q223" s="233"/>
      <c r="R223" s="233"/>
      <c r="S223" s="233">
        <v>0</v>
      </c>
      <c r="T223" s="251">
        <v>0</v>
      </c>
      <c r="U223" s="231"/>
      <c r="V223" s="250"/>
      <c r="W223" s="252"/>
      <c r="X223" s="5"/>
    </row>
    <row r="224" spans="1:24" ht="15.6" x14ac:dyDescent="0.3">
      <c r="A224" s="362"/>
      <c r="B224" s="288" t="s">
        <v>145</v>
      </c>
      <c r="C224" s="337"/>
      <c r="D224" s="337"/>
      <c r="E224" s="337"/>
      <c r="F224" s="288"/>
      <c r="G224" s="288"/>
      <c r="H224" s="296"/>
      <c r="I224" s="296"/>
      <c r="J224" s="296"/>
      <c r="K224" s="296"/>
      <c r="L224" s="296"/>
      <c r="M224" s="296"/>
      <c r="N224" s="296"/>
      <c r="O224" s="296"/>
      <c r="P224" s="296"/>
      <c r="Q224" s="296"/>
      <c r="R224" s="296"/>
      <c r="S224" s="363">
        <f>+R276</f>
        <v>161</v>
      </c>
      <c r="T224" s="364">
        <f>+T276</f>
        <v>23968</v>
      </c>
      <c r="U224" s="288"/>
      <c r="V224" s="365"/>
      <c r="W224" s="366"/>
      <c r="X224" s="5"/>
    </row>
    <row r="225" spans="1:24" ht="15.6" x14ac:dyDescent="0.3">
      <c r="A225" s="362"/>
      <c r="B225" s="288" t="s">
        <v>81</v>
      </c>
      <c r="C225" s="337"/>
      <c r="D225" s="337"/>
      <c r="E225" s="337"/>
      <c r="F225" s="288"/>
      <c r="G225" s="288"/>
      <c r="H225" s="296"/>
      <c r="I225" s="296"/>
      <c r="J225" s="296"/>
      <c r="K225" s="296"/>
      <c r="L225" s="296"/>
      <c r="M225" s="296"/>
      <c r="N225" s="296"/>
      <c r="O225" s="296"/>
      <c r="P225" s="296"/>
      <c r="Q225" s="296"/>
      <c r="R225" s="296"/>
      <c r="S225" s="363">
        <f>+R288</f>
        <v>0</v>
      </c>
      <c r="T225" s="364">
        <f>+T288</f>
        <v>0</v>
      </c>
      <c r="U225" s="288"/>
      <c r="V225" s="365"/>
      <c r="W225" s="366"/>
      <c r="X225" s="5"/>
    </row>
    <row r="226" spans="1:24" ht="15.6" x14ac:dyDescent="0.3">
      <c r="A226" s="362"/>
      <c r="B226" s="313" t="s">
        <v>82</v>
      </c>
      <c r="C226" s="367"/>
      <c r="D226" s="367"/>
      <c r="E226" s="367"/>
      <c r="F226" s="314"/>
      <c r="G226" s="314"/>
      <c r="H226" s="314"/>
      <c r="I226" s="314"/>
      <c r="J226" s="314"/>
      <c r="K226" s="314"/>
      <c r="L226" s="314"/>
      <c r="M226" s="314"/>
      <c r="N226" s="314"/>
      <c r="O226" s="314"/>
      <c r="P226" s="314"/>
      <c r="Q226" s="314"/>
      <c r="R226" s="314"/>
      <c r="S226" s="314"/>
      <c r="T226" s="364">
        <v>0</v>
      </c>
      <c r="U226" s="314"/>
      <c r="V226" s="369"/>
      <c r="W226" s="370"/>
      <c r="X226" s="5"/>
    </row>
    <row r="227" spans="1:24" ht="15.6" x14ac:dyDescent="0.3">
      <c r="A227" s="362"/>
      <c r="B227" s="313" t="s">
        <v>243</v>
      </c>
      <c r="C227" s="367"/>
      <c r="D227" s="367"/>
      <c r="E227" s="367"/>
      <c r="F227" s="314"/>
      <c r="G227" s="314"/>
      <c r="H227" s="314"/>
      <c r="I227" s="314"/>
      <c r="J227" s="314"/>
      <c r="K227" s="314"/>
      <c r="L227" s="314"/>
      <c r="M227" s="314"/>
      <c r="N227" s="314"/>
      <c r="O227" s="314"/>
      <c r="P227" s="314"/>
      <c r="Q227" s="314"/>
      <c r="R227" s="314"/>
      <c r="S227" s="314"/>
      <c r="T227" s="364">
        <f>+N81</f>
        <v>0</v>
      </c>
      <c r="U227" s="314"/>
      <c r="V227" s="369"/>
      <c r="W227" s="370"/>
      <c r="X227" s="5"/>
    </row>
    <row r="228" spans="1:24" ht="15.6" x14ac:dyDescent="0.3">
      <c r="A228" s="371"/>
      <c r="B228" s="313" t="s">
        <v>83</v>
      </c>
      <c r="C228" s="372"/>
      <c r="D228" s="372"/>
      <c r="E228" s="372"/>
      <c r="F228" s="372"/>
      <c r="G228" s="314"/>
      <c r="H228" s="314"/>
      <c r="I228" s="314"/>
      <c r="J228" s="314"/>
      <c r="K228" s="314"/>
      <c r="L228" s="314"/>
      <c r="M228" s="314"/>
      <c r="N228" s="314"/>
      <c r="O228" s="314"/>
      <c r="P228" s="314"/>
      <c r="Q228" s="314"/>
      <c r="R228" s="314"/>
      <c r="S228" s="314"/>
      <c r="T228" s="368"/>
      <c r="U228" s="314"/>
      <c r="V228" s="369"/>
      <c r="W228" s="373"/>
      <c r="X228" s="5"/>
    </row>
    <row r="229" spans="1:24" ht="15.6" x14ac:dyDescent="0.3">
      <c r="A229" s="371"/>
      <c r="B229" s="293" t="s">
        <v>84</v>
      </c>
      <c r="C229" s="293"/>
      <c r="D229" s="293"/>
      <c r="E229" s="293"/>
      <c r="F229" s="293"/>
      <c r="G229" s="293"/>
      <c r="H229" s="293"/>
      <c r="I229" s="293"/>
      <c r="J229" s="293"/>
      <c r="K229" s="293"/>
      <c r="L229" s="293"/>
      <c r="M229" s="293"/>
      <c r="N229" s="293"/>
      <c r="O229" s="293"/>
      <c r="P229" s="293"/>
      <c r="Q229" s="293"/>
      <c r="R229" s="293"/>
      <c r="S229" s="324"/>
      <c r="T229" s="374">
        <f>V167</f>
        <v>229</v>
      </c>
      <c r="U229" s="293"/>
      <c r="V229" s="375"/>
      <c r="W229" s="376"/>
      <c r="X229" s="5"/>
    </row>
    <row r="230" spans="1:24" ht="15.6" x14ac:dyDescent="0.3">
      <c r="A230" s="362"/>
      <c r="B230" s="293" t="s">
        <v>85</v>
      </c>
      <c r="C230" s="377"/>
      <c r="D230" s="377"/>
      <c r="E230" s="377"/>
      <c r="F230" s="377"/>
      <c r="G230" s="293"/>
      <c r="H230" s="293"/>
      <c r="I230" s="293"/>
      <c r="J230" s="293"/>
      <c r="K230" s="293"/>
      <c r="L230" s="293"/>
      <c r="M230" s="293"/>
      <c r="N230" s="293"/>
      <c r="O230" s="293"/>
      <c r="P230" s="293"/>
      <c r="Q230" s="293"/>
      <c r="R230" s="293"/>
      <c r="S230" s="324"/>
      <c r="T230" s="374">
        <f>'Aug 10'!T230+T229</f>
        <v>2584</v>
      </c>
      <c r="U230" s="293"/>
      <c r="V230" s="375"/>
      <c r="W230" s="376"/>
      <c r="X230" s="5"/>
    </row>
    <row r="231" spans="1:24" ht="15.6" x14ac:dyDescent="0.3">
      <c r="A231" s="371"/>
      <c r="B231" s="313" t="s">
        <v>295</v>
      </c>
      <c r="C231" s="372"/>
      <c r="D231" s="372"/>
      <c r="E231" s="372"/>
      <c r="F231" s="372"/>
      <c r="G231" s="314"/>
      <c r="H231" s="314"/>
      <c r="I231" s="314"/>
      <c r="J231" s="314"/>
      <c r="K231" s="314"/>
      <c r="L231" s="314"/>
      <c r="M231" s="314"/>
      <c r="N231" s="314"/>
      <c r="O231" s="314"/>
      <c r="P231" s="314"/>
      <c r="Q231" s="314"/>
      <c r="R231" s="314"/>
      <c r="S231" s="316"/>
      <c r="T231" s="368"/>
      <c r="U231" s="314"/>
      <c r="V231" s="369"/>
      <c r="W231" s="373"/>
      <c r="X231" s="5"/>
    </row>
    <row r="232" spans="1:24" ht="15.6" x14ac:dyDescent="0.3">
      <c r="A232" s="371"/>
      <c r="B232" s="288" t="s">
        <v>291</v>
      </c>
      <c r="C232" s="288"/>
      <c r="D232" s="288"/>
      <c r="E232" s="288"/>
      <c r="F232" s="288"/>
      <c r="G232" s="288"/>
      <c r="H232" s="288"/>
      <c r="I232" s="288"/>
      <c r="J232" s="288"/>
      <c r="K232" s="288"/>
      <c r="L232" s="288"/>
      <c r="M232" s="288"/>
      <c r="N232" s="288"/>
      <c r="O232" s="288"/>
      <c r="P232" s="288"/>
      <c r="Q232" s="288"/>
      <c r="R232" s="288"/>
      <c r="S232" s="296">
        <v>0</v>
      </c>
      <c r="T232" s="364">
        <v>0</v>
      </c>
      <c r="U232" s="288"/>
      <c r="V232" s="365"/>
      <c r="W232" s="378"/>
      <c r="X232" s="5"/>
    </row>
    <row r="233" spans="1:24" ht="15.6" x14ac:dyDescent="0.3">
      <c r="A233" s="362"/>
      <c r="B233" s="288" t="s">
        <v>86</v>
      </c>
      <c r="C233" s="325"/>
      <c r="D233" s="325"/>
      <c r="E233" s="325"/>
      <c r="F233" s="379"/>
      <c r="G233" s="288"/>
      <c r="H233" s="288"/>
      <c r="I233" s="288"/>
      <c r="J233" s="288"/>
      <c r="K233" s="288"/>
      <c r="L233" s="288"/>
      <c r="M233" s="288"/>
      <c r="N233" s="288"/>
      <c r="O233" s="288"/>
      <c r="P233" s="288"/>
      <c r="Q233" s="288"/>
      <c r="R233" s="288"/>
      <c r="S233" s="288"/>
      <c r="T233" s="380">
        <v>0</v>
      </c>
      <c r="U233" s="288"/>
      <c r="V233" s="365"/>
      <c r="W233" s="378"/>
      <c r="X233" s="5"/>
    </row>
    <row r="234" spans="1:24" ht="15.6" x14ac:dyDescent="0.3">
      <c r="A234" s="362"/>
      <c r="B234" s="288" t="s">
        <v>87</v>
      </c>
      <c r="C234" s="325"/>
      <c r="D234" s="325"/>
      <c r="E234" s="325"/>
      <c r="F234" s="379"/>
      <c r="G234" s="288"/>
      <c r="H234" s="288"/>
      <c r="I234" s="288"/>
      <c r="J234" s="288"/>
      <c r="K234" s="288"/>
      <c r="L234" s="288"/>
      <c r="M234" s="288"/>
      <c r="N234" s="288"/>
      <c r="O234" s="288"/>
      <c r="P234" s="288"/>
      <c r="Q234" s="288"/>
      <c r="R234" s="288"/>
      <c r="S234" s="288"/>
      <c r="T234" s="380">
        <v>0</v>
      </c>
      <c r="U234" s="288"/>
      <c r="V234" s="365"/>
      <c r="W234" s="378"/>
      <c r="X234" s="5"/>
    </row>
    <row r="235" spans="1:24" ht="15.6" x14ac:dyDescent="0.3">
      <c r="A235" s="362"/>
      <c r="B235" s="313" t="s">
        <v>217</v>
      </c>
      <c r="C235" s="381"/>
      <c r="D235" s="381"/>
      <c r="E235" s="381"/>
      <c r="F235" s="382"/>
      <c r="G235" s="314"/>
      <c r="H235" s="314"/>
      <c r="I235" s="314"/>
      <c r="J235" s="314"/>
      <c r="K235" s="314"/>
      <c r="L235" s="314"/>
      <c r="M235" s="314"/>
      <c r="N235" s="314"/>
      <c r="O235" s="314"/>
      <c r="P235" s="314"/>
      <c r="Q235" s="314"/>
      <c r="R235" s="314"/>
      <c r="S235" s="314"/>
      <c r="T235" s="383"/>
      <c r="U235" s="314"/>
      <c r="V235" s="369"/>
      <c r="W235" s="373"/>
      <c r="X235" s="5"/>
    </row>
    <row r="236" spans="1:24" ht="15.6" x14ac:dyDescent="0.3">
      <c r="A236" s="362"/>
      <c r="B236" s="288" t="s">
        <v>291</v>
      </c>
      <c r="C236" s="381"/>
      <c r="D236" s="381"/>
      <c r="E236" s="381"/>
      <c r="F236" s="382"/>
      <c r="G236" s="314"/>
      <c r="H236" s="314"/>
      <c r="I236" s="314"/>
      <c r="J236" s="314"/>
      <c r="K236" s="314"/>
      <c r="L236" s="314"/>
      <c r="M236" s="314"/>
      <c r="N236" s="314"/>
      <c r="O236" s="314"/>
      <c r="P236" s="314"/>
      <c r="Q236" s="314"/>
      <c r="R236" s="314"/>
      <c r="S236" s="296">
        <v>7</v>
      </c>
      <c r="T236" s="364">
        <v>555</v>
      </c>
      <c r="U236" s="314"/>
      <c r="V236" s="369"/>
      <c r="W236" s="373"/>
      <c r="X236" s="5"/>
    </row>
    <row r="237" spans="1:24" ht="15.6" x14ac:dyDescent="0.3">
      <c r="A237" s="362"/>
      <c r="B237" s="288" t="s">
        <v>218</v>
      </c>
      <c r="C237" s="381"/>
      <c r="D237" s="381"/>
      <c r="E237" s="381"/>
      <c r="F237" s="382"/>
      <c r="G237" s="314"/>
      <c r="H237" s="314"/>
      <c r="I237" s="314"/>
      <c r="J237" s="314"/>
      <c r="K237" s="314"/>
      <c r="L237" s="314"/>
      <c r="M237" s="314"/>
      <c r="N237" s="314"/>
      <c r="O237" s="314"/>
      <c r="P237" s="314"/>
      <c r="Q237" s="314"/>
      <c r="R237" s="314"/>
      <c r="S237" s="288"/>
      <c r="T237" s="380">
        <v>10.56</v>
      </c>
      <c r="U237" s="314"/>
      <c r="V237" s="369"/>
      <c r="W237" s="373"/>
      <c r="X237" s="5"/>
    </row>
    <row r="238" spans="1:24" ht="15.6" x14ac:dyDescent="0.3">
      <c r="A238" s="362"/>
      <c r="B238" s="372"/>
      <c r="C238" s="381"/>
      <c r="D238" s="381"/>
      <c r="E238" s="381"/>
      <c r="F238" s="382"/>
      <c r="G238" s="314"/>
      <c r="H238" s="314"/>
      <c r="I238" s="314"/>
      <c r="J238" s="314"/>
      <c r="K238" s="314"/>
      <c r="L238" s="314"/>
      <c r="M238" s="314"/>
      <c r="N238" s="314"/>
      <c r="O238" s="314"/>
      <c r="P238" s="314"/>
      <c r="Q238" s="314"/>
      <c r="R238" s="314"/>
      <c r="S238" s="314"/>
      <c r="T238" s="383"/>
      <c r="U238" s="314"/>
      <c r="V238" s="369"/>
      <c r="W238" s="373"/>
      <c r="X238" s="5"/>
    </row>
    <row r="239" spans="1:24" ht="15.6" x14ac:dyDescent="0.3">
      <c r="A239" s="362"/>
      <c r="B239" s="372"/>
      <c r="C239" s="381"/>
      <c r="D239" s="381"/>
      <c r="E239" s="381"/>
      <c r="F239" s="382"/>
      <c r="G239" s="314"/>
      <c r="H239" s="314"/>
      <c r="I239" s="314"/>
      <c r="J239" s="314"/>
      <c r="K239" s="314"/>
      <c r="L239" s="314"/>
      <c r="M239" s="314"/>
      <c r="N239" s="314"/>
      <c r="O239" s="314"/>
      <c r="P239" s="314"/>
      <c r="Q239" s="314"/>
      <c r="R239" s="314"/>
      <c r="S239" s="314"/>
      <c r="T239" s="383"/>
      <c r="U239" s="314"/>
      <c r="V239" s="369"/>
      <c r="W239" s="373"/>
      <c r="X239" s="5"/>
    </row>
    <row r="240" spans="1:24" ht="17.399999999999999" x14ac:dyDescent="0.3">
      <c r="A240" s="362"/>
      <c r="B240" s="384" t="s">
        <v>168</v>
      </c>
      <c r="C240" s="381"/>
      <c r="D240" s="381"/>
      <c r="E240" s="381"/>
      <c r="F240" s="382"/>
      <c r="G240" s="314"/>
      <c r="H240" s="314"/>
      <c r="I240" s="314"/>
      <c r="J240" s="314"/>
      <c r="K240" s="314"/>
      <c r="L240" s="314"/>
      <c r="M240" s="314"/>
      <c r="N240" s="314"/>
      <c r="O240" s="314"/>
      <c r="P240" s="385" t="s">
        <v>167</v>
      </c>
      <c r="Q240" s="314"/>
      <c r="R240" s="314"/>
      <c r="S240" s="314"/>
      <c r="T240" s="383"/>
      <c r="U240" s="314"/>
      <c r="V240" s="369"/>
      <c r="W240" s="373"/>
      <c r="X240" s="5"/>
    </row>
    <row r="241" spans="1:25" ht="15.6" x14ac:dyDescent="0.3">
      <c r="A241" s="355"/>
      <c r="B241" s="356"/>
      <c r="C241" s="357"/>
      <c r="D241" s="357"/>
      <c r="E241" s="357"/>
      <c r="F241" s="358"/>
      <c r="G241" s="198"/>
      <c r="H241" s="198"/>
      <c r="I241" s="198"/>
      <c r="J241" s="198"/>
      <c r="K241" s="198"/>
      <c r="L241" s="198"/>
      <c r="M241" s="198"/>
      <c r="N241" s="198"/>
      <c r="O241" s="198"/>
      <c r="P241" s="198"/>
      <c r="Q241" s="198"/>
      <c r="R241" s="198"/>
      <c r="S241" s="198"/>
      <c r="T241" s="359"/>
      <c r="U241" s="198"/>
      <c r="V241" s="360"/>
      <c r="W241" s="361"/>
      <c r="X241" s="5"/>
    </row>
    <row r="242" spans="1:25" ht="15.6" x14ac:dyDescent="0.3">
      <c r="A242" s="262"/>
      <c r="B242" s="269" t="s">
        <v>308</v>
      </c>
      <c r="C242" s="270"/>
      <c r="D242" s="270"/>
      <c r="E242" s="270"/>
      <c r="F242" s="279"/>
      <c r="G242" s="270"/>
      <c r="H242" s="270"/>
      <c r="I242" s="270"/>
      <c r="J242" s="270"/>
      <c r="K242" s="270"/>
      <c r="L242" s="270"/>
      <c r="M242" s="270"/>
      <c r="N242" s="270"/>
      <c r="O242" s="270"/>
      <c r="P242" s="270"/>
      <c r="Q242" s="270"/>
      <c r="R242" s="279" t="s">
        <v>102</v>
      </c>
      <c r="S242" s="270" t="s">
        <v>103</v>
      </c>
      <c r="T242" s="279" t="s">
        <v>109</v>
      </c>
      <c r="U242" s="270" t="s">
        <v>103</v>
      </c>
      <c r="V242" s="263"/>
      <c r="W242" s="269"/>
      <c r="X242" s="5"/>
    </row>
    <row r="243" spans="1:25" ht="15.6" x14ac:dyDescent="0.3">
      <c r="A243" s="197"/>
      <c r="B243" s="234" t="s">
        <v>88</v>
      </c>
      <c r="C243" s="253"/>
      <c r="D243" s="253"/>
      <c r="E243" s="253"/>
      <c r="F243" s="231"/>
      <c r="G243" s="253"/>
      <c r="H243" s="253"/>
      <c r="I243" s="253"/>
      <c r="J243" s="253"/>
      <c r="K243" s="253"/>
      <c r="L243" s="253"/>
      <c r="M243" s="253"/>
      <c r="N243" s="253"/>
      <c r="O243" s="253"/>
      <c r="P243" s="253"/>
      <c r="Q243" s="253"/>
      <c r="R243" s="234">
        <f t="shared" ref="R243:R250" si="1">+R255+R267+R279</f>
        <v>8054</v>
      </c>
      <c r="S243" s="254">
        <f t="shared" ref="S243:S250" si="2">R243/$R$252</f>
        <v>0.98291432755674879</v>
      </c>
      <c r="T243" s="241">
        <f t="shared" ref="T243:T250" si="3">+T255+T267+T279</f>
        <v>1138019</v>
      </c>
      <c r="U243" s="254">
        <f t="shared" ref="U243:U250" si="4">T243/$T$252</f>
        <v>0.97931595320359188</v>
      </c>
      <c r="V243" s="250"/>
      <c r="W243" s="232"/>
      <c r="X243" s="5"/>
    </row>
    <row r="244" spans="1:25" ht="15.6" x14ac:dyDescent="0.3">
      <c r="A244" s="287"/>
      <c r="B244" s="337" t="s">
        <v>89</v>
      </c>
      <c r="C244" s="389"/>
      <c r="D244" s="389"/>
      <c r="E244" s="389"/>
      <c r="F244" s="288"/>
      <c r="G244" s="390"/>
      <c r="H244" s="389"/>
      <c r="I244" s="389"/>
      <c r="J244" s="389"/>
      <c r="K244" s="389"/>
      <c r="L244" s="389"/>
      <c r="M244" s="389"/>
      <c r="N244" s="389"/>
      <c r="O244" s="389"/>
      <c r="P244" s="389"/>
      <c r="Q244" s="389"/>
      <c r="R244" s="337">
        <f t="shared" si="1"/>
        <v>49</v>
      </c>
      <c r="S244" s="390">
        <f t="shared" si="2"/>
        <v>5.9799853551379054E-3</v>
      </c>
      <c r="T244" s="338">
        <f t="shared" si="3"/>
        <v>8304</v>
      </c>
      <c r="U244" s="390">
        <f t="shared" si="4"/>
        <v>7.145961249682674E-3</v>
      </c>
      <c r="V244" s="365"/>
      <c r="W244" s="378"/>
      <c r="X244" s="5"/>
      <c r="Y244" s="109"/>
    </row>
    <row r="245" spans="1:25" ht="15.6" x14ac:dyDescent="0.3">
      <c r="A245" s="287"/>
      <c r="B245" s="337" t="s">
        <v>90</v>
      </c>
      <c r="C245" s="389"/>
      <c r="D245" s="389"/>
      <c r="E245" s="389"/>
      <c r="F245" s="288"/>
      <c r="G245" s="390"/>
      <c r="H245" s="389"/>
      <c r="I245" s="389"/>
      <c r="J245" s="389"/>
      <c r="K245" s="389"/>
      <c r="L245" s="389"/>
      <c r="M245" s="389"/>
      <c r="N245" s="389"/>
      <c r="O245" s="389"/>
      <c r="P245" s="389"/>
      <c r="Q245" s="389"/>
      <c r="R245" s="337">
        <f t="shared" si="1"/>
        <v>14</v>
      </c>
      <c r="S245" s="390">
        <f t="shared" si="2"/>
        <v>1.7085672443251159E-3</v>
      </c>
      <c r="T245" s="338">
        <f t="shared" si="3"/>
        <v>2781</v>
      </c>
      <c r="U245" s="390">
        <f t="shared" si="4"/>
        <v>2.3931741612918493E-3</v>
      </c>
      <c r="V245" s="365"/>
      <c r="W245" s="378"/>
      <c r="X245" s="5"/>
    </row>
    <row r="246" spans="1:25" ht="15.6" x14ac:dyDescent="0.3">
      <c r="A246" s="287"/>
      <c r="B246" s="337" t="s">
        <v>156</v>
      </c>
      <c r="C246" s="389"/>
      <c r="D246" s="389"/>
      <c r="E246" s="389"/>
      <c r="F246" s="288"/>
      <c r="G246" s="390"/>
      <c r="H246" s="389"/>
      <c r="I246" s="389"/>
      <c r="J246" s="389"/>
      <c r="K246" s="389"/>
      <c r="L246" s="389"/>
      <c r="M246" s="389"/>
      <c r="N246" s="389"/>
      <c r="O246" s="389"/>
      <c r="P246" s="389"/>
      <c r="Q246" s="389"/>
      <c r="R246" s="337">
        <f t="shared" si="1"/>
        <v>6</v>
      </c>
      <c r="S246" s="390">
        <f t="shared" si="2"/>
        <v>7.3224310471076397E-4</v>
      </c>
      <c r="T246" s="338">
        <f t="shared" si="3"/>
        <v>1490</v>
      </c>
      <c r="U246" s="390">
        <f t="shared" si="4"/>
        <v>1.2822112550610772E-3</v>
      </c>
      <c r="V246" s="365"/>
      <c r="W246" s="378"/>
      <c r="X246" s="5"/>
      <c r="Y246" s="109"/>
    </row>
    <row r="247" spans="1:25" ht="15.6" x14ac:dyDescent="0.3">
      <c r="A247" s="287"/>
      <c r="B247" s="337" t="s">
        <v>157</v>
      </c>
      <c r="C247" s="389"/>
      <c r="D247" s="389"/>
      <c r="E247" s="389"/>
      <c r="F247" s="288"/>
      <c r="G247" s="390"/>
      <c r="H247" s="389"/>
      <c r="I247" s="389"/>
      <c r="J247" s="389"/>
      <c r="K247" s="389"/>
      <c r="L247" s="389"/>
      <c r="M247" s="389"/>
      <c r="N247" s="389"/>
      <c r="O247" s="389"/>
      <c r="P247" s="389"/>
      <c r="Q247" s="389"/>
      <c r="R247" s="337">
        <f t="shared" si="1"/>
        <v>6</v>
      </c>
      <c r="S247" s="390">
        <f t="shared" si="2"/>
        <v>7.3224310471076397E-4</v>
      </c>
      <c r="T247" s="338">
        <f t="shared" si="3"/>
        <v>811</v>
      </c>
      <c r="U247" s="390">
        <f t="shared" si="4"/>
        <v>6.979015623184789E-4</v>
      </c>
      <c r="V247" s="365"/>
      <c r="W247" s="378"/>
      <c r="X247" s="5"/>
    </row>
    <row r="248" spans="1:25" ht="15.6" x14ac:dyDescent="0.3">
      <c r="A248" s="287"/>
      <c r="B248" s="337" t="s">
        <v>158</v>
      </c>
      <c r="C248" s="389"/>
      <c r="D248" s="389"/>
      <c r="E248" s="389"/>
      <c r="F248" s="288"/>
      <c r="G248" s="390"/>
      <c r="H248" s="389"/>
      <c r="I248" s="389"/>
      <c r="J248" s="389"/>
      <c r="K248" s="389"/>
      <c r="L248" s="389"/>
      <c r="M248" s="389"/>
      <c r="N248" s="389"/>
      <c r="O248" s="389"/>
      <c r="P248" s="389"/>
      <c r="Q248" s="389"/>
      <c r="R248" s="337">
        <f t="shared" si="1"/>
        <v>2</v>
      </c>
      <c r="S248" s="390">
        <f t="shared" si="2"/>
        <v>2.4408103490358799E-4</v>
      </c>
      <c r="T248" s="338">
        <f t="shared" si="3"/>
        <v>443</v>
      </c>
      <c r="U248" s="390">
        <f t="shared" si="4"/>
        <v>3.8122119865238735E-4</v>
      </c>
      <c r="V248" s="365"/>
      <c r="W248" s="378"/>
      <c r="X248" s="5"/>
      <c r="Y248" s="109"/>
    </row>
    <row r="249" spans="1:25" ht="15.6" x14ac:dyDescent="0.3">
      <c r="A249" s="287"/>
      <c r="B249" s="337" t="s">
        <v>159</v>
      </c>
      <c r="C249" s="389"/>
      <c r="D249" s="389"/>
      <c r="E249" s="389"/>
      <c r="F249" s="288"/>
      <c r="G249" s="390"/>
      <c r="H249" s="389"/>
      <c r="I249" s="389"/>
      <c r="J249" s="389"/>
      <c r="K249" s="389"/>
      <c r="L249" s="389"/>
      <c r="M249" s="389"/>
      <c r="N249" s="389"/>
      <c r="O249" s="389"/>
      <c r="P249" s="389"/>
      <c r="Q249" s="389"/>
      <c r="R249" s="337">
        <f t="shared" si="1"/>
        <v>31</v>
      </c>
      <c r="S249" s="390">
        <f t="shared" si="2"/>
        <v>3.7832560410056139E-3</v>
      </c>
      <c r="T249" s="338">
        <f t="shared" si="3"/>
        <v>3889</v>
      </c>
      <c r="U249" s="390">
        <f t="shared" si="4"/>
        <v>3.3466574301560599E-3</v>
      </c>
      <c r="V249" s="365"/>
      <c r="W249" s="378"/>
      <c r="X249" s="5"/>
    </row>
    <row r="250" spans="1:25" ht="15.6" x14ac:dyDescent="0.3">
      <c r="A250" s="287"/>
      <c r="B250" s="337" t="s">
        <v>160</v>
      </c>
      <c r="C250" s="389"/>
      <c r="D250" s="389"/>
      <c r="E250" s="389"/>
      <c r="F250" s="288"/>
      <c r="G250" s="390"/>
      <c r="H250" s="389"/>
      <c r="I250" s="389"/>
      <c r="J250" s="389"/>
      <c r="K250" s="389"/>
      <c r="L250" s="389"/>
      <c r="M250" s="389"/>
      <c r="N250" s="389"/>
      <c r="O250" s="389"/>
      <c r="P250" s="389"/>
      <c r="Q250" s="389"/>
      <c r="R250" s="339">
        <f t="shared" si="1"/>
        <v>32</v>
      </c>
      <c r="S250" s="393">
        <f t="shared" si="2"/>
        <v>3.9052965584574079E-3</v>
      </c>
      <c r="T250" s="394">
        <f t="shared" si="3"/>
        <v>6318</v>
      </c>
      <c r="U250" s="393">
        <f t="shared" si="4"/>
        <v>5.4369199392455608E-3</v>
      </c>
      <c r="V250" s="365"/>
      <c r="W250" s="378"/>
      <c r="X250" s="5"/>
      <c r="Y250" s="109"/>
    </row>
    <row r="251" spans="1:25" ht="15.6" x14ac:dyDescent="0.3">
      <c r="A251" s="287"/>
      <c r="B251" s="337"/>
      <c r="C251" s="389"/>
      <c r="D251" s="389"/>
      <c r="E251" s="389"/>
      <c r="F251" s="288"/>
      <c r="G251" s="390"/>
      <c r="H251" s="389"/>
      <c r="I251" s="389"/>
      <c r="J251" s="389"/>
      <c r="K251" s="389"/>
      <c r="L251" s="389"/>
      <c r="M251" s="389"/>
      <c r="N251" s="389"/>
      <c r="O251" s="389"/>
      <c r="P251" s="389"/>
      <c r="Q251" s="389"/>
      <c r="R251" s="337"/>
      <c r="S251" s="390"/>
      <c r="T251" s="338"/>
      <c r="U251" s="390"/>
      <c r="V251" s="365"/>
      <c r="W251" s="378"/>
      <c r="X251" s="5"/>
    </row>
    <row r="252" spans="1:25" ht="15.6" x14ac:dyDescent="0.3">
      <c r="A252" s="287"/>
      <c r="B252" s="288"/>
      <c r="C252" s="288"/>
      <c r="D252" s="288"/>
      <c r="E252" s="288"/>
      <c r="F252" s="288"/>
      <c r="G252" s="288"/>
      <c r="H252" s="391"/>
      <c r="I252" s="391"/>
      <c r="J252" s="391"/>
      <c r="K252" s="391"/>
      <c r="L252" s="391"/>
      <c r="M252" s="391"/>
      <c r="N252" s="391"/>
      <c r="O252" s="391"/>
      <c r="P252" s="391"/>
      <c r="Q252" s="391"/>
      <c r="R252" s="337">
        <f>SUM(R243:R251)</f>
        <v>8194</v>
      </c>
      <c r="S252" s="390">
        <f>SUM(S243:S251)</f>
        <v>0.99999999999999989</v>
      </c>
      <c r="T252" s="338">
        <f>SUM(T243:T251)</f>
        <v>1162055</v>
      </c>
      <c r="U252" s="390">
        <f>SUM(U243:U251)</f>
        <v>1</v>
      </c>
      <c r="V252" s="288"/>
      <c r="W252" s="291"/>
      <c r="X252" s="5"/>
    </row>
    <row r="253" spans="1:25" ht="15.6" x14ac:dyDescent="0.3">
      <c r="A253" s="183"/>
      <c r="B253" s="198"/>
      <c r="C253" s="198"/>
      <c r="D253" s="198"/>
      <c r="E253" s="198"/>
      <c r="F253" s="198"/>
      <c r="G253" s="198"/>
      <c r="H253" s="386"/>
      <c r="I253" s="386"/>
      <c r="J253" s="386"/>
      <c r="K253" s="386"/>
      <c r="L253" s="386"/>
      <c r="M253" s="386"/>
      <c r="N253" s="386"/>
      <c r="O253" s="386"/>
      <c r="P253" s="386"/>
      <c r="Q253" s="386"/>
      <c r="R253" s="335"/>
      <c r="S253" s="387"/>
      <c r="T253" s="388"/>
      <c r="U253" s="387"/>
      <c r="V253" s="198"/>
      <c r="W253" s="198"/>
      <c r="X253" s="5"/>
    </row>
    <row r="254" spans="1:25" ht="15.6" x14ac:dyDescent="0.3">
      <c r="A254" s="262"/>
      <c r="B254" s="269" t="s">
        <v>162</v>
      </c>
      <c r="C254" s="270"/>
      <c r="D254" s="270"/>
      <c r="E254" s="270"/>
      <c r="F254" s="279"/>
      <c r="G254" s="270"/>
      <c r="H254" s="270"/>
      <c r="I254" s="270"/>
      <c r="J254" s="270"/>
      <c r="K254" s="270"/>
      <c r="L254" s="270"/>
      <c r="M254" s="270"/>
      <c r="N254" s="270"/>
      <c r="O254" s="270"/>
      <c r="P254" s="270"/>
      <c r="Q254" s="270"/>
      <c r="R254" s="279" t="s">
        <v>102</v>
      </c>
      <c r="S254" s="270" t="s">
        <v>103</v>
      </c>
      <c r="T254" s="279" t="s">
        <v>109</v>
      </c>
      <c r="U254" s="270" t="s">
        <v>103</v>
      </c>
      <c r="V254" s="263"/>
      <c r="W254" s="269"/>
      <c r="X254" s="5"/>
    </row>
    <row r="255" spans="1:25" ht="15.6" x14ac:dyDescent="0.3">
      <c r="A255" s="197"/>
      <c r="B255" s="234" t="s">
        <v>88</v>
      </c>
      <c r="C255" s="253"/>
      <c r="D255" s="253"/>
      <c r="E255" s="253"/>
      <c r="F255" s="231"/>
      <c r="G255" s="253"/>
      <c r="H255" s="253"/>
      <c r="I255" s="253"/>
      <c r="J255" s="253"/>
      <c r="K255" s="253"/>
      <c r="L255" s="253"/>
      <c r="M255" s="253"/>
      <c r="N255" s="253"/>
      <c r="O255" s="253"/>
      <c r="P255" s="253"/>
      <c r="Q255" s="253"/>
      <c r="R255" s="234">
        <v>7971</v>
      </c>
      <c r="S255" s="254">
        <f t="shared" ref="S255:S262" si="5">R255/$R$264</f>
        <v>0.99228183742063991</v>
      </c>
      <c r="T255" s="241">
        <v>1126138</v>
      </c>
      <c r="U255" s="254">
        <f t="shared" ref="U255:U262" si="6">T255/$T$264</f>
        <v>0.98950080266271379</v>
      </c>
      <c r="V255" s="250"/>
      <c r="W255" s="232"/>
      <c r="X255" s="5"/>
    </row>
    <row r="256" spans="1:25" ht="15.6" x14ac:dyDescent="0.3">
      <c r="A256" s="287"/>
      <c r="B256" s="337" t="s">
        <v>89</v>
      </c>
      <c r="C256" s="389"/>
      <c r="D256" s="389"/>
      <c r="E256" s="389"/>
      <c r="F256" s="288"/>
      <c r="G256" s="390"/>
      <c r="H256" s="389"/>
      <c r="I256" s="389"/>
      <c r="J256" s="389"/>
      <c r="K256" s="389"/>
      <c r="L256" s="389"/>
      <c r="M256" s="389"/>
      <c r="N256" s="389"/>
      <c r="O256" s="389"/>
      <c r="P256" s="389"/>
      <c r="Q256" s="389"/>
      <c r="R256" s="337">
        <v>43</v>
      </c>
      <c r="S256" s="390">
        <f t="shared" si="5"/>
        <v>5.352919208265903E-3</v>
      </c>
      <c r="T256" s="338">
        <v>7461</v>
      </c>
      <c r="U256" s="390">
        <f t="shared" si="6"/>
        <v>6.5557378302361774E-3</v>
      </c>
      <c r="V256" s="365"/>
      <c r="W256" s="378"/>
      <c r="X256" s="5"/>
      <c r="Y256" s="109"/>
    </row>
    <row r="257" spans="1:25" ht="15.6" x14ac:dyDescent="0.3">
      <c r="A257" s="287"/>
      <c r="B257" s="337" t="s">
        <v>90</v>
      </c>
      <c r="C257" s="389"/>
      <c r="D257" s="389"/>
      <c r="E257" s="389"/>
      <c r="F257" s="288"/>
      <c r="G257" s="390"/>
      <c r="H257" s="389"/>
      <c r="I257" s="389"/>
      <c r="J257" s="389"/>
      <c r="K257" s="389"/>
      <c r="L257" s="389"/>
      <c r="M257" s="389"/>
      <c r="N257" s="389"/>
      <c r="O257" s="389"/>
      <c r="P257" s="389"/>
      <c r="Q257" s="389"/>
      <c r="R257" s="337">
        <v>10</v>
      </c>
      <c r="S257" s="390">
        <f t="shared" si="5"/>
        <v>1.2448649321548612E-3</v>
      </c>
      <c r="T257" s="338">
        <v>2245</v>
      </c>
      <c r="U257" s="390">
        <f t="shared" si="6"/>
        <v>1.9726084209730891E-3</v>
      </c>
      <c r="V257" s="365"/>
      <c r="W257" s="378"/>
      <c r="X257" s="5"/>
    </row>
    <row r="258" spans="1:25" ht="15.6" x14ac:dyDescent="0.3">
      <c r="A258" s="287"/>
      <c r="B258" s="337" t="s">
        <v>156</v>
      </c>
      <c r="C258" s="389"/>
      <c r="D258" s="389"/>
      <c r="E258" s="389"/>
      <c r="F258" s="288"/>
      <c r="G258" s="390"/>
      <c r="H258" s="389"/>
      <c r="I258" s="389"/>
      <c r="J258" s="389"/>
      <c r="K258" s="389"/>
      <c r="L258" s="389"/>
      <c r="M258" s="389"/>
      <c r="N258" s="389"/>
      <c r="O258" s="389"/>
      <c r="P258" s="389"/>
      <c r="Q258" s="389"/>
      <c r="R258" s="337">
        <v>2</v>
      </c>
      <c r="S258" s="390">
        <f t="shared" si="5"/>
        <v>2.4897298643097225E-4</v>
      </c>
      <c r="T258" s="338">
        <v>1078</v>
      </c>
      <c r="U258" s="390">
        <f t="shared" si="6"/>
        <v>9.472035090463207E-4</v>
      </c>
      <c r="V258" s="365"/>
      <c r="W258" s="378"/>
      <c r="X258" s="5"/>
      <c r="Y258" s="109"/>
    </row>
    <row r="259" spans="1:25" ht="15.6" x14ac:dyDescent="0.3">
      <c r="A259" s="287"/>
      <c r="B259" s="337" t="s">
        <v>157</v>
      </c>
      <c r="C259" s="389"/>
      <c r="D259" s="389"/>
      <c r="E259" s="389"/>
      <c r="F259" s="288"/>
      <c r="G259" s="390"/>
      <c r="H259" s="389"/>
      <c r="I259" s="389"/>
      <c r="J259" s="389"/>
      <c r="K259" s="389"/>
      <c r="L259" s="389"/>
      <c r="M259" s="389"/>
      <c r="N259" s="389"/>
      <c r="O259" s="389"/>
      <c r="P259" s="389"/>
      <c r="Q259" s="389"/>
      <c r="R259" s="337">
        <v>0</v>
      </c>
      <c r="S259" s="390">
        <f t="shared" si="5"/>
        <v>0</v>
      </c>
      <c r="T259" s="338">
        <v>0</v>
      </c>
      <c r="U259" s="390">
        <f t="shared" si="6"/>
        <v>0</v>
      </c>
      <c r="V259" s="365"/>
      <c r="W259" s="378"/>
      <c r="X259" s="5"/>
    </row>
    <row r="260" spans="1:25" ht="15.6" x14ac:dyDescent="0.3">
      <c r="A260" s="287"/>
      <c r="B260" s="337" t="s">
        <v>158</v>
      </c>
      <c r="C260" s="389"/>
      <c r="D260" s="389"/>
      <c r="E260" s="389"/>
      <c r="F260" s="288"/>
      <c r="G260" s="390"/>
      <c r="H260" s="389"/>
      <c r="I260" s="389"/>
      <c r="J260" s="389"/>
      <c r="K260" s="389"/>
      <c r="L260" s="389"/>
      <c r="M260" s="389"/>
      <c r="N260" s="389"/>
      <c r="O260" s="389"/>
      <c r="P260" s="389"/>
      <c r="Q260" s="389"/>
      <c r="R260" s="337">
        <v>1</v>
      </c>
      <c r="S260" s="390">
        <f t="shared" si="5"/>
        <v>1.2448649321548613E-4</v>
      </c>
      <c r="T260" s="338">
        <v>316</v>
      </c>
      <c r="U260" s="390">
        <f t="shared" si="6"/>
        <v>2.7765891359799382E-4</v>
      </c>
      <c r="V260" s="365"/>
      <c r="W260" s="378"/>
      <c r="X260" s="5"/>
      <c r="Y260" s="109"/>
    </row>
    <row r="261" spans="1:25" ht="15.6" x14ac:dyDescent="0.3">
      <c r="A261" s="287"/>
      <c r="B261" s="337" t="s">
        <v>159</v>
      </c>
      <c r="C261" s="389"/>
      <c r="D261" s="389"/>
      <c r="E261" s="389"/>
      <c r="F261" s="288"/>
      <c r="G261" s="390"/>
      <c r="H261" s="389"/>
      <c r="I261" s="389"/>
      <c r="J261" s="389"/>
      <c r="K261" s="389"/>
      <c r="L261" s="389"/>
      <c r="M261" s="389"/>
      <c r="N261" s="389"/>
      <c r="O261" s="389"/>
      <c r="P261" s="389"/>
      <c r="Q261" s="389"/>
      <c r="R261" s="337">
        <v>4</v>
      </c>
      <c r="S261" s="390">
        <f t="shared" si="5"/>
        <v>4.979459728619445E-4</v>
      </c>
      <c r="T261" s="338">
        <v>557</v>
      </c>
      <c r="U261" s="390">
        <f t="shared" si="6"/>
        <v>4.8941776858886889E-4</v>
      </c>
      <c r="V261" s="365"/>
      <c r="W261" s="378"/>
      <c r="X261" s="5"/>
    </row>
    <row r="262" spans="1:25" ht="15.6" x14ac:dyDescent="0.3">
      <c r="A262" s="287"/>
      <c r="B262" s="337" t="s">
        <v>160</v>
      </c>
      <c r="C262" s="389"/>
      <c r="D262" s="389"/>
      <c r="E262" s="389"/>
      <c r="F262" s="288"/>
      <c r="G262" s="390"/>
      <c r="H262" s="389"/>
      <c r="I262" s="389"/>
      <c r="J262" s="389"/>
      <c r="K262" s="389"/>
      <c r="L262" s="389"/>
      <c r="M262" s="389"/>
      <c r="N262" s="389"/>
      <c r="O262" s="389"/>
      <c r="P262" s="389"/>
      <c r="Q262" s="389"/>
      <c r="R262" s="337">
        <v>2</v>
      </c>
      <c r="S262" s="390">
        <f t="shared" si="5"/>
        <v>2.4897298643097225E-4</v>
      </c>
      <c r="T262" s="338">
        <v>292</v>
      </c>
      <c r="U262" s="390">
        <f t="shared" si="6"/>
        <v>2.565708948437158E-4</v>
      </c>
      <c r="V262" s="365"/>
      <c r="W262" s="378"/>
      <c r="X262" s="5"/>
      <c r="Y262" s="109"/>
    </row>
    <row r="263" spans="1:25" ht="15.6" x14ac:dyDescent="0.3">
      <c r="A263" s="287"/>
      <c r="B263" s="337"/>
      <c r="C263" s="389"/>
      <c r="D263" s="389"/>
      <c r="E263" s="389"/>
      <c r="F263" s="288"/>
      <c r="G263" s="390"/>
      <c r="H263" s="389"/>
      <c r="I263" s="389"/>
      <c r="J263" s="389"/>
      <c r="K263" s="389"/>
      <c r="L263" s="389"/>
      <c r="M263" s="389"/>
      <c r="N263" s="389"/>
      <c r="O263" s="389"/>
      <c r="P263" s="389"/>
      <c r="Q263" s="389"/>
      <c r="R263" s="337"/>
      <c r="S263" s="390"/>
      <c r="T263" s="338"/>
      <c r="U263" s="390"/>
      <c r="V263" s="365"/>
      <c r="W263" s="378"/>
      <c r="X263" s="5"/>
    </row>
    <row r="264" spans="1:25" ht="15.6" x14ac:dyDescent="0.3">
      <c r="A264" s="287"/>
      <c r="B264" s="288"/>
      <c r="C264" s="288"/>
      <c r="D264" s="288"/>
      <c r="E264" s="288"/>
      <c r="F264" s="288"/>
      <c r="G264" s="288"/>
      <c r="H264" s="391"/>
      <c r="I264" s="391"/>
      <c r="J264" s="391"/>
      <c r="K264" s="391"/>
      <c r="L264" s="391"/>
      <c r="M264" s="391"/>
      <c r="N264" s="391"/>
      <c r="O264" s="391"/>
      <c r="P264" s="391"/>
      <c r="Q264" s="391"/>
      <c r="R264" s="337">
        <f>SUM(R255:R263)</f>
        <v>8033</v>
      </c>
      <c r="S264" s="390">
        <f>SUM(S255:S263)</f>
        <v>1</v>
      </c>
      <c r="T264" s="338">
        <f>SUM(T255:T263)</f>
        <v>1138087</v>
      </c>
      <c r="U264" s="390">
        <f>SUM(U255:U263)</f>
        <v>1</v>
      </c>
      <c r="V264" s="288"/>
      <c r="W264" s="291"/>
      <c r="X264" s="5"/>
    </row>
    <row r="265" spans="1:25" ht="15.6" x14ac:dyDescent="0.3">
      <c r="A265" s="183"/>
      <c r="B265" s="198"/>
      <c r="C265" s="198"/>
      <c r="D265" s="198"/>
      <c r="E265" s="198"/>
      <c r="F265" s="198"/>
      <c r="G265" s="198"/>
      <c r="H265" s="386"/>
      <c r="I265" s="386"/>
      <c r="J265" s="386"/>
      <c r="K265" s="386"/>
      <c r="L265" s="386"/>
      <c r="M265" s="386"/>
      <c r="N265" s="386"/>
      <c r="O265" s="386"/>
      <c r="P265" s="386"/>
      <c r="Q265" s="386"/>
      <c r="R265" s="335"/>
      <c r="S265" s="387"/>
      <c r="T265" s="388"/>
      <c r="U265" s="387"/>
      <c r="V265" s="198"/>
      <c r="W265" s="198"/>
      <c r="X265" s="5"/>
    </row>
    <row r="266" spans="1:25" ht="15.6" x14ac:dyDescent="0.3">
      <c r="A266" s="280"/>
      <c r="B266" s="269" t="s">
        <v>275</v>
      </c>
      <c r="C266" s="270"/>
      <c r="D266" s="270"/>
      <c r="E266" s="270"/>
      <c r="F266" s="279"/>
      <c r="G266" s="270"/>
      <c r="H266" s="270"/>
      <c r="I266" s="270"/>
      <c r="J266" s="270"/>
      <c r="K266" s="270"/>
      <c r="L266" s="270"/>
      <c r="M266" s="270"/>
      <c r="N266" s="270"/>
      <c r="O266" s="270"/>
      <c r="P266" s="270"/>
      <c r="Q266" s="270"/>
      <c r="R266" s="279" t="s">
        <v>102</v>
      </c>
      <c r="S266" s="270" t="s">
        <v>103</v>
      </c>
      <c r="T266" s="279" t="s">
        <v>109</v>
      </c>
      <c r="U266" s="270" t="s">
        <v>103</v>
      </c>
      <c r="V266" s="281"/>
      <c r="W266" s="282"/>
      <c r="X266" s="5"/>
    </row>
    <row r="267" spans="1:25" ht="15.6" x14ac:dyDescent="0.3">
      <c r="A267" s="197"/>
      <c r="B267" s="234" t="s">
        <v>88</v>
      </c>
      <c r="C267" s="253"/>
      <c r="D267" s="253"/>
      <c r="E267" s="253"/>
      <c r="F267" s="231"/>
      <c r="G267" s="253"/>
      <c r="H267" s="253"/>
      <c r="I267" s="253"/>
      <c r="J267" s="253"/>
      <c r="K267" s="253"/>
      <c r="L267" s="253"/>
      <c r="M267" s="253"/>
      <c r="N267" s="253"/>
      <c r="O267" s="253"/>
      <c r="P267" s="253"/>
      <c r="Q267" s="253"/>
      <c r="R267" s="234">
        <v>83</v>
      </c>
      <c r="S267" s="254">
        <f t="shared" ref="S267:S274" si="7">R267/$R$276</f>
        <v>0.51552795031055898</v>
      </c>
      <c r="T267" s="241">
        <v>11881</v>
      </c>
      <c r="U267" s="254">
        <f t="shared" ref="U267:U274" si="8">T267/$T$276</f>
        <v>0.49570260347129508</v>
      </c>
      <c r="V267" s="231"/>
      <c r="W267" s="231"/>
      <c r="X267" s="5"/>
    </row>
    <row r="268" spans="1:25" ht="15.6" x14ac:dyDescent="0.3">
      <c r="A268" s="287"/>
      <c r="B268" s="337" t="s">
        <v>89</v>
      </c>
      <c r="C268" s="389"/>
      <c r="D268" s="389"/>
      <c r="E268" s="389"/>
      <c r="F268" s="288"/>
      <c r="G268" s="390"/>
      <c r="H268" s="389"/>
      <c r="I268" s="389"/>
      <c r="J268" s="389"/>
      <c r="K268" s="389"/>
      <c r="L268" s="389"/>
      <c r="M268" s="389"/>
      <c r="N268" s="389"/>
      <c r="O268" s="389"/>
      <c r="P268" s="389"/>
      <c r="Q268" s="389"/>
      <c r="R268" s="337">
        <v>6</v>
      </c>
      <c r="S268" s="390">
        <f t="shared" si="7"/>
        <v>3.7267080745341616E-2</v>
      </c>
      <c r="T268" s="338">
        <v>843</v>
      </c>
      <c r="U268" s="390">
        <f t="shared" si="8"/>
        <v>3.5171895861148196E-2</v>
      </c>
      <c r="V268" s="288"/>
      <c r="W268" s="291"/>
      <c r="X268" s="5"/>
    </row>
    <row r="269" spans="1:25" ht="15.6" x14ac:dyDescent="0.3">
      <c r="A269" s="287"/>
      <c r="B269" s="337" t="s">
        <v>90</v>
      </c>
      <c r="C269" s="389"/>
      <c r="D269" s="389"/>
      <c r="E269" s="389"/>
      <c r="F269" s="288"/>
      <c r="G269" s="390"/>
      <c r="H269" s="389"/>
      <c r="I269" s="389"/>
      <c r="J269" s="389"/>
      <c r="K269" s="389"/>
      <c r="L269" s="389"/>
      <c r="M269" s="389"/>
      <c r="N269" s="389"/>
      <c r="O269" s="389"/>
      <c r="P269" s="389"/>
      <c r="Q269" s="389"/>
      <c r="R269" s="337">
        <v>4</v>
      </c>
      <c r="S269" s="390">
        <f t="shared" si="7"/>
        <v>2.4844720496894408E-2</v>
      </c>
      <c r="T269" s="338">
        <v>536</v>
      </c>
      <c r="U269" s="390">
        <f t="shared" si="8"/>
        <v>2.2363150867823766E-2</v>
      </c>
      <c r="V269" s="288"/>
      <c r="W269" s="291"/>
      <c r="X269" s="5"/>
    </row>
    <row r="270" spans="1:25" ht="15.6" x14ac:dyDescent="0.3">
      <c r="A270" s="287"/>
      <c r="B270" s="337" t="s">
        <v>156</v>
      </c>
      <c r="C270" s="389"/>
      <c r="D270" s="389"/>
      <c r="E270" s="389"/>
      <c r="F270" s="288"/>
      <c r="G270" s="390"/>
      <c r="H270" s="389"/>
      <c r="I270" s="389"/>
      <c r="J270" s="389"/>
      <c r="K270" s="389"/>
      <c r="L270" s="389"/>
      <c r="M270" s="389"/>
      <c r="N270" s="389"/>
      <c r="O270" s="389"/>
      <c r="P270" s="389"/>
      <c r="Q270" s="389"/>
      <c r="R270" s="337">
        <v>4</v>
      </c>
      <c r="S270" s="390">
        <f t="shared" si="7"/>
        <v>2.4844720496894408E-2</v>
      </c>
      <c r="T270" s="338">
        <v>412</v>
      </c>
      <c r="U270" s="390">
        <f t="shared" si="8"/>
        <v>1.7189586114819761E-2</v>
      </c>
      <c r="V270" s="288"/>
      <c r="W270" s="291"/>
      <c r="X270" s="5"/>
    </row>
    <row r="271" spans="1:25" ht="15.6" x14ac:dyDescent="0.3">
      <c r="A271" s="287"/>
      <c r="B271" s="337" t="s">
        <v>157</v>
      </c>
      <c r="C271" s="389"/>
      <c r="D271" s="389"/>
      <c r="E271" s="389"/>
      <c r="F271" s="288"/>
      <c r="G271" s="390"/>
      <c r="H271" s="389"/>
      <c r="I271" s="389"/>
      <c r="J271" s="389"/>
      <c r="K271" s="389"/>
      <c r="L271" s="389"/>
      <c r="M271" s="389"/>
      <c r="N271" s="389"/>
      <c r="O271" s="389"/>
      <c r="P271" s="389"/>
      <c r="Q271" s="389"/>
      <c r="R271" s="337">
        <v>6</v>
      </c>
      <c r="S271" s="390">
        <f t="shared" si="7"/>
        <v>3.7267080745341616E-2</v>
      </c>
      <c r="T271" s="338">
        <v>811</v>
      </c>
      <c r="U271" s="390">
        <f t="shared" si="8"/>
        <v>3.3836782376502006E-2</v>
      </c>
      <c r="V271" s="288"/>
      <c r="W271" s="291"/>
      <c r="X271" s="5"/>
    </row>
    <row r="272" spans="1:25" ht="15.6" x14ac:dyDescent="0.3">
      <c r="A272" s="287"/>
      <c r="B272" s="337" t="s">
        <v>158</v>
      </c>
      <c r="C272" s="389"/>
      <c r="D272" s="389"/>
      <c r="E272" s="389"/>
      <c r="F272" s="288"/>
      <c r="G272" s="390"/>
      <c r="H272" s="389"/>
      <c r="I272" s="389"/>
      <c r="J272" s="389"/>
      <c r="K272" s="389"/>
      <c r="L272" s="389"/>
      <c r="M272" s="389"/>
      <c r="N272" s="389"/>
      <c r="O272" s="389"/>
      <c r="P272" s="389"/>
      <c r="Q272" s="389"/>
      <c r="R272" s="337">
        <v>1</v>
      </c>
      <c r="S272" s="390">
        <f t="shared" si="7"/>
        <v>6.2111801242236021E-3</v>
      </c>
      <c r="T272" s="338">
        <v>127</v>
      </c>
      <c r="U272" s="390">
        <f t="shared" si="8"/>
        <v>5.2987316421895863E-3</v>
      </c>
      <c r="V272" s="288"/>
      <c r="W272" s="291"/>
      <c r="X272" s="5"/>
    </row>
    <row r="273" spans="1:24" ht="15.6" x14ac:dyDescent="0.3">
      <c r="A273" s="287"/>
      <c r="B273" s="337" t="s">
        <v>159</v>
      </c>
      <c r="C273" s="389"/>
      <c r="D273" s="389"/>
      <c r="E273" s="389"/>
      <c r="F273" s="288"/>
      <c r="G273" s="390"/>
      <c r="H273" s="389"/>
      <c r="I273" s="389"/>
      <c r="J273" s="389"/>
      <c r="K273" s="389"/>
      <c r="L273" s="389"/>
      <c r="M273" s="389"/>
      <c r="N273" s="389"/>
      <c r="O273" s="389"/>
      <c r="P273" s="389"/>
      <c r="Q273" s="389"/>
      <c r="R273" s="337">
        <v>27</v>
      </c>
      <c r="S273" s="390">
        <f t="shared" si="7"/>
        <v>0.16770186335403728</v>
      </c>
      <c r="T273" s="338">
        <v>3332</v>
      </c>
      <c r="U273" s="390">
        <f t="shared" si="8"/>
        <v>0.13901869158878505</v>
      </c>
      <c r="V273" s="288"/>
      <c r="W273" s="291"/>
      <c r="X273" s="5"/>
    </row>
    <row r="274" spans="1:24" ht="15.6" x14ac:dyDescent="0.3">
      <c r="A274" s="287"/>
      <c r="B274" s="337" t="s">
        <v>160</v>
      </c>
      <c r="C274" s="389"/>
      <c r="D274" s="389"/>
      <c r="E274" s="389"/>
      <c r="F274" s="288"/>
      <c r="G274" s="390"/>
      <c r="H274" s="389"/>
      <c r="I274" s="389"/>
      <c r="J274" s="389"/>
      <c r="K274" s="389"/>
      <c r="L274" s="389"/>
      <c r="M274" s="389"/>
      <c r="N274" s="389"/>
      <c r="O274" s="389"/>
      <c r="P274" s="389"/>
      <c r="Q274" s="389"/>
      <c r="R274" s="337">
        <v>30</v>
      </c>
      <c r="S274" s="390">
        <f t="shared" si="7"/>
        <v>0.18633540372670807</v>
      </c>
      <c r="T274" s="338">
        <v>6026</v>
      </c>
      <c r="U274" s="390">
        <f t="shared" si="8"/>
        <v>0.25141855807743657</v>
      </c>
      <c r="V274" s="288"/>
      <c r="W274" s="291"/>
      <c r="X274" s="5"/>
    </row>
    <row r="275" spans="1:24" ht="15.6" x14ac:dyDescent="0.3">
      <c r="A275" s="287"/>
      <c r="B275" s="337"/>
      <c r="C275" s="389"/>
      <c r="D275" s="389"/>
      <c r="E275" s="389"/>
      <c r="F275" s="288"/>
      <c r="G275" s="390"/>
      <c r="H275" s="389"/>
      <c r="I275" s="389"/>
      <c r="J275" s="389"/>
      <c r="K275" s="389"/>
      <c r="L275" s="389"/>
      <c r="M275" s="389"/>
      <c r="N275" s="389"/>
      <c r="O275" s="389"/>
      <c r="P275" s="389"/>
      <c r="Q275" s="389"/>
      <c r="R275" s="337"/>
      <c r="S275" s="390"/>
      <c r="T275" s="338"/>
      <c r="U275" s="390"/>
      <c r="V275" s="288"/>
      <c r="W275" s="291"/>
      <c r="X275" s="5"/>
    </row>
    <row r="276" spans="1:24" ht="15.6" x14ac:dyDescent="0.3">
      <c r="A276" s="287"/>
      <c r="B276" s="288"/>
      <c r="C276" s="288"/>
      <c r="D276" s="288"/>
      <c r="E276" s="288"/>
      <c r="F276" s="288"/>
      <c r="G276" s="288"/>
      <c r="H276" s="391"/>
      <c r="I276" s="391"/>
      <c r="J276" s="391"/>
      <c r="K276" s="391"/>
      <c r="L276" s="391"/>
      <c r="M276" s="391"/>
      <c r="N276" s="391"/>
      <c r="O276" s="391"/>
      <c r="P276" s="391"/>
      <c r="Q276" s="391"/>
      <c r="R276" s="337">
        <f>SUM(R267:R275)</f>
        <v>161</v>
      </c>
      <c r="S276" s="390">
        <f>SUM(S267:S275)</f>
        <v>1</v>
      </c>
      <c r="T276" s="338">
        <f>SUM(T267:T275)</f>
        <v>23968</v>
      </c>
      <c r="U276" s="390">
        <f>SUM(U267:U275)</f>
        <v>1.0000000000000002</v>
      </c>
      <c r="V276" s="288"/>
      <c r="W276" s="291"/>
      <c r="X276" s="5"/>
    </row>
    <row r="277" spans="1:24" ht="15.6" x14ac:dyDescent="0.3">
      <c r="A277" s="183"/>
      <c r="B277" s="284"/>
      <c r="C277" s="284"/>
      <c r="D277" s="284"/>
      <c r="E277" s="284"/>
      <c r="F277" s="284"/>
      <c r="G277" s="284"/>
      <c r="H277" s="392"/>
      <c r="I277" s="392"/>
      <c r="J277" s="392"/>
      <c r="K277" s="392"/>
      <c r="L277" s="392"/>
      <c r="M277" s="392"/>
      <c r="N277" s="392"/>
      <c r="O277" s="392"/>
      <c r="P277" s="392"/>
      <c r="Q277" s="392"/>
      <c r="R277" s="339"/>
      <c r="S277" s="393"/>
      <c r="T277" s="394"/>
      <c r="U277" s="393"/>
      <c r="V277" s="284"/>
      <c r="W277" s="284"/>
      <c r="X277" s="5"/>
    </row>
    <row r="278" spans="1:24" ht="15.6" x14ac:dyDescent="0.3">
      <c r="A278" s="280"/>
      <c r="B278" s="269" t="s">
        <v>163</v>
      </c>
      <c r="C278" s="281"/>
      <c r="D278" s="281"/>
      <c r="E278" s="281"/>
      <c r="F278" s="281"/>
      <c r="G278" s="281"/>
      <c r="H278" s="283"/>
      <c r="I278" s="283"/>
      <c r="J278" s="283"/>
      <c r="K278" s="283"/>
      <c r="L278" s="283"/>
      <c r="M278" s="283"/>
      <c r="N278" s="283"/>
      <c r="O278" s="283"/>
      <c r="P278" s="283"/>
      <c r="Q278" s="283"/>
      <c r="R278" s="279" t="s">
        <v>102</v>
      </c>
      <c r="S278" s="270" t="s">
        <v>103</v>
      </c>
      <c r="T278" s="279" t="s">
        <v>109</v>
      </c>
      <c r="U278" s="270" t="s">
        <v>103</v>
      </c>
      <c r="V278" s="281"/>
      <c r="W278" s="282"/>
      <c r="X278" s="5"/>
    </row>
    <row r="279" spans="1:24" ht="15.6" x14ac:dyDescent="0.3">
      <c r="A279" s="197"/>
      <c r="B279" s="234" t="s">
        <v>88</v>
      </c>
      <c r="C279" s="231"/>
      <c r="D279" s="231"/>
      <c r="E279" s="231"/>
      <c r="F279" s="231"/>
      <c r="G279" s="231"/>
      <c r="H279" s="255"/>
      <c r="I279" s="255"/>
      <c r="J279" s="255"/>
      <c r="K279" s="255"/>
      <c r="L279" s="255"/>
      <c r="M279" s="255"/>
      <c r="N279" s="255"/>
      <c r="O279" s="255"/>
      <c r="P279" s="255"/>
      <c r="Q279" s="255"/>
      <c r="R279" s="234">
        <v>0</v>
      </c>
      <c r="S279" s="254">
        <v>0</v>
      </c>
      <c r="T279" s="241">
        <v>0</v>
      </c>
      <c r="U279" s="254">
        <v>0</v>
      </c>
      <c r="V279" s="231"/>
      <c r="W279" s="231"/>
      <c r="X279" s="5"/>
    </row>
    <row r="280" spans="1:24" ht="15.6" x14ac:dyDescent="0.3">
      <c r="A280" s="287"/>
      <c r="B280" s="337" t="s">
        <v>89</v>
      </c>
      <c r="C280" s="288"/>
      <c r="D280" s="288"/>
      <c r="E280" s="288"/>
      <c r="F280" s="288"/>
      <c r="G280" s="288"/>
      <c r="H280" s="391"/>
      <c r="I280" s="391"/>
      <c r="J280" s="391"/>
      <c r="K280" s="391"/>
      <c r="L280" s="391"/>
      <c r="M280" s="391"/>
      <c r="N280" s="391"/>
      <c r="O280" s="391"/>
      <c r="P280" s="391"/>
      <c r="Q280" s="391"/>
      <c r="R280" s="337">
        <v>0</v>
      </c>
      <c r="S280" s="390">
        <v>0</v>
      </c>
      <c r="T280" s="338">
        <v>0</v>
      </c>
      <c r="U280" s="390">
        <v>0</v>
      </c>
      <c r="V280" s="288"/>
      <c r="W280" s="291"/>
      <c r="X280" s="5"/>
    </row>
    <row r="281" spans="1:24" ht="15.6" x14ac:dyDescent="0.3">
      <c r="A281" s="287"/>
      <c r="B281" s="337" t="s">
        <v>90</v>
      </c>
      <c r="C281" s="288"/>
      <c r="D281" s="288"/>
      <c r="E281" s="288"/>
      <c r="F281" s="288"/>
      <c r="G281" s="288"/>
      <c r="H281" s="391"/>
      <c r="I281" s="391"/>
      <c r="J281" s="391"/>
      <c r="K281" s="391"/>
      <c r="L281" s="391"/>
      <c r="M281" s="391"/>
      <c r="N281" s="391"/>
      <c r="O281" s="391"/>
      <c r="P281" s="391"/>
      <c r="Q281" s="391"/>
      <c r="R281" s="337">
        <v>0</v>
      </c>
      <c r="S281" s="390">
        <v>0</v>
      </c>
      <c r="T281" s="338">
        <v>0</v>
      </c>
      <c r="U281" s="390">
        <v>0</v>
      </c>
      <c r="V281" s="288"/>
      <c r="W281" s="291"/>
      <c r="X281" s="5"/>
    </row>
    <row r="282" spans="1:24" ht="15.6" x14ac:dyDescent="0.3">
      <c r="A282" s="287"/>
      <c r="B282" s="337" t="s">
        <v>156</v>
      </c>
      <c r="C282" s="288"/>
      <c r="D282" s="288"/>
      <c r="E282" s="288"/>
      <c r="F282" s="288"/>
      <c r="G282" s="288"/>
      <c r="H282" s="391"/>
      <c r="I282" s="391"/>
      <c r="J282" s="391"/>
      <c r="K282" s="391"/>
      <c r="L282" s="391"/>
      <c r="M282" s="391"/>
      <c r="N282" s="391"/>
      <c r="O282" s="391"/>
      <c r="P282" s="391"/>
      <c r="Q282" s="391"/>
      <c r="R282" s="337">
        <v>0</v>
      </c>
      <c r="S282" s="390">
        <v>0</v>
      </c>
      <c r="T282" s="338">
        <v>0</v>
      </c>
      <c r="U282" s="390">
        <v>0</v>
      </c>
      <c r="V282" s="288"/>
      <c r="W282" s="291"/>
      <c r="X282" s="5"/>
    </row>
    <row r="283" spans="1:24" ht="15.6" x14ac:dyDescent="0.3">
      <c r="A283" s="287"/>
      <c r="B283" s="337" t="s">
        <v>157</v>
      </c>
      <c r="C283" s="288"/>
      <c r="D283" s="288"/>
      <c r="E283" s="288"/>
      <c r="F283" s="288"/>
      <c r="G283" s="288"/>
      <c r="H283" s="391"/>
      <c r="I283" s="391"/>
      <c r="J283" s="391"/>
      <c r="K283" s="391"/>
      <c r="L283" s="391"/>
      <c r="M283" s="391"/>
      <c r="N283" s="391"/>
      <c r="O283" s="391"/>
      <c r="P283" s="391"/>
      <c r="Q283" s="391"/>
      <c r="R283" s="337">
        <v>0</v>
      </c>
      <c r="S283" s="390">
        <v>0</v>
      </c>
      <c r="T283" s="338">
        <v>0</v>
      </c>
      <c r="U283" s="390">
        <v>0</v>
      </c>
      <c r="V283" s="288"/>
      <c r="W283" s="291"/>
      <c r="X283" s="5"/>
    </row>
    <row r="284" spans="1:24" ht="15.6" x14ac:dyDescent="0.3">
      <c r="A284" s="287"/>
      <c r="B284" s="337" t="s">
        <v>158</v>
      </c>
      <c r="C284" s="288"/>
      <c r="D284" s="288"/>
      <c r="E284" s="288"/>
      <c r="F284" s="288"/>
      <c r="G284" s="288"/>
      <c r="H284" s="391"/>
      <c r="I284" s="391"/>
      <c r="J284" s="391"/>
      <c r="K284" s="391"/>
      <c r="L284" s="391"/>
      <c r="M284" s="391"/>
      <c r="N284" s="391"/>
      <c r="O284" s="391"/>
      <c r="P284" s="391"/>
      <c r="Q284" s="391"/>
      <c r="R284" s="337">
        <v>0</v>
      </c>
      <c r="S284" s="390">
        <v>0</v>
      </c>
      <c r="T284" s="338">
        <v>0</v>
      </c>
      <c r="U284" s="390">
        <v>0</v>
      </c>
      <c r="V284" s="288"/>
      <c r="W284" s="291"/>
      <c r="X284" s="5"/>
    </row>
    <row r="285" spans="1:24" ht="15.6" x14ac:dyDescent="0.3">
      <c r="A285" s="287"/>
      <c r="B285" s="337" t="s">
        <v>159</v>
      </c>
      <c r="C285" s="288"/>
      <c r="D285" s="288"/>
      <c r="E285" s="288"/>
      <c r="F285" s="288"/>
      <c r="G285" s="288"/>
      <c r="H285" s="391"/>
      <c r="I285" s="391"/>
      <c r="J285" s="391"/>
      <c r="K285" s="391"/>
      <c r="L285" s="391"/>
      <c r="M285" s="391"/>
      <c r="N285" s="391"/>
      <c r="O285" s="391"/>
      <c r="P285" s="391"/>
      <c r="Q285" s="391"/>
      <c r="R285" s="337">
        <v>0</v>
      </c>
      <c r="S285" s="390">
        <v>0</v>
      </c>
      <c r="T285" s="338">
        <v>0</v>
      </c>
      <c r="U285" s="390">
        <v>0</v>
      </c>
      <c r="V285" s="288"/>
      <c r="W285" s="291"/>
      <c r="X285" s="5"/>
    </row>
    <row r="286" spans="1:24" ht="15.6" x14ac:dyDescent="0.3">
      <c r="A286" s="287"/>
      <c r="B286" s="337" t="s">
        <v>160</v>
      </c>
      <c r="C286" s="288"/>
      <c r="D286" s="288"/>
      <c r="E286" s="288"/>
      <c r="F286" s="288"/>
      <c r="G286" s="288"/>
      <c r="H286" s="391"/>
      <c r="I286" s="391"/>
      <c r="J286" s="391"/>
      <c r="K286" s="391"/>
      <c r="L286" s="391"/>
      <c r="M286" s="391"/>
      <c r="N286" s="391"/>
      <c r="O286" s="391"/>
      <c r="P286" s="391"/>
      <c r="Q286" s="391"/>
      <c r="R286" s="337">
        <v>0</v>
      </c>
      <c r="S286" s="390">
        <v>0</v>
      </c>
      <c r="T286" s="338">
        <v>0</v>
      </c>
      <c r="U286" s="390">
        <v>0</v>
      </c>
      <c r="V286" s="288"/>
      <c r="W286" s="291"/>
      <c r="X286" s="5"/>
    </row>
    <row r="287" spans="1:24" ht="15.6" x14ac:dyDescent="0.3">
      <c r="A287" s="287"/>
      <c r="B287" s="337"/>
      <c r="C287" s="288"/>
      <c r="D287" s="288"/>
      <c r="E287" s="288"/>
      <c r="F287" s="288"/>
      <c r="G287" s="288"/>
      <c r="H287" s="391"/>
      <c r="I287" s="391"/>
      <c r="J287" s="391"/>
      <c r="K287" s="391"/>
      <c r="L287" s="391"/>
      <c r="M287" s="391"/>
      <c r="N287" s="391"/>
      <c r="O287" s="391"/>
      <c r="P287" s="391"/>
      <c r="Q287" s="391"/>
      <c r="R287" s="337"/>
      <c r="S287" s="390"/>
      <c r="T287" s="338"/>
      <c r="U287" s="390"/>
      <c r="V287" s="288"/>
      <c r="W287" s="291"/>
      <c r="X287" s="5"/>
    </row>
    <row r="288" spans="1:24" ht="15.6" x14ac:dyDescent="0.3">
      <c r="A288" s="287"/>
      <c r="B288" s="288" t="s">
        <v>114</v>
      </c>
      <c r="C288" s="288"/>
      <c r="D288" s="288"/>
      <c r="E288" s="288"/>
      <c r="F288" s="288"/>
      <c r="G288" s="288"/>
      <c r="H288" s="391"/>
      <c r="I288" s="391"/>
      <c r="J288" s="391"/>
      <c r="K288" s="391"/>
      <c r="L288" s="391"/>
      <c r="M288" s="391"/>
      <c r="N288" s="391"/>
      <c r="O288" s="391"/>
      <c r="P288" s="391"/>
      <c r="Q288" s="391"/>
      <c r="R288" s="337">
        <f>SUM(R279:R286)</f>
        <v>0</v>
      </c>
      <c r="S288" s="390">
        <f>SUM(S279:S287)</f>
        <v>0</v>
      </c>
      <c r="T288" s="338">
        <f>SUM(T279:T286)</f>
        <v>0</v>
      </c>
      <c r="U288" s="390">
        <f>SUM(U279:U287)</f>
        <v>0</v>
      </c>
      <c r="V288" s="288"/>
      <c r="W288" s="291"/>
      <c r="X288" s="5"/>
    </row>
    <row r="289" spans="1:24" ht="15.6" x14ac:dyDescent="0.3">
      <c r="A289" s="287"/>
      <c r="B289" s="288"/>
      <c r="C289" s="288"/>
      <c r="D289" s="288"/>
      <c r="E289" s="288"/>
      <c r="F289" s="288"/>
      <c r="G289" s="288"/>
      <c r="H289" s="391"/>
      <c r="I289" s="391"/>
      <c r="J289" s="391"/>
      <c r="K289" s="391"/>
      <c r="L289" s="391"/>
      <c r="M289" s="391"/>
      <c r="N289" s="391"/>
      <c r="O289" s="391"/>
      <c r="P289" s="391"/>
      <c r="Q289" s="391"/>
      <c r="R289" s="337"/>
      <c r="S289" s="390"/>
      <c r="T289" s="338"/>
      <c r="U289" s="390"/>
      <c r="V289" s="288"/>
      <c r="W289" s="291"/>
      <c r="X289" s="5"/>
    </row>
    <row r="290" spans="1:24" ht="15.6" x14ac:dyDescent="0.3">
      <c r="A290" s="287"/>
      <c r="B290" s="297" t="s">
        <v>164</v>
      </c>
      <c r="C290" s="288"/>
      <c r="D290" s="288"/>
      <c r="E290" s="288"/>
      <c r="F290" s="288"/>
      <c r="G290" s="288"/>
      <c r="H290" s="391"/>
      <c r="I290" s="391"/>
      <c r="J290" s="391"/>
      <c r="K290" s="391"/>
      <c r="L290" s="391"/>
      <c r="M290" s="391"/>
      <c r="N290" s="391"/>
      <c r="O290" s="391"/>
      <c r="P290" s="391"/>
      <c r="Q290" s="391"/>
      <c r="R290" s="395">
        <f>R288+R276+R264</f>
        <v>8194</v>
      </c>
      <c r="S290" s="390"/>
      <c r="T290" s="396">
        <f>+T288+T276+T264</f>
        <v>1162055</v>
      </c>
      <c r="U290" s="390"/>
      <c r="V290" s="288"/>
      <c r="W290" s="291"/>
      <c r="X290" s="5"/>
    </row>
    <row r="291" spans="1:24" ht="15.6" x14ac:dyDescent="0.3">
      <c r="A291" s="183"/>
      <c r="B291" s="284"/>
      <c r="C291" s="284"/>
      <c r="D291" s="284"/>
      <c r="E291" s="284"/>
      <c r="F291" s="284"/>
      <c r="G291" s="284"/>
      <c r="H291" s="392"/>
      <c r="I291" s="392"/>
      <c r="J291" s="392"/>
      <c r="K291" s="392"/>
      <c r="L291" s="392"/>
      <c r="M291" s="392"/>
      <c r="N291" s="392"/>
      <c r="O291" s="392"/>
      <c r="P291" s="392"/>
      <c r="Q291" s="392"/>
      <c r="R291" s="392"/>
      <c r="S291" s="392"/>
      <c r="T291" s="394"/>
      <c r="U291" s="392"/>
      <c r="V291" s="284"/>
      <c r="W291" s="284"/>
      <c r="X291" s="5"/>
    </row>
    <row r="292" spans="1:24" ht="15.6" x14ac:dyDescent="0.3">
      <c r="A292" s="183"/>
      <c r="B292" s="224"/>
      <c r="C292" s="224"/>
      <c r="D292" s="224"/>
      <c r="E292" s="224"/>
      <c r="F292" s="224"/>
      <c r="G292" s="224"/>
      <c r="H292" s="256"/>
      <c r="I292" s="256"/>
      <c r="J292" s="256"/>
      <c r="K292" s="256"/>
      <c r="L292" s="256"/>
      <c r="M292" s="256"/>
      <c r="N292" s="256"/>
      <c r="O292" s="256"/>
      <c r="P292" s="256"/>
      <c r="Q292" s="256"/>
      <c r="R292" s="256"/>
      <c r="S292" s="256"/>
      <c r="T292" s="257"/>
      <c r="U292" s="256"/>
      <c r="V292" s="224"/>
      <c r="W292" s="224"/>
      <c r="X292" s="5"/>
    </row>
    <row r="293" spans="1:24" ht="15.6" x14ac:dyDescent="0.3">
      <c r="A293" s="219"/>
      <c r="B293" s="222" t="s">
        <v>91</v>
      </c>
      <c r="C293" s="224"/>
      <c r="D293" s="224"/>
      <c r="E293" s="224"/>
      <c r="F293" s="228" t="s">
        <v>97</v>
      </c>
      <c r="G293" s="224"/>
      <c r="H293" s="222" t="s">
        <v>99</v>
      </c>
      <c r="I293" s="222"/>
      <c r="J293" s="222"/>
      <c r="K293" s="258"/>
      <c r="L293" s="258"/>
      <c r="M293" s="258"/>
      <c r="N293" s="258"/>
      <c r="O293" s="258"/>
      <c r="P293" s="258"/>
      <c r="Q293" s="258"/>
      <c r="R293" s="258"/>
      <c r="S293" s="258"/>
      <c r="T293" s="258"/>
      <c r="U293" s="258"/>
      <c r="V293" s="258"/>
      <c r="W293" s="258"/>
      <c r="X293" s="5"/>
    </row>
    <row r="294" spans="1:24" ht="15.6" x14ac:dyDescent="0.3">
      <c r="A294" s="219"/>
      <c r="B294" s="258"/>
      <c r="C294" s="224"/>
      <c r="D294" s="224"/>
      <c r="E294" s="224"/>
      <c r="F294" s="224"/>
      <c r="G294" s="224"/>
      <c r="H294" s="224"/>
      <c r="I294" s="224"/>
      <c r="J294" s="224"/>
      <c r="K294" s="258"/>
      <c r="L294" s="258"/>
      <c r="M294" s="258"/>
      <c r="N294" s="258"/>
      <c r="O294" s="258"/>
      <c r="P294" s="258"/>
      <c r="Q294" s="258"/>
      <c r="R294" s="258"/>
      <c r="S294" s="258"/>
      <c r="T294" s="258"/>
      <c r="U294" s="258"/>
      <c r="V294" s="258"/>
      <c r="W294" s="258"/>
      <c r="X294" s="5"/>
    </row>
    <row r="295" spans="1:24" ht="15.6" x14ac:dyDescent="0.3">
      <c r="A295" s="219"/>
      <c r="B295" s="222" t="s">
        <v>92</v>
      </c>
      <c r="C295" s="222"/>
      <c r="D295" s="222"/>
      <c r="E295" s="222"/>
      <c r="F295" s="259" t="s">
        <v>148</v>
      </c>
      <c r="G295" s="222"/>
      <c r="H295" s="222" t="s">
        <v>152</v>
      </c>
      <c r="I295" s="222"/>
      <c r="J295" s="222"/>
      <c r="K295" s="258"/>
      <c r="L295" s="258"/>
      <c r="M295" s="258"/>
      <c r="N295" s="258"/>
      <c r="O295" s="258"/>
      <c r="P295" s="258"/>
      <c r="Q295" s="258"/>
      <c r="R295" s="258"/>
      <c r="S295" s="258"/>
      <c r="T295" s="258"/>
      <c r="U295" s="258"/>
      <c r="V295" s="258"/>
      <c r="W295" s="258"/>
      <c r="X295" s="5"/>
    </row>
    <row r="296" spans="1:24" ht="15.6" x14ac:dyDescent="0.3">
      <c r="A296" s="219"/>
      <c r="B296" s="222" t="s">
        <v>277</v>
      </c>
      <c r="C296" s="222"/>
      <c r="D296" s="222"/>
      <c r="E296" s="222"/>
      <c r="F296" s="259" t="s">
        <v>278</v>
      </c>
      <c r="G296" s="222"/>
      <c r="H296" s="222" t="s">
        <v>279</v>
      </c>
      <c r="I296" s="258"/>
      <c r="J296" s="222"/>
      <c r="K296" s="258"/>
      <c r="L296" s="258"/>
      <c r="M296" s="258"/>
      <c r="N296" s="258"/>
      <c r="O296" s="258"/>
      <c r="P296" s="258"/>
      <c r="Q296" s="258"/>
      <c r="R296" s="258"/>
      <c r="S296" s="258"/>
      <c r="T296" s="258"/>
      <c r="U296" s="258"/>
      <c r="V296" s="258"/>
      <c r="W296" s="258"/>
      <c r="X296" s="5"/>
    </row>
    <row r="297" spans="1:24" ht="15.6" x14ac:dyDescent="0.3">
      <c r="A297" s="219"/>
      <c r="B297" s="222" t="s">
        <v>93</v>
      </c>
      <c r="C297" s="222"/>
      <c r="D297" s="222"/>
      <c r="E297" s="222"/>
      <c r="F297" s="259" t="s">
        <v>147</v>
      </c>
      <c r="G297" s="222"/>
      <c r="H297" s="222" t="s">
        <v>153</v>
      </c>
      <c r="I297" s="222"/>
      <c r="J297" s="222"/>
      <c r="K297" s="258"/>
      <c r="L297" s="258"/>
      <c r="M297" s="258"/>
      <c r="N297" s="258"/>
      <c r="O297" s="258"/>
      <c r="P297" s="258"/>
      <c r="Q297" s="258"/>
      <c r="R297" s="258"/>
      <c r="S297" s="258"/>
      <c r="T297" s="258"/>
      <c r="U297" s="258"/>
      <c r="V297" s="258"/>
      <c r="W297" s="258"/>
      <c r="X297" s="5"/>
    </row>
    <row r="298" spans="1:24" ht="15.6" x14ac:dyDescent="0.3">
      <c r="A298" s="219"/>
      <c r="B298" s="222"/>
      <c r="C298" s="222"/>
      <c r="D298" s="222"/>
      <c r="E298" s="222"/>
      <c r="F298" s="222"/>
      <c r="G298" s="260"/>
      <c r="H298" s="258"/>
      <c r="I298" s="258"/>
      <c r="J298" s="258"/>
      <c r="K298" s="258"/>
      <c r="L298" s="258"/>
      <c r="M298" s="258"/>
      <c r="N298" s="258"/>
      <c r="O298" s="258"/>
      <c r="P298" s="258"/>
      <c r="Q298" s="258"/>
      <c r="R298" s="258"/>
      <c r="S298" s="258"/>
      <c r="T298" s="258"/>
      <c r="U298" s="258"/>
      <c r="V298" s="258"/>
      <c r="W298" s="258"/>
      <c r="X298" s="5"/>
    </row>
    <row r="299" spans="1:24" ht="15.6" x14ac:dyDescent="0.3">
      <c r="A299" s="219"/>
      <c r="B299" s="222"/>
      <c r="C299" s="222"/>
      <c r="D299" s="222"/>
      <c r="E299" s="222"/>
      <c r="F299" s="222"/>
      <c r="G299" s="260"/>
      <c r="H299" s="258"/>
      <c r="I299" s="258"/>
      <c r="J299" s="258"/>
      <c r="K299" s="258"/>
      <c r="L299" s="258"/>
      <c r="M299" s="258"/>
      <c r="N299" s="258"/>
      <c r="O299" s="258"/>
      <c r="P299" s="258"/>
      <c r="Q299" s="258"/>
      <c r="R299" s="258"/>
      <c r="S299" s="258"/>
      <c r="T299" s="258"/>
      <c r="U299" s="258"/>
      <c r="V299" s="258"/>
      <c r="W299" s="258"/>
      <c r="X299" s="5"/>
    </row>
    <row r="300" spans="1:24" ht="18" thickBot="1" x14ac:dyDescent="0.35">
      <c r="A300" s="219"/>
      <c r="B300" s="261" t="str">
        <f>B204</f>
        <v>PM14 INVESTOR REPORT QUARTER ENDING NOVEMBER 2010</v>
      </c>
      <c r="C300" s="222"/>
      <c r="D300" s="222"/>
      <c r="E300" s="222"/>
      <c r="F300" s="222"/>
      <c r="G300" s="260"/>
      <c r="H300" s="258"/>
      <c r="I300" s="258"/>
      <c r="J300" s="258"/>
      <c r="K300" s="258"/>
      <c r="L300" s="258"/>
      <c r="M300" s="258"/>
      <c r="N300" s="258"/>
      <c r="O300" s="258"/>
      <c r="P300" s="258"/>
      <c r="Q300" s="258"/>
      <c r="R300" s="258"/>
      <c r="S300" s="258"/>
      <c r="T300" s="258"/>
      <c r="U300" s="258"/>
      <c r="V300" s="258"/>
      <c r="W300" s="258"/>
      <c r="X300" s="5"/>
    </row>
    <row r="301" spans="1:24" x14ac:dyDescent="0.25">
      <c r="A301" s="100"/>
      <c r="B301" s="100"/>
      <c r="C301" s="100"/>
      <c r="D301" s="100"/>
      <c r="E301" s="100"/>
      <c r="F301" s="100"/>
      <c r="G301" s="100"/>
      <c r="H301" s="100"/>
      <c r="I301" s="100"/>
      <c r="J301" s="100"/>
      <c r="K301" s="100"/>
      <c r="L301" s="100"/>
      <c r="M301" s="100"/>
      <c r="N301" s="100"/>
      <c r="O301" s="100"/>
      <c r="P301" s="100"/>
      <c r="Q301" s="100"/>
      <c r="R301" s="100"/>
      <c r="S301" s="100"/>
      <c r="T301" s="100"/>
      <c r="U301" s="100"/>
      <c r="V301" s="100"/>
      <c r="W301" s="100"/>
    </row>
  </sheetData>
  <phoneticPr fontId="0" type="noConversion"/>
  <hyperlinks>
    <hyperlink ref="P240" r:id="rId1" xr:uid="{00000000-0004-0000-0D00-000000000000}"/>
    <hyperlink ref="I9" r:id="rId2" xr:uid="{00000000-0004-0000-0D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8" max="14" man="1"/>
    <brk id="204" max="14" man="1"/>
  </rowBreaks>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6"/>
  </sheetPr>
  <dimension ref="A1:IV301"/>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80"/>
      <c r="B1" s="220" t="s">
        <v>244</v>
      </c>
      <c r="C1" s="181"/>
      <c r="D1" s="181"/>
      <c r="E1" s="181"/>
      <c r="F1" s="181"/>
      <c r="G1" s="181"/>
      <c r="H1" s="181"/>
      <c r="I1" s="181"/>
      <c r="J1" s="181"/>
      <c r="K1" s="181"/>
      <c r="L1" s="181"/>
      <c r="M1" s="181"/>
      <c r="N1" s="181"/>
      <c r="O1" s="181"/>
      <c r="P1" s="181"/>
      <c r="Q1" s="181"/>
      <c r="R1" s="181"/>
      <c r="S1" s="181"/>
      <c r="T1" s="181"/>
      <c r="U1" s="181"/>
      <c r="V1" s="181"/>
      <c r="W1" s="181"/>
      <c r="X1" s="5"/>
    </row>
    <row r="2" spans="1:24" ht="15.6" x14ac:dyDescent="0.3">
      <c r="A2" s="183"/>
      <c r="B2" s="184"/>
      <c r="C2" s="185"/>
      <c r="D2" s="185"/>
      <c r="E2" s="185"/>
      <c r="F2" s="185"/>
      <c r="G2" s="185"/>
      <c r="H2" s="185"/>
      <c r="I2" s="185"/>
      <c r="J2" s="185"/>
      <c r="K2" s="185"/>
      <c r="L2" s="185"/>
      <c r="M2" s="185"/>
      <c r="N2" s="185"/>
      <c r="O2" s="185"/>
      <c r="P2" s="185"/>
      <c r="Q2" s="185"/>
      <c r="R2" s="185"/>
      <c r="S2" s="185"/>
      <c r="T2" s="185"/>
      <c r="U2" s="185"/>
      <c r="V2" s="185"/>
      <c r="W2" s="185"/>
      <c r="X2" s="5"/>
    </row>
    <row r="3" spans="1:24" ht="15.6" x14ac:dyDescent="0.3">
      <c r="A3" s="186"/>
      <c r="B3" s="187" t="s">
        <v>245</v>
      </c>
      <c r="C3" s="185"/>
      <c r="D3" s="185"/>
      <c r="E3" s="185"/>
      <c r="F3" s="185"/>
      <c r="G3" s="185"/>
      <c r="H3" s="185"/>
      <c r="I3" s="185"/>
      <c r="J3" s="185"/>
      <c r="K3" s="185"/>
      <c r="L3" s="185"/>
      <c r="M3" s="185"/>
      <c r="N3" s="185"/>
      <c r="O3" s="185"/>
      <c r="P3" s="185"/>
      <c r="Q3" s="185"/>
      <c r="R3" s="185"/>
      <c r="S3" s="185"/>
      <c r="T3" s="185"/>
      <c r="U3" s="185"/>
      <c r="V3" s="185"/>
      <c r="W3" s="185"/>
      <c r="X3" s="5"/>
    </row>
    <row r="4" spans="1:24" ht="15.6" x14ac:dyDescent="0.3">
      <c r="A4" s="183"/>
      <c r="B4" s="184"/>
      <c r="C4" s="185"/>
      <c r="D4" s="185"/>
      <c r="E4" s="185"/>
      <c r="F4" s="185"/>
      <c r="G4" s="185"/>
      <c r="H4" s="185"/>
      <c r="I4" s="185"/>
      <c r="J4" s="185"/>
      <c r="K4" s="185"/>
      <c r="L4" s="185"/>
      <c r="M4" s="185"/>
      <c r="N4" s="185"/>
      <c r="O4" s="185"/>
      <c r="P4" s="185"/>
      <c r="Q4" s="185"/>
      <c r="R4" s="185"/>
      <c r="S4" s="185"/>
      <c r="T4" s="185"/>
      <c r="U4" s="185"/>
      <c r="V4" s="185"/>
      <c r="W4" s="185"/>
      <c r="X4" s="5"/>
    </row>
    <row r="5" spans="1:24" ht="15.6" x14ac:dyDescent="0.3">
      <c r="A5" s="183"/>
      <c r="B5" s="221" t="s">
        <v>137</v>
      </c>
      <c r="C5" s="185"/>
      <c r="D5" s="185"/>
      <c r="E5" s="185"/>
      <c r="F5" s="185"/>
      <c r="G5" s="185"/>
      <c r="H5" s="185"/>
      <c r="I5" s="185"/>
      <c r="J5" s="185"/>
      <c r="K5" s="185"/>
      <c r="L5" s="185"/>
      <c r="M5" s="185"/>
      <c r="N5" s="185"/>
      <c r="O5" s="185"/>
      <c r="P5" s="185"/>
      <c r="Q5" s="185"/>
      <c r="R5" s="185"/>
      <c r="S5" s="185"/>
      <c r="T5" s="185"/>
      <c r="U5" s="185"/>
      <c r="V5" s="185"/>
      <c r="W5" s="185"/>
      <c r="X5" s="5"/>
    </row>
    <row r="6" spans="1:24" ht="15.6" x14ac:dyDescent="0.3">
      <c r="A6" s="183"/>
      <c r="B6" s="221" t="s">
        <v>139</v>
      </c>
      <c r="C6" s="185"/>
      <c r="D6" s="185"/>
      <c r="E6" s="185"/>
      <c r="F6" s="185"/>
      <c r="G6" s="185"/>
      <c r="H6" s="185"/>
      <c r="I6" s="185"/>
      <c r="J6" s="185"/>
      <c r="K6" s="185"/>
      <c r="L6" s="185"/>
      <c r="M6" s="185"/>
      <c r="N6" s="185"/>
      <c r="O6" s="185"/>
      <c r="P6" s="185"/>
      <c r="Q6" s="185"/>
      <c r="R6" s="185"/>
      <c r="S6" s="185"/>
      <c r="T6" s="185"/>
      <c r="U6" s="185"/>
      <c r="V6" s="185"/>
      <c r="W6" s="185"/>
      <c r="X6" s="5"/>
    </row>
    <row r="7" spans="1:24" ht="15.6" x14ac:dyDescent="0.3">
      <c r="A7" s="183"/>
      <c r="B7" s="221" t="s">
        <v>138</v>
      </c>
      <c r="C7" s="185"/>
      <c r="D7" s="185"/>
      <c r="E7" s="185"/>
      <c r="F7" s="185"/>
      <c r="G7" s="185"/>
      <c r="H7" s="185"/>
      <c r="I7" s="185"/>
      <c r="J7" s="185"/>
      <c r="K7" s="185"/>
      <c r="L7" s="185"/>
      <c r="M7" s="185"/>
      <c r="N7" s="185"/>
      <c r="O7" s="185"/>
      <c r="P7" s="185"/>
      <c r="Q7" s="185"/>
      <c r="R7" s="185"/>
      <c r="S7" s="185"/>
      <c r="T7" s="185"/>
      <c r="U7" s="185"/>
      <c r="V7" s="185"/>
      <c r="W7" s="185"/>
      <c r="X7" s="5"/>
    </row>
    <row r="8" spans="1:24" ht="15.6" x14ac:dyDescent="0.3">
      <c r="A8" s="183"/>
      <c r="B8" s="188"/>
      <c r="C8" s="185"/>
      <c r="D8" s="185"/>
      <c r="E8" s="185"/>
      <c r="F8" s="185"/>
      <c r="G8" s="185"/>
      <c r="H8" s="185"/>
      <c r="I8" s="185"/>
      <c r="J8" s="185"/>
      <c r="K8" s="185"/>
      <c r="L8" s="185"/>
      <c r="M8" s="185"/>
      <c r="N8" s="185"/>
      <c r="O8" s="185"/>
      <c r="P8" s="185"/>
      <c r="Q8" s="185"/>
      <c r="R8" s="185"/>
      <c r="S8" s="185"/>
      <c r="T8" s="185"/>
      <c r="U8" s="185"/>
      <c r="V8" s="185"/>
      <c r="W8" s="185"/>
      <c r="X8" s="5"/>
    </row>
    <row r="9" spans="1:24" ht="17.399999999999999" x14ac:dyDescent="0.3">
      <c r="A9" s="183"/>
      <c r="B9" s="189" t="s">
        <v>166</v>
      </c>
      <c r="C9" s="185"/>
      <c r="D9" s="185"/>
      <c r="E9" s="185"/>
      <c r="F9" s="185"/>
      <c r="G9" s="185"/>
      <c r="H9" s="185"/>
      <c r="I9" s="190" t="s">
        <v>167</v>
      </c>
      <c r="J9" s="185"/>
      <c r="K9" s="185"/>
      <c r="L9" s="190"/>
      <c r="M9" s="185"/>
      <c r="N9" s="190"/>
      <c r="O9" s="185"/>
      <c r="P9" s="185"/>
      <c r="Q9" s="185"/>
      <c r="R9" s="185"/>
      <c r="S9" s="185"/>
      <c r="T9" s="185"/>
      <c r="U9" s="185"/>
      <c r="V9" s="185"/>
      <c r="W9" s="185"/>
      <c r="X9" s="5"/>
    </row>
    <row r="10" spans="1:24" ht="15.6" x14ac:dyDescent="0.3">
      <c r="A10" s="183"/>
      <c r="B10" s="188"/>
      <c r="C10" s="191"/>
      <c r="D10" s="191"/>
      <c r="E10" s="191"/>
      <c r="F10" s="185"/>
      <c r="G10" s="185"/>
      <c r="H10" s="185"/>
      <c r="I10" s="185"/>
      <c r="J10" s="185"/>
      <c r="K10" s="185"/>
      <c r="L10" s="185"/>
      <c r="M10" s="185"/>
      <c r="N10" s="185"/>
      <c r="O10" s="185"/>
      <c r="P10" s="185"/>
      <c r="Q10" s="185"/>
      <c r="R10" s="185"/>
      <c r="S10" s="185"/>
      <c r="T10" s="185"/>
      <c r="U10" s="185"/>
      <c r="V10" s="185"/>
      <c r="W10" s="185"/>
      <c r="X10" s="5"/>
    </row>
    <row r="11" spans="1:24" ht="15.6" x14ac:dyDescent="0.3">
      <c r="A11" s="183"/>
      <c r="B11" s="222" t="s">
        <v>0</v>
      </c>
      <c r="C11" s="185"/>
      <c r="D11" s="185"/>
      <c r="E11" s="185"/>
      <c r="F11" s="185"/>
      <c r="G11" s="185"/>
      <c r="H11" s="185"/>
      <c r="I11" s="185"/>
      <c r="J11" s="185"/>
      <c r="K11" s="185"/>
      <c r="L11" s="185"/>
      <c r="M11" s="185"/>
      <c r="N11" s="185"/>
      <c r="O11" s="185"/>
      <c r="P11" s="185"/>
      <c r="Q11" s="185"/>
      <c r="R11" s="185"/>
      <c r="S11" s="185"/>
      <c r="T11" s="185"/>
      <c r="U11" s="185"/>
      <c r="V11" s="185"/>
      <c r="W11" s="185"/>
      <c r="X11" s="5"/>
    </row>
    <row r="12" spans="1:24" ht="16.2" thickBot="1" x14ac:dyDescent="0.35">
      <c r="A12" s="183"/>
      <c r="B12" s="191"/>
      <c r="C12" s="185"/>
      <c r="D12" s="185"/>
      <c r="E12" s="185"/>
      <c r="F12" s="185"/>
      <c r="G12" s="185"/>
      <c r="H12" s="185"/>
      <c r="I12" s="185"/>
      <c r="J12" s="185"/>
      <c r="K12" s="185"/>
      <c r="L12" s="185"/>
      <c r="M12" s="185"/>
      <c r="N12" s="185"/>
      <c r="O12" s="185"/>
      <c r="P12" s="185"/>
      <c r="Q12" s="185"/>
      <c r="R12" s="185"/>
      <c r="S12" s="185"/>
      <c r="T12" s="185"/>
      <c r="U12" s="185"/>
      <c r="V12" s="185"/>
      <c r="W12" s="185"/>
      <c r="X12" s="5"/>
    </row>
    <row r="13" spans="1:24" ht="15.6" x14ac:dyDescent="0.3">
      <c r="A13" s="180"/>
      <c r="B13" s="181"/>
      <c r="C13" s="181"/>
      <c r="D13" s="181"/>
      <c r="E13" s="181"/>
      <c r="F13" s="181"/>
      <c r="G13" s="181"/>
      <c r="H13" s="181"/>
      <c r="I13" s="181"/>
      <c r="J13" s="181"/>
      <c r="K13" s="181"/>
      <c r="L13" s="181"/>
      <c r="M13" s="181"/>
      <c r="N13" s="181"/>
      <c r="O13" s="181"/>
      <c r="P13" s="181"/>
      <c r="Q13" s="181"/>
      <c r="R13" s="181"/>
      <c r="S13" s="181"/>
      <c r="T13" s="181"/>
      <c r="U13" s="181"/>
      <c r="V13" s="181"/>
      <c r="W13" s="181"/>
      <c r="X13" s="5"/>
    </row>
    <row r="14" spans="1:24" ht="15.6" x14ac:dyDescent="0.3">
      <c r="A14" s="183"/>
      <c r="B14" s="222" t="s">
        <v>1</v>
      </c>
      <c r="C14" s="192"/>
      <c r="D14" s="192"/>
      <c r="E14" s="192"/>
      <c r="F14" s="192"/>
      <c r="G14" s="192"/>
      <c r="H14" s="192"/>
      <c r="I14" s="192"/>
      <c r="J14" s="192"/>
      <c r="K14" s="192"/>
      <c r="L14" s="192"/>
      <c r="M14" s="192"/>
      <c r="N14" s="192"/>
      <c r="O14" s="192"/>
      <c r="P14" s="192"/>
      <c r="Q14" s="192"/>
      <c r="R14" s="224"/>
      <c r="S14" s="224"/>
      <c r="T14" s="224"/>
      <c r="U14" s="224"/>
      <c r="V14" s="225" t="s">
        <v>246</v>
      </c>
      <c r="W14" s="192"/>
      <c r="X14" s="5"/>
    </row>
    <row r="15" spans="1:24" ht="15.6" x14ac:dyDescent="0.3">
      <c r="A15" s="183"/>
      <c r="B15" s="222" t="s">
        <v>2</v>
      </c>
      <c r="C15" s="192"/>
      <c r="D15" s="192"/>
      <c r="E15" s="192"/>
      <c r="F15" s="192"/>
      <c r="G15" s="192"/>
      <c r="H15" s="193"/>
      <c r="I15" s="193"/>
      <c r="J15" s="193"/>
      <c r="K15" s="193"/>
      <c r="L15" s="193"/>
      <c r="M15" s="193"/>
      <c r="N15" s="193"/>
      <c r="O15" s="193"/>
      <c r="P15" s="193"/>
      <c r="Q15" s="193"/>
      <c r="R15" s="226" t="s">
        <v>104</v>
      </c>
      <c r="S15" s="227">
        <v>0.38300000000000001</v>
      </c>
      <c r="T15" s="228" t="s">
        <v>140</v>
      </c>
      <c r="U15" s="227">
        <v>0.61699999999999999</v>
      </c>
      <c r="V15" s="225"/>
      <c r="W15" s="192"/>
      <c r="X15" s="5"/>
    </row>
    <row r="16" spans="1:24" ht="15.6" x14ac:dyDescent="0.3">
      <c r="A16" s="183"/>
      <c r="B16" s="222" t="s">
        <v>3</v>
      </c>
      <c r="C16" s="192"/>
      <c r="D16" s="192"/>
      <c r="E16" s="192"/>
      <c r="F16" s="192"/>
      <c r="G16" s="192"/>
      <c r="H16" s="193"/>
      <c r="I16" s="193"/>
      <c r="J16" s="193"/>
      <c r="K16" s="193"/>
      <c r="L16" s="193"/>
      <c r="M16" s="193"/>
      <c r="N16" s="193"/>
      <c r="O16" s="193"/>
      <c r="P16" s="193"/>
      <c r="Q16" s="193"/>
      <c r="R16" s="226" t="s">
        <v>104</v>
      </c>
      <c r="S16" s="227">
        <v>0.45419999999999999</v>
      </c>
      <c r="T16" s="228" t="s">
        <v>140</v>
      </c>
      <c r="U16" s="227">
        <v>0.54579999999999995</v>
      </c>
      <c r="V16" s="225"/>
      <c r="W16" s="192"/>
      <c r="X16" s="5"/>
    </row>
    <row r="17" spans="1:24" ht="15.6" x14ac:dyDescent="0.3">
      <c r="A17" s="183"/>
      <c r="B17" s="222" t="s">
        <v>4</v>
      </c>
      <c r="C17" s="192"/>
      <c r="D17" s="192"/>
      <c r="E17" s="192"/>
      <c r="F17" s="192"/>
      <c r="G17" s="192"/>
      <c r="H17" s="192"/>
      <c r="I17" s="192"/>
      <c r="J17" s="192"/>
      <c r="K17" s="192"/>
      <c r="L17" s="192"/>
      <c r="M17" s="192"/>
      <c r="N17" s="192"/>
      <c r="O17" s="192"/>
      <c r="P17" s="192"/>
      <c r="Q17" s="192"/>
      <c r="R17" s="224"/>
      <c r="S17" s="224"/>
      <c r="T17" s="224"/>
      <c r="U17" s="224"/>
      <c r="V17" s="229">
        <v>39163</v>
      </c>
      <c r="W17" s="192"/>
      <c r="X17" s="5"/>
    </row>
    <row r="18" spans="1:24" ht="15.6" x14ac:dyDescent="0.3">
      <c r="A18" s="183"/>
      <c r="B18" s="222" t="s">
        <v>5</v>
      </c>
      <c r="C18" s="192"/>
      <c r="D18" s="192"/>
      <c r="E18" s="192"/>
      <c r="F18" s="192"/>
      <c r="G18" s="192"/>
      <c r="H18" s="192"/>
      <c r="I18" s="192"/>
      <c r="J18" s="192"/>
      <c r="K18" s="192"/>
      <c r="L18" s="192"/>
      <c r="M18" s="192"/>
      <c r="N18" s="192"/>
      <c r="O18" s="192"/>
      <c r="P18" s="192"/>
      <c r="Q18" s="192"/>
      <c r="R18" s="224"/>
      <c r="S18" s="224"/>
      <c r="T18" s="224"/>
      <c r="U18" s="224"/>
      <c r="V18" s="229">
        <v>40619</v>
      </c>
      <c r="W18" s="192"/>
      <c r="X18" s="5"/>
    </row>
    <row r="19" spans="1:24" ht="15.6" x14ac:dyDescent="0.3">
      <c r="A19" s="183"/>
      <c r="B19" s="185"/>
      <c r="C19" s="185"/>
      <c r="D19" s="185"/>
      <c r="E19" s="185"/>
      <c r="F19" s="185"/>
      <c r="G19" s="185"/>
      <c r="H19" s="185"/>
      <c r="I19" s="185"/>
      <c r="J19" s="185"/>
      <c r="K19" s="185"/>
      <c r="L19" s="185"/>
      <c r="M19" s="185"/>
      <c r="N19" s="185"/>
      <c r="O19" s="185"/>
      <c r="P19" s="185"/>
      <c r="Q19" s="185"/>
      <c r="R19" s="185"/>
      <c r="S19" s="185"/>
      <c r="T19" s="185"/>
      <c r="U19" s="185"/>
      <c r="V19" s="194"/>
      <c r="W19" s="185"/>
      <c r="X19" s="5"/>
    </row>
    <row r="20" spans="1:24" ht="15.6" x14ac:dyDescent="0.3">
      <c r="A20" s="183"/>
      <c r="B20" s="230" t="s">
        <v>6</v>
      </c>
      <c r="C20" s="185"/>
      <c r="D20" s="185"/>
      <c r="E20" s="185"/>
      <c r="F20" s="185"/>
      <c r="G20" s="185"/>
      <c r="H20" s="185"/>
      <c r="I20" s="185"/>
      <c r="J20" s="185"/>
      <c r="K20" s="185"/>
      <c r="L20" s="185"/>
      <c r="M20" s="185"/>
      <c r="N20" s="185"/>
      <c r="O20" s="185"/>
      <c r="P20" s="185"/>
      <c r="Q20" s="185"/>
      <c r="R20" s="185"/>
      <c r="S20" s="185"/>
      <c r="T20" s="223" t="s">
        <v>105</v>
      </c>
      <c r="U20" s="185"/>
      <c r="V20" s="182"/>
      <c r="W20" s="185"/>
      <c r="X20" s="5"/>
    </row>
    <row r="21" spans="1:24" ht="15.6" x14ac:dyDescent="0.3">
      <c r="A21" s="183"/>
      <c r="B21" s="185"/>
      <c r="C21" s="185"/>
      <c r="D21" s="185"/>
      <c r="E21" s="185"/>
      <c r="F21" s="185"/>
      <c r="G21" s="185"/>
      <c r="H21" s="185"/>
      <c r="I21" s="185"/>
      <c r="J21" s="185"/>
      <c r="K21" s="185"/>
      <c r="L21" s="185"/>
      <c r="M21" s="185"/>
      <c r="N21" s="185"/>
      <c r="O21" s="185"/>
      <c r="P21" s="185"/>
      <c r="Q21" s="185"/>
      <c r="R21" s="185"/>
      <c r="S21" s="185"/>
      <c r="T21" s="185"/>
      <c r="U21" s="185"/>
      <c r="V21" s="196"/>
      <c r="W21" s="185"/>
      <c r="X21" s="5"/>
    </row>
    <row r="22" spans="1:24" ht="15.6" x14ac:dyDescent="0.3">
      <c r="A22" s="262"/>
      <c r="B22" s="263"/>
      <c r="C22" s="264"/>
      <c r="D22" s="264" t="s">
        <v>177</v>
      </c>
      <c r="E22" s="264"/>
      <c r="F22" s="264" t="s">
        <v>178</v>
      </c>
      <c r="G22" s="264"/>
      <c r="H22" s="264" t="s">
        <v>179</v>
      </c>
      <c r="I22" s="264"/>
      <c r="J22" s="264" t="s">
        <v>220</v>
      </c>
      <c r="K22" s="264"/>
      <c r="L22" s="264" t="s">
        <v>180</v>
      </c>
      <c r="M22" s="264"/>
      <c r="N22" s="264" t="s">
        <v>181</v>
      </c>
      <c r="O22" s="264"/>
      <c r="P22" s="264" t="s">
        <v>221</v>
      </c>
      <c r="Q22" s="264"/>
      <c r="R22" s="264" t="s">
        <v>182</v>
      </c>
      <c r="S22" s="265"/>
      <c r="T22" s="266"/>
      <c r="U22" s="267"/>
      <c r="V22" s="267"/>
      <c r="W22" s="263"/>
      <c r="X22" s="5"/>
    </row>
    <row r="23" spans="1:24" ht="15.6" x14ac:dyDescent="0.3">
      <c r="A23" s="287"/>
      <c r="B23" s="288" t="s">
        <v>7</v>
      </c>
      <c r="C23" s="289"/>
      <c r="D23" s="289" t="s">
        <v>213</v>
      </c>
      <c r="E23" s="289"/>
      <c r="F23" s="289" t="s">
        <v>141</v>
      </c>
      <c r="G23" s="289"/>
      <c r="H23" s="289" t="s">
        <v>141</v>
      </c>
      <c r="I23" s="289"/>
      <c r="J23" s="289" t="s">
        <v>141</v>
      </c>
      <c r="K23" s="289"/>
      <c r="L23" s="289" t="s">
        <v>183</v>
      </c>
      <c r="M23" s="289"/>
      <c r="N23" s="289" t="s">
        <v>183</v>
      </c>
      <c r="O23" s="289"/>
      <c r="P23" s="289" t="s">
        <v>142</v>
      </c>
      <c r="Q23" s="289"/>
      <c r="R23" s="289" t="s">
        <v>142</v>
      </c>
      <c r="S23" s="289"/>
      <c r="T23" s="289"/>
      <c r="U23" s="290"/>
      <c r="V23" s="290"/>
      <c r="W23" s="291"/>
      <c r="X23" s="5"/>
    </row>
    <row r="24" spans="1:24" ht="15.6" x14ac:dyDescent="0.3">
      <c r="A24" s="287"/>
      <c r="B24" s="288" t="s">
        <v>8</v>
      </c>
      <c r="C24" s="289"/>
      <c r="D24" s="289" t="s">
        <v>214</v>
      </c>
      <c r="E24" s="289"/>
      <c r="F24" s="289" t="s">
        <v>143</v>
      </c>
      <c r="G24" s="289"/>
      <c r="H24" s="289" t="s">
        <v>143</v>
      </c>
      <c r="I24" s="289"/>
      <c r="J24" s="289" t="s">
        <v>143</v>
      </c>
      <c r="K24" s="289"/>
      <c r="L24" s="289" t="s">
        <v>165</v>
      </c>
      <c r="M24" s="289"/>
      <c r="N24" s="289" t="s">
        <v>165</v>
      </c>
      <c r="O24" s="289"/>
      <c r="P24" s="289" t="s">
        <v>144</v>
      </c>
      <c r="Q24" s="289"/>
      <c r="R24" s="289" t="s">
        <v>144</v>
      </c>
      <c r="S24" s="289"/>
      <c r="T24" s="289"/>
      <c r="U24" s="290"/>
      <c r="V24" s="290"/>
      <c r="W24" s="291"/>
      <c r="X24" s="5"/>
    </row>
    <row r="25" spans="1:24" ht="15.6" x14ac:dyDescent="0.3">
      <c r="A25" s="292"/>
      <c r="B25" s="293" t="s">
        <v>190</v>
      </c>
      <c r="C25" s="294"/>
      <c r="D25" s="289" t="s">
        <v>215</v>
      </c>
      <c r="E25" s="289"/>
      <c r="F25" s="289" t="s">
        <v>143</v>
      </c>
      <c r="G25" s="289"/>
      <c r="H25" s="289" t="s">
        <v>143</v>
      </c>
      <c r="I25" s="289"/>
      <c r="J25" s="289" t="s">
        <v>143</v>
      </c>
      <c r="K25" s="289"/>
      <c r="L25" s="289" t="s">
        <v>293</v>
      </c>
      <c r="M25" s="289"/>
      <c r="N25" s="289" t="s">
        <v>293</v>
      </c>
      <c r="O25" s="289"/>
      <c r="P25" s="289" t="s">
        <v>144</v>
      </c>
      <c r="Q25" s="289"/>
      <c r="R25" s="289" t="s">
        <v>144</v>
      </c>
      <c r="S25" s="294"/>
      <c r="T25" s="289"/>
      <c r="U25" s="290"/>
      <c r="V25" s="290"/>
      <c r="W25" s="291"/>
      <c r="X25" s="5"/>
    </row>
    <row r="26" spans="1:24" ht="15.6" x14ac:dyDescent="0.3">
      <c r="A26" s="292"/>
      <c r="B26" s="295" t="s">
        <v>9</v>
      </c>
      <c r="C26" s="294"/>
      <c r="D26" s="294" t="s">
        <v>213</v>
      </c>
      <c r="E26" s="294"/>
      <c r="F26" s="294" t="s">
        <v>141</v>
      </c>
      <c r="G26" s="294"/>
      <c r="H26" s="294" t="s">
        <v>141</v>
      </c>
      <c r="I26" s="294"/>
      <c r="J26" s="294" t="s">
        <v>141</v>
      </c>
      <c r="K26" s="294"/>
      <c r="L26" s="294" t="s">
        <v>183</v>
      </c>
      <c r="M26" s="294"/>
      <c r="N26" s="294" t="s">
        <v>183</v>
      </c>
      <c r="O26" s="294"/>
      <c r="P26" s="294" t="s">
        <v>142</v>
      </c>
      <c r="Q26" s="294"/>
      <c r="R26" s="294" t="s">
        <v>142</v>
      </c>
      <c r="S26" s="294"/>
      <c r="T26" s="289"/>
      <c r="U26" s="290"/>
      <c r="V26" s="290"/>
      <c r="W26" s="291"/>
      <c r="X26" s="5"/>
    </row>
    <row r="27" spans="1:24" ht="15.6" x14ac:dyDescent="0.3">
      <c r="A27" s="287"/>
      <c r="B27" s="295" t="s">
        <v>191</v>
      </c>
      <c r="C27" s="289"/>
      <c r="D27" s="294" t="s">
        <v>214</v>
      </c>
      <c r="E27" s="294"/>
      <c r="F27" s="294" t="s">
        <v>143</v>
      </c>
      <c r="G27" s="294"/>
      <c r="H27" s="294" t="s">
        <v>143</v>
      </c>
      <c r="I27" s="294"/>
      <c r="J27" s="294" t="s">
        <v>143</v>
      </c>
      <c r="K27" s="294"/>
      <c r="L27" s="294" t="s">
        <v>165</v>
      </c>
      <c r="M27" s="294"/>
      <c r="N27" s="294" t="s">
        <v>165</v>
      </c>
      <c r="O27" s="294"/>
      <c r="P27" s="294" t="s">
        <v>144</v>
      </c>
      <c r="Q27" s="294"/>
      <c r="R27" s="294" t="s">
        <v>144</v>
      </c>
      <c r="S27" s="289"/>
      <c r="T27" s="296"/>
      <c r="U27" s="290"/>
      <c r="V27" s="290"/>
      <c r="W27" s="291"/>
      <c r="X27" s="5"/>
    </row>
    <row r="28" spans="1:24" ht="15.6" x14ac:dyDescent="0.3">
      <c r="A28" s="287"/>
      <c r="B28" s="297" t="s">
        <v>192</v>
      </c>
      <c r="C28" s="289"/>
      <c r="D28" s="294" t="s">
        <v>215</v>
      </c>
      <c r="E28" s="294"/>
      <c r="F28" s="294" t="s">
        <v>143</v>
      </c>
      <c r="G28" s="294"/>
      <c r="H28" s="294" t="s">
        <v>143</v>
      </c>
      <c r="I28" s="294"/>
      <c r="J28" s="294" t="s">
        <v>143</v>
      </c>
      <c r="K28" s="294"/>
      <c r="L28" s="294" t="s">
        <v>293</v>
      </c>
      <c r="M28" s="294"/>
      <c r="N28" s="294" t="s">
        <v>293</v>
      </c>
      <c r="O28" s="294"/>
      <c r="P28" s="294" t="s">
        <v>144</v>
      </c>
      <c r="Q28" s="294"/>
      <c r="R28" s="294" t="s">
        <v>144</v>
      </c>
      <c r="S28" s="289"/>
      <c r="T28" s="296"/>
      <c r="U28" s="290"/>
      <c r="V28" s="290"/>
      <c r="W28" s="291"/>
      <c r="X28" s="5"/>
    </row>
    <row r="29" spans="1:24" ht="15.6" x14ac:dyDescent="0.3">
      <c r="A29" s="287"/>
      <c r="B29" s="288" t="s">
        <v>10</v>
      </c>
      <c r="C29" s="298"/>
      <c r="D29" s="289" t="s">
        <v>249</v>
      </c>
      <c r="E29" s="289"/>
      <c r="F29" s="296" t="s">
        <v>250</v>
      </c>
      <c r="G29" s="289"/>
      <c r="H29" s="289" t="s">
        <v>251</v>
      </c>
      <c r="I29" s="289"/>
      <c r="J29" s="289" t="s">
        <v>253</v>
      </c>
      <c r="K29" s="289"/>
      <c r="L29" s="289" t="s">
        <v>254</v>
      </c>
      <c r="M29" s="289"/>
      <c r="N29" s="289" t="s">
        <v>255</v>
      </c>
      <c r="O29" s="289"/>
      <c r="P29" s="289" t="s">
        <v>256</v>
      </c>
      <c r="Q29" s="289"/>
      <c r="R29" s="289" t="s">
        <v>257</v>
      </c>
      <c r="S29" s="299"/>
      <c r="T29" s="299"/>
      <c r="U29" s="300"/>
      <c r="V29" s="299"/>
      <c r="W29" s="301"/>
      <c r="X29" s="5"/>
    </row>
    <row r="30" spans="1:24" ht="15.6" x14ac:dyDescent="0.3">
      <c r="A30" s="287"/>
      <c r="B30" s="288" t="s">
        <v>10</v>
      </c>
      <c r="C30" s="298"/>
      <c r="D30" s="289" t="s">
        <v>248</v>
      </c>
      <c r="E30" s="289"/>
      <c r="F30" s="296" t="s">
        <v>118</v>
      </c>
      <c r="G30" s="289"/>
      <c r="H30" s="289" t="s">
        <v>118</v>
      </c>
      <c r="I30" s="289"/>
      <c r="J30" s="289" t="s">
        <v>252</v>
      </c>
      <c r="K30" s="289"/>
      <c r="L30" s="289" t="s">
        <v>118</v>
      </c>
      <c r="M30" s="289"/>
      <c r="N30" s="289" t="s">
        <v>118</v>
      </c>
      <c r="O30" s="289"/>
      <c r="P30" s="289" t="s">
        <v>118</v>
      </c>
      <c r="Q30" s="289"/>
      <c r="R30" s="289" t="s">
        <v>118</v>
      </c>
      <c r="S30" s="299"/>
      <c r="T30" s="299"/>
      <c r="U30" s="300"/>
      <c r="V30" s="299"/>
      <c r="W30" s="301"/>
      <c r="X30" s="5"/>
    </row>
    <row r="31" spans="1:24" ht="15.6" x14ac:dyDescent="0.3">
      <c r="A31" s="292"/>
      <c r="B31" s="288" t="s">
        <v>133</v>
      </c>
      <c r="C31" s="302"/>
      <c r="D31" s="303">
        <v>1500000</v>
      </c>
      <c r="E31" s="298"/>
      <c r="F31" s="299">
        <v>125000</v>
      </c>
      <c r="G31" s="299"/>
      <c r="H31" s="304">
        <v>246000</v>
      </c>
      <c r="I31" s="304"/>
      <c r="J31" s="303">
        <v>400000</v>
      </c>
      <c r="K31" s="299"/>
      <c r="L31" s="299">
        <v>51900</v>
      </c>
      <c r="M31" s="299"/>
      <c r="N31" s="304">
        <v>88800</v>
      </c>
      <c r="O31" s="299"/>
      <c r="P31" s="299">
        <v>20000</v>
      </c>
      <c r="Q31" s="299"/>
      <c r="R31" s="304">
        <v>135500</v>
      </c>
      <c r="S31" s="305"/>
      <c r="T31" s="305"/>
      <c r="U31" s="306"/>
      <c r="V31" s="305"/>
      <c r="W31" s="301"/>
      <c r="X31" s="5"/>
    </row>
    <row r="32" spans="1:24" ht="15.6" x14ac:dyDescent="0.3">
      <c r="A32" s="287"/>
      <c r="B32" s="288" t="s">
        <v>132</v>
      </c>
      <c r="C32" s="298"/>
      <c r="D32" s="303">
        <f>D31*D38</f>
        <v>1102113.1499999999</v>
      </c>
      <c r="E32" s="298"/>
      <c r="F32" s="299">
        <f>F31*F38</f>
        <v>91842.824999999997</v>
      </c>
      <c r="G32" s="299"/>
      <c r="H32" s="304">
        <f>H31*H38</f>
        <v>180746.6796</v>
      </c>
      <c r="I32" s="304"/>
      <c r="J32" s="303">
        <f>J31*J38</f>
        <v>293896.83999999997</v>
      </c>
      <c r="K32" s="299"/>
      <c r="L32" s="299">
        <f>+L31</f>
        <v>51900</v>
      </c>
      <c r="M32" s="299"/>
      <c r="N32" s="304">
        <f>+N31</f>
        <v>88800</v>
      </c>
      <c r="O32" s="299"/>
      <c r="P32" s="299">
        <f>+P31</f>
        <v>20000</v>
      </c>
      <c r="Q32" s="299"/>
      <c r="R32" s="304">
        <f>+R31</f>
        <v>135500</v>
      </c>
      <c r="S32" s="299"/>
      <c r="T32" s="299"/>
      <c r="U32" s="300"/>
      <c r="V32" s="299"/>
      <c r="W32" s="301"/>
      <c r="X32" s="5"/>
    </row>
    <row r="33" spans="1:24" ht="15.6" x14ac:dyDescent="0.3">
      <c r="A33" s="287"/>
      <c r="B33" s="295" t="s">
        <v>134</v>
      </c>
      <c r="C33" s="298"/>
      <c r="D33" s="307">
        <f>D37*D31</f>
        <v>1089813.3</v>
      </c>
      <c r="E33" s="302"/>
      <c r="F33" s="305">
        <f>F37*F31</f>
        <v>90817.85</v>
      </c>
      <c r="G33" s="305"/>
      <c r="H33" s="308">
        <f>H31*H37</f>
        <v>178729.5288</v>
      </c>
      <c r="I33" s="308"/>
      <c r="J33" s="307">
        <f>J37*J31</f>
        <v>290616.88</v>
      </c>
      <c r="K33" s="305"/>
      <c r="L33" s="305">
        <f>L31*L37</f>
        <v>51900</v>
      </c>
      <c r="M33" s="305"/>
      <c r="N33" s="308">
        <f>N31*N37</f>
        <v>88800</v>
      </c>
      <c r="O33" s="305"/>
      <c r="P33" s="305">
        <f>P31*P37</f>
        <v>20000</v>
      </c>
      <c r="Q33" s="305"/>
      <c r="R33" s="308">
        <f>R31*R37</f>
        <v>135500</v>
      </c>
      <c r="S33" s="299"/>
      <c r="T33" s="299"/>
      <c r="U33" s="300"/>
      <c r="V33" s="299"/>
      <c r="W33" s="301"/>
      <c r="X33" s="5"/>
    </row>
    <row r="34" spans="1:24" ht="15.6" x14ac:dyDescent="0.3">
      <c r="A34" s="292"/>
      <c r="B34" s="288" t="s">
        <v>296</v>
      </c>
      <c r="C34" s="302"/>
      <c r="D34" s="299">
        <v>775194</v>
      </c>
      <c r="E34" s="298"/>
      <c r="F34" s="299">
        <v>125000</v>
      </c>
      <c r="G34" s="299"/>
      <c r="H34" s="299">
        <v>168148</v>
      </c>
      <c r="I34" s="299"/>
      <c r="J34" s="299">
        <v>206718</v>
      </c>
      <c r="K34" s="299"/>
      <c r="L34" s="299">
        <v>51900</v>
      </c>
      <c r="M34" s="299"/>
      <c r="N34" s="299">
        <v>60697</v>
      </c>
      <c r="O34" s="299"/>
      <c r="P34" s="299">
        <v>20000</v>
      </c>
      <c r="Q34" s="299"/>
      <c r="R34" s="299">
        <v>92618</v>
      </c>
      <c r="S34" s="305"/>
      <c r="T34" s="305"/>
      <c r="U34" s="306"/>
      <c r="V34" s="309">
        <f>SUM(C34:R34)</f>
        <v>1500275</v>
      </c>
      <c r="W34" s="301"/>
      <c r="X34" s="5"/>
    </row>
    <row r="35" spans="1:24" ht="15.6" x14ac:dyDescent="0.3">
      <c r="A35" s="292"/>
      <c r="B35" s="288" t="s">
        <v>297</v>
      </c>
      <c r="C35" s="310"/>
      <c r="D35" s="299">
        <f>D34*D38</f>
        <v>569567.66746739997</v>
      </c>
      <c r="E35" s="298"/>
      <c r="F35" s="299">
        <f>F34*F38</f>
        <v>91842.824999999997</v>
      </c>
      <c r="G35" s="299"/>
      <c r="H35" s="299">
        <f>H34*H38</f>
        <v>123545.4987048</v>
      </c>
      <c r="I35" s="299"/>
      <c r="J35" s="299">
        <f>J34*J38</f>
        <v>151884.41742779998</v>
      </c>
      <c r="K35" s="299"/>
      <c r="L35" s="299">
        <f>+L34</f>
        <v>51900</v>
      </c>
      <c r="M35" s="299"/>
      <c r="N35" s="299">
        <f>+N34</f>
        <v>60697</v>
      </c>
      <c r="O35" s="299"/>
      <c r="P35" s="299">
        <f>+P34</f>
        <v>20000</v>
      </c>
      <c r="Q35" s="299"/>
      <c r="R35" s="299">
        <f>+R34</f>
        <v>92618</v>
      </c>
      <c r="S35" s="299"/>
      <c r="T35" s="299"/>
      <c r="U35" s="300"/>
      <c r="V35" s="309">
        <f>SUM(C35:R35)</f>
        <v>1162055.4086</v>
      </c>
      <c r="W35" s="301"/>
      <c r="X35" s="5"/>
    </row>
    <row r="36" spans="1:24" ht="15.6" x14ac:dyDescent="0.3">
      <c r="A36" s="292"/>
      <c r="B36" s="295" t="s">
        <v>298</v>
      </c>
      <c r="C36" s="310"/>
      <c r="D36" s="305">
        <f>D34*D37</f>
        <v>563211.15418680001</v>
      </c>
      <c r="E36" s="302"/>
      <c r="F36" s="305">
        <f>F34*F37</f>
        <v>90817.85</v>
      </c>
      <c r="G36" s="305"/>
      <c r="H36" s="305">
        <f>H34*H37</f>
        <v>122166.71873440001</v>
      </c>
      <c r="I36" s="305"/>
      <c r="J36" s="305">
        <f>J34*J37</f>
        <v>150189.3504996</v>
      </c>
      <c r="K36" s="305"/>
      <c r="L36" s="305">
        <f>L34*L37</f>
        <v>51900</v>
      </c>
      <c r="M36" s="305"/>
      <c r="N36" s="305">
        <f>N34*N37</f>
        <v>60697</v>
      </c>
      <c r="O36" s="305"/>
      <c r="P36" s="305">
        <f>P34*P37</f>
        <v>20000</v>
      </c>
      <c r="Q36" s="305"/>
      <c r="R36" s="305">
        <f>R34*R37</f>
        <v>92618</v>
      </c>
      <c r="S36" s="311"/>
      <c r="T36" s="311"/>
      <c r="U36" s="300"/>
      <c r="V36" s="312">
        <f>SUM(C36:R36)</f>
        <v>1151600.0734208</v>
      </c>
      <c r="W36" s="301"/>
      <c r="X36" s="5"/>
    </row>
    <row r="37" spans="1:24" ht="15.6" x14ac:dyDescent="0.3">
      <c r="A37" s="287"/>
      <c r="B37" s="313" t="s">
        <v>130</v>
      </c>
      <c r="C37" s="314"/>
      <c r="D37" s="315">
        <v>0.72654220000000003</v>
      </c>
      <c r="E37" s="315"/>
      <c r="F37" s="315">
        <v>0.72654280000000004</v>
      </c>
      <c r="G37" s="315"/>
      <c r="H37" s="315">
        <v>0.72654280000000004</v>
      </c>
      <c r="I37" s="315"/>
      <c r="J37" s="315">
        <v>0.72654220000000003</v>
      </c>
      <c r="K37" s="315"/>
      <c r="L37" s="315">
        <v>1</v>
      </c>
      <c r="M37" s="315"/>
      <c r="N37" s="315">
        <v>1</v>
      </c>
      <c r="O37" s="315"/>
      <c r="P37" s="315">
        <v>1</v>
      </c>
      <c r="Q37" s="315"/>
      <c r="R37" s="315">
        <v>1</v>
      </c>
      <c r="S37" s="316"/>
      <c r="T37" s="316"/>
      <c r="U37" s="317"/>
      <c r="V37" s="317"/>
      <c r="W37" s="318"/>
      <c r="X37" s="5"/>
    </row>
    <row r="38" spans="1:24" ht="15.6" x14ac:dyDescent="0.3">
      <c r="A38" s="287"/>
      <c r="B38" s="313" t="s">
        <v>131</v>
      </c>
      <c r="C38" s="314"/>
      <c r="D38" s="315">
        <v>0.73474209999999995</v>
      </c>
      <c r="E38" s="315"/>
      <c r="F38" s="315">
        <v>0.73474260000000002</v>
      </c>
      <c r="G38" s="315"/>
      <c r="H38" s="315">
        <v>0.73474260000000002</v>
      </c>
      <c r="I38" s="315"/>
      <c r="J38" s="315">
        <v>0.73474209999999995</v>
      </c>
      <c r="K38" s="315"/>
      <c r="L38" s="315">
        <v>1</v>
      </c>
      <c r="M38" s="315"/>
      <c r="N38" s="315">
        <v>1</v>
      </c>
      <c r="O38" s="315"/>
      <c r="P38" s="315">
        <v>1</v>
      </c>
      <c r="Q38" s="315"/>
      <c r="R38" s="315">
        <v>1</v>
      </c>
      <c r="S38" s="319"/>
      <c r="T38" s="320"/>
      <c r="U38" s="317"/>
      <c r="V38" s="319"/>
      <c r="W38" s="318"/>
      <c r="X38" s="5"/>
    </row>
    <row r="39" spans="1:24" ht="15.6" x14ac:dyDescent="0.3">
      <c r="A39" s="287"/>
      <c r="B39" s="288" t="s">
        <v>11</v>
      </c>
      <c r="C39" s="288"/>
      <c r="D39" s="296" t="s">
        <v>285</v>
      </c>
      <c r="E39" s="288"/>
      <c r="F39" s="296" t="s">
        <v>258</v>
      </c>
      <c r="G39" s="296"/>
      <c r="H39" s="296" t="s">
        <v>258</v>
      </c>
      <c r="I39" s="296"/>
      <c r="J39" s="296" t="s">
        <v>258</v>
      </c>
      <c r="K39" s="296"/>
      <c r="L39" s="296" t="s">
        <v>232</v>
      </c>
      <c r="M39" s="296"/>
      <c r="N39" s="296" t="s">
        <v>232</v>
      </c>
      <c r="O39" s="296"/>
      <c r="P39" s="296" t="s">
        <v>233</v>
      </c>
      <c r="Q39" s="296"/>
      <c r="R39" s="296" t="s">
        <v>233</v>
      </c>
      <c r="S39" s="321"/>
      <c r="T39" s="322"/>
      <c r="U39" s="290"/>
      <c r="V39" s="290"/>
      <c r="W39" s="291"/>
      <c r="X39" s="5"/>
    </row>
    <row r="40" spans="1:24" ht="15.6" x14ac:dyDescent="0.3">
      <c r="A40" s="287"/>
      <c r="B40" s="288" t="s">
        <v>12</v>
      </c>
      <c r="C40" s="288"/>
      <c r="D40" s="322">
        <v>3.6575000000000002E-3</v>
      </c>
      <c r="E40" s="288"/>
      <c r="F40" s="322">
        <v>8.4937999999999993E-3</v>
      </c>
      <c r="G40" s="321"/>
      <c r="H40" s="322">
        <v>1.1259999999999999E-2</v>
      </c>
      <c r="I40" s="322"/>
      <c r="J40" s="322">
        <v>4.0156000000000002E-3</v>
      </c>
      <c r="K40" s="321"/>
      <c r="L40" s="322">
        <v>9.2937999999999996E-3</v>
      </c>
      <c r="M40" s="321"/>
      <c r="N40" s="322">
        <v>1.206E-2</v>
      </c>
      <c r="O40" s="321"/>
      <c r="P40" s="322">
        <v>1.12938E-2</v>
      </c>
      <c r="Q40" s="321"/>
      <c r="R40" s="322">
        <v>1.406E-2</v>
      </c>
      <c r="S40" s="321"/>
      <c r="T40" s="322"/>
      <c r="U40" s="290"/>
      <c r="V40" s="296"/>
      <c r="W40" s="291"/>
      <c r="X40" s="5"/>
    </row>
    <row r="41" spans="1:24" ht="15.6" x14ac:dyDescent="0.3">
      <c r="A41" s="287"/>
      <c r="B41" s="288" t="s">
        <v>13</v>
      </c>
      <c r="C41" s="288"/>
      <c r="D41" s="322">
        <v>3.5344E-3</v>
      </c>
      <c r="E41" s="288"/>
      <c r="F41" s="322">
        <v>8.2468999999999997E-3</v>
      </c>
      <c r="G41" s="321"/>
      <c r="H41" s="322">
        <v>9.7900000000000001E-3</v>
      </c>
      <c r="I41" s="322"/>
      <c r="J41" s="322">
        <v>3.9218999999999999E-3</v>
      </c>
      <c r="K41" s="321"/>
      <c r="L41" s="322">
        <v>9.0469000000000001E-3</v>
      </c>
      <c r="M41" s="321"/>
      <c r="N41" s="322">
        <v>1.059E-2</v>
      </c>
      <c r="O41" s="321"/>
      <c r="P41" s="322">
        <v>1.10469E-2</v>
      </c>
      <c r="Q41" s="321"/>
      <c r="R41" s="322">
        <v>1.259E-2</v>
      </c>
      <c r="S41" s="321"/>
      <c r="T41" s="322"/>
      <c r="U41" s="290"/>
      <c r="V41" s="321" t="s">
        <v>193</v>
      </c>
      <c r="W41" s="291"/>
      <c r="X41" s="5"/>
    </row>
    <row r="42" spans="1:24" ht="15.6" x14ac:dyDescent="0.3">
      <c r="A42" s="287"/>
      <c r="B42" s="288" t="s">
        <v>299</v>
      </c>
      <c r="C42" s="288"/>
      <c r="D42" s="296" t="s">
        <v>286</v>
      </c>
      <c r="E42" s="288"/>
      <c r="F42" s="296" t="s">
        <v>258</v>
      </c>
      <c r="G42" s="296"/>
      <c r="H42" s="296" t="s">
        <v>259</v>
      </c>
      <c r="I42" s="296"/>
      <c r="J42" s="296" t="s">
        <v>260</v>
      </c>
      <c r="K42" s="296"/>
      <c r="L42" s="296" t="s">
        <v>232</v>
      </c>
      <c r="M42" s="296"/>
      <c r="N42" s="296" t="s">
        <v>235</v>
      </c>
      <c r="O42" s="296"/>
      <c r="P42" s="296" t="s">
        <v>233</v>
      </c>
      <c r="Q42" s="296"/>
      <c r="R42" s="296" t="s">
        <v>261</v>
      </c>
      <c r="S42" s="321"/>
      <c r="T42" s="322"/>
      <c r="U42" s="290"/>
      <c r="V42" s="290"/>
      <c r="W42" s="291"/>
      <c r="X42" s="5"/>
    </row>
    <row r="43" spans="1:24" ht="15.6" x14ac:dyDescent="0.3">
      <c r="A43" s="287"/>
      <c r="B43" s="288" t="s">
        <v>300</v>
      </c>
      <c r="C43" s="323"/>
      <c r="D43" s="322">
        <v>8.8328E-3</v>
      </c>
      <c r="E43" s="322"/>
      <c r="F43" s="322">
        <f>+F40</f>
        <v>8.4937999999999993E-3</v>
      </c>
      <c r="G43" s="322"/>
      <c r="H43" s="322">
        <v>8.6338000000000005E-3</v>
      </c>
      <c r="I43" s="322"/>
      <c r="J43" s="322">
        <v>8.8567999999999997E-3</v>
      </c>
      <c r="K43" s="322"/>
      <c r="L43" s="322">
        <f>+L40</f>
        <v>9.2937999999999996E-3</v>
      </c>
      <c r="M43" s="322"/>
      <c r="N43" s="322">
        <v>9.5898000000000008E-3</v>
      </c>
      <c r="O43" s="322"/>
      <c r="P43" s="322">
        <f>+P40</f>
        <v>1.12938E-2</v>
      </c>
      <c r="Q43" s="321"/>
      <c r="R43" s="322">
        <v>1.18268E-2</v>
      </c>
      <c r="S43" s="296"/>
      <c r="T43" s="296"/>
      <c r="U43" s="290"/>
      <c r="V43" s="321">
        <f>SUMPRODUCT(D43:R43,D35:R35)/V35</f>
        <v>9.1290997913462939E-3</v>
      </c>
      <c r="W43" s="291"/>
      <c r="X43" s="5"/>
    </row>
    <row r="44" spans="1:24" ht="15.6" x14ac:dyDescent="0.3">
      <c r="A44" s="287"/>
      <c r="B44" s="288" t="s">
        <v>301</v>
      </c>
      <c r="C44" s="323"/>
      <c r="D44" s="322">
        <v>8.5859000000000005E-3</v>
      </c>
      <c r="E44" s="322"/>
      <c r="F44" s="322">
        <f>+F41</f>
        <v>8.2468999999999997E-3</v>
      </c>
      <c r="G44" s="322"/>
      <c r="H44" s="322">
        <v>8.3868999999999992E-3</v>
      </c>
      <c r="I44" s="322"/>
      <c r="J44" s="322">
        <v>8.6099000000000002E-3</v>
      </c>
      <c r="K44" s="322"/>
      <c r="L44" s="322">
        <f>+L41</f>
        <v>9.0469000000000001E-3</v>
      </c>
      <c r="M44" s="322"/>
      <c r="N44" s="322">
        <v>9.3428999999999995E-3</v>
      </c>
      <c r="O44" s="322"/>
      <c r="P44" s="322">
        <f>+P41</f>
        <v>1.10469E-2</v>
      </c>
      <c r="Q44" s="321"/>
      <c r="R44" s="322">
        <v>1.1579900000000001E-2</v>
      </c>
      <c r="S44" s="296"/>
      <c r="T44" s="296"/>
      <c r="U44" s="290"/>
      <c r="V44" s="290"/>
      <c r="W44" s="291"/>
      <c r="X44" s="5"/>
    </row>
    <row r="45" spans="1:24" ht="15.6" x14ac:dyDescent="0.3">
      <c r="A45" s="287"/>
      <c r="B45" s="288" t="s">
        <v>14</v>
      </c>
      <c r="C45" s="288"/>
      <c r="D45" s="323">
        <v>40617</v>
      </c>
      <c r="E45" s="323"/>
      <c r="F45" s="323">
        <v>40617</v>
      </c>
      <c r="G45" s="323"/>
      <c r="H45" s="323">
        <v>40617</v>
      </c>
      <c r="I45" s="323"/>
      <c r="J45" s="323">
        <v>40617</v>
      </c>
      <c r="K45" s="323"/>
      <c r="L45" s="323">
        <v>40617</v>
      </c>
      <c r="M45" s="323"/>
      <c r="N45" s="323">
        <v>40617</v>
      </c>
      <c r="O45" s="323"/>
      <c r="P45" s="323">
        <v>40617</v>
      </c>
      <c r="Q45" s="323"/>
      <c r="R45" s="323">
        <v>40617</v>
      </c>
      <c r="S45" s="296"/>
      <c r="T45" s="296"/>
      <c r="U45" s="290"/>
      <c r="V45" s="290"/>
      <c r="W45" s="291"/>
      <c r="X45" s="5"/>
    </row>
    <row r="46" spans="1:24" ht="15.6" x14ac:dyDescent="0.3">
      <c r="A46" s="287"/>
      <c r="B46" s="288" t="s">
        <v>15</v>
      </c>
      <c r="C46" s="288"/>
      <c r="D46" s="323" t="s">
        <v>118</v>
      </c>
      <c r="E46" s="323"/>
      <c r="F46" s="323">
        <v>40983</v>
      </c>
      <c r="G46" s="323"/>
      <c r="H46" s="323">
        <v>40983</v>
      </c>
      <c r="I46" s="323"/>
      <c r="J46" s="323">
        <v>40983</v>
      </c>
      <c r="K46" s="296"/>
      <c r="L46" s="323">
        <v>40983</v>
      </c>
      <c r="M46" s="296"/>
      <c r="N46" s="323">
        <v>40983</v>
      </c>
      <c r="O46" s="296"/>
      <c r="P46" s="323">
        <v>40983</v>
      </c>
      <c r="Q46" s="296"/>
      <c r="R46" s="323">
        <v>40983</v>
      </c>
      <c r="S46" s="296"/>
      <c r="T46" s="296"/>
      <c r="U46" s="290"/>
      <c r="V46" s="290"/>
      <c r="W46" s="291"/>
      <c r="X46" s="5"/>
    </row>
    <row r="47" spans="1:24" ht="15.6" x14ac:dyDescent="0.3">
      <c r="A47" s="287"/>
      <c r="B47" s="288" t="s">
        <v>119</v>
      </c>
      <c r="C47" s="288"/>
      <c r="D47" s="324" t="s">
        <v>118</v>
      </c>
      <c r="E47" s="288"/>
      <c r="F47" s="296" t="s">
        <v>231</v>
      </c>
      <c r="G47" s="296"/>
      <c r="H47" s="296" t="s">
        <v>231</v>
      </c>
      <c r="I47" s="296"/>
      <c r="J47" s="296" t="s">
        <v>231</v>
      </c>
      <c r="K47" s="296"/>
      <c r="L47" s="296" t="s">
        <v>265</v>
      </c>
      <c r="M47" s="296"/>
      <c r="N47" s="296" t="s">
        <v>265</v>
      </c>
      <c r="O47" s="296"/>
      <c r="P47" s="296" t="s">
        <v>266</v>
      </c>
      <c r="Q47" s="296"/>
      <c r="R47" s="296" t="s">
        <v>266</v>
      </c>
      <c r="S47" s="325"/>
      <c r="T47" s="325"/>
      <c r="U47" s="325"/>
      <c r="V47" s="325"/>
      <c r="W47" s="291"/>
      <c r="X47" s="5"/>
    </row>
    <row r="48" spans="1:24" ht="15.6" x14ac:dyDescent="0.3">
      <c r="A48" s="287"/>
      <c r="B48" s="288" t="s">
        <v>302</v>
      </c>
      <c r="C48" s="288"/>
      <c r="D48" s="296" t="s">
        <v>200</v>
      </c>
      <c r="E48" s="288"/>
      <c r="F48" s="296" t="s">
        <v>231</v>
      </c>
      <c r="G48" s="296"/>
      <c r="H48" s="296" t="s">
        <v>262</v>
      </c>
      <c r="I48" s="296"/>
      <c r="J48" s="296" t="s">
        <v>263</v>
      </c>
      <c r="K48" s="296"/>
      <c r="L48" s="296" t="s">
        <v>265</v>
      </c>
      <c r="M48" s="296"/>
      <c r="N48" s="296" t="s">
        <v>234</v>
      </c>
      <c r="O48" s="296"/>
      <c r="P48" s="296" t="s">
        <v>266</v>
      </c>
      <c r="Q48" s="296"/>
      <c r="R48" s="296" t="s">
        <v>264</v>
      </c>
      <c r="S48" s="288"/>
      <c r="T48" s="288"/>
      <c r="U48" s="288"/>
      <c r="V48" s="321"/>
      <c r="W48" s="291"/>
      <c r="X48" s="5"/>
    </row>
    <row r="49" spans="1:25" ht="15.6" x14ac:dyDescent="0.3">
      <c r="A49" s="287"/>
      <c r="B49" s="288"/>
      <c r="C49" s="288"/>
      <c r="D49" s="296"/>
      <c r="E49" s="288"/>
      <c r="F49" s="296"/>
      <c r="G49" s="296"/>
      <c r="H49" s="296"/>
      <c r="I49" s="296"/>
      <c r="J49" s="296"/>
      <c r="K49" s="296"/>
      <c r="L49" s="296"/>
      <c r="M49" s="296"/>
      <c r="N49" s="296"/>
      <c r="O49" s="296"/>
      <c r="P49" s="296"/>
      <c r="Q49" s="296"/>
      <c r="R49" s="296"/>
      <c r="S49" s="288"/>
      <c r="T49" s="288"/>
      <c r="U49" s="288"/>
      <c r="V49" s="321" t="s">
        <v>193</v>
      </c>
      <c r="W49" s="291"/>
      <c r="X49" s="5"/>
    </row>
    <row r="50" spans="1:25" ht="15.6" x14ac:dyDescent="0.3">
      <c r="A50" s="287"/>
      <c r="B50" s="288" t="s">
        <v>169</v>
      </c>
      <c r="C50" s="288"/>
      <c r="D50" s="296"/>
      <c r="E50" s="288"/>
      <c r="F50" s="296"/>
      <c r="G50" s="296"/>
      <c r="H50" s="296"/>
      <c r="I50" s="296"/>
      <c r="J50" s="296"/>
      <c r="K50" s="296"/>
      <c r="L50" s="296"/>
      <c r="M50" s="296"/>
      <c r="N50" s="296"/>
      <c r="O50" s="296"/>
      <c r="P50" s="296"/>
      <c r="Q50" s="296"/>
      <c r="R50" s="296"/>
      <c r="S50" s="288"/>
      <c r="T50" s="288"/>
      <c r="U50" s="288"/>
      <c r="V50" s="321">
        <f>SUM(L34:R34)/SUM(D34:J34)</f>
        <v>0.17663090364375009</v>
      </c>
      <c r="W50" s="291"/>
      <c r="X50" s="5"/>
    </row>
    <row r="51" spans="1:25" ht="15.6" x14ac:dyDescent="0.3">
      <c r="A51" s="287"/>
      <c r="B51" s="288" t="s">
        <v>170</v>
      </c>
      <c r="C51" s="288"/>
      <c r="D51" s="288"/>
      <c r="E51" s="288"/>
      <c r="F51" s="326"/>
      <c r="G51" s="288"/>
      <c r="H51" s="288"/>
      <c r="I51" s="288"/>
      <c r="J51" s="288"/>
      <c r="K51" s="288"/>
      <c r="L51" s="288"/>
      <c r="M51" s="288"/>
      <c r="N51" s="288"/>
      <c r="O51" s="288"/>
      <c r="P51" s="288"/>
      <c r="Q51" s="288"/>
      <c r="R51" s="288"/>
      <c r="S51" s="288"/>
      <c r="T51" s="288"/>
      <c r="U51" s="288"/>
      <c r="V51" s="321">
        <f>SUM(L36:R36)/SUM(D36:J36)</f>
        <v>0.24311164596852114</v>
      </c>
      <c r="W51" s="291"/>
      <c r="X51" s="5"/>
    </row>
    <row r="52" spans="1:25" ht="15.6" x14ac:dyDescent="0.3">
      <c r="A52" s="287"/>
      <c r="B52" s="288" t="s">
        <v>171</v>
      </c>
      <c r="C52" s="288"/>
      <c r="D52" s="288"/>
      <c r="E52" s="288"/>
      <c r="F52" s="288"/>
      <c r="G52" s="288"/>
      <c r="H52" s="288"/>
      <c r="I52" s="288"/>
      <c r="J52" s="288"/>
      <c r="K52" s="288"/>
      <c r="L52" s="288"/>
      <c r="M52" s="288"/>
      <c r="N52" s="288"/>
      <c r="O52" s="288"/>
      <c r="P52" s="288"/>
      <c r="Q52" s="288"/>
      <c r="R52" s="288"/>
      <c r="S52" s="288"/>
      <c r="T52" s="296"/>
      <c r="U52" s="296"/>
      <c r="V52" s="299" t="s">
        <v>276</v>
      </c>
      <c r="W52" s="291"/>
      <c r="X52" s="5"/>
    </row>
    <row r="53" spans="1:25" ht="15.6" x14ac:dyDescent="0.3">
      <c r="A53" s="287"/>
      <c r="B53" s="288"/>
      <c r="C53" s="288"/>
      <c r="D53" s="288"/>
      <c r="E53" s="288"/>
      <c r="F53" s="288"/>
      <c r="G53" s="288"/>
      <c r="H53" s="288"/>
      <c r="I53" s="288"/>
      <c r="J53" s="288"/>
      <c r="K53" s="288"/>
      <c r="L53" s="288"/>
      <c r="M53" s="288"/>
      <c r="N53" s="288"/>
      <c r="O53" s="288"/>
      <c r="P53" s="288"/>
      <c r="Q53" s="288"/>
      <c r="R53" s="288"/>
      <c r="S53" s="288"/>
      <c r="T53" s="288"/>
      <c r="U53" s="288"/>
      <c r="V53" s="327"/>
      <c r="W53" s="291"/>
      <c r="X53" s="5"/>
    </row>
    <row r="54" spans="1:25" ht="15.6" x14ac:dyDescent="0.3">
      <c r="A54" s="287"/>
      <c r="B54" s="288" t="s">
        <v>202</v>
      </c>
      <c r="C54" s="288"/>
      <c r="D54" s="288"/>
      <c r="E54" s="288"/>
      <c r="F54" s="288"/>
      <c r="G54" s="288"/>
      <c r="H54" s="288"/>
      <c r="I54" s="288"/>
      <c r="J54" s="288"/>
      <c r="K54" s="288"/>
      <c r="L54" s="288"/>
      <c r="M54" s="288"/>
      <c r="N54" s="288"/>
      <c r="O54" s="288"/>
      <c r="P54" s="288"/>
      <c r="Q54" s="288"/>
      <c r="R54" s="288"/>
      <c r="S54" s="288"/>
      <c r="T54" s="288"/>
      <c r="U54" s="288"/>
      <c r="V54" s="328" t="s">
        <v>203</v>
      </c>
      <c r="W54" s="291"/>
      <c r="X54" s="5"/>
    </row>
    <row r="55" spans="1:25" ht="15.6" x14ac:dyDescent="0.3">
      <c r="A55" s="287"/>
      <c r="B55" s="288" t="s">
        <v>280</v>
      </c>
      <c r="C55" s="288"/>
      <c r="D55" s="288"/>
      <c r="E55" s="288"/>
      <c r="F55" s="288"/>
      <c r="G55" s="288"/>
      <c r="H55" s="288"/>
      <c r="I55" s="288"/>
      <c r="J55" s="288"/>
      <c r="K55" s="288"/>
      <c r="L55" s="288"/>
      <c r="M55" s="288"/>
      <c r="N55" s="288"/>
      <c r="O55" s="288"/>
      <c r="P55" s="288"/>
      <c r="Q55" s="288"/>
      <c r="R55" s="288"/>
      <c r="S55" s="288"/>
      <c r="T55" s="296"/>
      <c r="U55" s="296"/>
      <c r="V55" s="329" t="s">
        <v>111</v>
      </c>
      <c r="W55" s="291"/>
      <c r="X55" s="5"/>
    </row>
    <row r="56" spans="1:25" ht="15.6" x14ac:dyDescent="0.3">
      <c r="A56" s="287"/>
      <c r="B56" s="295" t="s">
        <v>201</v>
      </c>
      <c r="C56" s="295"/>
      <c r="D56" s="295"/>
      <c r="E56" s="295"/>
      <c r="F56" s="295"/>
      <c r="G56" s="295"/>
      <c r="H56" s="295"/>
      <c r="I56" s="295"/>
      <c r="J56" s="295"/>
      <c r="K56" s="295"/>
      <c r="L56" s="295"/>
      <c r="M56" s="295"/>
      <c r="N56" s="295"/>
      <c r="O56" s="295"/>
      <c r="P56" s="295"/>
      <c r="Q56" s="295"/>
      <c r="R56" s="295"/>
      <c r="S56" s="295"/>
      <c r="T56" s="330"/>
      <c r="U56" s="330"/>
      <c r="V56" s="331">
        <v>40617</v>
      </c>
      <c r="W56" s="291"/>
      <c r="X56" s="5"/>
    </row>
    <row r="57" spans="1:25" ht="15.6" x14ac:dyDescent="0.3">
      <c r="A57" s="287"/>
      <c r="B57" s="288" t="s">
        <v>121</v>
      </c>
      <c r="C57" s="288"/>
      <c r="D57" s="288"/>
      <c r="E57" s="288"/>
      <c r="F57" s="288"/>
      <c r="G57" s="288"/>
      <c r="H57" s="332"/>
      <c r="I57" s="332"/>
      <c r="J57" s="332"/>
      <c r="K57" s="332"/>
      <c r="L57" s="332"/>
      <c r="M57" s="332"/>
      <c r="N57" s="332"/>
      <c r="O57" s="332"/>
      <c r="P57" s="332"/>
      <c r="Q57" s="332"/>
      <c r="R57" s="288">
        <f>+V57-T57+1</f>
        <v>91</v>
      </c>
      <c r="S57" s="332"/>
      <c r="T57" s="333">
        <v>40436</v>
      </c>
      <c r="U57" s="334"/>
      <c r="V57" s="333">
        <v>40526</v>
      </c>
      <c r="W57" s="291"/>
      <c r="X57" s="5"/>
    </row>
    <row r="58" spans="1:25" ht="15.6" x14ac:dyDescent="0.3">
      <c r="A58" s="287"/>
      <c r="B58" s="288" t="s">
        <v>122</v>
      </c>
      <c r="C58" s="288"/>
      <c r="D58" s="288"/>
      <c r="E58" s="288"/>
      <c r="F58" s="288"/>
      <c r="G58" s="288"/>
      <c r="H58" s="288"/>
      <c r="I58" s="288"/>
      <c r="J58" s="288"/>
      <c r="K58" s="288"/>
      <c r="L58" s="288"/>
      <c r="M58" s="288"/>
      <c r="N58" s="288"/>
      <c r="O58" s="288"/>
      <c r="P58" s="288"/>
      <c r="Q58" s="288"/>
      <c r="R58" s="288">
        <f>+V58-T58+1</f>
        <v>90</v>
      </c>
      <c r="S58" s="288"/>
      <c r="T58" s="333">
        <v>40527</v>
      </c>
      <c r="U58" s="334"/>
      <c r="V58" s="333">
        <v>40616</v>
      </c>
      <c r="W58" s="291"/>
      <c r="X58" s="5"/>
    </row>
    <row r="59" spans="1:25" ht="15.6" x14ac:dyDescent="0.3">
      <c r="A59" s="287"/>
      <c r="B59" s="288" t="s">
        <v>229</v>
      </c>
      <c r="C59" s="288"/>
      <c r="D59" s="288"/>
      <c r="E59" s="288"/>
      <c r="F59" s="288"/>
      <c r="G59" s="288"/>
      <c r="H59" s="288"/>
      <c r="I59" s="288"/>
      <c r="J59" s="288"/>
      <c r="K59" s="288"/>
      <c r="L59" s="288"/>
      <c r="M59" s="288"/>
      <c r="N59" s="288"/>
      <c r="O59" s="288"/>
      <c r="P59" s="288"/>
      <c r="Q59" s="288"/>
      <c r="R59" s="288"/>
      <c r="S59" s="288"/>
      <c r="T59" s="333"/>
      <c r="U59" s="334"/>
      <c r="V59" s="333" t="s">
        <v>120</v>
      </c>
      <c r="W59" s="291"/>
      <c r="X59" s="5"/>
    </row>
    <row r="60" spans="1:25" ht="15.6" x14ac:dyDescent="0.3">
      <c r="A60" s="287"/>
      <c r="B60" s="288" t="s">
        <v>228</v>
      </c>
      <c r="C60" s="288"/>
      <c r="D60" s="288"/>
      <c r="E60" s="288"/>
      <c r="F60" s="288"/>
      <c r="G60" s="288"/>
      <c r="H60" s="288"/>
      <c r="I60" s="288"/>
      <c r="J60" s="288"/>
      <c r="K60" s="288"/>
      <c r="L60" s="288"/>
      <c r="M60" s="288"/>
      <c r="N60" s="288"/>
      <c r="O60" s="288"/>
      <c r="P60" s="288"/>
      <c r="Q60" s="288"/>
      <c r="R60" s="288"/>
      <c r="S60" s="288"/>
      <c r="T60" s="333"/>
      <c r="U60" s="334"/>
      <c r="V60" s="333" t="s">
        <v>154</v>
      </c>
      <c r="W60" s="291"/>
      <c r="X60" s="5"/>
      <c r="Y60" s="134"/>
    </row>
    <row r="61" spans="1:25" ht="15.6" x14ac:dyDescent="0.3">
      <c r="A61" s="287"/>
      <c r="B61" s="288" t="s">
        <v>16</v>
      </c>
      <c r="C61" s="288"/>
      <c r="D61" s="288"/>
      <c r="E61" s="288"/>
      <c r="F61" s="288"/>
      <c r="G61" s="288"/>
      <c r="H61" s="288"/>
      <c r="I61" s="288"/>
      <c r="J61" s="288"/>
      <c r="K61" s="288"/>
      <c r="L61" s="288"/>
      <c r="M61" s="288"/>
      <c r="N61" s="288"/>
      <c r="O61" s="288"/>
      <c r="P61" s="288"/>
      <c r="Q61" s="288"/>
      <c r="R61" s="288"/>
      <c r="S61" s="288"/>
      <c r="T61" s="333"/>
      <c r="U61" s="334"/>
      <c r="V61" s="333">
        <v>40603</v>
      </c>
      <c r="W61" s="291"/>
      <c r="X61" s="5"/>
    </row>
    <row r="62" spans="1:25" ht="15.6" x14ac:dyDescent="0.3">
      <c r="A62" s="183"/>
      <c r="B62" s="284"/>
      <c r="C62" s="284"/>
      <c r="D62" s="284"/>
      <c r="E62" s="284"/>
      <c r="F62" s="284"/>
      <c r="G62" s="284"/>
      <c r="H62" s="284"/>
      <c r="I62" s="284"/>
      <c r="J62" s="284"/>
      <c r="K62" s="284"/>
      <c r="L62" s="284"/>
      <c r="M62" s="284"/>
      <c r="N62" s="284"/>
      <c r="O62" s="284"/>
      <c r="P62" s="284"/>
      <c r="Q62" s="284"/>
      <c r="R62" s="284"/>
      <c r="S62" s="284"/>
      <c r="T62" s="285"/>
      <c r="U62" s="286"/>
      <c r="V62" s="285"/>
      <c r="W62" s="284"/>
      <c r="X62" s="5"/>
    </row>
    <row r="63" spans="1:25" ht="15.6" x14ac:dyDescent="0.3">
      <c r="A63" s="183"/>
      <c r="B63" s="224"/>
      <c r="C63" s="224"/>
      <c r="D63" s="224"/>
      <c r="E63" s="224"/>
      <c r="F63" s="224"/>
      <c r="G63" s="224"/>
      <c r="H63" s="224"/>
      <c r="I63" s="224"/>
      <c r="J63" s="224"/>
      <c r="K63" s="224"/>
      <c r="L63" s="224"/>
      <c r="M63" s="224"/>
      <c r="N63" s="224"/>
      <c r="O63" s="224"/>
      <c r="P63" s="224"/>
      <c r="Q63" s="224"/>
      <c r="R63" s="224"/>
      <c r="S63" s="224"/>
      <c r="T63" s="235"/>
      <c r="U63" s="236"/>
      <c r="V63" s="235"/>
      <c r="W63" s="224"/>
      <c r="X63" s="5"/>
    </row>
    <row r="64" spans="1:25" ht="18" thickBot="1" x14ac:dyDescent="0.35">
      <c r="A64" s="199"/>
      <c r="B64" s="237" t="s">
        <v>310</v>
      </c>
      <c r="C64" s="238"/>
      <c r="D64" s="238"/>
      <c r="E64" s="238"/>
      <c r="F64" s="238"/>
      <c r="G64" s="238"/>
      <c r="H64" s="238"/>
      <c r="I64" s="238"/>
      <c r="J64" s="238"/>
      <c r="K64" s="238"/>
      <c r="L64" s="238"/>
      <c r="M64" s="238"/>
      <c r="N64" s="238"/>
      <c r="O64" s="238"/>
      <c r="P64" s="238"/>
      <c r="Q64" s="238"/>
      <c r="R64" s="238"/>
      <c r="S64" s="238"/>
      <c r="T64" s="238"/>
      <c r="U64" s="238"/>
      <c r="V64" s="239"/>
      <c r="W64" s="240"/>
      <c r="X64" s="5"/>
    </row>
    <row r="65" spans="1:24" ht="15.6" x14ac:dyDescent="0.3">
      <c r="A65" s="262"/>
      <c r="B65" s="269" t="s">
        <v>17</v>
      </c>
      <c r="C65" s="263"/>
      <c r="D65" s="263"/>
      <c r="E65" s="263"/>
      <c r="F65" s="263"/>
      <c r="G65" s="263"/>
      <c r="H65" s="263"/>
      <c r="I65" s="263"/>
      <c r="J65" s="263"/>
      <c r="K65" s="263"/>
      <c r="L65" s="263"/>
      <c r="M65" s="263"/>
      <c r="N65" s="263"/>
      <c r="O65" s="263"/>
      <c r="P65" s="263"/>
      <c r="Q65" s="263"/>
      <c r="R65" s="263"/>
      <c r="S65" s="263"/>
      <c r="T65" s="263"/>
      <c r="U65" s="263"/>
      <c r="V65" s="268"/>
      <c r="W65" s="263"/>
      <c r="X65" s="5"/>
    </row>
    <row r="66" spans="1:24" ht="15.6" x14ac:dyDescent="0.3">
      <c r="A66" s="183"/>
      <c r="B66" s="191"/>
      <c r="C66" s="185"/>
      <c r="D66" s="185"/>
      <c r="E66" s="185"/>
      <c r="F66" s="185"/>
      <c r="G66" s="185"/>
      <c r="H66" s="185"/>
      <c r="I66" s="185"/>
      <c r="J66" s="185"/>
      <c r="K66" s="185"/>
      <c r="L66" s="185"/>
      <c r="M66" s="185"/>
      <c r="N66" s="185"/>
      <c r="O66" s="185"/>
      <c r="P66" s="185"/>
      <c r="Q66" s="185"/>
      <c r="R66" s="185"/>
      <c r="S66" s="185"/>
      <c r="T66" s="185"/>
      <c r="U66" s="185"/>
      <c r="V66" s="201"/>
      <c r="W66" s="185"/>
      <c r="X66" s="5"/>
    </row>
    <row r="67" spans="1:24" ht="46.8" x14ac:dyDescent="0.3">
      <c r="A67" s="183"/>
      <c r="B67" s="202" t="s">
        <v>18</v>
      </c>
      <c r="C67" s="203"/>
      <c r="D67" s="203"/>
      <c r="E67" s="203"/>
      <c r="F67" s="203"/>
      <c r="G67" s="203"/>
      <c r="H67" s="203"/>
      <c r="I67" s="203"/>
      <c r="J67" s="203"/>
      <c r="K67" s="203"/>
      <c r="L67" s="203" t="s">
        <v>94</v>
      </c>
      <c r="M67" s="203"/>
      <c r="N67" s="203" t="s">
        <v>96</v>
      </c>
      <c r="O67" s="203"/>
      <c r="P67" s="203" t="s">
        <v>98</v>
      </c>
      <c r="Q67" s="203"/>
      <c r="R67" s="203" t="s">
        <v>100</v>
      </c>
      <c r="S67" s="203"/>
      <c r="T67" s="203" t="s">
        <v>106</v>
      </c>
      <c r="U67" s="203"/>
      <c r="V67" s="204" t="s">
        <v>112</v>
      </c>
      <c r="W67" s="205"/>
      <c r="X67" s="5"/>
    </row>
    <row r="68" spans="1:24" ht="15.6" x14ac:dyDescent="0.3">
      <c r="A68" s="287"/>
      <c r="B68" s="288" t="s">
        <v>19</v>
      </c>
      <c r="C68" s="337"/>
      <c r="D68" s="337"/>
      <c r="E68" s="337"/>
      <c r="F68" s="337"/>
      <c r="G68" s="337"/>
      <c r="H68" s="337"/>
      <c r="I68" s="337"/>
      <c r="J68" s="337"/>
      <c r="K68" s="337"/>
      <c r="L68" s="337">
        <v>1158015</v>
      </c>
      <c r="M68" s="337"/>
      <c r="N68" s="338">
        <v>1162055</v>
      </c>
      <c r="O68" s="337"/>
      <c r="P68" s="337">
        <f>10455+82+48</f>
        <v>10585</v>
      </c>
      <c r="Q68" s="337"/>
      <c r="R68" s="337">
        <f>82+48</f>
        <v>130</v>
      </c>
      <c r="S68" s="337"/>
      <c r="T68" s="337">
        <v>0</v>
      </c>
      <c r="U68" s="337"/>
      <c r="V68" s="338">
        <f>+N68-P68+R68-T68</f>
        <v>1151600</v>
      </c>
      <c r="W68" s="291"/>
      <c r="X68" s="5"/>
    </row>
    <row r="69" spans="1:24" ht="15.6" x14ac:dyDescent="0.3">
      <c r="A69" s="287"/>
      <c r="B69" s="288" t="s">
        <v>20</v>
      </c>
      <c r="C69" s="337"/>
      <c r="D69" s="337"/>
      <c r="E69" s="337"/>
      <c r="F69" s="337"/>
      <c r="G69" s="337"/>
      <c r="H69" s="337"/>
      <c r="I69" s="337"/>
      <c r="J69" s="337"/>
      <c r="K69" s="337"/>
      <c r="L69" s="337">
        <v>15</v>
      </c>
      <c r="M69" s="337"/>
      <c r="N69" s="338">
        <v>0</v>
      </c>
      <c r="O69" s="337"/>
      <c r="P69" s="337">
        <v>0</v>
      </c>
      <c r="Q69" s="337"/>
      <c r="R69" s="337">
        <v>0</v>
      </c>
      <c r="S69" s="337"/>
      <c r="T69" s="337">
        <v>0</v>
      </c>
      <c r="U69" s="337"/>
      <c r="V69" s="338">
        <v>0</v>
      </c>
      <c r="W69" s="291"/>
      <c r="X69" s="5"/>
    </row>
    <row r="70" spans="1:24" ht="15.6" x14ac:dyDescent="0.3">
      <c r="A70" s="287"/>
      <c r="B70" s="288"/>
      <c r="C70" s="337"/>
      <c r="D70" s="337"/>
      <c r="E70" s="337"/>
      <c r="F70" s="337"/>
      <c r="G70" s="337"/>
      <c r="H70" s="337"/>
      <c r="I70" s="337"/>
      <c r="J70" s="337"/>
      <c r="K70" s="337"/>
      <c r="L70" s="337"/>
      <c r="M70" s="337"/>
      <c r="N70" s="338"/>
      <c r="O70" s="337"/>
      <c r="P70" s="337"/>
      <c r="Q70" s="337"/>
      <c r="R70" s="337"/>
      <c r="S70" s="337"/>
      <c r="T70" s="337"/>
      <c r="U70" s="337"/>
      <c r="V70" s="338"/>
      <c r="W70" s="291"/>
      <c r="X70" s="5"/>
    </row>
    <row r="71" spans="1:24" ht="15.6" x14ac:dyDescent="0.3">
      <c r="A71" s="287"/>
      <c r="B71" s="288" t="s">
        <v>21</v>
      </c>
      <c r="C71" s="337"/>
      <c r="D71" s="337"/>
      <c r="E71" s="337"/>
      <c r="F71" s="337"/>
      <c r="G71" s="337"/>
      <c r="H71" s="337"/>
      <c r="I71" s="337"/>
      <c r="J71" s="337"/>
      <c r="K71" s="337"/>
      <c r="L71" s="337">
        <f>SUM(L68:L70)</f>
        <v>1158030</v>
      </c>
      <c r="M71" s="337"/>
      <c r="N71" s="337">
        <f>N68+N69</f>
        <v>1162055</v>
      </c>
      <c r="O71" s="337"/>
      <c r="P71" s="337">
        <f>SUM(P68:P70)</f>
        <v>10585</v>
      </c>
      <c r="Q71" s="337"/>
      <c r="R71" s="337">
        <f>SUM(R68:R70)</f>
        <v>130</v>
      </c>
      <c r="S71" s="337"/>
      <c r="T71" s="337">
        <f>SUM(T68:T70)</f>
        <v>0</v>
      </c>
      <c r="U71" s="337"/>
      <c r="V71" s="337">
        <f>SUM(V68:V70)</f>
        <v>1151600</v>
      </c>
      <c r="W71" s="291"/>
      <c r="X71" s="5"/>
    </row>
    <row r="72" spans="1:24" ht="15.6" x14ac:dyDescent="0.3">
      <c r="A72" s="183"/>
      <c r="B72" s="198"/>
      <c r="C72" s="335"/>
      <c r="D72" s="335"/>
      <c r="E72" s="335"/>
      <c r="F72" s="335"/>
      <c r="G72" s="335"/>
      <c r="H72" s="335"/>
      <c r="I72" s="335"/>
      <c r="J72" s="335"/>
      <c r="K72" s="335"/>
      <c r="L72" s="335"/>
      <c r="M72" s="335"/>
      <c r="N72" s="335"/>
      <c r="O72" s="335"/>
      <c r="P72" s="335"/>
      <c r="Q72" s="335"/>
      <c r="R72" s="335"/>
      <c r="S72" s="335"/>
      <c r="T72" s="335"/>
      <c r="U72" s="335"/>
      <c r="V72" s="336"/>
      <c r="W72" s="198"/>
      <c r="X72" s="5"/>
    </row>
    <row r="73" spans="1:24" ht="15.6" x14ac:dyDescent="0.3">
      <c r="A73" s="183"/>
      <c r="B73" s="187" t="s">
        <v>22</v>
      </c>
      <c r="C73" s="206"/>
      <c r="D73" s="206"/>
      <c r="E73" s="206"/>
      <c r="F73" s="206"/>
      <c r="G73" s="206"/>
      <c r="H73" s="206"/>
      <c r="I73" s="206"/>
      <c r="J73" s="206"/>
      <c r="K73" s="206"/>
      <c r="L73" s="206"/>
      <c r="M73" s="206"/>
      <c r="N73" s="206"/>
      <c r="O73" s="206"/>
      <c r="P73" s="206"/>
      <c r="Q73" s="206"/>
      <c r="R73" s="206"/>
      <c r="S73" s="206"/>
      <c r="T73" s="206"/>
      <c r="U73" s="206"/>
      <c r="V73" s="207"/>
      <c r="W73" s="185"/>
      <c r="X73" s="5"/>
    </row>
    <row r="74" spans="1:24" ht="15.6" x14ac:dyDescent="0.3">
      <c r="A74" s="183"/>
      <c r="B74" s="185"/>
      <c r="C74" s="206"/>
      <c r="D74" s="206"/>
      <c r="E74" s="206"/>
      <c r="F74" s="206"/>
      <c r="G74" s="206"/>
      <c r="H74" s="206"/>
      <c r="I74" s="206"/>
      <c r="J74" s="206"/>
      <c r="K74" s="206"/>
      <c r="L74" s="206"/>
      <c r="M74" s="206"/>
      <c r="N74" s="206"/>
      <c r="O74" s="206"/>
      <c r="P74" s="206"/>
      <c r="Q74" s="206"/>
      <c r="R74" s="206"/>
      <c r="S74" s="206"/>
      <c r="T74" s="206"/>
      <c r="U74" s="206"/>
      <c r="V74" s="207"/>
      <c r="W74" s="185"/>
      <c r="X74" s="5"/>
    </row>
    <row r="75" spans="1:24" ht="15.6" x14ac:dyDescent="0.3">
      <c r="A75" s="340"/>
      <c r="B75" s="288" t="s">
        <v>19</v>
      </c>
      <c r="C75" s="337"/>
      <c r="D75" s="337"/>
      <c r="E75" s="337"/>
      <c r="F75" s="337"/>
      <c r="G75" s="337"/>
      <c r="H75" s="337"/>
      <c r="I75" s="337"/>
      <c r="J75" s="337"/>
      <c r="K75" s="337"/>
      <c r="L75" s="337"/>
      <c r="M75" s="337"/>
      <c r="N75" s="337"/>
      <c r="O75" s="337"/>
      <c r="P75" s="337"/>
      <c r="Q75" s="337"/>
      <c r="R75" s="337"/>
      <c r="S75" s="337"/>
      <c r="T75" s="337"/>
      <c r="U75" s="337"/>
      <c r="V75" s="337"/>
      <c r="W75" s="291"/>
      <c r="X75" s="5"/>
    </row>
    <row r="76" spans="1:24" ht="15.6" x14ac:dyDescent="0.3">
      <c r="A76" s="340"/>
      <c r="B76" s="288" t="s">
        <v>20</v>
      </c>
      <c r="C76" s="337"/>
      <c r="D76" s="337"/>
      <c r="E76" s="337"/>
      <c r="F76" s="337"/>
      <c r="G76" s="337"/>
      <c r="H76" s="337"/>
      <c r="I76" s="337"/>
      <c r="J76" s="337"/>
      <c r="K76" s="337"/>
      <c r="L76" s="337"/>
      <c r="M76" s="337"/>
      <c r="N76" s="337"/>
      <c r="O76" s="337"/>
      <c r="P76" s="337"/>
      <c r="Q76" s="337"/>
      <c r="R76" s="337"/>
      <c r="S76" s="337"/>
      <c r="T76" s="337"/>
      <c r="U76" s="337"/>
      <c r="V76" s="337"/>
      <c r="W76" s="291"/>
      <c r="X76" s="5"/>
    </row>
    <row r="77" spans="1:24" ht="15.6" x14ac:dyDescent="0.3">
      <c r="A77" s="340"/>
      <c r="B77" s="288"/>
      <c r="C77" s="337"/>
      <c r="D77" s="337"/>
      <c r="E77" s="337"/>
      <c r="F77" s="337"/>
      <c r="G77" s="337"/>
      <c r="H77" s="337"/>
      <c r="I77" s="337"/>
      <c r="J77" s="337"/>
      <c r="K77" s="337"/>
      <c r="L77" s="337"/>
      <c r="M77" s="337"/>
      <c r="N77" s="337"/>
      <c r="O77" s="337"/>
      <c r="P77" s="337"/>
      <c r="Q77" s="337"/>
      <c r="R77" s="337"/>
      <c r="S77" s="337"/>
      <c r="T77" s="337"/>
      <c r="U77" s="337"/>
      <c r="V77" s="337"/>
      <c r="W77" s="291"/>
      <c r="X77" s="5"/>
    </row>
    <row r="78" spans="1:24" ht="15.6" x14ac:dyDescent="0.3">
      <c r="A78" s="340"/>
      <c r="B78" s="288" t="s">
        <v>21</v>
      </c>
      <c r="C78" s="337"/>
      <c r="D78" s="337"/>
      <c r="E78" s="337"/>
      <c r="F78" s="337"/>
      <c r="G78" s="337"/>
      <c r="H78" s="337"/>
      <c r="I78" s="337"/>
      <c r="J78" s="337"/>
      <c r="K78" s="337"/>
      <c r="L78" s="337"/>
      <c r="M78" s="337"/>
      <c r="N78" s="337"/>
      <c r="O78" s="337"/>
      <c r="P78" s="337"/>
      <c r="Q78" s="337"/>
      <c r="R78" s="337"/>
      <c r="S78" s="337"/>
      <c r="T78" s="337"/>
      <c r="U78" s="337"/>
      <c r="V78" s="337"/>
      <c r="W78" s="291"/>
      <c r="X78" s="5"/>
    </row>
    <row r="79" spans="1:24" ht="15.6" x14ac:dyDescent="0.3">
      <c r="A79" s="340"/>
      <c r="B79" s="288"/>
      <c r="C79" s="337"/>
      <c r="D79" s="337"/>
      <c r="E79" s="337"/>
      <c r="F79" s="337"/>
      <c r="G79" s="337"/>
      <c r="H79" s="337"/>
      <c r="I79" s="337"/>
      <c r="J79" s="337"/>
      <c r="K79" s="337"/>
      <c r="L79" s="337"/>
      <c r="M79" s="337"/>
      <c r="N79" s="337"/>
      <c r="O79" s="337"/>
      <c r="P79" s="337"/>
      <c r="Q79" s="337"/>
      <c r="R79" s="337"/>
      <c r="S79" s="337"/>
      <c r="T79" s="337"/>
      <c r="U79" s="337"/>
      <c r="V79" s="337"/>
      <c r="W79" s="291"/>
      <c r="X79" s="5"/>
    </row>
    <row r="80" spans="1:24" ht="15.6" x14ac:dyDescent="0.3">
      <c r="A80" s="340"/>
      <c r="B80" s="288" t="s">
        <v>23</v>
      </c>
      <c r="C80" s="337"/>
      <c r="D80" s="337"/>
      <c r="E80" s="337"/>
      <c r="F80" s="337"/>
      <c r="G80" s="337"/>
      <c r="H80" s="337"/>
      <c r="I80" s="337"/>
      <c r="J80" s="337"/>
      <c r="K80" s="337"/>
      <c r="L80" s="337">
        <v>0</v>
      </c>
      <c r="M80" s="337"/>
      <c r="N80" s="337">
        <v>0</v>
      </c>
      <c r="O80" s="337"/>
      <c r="P80" s="337"/>
      <c r="Q80" s="337"/>
      <c r="R80" s="337"/>
      <c r="S80" s="337"/>
      <c r="T80" s="337"/>
      <c r="U80" s="337"/>
      <c r="V80" s="338">
        <v>0</v>
      </c>
      <c r="W80" s="291"/>
      <c r="X80" s="5"/>
    </row>
    <row r="81" spans="1:24" ht="15.6" x14ac:dyDescent="0.3">
      <c r="A81" s="340"/>
      <c r="B81" s="288" t="s">
        <v>117</v>
      </c>
      <c r="C81" s="337"/>
      <c r="D81" s="337"/>
      <c r="E81" s="337"/>
      <c r="F81" s="337"/>
      <c r="G81" s="337"/>
      <c r="H81" s="337"/>
      <c r="I81" s="337"/>
      <c r="J81" s="337"/>
      <c r="K81" s="337"/>
      <c r="L81" s="337">
        <v>342245</v>
      </c>
      <c r="M81" s="337"/>
      <c r="N81" s="337">
        <v>0</v>
      </c>
      <c r="O81" s="337"/>
      <c r="P81" s="337">
        <v>0</v>
      </c>
      <c r="Q81" s="337"/>
      <c r="R81" s="337"/>
      <c r="S81" s="337"/>
      <c r="T81" s="337"/>
      <c r="U81" s="337"/>
      <c r="V81" s="337">
        <f>SUM(N81:R81)</f>
        <v>0</v>
      </c>
      <c r="W81" s="291"/>
      <c r="X81" s="5"/>
    </row>
    <row r="82" spans="1:24" ht="15.6" x14ac:dyDescent="0.3">
      <c r="A82" s="340"/>
      <c r="B82" s="288"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91"/>
      <c r="X82" s="5"/>
    </row>
    <row r="83" spans="1:24" ht="15.6" x14ac:dyDescent="0.3">
      <c r="A83" s="340"/>
      <c r="B83" s="288" t="s">
        <v>25</v>
      </c>
      <c r="C83" s="337"/>
      <c r="D83" s="337"/>
      <c r="E83" s="337"/>
      <c r="F83" s="337"/>
      <c r="G83" s="337"/>
      <c r="H83" s="337"/>
      <c r="I83" s="337"/>
      <c r="J83" s="337"/>
      <c r="K83" s="337"/>
      <c r="L83" s="337">
        <v>0</v>
      </c>
      <c r="M83" s="337"/>
      <c r="N83" s="337">
        <v>0</v>
      </c>
      <c r="O83" s="337"/>
      <c r="P83" s="337"/>
      <c r="Q83" s="337"/>
      <c r="R83" s="337"/>
      <c r="S83" s="337"/>
      <c r="T83" s="337"/>
      <c r="U83" s="337"/>
      <c r="V83" s="337">
        <v>0</v>
      </c>
      <c r="W83" s="291"/>
      <c r="X83" s="5"/>
    </row>
    <row r="84" spans="1:24" ht="15.6" x14ac:dyDescent="0.3">
      <c r="A84" s="340"/>
      <c r="B84" s="288" t="s">
        <v>26</v>
      </c>
      <c r="C84" s="337"/>
      <c r="D84" s="337"/>
      <c r="E84" s="337"/>
      <c r="F84" s="337"/>
      <c r="G84" s="337"/>
      <c r="H84" s="337"/>
      <c r="I84" s="337"/>
      <c r="J84" s="337"/>
      <c r="K84" s="337"/>
      <c r="L84" s="337">
        <f>SUM(L71:L83)</f>
        <v>1500275</v>
      </c>
      <c r="M84" s="337"/>
      <c r="N84" s="337">
        <f>SUM(N71:N83)</f>
        <v>1162055</v>
      </c>
      <c r="O84" s="337"/>
      <c r="P84" s="337"/>
      <c r="Q84" s="337"/>
      <c r="R84" s="337"/>
      <c r="S84" s="337"/>
      <c r="T84" s="337"/>
      <c r="U84" s="337"/>
      <c r="V84" s="337">
        <f>SUM(V71:V83)</f>
        <v>1151600</v>
      </c>
      <c r="W84" s="291"/>
      <c r="X84" s="5"/>
    </row>
    <row r="85" spans="1:24" ht="15.6" x14ac:dyDescent="0.3">
      <c r="A85" s="243"/>
      <c r="B85" s="284"/>
      <c r="C85" s="339"/>
      <c r="D85" s="339"/>
      <c r="E85" s="339"/>
      <c r="F85" s="339"/>
      <c r="G85" s="339"/>
      <c r="H85" s="339"/>
      <c r="I85" s="339"/>
      <c r="J85" s="339"/>
      <c r="K85" s="339"/>
      <c r="L85" s="339"/>
      <c r="M85" s="339"/>
      <c r="N85" s="339"/>
      <c r="O85" s="339"/>
      <c r="P85" s="339"/>
      <c r="Q85" s="339"/>
      <c r="R85" s="339"/>
      <c r="S85" s="339"/>
      <c r="T85" s="339"/>
      <c r="U85" s="339"/>
      <c r="V85" s="339"/>
      <c r="W85" s="284"/>
      <c r="X85" s="5"/>
    </row>
    <row r="86" spans="1:24" ht="15.6" x14ac:dyDescent="0.3">
      <c r="A86" s="243"/>
      <c r="B86" s="224"/>
      <c r="C86" s="224"/>
      <c r="D86" s="224"/>
      <c r="E86" s="224"/>
      <c r="F86" s="224"/>
      <c r="G86" s="224"/>
      <c r="H86" s="224"/>
      <c r="I86" s="224"/>
      <c r="J86" s="224"/>
      <c r="K86" s="224"/>
      <c r="L86" s="224"/>
      <c r="M86" s="224"/>
      <c r="N86" s="224"/>
      <c r="O86" s="224"/>
      <c r="P86" s="224"/>
      <c r="Q86" s="224"/>
      <c r="R86" s="224"/>
      <c r="S86" s="224"/>
      <c r="T86" s="224"/>
      <c r="U86" s="224"/>
      <c r="V86" s="224"/>
      <c r="W86" s="224"/>
      <c r="X86" s="5"/>
    </row>
    <row r="87" spans="1:24" ht="15.6" x14ac:dyDescent="0.3">
      <c r="A87" s="262"/>
      <c r="B87" s="269" t="s">
        <v>27</v>
      </c>
      <c r="C87" s="269"/>
      <c r="D87" s="269"/>
      <c r="E87" s="269"/>
      <c r="F87" s="269"/>
      <c r="G87" s="269"/>
      <c r="H87" s="270"/>
      <c r="I87" s="270"/>
      <c r="J87" s="270"/>
      <c r="K87" s="270"/>
      <c r="L87" s="271" t="s">
        <v>95</v>
      </c>
      <c r="M87" s="270"/>
      <c r="N87" s="272">
        <f>+T205</f>
        <v>40602</v>
      </c>
      <c r="O87" s="270"/>
      <c r="P87" s="270"/>
      <c r="Q87" s="270"/>
      <c r="R87" s="270"/>
      <c r="S87" s="270"/>
      <c r="T87" s="270" t="s">
        <v>107</v>
      </c>
      <c r="U87" s="270"/>
      <c r="V87" s="270" t="s">
        <v>113</v>
      </c>
      <c r="W87" s="263"/>
      <c r="X87" s="5"/>
    </row>
    <row r="88" spans="1:24" ht="15.6" x14ac:dyDescent="0.3">
      <c r="A88" s="242"/>
      <c r="B88" s="231" t="s">
        <v>28</v>
      </c>
      <c r="C88" s="231"/>
      <c r="D88" s="231"/>
      <c r="E88" s="231"/>
      <c r="F88" s="231"/>
      <c r="G88" s="231"/>
      <c r="H88" s="231"/>
      <c r="I88" s="231"/>
      <c r="J88" s="231"/>
      <c r="K88" s="231"/>
      <c r="L88" s="231"/>
      <c r="M88" s="231"/>
      <c r="N88" s="231"/>
      <c r="O88" s="231"/>
      <c r="P88" s="231"/>
      <c r="Q88" s="231"/>
      <c r="R88" s="231"/>
      <c r="S88" s="231"/>
      <c r="T88" s="234">
        <v>0</v>
      </c>
      <c r="U88" s="231"/>
      <c r="V88" s="241">
        <v>0</v>
      </c>
      <c r="W88" s="231"/>
      <c r="X88" s="5"/>
    </row>
    <row r="89" spans="1:24" ht="15.6" x14ac:dyDescent="0.3">
      <c r="A89" s="340"/>
      <c r="B89" s="288" t="s">
        <v>29</v>
      </c>
      <c r="C89" s="288"/>
      <c r="D89" s="288"/>
      <c r="E89" s="288"/>
      <c r="F89" s="288"/>
      <c r="G89" s="288"/>
      <c r="H89" s="325"/>
      <c r="I89" s="325"/>
      <c r="J89" s="325"/>
      <c r="K89" s="341"/>
      <c r="L89" s="325"/>
      <c r="M89" s="288"/>
      <c r="N89" s="342"/>
      <c r="O89" s="288"/>
      <c r="P89" s="288"/>
      <c r="Q89" s="288"/>
      <c r="R89" s="288"/>
      <c r="S89" s="288"/>
      <c r="T89" s="337">
        <f>10585-194</f>
        <v>10391</v>
      </c>
      <c r="U89" s="288"/>
      <c r="V89" s="338"/>
      <c r="W89" s="291"/>
      <c r="X89" s="5"/>
    </row>
    <row r="90" spans="1:24" ht="15.6" x14ac:dyDescent="0.3">
      <c r="A90" s="340"/>
      <c r="B90" s="288" t="s">
        <v>216</v>
      </c>
      <c r="C90" s="288"/>
      <c r="D90" s="288"/>
      <c r="E90" s="288"/>
      <c r="F90" s="288"/>
      <c r="G90" s="288"/>
      <c r="H90" s="325"/>
      <c r="I90" s="325"/>
      <c r="J90" s="325"/>
      <c r="K90" s="341"/>
      <c r="L90" s="325"/>
      <c r="M90" s="288"/>
      <c r="N90" s="342"/>
      <c r="O90" s="288"/>
      <c r="P90" s="288"/>
      <c r="Q90" s="288"/>
      <c r="R90" s="288"/>
      <c r="S90" s="288"/>
      <c r="T90" s="337"/>
      <c r="U90" s="288"/>
      <c r="V90" s="338">
        <f>3514+4770-236-626+22</f>
        <v>7444</v>
      </c>
      <c r="W90" s="291"/>
      <c r="X90" s="5"/>
    </row>
    <row r="91" spans="1:24" ht="15.6" x14ac:dyDescent="0.3">
      <c r="A91" s="340"/>
      <c r="B91" s="288" t="s">
        <v>211</v>
      </c>
      <c r="C91" s="288"/>
      <c r="D91" s="288"/>
      <c r="E91" s="288"/>
      <c r="F91" s="288"/>
      <c r="G91" s="288"/>
      <c r="H91" s="325"/>
      <c r="I91" s="325"/>
      <c r="J91" s="325"/>
      <c r="K91" s="341"/>
      <c r="L91" s="325"/>
      <c r="M91" s="288"/>
      <c r="N91" s="342"/>
      <c r="O91" s="288"/>
      <c r="P91" s="288"/>
      <c r="Q91" s="288"/>
      <c r="R91" s="288"/>
      <c r="S91" s="288"/>
      <c r="T91" s="337"/>
      <c r="U91" s="288"/>
      <c r="V91" s="338">
        <f>241+18</f>
        <v>259</v>
      </c>
      <c r="W91" s="291"/>
      <c r="X91" s="5"/>
    </row>
    <row r="92" spans="1:24" ht="15.6" x14ac:dyDescent="0.3">
      <c r="A92" s="340"/>
      <c r="B92" s="288" t="s">
        <v>212</v>
      </c>
      <c r="C92" s="288"/>
      <c r="D92" s="288"/>
      <c r="E92" s="288"/>
      <c r="F92" s="288"/>
      <c r="G92" s="288"/>
      <c r="H92" s="325"/>
      <c r="I92" s="325"/>
      <c r="J92" s="325"/>
      <c r="K92" s="341"/>
      <c r="L92" s="325"/>
      <c r="M92" s="288"/>
      <c r="N92" s="342"/>
      <c r="O92" s="288"/>
      <c r="P92" s="288"/>
      <c r="Q92" s="288"/>
      <c r="R92" s="288"/>
      <c r="S92" s="288"/>
      <c r="T92" s="337"/>
      <c r="U92" s="288"/>
      <c r="V92" s="338">
        <v>56</v>
      </c>
      <c r="W92" s="291"/>
      <c r="X92" s="5"/>
    </row>
    <row r="93" spans="1:24" ht="15.6" x14ac:dyDescent="0.3">
      <c r="A93" s="340"/>
      <c r="B93" s="288" t="s">
        <v>272</v>
      </c>
      <c r="C93" s="288"/>
      <c r="D93" s="288"/>
      <c r="E93" s="288"/>
      <c r="F93" s="288"/>
      <c r="G93" s="288"/>
      <c r="H93" s="325"/>
      <c r="I93" s="325"/>
      <c r="J93" s="325"/>
      <c r="K93" s="341"/>
      <c r="L93" s="325"/>
      <c r="M93" s="288"/>
      <c r="N93" s="342"/>
      <c r="O93" s="288"/>
      <c r="P93" s="288"/>
      <c r="Q93" s="288"/>
      <c r="R93" s="288"/>
      <c r="S93" s="288"/>
      <c r="T93" s="337"/>
      <c r="U93" s="288"/>
      <c r="V93" s="338">
        <v>0</v>
      </c>
      <c r="W93" s="291"/>
      <c r="X93" s="5"/>
    </row>
    <row r="94" spans="1:24" ht="15.6" x14ac:dyDescent="0.3">
      <c r="A94" s="340"/>
      <c r="B94" s="288" t="s">
        <v>274</v>
      </c>
      <c r="C94" s="288"/>
      <c r="D94" s="288"/>
      <c r="E94" s="288"/>
      <c r="F94" s="288"/>
      <c r="G94" s="288"/>
      <c r="H94" s="325"/>
      <c r="I94" s="325"/>
      <c r="J94" s="325"/>
      <c r="K94" s="341"/>
      <c r="L94" s="325"/>
      <c r="M94" s="288"/>
      <c r="N94" s="342"/>
      <c r="O94" s="288"/>
      <c r="P94" s="288"/>
      <c r="Q94" s="288"/>
      <c r="R94" s="288"/>
      <c r="S94" s="288"/>
      <c r="T94" s="337"/>
      <c r="U94" s="288"/>
      <c r="V94" s="338">
        <v>0</v>
      </c>
      <c r="W94" s="291"/>
      <c r="X94" s="5"/>
    </row>
    <row r="95" spans="1:24" ht="15.6" x14ac:dyDescent="0.3">
      <c r="A95" s="340"/>
      <c r="B95" s="288" t="s">
        <v>135</v>
      </c>
      <c r="C95" s="288"/>
      <c r="D95" s="288"/>
      <c r="E95" s="288"/>
      <c r="F95" s="288"/>
      <c r="G95" s="288"/>
      <c r="H95" s="288"/>
      <c r="I95" s="288"/>
      <c r="J95" s="288"/>
      <c r="K95" s="288"/>
      <c r="L95" s="288"/>
      <c r="M95" s="288"/>
      <c r="N95" s="288"/>
      <c r="O95" s="288"/>
      <c r="P95" s="288"/>
      <c r="Q95" s="288"/>
      <c r="R95" s="288"/>
      <c r="S95" s="288"/>
      <c r="T95" s="337"/>
      <c r="U95" s="288"/>
      <c r="V95" s="338">
        <v>0</v>
      </c>
      <c r="W95" s="291"/>
      <c r="X95" s="5"/>
    </row>
    <row r="96" spans="1:24" ht="15.6" x14ac:dyDescent="0.3">
      <c r="A96" s="340"/>
      <c r="B96" s="288" t="s">
        <v>268</v>
      </c>
      <c r="C96" s="288"/>
      <c r="D96" s="288"/>
      <c r="E96" s="288"/>
      <c r="F96" s="288"/>
      <c r="G96" s="288"/>
      <c r="H96" s="288"/>
      <c r="I96" s="288"/>
      <c r="J96" s="288"/>
      <c r="K96" s="288"/>
      <c r="L96" s="288"/>
      <c r="M96" s="288"/>
      <c r="N96" s="288"/>
      <c r="O96" s="288"/>
      <c r="P96" s="288"/>
      <c r="Q96" s="288"/>
      <c r="R96" s="288"/>
      <c r="S96" s="288"/>
      <c r="T96" s="337"/>
      <c r="U96" s="288"/>
      <c r="V96" s="338">
        <v>0</v>
      </c>
      <c r="W96" s="291"/>
      <c r="X96" s="5"/>
    </row>
    <row r="97" spans="1:25" ht="15.6" x14ac:dyDescent="0.3">
      <c r="A97" s="340"/>
      <c r="B97" s="288" t="s">
        <v>30</v>
      </c>
      <c r="C97" s="288"/>
      <c r="D97" s="288"/>
      <c r="E97" s="288"/>
      <c r="F97" s="288"/>
      <c r="G97" s="288"/>
      <c r="H97" s="288"/>
      <c r="I97" s="288"/>
      <c r="J97" s="288"/>
      <c r="K97" s="288"/>
      <c r="L97" s="288"/>
      <c r="M97" s="288"/>
      <c r="N97" s="288"/>
      <c r="O97" s="288"/>
      <c r="P97" s="288"/>
      <c r="Q97" s="288"/>
      <c r="R97" s="288"/>
      <c r="S97" s="288"/>
      <c r="T97" s="337">
        <f>SUM(T88:T96)</f>
        <v>10391</v>
      </c>
      <c r="U97" s="288"/>
      <c r="V97" s="337">
        <f>SUM(V88:V96)</f>
        <v>7759</v>
      </c>
      <c r="W97" s="291"/>
      <c r="X97" s="5"/>
    </row>
    <row r="98" spans="1:25" ht="15.6" x14ac:dyDescent="0.3">
      <c r="A98" s="340"/>
      <c r="B98" s="288" t="s">
        <v>161</v>
      </c>
      <c r="C98" s="288"/>
      <c r="D98" s="288"/>
      <c r="E98" s="288"/>
      <c r="F98" s="288"/>
      <c r="G98" s="288"/>
      <c r="H98" s="288"/>
      <c r="I98" s="288"/>
      <c r="J98" s="288"/>
      <c r="K98" s="288"/>
      <c r="L98" s="288"/>
      <c r="M98" s="288"/>
      <c r="N98" s="288"/>
      <c r="O98" s="288"/>
      <c r="P98" s="288"/>
      <c r="Q98" s="288"/>
      <c r="R98" s="288"/>
      <c r="S98" s="288"/>
      <c r="T98" s="337">
        <f>-V98</f>
        <v>-48</v>
      </c>
      <c r="U98" s="288"/>
      <c r="V98" s="337">
        <v>48</v>
      </c>
      <c r="W98" s="291"/>
      <c r="X98" s="5"/>
    </row>
    <row r="99" spans="1:25" ht="15.6" x14ac:dyDescent="0.3">
      <c r="A99" s="340"/>
      <c r="B99" s="288" t="s">
        <v>31</v>
      </c>
      <c r="C99" s="288"/>
      <c r="D99" s="288"/>
      <c r="E99" s="288"/>
      <c r="F99" s="288"/>
      <c r="G99" s="288"/>
      <c r="H99" s="288"/>
      <c r="I99" s="288"/>
      <c r="J99" s="288"/>
      <c r="K99" s="288"/>
      <c r="L99" s="288"/>
      <c r="M99" s="288"/>
      <c r="N99" s="288"/>
      <c r="O99" s="288"/>
      <c r="P99" s="288"/>
      <c r="Q99" s="288"/>
      <c r="R99" s="288"/>
      <c r="S99" s="288"/>
      <c r="T99" s="337">
        <f>-V99</f>
        <v>0</v>
      </c>
      <c r="U99" s="288"/>
      <c r="V99" s="338">
        <v>0</v>
      </c>
      <c r="W99" s="291"/>
      <c r="X99" s="5"/>
    </row>
    <row r="100" spans="1:25" ht="15.6" x14ac:dyDescent="0.3">
      <c r="A100" s="340"/>
      <c r="B100" s="288" t="s">
        <v>283</v>
      </c>
      <c r="C100" s="288"/>
      <c r="D100" s="288"/>
      <c r="E100" s="288"/>
      <c r="F100" s="288"/>
      <c r="G100" s="288"/>
      <c r="H100" s="288"/>
      <c r="I100" s="288"/>
      <c r="J100" s="288"/>
      <c r="K100" s="288"/>
      <c r="L100" s="288"/>
      <c r="M100" s="288"/>
      <c r="N100" s="288"/>
      <c r="O100" s="288"/>
      <c r="P100" s="288"/>
      <c r="Q100" s="288"/>
      <c r="R100" s="288"/>
      <c r="S100" s="288"/>
      <c r="T100" s="337"/>
      <c r="U100" s="288"/>
      <c r="V100" s="338">
        <v>1368</v>
      </c>
      <c r="W100" s="291"/>
      <c r="X100" s="5"/>
    </row>
    <row r="101" spans="1:25" ht="15.6" x14ac:dyDescent="0.3">
      <c r="A101" s="340"/>
      <c r="B101" s="288" t="s">
        <v>32</v>
      </c>
      <c r="C101" s="288"/>
      <c r="D101" s="288"/>
      <c r="E101" s="288"/>
      <c r="F101" s="288"/>
      <c r="G101" s="288"/>
      <c r="H101" s="288"/>
      <c r="I101" s="288"/>
      <c r="J101" s="288"/>
      <c r="K101" s="288"/>
      <c r="L101" s="288"/>
      <c r="M101" s="288"/>
      <c r="N101" s="288"/>
      <c r="O101" s="288"/>
      <c r="P101" s="288"/>
      <c r="Q101" s="288"/>
      <c r="R101" s="288"/>
      <c r="S101" s="288"/>
      <c r="T101" s="337">
        <f>T97+T99+T98</f>
        <v>10343</v>
      </c>
      <c r="U101" s="288"/>
      <c r="V101" s="337">
        <f>V97+V99+V98+V100</f>
        <v>9175</v>
      </c>
      <c r="W101" s="291"/>
      <c r="X101" s="5"/>
    </row>
    <row r="102" spans="1:25" ht="15.6" x14ac:dyDescent="0.3">
      <c r="A102" s="287"/>
      <c r="B102" s="343" t="s">
        <v>33</v>
      </c>
      <c r="C102" s="314"/>
      <c r="D102" s="314"/>
      <c r="E102" s="314"/>
      <c r="F102" s="314"/>
      <c r="G102" s="314"/>
      <c r="H102" s="314"/>
      <c r="I102" s="314"/>
      <c r="J102" s="314"/>
      <c r="K102" s="314"/>
      <c r="L102" s="314"/>
      <c r="M102" s="314"/>
      <c r="N102" s="314"/>
      <c r="O102" s="314"/>
      <c r="P102" s="314"/>
      <c r="Q102" s="314"/>
      <c r="R102" s="314"/>
      <c r="S102" s="314"/>
      <c r="T102" s="344"/>
      <c r="U102" s="314"/>
      <c r="V102" s="345"/>
      <c r="W102" s="318"/>
      <c r="X102" s="5"/>
    </row>
    <row r="103" spans="1:25" ht="15.6" x14ac:dyDescent="0.3">
      <c r="A103" s="340">
        <v>1</v>
      </c>
      <c r="B103" s="288" t="s">
        <v>34</v>
      </c>
      <c r="C103" s="288"/>
      <c r="D103" s="288"/>
      <c r="E103" s="288"/>
      <c r="F103" s="288"/>
      <c r="G103" s="288"/>
      <c r="H103" s="288"/>
      <c r="I103" s="288"/>
      <c r="J103" s="288"/>
      <c r="K103" s="288"/>
      <c r="L103" s="288"/>
      <c r="M103" s="288"/>
      <c r="N103" s="288"/>
      <c r="O103" s="288"/>
      <c r="P103" s="288"/>
      <c r="Q103" s="288"/>
      <c r="R103" s="288"/>
      <c r="S103" s="288"/>
      <c r="T103" s="288"/>
      <c r="U103" s="288"/>
      <c r="V103" s="338">
        <v>0</v>
      </c>
      <c r="W103" s="291"/>
      <c r="X103" s="5"/>
    </row>
    <row r="104" spans="1:25" ht="15.6" x14ac:dyDescent="0.3">
      <c r="A104" s="340">
        <f>+A103+1</f>
        <v>2</v>
      </c>
      <c r="B104" s="288" t="s">
        <v>225</v>
      </c>
      <c r="C104" s="288"/>
      <c r="D104" s="288"/>
      <c r="E104" s="288"/>
      <c r="F104" s="288"/>
      <c r="G104" s="288"/>
      <c r="H104" s="288"/>
      <c r="I104" s="288"/>
      <c r="J104" s="288"/>
      <c r="K104" s="288"/>
      <c r="L104" s="288"/>
      <c r="M104" s="288"/>
      <c r="N104" s="288"/>
      <c r="O104" s="288"/>
      <c r="P104" s="288"/>
      <c r="Q104" s="288"/>
      <c r="R104" s="288"/>
      <c r="S104" s="288"/>
      <c r="T104" s="288"/>
      <c r="U104" s="288"/>
      <c r="V104" s="338">
        <v>-2</v>
      </c>
      <c r="W104" s="291"/>
      <c r="X104" s="5"/>
    </row>
    <row r="105" spans="1:25" ht="15.6" x14ac:dyDescent="0.3">
      <c r="A105" s="340">
        <f>+A104+1</f>
        <v>3</v>
      </c>
      <c r="B105" s="288" t="s">
        <v>204</v>
      </c>
      <c r="C105" s="288"/>
      <c r="D105" s="288"/>
      <c r="E105" s="288"/>
      <c r="F105" s="288"/>
      <c r="G105" s="288"/>
      <c r="H105" s="288"/>
      <c r="I105" s="288"/>
      <c r="J105" s="288"/>
      <c r="K105" s="288"/>
      <c r="L105" s="288"/>
      <c r="M105" s="288"/>
      <c r="N105" s="288"/>
      <c r="O105" s="288"/>
      <c r="P105" s="288"/>
      <c r="Q105" s="288"/>
      <c r="R105" s="288"/>
      <c r="S105" s="288"/>
      <c r="T105" s="288"/>
      <c r="U105" s="288"/>
      <c r="V105" s="338">
        <f>-144-196-14</f>
        <v>-354</v>
      </c>
      <c r="W105" s="291"/>
      <c r="X105" s="5"/>
    </row>
    <row r="106" spans="1:25" ht="15.6" x14ac:dyDescent="0.3">
      <c r="A106" s="340" t="s">
        <v>127</v>
      </c>
      <c r="B106" s="288" t="s">
        <v>116</v>
      </c>
      <c r="C106" s="288"/>
      <c r="D106" s="288"/>
      <c r="E106" s="288"/>
      <c r="F106" s="288"/>
      <c r="G106" s="288"/>
      <c r="H106" s="288"/>
      <c r="I106" s="288"/>
      <c r="J106" s="288"/>
      <c r="K106" s="288"/>
      <c r="L106" s="288"/>
      <c r="M106" s="288"/>
      <c r="N106" s="288"/>
      <c r="O106" s="288"/>
      <c r="P106" s="288"/>
      <c r="Q106" s="288"/>
      <c r="R106" s="288"/>
      <c r="S106" s="288"/>
      <c r="T106" s="288"/>
      <c r="U106" s="288"/>
      <c r="V106" s="338">
        <v>-108</v>
      </c>
      <c r="W106" s="291"/>
      <c r="X106" s="5"/>
    </row>
    <row r="107" spans="1:25" ht="15.6" x14ac:dyDescent="0.3">
      <c r="A107" s="340" t="s">
        <v>128</v>
      </c>
      <c r="B107" s="288" t="s">
        <v>222</v>
      </c>
      <c r="C107" s="288"/>
      <c r="D107" s="288"/>
      <c r="E107" s="288"/>
      <c r="F107" s="288"/>
      <c r="G107" s="288"/>
      <c r="H107" s="288"/>
      <c r="I107" s="288"/>
      <c r="J107" s="288"/>
      <c r="K107" s="288"/>
      <c r="L107" s="288"/>
      <c r="M107" s="288"/>
      <c r="N107" s="288"/>
      <c r="O107" s="288"/>
      <c r="P107" s="288"/>
      <c r="Q107" s="288"/>
      <c r="R107" s="288"/>
      <c r="S107" s="288"/>
      <c r="T107" s="288"/>
      <c r="U107" s="288"/>
      <c r="V107" s="338">
        <v>-1835</v>
      </c>
      <c r="W107" s="291"/>
      <c r="X107" s="5"/>
      <c r="Y107" s="109"/>
    </row>
    <row r="108" spans="1:25" ht="15.6" x14ac:dyDescent="0.3">
      <c r="A108" s="340" t="s">
        <v>150</v>
      </c>
      <c r="B108" s="288" t="s">
        <v>184</v>
      </c>
      <c r="C108" s="288"/>
      <c r="D108" s="288"/>
      <c r="E108" s="288"/>
      <c r="F108" s="288"/>
      <c r="G108" s="288"/>
      <c r="H108" s="288"/>
      <c r="I108" s="288"/>
      <c r="J108" s="288"/>
      <c r="K108" s="288"/>
      <c r="L108" s="288"/>
      <c r="M108" s="288"/>
      <c r="N108" s="288"/>
      <c r="O108" s="288"/>
      <c r="P108" s="288"/>
      <c r="Q108" s="288"/>
      <c r="R108" s="288"/>
      <c r="S108" s="288"/>
      <c r="T108" s="288"/>
      <c r="U108" s="288"/>
      <c r="V108" s="338">
        <v>-193</v>
      </c>
      <c r="W108" s="291"/>
      <c r="X108" s="5"/>
      <c r="Y108" s="109"/>
    </row>
    <row r="109" spans="1:25" ht="15.6" x14ac:dyDescent="0.3">
      <c r="A109" s="340" t="s">
        <v>236</v>
      </c>
      <c r="B109" s="288" t="s">
        <v>238</v>
      </c>
      <c r="C109" s="288"/>
      <c r="D109" s="288"/>
      <c r="E109" s="288"/>
      <c r="F109" s="288"/>
      <c r="G109" s="288"/>
      <c r="H109" s="288"/>
      <c r="I109" s="288"/>
      <c r="J109" s="288"/>
      <c r="K109" s="288"/>
      <c r="L109" s="288"/>
      <c r="M109" s="288"/>
      <c r="N109" s="288"/>
      <c r="O109" s="288"/>
      <c r="P109" s="288"/>
      <c r="Q109" s="288"/>
      <c r="R109" s="288"/>
      <c r="S109" s="288"/>
      <c r="T109" s="288"/>
      <c r="U109" s="288"/>
      <c r="V109" s="338">
        <v>-1</v>
      </c>
      <c r="W109" s="291"/>
      <c r="X109" s="5"/>
    </row>
    <row r="110" spans="1:25" ht="15.6" x14ac:dyDescent="0.3">
      <c r="A110" s="340" t="s">
        <v>205</v>
      </c>
      <c r="B110" s="288" t="s">
        <v>185</v>
      </c>
      <c r="C110" s="288"/>
      <c r="D110" s="288"/>
      <c r="E110" s="288"/>
      <c r="F110" s="288"/>
      <c r="G110" s="288"/>
      <c r="H110" s="288"/>
      <c r="I110" s="288"/>
      <c r="J110" s="288"/>
      <c r="K110" s="288"/>
      <c r="L110" s="288"/>
      <c r="M110" s="288"/>
      <c r="N110" s="288"/>
      <c r="O110" s="288"/>
      <c r="P110" s="288"/>
      <c r="Q110" s="288"/>
      <c r="R110" s="288"/>
      <c r="S110" s="288"/>
      <c r="T110" s="288"/>
      <c r="U110" s="288"/>
      <c r="V110" s="338">
        <v>-143</v>
      </c>
      <c r="W110" s="291"/>
      <c r="X110" s="5"/>
      <c r="Y110" s="109"/>
    </row>
    <row r="111" spans="1:25" ht="15.6" x14ac:dyDescent="0.3">
      <c r="A111" s="340" t="s">
        <v>206</v>
      </c>
      <c r="B111" s="288" t="s">
        <v>186</v>
      </c>
      <c r="C111" s="288"/>
      <c r="D111" s="288"/>
      <c r="E111" s="288"/>
      <c r="F111" s="288"/>
      <c r="G111" s="288"/>
      <c r="H111" s="288"/>
      <c r="I111" s="288"/>
      <c r="J111" s="288"/>
      <c r="K111" s="288"/>
      <c r="L111" s="288"/>
      <c r="M111" s="288"/>
      <c r="N111" s="288"/>
      <c r="O111" s="288"/>
      <c r="P111" s="288"/>
      <c r="Q111" s="288"/>
      <c r="R111" s="288"/>
      <c r="S111" s="288"/>
      <c r="T111" s="288"/>
      <c r="U111" s="288"/>
      <c r="V111" s="338">
        <v>-119</v>
      </c>
      <c r="W111" s="291"/>
      <c r="X111" s="179"/>
      <c r="Y111" s="109"/>
    </row>
    <row r="112" spans="1:25" ht="15.6" x14ac:dyDescent="0.3">
      <c r="A112" s="340" t="s">
        <v>207</v>
      </c>
      <c r="B112" s="288" t="s">
        <v>196</v>
      </c>
      <c r="C112" s="288"/>
      <c r="D112" s="288"/>
      <c r="E112" s="288"/>
      <c r="F112" s="288"/>
      <c r="G112" s="288"/>
      <c r="H112" s="288"/>
      <c r="I112" s="288"/>
      <c r="J112" s="288"/>
      <c r="K112" s="288"/>
      <c r="L112" s="288"/>
      <c r="M112" s="288"/>
      <c r="N112" s="288"/>
      <c r="O112" s="288"/>
      <c r="P112" s="288"/>
      <c r="Q112" s="288"/>
      <c r="R112" s="288"/>
      <c r="S112" s="288"/>
      <c r="T112" s="288"/>
      <c r="U112" s="288"/>
      <c r="V112" s="338">
        <v>-270</v>
      </c>
      <c r="W112" s="291"/>
      <c r="X112" s="5"/>
      <c r="Y112" s="109"/>
    </row>
    <row r="113" spans="1:25" ht="15.6" x14ac:dyDescent="0.3">
      <c r="A113" s="340" t="s">
        <v>224</v>
      </c>
      <c r="B113" s="288" t="s">
        <v>223</v>
      </c>
      <c r="C113" s="288"/>
      <c r="D113" s="288"/>
      <c r="E113" s="288"/>
      <c r="F113" s="288"/>
      <c r="G113" s="288"/>
      <c r="H113" s="288"/>
      <c r="I113" s="288"/>
      <c r="J113" s="288"/>
      <c r="K113" s="288"/>
      <c r="L113" s="288"/>
      <c r="M113" s="288"/>
      <c r="N113" s="288"/>
      <c r="O113" s="288"/>
      <c r="P113" s="288"/>
      <c r="Q113" s="288"/>
      <c r="R113" s="288"/>
      <c r="S113" s="288"/>
      <c r="T113" s="288"/>
      <c r="U113" s="288"/>
      <c r="V113" s="338">
        <v>-56</v>
      </c>
      <c r="W113" s="291"/>
      <c r="X113" s="5"/>
      <c r="Y113" s="109"/>
    </row>
    <row r="114" spans="1:25" ht="15.6" x14ac:dyDescent="0.3">
      <c r="A114" s="340">
        <v>7</v>
      </c>
      <c r="B114" s="288" t="s">
        <v>35</v>
      </c>
      <c r="C114" s="288"/>
      <c r="D114" s="288"/>
      <c r="E114" s="288"/>
      <c r="F114" s="288"/>
      <c r="G114" s="288"/>
      <c r="H114" s="288"/>
      <c r="I114" s="288"/>
      <c r="J114" s="288"/>
      <c r="K114" s="288"/>
      <c r="L114" s="288"/>
      <c r="M114" s="288"/>
      <c r="N114" s="288"/>
      <c r="O114" s="288"/>
      <c r="P114" s="288"/>
      <c r="Q114" s="288"/>
      <c r="R114" s="288"/>
      <c r="S114" s="288"/>
      <c r="T114" s="288"/>
      <c r="U114" s="288"/>
      <c r="V114" s="338">
        <v>-12</v>
      </c>
      <c r="W114" s="291"/>
      <c r="X114" s="5"/>
    </row>
    <row r="115" spans="1:25" ht="15.6" x14ac:dyDescent="0.3">
      <c r="A115" s="340">
        <f t="shared" ref="A115:A121" si="0">+A114+1</f>
        <v>8</v>
      </c>
      <c r="B115" s="288" t="s">
        <v>45</v>
      </c>
      <c r="C115" s="288"/>
      <c r="D115" s="288"/>
      <c r="E115" s="288"/>
      <c r="F115" s="288"/>
      <c r="G115" s="288"/>
      <c r="H115" s="288"/>
      <c r="I115" s="288"/>
      <c r="J115" s="288"/>
      <c r="K115" s="288"/>
      <c r="L115" s="288"/>
      <c r="M115" s="288"/>
      <c r="N115" s="288"/>
      <c r="O115" s="288"/>
      <c r="P115" s="288"/>
      <c r="Q115" s="288"/>
      <c r="R115" s="288"/>
      <c r="S115" s="288"/>
      <c r="T115" s="337">
        <f>-V115</f>
        <v>194</v>
      </c>
      <c r="U115" s="288"/>
      <c r="V115" s="338">
        <v>-194</v>
      </c>
      <c r="W115" s="291"/>
      <c r="X115" s="5"/>
    </row>
    <row r="116" spans="1:25" ht="15.6" x14ac:dyDescent="0.3">
      <c r="A116" s="340">
        <f t="shared" si="0"/>
        <v>9</v>
      </c>
      <c r="B116" s="288" t="s">
        <v>125</v>
      </c>
      <c r="C116" s="288"/>
      <c r="D116" s="288"/>
      <c r="E116" s="288"/>
      <c r="F116" s="288"/>
      <c r="G116" s="288"/>
      <c r="H116" s="288"/>
      <c r="I116" s="288"/>
      <c r="J116" s="288"/>
      <c r="K116" s="288"/>
      <c r="L116" s="288"/>
      <c r="M116" s="288"/>
      <c r="N116" s="288"/>
      <c r="O116" s="288"/>
      <c r="P116" s="288"/>
      <c r="Q116" s="288"/>
      <c r="R116" s="288"/>
      <c r="S116" s="288"/>
      <c r="T116" s="288"/>
      <c r="U116" s="288"/>
      <c r="V116" s="338">
        <v>0</v>
      </c>
      <c r="W116" s="291"/>
      <c r="X116" s="5"/>
    </row>
    <row r="117" spans="1:25" ht="15.6" x14ac:dyDescent="0.3">
      <c r="A117" s="340">
        <f t="shared" si="0"/>
        <v>10</v>
      </c>
      <c r="B117" s="288" t="s">
        <v>240</v>
      </c>
      <c r="C117" s="288"/>
      <c r="D117" s="288"/>
      <c r="E117" s="288"/>
      <c r="F117" s="288"/>
      <c r="G117" s="288"/>
      <c r="H117" s="288"/>
      <c r="I117" s="288"/>
      <c r="J117" s="288"/>
      <c r="K117" s="288"/>
      <c r="L117" s="288"/>
      <c r="M117" s="288"/>
      <c r="N117" s="288"/>
      <c r="O117" s="288"/>
      <c r="P117" s="288"/>
      <c r="Q117" s="288"/>
      <c r="R117" s="288"/>
      <c r="S117" s="288"/>
      <c r="T117" s="288"/>
      <c r="U117" s="288"/>
      <c r="V117" s="338">
        <v>0</v>
      </c>
      <c r="W117" s="291"/>
      <c r="X117" s="5"/>
    </row>
    <row r="118" spans="1:25" ht="15.6" x14ac:dyDescent="0.3">
      <c r="A118" s="340">
        <f t="shared" si="0"/>
        <v>11</v>
      </c>
      <c r="B118" s="288" t="s">
        <v>36</v>
      </c>
      <c r="C118" s="288"/>
      <c r="D118" s="288"/>
      <c r="E118" s="288"/>
      <c r="F118" s="288"/>
      <c r="G118" s="288"/>
      <c r="H118" s="288"/>
      <c r="I118" s="288"/>
      <c r="J118" s="288"/>
      <c r="K118" s="288"/>
      <c r="L118" s="288"/>
      <c r="M118" s="288"/>
      <c r="N118" s="288"/>
      <c r="O118" s="288"/>
      <c r="P118" s="288"/>
      <c r="Q118" s="288"/>
      <c r="R118" s="288"/>
      <c r="S118" s="288"/>
      <c r="T118" s="288"/>
      <c r="U118" s="288"/>
      <c r="V118" s="338">
        <v>0</v>
      </c>
      <c r="W118" s="291"/>
      <c r="X118" s="5"/>
    </row>
    <row r="119" spans="1:25" ht="15.6" x14ac:dyDescent="0.3">
      <c r="A119" s="340">
        <f t="shared" si="0"/>
        <v>12</v>
      </c>
      <c r="B119" s="288" t="s">
        <v>239</v>
      </c>
      <c r="C119" s="288"/>
      <c r="D119" s="288"/>
      <c r="E119" s="288"/>
      <c r="F119" s="288"/>
      <c r="G119" s="288"/>
      <c r="H119" s="288"/>
      <c r="I119" s="288"/>
      <c r="J119" s="288"/>
      <c r="K119" s="288"/>
      <c r="L119" s="288"/>
      <c r="M119" s="288"/>
      <c r="N119" s="288"/>
      <c r="O119" s="288"/>
      <c r="P119" s="288"/>
      <c r="Q119" s="288"/>
      <c r="R119" s="288"/>
      <c r="S119" s="288"/>
      <c r="T119" s="288"/>
      <c r="U119" s="288"/>
      <c r="V119" s="338">
        <v>0</v>
      </c>
      <c r="W119" s="291"/>
      <c r="X119" s="5"/>
    </row>
    <row r="120" spans="1:25" ht="15.6" x14ac:dyDescent="0.3">
      <c r="A120" s="340">
        <f t="shared" si="0"/>
        <v>13</v>
      </c>
      <c r="B120" s="288" t="s">
        <v>149</v>
      </c>
      <c r="C120" s="288"/>
      <c r="D120" s="288"/>
      <c r="E120" s="288"/>
      <c r="F120" s="288"/>
      <c r="G120" s="288"/>
      <c r="H120" s="288"/>
      <c r="I120" s="288"/>
      <c r="J120" s="288"/>
      <c r="K120" s="288"/>
      <c r="L120" s="288"/>
      <c r="M120" s="288"/>
      <c r="N120" s="288"/>
      <c r="O120" s="288"/>
      <c r="P120" s="288"/>
      <c r="Q120" s="288"/>
      <c r="R120" s="288"/>
      <c r="S120" s="288"/>
      <c r="T120" s="288"/>
      <c r="U120" s="288"/>
      <c r="V120" s="338">
        <v>-719</v>
      </c>
      <c r="W120" s="291"/>
      <c r="X120" s="5"/>
    </row>
    <row r="121" spans="1:25" ht="15.6" x14ac:dyDescent="0.3">
      <c r="A121" s="340">
        <f t="shared" si="0"/>
        <v>14</v>
      </c>
      <c r="B121" s="288" t="s">
        <v>126</v>
      </c>
      <c r="C121" s="288"/>
      <c r="D121" s="288"/>
      <c r="E121" s="288"/>
      <c r="F121" s="288"/>
      <c r="G121" s="288"/>
      <c r="H121" s="288"/>
      <c r="I121" s="288"/>
      <c r="J121" s="288"/>
      <c r="K121" s="288"/>
      <c r="L121" s="288"/>
      <c r="M121" s="288"/>
      <c r="N121" s="288"/>
      <c r="O121" s="288"/>
      <c r="P121" s="288"/>
      <c r="Q121" s="288"/>
      <c r="R121" s="288"/>
      <c r="S121" s="288"/>
      <c r="T121" s="288"/>
      <c r="U121" s="288"/>
      <c r="V121" s="338">
        <f>-V101-SUM(V103:V120)</f>
        <v>-5169</v>
      </c>
      <c r="W121" s="291"/>
      <c r="X121" s="5"/>
    </row>
    <row r="122" spans="1:25" ht="15.6" x14ac:dyDescent="0.3">
      <c r="A122" s="287"/>
      <c r="B122" s="343" t="s">
        <v>37</v>
      </c>
      <c r="C122" s="314"/>
      <c r="D122" s="314"/>
      <c r="E122" s="314"/>
      <c r="F122" s="314"/>
      <c r="G122" s="314"/>
      <c r="H122" s="314"/>
      <c r="I122" s="314"/>
      <c r="J122" s="314"/>
      <c r="K122" s="314"/>
      <c r="L122" s="314"/>
      <c r="M122" s="314"/>
      <c r="N122" s="314"/>
      <c r="O122" s="314"/>
      <c r="P122" s="314"/>
      <c r="Q122" s="314"/>
      <c r="R122" s="314"/>
      <c r="S122" s="314"/>
      <c r="T122" s="314"/>
      <c r="U122" s="314"/>
      <c r="V122" s="346"/>
      <c r="W122" s="318"/>
      <c r="X122" s="5"/>
    </row>
    <row r="123" spans="1:25" ht="15.6" x14ac:dyDescent="0.3">
      <c r="A123" s="340"/>
      <c r="B123" s="288" t="s">
        <v>173</v>
      </c>
      <c r="C123" s="288"/>
      <c r="D123" s="288"/>
      <c r="E123" s="288"/>
      <c r="F123" s="288"/>
      <c r="G123" s="288"/>
      <c r="H123" s="288"/>
      <c r="I123" s="288"/>
      <c r="J123" s="288"/>
      <c r="K123" s="288"/>
      <c r="L123" s="288"/>
      <c r="M123" s="288"/>
      <c r="N123" s="288"/>
      <c r="O123" s="288"/>
      <c r="P123" s="288"/>
      <c r="Q123" s="288"/>
      <c r="R123" s="288"/>
      <c r="S123" s="288"/>
      <c r="T123" s="337">
        <f>-T189</f>
        <v>-20</v>
      </c>
      <c r="U123" s="337"/>
      <c r="V123" s="338"/>
      <c r="W123" s="291"/>
      <c r="X123" s="5"/>
    </row>
    <row r="124" spans="1:25" ht="15.6" x14ac:dyDescent="0.3">
      <c r="A124" s="340"/>
      <c r="B124" s="288" t="s">
        <v>174</v>
      </c>
      <c r="C124" s="288"/>
      <c r="D124" s="288"/>
      <c r="E124" s="288"/>
      <c r="F124" s="288"/>
      <c r="G124" s="288"/>
      <c r="H124" s="288"/>
      <c r="I124" s="288"/>
      <c r="J124" s="288"/>
      <c r="K124" s="288"/>
      <c r="L124" s="288"/>
      <c r="M124" s="288"/>
      <c r="N124" s="288"/>
      <c r="O124" s="288"/>
      <c r="P124" s="288"/>
      <c r="Q124" s="288"/>
      <c r="R124" s="288"/>
      <c r="S124" s="288"/>
      <c r="T124" s="337">
        <v>0</v>
      </c>
      <c r="U124" s="337"/>
      <c r="V124" s="338"/>
      <c r="W124" s="291"/>
      <c r="X124" s="5"/>
    </row>
    <row r="125" spans="1:25" ht="15.6" x14ac:dyDescent="0.3">
      <c r="A125" s="340"/>
      <c r="B125" s="288" t="s">
        <v>38</v>
      </c>
      <c r="C125" s="288"/>
      <c r="D125" s="288"/>
      <c r="E125" s="288"/>
      <c r="F125" s="288"/>
      <c r="G125" s="288"/>
      <c r="H125" s="288"/>
      <c r="I125" s="288"/>
      <c r="J125" s="288"/>
      <c r="K125" s="288"/>
      <c r="L125" s="288"/>
      <c r="M125" s="288"/>
      <c r="N125" s="288"/>
      <c r="O125" s="288"/>
      <c r="P125" s="288"/>
      <c r="Q125" s="288"/>
      <c r="R125" s="288"/>
      <c r="S125" s="288"/>
      <c r="T125" s="337">
        <f>-S189</f>
        <v>-62</v>
      </c>
      <c r="U125" s="337"/>
      <c r="V125" s="338"/>
      <c r="W125" s="291"/>
      <c r="X125" s="5"/>
    </row>
    <row r="126" spans="1:25" ht="15.6" x14ac:dyDescent="0.3">
      <c r="A126" s="340"/>
      <c r="B126" s="288" t="s">
        <v>197</v>
      </c>
      <c r="C126" s="288"/>
      <c r="D126" s="288"/>
      <c r="E126" s="288"/>
      <c r="F126" s="288"/>
      <c r="G126" s="288"/>
      <c r="H126" s="288"/>
      <c r="I126" s="288"/>
      <c r="J126" s="288"/>
      <c r="K126" s="288"/>
      <c r="L126" s="288"/>
      <c r="M126" s="288"/>
      <c r="N126" s="288"/>
      <c r="O126" s="288"/>
      <c r="P126" s="288"/>
      <c r="Q126" s="288"/>
      <c r="R126" s="288"/>
      <c r="S126" s="288"/>
      <c r="T126" s="337">
        <v>-6356</v>
      </c>
      <c r="U126" s="337"/>
      <c r="V126" s="338"/>
      <c r="W126" s="291"/>
      <c r="X126" s="5"/>
    </row>
    <row r="127" spans="1:25" ht="15.6" x14ac:dyDescent="0.3">
      <c r="A127" s="340"/>
      <c r="B127" s="288" t="s">
        <v>195</v>
      </c>
      <c r="C127" s="288"/>
      <c r="D127" s="288"/>
      <c r="E127" s="288"/>
      <c r="F127" s="288"/>
      <c r="G127" s="288"/>
      <c r="H127" s="288"/>
      <c r="I127" s="288"/>
      <c r="J127" s="288"/>
      <c r="K127" s="288"/>
      <c r="L127" s="288"/>
      <c r="M127" s="288"/>
      <c r="N127" s="288"/>
      <c r="O127" s="288"/>
      <c r="P127" s="288"/>
      <c r="Q127" s="288"/>
      <c r="R127" s="288"/>
      <c r="S127" s="288"/>
      <c r="T127" s="337">
        <v>-1025</v>
      </c>
      <c r="U127" s="337"/>
      <c r="V127" s="338"/>
      <c r="W127" s="291"/>
      <c r="X127" s="5"/>
    </row>
    <row r="128" spans="1:25" ht="15.6" x14ac:dyDescent="0.3">
      <c r="A128" s="340"/>
      <c r="B128" s="288" t="s">
        <v>194</v>
      </c>
      <c r="C128" s="288"/>
      <c r="D128" s="288"/>
      <c r="E128" s="288"/>
      <c r="F128" s="288"/>
      <c r="G128" s="288"/>
      <c r="H128" s="288"/>
      <c r="I128" s="288"/>
      <c r="J128" s="288"/>
      <c r="K128" s="288"/>
      <c r="L128" s="288"/>
      <c r="M128" s="288"/>
      <c r="N128" s="288"/>
      <c r="O128" s="288"/>
      <c r="P128" s="288"/>
      <c r="Q128" s="288"/>
      <c r="R128" s="288"/>
      <c r="S128" s="288"/>
      <c r="T128" s="337">
        <v>-1379</v>
      </c>
      <c r="U128" s="337"/>
      <c r="V128" s="338"/>
      <c r="W128" s="291"/>
      <c r="X128" s="5"/>
    </row>
    <row r="129" spans="1:24" ht="15.6" x14ac:dyDescent="0.3">
      <c r="A129" s="340"/>
      <c r="B129" s="288" t="s">
        <v>226</v>
      </c>
      <c r="C129" s="288"/>
      <c r="D129" s="288"/>
      <c r="E129" s="288"/>
      <c r="F129" s="288"/>
      <c r="G129" s="288"/>
      <c r="H129" s="288"/>
      <c r="I129" s="288"/>
      <c r="J129" s="288"/>
      <c r="K129" s="288"/>
      <c r="L129" s="288"/>
      <c r="M129" s="288"/>
      <c r="N129" s="288"/>
      <c r="O129" s="288"/>
      <c r="P129" s="288"/>
      <c r="Q129" s="288"/>
      <c r="R129" s="288"/>
      <c r="S129" s="288"/>
      <c r="T129" s="337">
        <v>-1695</v>
      </c>
      <c r="U129" s="337"/>
      <c r="V129" s="338"/>
      <c r="W129" s="291"/>
      <c r="X129" s="5"/>
    </row>
    <row r="130" spans="1:24" ht="15.6" x14ac:dyDescent="0.3">
      <c r="A130" s="340"/>
      <c r="B130" s="288" t="s">
        <v>189</v>
      </c>
      <c r="C130" s="288"/>
      <c r="D130" s="288"/>
      <c r="E130" s="288"/>
      <c r="F130" s="288"/>
      <c r="G130" s="288"/>
      <c r="H130" s="288"/>
      <c r="I130" s="288"/>
      <c r="J130" s="288"/>
      <c r="K130" s="288"/>
      <c r="L130" s="288"/>
      <c r="M130" s="288"/>
      <c r="N130" s="288"/>
      <c r="O130" s="288"/>
      <c r="P130" s="288"/>
      <c r="Q130" s="288"/>
      <c r="R130" s="288"/>
      <c r="S130" s="288"/>
      <c r="T130" s="337">
        <v>0</v>
      </c>
      <c r="U130" s="337"/>
      <c r="V130" s="338"/>
      <c r="W130" s="291"/>
      <c r="X130" s="5"/>
    </row>
    <row r="131" spans="1:24" ht="15.6" x14ac:dyDescent="0.3">
      <c r="A131" s="340"/>
      <c r="B131" s="288" t="s">
        <v>188</v>
      </c>
      <c r="C131" s="288"/>
      <c r="D131" s="288"/>
      <c r="E131" s="288"/>
      <c r="F131" s="288"/>
      <c r="G131" s="288"/>
      <c r="H131" s="288"/>
      <c r="I131" s="288"/>
      <c r="J131" s="288"/>
      <c r="K131" s="288"/>
      <c r="L131" s="288"/>
      <c r="M131" s="288"/>
      <c r="N131" s="288"/>
      <c r="O131" s="288"/>
      <c r="P131" s="288"/>
      <c r="Q131" s="288"/>
      <c r="R131" s="288"/>
      <c r="S131" s="288"/>
      <c r="T131" s="337">
        <v>0</v>
      </c>
      <c r="U131" s="337"/>
      <c r="V131" s="338"/>
      <c r="W131" s="291"/>
      <c r="X131" s="5"/>
    </row>
    <row r="132" spans="1:24" ht="15.6" x14ac:dyDescent="0.3">
      <c r="A132" s="340"/>
      <c r="B132" s="288" t="s">
        <v>227</v>
      </c>
      <c r="C132" s="288"/>
      <c r="D132" s="288"/>
      <c r="E132" s="288"/>
      <c r="F132" s="288"/>
      <c r="G132" s="288"/>
      <c r="H132" s="288"/>
      <c r="I132" s="288"/>
      <c r="J132" s="288"/>
      <c r="K132" s="288"/>
      <c r="L132" s="288"/>
      <c r="M132" s="288"/>
      <c r="N132" s="288"/>
      <c r="O132" s="288"/>
      <c r="P132" s="288"/>
      <c r="Q132" s="288"/>
      <c r="R132" s="288"/>
      <c r="S132" s="288"/>
      <c r="T132" s="337">
        <v>0</v>
      </c>
      <c r="U132" s="337"/>
      <c r="V132" s="338"/>
      <c r="W132" s="291"/>
      <c r="X132" s="5"/>
    </row>
    <row r="133" spans="1:24" ht="15.6" x14ac:dyDescent="0.3">
      <c r="A133" s="340"/>
      <c r="B133" s="288" t="s">
        <v>187</v>
      </c>
      <c r="C133" s="288"/>
      <c r="D133" s="288"/>
      <c r="E133" s="288"/>
      <c r="F133" s="288"/>
      <c r="G133" s="288"/>
      <c r="H133" s="288"/>
      <c r="I133" s="288"/>
      <c r="J133" s="288"/>
      <c r="K133" s="288"/>
      <c r="L133" s="288"/>
      <c r="M133" s="288"/>
      <c r="N133" s="288"/>
      <c r="O133" s="288"/>
      <c r="P133" s="288"/>
      <c r="Q133" s="288"/>
      <c r="R133" s="288"/>
      <c r="S133" s="288"/>
      <c r="T133" s="337">
        <v>0</v>
      </c>
      <c r="U133" s="337"/>
      <c r="V133" s="338"/>
      <c r="W133" s="291"/>
      <c r="X133" s="5"/>
    </row>
    <row r="134" spans="1:24" ht="15.6" x14ac:dyDescent="0.3">
      <c r="A134" s="340"/>
      <c r="B134" s="288" t="s">
        <v>39</v>
      </c>
      <c r="C134" s="288"/>
      <c r="D134" s="288"/>
      <c r="E134" s="288"/>
      <c r="F134" s="288"/>
      <c r="G134" s="288"/>
      <c r="H134" s="288"/>
      <c r="I134" s="288"/>
      <c r="J134" s="288"/>
      <c r="K134" s="288"/>
      <c r="L134" s="288"/>
      <c r="M134" s="288"/>
      <c r="N134" s="288"/>
      <c r="O134" s="288"/>
      <c r="P134" s="288"/>
      <c r="Q134" s="288"/>
      <c r="R134" s="288"/>
      <c r="S134" s="288"/>
      <c r="T134" s="337">
        <f>SUM(T123:T133)</f>
        <v>-10537</v>
      </c>
      <c r="U134" s="337"/>
      <c r="V134" s="337">
        <f>SUM(V102:V131)</f>
        <v>-9175</v>
      </c>
      <c r="W134" s="291"/>
      <c r="X134" s="5"/>
    </row>
    <row r="135" spans="1:24" ht="15.6" x14ac:dyDescent="0.3">
      <c r="A135" s="340"/>
      <c r="B135" s="288" t="s">
        <v>40</v>
      </c>
      <c r="C135" s="288"/>
      <c r="D135" s="288"/>
      <c r="E135" s="288"/>
      <c r="F135" s="288"/>
      <c r="G135" s="288"/>
      <c r="H135" s="288"/>
      <c r="I135" s="288"/>
      <c r="J135" s="288"/>
      <c r="K135" s="288"/>
      <c r="L135" s="288"/>
      <c r="M135" s="288"/>
      <c r="N135" s="288"/>
      <c r="O135" s="288"/>
      <c r="P135" s="288"/>
      <c r="Q135" s="288"/>
      <c r="R135" s="288"/>
      <c r="S135" s="288"/>
      <c r="T135" s="337">
        <f>T101+T134+T115</f>
        <v>0</v>
      </c>
      <c r="U135" s="337"/>
      <c r="V135" s="337">
        <f>V101+V134</f>
        <v>0</v>
      </c>
      <c r="W135" s="291"/>
      <c r="X135" s="5"/>
    </row>
    <row r="136" spans="1:24" ht="15.6" x14ac:dyDescent="0.3">
      <c r="A136" s="243"/>
      <c r="B136" s="284"/>
      <c r="C136" s="284"/>
      <c r="D136" s="284"/>
      <c r="E136" s="284"/>
      <c r="F136" s="284"/>
      <c r="G136" s="284"/>
      <c r="H136" s="284"/>
      <c r="I136" s="284"/>
      <c r="J136" s="284"/>
      <c r="K136" s="284"/>
      <c r="L136" s="284"/>
      <c r="M136" s="284"/>
      <c r="N136" s="284"/>
      <c r="O136" s="284"/>
      <c r="P136" s="284"/>
      <c r="Q136" s="284"/>
      <c r="R136" s="284"/>
      <c r="S136" s="284"/>
      <c r="T136" s="339"/>
      <c r="U136" s="339"/>
      <c r="V136" s="339"/>
      <c r="W136" s="284"/>
      <c r="X136" s="5"/>
    </row>
    <row r="137" spans="1:24" ht="15.6" x14ac:dyDescent="0.3">
      <c r="A137" s="243"/>
      <c r="B137" s="224"/>
      <c r="C137" s="224"/>
      <c r="D137" s="224"/>
      <c r="E137" s="224"/>
      <c r="F137" s="224"/>
      <c r="G137" s="224"/>
      <c r="H137" s="224"/>
      <c r="I137" s="224"/>
      <c r="J137" s="224"/>
      <c r="K137" s="224"/>
      <c r="L137" s="224"/>
      <c r="M137" s="224"/>
      <c r="N137" s="224"/>
      <c r="O137" s="224"/>
      <c r="P137" s="224"/>
      <c r="Q137" s="224"/>
      <c r="R137" s="224"/>
      <c r="S137" s="224"/>
      <c r="T137" s="224"/>
      <c r="U137" s="224"/>
      <c r="V137" s="244"/>
      <c r="W137" s="224"/>
      <c r="X137" s="5"/>
    </row>
    <row r="138" spans="1:24" ht="18" thickBot="1" x14ac:dyDescent="0.35">
      <c r="A138" s="245"/>
      <c r="B138" s="237" t="str">
        <f>B64</f>
        <v>PM14 INVESTOR REPORT QUARTER ENDING FEBRUARY 2011</v>
      </c>
      <c r="C138" s="238"/>
      <c r="D138" s="238"/>
      <c r="E138" s="238"/>
      <c r="F138" s="238"/>
      <c r="G138" s="238"/>
      <c r="H138" s="238"/>
      <c r="I138" s="238"/>
      <c r="J138" s="238"/>
      <c r="K138" s="238"/>
      <c r="L138" s="238"/>
      <c r="M138" s="238"/>
      <c r="N138" s="238"/>
      <c r="O138" s="238"/>
      <c r="P138" s="238"/>
      <c r="Q138" s="238"/>
      <c r="R138" s="238"/>
      <c r="S138" s="238"/>
      <c r="T138" s="238"/>
      <c r="U138" s="238"/>
      <c r="V138" s="246"/>
      <c r="W138" s="240"/>
      <c r="X138" s="5"/>
    </row>
    <row r="139" spans="1:24" ht="15.6" x14ac:dyDescent="0.3">
      <c r="A139" s="273"/>
      <c r="B139" s="397" t="s">
        <v>41</v>
      </c>
      <c r="C139" s="274"/>
      <c r="D139" s="274"/>
      <c r="E139" s="274"/>
      <c r="F139" s="274"/>
      <c r="G139" s="274"/>
      <c r="H139" s="274"/>
      <c r="I139" s="274"/>
      <c r="J139" s="274"/>
      <c r="K139" s="274"/>
      <c r="L139" s="274"/>
      <c r="M139" s="274"/>
      <c r="N139" s="274"/>
      <c r="O139" s="274"/>
      <c r="P139" s="274"/>
      <c r="Q139" s="274"/>
      <c r="R139" s="274"/>
      <c r="S139" s="274"/>
      <c r="T139" s="274"/>
      <c r="U139" s="274"/>
      <c r="V139" s="275"/>
      <c r="W139" s="274"/>
      <c r="X139" s="5"/>
    </row>
    <row r="140" spans="1:24" ht="15.6" x14ac:dyDescent="0.3">
      <c r="A140" s="183"/>
      <c r="B140" s="195"/>
      <c r="C140" s="185"/>
      <c r="D140" s="185"/>
      <c r="E140" s="185"/>
      <c r="F140" s="185"/>
      <c r="G140" s="185"/>
      <c r="H140" s="185"/>
      <c r="I140" s="185"/>
      <c r="J140" s="185"/>
      <c r="K140" s="185"/>
      <c r="L140" s="185"/>
      <c r="M140" s="185"/>
      <c r="N140" s="185"/>
      <c r="O140" s="185"/>
      <c r="P140" s="185"/>
      <c r="Q140" s="185"/>
      <c r="R140" s="185"/>
      <c r="S140" s="185"/>
      <c r="T140" s="185"/>
      <c r="U140" s="185"/>
      <c r="V140" s="201"/>
      <c r="W140" s="185"/>
      <c r="X140" s="5"/>
    </row>
    <row r="141" spans="1:24" ht="15.6" x14ac:dyDescent="0.3">
      <c r="A141" s="183"/>
      <c r="B141" s="208" t="s">
        <v>42</v>
      </c>
      <c r="C141" s="185"/>
      <c r="D141" s="185"/>
      <c r="E141" s="185"/>
      <c r="F141" s="185"/>
      <c r="G141" s="185"/>
      <c r="H141" s="185"/>
      <c r="I141" s="185"/>
      <c r="J141" s="185"/>
      <c r="K141" s="185"/>
      <c r="L141" s="185"/>
      <c r="M141" s="185"/>
      <c r="N141" s="185"/>
      <c r="O141" s="185"/>
      <c r="P141" s="185"/>
      <c r="Q141" s="185"/>
      <c r="R141" s="185"/>
      <c r="S141" s="185"/>
      <c r="T141" s="185"/>
      <c r="U141" s="185"/>
      <c r="V141" s="201"/>
      <c r="W141" s="185"/>
      <c r="X141" s="5"/>
    </row>
    <row r="142" spans="1:24" ht="15.6" x14ac:dyDescent="0.3">
      <c r="A142" s="287"/>
      <c r="B142" s="288" t="s">
        <v>43</v>
      </c>
      <c r="C142" s="288"/>
      <c r="D142" s="288"/>
      <c r="E142" s="288"/>
      <c r="F142" s="288"/>
      <c r="G142" s="288"/>
      <c r="H142" s="288"/>
      <c r="I142" s="288"/>
      <c r="J142" s="288"/>
      <c r="K142" s="288"/>
      <c r="L142" s="288"/>
      <c r="M142" s="288"/>
      <c r="N142" s="288"/>
      <c r="O142" s="288"/>
      <c r="P142" s="288"/>
      <c r="Q142" s="288"/>
      <c r="R142" s="288"/>
      <c r="S142" s="288"/>
      <c r="T142" s="288"/>
      <c r="U142" s="288"/>
      <c r="V142" s="338">
        <f>+V34*0.019</f>
        <v>28505.224999999999</v>
      </c>
      <c r="W142" s="291"/>
      <c r="X142" s="5"/>
    </row>
    <row r="143" spans="1:24" ht="15.6" x14ac:dyDescent="0.3">
      <c r="A143" s="287"/>
      <c r="B143" s="288" t="s">
        <v>44</v>
      </c>
      <c r="C143" s="288"/>
      <c r="D143" s="288"/>
      <c r="E143" s="288"/>
      <c r="F143" s="288"/>
      <c r="G143" s="288"/>
      <c r="H143" s="288"/>
      <c r="I143" s="288"/>
      <c r="J143" s="288"/>
      <c r="K143" s="288"/>
      <c r="L143" s="288"/>
      <c r="M143" s="288"/>
      <c r="N143" s="288"/>
      <c r="O143" s="288"/>
      <c r="P143" s="288"/>
      <c r="Q143" s="288"/>
      <c r="R143" s="288"/>
      <c r="S143" s="288"/>
      <c r="T143" s="288"/>
      <c r="U143" s="288"/>
      <c r="V143" s="338">
        <v>28505</v>
      </c>
      <c r="W143" s="291"/>
      <c r="X143" s="5"/>
    </row>
    <row r="144" spans="1:24" ht="15.6" x14ac:dyDescent="0.3">
      <c r="A144" s="287"/>
      <c r="B144" s="288" t="s">
        <v>136</v>
      </c>
      <c r="C144" s="288"/>
      <c r="D144" s="288"/>
      <c r="E144" s="288"/>
      <c r="F144" s="288"/>
      <c r="G144" s="288"/>
      <c r="H144" s="288"/>
      <c r="I144" s="288"/>
      <c r="J144" s="288"/>
      <c r="K144" s="288"/>
      <c r="L144" s="288"/>
      <c r="M144" s="288"/>
      <c r="N144" s="288"/>
      <c r="O144" s="288"/>
      <c r="P144" s="288"/>
      <c r="Q144" s="288"/>
      <c r="R144" s="288"/>
      <c r="S144" s="288"/>
      <c r="T144" s="288"/>
      <c r="U144" s="288"/>
      <c r="V144" s="338"/>
      <c r="W144" s="291"/>
      <c r="X144" s="5"/>
    </row>
    <row r="145" spans="1:25" ht="15.6" x14ac:dyDescent="0.3">
      <c r="A145" s="287"/>
      <c r="B145" s="288" t="s">
        <v>123</v>
      </c>
      <c r="C145" s="288"/>
      <c r="D145" s="288"/>
      <c r="E145" s="288"/>
      <c r="F145" s="288"/>
      <c r="G145" s="288"/>
      <c r="H145" s="288"/>
      <c r="I145" s="288"/>
      <c r="J145" s="288"/>
      <c r="K145" s="288"/>
      <c r="L145" s="288"/>
      <c r="M145" s="288"/>
      <c r="N145" s="288"/>
      <c r="O145" s="288"/>
      <c r="P145" s="288"/>
      <c r="Q145" s="288"/>
      <c r="R145" s="288"/>
      <c r="S145" s="288"/>
      <c r="T145" s="288"/>
      <c r="U145" s="288"/>
      <c r="V145" s="338">
        <v>0</v>
      </c>
      <c r="W145" s="291"/>
      <c r="X145" s="5"/>
    </row>
    <row r="146" spans="1:25" ht="15.6" x14ac:dyDescent="0.3">
      <c r="A146" s="287"/>
      <c r="B146" s="288" t="s">
        <v>124</v>
      </c>
      <c r="C146" s="288"/>
      <c r="D146" s="288"/>
      <c r="E146" s="288"/>
      <c r="F146" s="288"/>
      <c r="G146" s="288"/>
      <c r="H146" s="288"/>
      <c r="I146" s="288"/>
      <c r="J146" s="288"/>
      <c r="K146" s="288"/>
      <c r="L146" s="288"/>
      <c r="M146" s="288"/>
      <c r="N146" s="288"/>
      <c r="O146" s="288"/>
      <c r="P146" s="288"/>
      <c r="Q146" s="288"/>
      <c r="R146" s="288"/>
      <c r="S146" s="288"/>
      <c r="T146" s="288"/>
      <c r="U146" s="288"/>
      <c r="V146" s="338">
        <v>0</v>
      </c>
      <c r="W146" s="291"/>
      <c r="X146" s="5"/>
    </row>
    <row r="147" spans="1:25" ht="15.6" x14ac:dyDescent="0.3">
      <c r="A147" s="287"/>
      <c r="B147" s="288" t="s">
        <v>175</v>
      </c>
      <c r="C147" s="288"/>
      <c r="D147" s="288"/>
      <c r="E147" s="288"/>
      <c r="F147" s="288"/>
      <c r="G147" s="288"/>
      <c r="H147" s="288"/>
      <c r="I147" s="288"/>
      <c r="J147" s="288"/>
      <c r="K147" s="288"/>
      <c r="L147" s="288"/>
      <c r="M147" s="288"/>
      <c r="N147" s="288"/>
      <c r="O147" s="288"/>
      <c r="P147" s="288"/>
      <c r="Q147" s="288"/>
      <c r="R147" s="288"/>
      <c r="S147" s="288"/>
      <c r="T147" s="288"/>
      <c r="U147" s="288"/>
      <c r="V147" s="338">
        <v>0</v>
      </c>
      <c r="W147" s="291"/>
      <c r="X147" s="5"/>
    </row>
    <row r="148" spans="1:25" ht="15.6" x14ac:dyDescent="0.3">
      <c r="A148" s="287"/>
      <c r="B148" s="288" t="s">
        <v>45</v>
      </c>
      <c r="C148" s="288"/>
      <c r="D148" s="288"/>
      <c r="E148" s="288"/>
      <c r="F148" s="288"/>
      <c r="G148" s="288"/>
      <c r="H148" s="288"/>
      <c r="I148" s="288"/>
      <c r="J148" s="288"/>
      <c r="K148" s="288"/>
      <c r="L148" s="288"/>
      <c r="M148" s="288"/>
      <c r="N148" s="288"/>
      <c r="O148" s="288"/>
      <c r="P148" s="288"/>
      <c r="Q148" s="288"/>
      <c r="R148" s="288"/>
      <c r="S148" s="288"/>
      <c r="T148" s="288"/>
      <c r="U148" s="288"/>
      <c r="V148" s="338">
        <v>0</v>
      </c>
      <c r="W148" s="291"/>
      <c r="X148" s="5"/>
    </row>
    <row r="149" spans="1:25" ht="15.6" x14ac:dyDescent="0.3">
      <c r="A149" s="287"/>
      <c r="B149" s="288" t="s">
        <v>129</v>
      </c>
      <c r="C149" s="288"/>
      <c r="D149" s="288"/>
      <c r="E149" s="288"/>
      <c r="F149" s="288"/>
      <c r="G149" s="288"/>
      <c r="H149" s="288"/>
      <c r="I149" s="288"/>
      <c r="J149" s="288"/>
      <c r="K149" s="288"/>
      <c r="L149" s="288"/>
      <c r="M149" s="288"/>
      <c r="N149" s="288"/>
      <c r="O149" s="288"/>
      <c r="P149" s="288"/>
      <c r="Q149" s="288"/>
      <c r="R149" s="288"/>
      <c r="S149" s="288"/>
      <c r="T149" s="288"/>
      <c r="U149" s="288"/>
      <c r="V149" s="338">
        <v>0</v>
      </c>
      <c r="W149" s="291"/>
      <c r="X149" s="5"/>
    </row>
    <row r="150" spans="1:25" ht="15.6" x14ac:dyDescent="0.3">
      <c r="A150" s="287"/>
      <c r="B150" s="288" t="s">
        <v>267</v>
      </c>
      <c r="C150" s="288"/>
      <c r="D150" s="288"/>
      <c r="E150" s="288"/>
      <c r="F150" s="288"/>
      <c r="G150" s="288"/>
      <c r="H150" s="288"/>
      <c r="I150" s="288"/>
      <c r="J150" s="288"/>
      <c r="K150" s="288"/>
      <c r="L150" s="288"/>
      <c r="M150" s="288"/>
      <c r="N150" s="288"/>
      <c r="O150" s="288"/>
      <c r="P150" s="288"/>
      <c r="Q150" s="288"/>
      <c r="R150" s="288"/>
      <c r="S150" s="288"/>
      <c r="T150" s="288"/>
      <c r="U150" s="288"/>
      <c r="V150" s="338">
        <v>0</v>
      </c>
      <c r="W150" s="291"/>
      <c r="X150" s="5"/>
      <c r="Y150" s="109"/>
    </row>
    <row r="151" spans="1:25" ht="15.6" x14ac:dyDescent="0.3">
      <c r="A151" s="287"/>
      <c r="B151" s="288" t="s">
        <v>46</v>
      </c>
      <c r="C151" s="288"/>
      <c r="D151" s="288"/>
      <c r="E151" s="288"/>
      <c r="F151" s="288"/>
      <c r="G151" s="288"/>
      <c r="H151" s="288"/>
      <c r="I151" s="288"/>
      <c r="J151" s="288"/>
      <c r="K151" s="288"/>
      <c r="L151" s="288"/>
      <c r="M151" s="288"/>
      <c r="N151" s="288"/>
      <c r="O151" s="288"/>
      <c r="P151" s="288"/>
      <c r="Q151" s="288"/>
      <c r="R151" s="288"/>
      <c r="S151" s="288"/>
      <c r="T151" s="288"/>
      <c r="U151" s="288"/>
      <c r="V151" s="338">
        <f>SUM(V143:V150)</f>
        <v>28505</v>
      </c>
      <c r="W151" s="291"/>
      <c r="X151" s="5"/>
    </row>
    <row r="152" spans="1:25" ht="15.6" x14ac:dyDescent="0.3">
      <c r="A152" s="287"/>
      <c r="B152" s="314"/>
      <c r="C152" s="314"/>
      <c r="D152" s="314"/>
      <c r="E152" s="314"/>
      <c r="F152" s="314"/>
      <c r="G152" s="314"/>
      <c r="H152" s="314"/>
      <c r="I152" s="314"/>
      <c r="J152" s="314"/>
      <c r="K152" s="314"/>
      <c r="L152" s="314"/>
      <c r="M152" s="314"/>
      <c r="N152" s="314"/>
      <c r="O152" s="314"/>
      <c r="P152" s="314"/>
      <c r="Q152" s="314"/>
      <c r="R152" s="314"/>
      <c r="S152" s="314"/>
      <c r="T152" s="314"/>
      <c r="U152" s="314"/>
      <c r="V152" s="345"/>
      <c r="W152" s="318"/>
      <c r="X152" s="5"/>
    </row>
    <row r="153" spans="1:25" ht="15.6" x14ac:dyDescent="0.3">
      <c r="A153" s="287"/>
      <c r="B153" s="343" t="s">
        <v>237</v>
      </c>
      <c r="C153" s="314"/>
      <c r="D153" s="314"/>
      <c r="E153" s="314"/>
      <c r="F153" s="314"/>
      <c r="G153" s="314"/>
      <c r="H153" s="314"/>
      <c r="I153" s="314"/>
      <c r="J153" s="314"/>
      <c r="K153" s="314"/>
      <c r="L153" s="314"/>
      <c r="M153" s="314"/>
      <c r="N153" s="314"/>
      <c r="O153" s="314"/>
      <c r="P153" s="314"/>
      <c r="Q153" s="314"/>
      <c r="R153" s="314"/>
      <c r="S153" s="314"/>
      <c r="T153" s="314"/>
      <c r="U153" s="314"/>
      <c r="V153" s="345"/>
      <c r="W153" s="318"/>
      <c r="X153" s="5"/>
    </row>
    <row r="154" spans="1:25" ht="15.6" x14ac:dyDescent="0.3">
      <c r="A154" s="287"/>
      <c r="B154" s="288" t="s">
        <v>155</v>
      </c>
      <c r="C154" s="288"/>
      <c r="D154" s="288"/>
      <c r="E154" s="288"/>
      <c r="F154" s="288"/>
      <c r="G154" s="288"/>
      <c r="H154" s="288"/>
      <c r="I154" s="288"/>
      <c r="J154" s="288"/>
      <c r="K154" s="288"/>
      <c r="L154" s="288"/>
      <c r="M154" s="288"/>
      <c r="N154" s="288"/>
      <c r="O154" s="288"/>
      <c r="P154" s="288"/>
      <c r="Q154" s="288"/>
      <c r="R154" s="288"/>
      <c r="S154" s="288"/>
      <c r="T154" s="288"/>
      <c r="U154" s="288"/>
      <c r="V154" s="338">
        <v>7500</v>
      </c>
      <c r="W154" s="291"/>
      <c r="X154" s="5"/>
    </row>
    <row r="155" spans="1:25" ht="15.6" x14ac:dyDescent="0.3">
      <c r="A155" s="287"/>
      <c r="B155" s="288" t="s">
        <v>172</v>
      </c>
      <c r="C155" s="288"/>
      <c r="D155" s="288"/>
      <c r="E155" s="288"/>
      <c r="F155" s="288"/>
      <c r="G155" s="288"/>
      <c r="H155" s="288"/>
      <c r="I155" s="288"/>
      <c r="J155" s="288"/>
      <c r="K155" s="288"/>
      <c r="L155" s="288"/>
      <c r="M155" s="288"/>
      <c r="N155" s="288"/>
      <c r="O155" s="288"/>
      <c r="P155" s="288"/>
      <c r="Q155" s="288"/>
      <c r="R155" s="288"/>
      <c r="S155" s="288"/>
      <c r="T155" s="288"/>
      <c r="U155" s="288"/>
      <c r="V155" s="338">
        <v>0</v>
      </c>
      <c r="W155" s="291"/>
      <c r="X155" s="5"/>
    </row>
    <row r="156" spans="1:25" ht="15.6" x14ac:dyDescent="0.3">
      <c r="A156" s="287"/>
      <c r="B156" s="288" t="s">
        <v>305</v>
      </c>
      <c r="C156" s="288"/>
      <c r="D156" s="288"/>
      <c r="E156" s="288"/>
      <c r="F156" s="288"/>
      <c r="G156" s="288"/>
      <c r="H156" s="288"/>
      <c r="I156" s="288"/>
      <c r="J156" s="288"/>
      <c r="K156" s="288"/>
      <c r="L156" s="288"/>
      <c r="M156" s="288"/>
      <c r="N156" s="288"/>
      <c r="O156" s="288"/>
      <c r="P156" s="288"/>
      <c r="Q156" s="288"/>
      <c r="R156" s="288"/>
      <c r="S156" s="288"/>
      <c r="T156" s="288"/>
      <c r="U156" s="288"/>
      <c r="V156" s="338">
        <v>2101</v>
      </c>
      <c r="W156" s="291"/>
      <c r="X156" s="5"/>
    </row>
    <row r="157" spans="1:25" ht="15.6" x14ac:dyDescent="0.3">
      <c r="A157" s="287"/>
      <c r="B157" s="288"/>
      <c r="C157" s="288"/>
      <c r="D157" s="288"/>
      <c r="E157" s="288"/>
      <c r="F157" s="288"/>
      <c r="G157" s="288"/>
      <c r="H157" s="288"/>
      <c r="I157" s="288"/>
      <c r="J157" s="288"/>
      <c r="K157" s="288"/>
      <c r="L157" s="288"/>
      <c r="M157" s="288"/>
      <c r="N157" s="288"/>
      <c r="O157" s="288"/>
      <c r="P157" s="288"/>
      <c r="Q157" s="288"/>
      <c r="R157" s="288"/>
      <c r="S157" s="288"/>
      <c r="T157" s="288"/>
      <c r="U157" s="288"/>
      <c r="V157" s="338"/>
      <c r="W157" s="291"/>
      <c r="X157" s="5"/>
    </row>
    <row r="158" spans="1:25" ht="15.6" x14ac:dyDescent="0.3">
      <c r="A158" s="183"/>
      <c r="B158" s="198"/>
      <c r="C158" s="198"/>
      <c r="D158" s="198"/>
      <c r="E158" s="198"/>
      <c r="F158" s="198"/>
      <c r="G158" s="198"/>
      <c r="H158" s="198"/>
      <c r="I158" s="198"/>
      <c r="J158" s="198"/>
      <c r="K158" s="198"/>
      <c r="L158" s="198"/>
      <c r="M158" s="198"/>
      <c r="N158" s="198"/>
      <c r="O158" s="198"/>
      <c r="P158" s="198"/>
      <c r="Q158" s="198"/>
      <c r="R158" s="198"/>
      <c r="S158" s="198"/>
      <c r="T158" s="198"/>
      <c r="U158" s="198"/>
      <c r="V158" s="347"/>
      <c r="W158" s="198"/>
      <c r="X158" s="5"/>
    </row>
    <row r="159" spans="1:25" ht="15.6" x14ac:dyDescent="0.3">
      <c r="A159" s="183"/>
      <c r="B159" s="208" t="s">
        <v>24</v>
      </c>
      <c r="C159" s="185"/>
      <c r="D159" s="185"/>
      <c r="E159" s="185"/>
      <c r="F159" s="185"/>
      <c r="G159" s="185"/>
      <c r="H159" s="185"/>
      <c r="I159" s="185"/>
      <c r="J159" s="185"/>
      <c r="K159" s="185"/>
      <c r="L159" s="185"/>
      <c r="M159" s="185"/>
      <c r="N159" s="185"/>
      <c r="O159" s="185"/>
      <c r="P159" s="185"/>
      <c r="Q159" s="185"/>
      <c r="R159" s="185"/>
      <c r="S159" s="185"/>
      <c r="T159" s="185"/>
      <c r="U159" s="185"/>
      <c r="V159" s="201"/>
      <c r="W159" s="185"/>
      <c r="X159" s="5"/>
    </row>
    <row r="160" spans="1:25" ht="15.6" x14ac:dyDescent="0.3">
      <c r="A160" s="287"/>
      <c r="B160" s="288" t="s">
        <v>47</v>
      </c>
      <c r="C160" s="288"/>
      <c r="D160" s="288"/>
      <c r="E160" s="288"/>
      <c r="F160" s="288"/>
      <c r="G160" s="288"/>
      <c r="H160" s="288"/>
      <c r="I160" s="288"/>
      <c r="J160" s="288"/>
      <c r="K160" s="288"/>
      <c r="L160" s="288"/>
      <c r="M160" s="288"/>
      <c r="N160" s="288"/>
      <c r="O160" s="288"/>
      <c r="P160" s="288"/>
      <c r="Q160" s="288"/>
      <c r="R160" s="288"/>
      <c r="S160" s="288"/>
      <c r="T160" s="288"/>
      <c r="U160" s="288"/>
      <c r="V160" s="348" t="s">
        <v>118</v>
      </c>
      <c r="W160" s="291"/>
      <c r="X160" s="5"/>
    </row>
    <row r="161" spans="1:256" ht="15.6" x14ac:dyDescent="0.3">
      <c r="A161" s="287"/>
      <c r="B161" s="288" t="s">
        <v>48</v>
      </c>
      <c r="C161" s="290"/>
      <c r="D161" s="290"/>
      <c r="E161" s="290"/>
      <c r="F161" s="290"/>
      <c r="G161" s="290"/>
      <c r="H161" s="290"/>
      <c r="I161" s="290"/>
      <c r="J161" s="290"/>
      <c r="K161" s="290"/>
      <c r="L161" s="290"/>
      <c r="M161" s="290"/>
      <c r="N161" s="290"/>
      <c r="O161" s="290"/>
      <c r="P161" s="290"/>
      <c r="Q161" s="290"/>
      <c r="R161" s="290"/>
      <c r="S161" s="290"/>
      <c r="T161" s="290"/>
      <c r="U161" s="290"/>
      <c r="V161" s="348" t="s">
        <v>118</v>
      </c>
      <c r="W161" s="291"/>
      <c r="X161" s="5"/>
    </row>
    <row r="162" spans="1:256" ht="15.6" x14ac:dyDescent="0.3">
      <c r="A162" s="287"/>
      <c r="B162" s="288" t="s">
        <v>49</v>
      </c>
      <c r="C162" s="288"/>
      <c r="D162" s="288"/>
      <c r="E162" s="288"/>
      <c r="F162" s="288"/>
      <c r="G162" s="288"/>
      <c r="H162" s="288"/>
      <c r="I162" s="288"/>
      <c r="J162" s="288"/>
      <c r="K162" s="288"/>
      <c r="L162" s="288"/>
      <c r="M162" s="288"/>
      <c r="N162" s="288"/>
      <c r="O162" s="288"/>
      <c r="P162" s="288"/>
      <c r="Q162" s="288"/>
      <c r="R162" s="288"/>
      <c r="S162" s="288"/>
      <c r="T162" s="288"/>
      <c r="U162" s="288"/>
      <c r="V162" s="348" t="s">
        <v>118</v>
      </c>
      <c r="W162" s="291"/>
      <c r="X162" s="5"/>
    </row>
    <row r="163" spans="1:256" ht="15.6" x14ac:dyDescent="0.3">
      <c r="A163" s="287"/>
      <c r="B163" s="288" t="s">
        <v>50</v>
      </c>
      <c r="C163" s="288"/>
      <c r="D163" s="288"/>
      <c r="E163" s="288"/>
      <c r="F163" s="288"/>
      <c r="G163" s="288"/>
      <c r="H163" s="288"/>
      <c r="I163" s="288"/>
      <c r="J163" s="288"/>
      <c r="K163" s="288"/>
      <c r="L163" s="288"/>
      <c r="M163" s="288"/>
      <c r="N163" s="288"/>
      <c r="O163" s="288"/>
      <c r="P163" s="288"/>
      <c r="Q163" s="288"/>
      <c r="R163" s="288"/>
      <c r="S163" s="288"/>
      <c r="T163" s="288"/>
      <c r="U163" s="288"/>
      <c r="V163" s="348" t="s">
        <v>118</v>
      </c>
      <c r="W163" s="291"/>
      <c r="X163" s="5"/>
    </row>
    <row r="164" spans="1:256" ht="15.6" x14ac:dyDescent="0.3">
      <c r="A164" s="183"/>
      <c r="B164" s="198"/>
      <c r="C164" s="198"/>
      <c r="D164" s="198"/>
      <c r="E164" s="198"/>
      <c r="F164" s="198"/>
      <c r="G164" s="198"/>
      <c r="H164" s="198"/>
      <c r="I164" s="198"/>
      <c r="J164" s="198"/>
      <c r="K164" s="198"/>
      <c r="L164" s="198"/>
      <c r="M164" s="198"/>
      <c r="N164" s="198"/>
      <c r="O164" s="198"/>
      <c r="P164" s="198"/>
      <c r="Q164" s="198"/>
      <c r="R164" s="198"/>
      <c r="S164" s="198"/>
      <c r="T164" s="198"/>
      <c r="U164" s="198"/>
      <c r="V164" s="347"/>
      <c r="W164" s="198"/>
      <c r="X164" s="5"/>
    </row>
    <row r="165" spans="1:256" ht="15.6" x14ac:dyDescent="0.3">
      <c r="A165" s="183"/>
      <c r="B165" s="208" t="s">
        <v>51</v>
      </c>
      <c r="C165" s="185"/>
      <c r="D165" s="185"/>
      <c r="E165" s="185"/>
      <c r="F165" s="185"/>
      <c r="G165" s="185"/>
      <c r="H165" s="185"/>
      <c r="I165" s="185"/>
      <c r="J165" s="185"/>
      <c r="K165" s="185"/>
      <c r="L165" s="185"/>
      <c r="M165" s="185"/>
      <c r="N165" s="185"/>
      <c r="O165" s="185"/>
      <c r="P165" s="185"/>
      <c r="Q165" s="185"/>
      <c r="R165" s="185"/>
      <c r="S165" s="185"/>
      <c r="T165" s="185"/>
      <c r="U165" s="185"/>
      <c r="V165" s="209"/>
      <c r="W165" s="185"/>
      <c r="X165" s="5"/>
    </row>
    <row r="166" spans="1:256" ht="15.6" x14ac:dyDescent="0.3">
      <c r="A166" s="287"/>
      <c r="B166" s="288" t="s">
        <v>52</v>
      </c>
      <c r="C166" s="288"/>
      <c r="D166" s="288"/>
      <c r="E166" s="288"/>
      <c r="F166" s="288"/>
      <c r="G166" s="288"/>
      <c r="H166" s="288"/>
      <c r="I166" s="288"/>
      <c r="J166" s="288"/>
      <c r="K166" s="288"/>
      <c r="L166" s="288"/>
      <c r="M166" s="288"/>
      <c r="N166" s="288"/>
      <c r="O166" s="288"/>
      <c r="P166" s="288"/>
      <c r="Q166" s="288"/>
      <c r="R166" s="288"/>
      <c r="S166" s="288"/>
      <c r="T166" s="288"/>
      <c r="U166" s="288"/>
      <c r="V166" s="338">
        <v>0</v>
      </c>
      <c r="W166" s="291"/>
      <c r="X166" s="5"/>
    </row>
    <row r="167" spans="1:256" ht="15.6" x14ac:dyDescent="0.3">
      <c r="A167" s="287"/>
      <c r="B167" s="288" t="s">
        <v>53</v>
      </c>
      <c r="C167" s="288"/>
      <c r="D167" s="288"/>
      <c r="E167" s="288"/>
      <c r="F167" s="288"/>
      <c r="G167" s="288"/>
      <c r="H167" s="288"/>
      <c r="I167" s="288"/>
      <c r="J167" s="288"/>
      <c r="K167" s="288"/>
      <c r="L167" s="288"/>
      <c r="M167" s="288"/>
      <c r="N167" s="288"/>
      <c r="O167" s="288"/>
      <c r="P167" s="288"/>
      <c r="Q167" s="288"/>
      <c r="R167" s="288"/>
      <c r="S167" s="288"/>
      <c r="T167" s="288"/>
      <c r="U167" s="288"/>
      <c r="V167" s="338">
        <v>194</v>
      </c>
      <c r="W167" s="291"/>
      <c r="X167" s="5"/>
    </row>
    <row r="168" spans="1:256" ht="15.6" x14ac:dyDescent="0.3">
      <c r="A168" s="287"/>
      <c r="B168" s="288" t="s">
        <v>54</v>
      </c>
      <c r="C168" s="288"/>
      <c r="D168" s="288"/>
      <c r="E168" s="288"/>
      <c r="F168" s="288"/>
      <c r="G168" s="288"/>
      <c r="H168" s="288"/>
      <c r="I168" s="288"/>
      <c r="J168" s="288"/>
      <c r="K168" s="288"/>
      <c r="L168" s="288"/>
      <c r="M168" s="288"/>
      <c r="N168" s="288"/>
      <c r="O168" s="288"/>
      <c r="P168" s="288"/>
      <c r="Q168" s="288"/>
      <c r="R168" s="288"/>
      <c r="S168" s="288"/>
      <c r="T168" s="288"/>
      <c r="U168" s="288"/>
      <c r="V168" s="338">
        <f>V167+V166</f>
        <v>194</v>
      </c>
      <c r="W168" s="291"/>
      <c r="X168" s="5"/>
    </row>
    <row r="169" spans="1:256" ht="15.6" x14ac:dyDescent="0.3">
      <c r="A169" s="287"/>
      <c r="B169" s="288" t="s">
        <v>315</v>
      </c>
      <c r="C169" s="288"/>
      <c r="D169" s="288"/>
      <c r="E169" s="288"/>
      <c r="F169" s="288"/>
      <c r="G169" s="288"/>
      <c r="H169" s="288"/>
      <c r="I169" s="288"/>
      <c r="J169" s="288"/>
      <c r="K169" s="288"/>
      <c r="L169" s="288"/>
      <c r="M169" s="288"/>
      <c r="N169" s="288"/>
      <c r="O169" s="288"/>
      <c r="P169" s="288"/>
      <c r="Q169" s="288"/>
      <c r="R169" s="288"/>
      <c r="S169" s="288"/>
      <c r="T169" s="288"/>
      <c r="U169" s="288"/>
      <c r="V169" s="338">
        <f>V115</f>
        <v>-194</v>
      </c>
      <c r="W169" s="291"/>
      <c r="X169" s="5"/>
    </row>
    <row r="170" spans="1:256" ht="15.6" x14ac:dyDescent="0.3">
      <c r="A170" s="287"/>
      <c r="B170" s="288" t="s">
        <v>55</v>
      </c>
      <c r="C170" s="288"/>
      <c r="D170" s="288"/>
      <c r="E170" s="288"/>
      <c r="F170" s="288"/>
      <c r="G170" s="288"/>
      <c r="H170" s="288"/>
      <c r="I170" s="288"/>
      <c r="J170" s="288"/>
      <c r="K170" s="288"/>
      <c r="L170" s="288"/>
      <c r="M170" s="288"/>
      <c r="N170" s="288"/>
      <c r="O170" s="288"/>
      <c r="P170" s="288"/>
      <c r="Q170" s="288"/>
      <c r="R170" s="288"/>
      <c r="S170" s="288"/>
      <c r="T170" s="288"/>
      <c r="U170" s="288"/>
      <c r="V170" s="338">
        <f>V168+V169</f>
        <v>0</v>
      </c>
      <c r="W170" s="291"/>
      <c r="X170" s="5"/>
    </row>
    <row r="171" spans="1:256" ht="15.6" x14ac:dyDescent="0.3">
      <c r="A171" s="287"/>
      <c r="B171" s="288" t="s">
        <v>283</v>
      </c>
      <c r="C171" s="288"/>
      <c r="D171" s="288"/>
      <c r="E171" s="288"/>
      <c r="F171" s="288"/>
      <c r="G171" s="288"/>
      <c r="H171" s="288"/>
      <c r="I171" s="288"/>
      <c r="J171" s="288"/>
      <c r="K171" s="288"/>
      <c r="L171" s="288"/>
      <c r="M171" s="288"/>
      <c r="N171" s="288"/>
      <c r="O171" s="288"/>
      <c r="P171" s="288"/>
      <c r="Q171" s="288"/>
      <c r="R171" s="288"/>
      <c r="S171" s="288"/>
      <c r="T171" s="288"/>
      <c r="U171" s="288"/>
      <c r="V171" s="338">
        <v>0</v>
      </c>
      <c r="W171" s="291"/>
      <c r="X171" s="5"/>
    </row>
    <row r="172" spans="1:256" ht="16.2" thickBot="1" x14ac:dyDescent="0.35">
      <c r="A172" s="183"/>
      <c r="B172" s="284"/>
      <c r="C172" s="284"/>
      <c r="D172" s="284"/>
      <c r="E172" s="284"/>
      <c r="F172" s="284"/>
      <c r="G172" s="284"/>
      <c r="H172" s="284"/>
      <c r="I172" s="284"/>
      <c r="J172" s="284"/>
      <c r="K172" s="284"/>
      <c r="L172" s="284"/>
      <c r="M172" s="284"/>
      <c r="N172" s="284"/>
      <c r="O172" s="284"/>
      <c r="P172" s="284"/>
      <c r="Q172" s="284"/>
      <c r="R172" s="284"/>
      <c r="S172" s="284"/>
      <c r="T172" s="284"/>
      <c r="U172" s="284"/>
      <c r="V172" s="349"/>
      <c r="W172" s="284"/>
      <c r="X172" s="5"/>
    </row>
    <row r="173" spans="1:256" ht="15.6" x14ac:dyDescent="0.3">
      <c r="A173" s="180"/>
      <c r="B173" s="247"/>
      <c r="C173" s="247"/>
      <c r="D173" s="247"/>
      <c r="E173" s="247"/>
      <c r="F173" s="247"/>
      <c r="G173" s="247"/>
      <c r="H173" s="247"/>
      <c r="I173" s="247"/>
      <c r="J173" s="247"/>
      <c r="K173" s="247"/>
      <c r="L173" s="247"/>
      <c r="M173" s="247"/>
      <c r="N173" s="247"/>
      <c r="O173" s="247"/>
      <c r="P173" s="247"/>
      <c r="Q173" s="247"/>
      <c r="R173" s="247"/>
      <c r="S173" s="247"/>
      <c r="T173" s="247"/>
      <c r="U173" s="247"/>
      <c r="V173" s="248"/>
      <c r="W173" s="247"/>
      <c r="X173" s="5"/>
    </row>
    <row r="174" spans="1:256" s="161" customFormat="1" ht="15.6" x14ac:dyDescent="0.3">
      <c r="A174" s="183"/>
      <c r="B174" s="208" t="s">
        <v>269</v>
      </c>
      <c r="C174" s="198"/>
      <c r="D174" s="198"/>
      <c r="E174" s="198"/>
      <c r="F174" s="198"/>
      <c r="G174" s="198"/>
      <c r="H174" s="198"/>
      <c r="I174" s="198"/>
      <c r="J174" s="198"/>
      <c r="K174" s="198"/>
      <c r="L174" s="198"/>
      <c r="M174" s="198"/>
      <c r="N174" s="198"/>
      <c r="O174" s="198"/>
      <c r="P174" s="198"/>
      <c r="Q174" s="198"/>
      <c r="R174" s="198"/>
      <c r="S174" s="198"/>
      <c r="T174" s="198"/>
      <c r="U174" s="198"/>
      <c r="V174" s="210"/>
      <c r="W174" s="198"/>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5.6" x14ac:dyDescent="0.3">
      <c r="A175" s="287"/>
      <c r="B175" s="288" t="s">
        <v>270</v>
      </c>
      <c r="C175" s="288"/>
      <c r="D175" s="288"/>
      <c r="E175" s="288"/>
      <c r="F175" s="288"/>
      <c r="G175" s="288"/>
      <c r="H175" s="288"/>
      <c r="I175" s="288"/>
      <c r="J175" s="288"/>
      <c r="K175" s="288"/>
      <c r="L175" s="288"/>
      <c r="M175" s="288"/>
      <c r="N175" s="288"/>
      <c r="O175" s="288"/>
      <c r="P175" s="288"/>
      <c r="Q175" s="288"/>
      <c r="R175" s="288"/>
      <c r="S175" s="288"/>
      <c r="T175" s="288"/>
      <c r="U175" s="288"/>
      <c r="V175" s="338">
        <f>+'Aug 08'!V177</f>
        <v>0</v>
      </c>
      <c r="W175" s="291"/>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3" customFormat="1" ht="15.6" x14ac:dyDescent="0.3">
      <c r="A176" s="287"/>
      <c r="B176" s="288" t="s">
        <v>273</v>
      </c>
      <c r="C176" s="288"/>
      <c r="D176" s="288"/>
      <c r="E176" s="288"/>
      <c r="F176" s="288"/>
      <c r="G176" s="288"/>
      <c r="H176" s="288"/>
      <c r="I176" s="288"/>
      <c r="J176" s="288"/>
      <c r="K176" s="288"/>
      <c r="L176" s="288"/>
      <c r="M176" s="288"/>
      <c r="N176" s="288"/>
      <c r="O176" s="288"/>
      <c r="P176" s="288"/>
      <c r="Q176" s="288"/>
      <c r="R176" s="288"/>
      <c r="S176" s="288"/>
      <c r="T176" s="288"/>
      <c r="U176" s="288"/>
      <c r="V176" s="338">
        <f>+V94</f>
        <v>0</v>
      </c>
      <c r="W176" s="291"/>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s="163" customFormat="1" ht="15.6" x14ac:dyDescent="0.3">
      <c r="A177" s="287"/>
      <c r="B177" s="288" t="s">
        <v>271</v>
      </c>
      <c r="C177" s="288"/>
      <c r="D177" s="288"/>
      <c r="E177" s="288"/>
      <c r="F177" s="288"/>
      <c r="G177" s="288"/>
      <c r="H177" s="288"/>
      <c r="I177" s="288"/>
      <c r="J177" s="288"/>
      <c r="K177" s="288"/>
      <c r="L177" s="288"/>
      <c r="M177" s="288"/>
      <c r="N177" s="288"/>
      <c r="O177" s="288"/>
      <c r="P177" s="288"/>
      <c r="Q177" s="288"/>
      <c r="R177" s="288"/>
      <c r="S177" s="288"/>
      <c r="T177" s="288"/>
      <c r="U177" s="288"/>
      <c r="V177" s="338">
        <f>+V175-V176</f>
        <v>0</v>
      </c>
      <c r="W177" s="291"/>
      <c r="X177" s="5"/>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s="166" customFormat="1" ht="16.2" thickBot="1" x14ac:dyDescent="0.35">
      <c r="A178" s="199"/>
      <c r="B178" s="198"/>
      <c r="C178" s="198"/>
      <c r="D178" s="198"/>
      <c r="E178" s="198"/>
      <c r="F178" s="198"/>
      <c r="G178" s="198"/>
      <c r="H178" s="198"/>
      <c r="I178" s="198"/>
      <c r="J178" s="198"/>
      <c r="K178" s="198"/>
      <c r="L178" s="198"/>
      <c r="M178" s="198"/>
      <c r="N178" s="198"/>
      <c r="O178" s="198"/>
      <c r="P178" s="198"/>
      <c r="Q178" s="198"/>
      <c r="R178" s="198"/>
      <c r="S178" s="198"/>
      <c r="T178" s="198"/>
      <c r="U178" s="198"/>
      <c r="V178" s="347"/>
      <c r="W178" s="198"/>
      <c r="X178" s="5"/>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s="167" customFormat="1" ht="15.6" x14ac:dyDescent="0.3">
      <c r="A179" s="180"/>
      <c r="B179" s="181"/>
      <c r="C179" s="181"/>
      <c r="D179" s="181"/>
      <c r="E179" s="181"/>
      <c r="F179" s="181"/>
      <c r="G179" s="181"/>
      <c r="H179" s="181"/>
      <c r="I179" s="181"/>
      <c r="J179" s="181"/>
      <c r="K179" s="181"/>
      <c r="L179" s="181"/>
      <c r="M179" s="181"/>
      <c r="N179" s="181"/>
      <c r="O179" s="181"/>
      <c r="P179" s="181"/>
      <c r="Q179" s="181"/>
      <c r="R179" s="181"/>
      <c r="S179" s="181"/>
      <c r="T179" s="181"/>
      <c r="U179" s="181"/>
      <c r="V179" s="200"/>
      <c r="W179" s="181"/>
      <c r="X179" s="5"/>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ht="15.6" x14ac:dyDescent="0.3">
      <c r="A180" s="183"/>
      <c r="B180" s="208" t="s">
        <v>56</v>
      </c>
      <c r="C180" s="185"/>
      <c r="D180" s="185"/>
      <c r="E180" s="185"/>
      <c r="F180" s="185"/>
      <c r="G180" s="185"/>
      <c r="H180" s="185"/>
      <c r="I180" s="185"/>
      <c r="J180" s="185"/>
      <c r="K180" s="185"/>
      <c r="L180" s="185"/>
      <c r="M180" s="185"/>
      <c r="N180" s="185"/>
      <c r="O180" s="185"/>
      <c r="P180" s="185"/>
      <c r="Q180" s="185"/>
      <c r="R180" s="185"/>
      <c r="S180" s="185"/>
      <c r="T180" s="185"/>
      <c r="U180" s="185"/>
      <c r="V180" s="201"/>
      <c r="W180" s="185"/>
      <c r="X180" s="5"/>
    </row>
    <row r="181" spans="1:256" ht="15.6" x14ac:dyDescent="0.3">
      <c r="A181" s="183"/>
      <c r="B181" s="195"/>
      <c r="C181" s="185"/>
      <c r="D181" s="185"/>
      <c r="E181" s="185"/>
      <c r="F181" s="185"/>
      <c r="G181" s="185"/>
      <c r="H181" s="185"/>
      <c r="I181" s="185"/>
      <c r="J181" s="185"/>
      <c r="K181" s="185"/>
      <c r="L181" s="185"/>
      <c r="M181" s="185"/>
      <c r="N181" s="185"/>
      <c r="O181" s="185"/>
      <c r="P181" s="185"/>
      <c r="Q181" s="185"/>
      <c r="R181" s="185"/>
      <c r="S181" s="185"/>
      <c r="T181" s="185"/>
      <c r="U181" s="185"/>
      <c r="V181" s="201"/>
      <c r="W181" s="185"/>
      <c r="X181" s="5"/>
    </row>
    <row r="182" spans="1:256" ht="15.6" x14ac:dyDescent="0.3">
      <c r="A182" s="287"/>
      <c r="B182" s="288" t="s">
        <v>57</v>
      </c>
      <c r="C182" s="288"/>
      <c r="D182" s="288"/>
      <c r="E182" s="288"/>
      <c r="F182" s="288"/>
      <c r="G182" s="288"/>
      <c r="H182" s="288"/>
      <c r="I182" s="288"/>
      <c r="J182" s="288"/>
      <c r="K182" s="288"/>
      <c r="L182" s="288"/>
      <c r="M182" s="288"/>
      <c r="N182" s="288"/>
      <c r="O182" s="288"/>
      <c r="P182" s="288"/>
      <c r="Q182" s="288"/>
      <c r="R182" s="288"/>
      <c r="S182" s="288"/>
      <c r="T182" s="288"/>
      <c r="U182" s="288"/>
      <c r="V182" s="338">
        <f>V71</f>
        <v>1151600</v>
      </c>
      <c r="W182" s="291"/>
      <c r="X182" s="5"/>
    </row>
    <row r="183" spans="1:256" ht="15.6" x14ac:dyDescent="0.3">
      <c r="A183" s="287"/>
      <c r="B183" s="288" t="s">
        <v>58</v>
      </c>
      <c r="C183" s="288"/>
      <c r="D183" s="288"/>
      <c r="E183" s="288"/>
      <c r="F183" s="288"/>
      <c r="G183" s="288"/>
      <c r="H183" s="288"/>
      <c r="I183" s="288"/>
      <c r="J183" s="288"/>
      <c r="K183" s="288"/>
      <c r="L183" s="288"/>
      <c r="M183" s="288"/>
      <c r="N183" s="288"/>
      <c r="O183" s="288"/>
      <c r="P183" s="288"/>
      <c r="Q183" s="288"/>
      <c r="R183" s="288"/>
      <c r="S183" s="288"/>
      <c r="T183" s="288"/>
      <c r="U183" s="288"/>
      <c r="V183" s="338">
        <f>V84</f>
        <v>1151600</v>
      </c>
      <c r="W183" s="291"/>
      <c r="X183" s="5"/>
    </row>
    <row r="184" spans="1:256" ht="16.2" thickBot="1" x14ac:dyDescent="0.35">
      <c r="A184" s="183"/>
      <c r="B184" s="198"/>
      <c r="C184" s="198"/>
      <c r="D184" s="198"/>
      <c r="E184" s="198"/>
      <c r="F184" s="198"/>
      <c r="G184" s="198"/>
      <c r="H184" s="198"/>
      <c r="I184" s="198"/>
      <c r="J184" s="198"/>
      <c r="K184" s="198"/>
      <c r="L184" s="198"/>
      <c r="M184" s="198"/>
      <c r="N184" s="198"/>
      <c r="O184" s="198"/>
      <c r="P184" s="198"/>
      <c r="Q184" s="198"/>
      <c r="R184" s="198"/>
      <c r="S184" s="198"/>
      <c r="T184" s="198"/>
      <c r="U184" s="198"/>
      <c r="V184" s="347"/>
      <c r="W184" s="198"/>
      <c r="X184" s="5"/>
    </row>
    <row r="185" spans="1:256" ht="15.6" x14ac:dyDescent="0.3">
      <c r="A185" s="180"/>
      <c r="B185" s="181"/>
      <c r="C185" s="181"/>
      <c r="D185" s="181"/>
      <c r="E185" s="181"/>
      <c r="F185" s="181"/>
      <c r="G185" s="181"/>
      <c r="H185" s="181"/>
      <c r="I185" s="181"/>
      <c r="J185" s="181"/>
      <c r="K185" s="181"/>
      <c r="L185" s="181"/>
      <c r="M185" s="181"/>
      <c r="N185" s="181"/>
      <c r="O185" s="181"/>
      <c r="P185" s="181"/>
      <c r="Q185" s="181"/>
      <c r="R185" s="181"/>
      <c r="S185" s="181"/>
      <c r="T185" s="181"/>
      <c r="U185" s="181"/>
      <c r="V185" s="200"/>
      <c r="W185" s="181"/>
      <c r="X185" s="5"/>
    </row>
    <row r="186" spans="1:256" ht="15.6" x14ac:dyDescent="0.3">
      <c r="A186" s="183"/>
      <c r="B186" s="208" t="s">
        <v>59</v>
      </c>
      <c r="C186" s="205"/>
      <c r="D186" s="205"/>
      <c r="E186" s="205"/>
      <c r="F186" s="205"/>
      <c r="G186" s="205"/>
      <c r="H186" s="211"/>
      <c r="I186" s="211"/>
      <c r="J186" s="211"/>
      <c r="K186" s="211"/>
      <c r="L186" s="211"/>
      <c r="M186" s="211"/>
      <c r="N186" s="211"/>
      <c r="O186" s="211"/>
      <c r="P186" s="211"/>
      <c r="Q186" s="211"/>
      <c r="R186" s="211"/>
      <c r="S186" s="211" t="s">
        <v>101</v>
      </c>
      <c r="T186" s="211" t="s">
        <v>176</v>
      </c>
      <c r="U186" s="187"/>
      <c r="V186" s="212" t="s">
        <v>114</v>
      </c>
      <c r="W186" s="213"/>
      <c r="X186" s="5"/>
    </row>
    <row r="187" spans="1:256" ht="15.6" x14ac:dyDescent="0.3">
      <c r="A187" s="287"/>
      <c r="B187" s="288" t="s">
        <v>60</v>
      </c>
      <c r="C187" s="288"/>
      <c r="D187" s="288"/>
      <c r="E187" s="288"/>
      <c r="F187" s="288"/>
      <c r="G187" s="288"/>
      <c r="H187" s="288"/>
      <c r="I187" s="288"/>
      <c r="J187" s="288"/>
      <c r="K187" s="288"/>
      <c r="L187" s="288"/>
      <c r="M187" s="288"/>
      <c r="N187" s="288"/>
      <c r="O187" s="288"/>
      <c r="P187" s="288"/>
      <c r="Q187" s="288"/>
      <c r="R187" s="288"/>
      <c r="S187" s="338">
        <f>+V34*0.16</f>
        <v>240044</v>
      </c>
      <c r="T187" s="325"/>
      <c r="U187" s="288"/>
      <c r="V187" s="338"/>
      <c r="W187" s="291"/>
      <c r="X187" s="5"/>
    </row>
    <row r="188" spans="1:256" ht="15.6" x14ac:dyDescent="0.3">
      <c r="A188" s="287"/>
      <c r="B188" s="288" t="s">
        <v>61</v>
      </c>
      <c r="C188" s="288"/>
      <c r="D188" s="288"/>
      <c r="E188" s="288"/>
      <c r="F188" s="288"/>
      <c r="G188" s="288"/>
      <c r="H188" s="288"/>
      <c r="I188" s="288"/>
      <c r="J188" s="288"/>
      <c r="K188" s="288"/>
      <c r="L188" s="288"/>
      <c r="M188" s="288"/>
      <c r="N188" s="288"/>
      <c r="O188" s="288"/>
      <c r="P188" s="288"/>
      <c r="Q188" s="288"/>
      <c r="R188" s="288"/>
      <c r="S188" s="338">
        <f>+'Nov 10'!S190</f>
        <v>23772</v>
      </c>
      <c r="T188" s="338">
        <f>+'Nov 10'!T190</f>
        <v>5970</v>
      </c>
      <c r="U188" s="288"/>
      <c r="V188" s="338">
        <f>S188+T188</f>
        <v>29742</v>
      </c>
      <c r="W188" s="291"/>
      <c r="X188" s="5"/>
    </row>
    <row r="189" spans="1:256" ht="15.6" x14ac:dyDescent="0.3">
      <c r="A189" s="287"/>
      <c r="B189" s="288" t="s">
        <v>62</v>
      </c>
      <c r="C189" s="288"/>
      <c r="D189" s="288"/>
      <c r="E189" s="288"/>
      <c r="F189" s="288"/>
      <c r="G189" s="288"/>
      <c r="H189" s="288"/>
      <c r="I189" s="288"/>
      <c r="J189" s="288"/>
      <c r="K189" s="288"/>
      <c r="L189" s="288"/>
      <c r="M189" s="288"/>
      <c r="N189" s="288"/>
      <c r="O189" s="288"/>
      <c r="P189" s="288"/>
      <c r="Q189" s="288"/>
      <c r="R189" s="288"/>
      <c r="S189" s="337">
        <v>62</v>
      </c>
      <c r="T189" s="337">
        <v>20</v>
      </c>
      <c r="U189" s="288"/>
      <c r="V189" s="338">
        <f>S189+T189</f>
        <v>82</v>
      </c>
      <c r="W189" s="291"/>
      <c r="X189" s="5"/>
    </row>
    <row r="190" spans="1:256" ht="15.6" x14ac:dyDescent="0.3">
      <c r="A190" s="287"/>
      <c r="B190" s="288" t="s">
        <v>63</v>
      </c>
      <c r="C190" s="288"/>
      <c r="D190" s="288"/>
      <c r="E190" s="288"/>
      <c r="F190" s="288"/>
      <c r="G190" s="288"/>
      <c r="H190" s="288"/>
      <c r="I190" s="288"/>
      <c r="J190" s="288"/>
      <c r="K190" s="288"/>
      <c r="L190" s="288"/>
      <c r="M190" s="288"/>
      <c r="N190" s="288"/>
      <c r="O190" s="288"/>
      <c r="P190" s="288"/>
      <c r="Q190" s="288"/>
      <c r="R190" s="288"/>
      <c r="S190" s="338">
        <f>S188+S189</f>
        <v>23834</v>
      </c>
      <c r="T190" s="338">
        <f>T189+T188</f>
        <v>5990</v>
      </c>
      <c r="U190" s="288"/>
      <c r="V190" s="338">
        <f>S190+T190</f>
        <v>29824</v>
      </c>
      <c r="W190" s="291"/>
      <c r="X190" s="5"/>
    </row>
    <row r="191" spans="1:256" ht="15.6" x14ac:dyDescent="0.3">
      <c r="A191" s="287"/>
      <c r="B191" s="288" t="s">
        <v>64</v>
      </c>
      <c r="C191" s="288"/>
      <c r="D191" s="288"/>
      <c r="E191" s="288"/>
      <c r="F191" s="288"/>
      <c r="G191" s="288"/>
      <c r="H191" s="288"/>
      <c r="I191" s="288"/>
      <c r="J191" s="288"/>
      <c r="K191" s="288"/>
      <c r="L191" s="288"/>
      <c r="M191" s="288"/>
      <c r="N191" s="288"/>
      <c r="O191" s="288"/>
      <c r="P191" s="288"/>
      <c r="Q191" s="288"/>
      <c r="R191" s="288"/>
      <c r="S191" s="338">
        <f>S187-S190-T190</f>
        <v>210220</v>
      </c>
      <c r="T191" s="325"/>
      <c r="U191" s="288"/>
      <c r="V191" s="338"/>
      <c r="W191" s="291"/>
      <c r="X191" s="5"/>
    </row>
    <row r="192" spans="1:256" ht="16.2" thickBot="1" x14ac:dyDescent="0.35">
      <c r="A192" s="183"/>
      <c r="B192" s="198"/>
      <c r="C192" s="198"/>
      <c r="D192" s="198"/>
      <c r="E192" s="198"/>
      <c r="F192" s="198"/>
      <c r="G192" s="198"/>
      <c r="H192" s="198"/>
      <c r="I192" s="198"/>
      <c r="J192" s="198"/>
      <c r="K192" s="198"/>
      <c r="L192" s="198"/>
      <c r="M192" s="198"/>
      <c r="N192" s="198"/>
      <c r="O192" s="198"/>
      <c r="P192" s="198"/>
      <c r="Q192" s="198"/>
      <c r="R192" s="198"/>
      <c r="S192" s="198"/>
      <c r="T192" s="198"/>
      <c r="U192" s="198"/>
      <c r="V192" s="347"/>
      <c r="W192" s="198"/>
      <c r="X192" s="5"/>
    </row>
    <row r="193" spans="1:24" ht="15.6" x14ac:dyDescent="0.3">
      <c r="A193" s="180"/>
      <c r="B193" s="181"/>
      <c r="C193" s="181"/>
      <c r="D193" s="181"/>
      <c r="E193" s="181"/>
      <c r="F193" s="181"/>
      <c r="G193" s="181"/>
      <c r="H193" s="181"/>
      <c r="I193" s="181"/>
      <c r="J193" s="181"/>
      <c r="K193" s="181"/>
      <c r="L193" s="181"/>
      <c r="M193" s="181"/>
      <c r="N193" s="181"/>
      <c r="O193" s="181"/>
      <c r="P193" s="181"/>
      <c r="Q193" s="181"/>
      <c r="R193" s="181"/>
      <c r="S193" s="181"/>
      <c r="T193" s="181"/>
      <c r="U193" s="181"/>
      <c r="V193" s="200"/>
      <c r="W193" s="181"/>
      <c r="X193" s="5"/>
    </row>
    <row r="194" spans="1:24" ht="15.6" x14ac:dyDescent="0.3">
      <c r="A194" s="183"/>
      <c r="B194" s="208" t="s">
        <v>65</v>
      </c>
      <c r="C194" s="185"/>
      <c r="D194" s="185"/>
      <c r="E194" s="185"/>
      <c r="F194" s="185"/>
      <c r="G194" s="185"/>
      <c r="H194" s="185"/>
      <c r="I194" s="185"/>
      <c r="J194" s="185"/>
      <c r="K194" s="185"/>
      <c r="L194" s="185"/>
      <c r="M194" s="185"/>
      <c r="N194" s="185"/>
      <c r="O194" s="185"/>
      <c r="P194" s="185"/>
      <c r="Q194" s="185"/>
      <c r="R194" s="185"/>
      <c r="S194" s="185"/>
      <c r="T194" s="185"/>
      <c r="U194" s="185"/>
      <c r="V194" s="214"/>
      <c r="W194" s="185"/>
      <c r="X194" s="5"/>
    </row>
    <row r="195" spans="1:24" ht="15.6" x14ac:dyDescent="0.3">
      <c r="A195" s="287"/>
      <c r="B195" s="288" t="s">
        <v>66</v>
      </c>
      <c r="C195" s="288"/>
      <c r="D195" s="288"/>
      <c r="E195" s="288"/>
      <c r="F195" s="288"/>
      <c r="G195" s="288"/>
      <c r="H195" s="288"/>
      <c r="I195" s="288"/>
      <c r="J195" s="288"/>
      <c r="K195" s="288"/>
      <c r="L195" s="288"/>
      <c r="M195" s="288"/>
      <c r="N195" s="288"/>
      <c r="O195" s="288"/>
      <c r="P195" s="288"/>
      <c r="Q195" s="288"/>
      <c r="R195" s="288"/>
      <c r="S195" s="288"/>
      <c r="T195" s="288"/>
      <c r="U195" s="288"/>
      <c r="V195" s="348">
        <f>(V101+V103+V104+V105+V106)/-(V107+V108)</f>
        <v>4.2953648915187372</v>
      </c>
      <c r="W195" s="291" t="s">
        <v>115</v>
      </c>
      <c r="X195" s="5"/>
    </row>
    <row r="196" spans="1:24" ht="15.6" x14ac:dyDescent="0.3">
      <c r="A196" s="287"/>
      <c r="B196" s="288" t="s">
        <v>67</v>
      </c>
      <c r="C196" s="288"/>
      <c r="D196" s="288"/>
      <c r="E196" s="288"/>
      <c r="F196" s="288"/>
      <c r="G196" s="288"/>
      <c r="H196" s="288"/>
      <c r="I196" s="288"/>
      <c r="J196" s="288"/>
      <c r="K196" s="288"/>
      <c r="L196" s="288"/>
      <c r="M196" s="288"/>
      <c r="N196" s="288"/>
      <c r="O196" s="288"/>
      <c r="P196" s="288"/>
      <c r="Q196" s="288"/>
      <c r="R196" s="288"/>
      <c r="S196" s="288"/>
      <c r="T196" s="288"/>
      <c r="U196" s="288"/>
      <c r="V196" s="350">
        <v>1.59</v>
      </c>
      <c r="W196" s="291" t="s">
        <v>115</v>
      </c>
      <c r="X196" s="5"/>
    </row>
    <row r="197" spans="1:24" ht="15.6" x14ac:dyDescent="0.3">
      <c r="A197" s="287"/>
      <c r="B197" s="288" t="s">
        <v>68</v>
      </c>
      <c r="C197" s="288"/>
      <c r="D197" s="288"/>
      <c r="E197" s="288"/>
      <c r="F197" s="288"/>
      <c r="G197" s="288"/>
      <c r="H197" s="288"/>
      <c r="I197" s="288"/>
      <c r="J197" s="288"/>
      <c r="K197" s="288"/>
      <c r="L197" s="288"/>
      <c r="M197" s="288"/>
      <c r="N197" s="288"/>
      <c r="O197" s="288"/>
      <c r="P197" s="288"/>
      <c r="Q197" s="288"/>
      <c r="R197" s="288"/>
      <c r="S197" s="288"/>
      <c r="T197" s="288"/>
      <c r="U197" s="288"/>
      <c r="V197" s="348">
        <f>(V101+V103+V104+V105+V106+V107+V108)/-(V110+V111)</f>
        <v>25.507633587786259</v>
      </c>
      <c r="W197" s="291" t="s">
        <v>115</v>
      </c>
      <c r="X197" s="5"/>
    </row>
    <row r="198" spans="1:24" ht="15.6" x14ac:dyDescent="0.3">
      <c r="A198" s="287"/>
      <c r="B198" s="288" t="s">
        <v>69</v>
      </c>
      <c r="C198" s="288"/>
      <c r="D198" s="288"/>
      <c r="E198" s="288"/>
      <c r="F198" s="288"/>
      <c r="G198" s="288"/>
      <c r="H198" s="288"/>
      <c r="I198" s="288"/>
      <c r="J198" s="288"/>
      <c r="K198" s="288"/>
      <c r="L198" s="288"/>
      <c r="M198" s="288"/>
      <c r="N198" s="288"/>
      <c r="O198" s="288"/>
      <c r="P198" s="288"/>
      <c r="Q198" s="288"/>
      <c r="R198" s="288"/>
      <c r="S198" s="288"/>
      <c r="T198" s="288"/>
      <c r="U198" s="288"/>
      <c r="V198" s="350">
        <v>5.94</v>
      </c>
      <c r="W198" s="291" t="s">
        <v>115</v>
      </c>
      <c r="X198" s="5"/>
    </row>
    <row r="199" spans="1:24" ht="15.6" x14ac:dyDescent="0.3">
      <c r="A199" s="287"/>
      <c r="B199" s="288" t="s">
        <v>198</v>
      </c>
      <c r="C199" s="288"/>
      <c r="D199" s="288"/>
      <c r="E199" s="288"/>
      <c r="F199" s="288"/>
      <c r="G199" s="288"/>
      <c r="H199" s="288"/>
      <c r="I199" s="288"/>
      <c r="J199" s="288"/>
      <c r="K199" s="288"/>
      <c r="L199" s="288"/>
      <c r="M199" s="288"/>
      <c r="N199" s="288"/>
      <c r="O199" s="288"/>
      <c r="P199" s="288"/>
      <c r="Q199" s="288"/>
      <c r="R199" s="288"/>
      <c r="S199" s="288"/>
      <c r="T199" s="288"/>
      <c r="U199" s="288"/>
      <c r="V199" s="348">
        <f>(V101+V103+V104+V105+V106+V107+V108+V110+V111)/-(V112+V113)</f>
        <v>19.696319018404907</v>
      </c>
      <c r="W199" s="291" t="s">
        <v>115</v>
      </c>
      <c r="X199" s="5"/>
    </row>
    <row r="200" spans="1:24" ht="15.6" x14ac:dyDescent="0.3">
      <c r="A200" s="287"/>
      <c r="B200" s="288" t="s">
        <v>199</v>
      </c>
      <c r="C200" s="288"/>
      <c r="D200" s="288"/>
      <c r="E200" s="288"/>
      <c r="F200" s="288"/>
      <c r="G200" s="288"/>
      <c r="H200" s="288"/>
      <c r="I200" s="288"/>
      <c r="J200" s="288"/>
      <c r="K200" s="288"/>
      <c r="L200" s="288"/>
      <c r="M200" s="288"/>
      <c r="N200" s="288"/>
      <c r="O200" s="288"/>
      <c r="P200" s="288"/>
      <c r="Q200" s="288"/>
      <c r="R200" s="288"/>
      <c r="S200" s="288"/>
      <c r="T200" s="288"/>
      <c r="U200" s="288"/>
      <c r="V200" s="350">
        <v>4.6399999999999997</v>
      </c>
      <c r="W200" s="291" t="s">
        <v>115</v>
      </c>
      <c r="X200" s="5"/>
    </row>
    <row r="201" spans="1:24" ht="15.6" x14ac:dyDescent="0.3">
      <c r="A201" s="287"/>
      <c r="B201" s="314"/>
      <c r="C201" s="314"/>
      <c r="D201" s="314"/>
      <c r="E201" s="314"/>
      <c r="F201" s="314"/>
      <c r="G201" s="314"/>
      <c r="H201" s="314"/>
      <c r="I201" s="314"/>
      <c r="J201" s="314"/>
      <c r="K201" s="314"/>
      <c r="L201" s="314"/>
      <c r="M201" s="314"/>
      <c r="N201" s="314"/>
      <c r="O201" s="314"/>
      <c r="P201" s="314"/>
      <c r="Q201" s="314"/>
      <c r="R201" s="314"/>
      <c r="S201" s="314"/>
      <c r="T201" s="314"/>
      <c r="U201" s="314"/>
      <c r="V201" s="314"/>
      <c r="W201" s="318"/>
      <c r="X201" s="5"/>
    </row>
    <row r="202" spans="1:24" ht="15.6" x14ac:dyDescent="0.3">
      <c r="A202" s="183"/>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5"/>
    </row>
    <row r="203" spans="1:24" ht="15.6" x14ac:dyDescent="0.3">
      <c r="A203" s="183"/>
      <c r="B203" s="185"/>
      <c r="C203" s="185"/>
      <c r="D203" s="185"/>
      <c r="E203" s="185"/>
      <c r="F203" s="185"/>
      <c r="G203" s="185"/>
      <c r="H203" s="185"/>
      <c r="I203" s="185"/>
      <c r="J203" s="185"/>
      <c r="K203" s="185"/>
      <c r="L203" s="185"/>
      <c r="M203" s="185"/>
      <c r="N203" s="185"/>
      <c r="O203" s="185"/>
      <c r="P203" s="185"/>
      <c r="Q203" s="185"/>
      <c r="R203" s="185"/>
      <c r="S203" s="185"/>
      <c r="T203" s="185"/>
      <c r="U203" s="185"/>
      <c r="V203" s="185"/>
      <c r="W203" s="185"/>
      <c r="X203" s="5"/>
    </row>
    <row r="204" spans="1:24" ht="18" thickBot="1" x14ac:dyDescent="0.35">
      <c r="A204" s="199"/>
      <c r="B204" s="237" t="str">
        <f>B138</f>
        <v>PM14 INVESTOR REPORT QUARTER ENDING FEBRUARY 2011</v>
      </c>
      <c r="C204" s="215"/>
      <c r="D204" s="215"/>
      <c r="E204" s="215"/>
      <c r="F204" s="215"/>
      <c r="G204" s="215"/>
      <c r="H204" s="215"/>
      <c r="I204" s="215"/>
      <c r="J204" s="215"/>
      <c r="K204" s="215"/>
      <c r="L204" s="215"/>
      <c r="M204" s="215"/>
      <c r="N204" s="215"/>
      <c r="O204" s="215"/>
      <c r="P204" s="215"/>
      <c r="Q204" s="215"/>
      <c r="R204" s="215"/>
      <c r="S204" s="215"/>
      <c r="T204" s="215"/>
      <c r="U204" s="215"/>
      <c r="V204" s="215"/>
      <c r="W204" s="216"/>
      <c r="X204" s="5"/>
    </row>
    <row r="205" spans="1:24" ht="15.6" x14ac:dyDescent="0.3">
      <c r="A205" s="273"/>
      <c r="B205" s="397" t="s">
        <v>70</v>
      </c>
      <c r="C205" s="276"/>
      <c r="D205" s="276"/>
      <c r="E205" s="276"/>
      <c r="F205" s="276"/>
      <c r="G205" s="277"/>
      <c r="H205" s="277"/>
      <c r="I205" s="277"/>
      <c r="J205" s="277"/>
      <c r="K205" s="277"/>
      <c r="L205" s="277"/>
      <c r="M205" s="277"/>
      <c r="N205" s="277"/>
      <c r="O205" s="277"/>
      <c r="P205" s="277"/>
      <c r="Q205" s="277"/>
      <c r="R205" s="277"/>
      <c r="S205" s="277"/>
      <c r="T205" s="277">
        <v>40602</v>
      </c>
      <c r="U205" s="274"/>
      <c r="V205" s="274"/>
      <c r="W205" s="274"/>
      <c r="X205" s="5"/>
    </row>
    <row r="206" spans="1:24" ht="15.6" x14ac:dyDescent="0.3">
      <c r="A206" s="217"/>
      <c r="B206" s="230"/>
      <c r="C206" s="249"/>
      <c r="D206" s="249"/>
      <c r="E206" s="249"/>
      <c r="F206" s="249"/>
      <c r="G206" s="229"/>
      <c r="H206" s="229"/>
      <c r="I206" s="229"/>
      <c r="J206" s="229"/>
      <c r="K206" s="229"/>
      <c r="L206" s="229"/>
      <c r="M206" s="229"/>
      <c r="N206" s="229"/>
      <c r="O206" s="229"/>
      <c r="P206" s="229"/>
      <c r="Q206" s="229"/>
      <c r="R206" s="229"/>
      <c r="S206" s="229"/>
      <c r="T206" s="229"/>
      <c r="U206" s="224"/>
      <c r="V206" s="224"/>
      <c r="W206" s="224"/>
      <c r="X206" s="5"/>
    </row>
    <row r="207" spans="1:24" ht="15.6" x14ac:dyDescent="0.3">
      <c r="A207" s="352"/>
      <c r="B207" s="288" t="s">
        <v>71</v>
      </c>
      <c r="C207" s="353"/>
      <c r="D207" s="353"/>
      <c r="E207" s="353"/>
      <c r="F207" s="353"/>
      <c r="G207" s="330"/>
      <c r="H207" s="330"/>
      <c r="I207" s="330"/>
      <c r="J207" s="330"/>
      <c r="K207" s="330"/>
      <c r="L207" s="330"/>
      <c r="M207" s="330"/>
      <c r="N207" s="330"/>
      <c r="O207" s="330"/>
      <c r="P207" s="330"/>
      <c r="Q207" s="330"/>
      <c r="R207" s="330"/>
      <c r="S207" s="330"/>
      <c r="T207" s="321">
        <v>5.2819999999999999E-2</v>
      </c>
      <c r="U207" s="288"/>
      <c r="V207" s="288"/>
      <c r="W207" s="291"/>
      <c r="X207" s="5"/>
    </row>
    <row r="208" spans="1:24" ht="15.6" x14ac:dyDescent="0.3">
      <c r="A208" s="352"/>
      <c r="B208" s="288" t="s">
        <v>151</v>
      </c>
      <c r="C208" s="353"/>
      <c r="D208" s="353"/>
      <c r="E208" s="353"/>
      <c r="F208" s="353"/>
      <c r="G208" s="330"/>
      <c r="H208" s="330"/>
      <c r="I208" s="330"/>
      <c r="J208" s="330"/>
      <c r="K208" s="330"/>
      <c r="L208" s="330"/>
      <c r="M208" s="330"/>
      <c r="N208" s="330"/>
      <c r="O208" s="330"/>
      <c r="P208" s="330"/>
      <c r="Q208" s="330"/>
      <c r="R208" s="330"/>
      <c r="S208" s="330"/>
      <c r="T208" s="321">
        <v>5.7799999999999997E-2</v>
      </c>
      <c r="U208" s="288"/>
      <c r="V208" s="288"/>
      <c r="W208" s="291"/>
      <c r="X208" s="5"/>
    </row>
    <row r="209" spans="1:24" ht="15.6" x14ac:dyDescent="0.3">
      <c r="A209" s="352"/>
      <c r="B209" s="288" t="s">
        <v>72</v>
      </c>
      <c r="C209" s="353"/>
      <c r="D209" s="353"/>
      <c r="E209" s="353"/>
      <c r="F209" s="353"/>
      <c r="G209" s="330"/>
      <c r="H209" s="330"/>
      <c r="I209" s="330"/>
      <c r="J209" s="330"/>
      <c r="K209" s="330"/>
      <c r="L209" s="330"/>
      <c r="M209" s="330"/>
      <c r="N209" s="330"/>
      <c r="O209" s="330"/>
      <c r="P209" s="330"/>
      <c r="Q209" s="330"/>
      <c r="R209" s="330"/>
      <c r="S209" s="330"/>
      <c r="T209" s="321">
        <f>T207-T208</f>
        <v>-4.9799999999999983E-3</v>
      </c>
      <c r="U209" s="288"/>
      <c r="V209" s="288"/>
      <c r="W209" s="291"/>
      <c r="X209" s="5"/>
    </row>
    <row r="210" spans="1:24" ht="15.6" x14ac:dyDescent="0.3">
      <c r="A210" s="352"/>
      <c r="B210" s="288" t="s">
        <v>73</v>
      </c>
      <c r="C210" s="353"/>
      <c r="D210" s="353"/>
      <c r="E210" s="353"/>
      <c r="F210" s="353"/>
      <c r="G210" s="330"/>
      <c r="H210" s="330"/>
      <c r="I210" s="330"/>
      <c r="J210" s="330"/>
      <c r="K210" s="330"/>
      <c r="L210" s="330"/>
      <c r="M210" s="330"/>
      <c r="N210" s="330"/>
      <c r="O210" s="330"/>
      <c r="P210" s="330"/>
      <c r="Q210" s="330"/>
      <c r="R210" s="330"/>
      <c r="S210" s="330"/>
      <c r="T210" s="321">
        <v>2.545E-2</v>
      </c>
      <c r="U210" s="288"/>
      <c r="V210" s="288"/>
      <c r="W210" s="291"/>
      <c r="X210" s="5"/>
    </row>
    <row r="211" spans="1:24" ht="15.6" x14ac:dyDescent="0.3">
      <c r="A211" s="352"/>
      <c r="B211" s="288" t="s">
        <v>219</v>
      </c>
      <c r="C211" s="353"/>
      <c r="D211" s="353"/>
      <c r="E211" s="353"/>
      <c r="F211" s="353"/>
      <c r="G211" s="330"/>
      <c r="H211" s="330"/>
      <c r="I211" s="330"/>
      <c r="J211" s="330"/>
      <c r="K211" s="330"/>
      <c r="L211" s="330"/>
      <c r="M211" s="330"/>
      <c r="N211" s="330"/>
      <c r="O211" s="330"/>
      <c r="P211" s="330"/>
      <c r="Q211" s="330"/>
      <c r="R211" s="330"/>
      <c r="S211" s="330"/>
      <c r="T211" s="321">
        <f>V43</f>
        <v>9.1290997913462939E-3</v>
      </c>
      <c r="U211" s="288"/>
      <c r="V211" s="288"/>
      <c r="W211" s="291"/>
      <c r="X211" s="5"/>
    </row>
    <row r="212" spans="1:24" ht="15.6" x14ac:dyDescent="0.3">
      <c r="A212" s="352"/>
      <c r="B212" s="288" t="s">
        <v>74</v>
      </c>
      <c r="C212" s="353"/>
      <c r="D212" s="353"/>
      <c r="E212" s="353"/>
      <c r="F212" s="353"/>
      <c r="G212" s="330"/>
      <c r="H212" s="330"/>
      <c r="I212" s="330"/>
      <c r="J212" s="330"/>
      <c r="K212" s="330"/>
      <c r="L212" s="330"/>
      <c r="M212" s="330"/>
      <c r="N212" s="330"/>
      <c r="O212" s="330"/>
      <c r="P212" s="330"/>
      <c r="Q212" s="330"/>
      <c r="R212" s="330"/>
      <c r="S212" s="330"/>
      <c r="T212" s="321">
        <f>T210-T211</f>
        <v>1.6320900208653705E-2</v>
      </c>
      <c r="U212" s="288"/>
      <c r="V212" s="288"/>
      <c r="W212" s="291"/>
      <c r="X212" s="5"/>
    </row>
    <row r="213" spans="1:24" ht="15.6" x14ac:dyDescent="0.3">
      <c r="A213" s="352"/>
      <c r="B213" s="288" t="s">
        <v>242</v>
      </c>
      <c r="C213" s="353"/>
      <c r="D213" s="353"/>
      <c r="E213" s="353"/>
      <c r="F213" s="353"/>
      <c r="G213" s="330"/>
      <c r="H213" s="330"/>
      <c r="I213" s="330"/>
      <c r="J213" s="330"/>
      <c r="K213" s="330"/>
      <c r="L213" s="330"/>
      <c r="M213" s="330"/>
      <c r="N213" s="330"/>
      <c r="O213" s="330"/>
      <c r="P213" s="330"/>
      <c r="Q213" s="330"/>
      <c r="R213" s="330"/>
      <c r="S213" s="330"/>
      <c r="T213" s="321">
        <f>V101/N71</f>
        <v>7.8954954799901906E-3</v>
      </c>
      <c r="U213" s="288"/>
      <c r="V213" s="288"/>
      <c r="W213" s="291"/>
      <c r="X213" s="5"/>
    </row>
    <row r="214" spans="1:24" ht="15.6" x14ac:dyDescent="0.3">
      <c r="A214" s="352"/>
      <c r="B214" s="288" t="s">
        <v>208</v>
      </c>
      <c r="C214" s="353"/>
      <c r="D214" s="353"/>
      <c r="E214" s="353"/>
      <c r="F214" s="353"/>
      <c r="G214" s="330"/>
      <c r="H214" s="330"/>
      <c r="I214" s="330"/>
      <c r="J214" s="330"/>
      <c r="K214" s="330"/>
      <c r="L214" s="330"/>
      <c r="M214" s="330"/>
      <c r="N214" s="330"/>
      <c r="O214" s="330"/>
      <c r="P214" s="330"/>
      <c r="Q214" s="330"/>
      <c r="R214" s="330"/>
      <c r="S214" s="330"/>
      <c r="T214" s="354">
        <v>51014</v>
      </c>
      <c r="U214" s="288"/>
      <c r="V214" s="288"/>
      <c r="W214" s="291"/>
      <c r="X214" s="5"/>
    </row>
    <row r="215" spans="1:24" ht="15.6" x14ac:dyDescent="0.3">
      <c r="A215" s="352"/>
      <c r="B215" s="288" t="s">
        <v>209</v>
      </c>
      <c r="C215" s="353"/>
      <c r="D215" s="353"/>
      <c r="E215" s="353"/>
      <c r="F215" s="353"/>
      <c r="G215" s="330"/>
      <c r="H215" s="330"/>
      <c r="I215" s="330"/>
      <c r="J215" s="330"/>
      <c r="K215" s="330"/>
      <c r="L215" s="330"/>
      <c r="M215" s="330"/>
      <c r="N215" s="330"/>
      <c r="O215" s="330"/>
      <c r="P215" s="330"/>
      <c r="Q215" s="330"/>
      <c r="R215" s="330"/>
      <c r="S215" s="330"/>
      <c r="T215" s="354">
        <v>51014</v>
      </c>
      <c r="U215" s="288"/>
      <c r="V215" s="288"/>
      <c r="W215" s="291"/>
      <c r="X215" s="5"/>
    </row>
    <row r="216" spans="1:24" ht="15.6" x14ac:dyDescent="0.3">
      <c r="A216" s="352"/>
      <c r="B216" s="288" t="s">
        <v>210</v>
      </c>
      <c r="C216" s="353"/>
      <c r="D216" s="353"/>
      <c r="E216" s="353"/>
      <c r="F216" s="353"/>
      <c r="G216" s="330"/>
      <c r="H216" s="330"/>
      <c r="I216" s="330"/>
      <c r="J216" s="330"/>
      <c r="K216" s="330"/>
      <c r="L216" s="330"/>
      <c r="M216" s="330"/>
      <c r="N216" s="330"/>
      <c r="O216" s="330"/>
      <c r="P216" s="330"/>
      <c r="Q216" s="330"/>
      <c r="R216" s="330"/>
      <c r="S216" s="330"/>
      <c r="T216" s="354">
        <v>51014</v>
      </c>
      <c r="U216" s="288"/>
      <c r="V216" s="288"/>
      <c r="W216" s="291"/>
      <c r="X216" s="5"/>
    </row>
    <row r="217" spans="1:24" ht="15.6" x14ac:dyDescent="0.3">
      <c r="A217" s="352"/>
      <c r="B217" s="288" t="s">
        <v>75</v>
      </c>
      <c r="C217" s="353"/>
      <c r="D217" s="353"/>
      <c r="E217" s="353"/>
      <c r="F217" s="353"/>
      <c r="G217" s="330"/>
      <c r="H217" s="330"/>
      <c r="I217" s="330"/>
      <c r="J217" s="330"/>
      <c r="K217" s="330"/>
      <c r="L217" s="330"/>
      <c r="M217" s="330"/>
      <c r="N217" s="330"/>
      <c r="O217" s="330"/>
      <c r="P217" s="330"/>
      <c r="Q217" s="330"/>
      <c r="R217" s="330"/>
      <c r="S217" s="330"/>
      <c r="T217" s="327">
        <v>20.66</v>
      </c>
      <c r="U217" s="288" t="s">
        <v>110</v>
      </c>
      <c r="V217" s="288"/>
      <c r="W217" s="291"/>
      <c r="X217" s="5"/>
    </row>
    <row r="218" spans="1:24" ht="15.6" x14ac:dyDescent="0.3">
      <c r="A218" s="352"/>
      <c r="B218" s="288" t="s">
        <v>76</v>
      </c>
      <c r="C218" s="353"/>
      <c r="D218" s="353"/>
      <c r="E218" s="353"/>
      <c r="F218" s="353"/>
      <c r="G218" s="330"/>
      <c r="H218" s="330"/>
      <c r="I218" s="330"/>
      <c r="J218" s="330"/>
      <c r="K218" s="330"/>
      <c r="L218" s="330"/>
      <c r="M218" s="330"/>
      <c r="N218" s="330"/>
      <c r="O218" s="330"/>
      <c r="P218" s="330"/>
      <c r="Q218" s="330"/>
      <c r="R218" s="330"/>
      <c r="S218" s="330"/>
      <c r="T218" s="327">
        <v>17.36</v>
      </c>
      <c r="U218" s="288" t="s">
        <v>110</v>
      </c>
      <c r="V218" s="288"/>
      <c r="W218" s="291"/>
      <c r="X218" s="5"/>
    </row>
    <row r="219" spans="1:24" ht="15.6" x14ac:dyDescent="0.3">
      <c r="A219" s="352"/>
      <c r="B219" s="288" t="s">
        <v>77</v>
      </c>
      <c r="C219" s="353"/>
      <c r="D219" s="353"/>
      <c r="E219" s="353"/>
      <c r="F219" s="353"/>
      <c r="G219" s="330"/>
      <c r="H219" s="330"/>
      <c r="I219" s="330"/>
      <c r="J219" s="330"/>
      <c r="K219" s="330"/>
      <c r="L219" s="330"/>
      <c r="M219" s="330"/>
      <c r="N219" s="330"/>
      <c r="O219" s="330"/>
      <c r="P219" s="330"/>
      <c r="Q219" s="330"/>
      <c r="R219" s="330"/>
      <c r="S219" s="330"/>
      <c r="T219" s="321">
        <f>+P68/N68</f>
        <v>9.1088631777325509E-3</v>
      </c>
      <c r="U219" s="288"/>
      <c r="V219" s="288"/>
      <c r="W219" s="291"/>
      <c r="X219" s="5"/>
    </row>
    <row r="220" spans="1:24" ht="15.6" x14ac:dyDescent="0.3">
      <c r="A220" s="352"/>
      <c r="B220" s="288" t="s">
        <v>78</v>
      </c>
      <c r="C220" s="353"/>
      <c r="D220" s="353"/>
      <c r="E220" s="353"/>
      <c r="F220" s="353"/>
      <c r="G220" s="330"/>
      <c r="H220" s="330"/>
      <c r="I220" s="330"/>
      <c r="J220" s="330"/>
      <c r="K220" s="330"/>
      <c r="L220" s="330"/>
      <c r="M220" s="330"/>
      <c r="N220" s="330"/>
      <c r="O220" s="330"/>
      <c r="P220" s="330"/>
      <c r="Q220" s="330"/>
      <c r="R220" s="330"/>
      <c r="S220" s="330"/>
      <c r="T220" s="321">
        <v>6.9800000000000001E-2</v>
      </c>
      <c r="U220" s="288"/>
      <c r="V220" s="288"/>
      <c r="W220" s="291"/>
      <c r="X220" s="5"/>
    </row>
    <row r="221" spans="1:24" ht="15.6" x14ac:dyDescent="0.3">
      <c r="A221" s="217"/>
      <c r="B221" s="284"/>
      <c r="C221" s="284"/>
      <c r="D221" s="284"/>
      <c r="E221" s="284"/>
      <c r="F221" s="284"/>
      <c r="G221" s="284"/>
      <c r="H221" s="284"/>
      <c r="I221" s="284"/>
      <c r="J221" s="284"/>
      <c r="K221" s="284"/>
      <c r="L221" s="284"/>
      <c r="M221" s="284"/>
      <c r="N221" s="284"/>
      <c r="O221" s="284"/>
      <c r="P221" s="284"/>
      <c r="Q221" s="284"/>
      <c r="R221" s="284"/>
      <c r="S221" s="284"/>
      <c r="T221" s="349"/>
      <c r="U221" s="284"/>
      <c r="V221" s="351"/>
      <c r="W221" s="284"/>
      <c r="X221" s="5"/>
    </row>
    <row r="222" spans="1:24" ht="15.6" x14ac:dyDescent="0.3">
      <c r="A222" s="278"/>
      <c r="B222" s="269" t="s">
        <v>79</v>
      </c>
      <c r="C222" s="270"/>
      <c r="D222" s="270"/>
      <c r="E222" s="270"/>
      <c r="F222" s="279"/>
      <c r="G222" s="270"/>
      <c r="H222" s="270"/>
      <c r="I222" s="270"/>
      <c r="J222" s="270"/>
      <c r="K222" s="270"/>
      <c r="L222" s="270"/>
      <c r="M222" s="270"/>
      <c r="N222" s="270"/>
      <c r="O222" s="270"/>
      <c r="P222" s="270"/>
      <c r="Q222" s="270"/>
      <c r="R222" s="270"/>
      <c r="S222" s="270" t="s">
        <v>102</v>
      </c>
      <c r="T222" s="279" t="s">
        <v>108</v>
      </c>
      <c r="U222" s="263"/>
      <c r="V222" s="263"/>
      <c r="W222" s="263"/>
      <c r="X222" s="5"/>
    </row>
    <row r="223" spans="1:24" ht="15.6" x14ac:dyDescent="0.3">
      <c r="A223" s="218"/>
      <c r="B223" s="231" t="s">
        <v>80</v>
      </c>
      <c r="C223" s="234"/>
      <c r="D223" s="234"/>
      <c r="E223" s="234"/>
      <c r="F223" s="231"/>
      <c r="G223" s="231"/>
      <c r="H223" s="233"/>
      <c r="I223" s="233"/>
      <c r="J223" s="233"/>
      <c r="K223" s="233"/>
      <c r="L223" s="233"/>
      <c r="M223" s="233"/>
      <c r="N223" s="233"/>
      <c r="O223" s="233"/>
      <c r="P223" s="233"/>
      <c r="Q223" s="233"/>
      <c r="R223" s="233"/>
      <c r="S223" s="233">
        <v>1</v>
      </c>
      <c r="T223" s="251">
        <v>251</v>
      </c>
      <c r="U223" s="231"/>
      <c r="V223" s="250"/>
      <c r="W223" s="252"/>
      <c r="X223" s="5"/>
    </row>
    <row r="224" spans="1:24" ht="15.6" x14ac:dyDescent="0.3">
      <c r="A224" s="362"/>
      <c r="B224" s="288" t="s">
        <v>145</v>
      </c>
      <c r="C224" s="337"/>
      <c r="D224" s="337"/>
      <c r="E224" s="337"/>
      <c r="F224" s="288"/>
      <c r="G224" s="288"/>
      <c r="H224" s="296"/>
      <c r="I224" s="296"/>
      <c r="J224" s="296"/>
      <c r="K224" s="296"/>
      <c r="L224" s="296"/>
      <c r="M224" s="296"/>
      <c r="N224" s="296"/>
      <c r="O224" s="296"/>
      <c r="P224" s="296"/>
      <c r="Q224" s="296"/>
      <c r="R224" s="296"/>
      <c r="S224" s="363">
        <f>+R276</f>
        <v>169</v>
      </c>
      <c r="T224" s="364">
        <f>+T276</f>
        <v>24209</v>
      </c>
      <c r="U224" s="288"/>
      <c r="V224" s="365"/>
      <c r="W224" s="366"/>
      <c r="X224" s="5"/>
    </row>
    <row r="225" spans="1:24" ht="15.6" x14ac:dyDescent="0.3">
      <c r="A225" s="362"/>
      <c r="B225" s="288" t="s">
        <v>81</v>
      </c>
      <c r="C225" s="337"/>
      <c r="D225" s="337"/>
      <c r="E225" s="337"/>
      <c r="F225" s="288"/>
      <c r="G225" s="288"/>
      <c r="H225" s="296"/>
      <c r="I225" s="296"/>
      <c r="J225" s="296"/>
      <c r="K225" s="296"/>
      <c r="L225" s="296"/>
      <c r="M225" s="296"/>
      <c r="N225" s="296"/>
      <c r="O225" s="296"/>
      <c r="P225" s="296"/>
      <c r="Q225" s="296"/>
      <c r="R225" s="296"/>
      <c r="S225" s="363">
        <f>+R288</f>
        <v>0</v>
      </c>
      <c r="T225" s="364">
        <f>+T288</f>
        <v>0</v>
      </c>
      <c r="U225" s="288"/>
      <c r="V225" s="365"/>
      <c r="W225" s="366"/>
      <c r="X225" s="5"/>
    </row>
    <row r="226" spans="1:24" ht="15.6" x14ac:dyDescent="0.3">
      <c r="A226" s="362"/>
      <c r="B226" s="313" t="s">
        <v>82</v>
      </c>
      <c r="C226" s="367"/>
      <c r="D226" s="367"/>
      <c r="E226" s="367"/>
      <c r="F226" s="314"/>
      <c r="G226" s="314"/>
      <c r="H226" s="314"/>
      <c r="I226" s="314"/>
      <c r="J226" s="314"/>
      <c r="K226" s="314"/>
      <c r="L226" s="314"/>
      <c r="M226" s="314"/>
      <c r="N226" s="314"/>
      <c r="O226" s="314"/>
      <c r="P226" s="314"/>
      <c r="Q226" s="314"/>
      <c r="R226" s="314"/>
      <c r="S226" s="314"/>
      <c r="T226" s="364">
        <v>0</v>
      </c>
      <c r="U226" s="314"/>
      <c r="V226" s="369"/>
      <c r="W226" s="370"/>
      <c r="X226" s="5"/>
    </row>
    <row r="227" spans="1:24" ht="15.6" x14ac:dyDescent="0.3">
      <c r="A227" s="362"/>
      <c r="B227" s="313" t="s">
        <v>243</v>
      </c>
      <c r="C227" s="367"/>
      <c r="D227" s="367"/>
      <c r="E227" s="367"/>
      <c r="F227" s="314"/>
      <c r="G227" s="314"/>
      <c r="H227" s="314"/>
      <c r="I227" s="314"/>
      <c r="J227" s="314"/>
      <c r="K227" s="314"/>
      <c r="L227" s="314"/>
      <c r="M227" s="314"/>
      <c r="N227" s="314"/>
      <c r="O227" s="314"/>
      <c r="P227" s="314"/>
      <c r="Q227" s="314"/>
      <c r="R227" s="314"/>
      <c r="S227" s="314"/>
      <c r="T227" s="364">
        <f>+N81</f>
        <v>0</v>
      </c>
      <c r="U227" s="314"/>
      <c r="V227" s="369"/>
      <c r="W227" s="370"/>
      <c r="X227" s="5"/>
    </row>
    <row r="228" spans="1:24" ht="15.6" x14ac:dyDescent="0.3">
      <c r="A228" s="371"/>
      <c r="B228" s="313" t="s">
        <v>83</v>
      </c>
      <c r="C228" s="372"/>
      <c r="D228" s="372"/>
      <c r="E228" s="372"/>
      <c r="F228" s="372"/>
      <c r="G228" s="314"/>
      <c r="H228" s="314"/>
      <c r="I228" s="314"/>
      <c r="J228" s="314"/>
      <c r="K228" s="314"/>
      <c r="L228" s="314"/>
      <c r="M228" s="314"/>
      <c r="N228" s="314"/>
      <c r="O228" s="314"/>
      <c r="P228" s="314"/>
      <c r="Q228" s="314"/>
      <c r="R228" s="314"/>
      <c r="S228" s="314"/>
      <c r="T228" s="368"/>
      <c r="U228" s="314"/>
      <c r="V228" s="369"/>
      <c r="W228" s="373"/>
      <c r="X228" s="5"/>
    </row>
    <row r="229" spans="1:24" ht="15.6" x14ac:dyDescent="0.3">
      <c r="A229" s="371"/>
      <c r="B229" s="293" t="s">
        <v>84</v>
      </c>
      <c r="C229" s="293"/>
      <c r="D229" s="293"/>
      <c r="E229" s="293"/>
      <c r="F229" s="293"/>
      <c r="G229" s="293"/>
      <c r="H229" s="293"/>
      <c r="I229" s="293"/>
      <c r="J229" s="293"/>
      <c r="K229" s="293"/>
      <c r="L229" s="293"/>
      <c r="M229" s="293"/>
      <c r="N229" s="293"/>
      <c r="O229" s="293"/>
      <c r="P229" s="293"/>
      <c r="Q229" s="293"/>
      <c r="R229" s="293"/>
      <c r="S229" s="324"/>
      <c r="T229" s="374">
        <f>V167</f>
        <v>194</v>
      </c>
      <c r="U229" s="293"/>
      <c r="V229" s="375"/>
      <c r="W229" s="376"/>
      <c r="X229" s="5"/>
    </row>
    <row r="230" spans="1:24" ht="15.6" x14ac:dyDescent="0.3">
      <c r="A230" s="362"/>
      <c r="B230" s="293" t="s">
        <v>85</v>
      </c>
      <c r="C230" s="377"/>
      <c r="D230" s="377"/>
      <c r="E230" s="377"/>
      <c r="F230" s="377"/>
      <c r="G230" s="293"/>
      <c r="H230" s="293"/>
      <c r="I230" s="293"/>
      <c r="J230" s="293"/>
      <c r="K230" s="293"/>
      <c r="L230" s="293"/>
      <c r="M230" s="293"/>
      <c r="N230" s="293"/>
      <c r="O230" s="293"/>
      <c r="P230" s="293"/>
      <c r="Q230" s="293"/>
      <c r="R230" s="293"/>
      <c r="S230" s="324"/>
      <c r="T230" s="374">
        <f>'Nov 10'!T230+T229</f>
        <v>2778</v>
      </c>
      <c r="U230" s="293"/>
      <c r="V230" s="375"/>
      <c r="W230" s="376"/>
      <c r="X230" s="5"/>
    </row>
    <row r="231" spans="1:24" ht="15.6" x14ac:dyDescent="0.3">
      <c r="A231" s="371"/>
      <c r="B231" s="313" t="s">
        <v>295</v>
      </c>
      <c r="C231" s="372"/>
      <c r="D231" s="372"/>
      <c r="E231" s="372"/>
      <c r="F231" s="372"/>
      <c r="G231" s="314"/>
      <c r="H231" s="314"/>
      <c r="I231" s="314"/>
      <c r="J231" s="314"/>
      <c r="K231" s="314"/>
      <c r="L231" s="314"/>
      <c r="M231" s="314"/>
      <c r="N231" s="314"/>
      <c r="O231" s="314"/>
      <c r="P231" s="314"/>
      <c r="Q231" s="314"/>
      <c r="R231" s="314"/>
      <c r="S231" s="316"/>
      <c r="T231" s="368"/>
      <c r="U231" s="314"/>
      <c r="V231" s="369"/>
      <c r="W231" s="373"/>
      <c r="X231" s="5"/>
    </row>
    <row r="232" spans="1:24" ht="15.6" x14ac:dyDescent="0.3">
      <c r="A232" s="371"/>
      <c r="B232" s="288" t="s">
        <v>291</v>
      </c>
      <c r="C232" s="288"/>
      <c r="D232" s="288"/>
      <c r="E232" s="288"/>
      <c r="F232" s="288"/>
      <c r="G232" s="288"/>
      <c r="H232" s="288"/>
      <c r="I232" s="288"/>
      <c r="J232" s="288"/>
      <c r="K232" s="288"/>
      <c r="L232" s="288"/>
      <c r="M232" s="288"/>
      <c r="N232" s="288"/>
      <c r="O232" s="288"/>
      <c r="P232" s="288"/>
      <c r="Q232" s="288"/>
      <c r="R232" s="288"/>
      <c r="S232" s="296">
        <v>0</v>
      </c>
      <c r="T232" s="364">
        <v>0</v>
      </c>
      <c r="U232" s="288"/>
      <c r="V232" s="365"/>
      <c r="W232" s="378"/>
      <c r="X232" s="5"/>
    </row>
    <row r="233" spans="1:24" ht="15.6" x14ac:dyDescent="0.3">
      <c r="A233" s="362"/>
      <c r="B233" s="288" t="s">
        <v>86</v>
      </c>
      <c r="C233" s="325"/>
      <c r="D233" s="325"/>
      <c r="E233" s="325"/>
      <c r="F233" s="379"/>
      <c r="G233" s="288"/>
      <c r="H233" s="288"/>
      <c r="I233" s="288"/>
      <c r="J233" s="288"/>
      <c r="K233" s="288"/>
      <c r="L233" s="288"/>
      <c r="M233" s="288"/>
      <c r="N233" s="288"/>
      <c r="O233" s="288"/>
      <c r="P233" s="288"/>
      <c r="Q233" s="288"/>
      <c r="R233" s="288"/>
      <c r="S233" s="288"/>
      <c r="T233" s="380">
        <v>0</v>
      </c>
      <c r="U233" s="288"/>
      <c r="V233" s="365"/>
      <c r="W233" s="378"/>
      <c r="X233" s="5"/>
    </row>
    <row r="234" spans="1:24" ht="15.6" x14ac:dyDescent="0.3">
      <c r="A234" s="362"/>
      <c r="B234" s="288" t="s">
        <v>87</v>
      </c>
      <c r="C234" s="325"/>
      <c r="D234" s="325"/>
      <c r="E234" s="325"/>
      <c r="F234" s="379"/>
      <c r="G234" s="288"/>
      <c r="H234" s="288"/>
      <c r="I234" s="288"/>
      <c r="J234" s="288"/>
      <c r="K234" s="288"/>
      <c r="L234" s="288"/>
      <c r="M234" s="288"/>
      <c r="N234" s="288"/>
      <c r="O234" s="288"/>
      <c r="P234" s="288"/>
      <c r="Q234" s="288"/>
      <c r="R234" s="288"/>
      <c r="S234" s="288"/>
      <c r="T234" s="380">
        <v>0</v>
      </c>
      <c r="U234" s="288"/>
      <c r="V234" s="365"/>
      <c r="W234" s="378"/>
      <c r="X234" s="5"/>
    </row>
    <row r="235" spans="1:24" ht="15.6" x14ac:dyDescent="0.3">
      <c r="A235" s="362"/>
      <c r="B235" s="313" t="s">
        <v>217</v>
      </c>
      <c r="C235" s="381"/>
      <c r="D235" s="381"/>
      <c r="E235" s="381"/>
      <c r="F235" s="382"/>
      <c r="G235" s="314"/>
      <c r="H235" s="314"/>
      <c r="I235" s="314"/>
      <c r="J235" s="314"/>
      <c r="K235" s="314"/>
      <c r="L235" s="314"/>
      <c r="M235" s="314"/>
      <c r="N235" s="314"/>
      <c r="O235" s="314"/>
      <c r="P235" s="314"/>
      <c r="Q235" s="314"/>
      <c r="R235" s="314"/>
      <c r="S235" s="314"/>
      <c r="T235" s="383"/>
      <c r="U235" s="314"/>
      <c r="V235" s="369"/>
      <c r="W235" s="373"/>
      <c r="X235" s="5"/>
    </row>
    <row r="236" spans="1:24" ht="15.6" x14ac:dyDescent="0.3">
      <c r="A236" s="362"/>
      <c r="B236" s="288" t="s">
        <v>291</v>
      </c>
      <c r="C236" s="381"/>
      <c r="D236" s="381"/>
      <c r="E236" s="381"/>
      <c r="F236" s="382"/>
      <c r="G236" s="314"/>
      <c r="H236" s="314"/>
      <c r="I236" s="314"/>
      <c r="J236" s="314"/>
      <c r="K236" s="314"/>
      <c r="L236" s="314"/>
      <c r="M236" s="314"/>
      <c r="N236" s="314"/>
      <c r="O236" s="314"/>
      <c r="P236" s="314"/>
      <c r="Q236" s="314"/>
      <c r="R236" s="314"/>
      <c r="S236" s="296">
        <v>3</v>
      </c>
      <c r="T236" s="364">
        <v>656</v>
      </c>
      <c r="U236" s="314"/>
      <c r="V236" s="369"/>
      <c r="W236" s="373"/>
      <c r="X236" s="5"/>
    </row>
    <row r="237" spans="1:24" ht="15.6" x14ac:dyDescent="0.3">
      <c r="A237" s="362"/>
      <c r="B237" s="288" t="s">
        <v>218</v>
      </c>
      <c r="C237" s="381"/>
      <c r="D237" s="381"/>
      <c r="E237" s="381"/>
      <c r="F237" s="382"/>
      <c r="G237" s="314"/>
      <c r="H237" s="314"/>
      <c r="I237" s="314"/>
      <c r="J237" s="314"/>
      <c r="K237" s="314"/>
      <c r="L237" s="314"/>
      <c r="M237" s="314"/>
      <c r="N237" s="314"/>
      <c r="O237" s="314"/>
      <c r="P237" s="314"/>
      <c r="Q237" s="314"/>
      <c r="R237" s="314"/>
      <c r="S237" s="288"/>
      <c r="T237" s="380">
        <v>5.35</v>
      </c>
      <c r="U237" s="314"/>
      <c r="V237" s="369"/>
      <c r="W237" s="373"/>
      <c r="X237" s="5"/>
    </row>
    <row r="238" spans="1:24" ht="15.6" x14ac:dyDescent="0.3">
      <c r="A238" s="362"/>
      <c r="B238" s="372"/>
      <c r="C238" s="381"/>
      <c r="D238" s="381"/>
      <c r="E238" s="381"/>
      <c r="F238" s="382"/>
      <c r="G238" s="314"/>
      <c r="H238" s="314"/>
      <c r="I238" s="314"/>
      <c r="J238" s="314"/>
      <c r="K238" s="314"/>
      <c r="L238" s="314"/>
      <c r="M238" s="314"/>
      <c r="N238" s="314"/>
      <c r="O238" s="314"/>
      <c r="P238" s="314"/>
      <c r="Q238" s="314"/>
      <c r="R238" s="314"/>
      <c r="S238" s="314"/>
      <c r="T238" s="383"/>
      <c r="U238" s="314"/>
      <c r="V238" s="369"/>
      <c r="W238" s="373"/>
      <c r="X238" s="5"/>
    </row>
    <row r="239" spans="1:24" ht="15.6" x14ac:dyDescent="0.3">
      <c r="A239" s="362"/>
      <c r="B239" s="372"/>
      <c r="C239" s="381"/>
      <c r="D239" s="381"/>
      <c r="E239" s="381"/>
      <c r="F239" s="382"/>
      <c r="G239" s="314"/>
      <c r="H239" s="314"/>
      <c r="I239" s="314"/>
      <c r="J239" s="314"/>
      <c r="K239" s="314"/>
      <c r="L239" s="314"/>
      <c r="M239" s="314"/>
      <c r="N239" s="314"/>
      <c r="O239" s="314"/>
      <c r="P239" s="314"/>
      <c r="Q239" s="314"/>
      <c r="R239" s="314"/>
      <c r="S239" s="314"/>
      <c r="T239" s="383"/>
      <c r="U239" s="314"/>
      <c r="V239" s="369"/>
      <c r="W239" s="373"/>
      <c r="X239" s="5"/>
    </row>
    <row r="240" spans="1:24" ht="17.399999999999999" x14ac:dyDescent="0.3">
      <c r="A240" s="362"/>
      <c r="B240" s="384" t="s">
        <v>168</v>
      </c>
      <c r="C240" s="381"/>
      <c r="D240" s="381"/>
      <c r="E240" s="381"/>
      <c r="F240" s="382"/>
      <c r="G240" s="314"/>
      <c r="H240" s="314"/>
      <c r="I240" s="314"/>
      <c r="J240" s="314"/>
      <c r="K240" s="314"/>
      <c r="L240" s="314"/>
      <c r="M240" s="314"/>
      <c r="N240" s="314"/>
      <c r="O240" s="314"/>
      <c r="P240" s="385" t="s">
        <v>167</v>
      </c>
      <c r="Q240" s="314"/>
      <c r="R240" s="314"/>
      <c r="S240" s="314"/>
      <c r="T240" s="383"/>
      <c r="U240" s="314"/>
      <c r="V240" s="369"/>
      <c r="W240" s="373"/>
      <c r="X240" s="5"/>
    </row>
    <row r="241" spans="1:25" ht="15.6" x14ac:dyDescent="0.3">
      <c r="A241" s="355"/>
      <c r="B241" s="356"/>
      <c r="C241" s="357"/>
      <c r="D241" s="357"/>
      <c r="E241" s="357"/>
      <c r="F241" s="358"/>
      <c r="G241" s="198"/>
      <c r="H241" s="198"/>
      <c r="I241" s="198"/>
      <c r="J241" s="198"/>
      <c r="K241" s="198"/>
      <c r="L241" s="198"/>
      <c r="M241" s="198"/>
      <c r="N241" s="198"/>
      <c r="O241" s="198"/>
      <c r="P241" s="198"/>
      <c r="Q241" s="198"/>
      <c r="R241" s="198"/>
      <c r="S241" s="198"/>
      <c r="T241" s="359"/>
      <c r="U241" s="198"/>
      <c r="V241" s="360"/>
      <c r="W241" s="361"/>
      <c r="X241" s="5"/>
    </row>
    <row r="242" spans="1:25" ht="15.6" x14ac:dyDescent="0.3">
      <c r="A242" s="262"/>
      <c r="B242" s="269" t="s">
        <v>308</v>
      </c>
      <c r="C242" s="270"/>
      <c r="D242" s="270"/>
      <c r="E242" s="270"/>
      <c r="F242" s="279"/>
      <c r="G242" s="270"/>
      <c r="H242" s="270"/>
      <c r="I242" s="270"/>
      <c r="J242" s="270"/>
      <c r="K242" s="270"/>
      <c r="L242" s="270"/>
      <c r="M242" s="270"/>
      <c r="N242" s="270"/>
      <c r="O242" s="270"/>
      <c r="P242" s="270"/>
      <c r="Q242" s="270"/>
      <c r="R242" s="279" t="s">
        <v>102</v>
      </c>
      <c r="S242" s="270" t="s">
        <v>103</v>
      </c>
      <c r="T242" s="279" t="s">
        <v>109</v>
      </c>
      <c r="U242" s="270" t="s">
        <v>103</v>
      </c>
      <c r="V242" s="263"/>
      <c r="W242" s="269"/>
      <c r="X242" s="5"/>
    </row>
    <row r="243" spans="1:25" ht="15.6" x14ac:dyDescent="0.3">
      <c r="A243" s="197"/>
      <c r="B243" s="234" t="s">
        <v>88</v>
      </c>
      <c r="C243" s="253"/>
      <c r="D243" s="253"/>
      <c r="E243" s="253"/>
      <c r="F243" s="231"/>
      <c r="G243" s="253"/>
      <c r="H243" s="253"/>
      <c r="I243" s="253"/>
      <c r="J243" s="253"/>
      <c r="K243" s="253"/>
      <c r="L243" s="253"/>
      <c r="M243" s="253"/>
      <c r="N243" s="253"/>
      <c r="O243" s="253"/>
      <c r="P243" s="253"/>
      <c r="Q243" s="253"/>
      <c r="R243" s="234">
        <f t="shared" ref="R243:R250" si="1">+R255+R267+R279</f>
        <v>8023</v>
      </c>
      <c r="S243" s="254">
        <f t="shared" ref="S243:S250" si="2">R243/$R$252</f>
        <v>0.98405494909849134</v>
      </c>
      <c r="T243" s="241">
        <f t="shared" ref="T243:T250" si="3">+T255+T267+T279</f>
        <v>1128505</v>
      </c>
      <c r="U243" s="254">
        <f t="shared" ref="U243:U250" si="4">T243/$T$252</f>
        <v>0.97994529350468917</v>
      </c>
      <c r="V243" s="250"/>
      <c r="W243" s="232"/>
      <c r="X243" s="5"/>
    </row>
    <row r="244" spans="1:25" ht="15.6" x14ac:dyDescent="0.3">
      <c r="A244" s="287"/>
      <c r="B244" s="337" t="s">
        <v>89</v>
      </c>
      <c r="C244" s="389"/>
      <c r="D244" s="389"/>
      <c r="E244" s="389"/>
      <c r="F244" s="288"/>
      <c r="G244" s="390"/>
      <c r="H244" s="389"/>
      <c r="I244" s="389"/>
      <c r="J244" s="389"/>
      <c r="K244" s="389"/>
      <c r="L244" s="389"/>
      <c r="M244" s="389"/>
      <c r="N244" s="389"/>
      <c r="O244" s="389"/>
      <c r="P244" s="389"/>
      <c r="Q244" s="389"/>
      <c r="R244" s="337">
        <f t="shared" si="1"/>
        <v>46</v>
      </c>
      <c r="S244" s="390">
        <f t="shared" si="2"/>
        <v>5.6420949343799825E-3</v>
      </c>
      <c r="T244" s="338">
        <f t="shared" si="3"/>
        <v>9911</v>
      </c>
      <c r="U244" s="390">
        <f t="shared" si="4"/>
        <v>8.606286905175408E-3</v>
      </c>
      <c r="V244" s="365"/>
      <c r="W244" s="378"/>
      <c r="X244" s="5"/>
      <c r="Y244" s="109"/>
    </row>
    <row r="245" spans="1:25" ht="15.6" x14ac:dyDescent="0.3">
      <c r="A245" s="287"/>
      <c r="B245" s="337" t="s">
        <v>90</v>
      </c>
      <c r="C245" s="389"/>
      <c r="D245" s="389"/>
      <c r="E245" s="389"/>
      <c r="F245" s="288"/>
      <c r="G245" s="390"/>
      <c r="H245" s="389"/>
      <c r="I245" s="389"/>
      <c r="J245" s="389"/>
      <c r="K245" s="389"/>
      <c r="L245" s="389"/>
      <c r="M245" s="389"/>
      <c r="N245" s="389"/>
      <c r="O245" s="389"/>
      <c r="P245" s="389"/>
      <c r="Q245" s="389"/>
      <c r="R245" s="337">
        <f t="shared" si="1"/>
        <v>20</v>
      </c>
      <c r="S245" s="390">
        <f t="shared" si="2"/>
        <v>2.4530847540782533E-3</v>
      </c>
      <c r="T245" s="338">
        <f t="shared" si="3"/>
        <v>3478</v>
      </c>
      <c r="U245" s="390">
        <f t="shared" si="4"/>
        <v>3.0201458839874957E-3</v>
      </c>
      <c r="V245" s="365"/>
      <c r="W245" s="378"/>
      <c r="X245" s="5"/>
    </row>
    <row r="246" spans="1:25" ht="15.6" x14ac:dyDescent="0.3">
      <c r="A246" s="287"/>
      <c r="B246" s="337" t="s">
        <v>156</v>
      </c>
      <c r="C246" s="389"/>
      <c r="D246" s="389"/>
      <c r="E246" s="389"/>
      <c r="F246" s="288"/>
      <c r="G246" s="390"/>
      <c r="H246" s="389"/>
      <c r="I246" s="389"/>
      <c r="J246" s="389"/>
      <c r="K246" s="389"/>
      <c r="L246" s="389"/>
      <c r="M246" s="389"/>
      <c r="N246" s="389"/>
      <c r="O246" s="389"/>
      <c r="P246" s="389"/>
      <c r="Q246" s="389"/>
      <c r="R246" s="337">
        <f t="shared" si="1"/>
        <v>5</v>
      </c>
      <c r="S246" s="390">
        <f t="shared" si="2"/>
        <v>6.1327118851956333E-4</v>
      </c>
      <c r="T246" s="338">
        <f t="shared" si="3"/>
        <v>703</v>
      </c>
      <c r="U246" s="390">
        <f t="shared" si="4"/>
        <v>6.1045501910385552E-4</v>
      </c>
      <c r="V246" s="365"/>
      <c r="W246" s="378"/>
      <c r="X246" s="5"/>
      <c r="Y246" s="109"/>
    </row>
    <row r="247" spans="1:25" ht="15.6" x14ac:dyDescent="0.3">
      <c r="A247" s="287"/>
      <c r="B247" s="337" t="s">
        <v>157</v>
      </c>
      <c r="C247" s="389"/>
      <c r="D247" s="389"/>
      <c r="E247" s="389"/>
      <c r="F247" s="288"/>
      <c r="G247" s="390"/>
      <c r="H247" s="389"/>
      <c r="I247" s="389"/>
      <c r="J247" s="389"/>
      <c r="K247" s="389"/>
      <c r="L247" s="389"/>
      <c r="M247" s="389"/>
      <c r="N247" s="389"/>
      <c r="O247" s="389"/>
      <c r="P247" s="389"/>
      <c r="Q247" s="389"/>
      <c r="R247" s="337">
        <f t="shared" si="1"/>
        <v>5</v>
      </c>
      <c r="S247" s="390">
        <f t="shared" si="2"/>
        <v>6.1327118851956333E-4</v>
      </c>
      <c r="T247" s="338">
        <f t="shared" si="3"/>
        <v>1123</v>
      </c>
      <c r="U247" s="390">
        <f t="shared" si="4"/>
        <v>9.7516498784300102E-4</v>
      </c>
      <c r="V247" s="365"/>
      <c r="W247" s="378"/>
      <c r="X247" s="5"/>
    </row>
    <row r="248" spans="1:25" ht="15.6" x14ac:dyDescent="0.3">
      <c r="A248" s="287"/>
      <c r="B248" s="337" t="s">
        <v>158</v>
      </c>
      <c r="C248" s="389"/>
      <c r="D248" s="389"/>
      <c r="E248" s="389"/>
      <c r="F248" s="288"/>
      <c r="G248" s="390"/>
      <c r="H248" s="389"/>
      <c r="I248" s="389"/>
      <c r="J248" s="389"/>
      <c r="K248" s="389"/>
      <c r="L248" s="389"/>
      <c r="M248" s="389"/>
      <c r="N248" s="389"/>
      <c r="O248" s="389"/>
      <c r="P248" s="389"/>
      <c r="Q248" s="389"/>
      <c r="R248" s="337">
        <f t="shared" si="1"/>
        <v>2</v>
      </c>
      <c r="S248" s="390">
        <f t="shared" si="2"/>
        <v>2.4530847540782532E-4</v>
      </c>
      <c r="T248" s="338">
        <f t="shared" si="3"/>
        <v>231</v>
      </c>
      <c r="U248" s="390">
        <f t="shared" si="4"/>
        <v>2.0059048280653006E-4</v>
      </c>
      <c r="V248" s="365"/>
      <c r="W248" s="378"/>
      <c r="X248" s="5"/>
      <c r="Y248" s="109"/>
    </row>
    <row r="249" spans="1:25" ht="15.6" x14ac:dyDescent="0.3">
      <c r="A249" s="287"/>
      <c r="B249" s="337" t="s">
        <v>159</v>
      </c>
      <c r="C249" s="389"/>
      <c r="D249" s="389"/>
      <c r="E249" s="389"/>
      <c r="F249" s="288"/>
      <c r="G249" s="390"/>
      <c r="H249" s="389"/>
      <c r="I249" s="389"/>
      <c r="J249" s="389"/>
      <c r="K249" s="389"/>
      <c r="L249" s="389"/>
      <c r="M249" s="389"/>
      <c r="N249" s="389"/>
      <c r="O249" s="389"/>
      <c r="P249" s="389"/>
      <c r="Q249" s="389"/>
      <c r="R249" s="337">
        <f t="shared" si="1"/>
        <v>25</v>
      </c>
      <c r="S249" s="390">
        <f t="shared" si="2"/>
        <v>3.0663559425978168E-3</v>
      </c>
      <c r="T249" s="338">
        <f t="shared" si="3"/>
        <v>3348</v>
      </c>
      <c r="U249" s="390">
        <f t="shared" si="4"/>
        <v>2.9072594650920458E-3</v>
      </c>
      <c r="V249" s="365"/>
      <c r="W249" s="378"/>
      <c r="X249" s="5"/>
    </row>
    <row r="250" spans="1:25" ht="15.6" x14ac:dyDescent="0.3">
      <c r="A250" s="287"/>
      <c r="B250" s="337" t="s">
        <v>160</v>
      </c>
      <c r="C250" s="389"/>
      <c r="D250" s="389"/>
      <c r="E250" s="389"/>
      <c r="F250" s="288"/>
      <c r="G250" s="390"/>
      <c r="H250" s="389"/>
      <c r="I250" s="389"/>
      <c r="J250" s="389"/>
      <c r="K250" s="389"/>
      <c r="L250" s="389"/>
      <c r="M250" s="389"/>
      <c r="N250" s="389"/>
      <c r="O250" s="389"/>
      <c r="P250" s="389"/>
      <c r="Q250" s="389"/>
      <c r="R250" s="339">
        <f t="shared" si="1"/>
        <v>27</v>
      </c>
      <c r="S250" s="393">
        <f t="shared" si="2"/>
        <v>3.311664418005642E-3</v>
      </c>
      <c r="T250" s="394">
        <f t="shared" si="3"/>
        <v>4301</v>
      </c>
      <c r="U250" s="393">
        <f t="shared" si="4"/>
        <v>3.7348037513025355E-3</v>
      </c>
      <c r="V250" s="365"/>
      <c r="W250" s="378"/>
      <c r="X250" s="5"/>
      <c r="Y250" s="109"/>
    </row>
    <row r="251" spans="1:25" ht="15.6" x14ac:dyDescent="0.3">
      <c r="A251" s="287"/>
      <c r="B251" s="337"/>
      <c r="C251" s="389"/>
      <c r="D251" s="389"/>
      <c r="E251" s="389"/>
      <c r="F251" s="288"/>
      <c r="G251" s="390"/>
      <c r="H251" s="389"/>
      <c r="I251" s="389"/>
      <c r="J251" s="389"/>
      <c r="K251" s="389"/>
      <c r="L251" s="389"/>
      <c r="M251" s="389"/>
      <c r="N251" s="389"/>
      <c r="O251" s="389"/>
      <c r="P251" s="389"/>
      <c r="Q251" s="389"/>
      <c r="R251" s="337"/>
      <c r="S251" s="390"/>
      <c r="T251" s="338"/>
      <c r="U251" s="390"/>
      <c r="V251" s="365"/>
      <c r="W251" s="378"/>
      <c r="X251" s="5"/>
    </row>
    <row r="252" spans="1:25" ht="15.6" x14ac:dyDescent="0.3">
      <c r="A252" s="287"/>
      <c r="B252" s="288"/>
      <c r="C252" s="288"/>
      <c r="D252" s="288"/>
      <c r="E252" s="288"/>
      <c r="F252" s="288"/>
      <c r="G252" s="288"/>
      <c r="H252" s="391"/>
      <c r="I252" s="391"/>
      <c r="J252" s="391"/>
      <c r="K252" s="391"/>
      <c r="L252" s="391"/>
      <c r="M252" s="391"/>
      <c r="N252" s="391"/>
      <c r="O252" s="391"/>
      <c r="P252" s="391"/>
      <c r="Q252" s="391"/>
      <c r="R252" s="337">
        <f>SUM(R243:R251)</f>
        <v>8153</v>
      </c>
      <c r="S252" s="390">
        <f>SUM(S243:S251)</f>
        <v>1</v>
      </c>
      <c r="T252" s="338">
        <f>SUM(T243:T251)</f>
        <v>1151600</v>
      </c>
      <c r="U252" s="390">
        <f>SUM(U243:U251)</f>
        <v>1</v>
      </c>
      <c r="V252" s="288"/>
      <c r="W252" s="291"/>
      <c r="X252" s="5"/>
    </row>
    <row r="253" spans="1:25" ht="15.6" x14ac:dyDescent="0.3">
      <c r="A253" s="183"/>
      <c r="B253" s="198"/>
      <c r="C253" s="198"/>
      <c r="D253" s="198"/>
      <c r="E253" s="198"/>
      <c r="F253" s="198"/>
      <c r="G253" s="198"/>
      <c r="H253" s="386"/>
      <c r="I253" s="386"/>
      <c r="J253" s="386"/>
      <c r="K253" s="386"/>
      <c r="L253" s="386"/>
      <c r="M253" s="386"/>
      <c r="N253" s="386"/>
      <c r="O253" s="386"/>
      <c r="P253" s="386"/>
      <c r="Q253" s="386"/>
      <c r="R253" s="335"/>
      <c r="S253" s="387"/>
      <c r="T253" s="388"/>
      <c r="U253" s="387"/>
      <c r="V253" s="198"/>
      <c r="W253" s="198"/>
      <c r="X253" s="5"/>
    </row>
    <row r="254" spans="1:25" ht="15.6" x14ac:dyDescent="0.3">
      <c r="A254" s="262"/>
      <c r="B254" s="269" t="s">
        <v>162</v>
      </c>
      <c r="C254" s="270"/>
      <c r="D254" s="270"/>
      <c r="E254" s="270"/>
      <c r="F254" s="279"/>
      <c r="G254" s="270"/>
      <c r="H254" s="270"/>
      <c r="I254" s="270"/>
      <c r="J254" s="270"/>
      <c r="K254" s="270"/>
      <c r="L254" s="270"/>
      <c r="M254" s="270"/>
      <c r="N254" s="270"/>
      <c r="O254" s="270"/>
      <c r="P254" s="270"/>
      <c r="Q254" s="270"/>
      <c r="R254" s="279" t="s">
        <v>102</v>
      </c>
      <c r="S254" s="270" t="s">
        <v>103</v>
      </c>
      <c r="T254" s="279" t="s">
        <v>109</v>
      </c>
      <c r="U254" s="270" t="s">
        <v>103</v>
      </c>
      <c r="V254" s="263"/>
      <c r="W254" s="269"/>
      <c r="X254" s="5"/>
    </row>
    <row r="255" spans="1:25" ht="15.6" x14ac:dyDescent="0.3">
      <c r="A255" s="197"/>
      <c r="B255" s="234" t="s">
        <v>88</v>
      </c>
      <c r="C255" s="253"/>
      <c r="D255" s="253"/>
      <c r="E255" s="253"/>
      <c r="F255" s="231"/>
      <c r="G255" s="253"/>
      <c r="H255" s="253"/>
      <c r="I255" s="253"/>
      <c r="J255" s="253"/>
      <c r="K255" s="253"/>
      <c r="L255" s="253"/>
      <c r="M255" s="253"/>
      <c r="N255" s="253"/>
      <c r="O255" s="253"/>
      <c r="P255" s="253"/>
      <c r="Q255" s="253"/>
      <c r="R255" s="234">
        <v>7925</v>
      </c>
      <c r="S255" s="254">
        <f t="shared" ref="S255:S262" si="5">R255/$R$264</f>
        <v>0.99261022044088176</v>
      </c>
      <c r="T255" s="241">
        <v>1114922</v>
      </c>
      <c r="U255" s="254">
        <f t="shared" ref="U255:U262" si="6">T255/$T$264</f>
        <v>0.98893995073581398</v>
      </c>
      <c r="V255" s="250"/>
      <c r="W255" s="232"/>
      <c r="X255" s="5"/>
    </row>
    <row r="256" spans="1:25" ht="15.6" x14ac:dyDescent="0.3">
      <c r="A256" s="287"/>
      <c r="B256" s="337" t="s">
        <v>89</v>
      </c>
      <c r="C256" s="389"/>
      <c r="D256" s="389"/>
      <c r="E256" s="389"/>
      <c r="F256" s="288"/>
      <c r="G256" s="390"/>
      <c r="H256" s="389"/>
      <c r="I256" s="389"/>
      <c r="J256" s="389"/>
      <c r="K256" s="389"/>
      <c r="L256" s="389"/>
      <c r="M256" s="389"/>
      <c r="N256" s="389"/>
      <c r="O256" s="389"/>
      <c r="P256" s="389"/>
      <c r="Q256" s="389"/>
      <c r="R256" s="337">
        <v>37</v>
      </c>
      <c r="S256" s="390">
        <f t="shared" si="5"/>
        <v>4.6342685370741486E-3</v>
      </c>
      <c r="T256" s="338">
        <v>8445</v>
      </c>
      <c r="U256" s="390">
        <f t="shared" si="6"/>
        <v>7.4907463337919146E-3</v>
      </c>
      <c r="V256" s="365"/>
      <c r="W256" s="378"/>
      <c r="X256" s="5"/>
      <c r="Y256" s="109"/>
    </row>
    <row r="257" spans="1:25" ht="15.6" x14ac:dyDescent="0.3">
      <c r="A257" s="287"/>
      <c r="B257" s="337" t="s">
        <v>90</v>
      </c>
      <c r="C257" s="389"/>
      <c r="D257" s="389"/>
      <c r="E257" s="389"/>
      <c r="F257" s="288"/>
      <c r="G257" s="390"/>
      <c r="H257" s="389"/>
      <c r="I257" s="389"/>
      <c r="J257" s="389"/>
      <c r="K257" s="389"/>
      <c r="L257" s="389"/>
      <c r="M257" s="389"/>
      <c r="N257" s="389"/>
      <c r="O257" s="389"/>
      <c r="P257" s="389"/>
      <c r="Q257" s="389"/>
      <c r="R257" s="337">
        <v>12</v>
      </c>
      <c r="S257" s="390">
        <f t="shared" si="5"/>
        <v>1.5030060120240481E-3</v>
      </c>
      <c r="T257" s="338">
        <v>2466</v>
      </c>
      <c r="U257" s="390">
        <f t="shared" si="6"/>
        <v>2.1873511496898592E-3</v>
      </c>
      <c r="V257" s="365"/>
      <c r="W257" s="378"/>
      <c r="X257" s="5"/>
    </row>
    <row r="258" spans="1:25" ht="15.6" x14ac:dyDescent="0.3">
      <c r="A258" s="287"/>
      <c r="B258" s="337" t="s">
        <v>156</v>
      </c>
      <c r="C258" s="389"/>
      <c r="D258" s="389"/>
      <c r="E258" s="389"/>
      <c r="F258" s="288"/>
      <c r="G258" s="390"/>
      <c r="H258" s="389"/>
      <c r="I258" s="389"/>
      <c r="J258" s="389"/>
      <c r="K258" s="389"/>
      <c r="L258" s="389"/>
      <c r="M258" s="389"/>
      <c r="N258" s="389"/>
      <c r="O258" s="389"/>
      <c r="P258" s="389"/>
      <c r="Q258" s="389"/>
      <c r="R258" s="337">
        <v>3</v>
      </c>
      <c r="S258" s="390">
        <f t="shared" si="5"/>
        <v>3.7575150300601202E-4</v>
      </c>
      <c r="T258" s="338">
        <v>483</v>
      </c>
      <c r="U258" s="390">
        <f t="shared" si="6"/>
        <v>4.2842279209253932E-4</v>
      </c>
      <c r="V258" s="365"/>
      <c r="W258" s="378"/>
      <c r="X258" s="5"/>
      <c r="Y258" s="109"/>
    </row>
    <row r="259" spans="1:25" ht="15.6" x14ac:dyDescent="0.3">
      <c r="A259" s="287"/>
      <c r="B259" s="337" t="s">
        <v>157</v>
      </c>
      <c r="C259" s="389"/>
      <c r="D259" s="389"/>
      <c r="E259" s="389"/>
      <c r="F259" s="288"/>
      <c r="G259" s="390"/>
      <c r="H259" s="389"/>
      <c r="I259" s="389"/>
      <c r="J259" s="389"/>
      <c r="K259" s="389"/>
      <c r="L259" s="389"/>
      <c r="M259" s="389"/>
      <c r="N259" s="389"/>
      <c r="O259" s="389"/>
      <c r="P259" s="389"/>
      <c r="Q259" s="389"/>
      <c r="R259" s="337">
        <v>1</v>
      </c>
      <c r="S259" s="390">
        <f t="shared" si="5"/>
        <v>1.25250501002004E-4</v>
      </c>
      <c r="T259" s="338">
        <v>316</v>
      </c>
      <c r="U259" s="390">
        <f t="shared" si="6"/>
        <v>2.8029317246634045E-4</v>
      </c>
      <c r="V259" s="365"/>
      <c r="W259" s="378"/>
      <c r="X259" s="5"/>
    </row>
    <row r="260" spans="1:25" ht="15.6" x14ac:dyDescent="0.3">
      <c r="A260" s="287"/>
      <c r="B260" s="337" t="s">
        <v>158</v>
      </c>
      <c r="C260" s="389"/>
      <c r="D260" s="389"/>
      <c r="E260" s="389"/>
      <c r="F260" s="288"/>
      <c r="G260" s="390"/>
      <c r="H260" s="389"/>
      <c r="I260" s="389"/>
      <c r="J260" s="389"/>
      <c r="K260" s="389"/>
      <c r="L260" s="389"/>
      <c r="M260" s="389"/>
      <c r="N260" s="389"/>
      <c r="O260" s="389"/>
      <c r="P260" s="389"/>
      <c r="Q260" s="389"/>
      <c r="R260" s="337">
        <v>0</v>
      </c>
      <c r="S260" s="390">
        <f t="shared" si="5"/>
        <v>0</v>
      </c>
      <c r="T260" s="338">
        <v>0</v>
      </c>
      <c r="U260" s="390">
        <f t="shared" si="6"/>
        <v>0</v>
      </c>
      <c r="V260" s="365"/>
      <c r="W260" s="378"/>
      <c r="X260" s="5"/>
      <c r="Y260" s="109"/>
    </row>
    <row r="261" spans="1:25" ht="15.6" x14ac:dyDescent="0.3">
      <c r="A261" s="287"/>
      <c r="B261" s="337" t="s">
        <v>159</v>
      </c>
      <c r="C261" s="389"/>
      <c r="D261" s="389"/>
      <c r="E261" s="389"/>
      <c r="F261" s="288"/>
      <c r="G261" s="390"/>
      <c r="H261" s="389"/>
      <c r="I261" s="389"/>
      <c r="J261" s="389"/>
      <c r="K261" s="389"/>
      <c r="L261" s="389"/>
      <c r="M261" s="389"/>
      <c r="N261" s="389"/>
      <c r="O261" s="389"/>
      <c r="P261" s="389"/>
      <c r="Q261" s="389"/>
      <c r="R261" s="337">
        <v>4</v>
      </c>
      <c r="S261" s="390">
        <f t="shared" si="5"/>
        <v>5.0100200400801599E-4</v>
      </c>
      <c r="T261" s="338">
        <v>557</v>
      </c>
      <c r="U261" s="390">
        <f t="shared" si="6"/>
        <v>4.9406106665744179E-4</v>
      </c>
      <c r="V261" s="365"/>
      <c r="W261" s="378"/>
      <c r="X261" s="5"/>
    </row>
    <row r="262" spans="1:25" ht="15.6" x14ac:dyDescent="0.3">
      <c r="A262" s="287"/>
      <c r="B262" s="337" t="s">
        <v>160</v>
      </c>
      <c r="C262" s="389"/>
      <c r="D262" s="389"/>
      <c r="E262" s="389"/>
      <c r="F262" s="288"/>
      <c r="G262" s="390"/>
      <c r="H262" s="389"/>
      <c r="I262" s="389"/>
      <c r="J262" s="389"/>
      <c r="K262" s="389"/>
      <c r="L262" s="389"/>
      <c r="M262" s="389"/>
      <c r="N262" s="389"/>
      <c r="O262" s="389"/>
      <c r="P262" s="389"/>
      <c r="Q262" s="389"/>
      <c r="R262" s="337">
        <v>2</v>
      </c>
      <c r="S262" s="390">
        <f t="shared" si="5"/>
        <v>2.50501002004008E-4</v>
      </c>
      <c r="T262" s="338">
        <v>202</v>
      </c>
      <c r="U262" s="390">
        <f t="shared" si="6"/>
        <v>1.791747494879771E-4</v>
      </c>
      <c r="V262" s="365"/>
      <c r="W262" s="378"/>
      <c r="X262" s="5"/>
      <c r="Y262" s="109"/>
    </row>
    <row r="263" spans="1:25" ht="15.6" x14ac:dyDescent="0.3">
      <c r="A263" s="287"/>
      <c r="B263" s="337"/>
      <c r="C263" s="389"/>
      <c r="D263" s="389"/>
      <c r="E263" s="389"/>
      <c r="F263" s="288"/>
      <c r="G263" s="390"/>
      <c r="H263" s="389"/>
      <c r="I263" s="389"/>
      <c r="J263" s="389"/>
      <c r="K263" s="389"/>
      <c r="L263" s="389"/>
      <c r="M263" s="389"/>
      <c r="N263" s="389"/>
      <c r="O263" s="389"/>
      <c r="P263" s="389"/>
      <c r="Q263" s="389"/>
      <c r="R263" s="337"/>
      <c r="S263" s="390"/>
      <c r="T263" s="338"/>
      <c r="U263" s="390"/>
      <c r="V263" s="365"/>
      <c r="W263" s="378"/>
      <c r="X263" s="5"/>
    </row>
    <row r="264" spans="1:25" ht="15.6" x14ac:dyDescent="0.3">
      <c r="A264" s="287"/>
      <c r="B264" s="288"/>
      <c r="C264" s="288"/>
      <c r="D264" s="288"/>
      <c r="E264" s="288"/>
      <c r="F264" s="288"/>
      <c r="G264" s="288"/>
      <c r="H264" s="391"/>
      <c r="I264" s="391"/>
      <c r="J264" s="391"/>
      <c r="K264" s="391"/>
      <c r="L264" s="391"/>
      <c r="M264" s="391"/>
      <c r="N264" s="391"/>
      <c r="O264" s="391"/>
      <c r="P264" s="391"/>
      <c r="Q264" s="391"/>
      <c r="R264" s="337">
        <f>SUM(R255:R263)</f>
        <v>7984</v>
      </c>
      <c r="S264" s="390">
        <f>SUM(S255:S263)</f>
        <v>1</v>
      </c>
      <c r="T264" s="338">
        <f>SUM(T255:T263)</f>
        <v>1127391</v>
      </c>
      <c r="U264" s="390">
        <f>SUM(U255:U263)</f>
        <v>1</v>
      </c>
      <c r="V264" s="288"/>
      <c r="W264" s="291"/>
      <c r="X264" s="5"/>
    </row>
    <row r="265" spans="1:25" ht="15.6" x14ac:dyDescent="0.3">
      <c r="A265" s="183"/>
      <c r="B265" s="198"/>
      <c r="C265" s="198"/>
      <c r="D265" s="198"/>
      <c r="E265" s="198"/>
      <c r="F265" s="198"/>
      <c r="G265" s="198"/>
      <c r="H265" s="386"/>
      <c r="I265" s="386"/>
      <c r="J265" s="386"/>
      <c r="K265" s="386"/>
      <c r="L265" s="386"/>
      <c r="M265" s="386"/>
      <c r="N265" s="386"/>
      <c r="O265" s="386"/>
      <c r="P265" s="386"/>
      <c r="Q265" s="386"/>
      <c r="R265" s="335"/>
      <c r="S265" s="387"/>
      <c r="T265" s="388"/>
      <c r="U265" s="387"/>
      <c r="V265" s="198"/>
      <c r="W265" s="198"/>
      <c r="X265" s="5"/>
    </row>
    <row r="266" spans="1:25" ht="15.6" x14ac:dyDescent="0.3">
      <c r="A266" s="280"/>
      <c r="B266" s="269" t="s">
        <v>275</v>
      </c>
      <c r="C266" s="270"/>
      <c r="D266" s="270"/>
      <c r="E266" s="270"/>
      <c r="F266" s="279"/>
      <c r="G266" s="270"/>
      <c r="H266" s="270"/>
      <c r="I266" s="270"/>
      <c r="J266" s="270"/>
      <c r="K266" s="270"/>
      <c r="L266" s="270"/>
      <c r="M266" s="270"/>
      <c r="N266" s="270"/>
      <c r="O266" s="270"/>
      <c r="P266" s="270"/>
      <c r="Q266" s="270"/>
      <c r="R266" s="279" t="s">
        <v>102</v>
      </c>
      <c r="S266" s="270" t="s">
        <v>103</v>
      </c>
      <c r="T266" s="279" t="s">
        <v>109</v>
      </c>
      <c r="U266" s="270" t="s">
        <v>103</v>
      </c>
      <c r="V266" s="281"/>
      <c r="W266" s="282"/>
      <c r="X266" s="5"/>
    </row>
    <row r="267" spans="1:25" ht="15.6" x14ac:dyDescent="0.3">
      <c r="A267" s="197"/>
      <c r="B267" s="234" t="s">
        <v>88</v>
      </c>
      <c r="C267" s="253"/>
      <c r="D267" s="253"/>
      <c r="E267" s="253"/>
      <c r="F267" s="231"/>
      <c r="G267" s="253"/>
      <c r="H267" s="253"/>
      <c r="I267" s="253"/>
      <c r="J267" s="253"/>
      <c r="K267" s="253"/>
      <c r="L267" s="253"/>
      <c r="M267" s="253"/>
      <c r="N267" s="253"/>
      <c r="O267" s="253"/>
      <c r="P267" s="253"/>
      <c r="Q267" s="253"/>
      <c r="R267" s="234">
        <v>98</v>
      </c>
      <c r="S267" s="254">
        <f t="shared" ref="S267:S274" si="7">R267/$R$276</f>
        <v>0.57988165680473369</v>
      </c>
      <c r="T267" s="241">
        <v>13583</v>
      </c>
      <c r="U267" s="254">
        <f t="shared" ref="U267:U274" si="8">T267/$T$276</f>
        <v>0.56107232847288202</v>
      </c>
      <c r="V267" s="231"/>
      <c r="W267" s="231"/>
      <c r="X267" s="5"/>
    </row>
    <row r="268" spans="1:25" ht="15.6" x14ac:dyDescent="0.3">
      <c r="A268" s="287"/>
      <c r="B268" s="337" t="s">
        <v>89</v>
      </c>
      <c r="C268" s="389"/>
      <c r="D268" s="389"/>
      <c r="E268" s="389"/>
      <c r="F268" s="288"/>
      <c r="G268" s="390"/>
      <c r="H268" s="389"/>
      <c r="I268" s="389"/>
      <c r="J268" s="389"/>
      <c r="K268" s="389"/>
      <c r="L268" s="389"/>
      <c r="M268" s="389"/>
      <c r="N268" s="389"/>
      <c r="O268" s="389"/>
      <c r="P268" s="389"/>
      <c r="Q268" s="389"/>
      <c r="R268" s="337">
        <v>9</v>
      </c>
      <c r="S268" s="390">
        <f t="shared" si="7"/>
        <v>5.3254437869822487E-2</v>
      </c>
      <c r="T268" s="338">
        <v>1466</v>
      </c>
      <c r="U268" s="390">
        <f t="shared" si="8"/>
        <v>6.0555991573381797E-2</v>
      </c>
      <c r="V268" s="288"/>
      <c r="W268" s="291"/>
      <c r="X268" s="5"/>
    </row>
    <row r="269" spans="1:25" ht="15.6" x14ac:dyDescent="0.3">
      <c r="A269" s="287"/>
      <c r="B269" s="337" t="s">
        <v>90</v>
      </c>
      <c r="C269" s="389"/>
      <c r="D269" s="389"/>
      <c r="E269" s="389"/>
      <c r="F269" s="288"/>
      <c r="G269" s="390"/>
      <c r="H269" s="389"/>
      <c r="I269" s="389"/>
      <c r="J269" s="389"/>
      <c r="K269" s="389"/>
      <c r="L269" s="389"/>
      <c r="M269" s="389"/>
      <c r="N269" s="389"/>
      <c r="O269" s="389"/>
      <c r="P269" s="389"/>
      <c r="Q269" s="389"/>
      <c r="R269" s="337">
        <v>8</v>
      </c>
      <c r="S269" s="390">
        <f t="shared" si="7"/>
        <v>4.7337278106508875E-2</v>
      </c>
      <c r="T269" s="338">
        <v>1012</v>
      </c>
      <c r="U269" s="390">
        <f t="shared" si="8"/>
        <v>4.1802635383535049E-2</v>
      </c>
      <c r="V269" s="288"/>
      <c r="W269" s="291"/>
      <c r="X269" s="5"/>
    </row>
    <row r="270" spans="1:25" ht="15.6" x14ac:dyDescent="0.3">
      <c r="A270" s="287"/>
      <c r="B270" s="337" t="s">
        <v>156</v>
      </c>
      <c r="C270" s="389"/>
      <c r="D270" s="389"/>
      <c r="E270" s="389"/>
      <c r="F270" s="288"/>
      <c r="G270" s="390"/>
      <c r="H270" s="389"/>
      <c r="I270" s="389"/>
      <c r="J270" s="389"/>
      <c r="K270" s="389"/>
      <c r="L270" s="389"/>
      <c r="M270" s="389"/>
      <c r="N270" s="389"/>
      <c r="O270" s="389"/>
      <c r="P270" s="389"/>
      <c r="Q270" s="389"/>
      <c r="R270" s="337">
        <v>2</v>
      </c>
      <c r="S270" s="390">
        <f t="shared" si="7"/>
        <v>1.1834319526627219E-2</v>
      </c>
      <c r="T270" s="338">
        <v>220</v>
      </c>
      <c r="U270" s="390">
        <f t="shared" si="8"/>
        <v>9.0875294312032714E-3</v>
      </c>
      <c r="V270" s="288"/>
      <c r="W270" s="291"/>
      <c r="X270" s="5"/>
    </row>
    <row r="271" spans="1:25" ht="15.6" x14ac:dyDescent="0.3">
      <c r="A271" s="287"/>
      <c r="B271" s="337" t="s">
        <v>157</v>
      </c>
      <c r="C271" s="389"/>
      <c r="D271" s="389"/>
      <c r="E271" s="389"/>
      <c r="F271" s="288"/>
      <c r="G271" s="390"/>
      <c r="H271" s="389"/>
      <c r="I271" s="389"/>
      <c r="J271" s="389"/>
      <c r="K271" s="389"/>
      <c r="L271" s="389"/>
      <c r="M271" s="389"/>
      <c r="N271" s="389"/>
      <c r="O271" s="389"/>
      <c r="P271" s="389"/>
      <c r="Q271" s="389"/>
      <c r="R271" s="337">
        <v>4</v>
      </c>
      <c r="S271" s="390">
        <f t="shared" si="7"/>
        <v>2.3668639053254437E-2</v>
      </c>
      <c r="T271" s="338">
        <v>807</v>
      </c>
      <c r="U271" s="390">
        <f t="shared" si="8"/>
        <v>3.3334710231731998E-2</v>
      </c>
      <c r="V271" s="288"/>
      <c r="W271" s="291"/>
      <c r="X271" s="5"/>
    </row>
    <row r="272" spans="1:25" ht="15.6" x14ac:dyDescent="0.3">
      <c r="A272" s="287"/>
      <c r="B272" s="337" t="s">
        <v>158</v>
      </c>
      <c r="C272" s="389"/>
      <c r="D272" s="389"/>
      <c r="E272" s="389"/>
      <c r="F272" s="288"/>
      <c r="G272" s="390"/>
      <c r="H272" s="389"/>
      <c r="I272" s="389"/>
      <c r="J272" s="389"/>
      <c r="K272" s="389"/>
      <c r="L272" s="389"/>
      <c r="M272" s="389"/>
      <c r="N272" s="389"/>
      <c r="O272" s="389"/>
      <c r="P272" s="389"/>
      <c r="Q272" s="389"/>
      <c r="R272" s="337">
        <v>2</v>
      </c>
      <c r="S272" s="390">
        <f t="shared" si="7"/>
        <v>1.1834319526627219E-2</v>
      </c>
      <c r="T272" s="338">
        <v>231</v>
      </c>
      <c r="U272" s="390">
        <f t="shared" si="8"/>
        <v>9.541905902763435E-3</v>
      </c>
      <c r="V272" s="288"/>
      <c r="W272" s="291"/>
      <c r="X272" s="5"/>
    </row>
    <row r="273" spans="1:24" ht="15.6" x14ac:dyDescent="0.3">
      <c r="A273" s="287"/>
      <c r="B273" s="337" t="s">
        <v>159</v>
      </c>
      <c r="C273" s="389"/>
      <c r="D273" s="389"/>
      <c r="E273" s="389"/>
      <c r="F273" s="288"/>
      <c r="G273" s="390"/>
      <c r="H273" s="389"/>
      <c r="I273" s="389"/>
      <c r="J273" s="389"/>
      <c r="K273" s="389"/>
      <c r="L273" s="389"/>
      <c r="M273" s="389"/>
      <c r="N273" s="389"/>
      <c r="O273" s="389"/>
      <c r="P273" s="389"/>
      <c r="Q273" s="389"/>
      <c r="R273" s="337">
        <v>21</v>
      </c>
      <c r="S273" s="390">
        <f t="shared" si="7"/>
        <v>0.1242603550295858</v>
      </c>
      <c r="T273" s="338">
        <v>2791</v>
      </c>
      <c r="U273" s="390">
        <f t="shared" si="8"/>
        <v>0.1152877029204015</v>
      </c>
      <c r="V273" s="288"/>
      <c r="W273" s="291"/>
      <c r="X273" s="5"/>
    </row>
    <row r="274" spans="1:24" ht="15.6" x14ac:dyDescent="0.3">
      <c r="A274" s="287"/>
      <c r="B274" s="337" t="s">
        <v>160</v>
      </c>
      <c r="C274" s="389"/>
      <c r="D274" s="389"/>
      <c r="E274" s="389"/>
      <c r="F274" s="288"/>
      <c r="G274" s="390"/>
      <c r="H274" s="389"/>
      <c r="I274" s="389"/>
      <c r="J274" s="389"/>
      <c r="K274" s="389"/>
      <c r="L274" s="389"/>
      <c r="M274" s="389"/>
      <c r="N274" s="389"/>
      <c r="O274" s="389"/>
      <c r="P274" s="389"/>
      <c r="Q274" s="389"/>
      <c r="R274" s="337">
        <v>25</v>
      </c>
      <c r="S274" s="390">
        <f t="shared" si="7"/>
        <v>0.14792899408284024</v>
      </c>
      <c r="T274" s="338">
        <v>4099</v>
      </c>
      <c r="U274" s="390">
        <f t="shared" si="8"/>
        <v>0.16931719608410095</v>
      </c>
      <c r="V274" s="288"/>
      <c r="W274" s="291"/>
      <c r="X274" s="5"/>
    </row>
    <row r="275" spans="1:24" ht="15.6" x14ac:dyDescent="0.3">
      <c r="A275" s="287"/>
      <c r="B275" s="337"/>
      <c r="C275" s="389"/>
      <c r="D275" s="389"/>
      <c r="E275" s="389"/>
      <c r="F275" s="288"/>
      <c r="G275" s="390"/>
      <c r="H275" s="389"/>
      <c r="I275" s="389"/>
      <c r="J275" s="389"/>
      <c r="K275" s="389"/>
      <c r="L275" s="389"/>
      <c r="M275" s="389"/>
      <c r="N275" s="389"/>
      <c r="O275" s="389"/>
      <c r="P275" s="389"/>
      <c r="Q275" s="389"/>
      <c r="R275" s="337"/>
      <c r="S275" s="390"/>
      <c r="T275" s="338"/>
      <c r="U275" s="390"/>
      <c r="V275" s="288"/>
      <c r="W275" s="291"/>
      <c r="X275" s="5"/>
    </row>
    <row r="276" spans="1:24" ht="15.6" x14ac:dyDescent="0.3">
      <c r="A276" s="287"/>
      <c r="B276" s="288"/>
      <c r="C276" s="288"/>
      <c r="D276" s="288"/>
      <c r="E276" s="288"/>
      <c r="F276" s="288"/>
      <c r="G276" s="288"/>
      <c r="H276" s="391"/>
      <c r="I276" s="391"/>
      <c r="J276" s="391"/>
      <c r="K276" s="391"/>
      <c r="L276" s="391"/>
      <c r="M276" s="391"/>
      <c r="N276" s="391"/>
      <c r="O276" s="391"/>
      <c r="P276" s="391"/>
      <c r="Q276" s="391"/>
      <c r="R276" s="337">
        <f>SUM(R267:R275)</f>
        <v>169</v>
      </c>
      <c r="S276" s="390">
        <f>SUM(S267:S275)</f>
        <v>0.99999999999999989</v>
      </c>
      <c r="T276" s="338">
        <f>SUM(T267:T275)</f>
        <v>24209</v>
      </c>
      <c r="U276" s="390">
        <f>SUM(U267:U275)</f>
        <v>0.99999999999999978</v>
      </c>
      <c r="V276" s="288"/>
      <c r="W276" s="291"/>
      <c r="X276" s="5"/>
    </row>
    <row r="277" spans="1:24" ht="15.6" x14ac:dyDescent="0.3">
      <c r="A277" s="183"/>
      <c r="B277" s="284"/>
      <c r="C277" s="284"/>
      <c r="D277" s="284"/>
      <c r="E277" s="284"/>
      <c r="F277" s="284"/>
      <c r="G277" s="284"/>
      <c r="H277" s="392"/>
      <c r="I277" s="392"/>
      <c r="J277" s="392"/>
      <c r="K277" s="392"/>
      <c r="L277" s="392"/>
      <c r="M277" s="392"/>
      <c r="N277" s="392"/>
      <c r="O277" s="392"/>
      <c r="P277" s="392"/>
      <c r="Q277" s="392"/>
      <c r="R277" s="339"/>
      <c r="S277" s="393"/>
      <c r="T277" s="394"/>
      <c r="U277" s="393"/>
      <c r="V277" s="284"/>
      <c r="W277" s="284"/>
      <c r="X277" s="5"/>
    </row>
    <row r="278" spans="1:24" ht="15.6" x14ac:dyDescent="0.3">
      <c r="A278" s="280"/>
      <c r="B278" s="269" t="s">
        <v>163</v>
      </c>
      <c r="C278" s="281"/>
      <c r="D278" s="281"/>
      <c r="E278" s="281"/>
      <c r="F278" s="281"/>
      <c r="G278" s="281"/>
      <c r="H278" s="283"/>
      <c r="I278" s="283"/>
      <c r="J278" s="283"/>
      <c r="K278" s="283"/>
      <c r="L278" s="283"/>
      <c r="M278" s="283"/>
      <c r="N278" s="283"/>
      <c r="O278" s="283"/>
      <c r="P278" s="283"/>
      <c r="Q278" s="283"/>
      <c r="R278" s="279" t="s">
        <v>102</v>
      </c>
      <c r="S278" s="270" t="s">
        <v>103</v>
      </c>
      <c r="T278" s="279" t="s">
        <v>109</v>
      </c>
      <c r="U278" s="270" t="s">
        <v>103</v>
      </c>
      <c r="V278" s="281"/>
      <c r="W278" s="282"/>
      <c r="X278" s="5"/>
    </row>
    <row r="279" spans="1:24" ht="15.6" x14ac:dyDescent="0.3">
      <c r="A279" s="197"/>
      <c r="B279" s="234" t="s">
        <v>88</v>
      </c>
      <c r="C279" s="231"/>
      <c r="D279" s="231"/>
      <c r="E279" s="231"/>
      <c r="F279" s="231"/>
      <c r="G279" s="231"/>
      <c r="H279" s="255"/>
      <c r="I279" s="255"/>
      <c r="J279" s="255"/>
      <c r="K279" s="255"/>
      <c r="L279" s="255"/>
      <c r="M279" s="255"/>
      <c r="N279" s="255"/>
      <c r="O279" s="255"/>
      <c r="P279" s="255"/>
      <c r="Q279" s="255"/>
      <c r="R279" s="234">
        <v>0</v>
      </c>
      <c r="S279" s="254">
        <v>0</v>
      </c>
      <c r="T279" s="241">
        <v>0</v>
      </c>
      <c r="U279" s="254">
        <v>0</v>
      </c>
      <c r="V279" s="231"/>
      <c r="W279" s="231"/>
      <c r="X279" s="5"/>
    </row>
    <row r="280" spans="1:24" ht="15.6" x14ac:dyDescent="0.3">
      <c r="A280" s="287"/>
      <c r="B280" s="337" t="s">
        <v>89</v>
      </c>
      <c r="C280" s="288"/>
      <c r="D280" s="288"/>
      <c r="E280" s="288"/>
      <c r="F280" s="288"/>
      <c r="G280" s="288"/>
      <c r="H280" s="391"/>
      <c r="I280" s="391"/>
      <c r="J280" s="391"/>
      <c r="K280" s="391"/>
      <c r="L280" s="391"/>
      <c r="M280" s="391"/>
      <c r="N280" s="391"/>
      <c r="O280" s="391"/>
      <c r="P280" s="391"/>
      <c r="Q280" s="391"/>
      <c r="R280" s="337">
        <v>0</v>
      </c>
      <c r="S280" s="390">
        <v>0</v>
      </c>
      <c r="T280" s="338">
        <v>0</v>
      </c>
      <c r="U280" s="390">
        <v>0</v>
      </c>
      <c r="V280" s="288"/>
      <c r="W280" s="291"/>
      <c r="X280" s="5"/>
    </row>
    <row r="281" spans="1:24" ht="15.6" x14ac:dyDescent="0.3">
      <c r="A281" s="287"/>
      <c r="B281" s="337" t="s">
        <v>90</v>
      </c>
      <c r="C281" s="288"/>
      <c r="D281" s="288"/>
      <c r="E281" s="288"/>
      <c r="F281" s="288"/>
      <c r="G281" s="288"/>
      <c r="H281" s="391"/>
      <c r="I281" s="391"/>
      <c r="J281" s="391"/>
      <c r="K281" s="391"/>
      <c r="L281" s="391"/>
      <c r="M281" s="391"/>
      <c r="N281" s="391"/>
      <c r="O281" s="391"/>
      <c r="P281" s="391"/>
      <c r="Q281" s="391"/>
      <c r="R281" s="337">
        <v>0</v>
      </c>
      <c r="S281" s="390">
        <v>0</v>
      </c>
      <c r="T281" s="338">
        <v>0</v>
      </c>
      <c r="U281" s="390">
        <v>0</v>
      </c>
      <c r="V281" s="288"/>
      <c r="W281" s="291"/>
      <c r="X281" s="5"/>
    </row>
    <row r="282" spans="1:24" ht="15.6" x14ac:dyDescent="0.3">
      <c r="A282" s="287"/>
      <c r="B282" s="337" t="s">
        <v>156</v>
      </c>
      <c r="C282" s="288"/>
      <c r="D282" s="288"/>
      <c r="E282" s="288"/>
      <c r="F282" s="288"/>
      <c r="G282" s="288"/>
      <c r="H282" s="391"/>
      <c r="I282" s="391"/>
      <c r="J282" s="391"/>
      <c r="K282" s="391"/>
      <c r="L282" s="391"/>
      <c r="M282" s="391"/>
      <c r="N282" s="391"/>
      <c r="O282" s="391"/>
      <c r="P282" s="391"/>
      <c r="Q282" s="391"/>
      <c r="R282" s="337">
        <v>0</v>
      </c>
      <c r="S282" s="390">
        <v>0</v>
      </c>
      <c r="T282" s="338">
        <v>0</v>
      </c>
      <c r="U282" s="390">
        <v>0</v>
      </c>
      <c r="V282" s="288"/>
      <c r="W282" s="291"/>
      <c r="X282" s="5"/>
    </row>
    <row r="283" spans="1:24" ht="15.6" x14ac:dyDescent="0.3">
      <c r="A283" s="287"/>
      <c r="B283" s="337" t="s">
        <v>157</v>
      </c>
      <c r="C283" s="288"/>
      <c r="D283" s="288"/>
      <c r="E283" s="288"/>
      <c r="F283" s="288"/>
      <c r="G283" s="288"/>
      <c r="H283" s="391"/>
      <c r="I283" s="391"/>
      <c r="J283" s="391"/>
      <c r="K283" s="391"/>
      <c r="L283" s="391"/>
      <c r="M283" s="391"/>
      <c r="N283" s="391"/>
      <c r="O283" s="391"/>
      <c r="P283" s="391"/>
      <c r="Q283" s="391"/>
      <c r="R283" s="337">
        <v>0</v>
      </c>
      <c r="S283" s="390">
        <v>0</v>
      </c>
      <c r="T283" s="338">
        <v>0</v>
      </c>
      <c r="U283" s="390">
        <v>0</v>
      </c>
      <c r="V283" s="288"/>
      <c r="W283" s="291"/>
      <c r="X283" s="5"/>
    </row>
    <row r="284" spans="1:24" ht="15.6" x14ac:dyDescent="0.3">
      <c r="A284" s="287"/>
      <c r="B284" s="337" t="s">
        <v>158</v>
      </c>
      <c r="C284" s="288"/>
      <c r="D284" s="288"/>
      <c r="E284" s="288"/>
      <c r="F284" s="288"/>
      <c r="G284" s="288"/>
      <c r="H284" s="391"/>
      <c r="I284" s="391"/>
      <c r="J284" s="391"/>
      <c r="K284" s="391"/>
      <c r="L284" s="391"/>
      <c r="M284" s="391"/>
      <c r="N284" s="391"/>
      <c r="O284" s="391"/>
      <c r="P284" s="391"/>
      <c r="Q284" s="391"/>
      <c r="R284" s="337">
        <v>0</v>
      </c>
      <c r="S284" s="390">
        <v>0</v>
      </c>
      <c r="T284" s="338">
        <v>0</v>
      </c>
      <c r="U284" s="390">
        <v>0</v>
      </c>
      <c r="V284" s="288"/>
      <c r="W284" s="291"/>
      <c r="X284" s="5"/>
    </row>
    <row r="285" spans="1:24" ht="15.6" x14ac:dyDescent="0.3">
      <c r="A285" s="287"/>
      <c r="B285" s="337" t="s">
        <v>159</v>
      </c>
      <c r="C285" s="288"/>
      <c r="D285" s="288"/>
      <c r="E285" s="288"/>
      <c r="F285" s="288"/>
      <c r="G285" s="288"/>
      <c r="H285" s="391"/>
      <c r="I285" s="391"/>
      <c r="J285" s="391"/>
      <c r="K285" s="391"/>
      <c r="L285" s="391"/>
      <c r="M285" s="391"/>
      <c r="N285" s="391"/>
      <c r="O285" s="391"/>
      <c r="P285" s="391"/>
      <c r="Q285" s="391"/>
      <c r="R285" s="337">
        <v>0</v>
      </c>
      <c r="S285" s="390">
        <v>0</v>
      </c>
      <c r="T285" s="338">
        <v>0</v>
      </c>
      <c r="U285" s="390">
        <v>0</v>
      </c>
      <c r="V285" s="288"/>
      <c r="W285" s="291"/>
      <c r="X285" s="5"/>
    </row>
    <row r="286" spans="1:24" ht="15.6" x14ac:dyDescent="0.3">
      <c r="A286" s="287"/>
      <c r="B286" s="337" t="s">
        <v>160</v>
      </c>
      <c r="C286" s="288"/>
      <c r="D286" s="288"/>
      <c r="E286" s="288"/>
      <c r="F286" s="288"/>
      <c r="G286" s="288"/>
      <c r="H286" s="391"/>
      <c r="I286" s="391"/>
      <c r="J286" s="391"/>
      <c r="K286" s="391"/>
      <c r="L286" s="391"/>
      <c r="M286" s="391"/>
      <c r="N286" s="391"/>
      <c r="O286" s="391"/>
      <c r="P286" s="391"/>
      <c r="Q286" s="391"/>
      <c r="R286" s="337">
        <v>0</v>
      </c>
      <c r="S286" s="390">
        <v>0</v>
      </c>
      <c r="T286" s="338">
        <v>0</v>
      </c>
      <c r="U286" s="390">
        <v>0</v>
      </c>
      <c r="V286" s="288"/>
      <c r="W286" s="291"/>
      <c r="X286" s="5"/>
    </row>
    <row r="287" spans="1:24" ht="15.6" x14ac:dyDescent="0.3">
      <c r="A287" s="287"/>
      <c r="B287" s="337"/>
      <c r="C287" s="288"/>
      <c r="D287" s="288"/>
      <c r="E287" s="288"/>
      <c r="F287" s="288"/>
      <c r="G287" s="288"/>
      <c r="H287" s="391"/>
      <c r="I287" s="391"/>
      <c r="J287" s="391"/>
      <c r="K287" s="391"/>
      <c r="L287" s="391"/>
      <c r="M287" s="391"/>
      <c r="N287" s="391"/>
      <c r="O287" s="391"/>
      <c r="P287" s="391"/>
      <c r="Q287" s="391"/>
      <c r="R287" s="337"/>
      <c r="S287" s="390"/>
      <c r="T287" s="338"/>
      <c r="U287" s="390"/>
      <c r="V287" s="288"/>
      <c r="W287" s="291"/>
      <c r="X287" s="5"/>
    </row>
    <row r="288" spans="1:24" ht="15.6" x14ac:dyDescent="0.3">
      <c r="A288" s="287"/>
      <c r="B288" s="288" t="s">
        <v>114</v>
      </c>
      <c r="C288" s="288"/>
      <c r="D288" s="288"/>
      <c r="E288" s="288"/>
      <c r="F288" s="288"/>
      <c r="G288" s="288"/>
      <c r="H288" s="391"/>
      <c r="I288" s="391"/>
      <c r="J288" s="391"/>
      <c r="K288" s="391"/>
      <c r="L288" s="391"/>
      <c r="M288" s="391"/>
      <c r="N288" s="391"/>
      <c r="O288" s="391"/>
      <c r="P288" s="391"/>
      <c r="Q288" s="391"/>
      <c r="R288" s="337">
        <f>SUM(R279:R286)</f>
        <v>0</v>
      </c>
      <c r="S288" s="390">
        <f>SUM(S279:S287)</f>
        <v>0</v>
      </c>
      <c r="T288" s="338">
        <f>SUM(T279:T286)</f>
        <v>0</v>
      </c>
      <c r="U288" s="390">
        <f>SUM(U279:U287)</f>
        <v>0</v>
      </c>
      <c r="V288" s="288"/>
      <c r="W288" s="291"/>
      <c r="X288" s="5"/>
    </row>
    <row r="289" spans="1:24" ht="15.6" x14ac:dyDescent="0.3">
      <c r="A289" s="287"/>
      <c r="B289" s="288"/>
      <c r="C289" s="288"/>
      <c r="D289" s="288"/>
      <c r="E289" s="288"/>
      <c r="F289" s="288"/>
      <c r="G289" s="288"/>
      <c r="H289" s="391"/>
      <c r="I289" s="391"/>
      <c r="J289" s="391"/>
      <c r="K289" s="391"/>
      <c r="L289" s="391"/>
      <c r="M289" s="391"/>
      <c r="N289" s="391"/>
      <c r="O289" s="391"/>
      <c r="P289" s="391"/>
      <c r="Q289" s="391"/>
      <c r="R289" s="337"/>
      <c r="S289" s="390"/>
      <c r="T289" s="338"/>
      <c r="U289" s="390"/>
      <c r="V289" s="288"/>
      <c r="W289" s="291"/>
      <c r="X289" s="5"/>
    </row>
    <row r="290" spans="1:24" ht="15.6" x14ac:dyDescent="0.3">
      <c r="A290" s="287"/>
      <c r="B290" s="297" t="s">
        <v>164</v>
      </c>
      <c r="C290" s="288"/>
      <c r="D290" s="288"/>
      <c r="E290" s="288"/>
      <c r="F290" s="288"/>
      <c r="G290" s="288"/>
      <c r="H290" s="391"/>
      <c r="I290" s="391"/>
      <c r="J290" s="391"/>
      <c r="K290" s="391"/>
      <c r="L290" s="391"/>
      <c r="M290" s="391"/>
      <c r="N290" s="391"/>
      <c r="O290" s="391"/>
      <c r="P290" s="391"/>
      <c r="Q290" s="391"/>
      <c r="R290" s="395">
        <f>R288+R276+R264</f>
        <v>8153</v>
      </c>
      <c r="S290" s="390"/>
      <c r="T290" s="396">
        <f>+T288+T276+T264</f>
        <v>1151600</v>
      </c>
      <c r="U290" s="390"/>
      <c r="V290" s="288"/>
      <c r="W290" s="291"/>
      <c r="X290" s="5"/>
    </row>
    <row r="291" spans="1:24" ht="15.6" x14ac:dyDescent="0.3">
      <c r="A291" s="183"/>
      <c r="B291" s="284"/>
      <c r="C291" s="284"/>
      <c r="D291" s="284"/>
      <c r="E291" s="284"/>
      <c r="F291" s="284"/>
      <c r="G291" s="284"/>
      <c r="H291" s="392"/>
      <c r="I291" s="392"/>
      <c r="J291" s="392"/>
      <c r="K291" s="392"/>
      <c r="L291" s="392"/>
      <c r="M291" s="392"/>
      <c r="N291" s="392"/>
      <c r="O291" s="392"/>
      <c r="P291" s="392"/>
      <c r="Q291" s="392"/>
      <c r="R291" s="392"/>
      <c r="S291" s="392"/>
      <c r="T291" s="394"/>
      <c r="U291" s="392"/>
      <c r="V291" s="284"/>
      <c r="W291" s="284"/>
      <c r="X291" s="5"/>
    </row>
    <row r="292" spans="1:24" ht="15.6" x14ac:dyDescent="0.3">
      <c r="A292" s="183"/>
      <c r="B292" s="224"/>
      <c r="C292" s="224"/>
      <c r="D292" s="224"/>
      <c r="E292" s="224"/>
      <c r="F292" s="224"/>
      <c r="G292" s="224"/>
      <c r="H292" s="256"/>
      <c r="I292" s="256"/>
      <c r="J292" s="256"/>
      <c r="K292" s="256"/>
      <c r="L292" s="256"/>
      <c r="M292" s="256"/>
      <c r="N292" s="256"/>
      <c r="O292" s="256"/>
      <c r="P292" s="256"/>
      <c r="Q292" s="256"/>
      <c r="R292" s="256"/>
      <c r="S292" s="256"/>
      <c r="T292" s="257"/>
      <c r="U292" s="256"/>
      <c r="V292" s="224"/>
      <c r="W292" s="224"/>
      <c r="X292" s="5"/>
    </row>
    <row r="293" spans="1:24" ht="15.6" x14ac:dyDescent="0.3">
      <c r="A293" s="219"/>
      <c r="B293" s="222" t="s">
        <v>91</v>
      </c>
      <c r="C293" s="224"/>
      <c r="D293" s="224"/>
      <c r="E293" s="224"/>
      <c r="F293" s="228" t="s">
        <v>97</v>
      </c>
      <c r="G293" s="224"/>
      <c r="H293" s="222" t="s">
        <v>99</v>
      </c>
      <c r="I293" s="222"/>
      <c r="J293" s="222"/>
      <c r="K293" s="258"/>
      <c r="L293" s="258"/>
      <c r="M293" s="258"/>
      <c r="N293" s="258"/>
      <c r="O293" s="258"/>
      <c r="P293" s="258"/>
      <c r="Q293" s="258"/>
      <c r="R293" s="258"/>
      <c r="S293" s="258"/>
      <c r="T293" s="258"/>
      <c r="U293" s="258"/>
      <c r="V293" s="258"/>
      <c r="W293" s="258"/>
      <c r="X293" s="5"/>
    </row>
    <row r="294" spans="1:24" ht="15.6" x14ac:dyDescent="0.3">
      <c r="A294" s="219"/>
      <c r="B294" s="258"/>
      <c r="C294" s="224"/>
      <c r="D294" s="224"/>
      <c r="E294" s="224"/>
      <c r="F294" s="224"/>
      <c r="G294" s="224"/>
      <c r="H294" s="224"/>
      <c r="I294" s="224"/>
      <c r="J294" s="224"/>
      <c r="K294" s="258"/>
      <c r="L294" s="258"/>
      <c r="M294" s="258"/>
      <c r="N294" s="258"/>
      <c r="O294" s="258"/>
      <c r="P294" s="258"/>
      <c r="Q294" s="258"/>
      <c r="R294" s="258"/>
      <c r="S294" s="258"/>
      <c r="T294" s="258"/>
      <c r="U294" s="258"/>
      <c r="V294" s="258"/>
      <c r="W294" s="258"/>
      <c r="X294" s="5"/>
    </row>
    <row r="295" spans="1:24" ht="15.6" x14ac:dyDescent="0.3">
      <c r="A295" s="219"/>
      <c r="B295" s="222" t="s">
        <v>92</v>
      </c>
      <c r="C295" s="222"/>
      <c r="D295" s="222"/>
      <c r="E295" s="222"/>
      <c r="F295" s="259" t="s">
        <v>148</v>
      </c>
      <c r="G295" s="222"/>
      <c r="H295" s="222" t="s">
        <v>152</v>
      </c>
      <c r="I295" s="222"/>
      <c r="J295" s="222"/>
      <c r="K295" s="258"/>
      <c r="L295" s="258"/>
      <c r="M295" s="258"/>
      <c r="N295" s="258"/>
      <c r="O295" s="258"/>
      <c r="P295" s="258"/>
      <c r="Q295" s="258"/>
      <c r="R295" s="258"/>
      <c r="S295" s="258"/>
      <c r="T295" s="258"/>
      <c r="U295" s="258"/>
      <c r="V295" s="258"/>
      <c r="W295" s="258"/>
      <c r="X295" s="5"/>
    </row>
    <row r="296" spans="1:24" ht="15.6" x14ac:dyDescent="0.3">
      <c r="A296" s="219"/>
      <c r="B296" s="222" t="s">
        <v>277</v>
      </c>
      <c r="C296" s="222"/>
      <c r="D296" s="222"/>
      <c r="E296" s="222"/>
      <c r="F296" s="259" t="s">
        <v>278</v>
      </c>
      <c r="G296" s="222"/>
      <c r="H296" s="222" t="s">
        <v>279</v>
      </c>
      <c r="I296" s="258"/>
      <c r="J296" s="222"/>
      <c r="K296" s="258"/>
      <c r="L296" s="258"/>
      <c r="M296" s="258"/>
      <c r="N296" s="258"/>
      <c r="O296" s="258"/>
      <c r="P296" s="258"/>
      <c r="Q296" s="258"/>
      <c r="R296" s="258"/>
      <c r="S296" s="258"/>
      <c r="T296" s="258"/>
      <c r="U296" s="258"/>
      <c r="V296" s="258"/>
      <c r="W296" s="258"/>
      <c r="X296" s="5"/>
    </row>
    <row r="297" spans="1:24" ht="15.6" x14ac:dyDescent="0.3">
      <c r="A297" s="219"/>
      <c r="B297" s="222" t="s">
        <v>93</v>
      </c>
      <c r="C297" s="222"/>
      <c r="D297" s="222"/>
      <c r="E297" s="222"/>
      <c r="F297" s="259" t="s">
        <v>147</v>
      </c>
      <c r="G297" s="222"/>
      <c r="H297" s="222" t="s">
        <v>153</v>
      </c>
      <c r="I297" s="222"/>
      <c r="J297" s="222"/>
      <c r="K297" s="258"/>
      <c r="L297" s="258"/>
      <c r="M297" s="258"/>
      <c r="N297" s="258"/>
      <c r="O297" s="258"/>
      <c r="P297" s="258"/>
      <c r="Q297" s="258"/>
      <c r="R297" s="258"/>
      <c r="S297" s="258"/>
      <c r="T297" s="258"/>
      <c r="U297" s="258"/>
      <c r="V297" s="258"/>
      <c r="W297" s="258"/>
      <c r="X297" s="5"/>
    </row>
    <row r="298" spans="1:24" ht="15.6" x14ac:dyDescent="0.3">
      <c r="A298" s="219"/>
      <c r="B298" s="222"/>
      <c r="C298" s="222"/>
      <c r="D298" s="222"/>
      <c r="E298" s="222"/>
      <c r="F298" s="222"/>
      <c r="G298" s="260"/>
      <c r="H298" s="258"/>
      <c r="I298" s="258"/>
      <c r="J298" s="258"/>
      <c r="K298" s="258"/>
      <c r="L298" s="258"/>
      <c r="M298" s="258"/>
      <c r="N298" s="258"/>
      <c r="O298" s="258"/>
      <c r="P298" s="258"/>
      <c r="Q298" s="258"/>
      <c r="R298" s="258"/>
      <c r="S298" s="258"/>
      <c r="T298" s="258"/>
      <c r="U298" s="258"/>
      <c r="V298" s="258"/>
      <c r="W298" s="258"/>
      <c r="X298" s="5"/>
    </row>
    <row r="299" spans="1:24" ht="15.6" x14ac:dyDescent="0.3">
      <c r="A299" s="219"/>
      <c r="B299" s="222"/>
      <c r="C299" s="222"/>
      <c r="D299" s="222"/>
      <c r="E299" s="222"/>
      <c r="F299" s="222"/>
      <c r="G299" s="260"/>
      <c r="H299" s="258"/>
      <c r="I299" s="258"/>
      <c r="J299" s="258"/>
      <c r="K299" s="258"/>
      <c r="L299" s="258"/>
      <c r="M299" s="258"/>
      <c r="N299" s="258"/>
      <c r="O299" s="258"/>
      <c r="P299" s="258"/>
      <c r="Q299" s="258"/>
      <c r="R299" s="258"/>
      <c r="S299" s="258"/>
      <c r="T299" s="258"/>
      <c r="U299" s="258"/>
      <c r="V299" s="258"/>
      <c r="W299" s="258"/>
      <c r="X299" s="5"/>
    </row>
    <row r="300" spans="1:24" ht="18" thickBot="1" x14ac:dyDescent="0.35">
      <c r="A300" s="219"/>
      <c r="B300" s="261" t="str">
        <f>B204</f>
        <v>PM14 INVESTOR REPORT QUARTER ENDING FEBRUARY 2011</v>
      </c>
      <c r="C300" s="222"/>
      <c r="D300" s="222"/>
      <c r="E300" s="222"/>
      <c r="F300" s="222"/>
      <c r="G300" s="260"/>
      <c r="H300" s="258"/>
      <c r="I300" s="258"/>
      <c r="J300" s="258"/>
      <c r="K300" s="258"/>
      <c r="L300" s="258"/>
      <c r="M300" s="258"/>
      <c r="N300" s="258"/>
      <c r="O300" s="258"/>
      <c r="P300" s="258"/>
      <c r="Q300" s="258"/>
      <c r="R300" s="258"/>
      <c r="S300" s="258"/>
      <c r="T300" s="258"/>
      <c r="U300" s="258"/>
      <c r="V300" s="258"/>
      <c r="W300" s="258"/>
      <c r="X300" s="5"/>
    </row>
    <row r="301" spans="1:24" x14ac:dyDescent="0.25">
      <c r="A301" s="100"/>
      <c r="B301" s="100"/>
      <c r="C301" s="100"/>
      <c r="D301" s="100"/>
      <c r="E301" s="100"/>
      <c r="F301" s="100"/>
      <c r="G301" s="100"/>
      <c r="H301" s="100"/>
      <c r="I301" s="100"/>
      <c r="J301" s="100"/>
      <c r="K301" s="100"/>
      <c r="L301" s="100"/>
      <c r="M301" s="100"/>
      <c r="N301" s="100"/>
      <c r="O301" s="100"/>
      <c r="P301" s="100"/>
      <c r="Q301" s="100"/>
      <c r="R301" s="100"/>
      <c r="S301" s="100"/>
      <c r="T301" s="100"/>
      <c r="U301" s="100"/>
      <c r="V301" s="100"/>
      <c r="W301" s="100"/>
    </row>
  </sheetData>
  <phoneticPr fontId="0" type="noConversion"/>
  <hyperlinks>
    <hyperlink ref="P240" r:id="rId1" xr:uid="{00000000-0004-0000-0E00-000000000000}"/>
    <hyperlink ref="I9" r:id="rId2" xr:uid="{00000000-0004-0000-0E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8" max="14" man="1"/>
    <brk id="204" max="14" man="1"/>
  </rowBreaks>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4"/>
  </sheetPr>
  <dimension ref="A1:IV301"/>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80"/>
      <c r="B1" s="220" t="s">
        <v>244</v>
      </c>
      <c r="C1" s="181"/>
      <c r="D1" s="181"/>
      <c r="E1" s="181"/>
      <c r="F1" s="181"/>
      <c r="G1" s="181"/>
      <c r="H1" s="181"/>
      <c r="I1" s="181"/>
      <c r="J1" s="181"/>
      <c r="K1" s="181"/>
      <c r="L1" s="181"/>
      <c r="M1" s="181"/>
      <c r="N1" s="181"/>
      <c r="O1" s="181"/>
      <c r="P1" s="181"/>
      <c r="Q1" s="181"/>
      <c r="R1" s="181"/>
      <c r="S1" s="181"/>
      <c r="T1" s="181"/>
      <c r="U1" s="181"/>
      <c r="V1" s="181"/>
      <c r="W1" s="181"/>
      <c r="X1" s="5"/>
    </row>
    <row r="2" spans="1:24" ht="15.6" x14ac:dyDescent="0.3">
      <c r="A2" s="183"/>
      <c r="B2" s="184"/>
      <c r="C2" s="185"/>
      <c r="D2" s="185"/>
      <c r="E2" s="185"/>
      <c r="F2" s="185"/>
      <c r="G2" s="185"/>
      <c r="H2" s="185"/>
      <c r="I2" s="185"/>
      <c r="J2" s="185"/>
      <c r="K2" s="185"/>
      <c r="L2" s="185"/>
      <c r="M2" s="185"/>
      <c r="N2" s="185"/>
      <c r="O2" s="185"/>
      <c r="P2" s="185"/>
      <c r="Q2" s="185"/>
      <c r="R2" s="185"/>
      <c r="S2" s="185"/>
      <c r="T2" s="185"/>
      <c r="U2" s="185"/>
      <c r="V2" s="185"/>
      <c r="W2" s="185"/>
      <c r="X2" s="5"/>
    </row>
    <row r="3" spans="1:24" ht="15.6" x14ac:dyDescent="0.3">
      <c r="A3" s="186"/>
      <c r="B3" s="187" t="s">
        <v>245</v>
      </c>
      <c r="C3" s="185"/>
      <c r="D3" s="185"/>
      <c r="E3" s="185"/>
      <c r="F3" s="185"/>
      <c r="G3" s="185"/>
      <c r="H3" s="185"/>
      <c r="I3" s="185"/>
      <c r="J3" s="185"/>
      <c r="K3" s="185"/>
      <c r="L3" s="185"/>
      <c r="M3" s="185"/>
      <c r="N3" s="185"/>
      <c r="O3" s="185"/>
      <c r="P3" s="185"/>
      <c r="Q3" s="185"/>
      <c r="R3" s="185"/>
      <c r="S3" s="185"/>
      <c r="T3" s="185"/>
      <c r="U3" s="185"/>
      <c r="V3" s="185"/>
      <c r="W3" s="185"/>
      <c r="X3" s="5"/>
    </row>
    <row r="4" spans="1:24" ht="15.6" x14ac:dyDescent="0.3">
      <c r="A4" s="183"/>
      <c r="B4" s="184"/>
      <c r="C4" s="185"/>
      <c r="D4" s="185"/>
      <c r="E4" s="185"/>
      <c r="F4" s="185"/>
      <c r="G4" s="185"/>
      <c r="H4" s="185"/>
      <c r="I4" s="185"/>
      <c r="J4" s="185"/>
      <c r="K4" s="185"/>
      <c r="L4" s="185"/>
      <c r="M4" s="185"/>
      <c r="N4" s="185"/>
      <c r="O4" s="185"/>
      <c r="P4" s="185"/>
      <c r="Q4" s="185"/>
      <c r="R4" s="185"/>
      <c r="S4" s="185"/>
      <c r="T4" s="185"/>
      <c r="U4" s="185"/>
      <c r="V4" s="185"/>
      <c r="W4" s="185"/>
      <c r="X4" s="5"/>
    </row>
    <row r="5" spans="1:24" ht="15.6" x14ac:dyDescent="0.3">
      <c r="A5" s="183"/>
      <c r="B5" s="221" t="s">
        <v>137</v>
      </c>
      <c r="C5" s="185"/>
      <c r="D5" s="185"/>
      <c r="E5" s="185"/>
      <c r="F5" s="185"/>
      <c r="G5" s="185"/>
      <c r="H5" s="185"/>
      <c r="I5" s="185"/>
      <c r="J5" s="185"/>
      <c r="K5" s="185"/>
      <c r="L5" s="185"/>
      <c r="M5" s="185"/>
      <c r="N5" s="185"/>
      <c r="O5" s="185"/>
      <c r="P5" s="185"/>
      <c r="Q5" s="185"/>
      <c r="R5" s="185"/>
      <c r="S5" s="185"/>
      <c r="T5" s="185"/>
      <c r="U5" s="185"/>
      <c r="V5" s="185"/>
      <c r="W5" s="185"/>
      <c r="X5" s="5"/>
    </row>
    <row r="6" spans="1:24" ht="15.6" x14ac:dyDescent="0.3">
      <c r="A6" s="183"/>
      <c r="B6" s="221" t="s">
        <v>139</v>
      </c>
      <c r="C6" s="185"/>
      <c r="D6" s="185"/>
      <c r="E6" s="185"/>
      <c r="F6" s="185"/>
      <c r="G6" s="185"/>
      <c r="H6" s="185"/>
      <c r="I6" s="185"/>
      <c r="J6" s="185"/>
      <c r="K6" s="185"/>
      <c r="L6" s="185"/>
      <c r="M6" s="185"/>
      <c r="N6" s="185"/>
      <c r="O6" s="185"/>
      <c r="P6" s="185"/>
      <c r="Q6" s="185"/>
      <c r="R6" s="185"/>
      <c r="S6" s="185"/>
      <c r="T6" s="185"/>
      <c r="U6" s="185"/>
      <c r="V6" s="185"/>
      <c r="W6" s="185"/>
      <c r="X6" s="5"/>
    </row>
    <row r="7" spans="1:24" ht="15.6" x14ac:dyDescent="0.3">
      <c r="A7" s="183"/>
      <c r="B7" s="221" t="s">
        <v>138</v>
      </c>
      <c r="C7" s="185"/>
      <c r="D7" s="185"/>
      <c r="E7" s="185"/>
      <c r="F7" s="185"/>
      <c r="G7" s="185"/>
      <c r="H7" s="185"/>
      <c r="I7" s="185"/>
      <c r="J7" s="185"/>
      <c r="K7" s="185"/>
      <c r="L7" s="185"/>
      <c r="M7" s="185"/>
      <c r="N7" s="185"/>
      <c r="O7" s="185"/>
      <c r="P7" s="185"/>
      <c r="Q7" s="185"/>
      <c r="R7" s="185"/>
      <c r="S7" s="185"/>
      <c r="T7" s="185"/>
      <c r="U7" s="185"/>
      <c r="V7" s="185"/>
      <c r="W7" s="185"/>
      <c r="X7" s="5"/>
    </row>
    <row r="8" spans="1:24" ht="15.6" x14ac:dyDescent="0.3">
      <c r="A8" s="183"/>
      <c r="B8" s="188"/>
      <c r="C8" s="185"/>
      <c r="D8" s="185"/>
      <c r="E8" s="185"/>
      <c r="F8" s="185"/>
      <c r="G8" s="185"/>
      <c r="H8" s="185"/>
      <c r="I8" s="185"/>
      <c r="J8" s="185"/>
      <c r="K8" s="185"/>
      <c r="L8" s="185"/>
      <c r="M8" s="185"/>
      <c r="N8" s="185"/>
      <c r="O8" s="185"/>
      <c r="P8" s="185"/>
      <c r="Q8" s="185"/>
      <c r="R8" s="185"/>
      <c r="S8" s="185"/>
      <c r="T8" s="185"/>
      <c r="U8" s="185"/>
      <c r="V8" s="185"/>
      <c r="W8" s="185"/>
      <c r="X8" s="5"/>
    </row>
    <row r="9" spans="1:24" ht="17.399999999999999" x14ac:dyDescent="0.3">
      <c r="A9" s="183"/>
      <c r="B9" s="189" t="s">
        <v>166</v>
      </c>
      <c r="C9" s="185"/>
      <c r="D9" s="185"/>
      <c r="E9" s="185"/>
      <c r="F9" s="185"/>
      <c r="G9" s="185"/>
      <c r="H9" s="185"/>
      <c r="I9" s="190" t="s">
        <v>167</v>
      </c>
      <c r="J9" s="185"/>
      <c r="K9" s="185"/>
      <c r="L9" s="190"/>
      <c r="M9" s="185"/>
      <c r="N9" s="190"/>
      <c r="O9" s="185"/>
      <c r="P9" s="185"/>
      <c r="Q9" s="185"/>
      <c r="R9" s="185"/>
      <c r="S9" s="185"/>
      <c r="T9" s="185"/>
      <c r="U9" s="185"/>
      <c r="V9" s="185"/>
      <c r="W9" s="185"/>
      <c r="X9" s="5"/>
    </row>
    <row r="10" spans="1:24" ht="15.6" x14ac:dyDescent="0.3">
      <c r="A10" s="183"/>
      <c r="B10" s="188"/>
      <c r="C10" s="191"/>
      <c r="D10" s="191"/>
      <c r="E10" s="191"/>
      <c r="F10" s="185"/>
      <c r="G10" s="185"/>
      <c r="H10" s="185"/>
      <c r="I10" s="185"/>
      <c r="J10" s="185"/>
      <c r="K10" s="185"/>
      <c r="L10" s="185"/>
      <c r="M10" s="185"/>
      <c r="N10" s="185"/>
      <c r="O10" s="185"/>
      <c r="P10" s="185"/>
      <c r="Q10" s="185"/>
      <c r="R10" s="185"/>
      <c r="S10" s="185"/>
      <c r="T10" s="185"/>
      <c r="U10" s="185"/>
      <c r="V10" s="185"/>
      <c r="W10" s="185"/>
      <c r="X10" s="5"/>
    </row>
    <row r="11" spans="1:24" ht="15.6" x14ac:dyDescent="0.3">
      <c r="A11" s="183"/>
      <c r="B11" s="222" t="s">
        <v>0</v>
      </c>
      <c r="C11" s="185"/>
      <c r="D11" s="185"/>
      <c r="E11" s="185"/>
      <c r="F11" s="185"/>
      <c r="G11" s="185"/>
      <c r="H11" s="185"/>
      <c r="I11" s="185"/>
      <c r="J11" s="185"/>
      <c r="K11" s="185"/>
      <c r="L11" s="185"/>
      <c r="M11" s="185"/>
      <c r="N11" s="185"/>
      <c r="O11" s="185"/>
      <c r="P11" s="185"/>
      <c r="Q11" s="185"/>
      <c r="R11" s="185"/>
      <c r="S11" s="185"/>
      <c r="T11" s="185"/>
      <c r="U11" s="185"/>
      <c r="V11" s="185"/>
      <c r="W11" s="185"/>
      <c r="X11" s="5"/>
    </row>
    <row r="12" spans="1:24" ht="16.2" thickBot="1" x14ac:dyDescent="0.35">
      <c r="A12" s="183"/>
      <c r="B12" s="191"/>
      <c r="C12" s="185"/>
      <c r="D12" s="185"/>
      <c r="E12" s="185"/>
      <c r="F12" s="185"/>
      <c r="G12" s="185"/>
      <c r="H12" s="185"/>
      <c r="I12" s="185"/>
      <c r="J12" s="185"/>
      <c r="K12" s="185"/>
      <c r="L12" s="185"/>
      <c r="M12" s="185"/>
      <c r="N12" s="185"/>
      <c r="O12" s="185"/>
      <c r="P12" s="185"/>
      <c r="Q12" s="185"/>
      <c r="R12" s="185"/>
      <c r="S12" s="185"/>
      <c r="T12" s="185"/>
      <c r="U12" s="185"/>
      <c r="V12" s="185"/>
      <c r="W12" s="185"/>
      <c r="X12" s="5"/>
    </row>
    <row r="13" spans="1:24" ht="15.6" x14ac:dyDescent="0.3">
      <c r="A13" s="180"/>
      <c r="B13" s="181"/>
      <c r="C13" s="181"/>
      <c r="D13" s="181"/>
      <c r="E13" s="181"/>
      <c r="F13" s="181"/>
      <c r="G13" s="181"/>
      <c r="H13" s="181"/>
      <c r="I13" s="181"/>
      <c r="J13" s="181"/>
      <c r="K13" s="181"/>
      <c r="L13" s="181"/>
      <c r="M13" s="181"/>
      <c r="N13" s="181"/>
      <c r="O13" s="181"/>
      <c r="P13" s="181"/>
      <c r="Q13" s="181"/>
      <c r="R13" s="181"/>
      <c r="S13" s="181"/>
      <c r="T13" s="181"/>
      <c r="U13" s="181"/>
      <c r="V13" s="181"/>
      <c r="W13" s="181"/>
      <c r="X13" s="5"/>
    </row>
    <row r="14" spans="1:24" ht="15.6" x14ac:dyDescent="0.3">
      <c r="A14" s="183"/>
      <c r="B14" s="222" t="s">
        <v>1</v>
      </c>
      <c r="C14" s="192"/>
      <c r="D14" s="192"/>
      <c r="E14" s="192"/>
      <c r="F14" s="192"/>
      <c r="G14" s="192"/>
      <c r="H14" s="192"/>
      <c r="I14" s="192"/>
      <c r="J14" s="192"/>
      <c r="K14" s="192"/>
      <c r="L14" s="192"/>
      <c r="M14" s="192"/>
      <c r="N14" s="192"/>
      <c r="O14" s="192"/>
      <c r="P14" s="192"/>
      <c r="Q14" s="192"/>
      <c r="R14" s="224"/>
      <c r="S14" s="224"/>
      <c r="T14" s="224"/>
      <c r="U14" s="224"/>
      <c r="V14" s="225" t="s">
        <v>246</v>
      </c>
      <c r="W14" s="192"/>
      <c r="X14" s="5"/>
    </row>
    <row r="15" spans="1:24" ht="15.6" x14ac:dyDescent="0.3">
      <c r="A15" s="183"/>
      <c r="B15" s="222" t="s">
        <v>2</v>
      </c>
      <c r="C15" s="192"/>
      <c r="D15" s="192"/>
      <c r="E15" s="192"/>
      <c r="F15" s="192"/>
      <c r="G15" s="192"/>
      <c r="H15" s="193"/>
      <c r="I15" s="193"/>
      <c r="J15" s="193"/>
      <c r="K15" s="193"/>
      <c r="L15" s="193"/>
      <c r="M15" s="193"/>
      <c r="N15" s="193"/>
      <c r="O15" s="193"/>
      <c r="P15" s="193"/>
      <c r="Q15" s="193"/>
      <c r="R15" s="226" t="s">
        <v>104</v>
      </c>
      <c r="S15" s="227">
        <v>0.38300000000000001</v>
      </c>
      <c r="T15" s="228" t="s">
        <v>140</v>
      </c>
      <c r="U15" s="227">
        <v>0.61699999999999999</v>
      </c>
      <c r="V15" s="225"/>
      <c r="W15" s="192"/>
      <c r="X15" s="5"/>
    </row>
    <row r="16" spans="1:24" ht="15.6" x14ac:dyDescent="0.3">
      <c r="A16" s="183"/>
      <c r="B16" s="222" t="s">
        <v>3</v>
      </c>
      <c r="C16" s="192"/>
      <c r="D16" s="192"/>
      <c r="E16" s="192"/>
      <c r="F16" s="192"/>
      <c r="G16" s="192"/>
      <c r="H16" s="193"/>
      <c r="I16" s="193"/>
      <c r="J16" s="193"/>
      <c r="K16" s="193"/>
      <c r="L16" s="193"/>
      <c r="M16" s="193"/>
      <c r="N16" s="193"/>
      <c r="O16" s="193"/>
      <c r="P16" s="193"/>
      <c r="Q16" s="193"/>
      <c r="R16" s="226" t="s">
        <v>104</v>
      </c>
      <c r="S16" s="227">
        <v>0.45450000000000002</v>
      </c>
      <c r="T16" s="228" t="s">
        <v>140</v>
      </c>
      <c r="U16" s="227">
        <v>0.54549999999999998</v>
      </c>
      <c r="V16" s="225"/>
      <c r="W16" s="192"/>
      <c r="X16" s="5"/>
    </row>
    <row r="17" spans="1:24" ht="15.6" x14ac:dyDescent="0.3">
      <c r="A17" s="183"/>
      <c r="B17" s="222" t="s">
        <v>4</v>
      </c>
      <c r="C17" s="192"/>
      <c r="D17" s="192"/>
      <c r="E17" s="192"/>
      <c r="F17" s="192"/>
      <c r="G17" s="192"/>
      <c r="H17" s="192"/>
      <c r="I17" s="192"/>
      <c r="J17" s="192"/>
      <c r="K17" s="192"/>
      <c r="L17" s="192"/>
      <c r="M17" s="192"/>
      <c r="N17" s="192"/>
      <c r="O17" s="192"/>
      <c r="P17" s="192"/>
      <c r="Q17" s="192"/>
      <c r="R17" s="224"/>
      <c r="S17" s="224"/>
      <c r="T17" s="224"/>
      <c r="U17" s="224"/>
      <c r="V17" s="229">
        <v>39163</v>
      </c>
      <c r="W17" s="192"/>
      <c r="X17" s="5"/>
    </row>
    <row r="18" spans="1:24" ht="15.6" x14ac:dyDescent="0.3">
      <c r="A18" s="183"/>
      <c r="B18" s="222" t="s">
        <v>5</v>
      </c>
      <c r="C18" s="192"/>
      <c r="D18" s="192"/>
      <c r="E18" s="192"/>
      <c r="F18" s="192"/>
      <c r="G18" s="192"/>
      <c r="H18" s="192"/>
      <c r="I18" s="192"/>
      <c r="J18" s="192"/>
      <c r="K18" s="192"/>
      <c r="L18" s="192"/>
      <c r="M18" s="192"/>
      <c r="N18" s="192"/>
      <c r="O18" s="192"/>
      <c r="P18" s="192"/>
      <c r="Q18" s="192"/>
      <c r="R18" s="224"/>
      <c r="S18" s="224"/>
      <c r="T18" s="224"/>
      <c r="U18" s="224"/>
      <c r="V18" s="229">
        <v>40714</v>
      </c>
      <c r="W18" s="192"/>
      <c r="X18" s="5"/>
    </row>
    <row r="19" spans="1:24" ht="15.6" x14ac:dyDescent="0.3">
      <c r="A19" s="183"/>
      <c r="B19" s="185"/>
      <c r="C19" s="185"/>
      <c r="D19" s="185"/>
      <c r="E19" s="185"/>
      <c r="F19" s="185"/>
      <c r="G19" s="185"/>
      <c r="H19" s="185"/>
      <c r="I19" s="185"/>
      <c r="J19" s="185"/>
      <c r="K19" s="185"/>
      <c r="L19" s="185"/>
      <c r="M19" s="185"/>
      <c r="N19" s="185"/>
      <c r="O19" s="185"/>
      <c r="P19" s="185"/>
      <c r="Q19" s="185"/>
      <c r="R19" s="185"/>
      <c r="S19" s="185"/>
      <c r="T19" s="185"/>
      <c r="U19" s="185"/>
      <c r="V19" s="194"/>
      <c r="W19" s="185"/>
      <c r="X19" s="5"/>
    </row>
    <row r="20" spans="1:24" ht="15.6" x14ac:dyDescent="0.3">
      <c r="A20" s="183"/>
      <c r="B20" s="230" t="s">
        <v>6</v>
      </c>
      <c r="C20" s="185"/>
      <c r="D20" s="185"/>
      <c r="E20" s="185"/>
      <c r="F20" s="185"/>
      <c r="G20" s="185"/>
      <c r="H20" s="185"/>
      <c r="I20" s="185"/>
      <c r="J20" s="185"/>
      <c r="K20" s="185"/>
      <c r="L20" s="185"/>
      <c r="M20" s="185"/>
      <c r="N20" s="185"/>
      <c r="O20" s="185"/>
      <c r="P20" s="185"/>
      <c r="Q20" s="185"/>
      <c r="R20" s="185"/>
      <c r="S20" s="185"/>
      <c r="T20" s="223" t="s">
        <v>105</v>
      </c>
      <c r="U20" s="185"/>
      <c r="V20" s="182"/>
      <c r="W20" s="185"/>
      <c r="X20" s="5"/>
    </row>
    <row r="21" spans="1:24" ht="15.6" x14ac:dyDescent="0.3">
      <c r="A21" s="183"/>
      <c r="B21" s="185"/>
      <c r="C21" s="185"/>
      <c r="D21" s="185"/>
      <c r="E21" s="185"/>
      <c r="F21" s="185"/>
      <c r="G21" s="185"/>
      <c r="H21" s="185"/>
      <c r="I21" s="185"/>
      <c r="J21" s="185"/>
      <c r="K21" s="185"/>
      <c r="L21" s="185"/>
      <c r="M21" s="185"/>
      <c r="N21" s="185"/>
      <c r="O21" s="185"/>
      <c r="P21" s="185"/>
      <c r="Q21" s="185"/>
      <c r="R21" s="185"/>
      <c r="S21" s="185"/>
      <c r="T21" s="185"/>
      <c r="U21" s="185"/>
      <c r="V21" s="196"/>
      <c r="W21" s="185"/>
      <c r="X21" s="5"/>
    </row>
    <row r="22" spans="1:24" ht="15.6" x14ac:dyDescent="0.3">
      <c r="A22" s="262"/>
      <c r="B22" s="263"/>
      <c r="C22" s="264"/>
      <c r="D22" s="264" t="s">
        <v>177</v>
      </c>
      <c r="E22" s="264"/>
      <c r="F22" s="264" t="s">
        <v>178</v>
      </c>
      <c r="G22" s="264"/>
      <c r="H22" s="264" t="s">
        <v>179</v>
      </c>
      <c r="I22" s="264"/>
      <c r="J22" s="264" t="s">
        <v>220</v>
      </c>
      <c r="K22" s="264"/>
      <c r="L22" s="264" t="s">
        <v>180</v>
      </c>
      <c r="M22" s="264"/>
      <c r="N22" s="264" t="s">
        <v>181</v>
      </c>
      <c r="O22" s="264"/>
      <c r="P22" s="264" t="s">
        <v>221</v>
      </c>
      <c r="Q22" s="264"/>
      <c r="R22" s="264" t="s">
        <v>182</v>
      </c>
      <c r="S22" s="266"/>
      <c r="T22" s="266"/>
      <c r="U22" s="267"/>
      <c r="V22" s="267"/>
      <c r="W22" s="263"/>
      <c r="X22" s="5"/>
    </row>
    <row r="23" spans="1:24" ht="15.6" x14ac:dyDescent="0.3">
      <c r="A23" s="287"/>
      <c r="B23" s="288" t="s">
        <v>7</v>
      </c>
      <c r="C23" s="289"/>
      <c r="D23" s="289" t="s">
        <v>213</v>
      </c>
      <c r="E23" s="289"/>
      <c r="F23" s="289" t="s">
        <v>141</v>
      </c>
      <c r="G23" s="289"/>
      <c r="H23" s="289" t="s">
        <v>141</v>
      </c>
      <c r="I23" s="289"/>
      <c r="J23" s="289" t="s">
        <v>141</v>
      </c>
      <c r="K23" s="289"/>
      <c r="L23" s="289" t="s">
        <v>183</v>
      </c>
      <c r="M23" s="289"/>
      <c r="N23" s="289" t="s">
        <v>183</v>
      </c>
      <c r="O23" s="289"/>
      <c r="P23" s="289" t="s">
        <v>142</v>
      </c>
      <c r="Q23" s="289"/>
      <c r="R23" s="289" t="s">
        <v>142</v>
      </c>
      <c r="S23" s="289"/>
      <c r="T23" s="289"/>
      <c r="U23" s="290"/>
      <c r="V23" s="290"/>
      <c r="W23" s="291"/>
      <c r="X23" s="5"/>
    </row>
    <row r="24" spans="1:24" ht="15.6" x14ac:dyDescent="0.3">
      <c r="A24" s="287"/>
      <c r="B24" s="288" t="s">
        <v>8</v>
      </c>
      <c r="C24" s="289"/>
      <c r="D24" s="289" t="s">
        <v>214</v>
      </c>
      <c r="E24" s="289"/>
      <c r="F24" s="289" t="s">
        <v>143</v>
      </c>
      <c r="G24" s="289"/>
      <c r="H24" s="289" t="s">
        <v>143</v>
      </c>
      <c r="I24" s="289"/>
      <c r="J24" s="289" t="s">
        <v>143</v>
      </c>
      <c r="K24" s="289"/>
      <c r="L24" s="289" t="s">
        <v>165</v>
      </c>
      <c r="M24" s="289"/>
      <c r="N24" s="289" t="s">
        <v>165</v>
      </c>
      <c r="O24" s="289"/>
      <c r="P24" s="289" t="s">
        <v>144</v>
      </c>
      <c r="Q24" s="289"/>
      <c r="R24" s="289" t="s">
        <v>144</v>
      </c>
      <c r="S24" s="289"/>
      <c r="T24" s="289"/>
      <c r="U24" s="290"/>
      <c r="V24" s="290"/>
      <c r="W24" s="291"/>
      <c r="X24" s="5"/>
    </row>
    <row r="25" spans="1:24" ht="15.6" x14ac:dyDescent="0.3">
      <c r="A25" s="292"/>
      <c r="B25" s="288" t="s">
        <v>190</v>
      </c>
      <c r="C25" s="398"/>
      <c r="D25" s="289" t="s">
        <v>215</v>
      </c>
      <c r="E25" s="289"/>
      <c r="F25" s="289" t="s">
        <v>143</v>
      </c>
      <c r="G25" s="289"/>
      <c r="H25" s="289" t="s">
        <v>143</v>
      </c>
      <c r="I25" s="289"/>
      <c r="J25" s="289" t="s">
        <v>143</v>
      </c>
      <c r="K25" s="289"/>
      <c r="L25" s="289" t="s">
        <v>293</v>
      </c>
      <c r="M25" s="289"/>
      <c r="N25" s="289" t="s">
        <v>293</v>
      </c>
      <c r="O25" s="289"/>
      <c r="P25" s="289" t="s">
        <v>144</v>
      </c>
      <c r="Q25" s="289"/>
      <c r="R25" s="289" t="s">
        <v>144</v>
      </c>
      <c r="S25" s="398"/>
      <c r="T25" s="289"/>
      <c r="U25" s="290"/>
      <c r="V25" s="290"/>
      <c r="W25" s="291"/>
      <c r="X25" s="5"/>
    </row>
    <row r="26" spans="1:24" ht="15.6" x14ac:dyDescent="0.3">
      <c r="A26" s="292"/>
      <c r="B26" s="295" t="s">
        <v>9</v>
      </c>
      <c r="C26" s="398"/>
      <c r="D26" s="398" t="s">
        <v>213</v>
      </c>
      <c r="E26" s="398"/>
      <c r="F26" s="398" t="s">
        <v>141</v>
      </c>
      <c r="G26" s="398"/>
      <c r="H26" s="398" t="s">
        <v>141</v>
      </c>
      <c r="I26" s="398"/>
      <c r="J26" s="398" t="s">
        <v>141</v>
      </c>
      <c r="K26" s="398"/>
      <c r="L26" s="398" t="s">
        <v>183</v>
      </c>
      <c r="M26" s="398"/>
      <c r="N26" s="398" t="s">
        <v>183</v>
      </c>
      <c r="O26" s="398"/>
      <c r="P26" s="398" t="s">
        <v>142</v>
      </c>
      <c r="Q26" s="398"/>
      <c r="R26" s="398" t="s">
        <v>142</v>
      </c>
      <c r="S26" s="398"/>
      <c r="T26" s="289"/>
      <c r="U26" s="290"/>
      <c r="V26" s="290"/>
      <c r="W26" s="291"/>
      <c r="X26" s="5"/>
    </row>
    <row r="27" spans="1:24" ht="15.6" x14ac:dyDescent="0.3">
      <c r="A27" s="287"/>
      <c r="B27" s="295" t="s">
        <v>191</v>
      </c>
      <c r="C27" s="289"/>
      <c r="D27" s="398" t="s">
        <v>214</v>
      </c>
      <c r="E27" s="398"/>
      <c r="F27" s="398" t="s">
        <v>143</v>
      </c>
      <c r="G27" s="398"/>
      <c r="H27" s="398" t="s">
        <v>143</v>
      </c>
      <c r="I27" s="398"/>
      <c r="J27" s="398" t="s">
        <v>143</v>
      </c>
      <c r="K27" s="398"/>
      <c r="L27" s="398" t="s">
        <v>165</v>
      </c>
      <c r="M27" s="398"/>
      <c r="N27" s="398" t="s">
        <v>165</v>
      </c>
      <c r="O27" s="398"/>
      <c r="P27" s="398" t="s">
        <v>144</v>
      </c>
      <c r="Q27" s="398"/>
      <c r="R27" s="398" t="s">
        <v>144</v>
      </c>
      <c r="S27" s="289"/>
      <c r="T27" s="296"/>
      <c r="U27" s="290"/>
      <c r="V27" s="290"/>
      <c r="W27" s="291"/>
      <c r="X27" s="5"/>
    </row>
    <row r="28" spans="1:24" ht="15.6" x14ac:dyDescent="0.3">
      <c r="A28" s="287"/>
      <c r="B28" s="295" t="s">
        <v>192</v>
      </c>
      <c r="C28" s="289"/>
      <c r="D28" s="398" t="s">
        <v>215</v>
      </c>
      <c r="E28" s="398"/>
      <c r="F28" s="398" t="s">
        <v>143</v>
      </c>
      <c r="G28" s="398"/>
      <c r="H28" s="398" t="s">
        <v>143</v>
      </c>
      <c r="I28" s="398"/>
      <c r="J28" s="398" t="s">
        <v>143</v>
      </c>
      <c r="K28" s="398"/>
      <c r="L28" s="398" t="s">
        <v>293</v>
      </c>
      <c r="M28" s="398"/>
      <c r="N28" s="398" t="s">
        <v>293</v>
      </c>
      <c r="O28" s="398"/>
      <c r="P28" s="398" t="s">
        <v>144</v>
      </c>
      <c r="Q28" s="398"/>
      <c r="R28" s="398" t="s">
        <v>144</v>
      </c>
      <c r="S28" s="289"/>
      <c r="T28" s="296"/>
      <c r="U28" s="290"/>
      <c r="V28" s="290"/>
      <c r="W28" s="291"/>
      <c r="X28" s="5"/>
    </row>
    <row r="29" spans="1:24" ht="15.6" x14ac:dyDescent="0.3">
      <c r="A29" s="287"/>
      <c r="B29" s="288" t="s">
        <v>10</v>
      </c>
      <c r="C29" s="298"/>
      <c r="D29" s="289" t="s">
        <v>249</v>
      </c>
      <c r="E29" s="289"/>
      <c r="F29" s="296" t="s">
        <v>250</v>
      </c>
      <c r="G29" s="289"/>
      <c r="H29" s="289" t="s">
        <v>251</v>
      </c>
      <c r="I29" s="289"/>
      <c r="J29" s="289" t="s">
        <v>253</v>
      </c>
      <c r="K29" s="289"/>
      <c r="L29" s="289" t="s">
        <v>254</v>
      </c>
      <c r="M29" s="289"/>
      <c r="N29" s="289" t="s">
        <v>255</v>
      </c>
      <c r="O29" s="289"/>
      <c r="P29" s="289" t="s">
        <v>256</v>
      </c>
      <c r="Q29" s="289"/>
      <c r="R29" s="289" t="s">
        <v>257</v>
      </c>
      <c r="S29" s="299"/>
      <c r="T29" s="299"/>
      <c r="U29" s="300"/>
      <c r="V29" s="299"/>
      <c r="W29" s="301"/>
      <c r="X29" s="5"/>
    </row>
    <row r="30" spans="1:24" ht="15.6" x14ac:dyDescent="0.3">
      <c r="A30" s="287"/>
      <c r="B30" s="288" t="s">
        <v>10</v>
      </c>
      <c r="C30" s="298"/>
      <c r="D30" s="289" t="s">
        <v>248</v>
      </c>
      <c r="E30" s="289"/>
      <c r="F30" s="296" t="s">
        <v>118</v>
      </c>
      <c r="G30" s="289"/>
      <c r="H30" s="289" t="s">
        <v>118</v>
      </c>
      <c r="I30" s="289"/>
      <c r="J30" s="289" t="s">
        <v>252</v>
      </c>
      <c r="K30" s="289"/>
      <c r="L30" s="289" t="s">
        <v>118</v>
      </c>
      <c r="M30" s="289"/>
      <c r="N30" s="289" t="s">
        <v>118</v>
      </c>
      <c r="O30" s="289"/>
      <c r="P30" s="289" t="s">
        <v>118</v>
      </c>
      <c r="Q30" s="289"/>
      <c r="R30" s="289" t="s">
        <v>118</v>
      </c>
      <c r="S30" s="299"/>
      <c r="T30" s="299"/>
      <c r="U30" s="300"/>
      <c r="V30" s="299"/>
      <c r="W30" s="301"/>
      <c r="X30" s="5"/>
    </row>
    <row r="31" spans="1:24" ht="15.6" x14ac:dyDescent="0.3">
      <c r="A31" s="292"/>
      <c r="B31" s="288" t="s">
        <v>133</v>
      </c>
      <c r="C31" s="302"/>
      <c r="D31" s="303">
        <v>1500000</v>
      </c>
      <c r="E31" s="298"/>
      <c r="F31" s="299">
        <v>125000</v>
      </c>
      <c r="G31" s="299"/>
      <c r="H31" s="304">
        <v>246000</v>
      </c>
      <c r="I31" s="304"/>
      <c r="J31" s="303">
        <v>400000</v>
      </c>
      <c r="K31" s="299"/>
      <c r="L31" s="299">
        <v>51900</v>
      </c>
      <c r="M31" s="299"/>
      <c r="N31" s="304">
        <v>88800</v>
      </c>
      <c r="O31" s="299"/>
      <c r="P31" s="299">
        <v>20000</v>
      </c>
      <c r="Q31" s="299"/>
      <c r="R31" s="304">
        <v>135500</v>
      </c>
      <c r="S31" s="305"/>
      <c r="T31" s="305"/>
      <c r="U31" s="306"/>
      <c r="V31" s="305"/>
      <c r="W31" s="301"/>
      <c r="X31" s="5"/>
    </row>
    <row r="32" spans="1:24" ht="15.6" x14ac:dyDescent="0.3">
      <c r="A32" s="287"/>
      <c r="B32" s="288" t="s">
        <v>132</v>
      </c>
      <c r="C32" s="298"/>
      <c r="D32" s="303">
        <f>D31*D38</f>
        <v>1089813.3</v>
      </c>
      <c r="E32" s="298"/>
      <c r="F32" s="299">
        <f>F31*F38</f>
        <v>90817.85</v>
      </c>
      <c r="G32" s="299"/>
      <c r="H32" s="304">
        <f>H31*H38</f>
        <v>178729.5288</v>
      </c>
      <c r="I32" s="304"/>
      <c r="J32" s="303">
        <f>J31*J38</f>
        <v>290616.88</v>
      </c>
      <c r="K32" s="299"/>
      <c r="L32" s="299">
        <f>+L31</f>
        <v>51900</v>
      </c>
      <c r="M32" s="299"/>
      <c r="N32" s="304">
        <f>+N31</f>
        <v>88800</v>
      </c>
      <c r="O32" s="299"/>
      <c r="P32" s="299">
        <f>+P31</f>
        <v>20000</v>
      </c>
      <c r="Q32" s="299"/>
      <c r="R32" s="304">
        <f>+R31</f>
        <v>135500</v>
      </c>
      <c r="S32" s="299"/>
      <c r="T32" s="299"/>
      <c r="U32" s="300"/>
      <c r="V32" s="299"/>
      <c r="W32" s="301"/>
      <c r="X32" s="5"/>
    </row>
    <row r="33" spans="1:24" ht="15.6" x14ac:dyDescent="0.3">
      <c r="A33" s="287"/>
      <c r="B33" s="295" t="s">
        <v>134</v>
      </c>
      <c r="C33" s="298"/>
      <c r="D33" s="307">
        <f>D37*D31</f>
        <v>1082809.8</v>
      </c>
      <c r="E33" s="302"/>
      <c r="F33" s="305">
        <f>F37*F31</f>
        <v>90234.225000000006</v>
      </c>
      <c r="G33" s="305"/>
      <c r="H33" s="308">
        <f>H31*H37</f>
        <v>177580.95480000001</v>
      </c>
      <c r="I33" s="308"/>
      <c r="J33" s="307">
        <f>J37*J31</f>
        <v>288749.27999999997</v>
      </c>
      <c r="K33" s="305"/>
      <c r="L33" s="305">
        <f>L31*L37</f>
        <v>51900</v>
      </c>
      <c r="M33" s="305"/>
      <c r="N33" s="308">
        <f>N31*N37</f>
        <v>88800</v>
      </c>
      <c r="O33" s="305"/>
      <c r="P33" s="305">
        <f>P31*P37</f>
        <v>20000</v>
      </c>
      <c r="Q33" s="305"/>
      <c r="R33" s="308">
        <f>R31*R37</f>
        <v>135500</v>
      </c>
      <c r="S33" s="299"/>
      <c r="T33" s="299"/>
      <c r="U33" s="300"/>
      <c r="V33" s="299"/>
      <c r="W33" s="301"/>
      <c r="X33" s="5"/>
    </row>
    <row r="34" spans="1:24" ht="15.6" x14ac:dyDescent="0.3">
      <c r="A34" s="292"/>
      <c r="B34" s="288" t="s">
        <v>296</v>
      </c>
      <c r="C34" s="302"/>
      <c r="D34" s="299">
        <v>775194</v>
      </c>
      <c r="E34" s="298"/>
      <c r="F34" s="299">
        <v>125000</v>
      </c>
      <c r="G34" s="299"/>
      <c r="H34" s="299">
        <v>168148</v>
      </c>
      <c r="I34" s="299"/>
      <c r="J34" s="299">
        <v>206718</v>
      </c>
      <c r="K34" s="299"/>
      <c r="L34" s="299">
        <v>51900</v>
      </c>
      <c r="M34" s="299"/>
      <c r="N34" s="299">
        <v>60697</v>
      </c>
      <c r="O34" s="299"/>
      <c r="P34" s="299">
        <v>20000</v>
      </c>
      <c r="Q34" s="299"/>
      <c r="R34" s="299">
        <v>92618</v>
      </c>
      <c r="S34" s="305"/>
      <c r="T34" s="305"/>
      <c r="U34" s="306"/>
      <c r="V34" s="299">
        <f>SUM(C34:R34)</f>
        <v>1500275</v>
      </c>
      <c r="W34" s="301"/>
      <c r="X34" s="5"/>
    </row>
    <row r="35" spans="1:24" ht="15.6" x14ac:dyDescent="0.3">
      <c r="A35" s="292"/>
      <c r="B35" s="288" t="s">
        <v>297</v>
      </c>
      <c r="C35" s="302"/>
      <c r="D35" s="299">
        <f>D34*D38</f>
        <v>563211.15418680001</v>
      </c>
      <c r="E35" s="298"/>
      <c r="F35" s="299">
        <f>F34*F38</f>
        <v>90817.85</v>
      </c>
      <c r="G35" s="299"/>
      <c r="H35" s="299">
        <f>H34*H38</f>
        <v>122166.71873440001</v>
      </c>
      <c r="I35" s="299"/>
      <c r="J35" s="299">
        <f>J34*J38</f>
        <v>150189.3504996</v>
      </c>
      <c r="K35" s="299"/>
      <c r="L35" s="299">
        <f>+L34</f>
        <v>51900</v>
      </c>
      <c r="M35" s="299"/>
      <c r="N35" s="299">
        <f>+N34</f>
        <v>60697</v>
      </c>
      <c r="O35" s="299"/>
      <c r="P35" s="299">
        <f>+P34</f>
        <v>20000</v>
      </c>
      <c r="Q35" s="299"/>
      <c r="R35" s="299">
        <f>+R34</f>
        <v>92618</v>
      </c>
      <c r="S35" s="299"/>
      <c r="T35" s="299"/>
      <c r="U35" s="300"/>
      <c r="V35" s="299">
        <f>SUM(C35:R35)</f>
        <v>1151600.0734208</v>
      </c>
      <c r="W35" s="301"/>
      <c r="X35" s="5"/>
    </row>
    <row r="36" spans="1:24" ht="15.6" x14ac:dyDescent="0.3">
      <c r="A36" s="292"/>
      <c r="B36" s="295" t="s">
        <v>298</v>
      </c>
      <c r="C36" s="302"/>
      <c r="D36" s="305">
        <f>D34*D37</f>
        <v>559591.77340079995</v>
      </c>
      <c r="E36" s="302"/>
      <c r="F36" s="305">
        <f>F34*F37</f>
        <v>90234.225000000006</v>
      </c>
      <c r="G36" s="305"/>
      <c r="H36" s="305">
        <f>H34*H37</f>
        <v>121381.63572239999</v>
      </c>
      <c r="I36" s="305"/>
      <c r="J36" s="305">
        <f>J34*J37</f>
        <v>149224.18415759999</v>
      </c>
      <c r="K36" s="305"/>
      <c r="L36" s="305">
        <f>L34*L37</f>
        <v>51900</v>
      </c>
      <c r="M36" s="305"/>
      <c r="N36" s="305">
        <f>N34*N37</f>
        <v>60697</v>
      </c>
      <c r="O36" s="305"/>
      <c r="P36" s="305">
        <f>P34*P37</f>
        <v>20000</v>
      </c>
      <c r="Q36" s="305"/>
      <c r="R36" s="305">
        <f>R34*R37</f>
        <v>92618</v>
      </c>
      <c r="S36" s="328"/>
      <c r="T36" s="328"/>
      <c r="U36" s="300"/>
      <c r="V36" s="305">
        <f>SUM(C36:R36)</f>
        <v>1145646.8182808</v>
      </c>
      <c r="W36" s="301"/>
      <c r="X36" s="5"/>
    </row>
    <row r="37" spans="1:24" ht="15.6" x14ac:dyDescent="0.3">
      <c r="A37" s="287"/>
      <c r="B37" s="313" t="s">
        <v>130</v>
      </c>
      <c r="C37" s="314"/>
      <c r="D37" s="315">
        <v>0.72187319999999999</v>
      </c>
      <c r="E37" s="315"/>
      <c r="F37" s="315">
        <v>0.72187380000000001</v>
      </c>
      <c r="G37" s="315"/>
      <c r="H37" s="315">
        <v>0.72187380000000001</v>
      </c>
      <c r="I37" s="315"/>
      <c r="J37" s="315">
        <v>0.72187319999999999</v>
      </c>
      <c r="K37" s="315"/>
      <c r="L37" s="315">
        <v>1</v>
      </c>
      <c r="M37" s="315"/>
      <c r="N37" s="315">
        <v>1</v>
      </c>
      <c r="O37" s="315"/>
      <c r="P37" s="315">
        <v>1</v>
      </c>
      <c r="Q37" s="315"/>
      <c r="R37" s="315">
        <v>1</v>
      </c>
      <c r="S37" s="316"/>
      <c r="T37" s="316"/>
      <c r="U37" s="317"/>
      <c r="V37" s="317"/>
      <c r="W37" s="318"/>
      <c r="X37" s="5"/>
    </row>
    <row r="38" spans="1:24" ht="15.6" x14ac:dyDescent="0.3">
      <c r="A38" s="287"/>
      <c r="B38" s="313" t="s">
        <v>131</v>
      </c>
      <c r="C38" s="314"/>
      <c r="D38" s="315">
        <v>0.72654220000000003</v>
      </c>
      <c r="E38" s="315"/>
      <c r="F38" s="315">
        <v>0.72654280000000004</v>
      </c>
      <c r="G38" s="315"/>
      <c r="H38" s="315">
        <v>0.72654280000000004</v>
      </c>
      <c r="I38" s="315"/>
      <c r="J38" s="315">
        <v>0.72654220000000003</v>
      </c>
      <c r="K38" s="315"/>
      <c r="L38" s="315">
        <v>1</v>
      </c>
      <c r="M38" s="315"/>
      <c r="N38" s="315">
        <v>1</v>
      </c>
      <c r="O38" s="315"/>
      <c r="P38" s="315">
        <v>1</v>
      </c>
      <c r="Q38" s="315"/>
      <c r="R38" s="315">
        <v>1</v>
      </c>
      <c r="S38" s="319"/>
      <c r="T38" s="320"/>
      <c r="U38" s="317"/>
      <c r="V38" s="319"/>
      <c r="W38" s="318"/>
      <c r="X38" s="5"/>
    </row>
    <row r="39" spans="1:24" ht="15.6" x14ac:dyDescent="0.3">
      <c r="A39" s="287"/>
      <c r="B39" s="288" t="s">
        <v>11</v>
      </c>
      <c r="C39" s="288"/>
      <c r="D39" s="296" t="s">
        <v>285</v>
      </c>
      <c r="E39" s="288"/>
      <c r="F39" s="296" t="s">
        <v>258</v>
      </c>
      <c r="G39" s="296"/>
      <c r="H39" s="296" t="s">
        <v>258</v>
      </c>
      <c r="I39" s="296"/>
      <c r="J39" s="296" t="s">
        <v>258</v>
      </c>
      <c r="K39" s="296"/>
      <c r="L39" s="296" t="s">
        <v>232</v>
      </c>
      <c r="M39" s="296"/>
      <c r="N39" s="296" t="s">
        <v>232</v>
      </c>
      <c r="O39" s="296"/>
      <c r="P39" s="296" t="s">
        <v>233</v>
      </c>
      <c r="Q39" s="296"/>
      <c r="R39" s="296" t="s">
        <v>233</v>
      </c>
      <c r="S39" s="321"/>
      <c r="T39" s="322"/>
      <c r="U39" s="290"/>
      <c r="V39" s="290"/>
      <c r="W39" s="291"/>
      <c r="X39" s="5"/>
    </row>
    <row r="40" spans="1:24" ht="15.6" x14ac:dyDescent="0.3">
      <c r="A40" s="287"/>
      <c r="B40" s="288" t="s">
        <v>12</v>
      </c>
      <c r="C40" s="288"/>
      <c r="D40" s="322">
        <v>2.98E-3</v>
      </c>
      <c r="E40" s="288"/>
      <c r="F40" s="322">
        <v>9.0562999999999998E-3</v>
      </c>
      <c r="G40" s="321"/>
      <c r="H40" s="322">
        <v>1.273E-2</v>
      </c>
      <c r="I40" s="322"/>
      <c r="J40" s="322">
        <v>4.0949999999999997E-3</v>
      </c>
      <c r="K40" s="321"/>
      <c r="L40" s="322">
        <v>9.8563000000000001E-3</v>
      </c>
      <c r="M40" s="321"/>
      <c r="N40" s="322">
        <v>1.353E-2</v>
      </c>
      <c r="O40" s="321"/>
      <c r="P40" s="322">
        <v>1.18563E-2</v>
      </c>
      <c r="Q40" s="321"/>
      <c r="R40" s="322">
        <v>1.553E-2</v>
      </c>
      <c r="S40" s="321"/>
      <c r="T40" s="322"/>
      <c r="U40" s="290"/>
      <c r="V40" s="296"/>
      <c r="W40" s="291"/>
      <c r="X40" s="5"/>
    </row>
    <row r="41" spans="1:24" ht="15.6" x14ac:dyDescent="0.3">
      <c r="A41" s="287"/>
      <c r="B41" s="288" t="s">
        <v>13</v>
      </c>
      <c r="C41" s="288"/>
      <c r="D41" s="322">
        <v>3.6575000000000002E-3</v>
      </c>
      <c r="E41" s="288"/>
      <c r="F41" s="322">
        <v>8.4937999999999993E-3</v>
      </c>
      <c r="G41" s="321"/>
      <c r="H41" s="322">
        <v>1.1259999999999999E-2</v>
      </c>
      <c r="I41" s="322"/>
      <c r="J41" s="322">
        <v>4.0156000000000002E-3</v>
      </c>
      <c r="K41" s="321"/>
      <c r="L41" s="322">
        <v>9.2937999999999996E-3</v>
      </c>
      <c r="M41" s="321"/>
      <c r="N41" s="322">
        <v>1.206E-2</v>
      </c>
      <c r="O41" s="321"/>
      <c r="P41" s="322">
        <v>1.12938E-2</v>
      </c>
      <c r="Q41" s="321"/>
      <c r="R41" s="322">
        <v>1.406E-2</v>
      </c>
      <c r="S41" s="321"/>
      <c r="T41" s="322"/>
      <c r="U41" s="290"/>
      <c r="V41" s="321" t="s">
        <v>193</v>
      </c>
      <c r="W41" s="291"/>
      <c r="X41" s="5"/>
    </row>
    <row r="42" spans="1:24" ht="15.6" x14ac:dyDescent="0.3">
      <c r="A42" s="287"/>
      <c r="B42" s="288" t="s">
        <v>299</v>
      </c>
      <c r="C42" s="288"/>
      <c r="D42" s="296" t="s">
        <v>286</v>
      </c>
      <c r="E42" s="288"/>
      <c r="F42" s="296" t="s">
        <v>258</v>
      </c>
      <c r="G42" s="296"/>
      <c r="H42" s="296" t="s">
        <v>259</v>
      </c>
      <c r="I42" s="296"/>
      <c r="J42" s="296" t="s">
        <v>260</v>
      </c>
      <c r="K42" s="296"/>
      <c r="L42" s="296" t="s">
        <v>232</v>
      </c>
      <c r="M42" s="296"/>
      <c r="N42" s="296" t="s">
        <v>235</v>
      </c>
      <c r="O42" s="296"/>
      <c r="P42" s="296" t="s">
        <v>233</v>
      </c>
      <c r="Q42" s="296"/>
      <c r="R42" s="296" t="s">
        <v>261</v>
      </c>
      <c r="S42" s="321"/>
      <c r="T42" s="322"/>
      <c r="U42" s="290"/>
      <c r="V42" s="290"/>
      <c r="W42" s="291"/>
      <c r="X42" s="5"/>
    </row>
    <row r="43" spans="1:24" ht="15.6" x14ac:dyDescent="0.3">
      <c r="A43" s="287"/>
      <c r="B43" s="288" t="s">
        <v>300</v>
      </c>
      <c r="C43" s="323"/>
      <c r="D43" s="322">
        <v>9.3953000000000005E-3</v>
      </c>
      <c r="E43" s="322"/>
      <c r="F43" s="322">
        <f>+F40</f>
        <v>9.0562999999999998E-3</v>
      </c>
      <c r="G43" s="322"/>
      <c r="H43" s="322">
        <v>9.1962999999999993E-3</v>
      </c>
      <c r="I43" s="322"/>
      <c r="J43" s="322">
        <v>9.4193000000000002E-3</v>
      </c>
      <c r="K43" s="322"/>
      <c r="L43" s="322">
        <f>+L40</f>
        <v>9.8563000000000001E-3</v>
      </c>
      <c r="M43" s="322"/>
      <c r="N43" s="322">
        <v>1.01523E-2</v>
      </c>
      <c r="O43" s="322"/>
      <c r="P43" s="322">
        <f>+P40</f>
        <v>1.18563E-2</v>
      </c>
      <c r="Q43" s="321"/>
      <c r="R43" s="322">
        <v>1.2389300000000001E-2</v>
      </c>
      <c r="S43" s="296"/>
      <c r="T43" s="296"/>
      <c r="U43" s="290"/>
      <c r="V43" s="321">
        <f>SUMPRODUCT(D43:R43,D35:R35)/V35</f>
        <v>9.6947945425883263E-3</v>
      </c>
      <c r="W43" s="291"/>
      <c r="X43" s="5"/>
    </row>
    <row r="44" spans="1:24" ht="15.6" x14ac:dyDescent="0.3">
      <c r="A44" s="287"/>
      <c r="B44" s="288" t="s">
        <v>301</v>
      </c>
      <c r="C44" s="323"/>
      <c r="D44" s="322">
        <v>8.8328E-3</v>
      </c>
      <c r="E44" s="322"/>
      <c r="F44" s="322">
        <f>+F41</f>
        <v>8.4937999999999993E-3</v>
      </c>
      <c r="G44" s="322"/>
      <c r="H44" s="322">
        <v>8.6338000000000005E-3</v>
      </c>
      <c r="I44" s="322"/>
      <c r="J44" s="322">
        <v>8.8567999999999997E-3</v>
      </c>
      <c r="K44" s="322"/>
      <c r="L44" s="322">
        <f>+L41</f>
        <v>9.2937999999999996E-3</v>
      </c>
      <c r="M44" s="322"/>
      <c r="N44" s="322">
        <v>9.5898000000000008E-3</v>
      </c>
      <c r="O44" s="322"/>
      <c r="P44" s="322">
        <f>+P41</f>
        <v>1.12938E-2</v>
      </c>
      <c r="Q44" s="321"/>
      <c r="R44" s="322">
        <v>1.18268E-2</v>
      </c>
      <c r="S44" s="296"/>
      <c r="T44" s="296"/>
      <c r="U44" s="290"/>
      <c r="V44" s="290"/>
      <c r="W44" s="291"/>
      <c r="X44" s="5"/>
    </row>
    <row r="45" spans="1:24" ht="15.6" x14ac:dyDescent="0.3">
      <c r="A45" s="287"/>
      <c r="B45" s="288" t="s">
        <v>14</v>
      </c>
      <c r="C45" s="288"/>
      <c r="D45" s="323">
        <v>40617</v>
      </c>
      <c r="E45" s="323"/>
      <c r="F45" s="323">
        <v>40617</v>
      </c>
      <c r="G45" s="323"/>
      <c r="H45" s="323">
        <v>40617</v>
      </c>
      <c r="I45" s="323"/>
      <c r="J45" s="323">
        <v>40617</v>
      </c>
      <c r="K45" s="323"/>
      <c r="L45" s="323">
        <v>40617</v>
      </c>
      <c r="M45" s="323"/>
      <c r="N45" s="323">
        <v>40617</v>
      </c>
      <c r="O45" s="323"/>
      <c r="P45" s="323">
        <v>40617</v>
      </c>
      <c r="Q45" s="323"/>
      <c r="R45" s="323">
        <v>40617</v>
      </c>
      <c r="S45" s="296"/>
      <c r="T45" s="296"/>
      <c r="U45" s="290"/>
      <c r="V45" s="290"/>
      <c r="W45" s="291"/>
      <c r="X45" s="5"/>
    </row>
    <row r="46" spans="1:24" ht="15.6" x14ac:dyDescent="0.3">
      <c r="A46" s="287"/>
      <c r="B46" s="288" t="s">
        <v>15</v>
      </c>
      <c r="C46" s="288"/>
      <c r="D46" s="323" t="s">
        <v>118</v>
      </c>
      <c r="E46" s="323"/>
      <c r="F46" s="323">
        <v>40983</v>
      </c>
      <c r="G46" s="323"/>
      <c r="H46" s="323">
        <v>40983</v>
      </c>
      <c r="I46" s="323"/>
      <c r="J46" s="323">
        <v>40983</v>
      </c>
      <c r="K46" s="296"/>
      <c r="L46" s="323">
        <v>40983</v>
      </c>
      <c r="M46" s="296"/>
      <c r="N46" s="323">
        <v>40983</v>
      </c>
      <c r="O46" s="296"/>
      <c r="P46" s="323">
        <v>40983</v>
      </c>
      <c r="Q46" s="296"/>
      <c r="R46" s="323">
        <v>40983</v>
      </c>
      <c r="S46" s="296"/>
      <c r="T46" s="296"/>
      <c r="U46" s="290"/>
      <c r="V46" s="290"/>
      <c r="W46" s="291"/>
      <c r="X46" s="5"/>
    </row>
    <row r="47" spans="1:24" ht="15.6" x14ac:dyDescent="0.3">
      <c r="A47" s="287"/>
      <c r="B47" s="288" t="s">
        <v>119</v>
      </c>
      <c r="C47" s="288"/>
      <c r="D47" s="296" t="s">
        <v>118</v>
      </c>
      <c r="E47" s="288"/>
      <c r="F47" s="296" t="s">
        <v>231</v>
      </c>
      <c r="G47" s="296"/>
      <c r="H47" s="296" t="s">
        <v>231</v>
      </c>
      <c r="I47" s="296"/>
      <c r="J47" s="296" t="s">
        <v>231</v>
      </c>
      <c r="K47" s="296"/>
      <c r="L47" s="296" t="s">
        <v>265</v>
      </c>
      <c r="M47" s="296"/>
      <c r="N47" s="296" t="s">
        <v>265</v>
      </c>
      <c r="O47" s="296"/>
      <c r="P47" s="296" t="s">
        <v>266</v>
      </c>
      <c r="Q47" s="296"/>
      <c r="R47" s="296" t="s">
        <v>266</v>
      </c>
      <c r="S47" s="325"/>
      <c r="T47" s="325"/>
      <c r="U47" s="325"/>
      <c r="V47" s="325"/>
      <c r="W47" s="291"/>
      <c r="X47" s="5"/>
    </row>
    <row r="48" spans="1:24" ht="15.6" x14ac:dyDescent="0.3">
      <c r="A48" s="287"/>
      <c r="B48" s="288" t="s">
        <v>302</v>
      </c>
      <c r="C48" s="288"/>
      <c r="D48" s="296" t="s">
        <v>200</v>
      </c>
      <c r="E48" s="288"/>
      <c r="F48" s="296" t="s">
        <v>231</v>
      </c>
      <c r="G48" s="296"/>
      <c r="H48" s="296" t="s">
        <v>262</v>
      </c>
      <c r="I48" s="296"/>
      <c r="J48" s="296" t="s">
        <v>263</v>
      </c>
      <c r="K48" s="296"/>
      <c r="L48" s="296" t="s">
        <v>265</v>
      </c>
      <c r="M48" s="296"/>
      <c r="N48" s="296" t="s">
        <v>234</v>
      </c>
      <c r="O48" s="296"/>
      <c r="P48" s="296" t="s">
        <v>266</v>
      </c>
      <c r="Q48" s="296"/>
      <c r="R48" s="296" t="s">
        <v>264</v>
      </c>
      <c r="S48" s="288"/>
      <c r="T48" s="288"/>
      <c r="U48" s="288"/>
      <c r="V48" s="321"/>
      <c r="W48" s="291"/>
      <c r="X48" s="5"/>
    </row>
    <row r="49" spans="1:25" ht="15.6" x14ac:dyDescent="0.3">
      <c r="A49" s="287"/>
      <c r="B49" s="288"/>
      <c r="C49" s="288"/>
      <c r="D49" s="296"/>
      <c r="E49" s="288"/>
      <c r="F49" s="296"/>
      <c r="G49" s="296"/>
      <c r="H49" s="296"/>
      <c r="I49" s="296"/>
      <c r="J49" s="296"/>
      <c r="K49" s="296"/>
      <c r="L49" s="296"/>
      <c r="M49" s="296"/>
      <c r="N49" s="296"/>
      <c r="O49" s="296"/>
      <c r="P49" s="296"/>
      <c r="Q49" s="296"/>
      <c r="R49" s="296"/>
      <c r="S49" s="288"/>
      <c r="T49" s="288"/>
      <c r="U49" s="288"/>
      <c r="V49" s="321" t="s">
        <v>193</v>
      </c>
      <c r="W49" s="291"/>
      <c r="X49" s="5"/>
    </row>
    <row r="50" spans="1:25" ht="15.6" x14ac:dyDescent="0.3">
      <c r="A50" s="287"/>
      <c r="B50" s="288" t="s">
        <v>169</v>
      </c>
      <c r="C50" s="288"/>
      <c r="D50" s="296"/>
      <c r="E50" s="288"/>
      <c r="F50" s="296"/>
      <c r="G50" s="296"/>
      <c r="H50" s="296"/>
      <c r="I50" s="296"/>
      <c r="J50" s="296"/>
      <c r="K50" s="296"/>
      <c r="L50" s="296"/>
      <c r="M50" s="296"/>
      <c r="N50" s="296"/>
      <c r="O50" s="296"/>
      <c r="P50" s="296"/>
      <c r="Q50" s="296"/>
      <c r="R50" s="296"/>
      <c r="S50" s="288"/>
      <c r="T50" s="288"/>
      <c r="U50" s="288"/>
      <c r="V50" s="321">
        <f>SUM(L34:R34)/SUM(D34:J34)</f>
        <v>0.17663090364375009</v>
      </c>
      <c r="W50" s="291"/>
      <c r="X50" s="5"/>
    </row>
    <row r="51" spans="1:25" ht="15.6" x14ac:dyDescent="0.3">
      <c r="A51" s="287"/>
      <c r="B51" s="288" t="s">
        <v>170</v>
      </c>
      <c r="C51" s="288"/>
      <c r="D51" s="288"/>
      <c r="E51" s="288"/>
      <c r="F51" s="326"/>
      <c r="G51" s="288"/>
      <c r="H51" s="288"/>
      <c r="I51" s="288"/>
      <c r="J51" s="288"/>
      <c r="K51" s="288"/>
      <c r="L51" s="288"/>
      <c r="M51" s="288"/>
      <c r="N51" s="288"/>
      <c r="O51" s="288"/>
      <c r="P51" s="288"/>
      <c r="Q51" s="288"/>
      <c r="R51" s="288"/>
      <c r="S51" s="288"/>
      <c r="T51" s="288"/>
      <c r="U51" s="288"/>
      <c r="V51" s="321">
        <f>SUM(L36:R36)/SUM(D36:J36)</f>
        <v>0.24468406624692837</v>
      </c>
      <c r="W51" s="291"/>
      <c r="X51" s="5"/>
    </row>
    <row r="52" spans="1:25" ht="15.6" x14ac:dyDescent="0.3">
      <c r="A52" s="287"/>
      <c r="B52" s="288" t="s">
        <v>171</v>
      </c>
      <c r="C52" s="288"/>
      <c r="D52" s="288"/>
      <c r="E52" s="288"/>
      <c r="F52" s="288"/>
      <c r="G52" s="288"/>
      <c r="H52" s="288"/>
      <c r="I52" s="288"/>
      <c r="J52" s="288"/>
      <c r="K52" s="288"/>
      <c r="L52" s="288"/>
      <c r="M52" s="288"/>
      <c r="N52" s="288"/>
      <c r="O52" s="288"/>
      <c r="P52" s="288"/>
      <c r="Q52" s="288"/>
      <c r="R52" s="288"/>
      <c r="S52" s="288"/>
      <c r="T52" s="296"/>
      <c r="U52" s="296"/>
      <c r="V52" s="299" t="s">
        <v>276</v>
      </c>
      <c r="W52" s="291"/>
      <c r="X52" s="5"/>
    </row>
    <row r="53" spans="1:25" ht="15.6" x14ac:dyDescent="0.3">
      <c r="A53" s="287"/>
      <c r="B53" s="288"/>
      <c r="C53" s="288"/>
      <c r="D53" s="288"/>
      <c r="E53" s="288"/>
      <c r="F53" s="288"/>
      <c r="G53" s="288"/>
      <c r="H53" s="288"/>
      <c r="I53" s="288"/>
      <c r="J53" s="288"/>
      <c r="K53" s="288"/>
      <c r="L53" s="288"/>
      <c r="M53" s="288"/>
      <c r="N53" s="288"/>
      <c r="O53" s="288"/>
      <c r="P53" s="288"/>
      <c r="Q53" s="288"/>
      <c r="R53" s="288"/>
      <c r="S53" s="288"/>
      <c r="T53" s="288"/>
      <c r="U53" s="288"/>
      <c r="V53" s="327"/>
      <c r="W53" s="291"/>
      <c r="X53" s="5"/>
    </row>
    <row r="54" spans="1:25" ht="15.6" x14ac:dyDescent="0.3">
      <c r="A54" s="287"/>
      <c r="B54" s="288" t="s">
        <v>202</v>
      </c>
      <c r="C54" s="288"/>
      <c r="D54" s="288"/>
      <c r="E54" s="288"/>
      <c r="F54" s="288"/>
      <c r="G54" s="288"/>
      <c r="H54" s="288"/>
      <c r="I54" s="288"/>
      <c r="J54" s="288"/>
      <c r="K54" s="288"/>
      <c r="L54" s="288"/>
      <c r="M54" s="288"/>
      <c r="N54" s="288"/>
      <c r="O54" s="288"/>
      <c r="P54" s="288"/>
      <c r="Q54" s="288"/>
      <c r="R54" s="288"/>
      <c r="S54" s="288"/>
      <c r="T54" s="288"/>
      <c r="U54" s="288"/>
      <c r="V54" s="328" t="s">
        <v>203</v>
      </c>
      <c r="W54" s="291"/>
      <c r="X54" s="5"/>
    </row>
    <row r="55" spans="1:25" ht="15.6" x14ac:dyDescent="0.3">
      <c r="A55" s="287"/>
      <c r="B55" s="288" t="s">
        <v>280</v>
      </c>
      <c r="C55" s="288"/>
      <c r="D55" s="288"/>
      <c r="E55" s="288"/>
      <c r="F55" s="288"/>
      <c r="G55" s="288"/>
      <c r="H55" s="288"/>
      <c r="I55" s="288"/>
      <c r="J55" s="288"/>
      <c r="K55" s="288"/>
      <c r="L55" s="288"/>
      <c r="M55" s="288"/>
      <c r="N55" s="288"/>
      <c r="O55" s="288"/>
      <c r="P55" s="288"/>
      <c r="Q55" s="288"/>
      <c r="R55" s="288"/>
      <c r="S55" s="288"/>
      <c r="T55" s="296"/>
      <c r="U55" s="296"/>
      <c r="V55" s="329" t="s">
        <v>111</v>
      </c>
      <c r="W55" s="291"/>
      <c r="X55" s="5"/>
    </row>
    <row r="56" spans="1:25" ht="15.6" x14ac:dyDescent="0.3">
      <c r="A56" s="287"/>
      <c r="B56" s="295" t="s">
        <v>201</v>
      </c>
      <c r="C56" s="295"/>
      <c r="D56" s="295"/>
      <c r="E56" s="295"/>
      <c r="F56" s="295"/>
      <c r="G56" s="295"/>
      <c r="H56" s="295"/>
      <c r="I56" s="295"/>
      <c r="J56" s="295"/>
      <c r="K56" s="295"/>
      <c r="L56" s="295"/>
      <c r="M56" s="295"/>
      <c r="N56" s="295"/>
      <c r="O56" s="295"/>
      <c r="P56" s="295"/>
      <c r="Q56" s="295"/>
      <c r="R56" s="295"/>
      <c r="S56" s="295"/>
      <c r="T56" s="330"/>
      <c r="U56" s="330"/>
      <c r="V56" s="331">
        <v>40709</v>
      </c>
      <c r="W56" s="291"/>
      <c r="X56" s="5"/>
    </row>
    <row r="57" spans="1:25" ht="15.6" x14ac:dyDescent="0.3">
      <c r="A57" s="287"/>
      <c r="B57" s="288" t="s">
        <v>121</v>
      </c>
      <c r="C57" s="288"/>
      <c r="D57" s="288"/>
      <c r="E57" s="288"/>
      <c r="F57" s="288"/>
      <c r="G57" s="288"/>
      <c r="H57" s="332"/>
      <c r="I57" s="332"/>
      <c r="J57" s="332"/>
      <c r="K57" s="332"/>
      <c r="L57" s="332"/>
      <c r="M57" s="332"/>
      <c r="N57" s="332"/>
      <c r="O57" s="332"/>
      <c r="P57" s="332"/>
      <c r="Q57" s="332"/>
      <c r="R57" s="288">
        <f>+V57-T57+1</f>
        <v>90</v>
      </c>
      <c r="S57" s="332"/>
      <c r="T57" s="333">
        <v>40527</v>
      </c>
      <c r="U57" s="334"/>
      <c r="V57" s="333">
        <v>40616</v>
      </c>
      <c r="W57" s="291"/>
      <c r="X57" s="5"/>
    </row>
    <row r="58" spans="1:25" ht="15.6" x14ac:dyDescent="0.3">
      <c r="A58" s="287"/>
      <c r="B58" s="288" t="s">
        <v>122</v>
      </c>
      <c r="C58" s="288"/>
      <c r="D58" s="288"/>
      <c r="E58" s="288"/>
      <c r="F58" s="288"/>
      <c r="G58" s="288"/>
      <c r="H58" s="288"/>
      <c r="I58" s="288"/>
      <c r="J58" s="288"/>
      <c r="K58" s="288"/>
      <c r="L58" s="288"/>
      <c r="M58" s="288"/>
      <c r="N58" s="288"/>
      <c r="O58" s="288"/>
      <c r="P58" s="288"/>
      <c r="Q58" s="288"/>
      <c r="R58" s="288">
        <f>+V58-T58+1</f>
        <v>92</v>
      </c>
      <c r="S58" s="288"/>
      <c r="T58" s="333">
        <v>40617</v>
      </c>
      <c r="U58" s="334"/>
      <c r="V58" s="333">
        <v>40708</v>
      </c>
      <c r="W58" s="291"/>
      <c r="X58" s="5"/>
    </row>
    <row r="59" spans="1:25" ht="15.6" x14ac:dyDescent="0.3">
      <c r="A59" s="287"/>
      <c r="B59" s="288" t="s">
        <v>229</v>
      </c>
      <c r="C59" s="288"/>
      <c r="D59" s="288"/>
      <c r="E59" s="288"/>
      <c r="F59" s="288"/>
      <c r="G59" s="288"/>
      <c r="H59" s="288"/>
      <c r="I59" s="288"/>
      <c r="J59" s="288"/>
      <c r="K59" s="288"/>
      <c r="L59" s="288"/>
      <c r="M59" s="288"/>
      <c r="N59" s="288"/>
      <c r="O59" s="288"/>
      <c r="P59" s="288"/>
      <c r="Q59" s="288"/>
      <c r="R59" s="288"/>
      <c r="S59" s="288"/>
      <c r="T59" s="333"/>
      <c r="U59" s="334"/>
      <c r="V59" s="333" t="s">
        <v>120</v>
      </c>
      <c r="W59" s="291"/>
      <c r="X59" s="5"/>
    </row>
    <row r="60" spans="1:25" ht="15.6" x14ac:dyDescent="0.3">
      <c r="A60" s="287"/>
      <c r="B60" s="288" t="s">
        <v>228</v>
      </c>
      <c r="C60" s="288"/>
      <c r="D60" s="288"/>
      <c r="E60" s="288"/>
      <c r="F60" s="288"/>
      <c r="G60" s="288"/>
      <c r="H60" s="288"/>
      <c r="I60" s="288"/>
      <c r="J60" s="288"/>
      <c r="K60" s="288"/>
      <c r="L60" s="288"/>
      <c r="M60" s="288"/>
      <c r="N60" s="288"/>
      <c r="O60" s="288"/>
      <c r="P60" s="288"/>
      <c r="Q60" s="288"/>
      <c r="R60" s="288"/>
      <c r="S60" s="288"/>
      <c r="T60" s="333"/>
      <c r="U60" s="334"/>
      <c r="V60" s="333" t="s">
        <v>154</v>
      </c>
      <c r="W60" s="291"/>
      <c r="X60" s="5"/>
      <c r="Y60" s="134"/>
    </row>
    <row r="61" spans="1:25" ht="15.6" x14ac:dyDescent="0.3">
      <c r="A61" s="287"/>
      <c r="B61" s="288" t="s">
        <v>16</v>
      </c>
      <c r="C61" s="288"/>
      <c r="D61" s="288"/>
      <c r="E61" s="288"/>
      <c r="F61" s="288"/>
      <c r="G61" s="288"/>
      <c r="H61" s="288"/>
      <c r="I61" s="288"/>
      <c r="J61" s="288"/>
      <c r="K61" s="288"/>
      <c r="L61" s="288"/>
      <c r="M61" s="288"/>
      <c r="N61" s="288"/>
      <c r="O61" s="288"/>
      <c r="P61" s="288"/>
      <c r="Q61" s="288"/>
      <c r="R61" s="288"/>
      <c r="S61" s="288"/>
      <c r="T61" s="333"/>
      <c r="U61" s="334"/>
      <c r="V61" s="333">
        <v>40695</v>
      </c>
      <c r="W61" s="291"/>
      <c r="X61" s="5"/>
    </row>
    <row r="62" spans="1:25" ht="15.6" x14ac:dyDescent="0.3">
      <c r="A62" s="183"/>
      <c r="B62" s="284"/>
      <c r="C62" s="284"/>
      <c r="D62" s="284"/>
      <c r="E62" s="284"/>
      <c r="F62" s="284"/>
      <c r="G62" s="284"/>
      <c r="H62" s="284"/>
      <c r="I62" s="284"/>
      <c r="J62" s="284"/>
      <c r="K62" s="284"/>
      <c r="L62" s="284"/>
      <c r="M62" s="284"/>
      <c r="N62" s="284"/>
      <c r="O62" s="284"/>
      <c r="P62" s="284"/>
      <c r="Q62" s="284"/>
      <c r="R62" s="284"/>
      <c r="S62" s="284"/>
      <c r="T62" s="285"/>
      <c r="U62" s="286"/>
      <c r="V62" s="285"/>
      <c r="W62" s="284"/>
      <c r="X62" s="5"/>
    </row>
    <row r="63" spans="1:25" ht="15.6" x14ac:dyDescent="0.3">
      <c r="A63" s="183"/>
      <c r="B63" s="224"/>
      <c r="C63" s="224"/>
      <c r="D63" s="224"/>
      <c r="E63" s="224"/>
      <c r="F63" s="224"/>
      <c r="G63" s="224"/>
      <c r="H63" s="224"/>
      <c r="I63" s="224"/>
      <c r="J63" s="224"/>
      <c r="K63" s="224"/>
      <c r="L63" s="224"/>
      <c r="M63" s="224"/>
      <c r="N63" s="224"/>
      <c r="O63" s="224"/>
      <c r="P63" s="224"/>
      <c r="Q63" s="224"/>
      <c r="R63" s="224"/>
      <c r="S63" s="224"/>
      <c r="T63" s="235"/>
      <c r="U63" s="236"/>
      <c r="V63" s="235"/>
      <c r="W63" s="224"/>
      <c r="X63" s="5"/>
    </row>
    <row r="64" spans="1:25" ht="18" thickBot="1" x14ac:dyDescent="0.35">
      <c r="A64" s="199"/>
      <c r="B64" s="237" t="s">
        <v>311</v>
      </c>
      <c r="C64" s="238"/>
      <c r="D64" s="238"/>
      <c r="E64" s="238"/>
      <c r="F64" s="238"/>
      <c r="G64" s="238"/>
      <c r="H64" s="238"/>
      <c r="I64" s="238"/>
      <c r="J64" s="238"/>
      <c r="K64" s="238"/>
      <c r="L64" s="238"/>
      <c r="M64" s="238"/>
      <c r="N64" s="238"/>
      <c r="O64" s="238"/>
      <c r="P64" s="238"/>
      <c r="Q64" s="238"/>
      <c r="R64" s="238"/>
      <c r="S64" s="238"/>
      <c r="T64" s="238"/>
      <c r="U64" s="238"/>
      <c r="V64" s="239"/>
      <c r="W64" s="240"/>
      <c r="X64" s="5"/>
    </row>
    <row r="65" spans="1:24" ht="15.6" x14ac:dyDescent="0.3">
      <c r="A65" s="262"/>
      <c r="B65" s="399" t="s">
        <v>17</v>
      </c>
      <c r="C65" s="263"/>
      <c r="D65" s="263"/>
      <c r="E65" s="263"/>
      <c r="F65" s="263"/>
      <c r="G65" s="263"/>
      <c r="H65" s="263"/>
      <c r="I65" s="263"/>
      <c r="J65" s="263"/>
      <c r="K65" s="263"/>
      <c r="L65" s="263"/>
      <c r="M65" s="263"/>
      <c r="N65" s="263"/>
      <c r="O65" s="263"/>
      <c r="P65" s="263"/>
      <c r="Q65" s="263"/>
      <c r="R65" s="263"/>
      <c r="S65" s="263"/>
      <c r="T65" s="263"/>
      <c r="U65" s="263"/>
      <c r="V65" s="268"/>
      <c r="W65" s="263"/>
      <c r="X65" s="5"/>
    </row>
    <row r="66" spans="1:24" ht="15.6" x14ac:dyDescent="0.3">
      <c r="A66" s="183"/>
      <c r="B66" s="191"/>
      <c r="C66" s="185"/>
      <c r="D66" s="185"/>
      <c r="E66" s="185"/>
      <c r="F66" s="185"/>
      <c r="G66" s="185"/>
      <c r="H66" s="185"/>
      <c r="I66" s="185"/>
      <c r="J66" s="185"/>
      <c r="K66" s="185"/>
      <c r="L66" s="185"/>
      <c r="M66" s="185"/>
      <c r="N66" s="185"/>
      <c r="O66" s="185"/>
      <c r="P66" s="185"/>
      <c r="Q66" s="185"/>
      <c r="R66" s="185"/>
      <c r="S66" s="185"/>
      <c r="T66" s="185"/>
      <c r="U66" s="185"/>
      <c r="V66" s="201"/>
      <c r="W66" s="185"/>
      <c r="X66" s="5"/>
    </row>
    <row r="67" spans="1:24" ht="46.8" x14ac:dyDescent="0.3">
      <c r="A67" s="183"/>
      <c r="B67" s="202" t="s">
        <v>18</v>
      </c>
      <c r="C67" s="203"/>
      <c r="D67" s="203"/>
      <c r="E67" s="203"/>
      <c r="F67" s="203"/>
      <c r="G67" s="203"/>
      <c r="H67" s="203"/>
      <c r="I67" s="203"/>
      <c r="J67" s="203"/>
      <c r="K67" s="203"/>
      <c r="L67" s="203" t="s">
        <v>94</v>
      </c>
      <c r="M67" s="203"/>
      <c r="N67" s="203" t="s">
        <v>96</v>
      </c>
      <c r="O67" s="203"/>
      <c r="P67" s="203" t="s">
        <v>98</v>
      </c>
      <c r="Q67" s="203"/>
      <c r="R67" s="203" t="s">
        <v>100</v>
      </c>
      <c r="S67" s="203"/>
      <c r="T67" s="203" t="s">
        <v>106</v>
      </c>
      <c r="U67" s="203"/>
      <c r="V67" s="204" t="s">
        <v>112</v>
      </c>
      <c r="W67" s="205"/>
      <c r="X67" s="5"/>
    </row>
    <row r="68" spans="1:24" ht="15.6" x14ac:dyDescent="0.3">
      <c r="A68" s="287"/>
      <c r="B68" s="288" t="s">
        <v>19</v>
      </c>
      <c r="C68" s="337"/>
      <c r="D68" s="337"/>
      <c r="E68" s="337"/>
      <c r="F68" s="337"/>
      <c r="G68" s="337"/>
      <c r="H68" s="337"/>
      <c r="I68" s="337"/>
      <c r="J68" s="337"/>
      <c r="K68" s="337"/>
      <c r="L68" s="337">
        <v>1158015</v>
      </c>
      <c r="M68" s="337"/>
      <c r="N68" s="338">
        <v>1151600</v>
      </c>
      <c r="O68" s="337"/>
      <c r="P68" s="337">
        <f>5953+255+60</f>
        <v>6268</v>
      </c>
      <c r="Q68" s="337"/>
      <c r="R68" s="337">
        <f>255+60</f>
        <v>315</v>
      </c>
      <c r="S68" s="337"/>
      <c r="T68" s="337">
        <v>0</v>
      </c>
      <c r="U68" s="337"/>
      <c r="V68" s="338">
        <f>+N68-P68+R68-T68</f>
        <v>1145647</v>
      </c>
      <c r="W68" s="291"/>
      <c r="X68" s="5"/>
    </row>
    <row r="69" spans="1:24" ht="15.6" x14ac:dyDescent="0.3">
      <c r="A69" s="287"/>
      <c r="B69" s="288" t="s">
        <v>20</v>
      </c>
      <c r="C69" s="337"/>
      <c r="D69" s="337"/>
      <c r="E69" s="337"/>
      <c r="F69" s="337"/>
      <c r="G69" s="337"/>
      <c r="H69" s="337"/>
      <c r="I69" s="337"/>
      <c r="J69" s="337"/>
      <c r="K69" s="337"/>
      <c r="L69" s="337">
        <v>15</v>
      </c>
      <c r="M69" s="337"/>
      <c r="N69" s="338">
        <v>0</v>
      </c>
      <c r="O69" s="337"/>
      <c r="P69" s="337">
        <v>0</v>
      </c>
      <c r="Q69" s="337"/>
      <c r="R69" s="337">
        <v>0</v>
      </c>
      <c r="S69" s="337"/>
      <c r="T69" s="337">
        <v>0</v>
      </c>
      <c r="U69" s="337"/>
      <c r="V69" s="338">
        <v>0</v>
      </c>
      <c r="W69" s="291"/>
      <c r="X69" s="5"/>
    </row>
    <row r="70" spans="1:24" ht="15.6" x14ac:dyDescent="0.3">
      <c r="A70" s="287"/>
      <c r="B70" s="288"/>
      <c r="C70" s="337"/>
      <c r="D70" s="337"/>
      <c r="E70" s="337"/>
      <c r="F70" s="337"/>
      <c r="G70" s="337"/>
      <c r="H70" s="337"/>
      <c r="I70" s="337"/>
      <c r="J70" s="337"/>
      <c r="K70" s="337"/>
      <c r="L70" s="337"/>
      <c r="M70" s="337"/>
      <c r="N70" s="338"/>
      <c r="O70" s="337"/>
      <c r="P70" s="337"/>
      <c r="Q70" s="337"/>
      <c r="R70" s="337"/>
      <c r="S70" s="337"/>
      <c r="T70" s="337"/>
      <c r="U70" s="337"/>
      <c r="V70" s="338"/>
      <c r="W70" s="291"/>
      <c r="X70" s="5"/>
    </row>
    <row r="71" spans="1:24" ht="15.6" x14ac:dyDescent="0.3">
      <c r="A71" s="287"/>
      <c r="B71" s="288" t="s">
        <v>21</v>
      </c>
      <c r="C71" s="337"/>
      <c r="D71" s="337"/>
      <c r="E71" s="337"/>
      <c r="F71" s="337"/>
      <c r="G71" s="337"/>
      <c r="H71" s="337"/>
      <c r="I71" s="337"/>
      <c r="J71" s="337"/>
      <c r="K71" s="337"/>
      <c r="L71" s="337">
        <f>SUM(L68:L70)</f>
        <v>1158030</v>
      </c>
      <c r="M71" s="337"/>
      <c r="N71" s="337">
        <f>N68+N69</f>
        <v>1151600</v>
      </c>
      <c r="O71" s="337"/>
      <c r="P71" s="337">
        <f>SUM(P68:P70)</f>
        <v>6268</v>
      </c>
      <c r="Q71" s="337"/>
      <c r="R71" s="337">
        <f>SUM(R68:R70)</f>
        <v>315</v>
      </c>
      <c r="S71" s="337"/>
      <c r="T71" s="337">
        <f>SUM(T68:T70)</f>
        <v>0</v>
      </c>
      <c r="U71" s="337"/>
      <c r="V71" s="337">
        <f>SUM(V68:V70)</f>
        <v>1145647</v>
      </c>
      <c r="W71" s="291"/>
      <c r="X71" s="5"/>
    </row>
    <row r="72" spans="1:24" ht="15.6" x14ac:dyDescent="0.3">
      <c r="A72" s="183"/>
      <c r="B72" s="198"/>
      <c r="C72" s="335"/>
      <c r="D72" s="335"/>
      <c r="E72" s="335"/>
      <c r="F72" s="335"/>
      <c r="G72" s="335"/>
      <c r="H72" s="335"/>
      <c r="I72" s="335"/>
      <c r="J72" s="335"/>
      <c r="K72" s="335"/>
      <c r="L72" s="335"/>
      <c r="M72" s="335"/>
      <c r="N72" s="335"/>
      <c r="O72" s="335"/>
      <c r="P72" s="335"/>
      <c r="Q72" s="335"/>
      <c r="R72" s="335"/>
      <c r="S72" s="335"/>
      <c r="T72" s="335"/>
      <c r="U72" s="335"/>
      <c r="V72" s="336"/>
      <c r="W72" s="198"/>
      <c r="X72" s="5"/>
    </row>
    <row r="73" spans="1:24" ht="15.6" x14ac:dyDescent="0.3">
      <c r="A73" s="183"/>
      <c r="B73" s="187" t="s">
        <v>22</v>
      </c>
      <c r="C73" s="206"/>
      <c r="D73" s="206"/>
      <c r="E73" s="206"/>
      <c r="F73" s="206"/>
      <c r="G73" s="206"/>
      <c r="H73" s="206"/>
      <c r="I73" s="206"/>
      <c r="J73" s="206"/>
      <c r="K73" s="206"/>
      <c r="L73" s="206"/>
      <c r="M73" s="206"/>
      <c r="N73" s="206"/>
      <c r="O73" s="206"/>
      <c r="P73" s="206"/>
      <c r="Q73" s="206"/>
      <c r="R73" s="206"/>
      <c r="S73" s="206"/>
      <c r="T73" s="206"/>
      <c r="U73" s="206"/>
      <c r="V73" s="207"/>
      <c r="W73" s="185"/>
      <c r="X73" s="5"/>
    </row>
    <row r="74" spans="1:24" ht="15.6" x14ac:dyDescent="0.3">
      <c r="A74" s="183"/>
      <c r="B74" s="185"/>
      <c r="C74" s="206"/>
      <c r="D74" s="206"/>
      <c r="E74" s="206"/>
      <c r="F74" s="206"/>
      <c r="G74" s="206"/>
      <c r="H74" s="206"/>
      <c r="I74" s="206"/>
      <c r="J74" s="206"/>
      <c r="K74" s="206"/>
      <c r="L74" s="206"/>
      <c r="M74" s="206"/>
      <c r="N74" s="206"/>
      <c r="O74" s="206"/>
      <c r="P74" s="206"/>
      <c r="Q74" s="206"/>
      <c r="R74" s="206"/>
      <c r="S74" s="206"/>
      <c r="T74" s="206"/>
      <c r="U74" s="206"/>
      <c r="V74" s="207"/>
      <c r="W74" s="185"/>
      <c r="X74" s="5"/>
    </row>
    <row r="75" spans="1:24" ht="15.6" x14ac:dyDescent="0.3">
      <c r="A75" s="340"/>
      <c r="B75" s="288" t="s">
        <v>19</v>
      </c>
      <c r="C75" s="337"/>
      <c r="D75" s="337"/>
      <c r="E75" s="337"/>
      <c r="F75" s="337"/>
      <c r="G75" s="337"/>
      <c r="H75" s="337"/>
      <c r="I75" s="337"/>
      <c r="J75" s="337"/>
      <c r="K75" s="337"/>
      <c r="L75" s="337"/>
      <c r="M75" s="337"/>
      <c r="N75" s="337"/>
      <c r="O75" s="337"/>
      <c r="P75" s="337"/>
      <c r="Q75" s="337"/>
      <c r="R75" s="337"/>
      <c r="S75" s="337"/>
      <c r="T75" s="337"/>
      <c r="U75" s="337"/>
      <c r="V75" s="337"/>
      <c r="W75" s="291"/>
      <c r="X75" s="5"/>
    </row>
    <row r="76" spans="1:24" ht="15.6" x14ac:dyDescent="0.3">
      <c r="A76" s="340"/>
      <c r="B76" s="288" t="s">
        <v>20</v>
      </c>
      <c r="C76" s="337"/>
      <c r="D76" s="337"/>
      <c r="E76" s="337"/>
      <c r="F76" s="337"/>
      <c r="G76" s="337"/>
      <c r="H76" s="337"/>
      <c r="I76" s="337"/>
      <c r="J76" s="337"/>
      <c r="K76" s="337"/>
      <c r="L76" s="337"/>
      <c r="M76" s="337"/>
      <c r="N76" s="337"/>
      <c r="O76" s="337"/>
      <c r="P76" s="337"/>
      <c r="Q76" s="337"/>
      <c r="R76" s="337"/>
      <c r="S76" s="337"/>
      <c r="T76" s="337"/>
      <c r="U76" s="337"/>
      <c r="V76" s="337"/>
      <c r="W76" s="291"/>
      <c r="X76" s="5"/>
    </row>
    <row r="77" spans="1:24" ht="15.6" x14ac:dyDescent="0.3">
      <c r="A77" s="340"/>
      <c r="B77" s="288"/>
      <c r="C77" s="337"/>
      <c r="D77" s="337"/>
      <c r="E77" s="337"/>
      <c r="F77" s="337"/>
      <c r="G77" s="337"/>
      <c r="H77" s="337"/>
      <c r="I77" s="337"/>
      <c r="J77" s="337"/>
      <c r="K77" s="337"/>
      <c r="L77" s="337"/>
      <c r="M77" s="337"/>
      <c r="N77" s="337"/>
      <c r="O77" s="337"/>
      <c r="P77" s="337"/>
      <c r="Q77" s="337"/>
      <c r="R77" s="337"/>
      <c r="S77" s="337"/>
      <c r="T77" s="337"/>
      <c r="U77" s="337"/>
      <c r="V77" s="337"/>
      <c r="W77" s="291"/>
      <c r="X77" s="5"/>
    </row>
    <row r="78" spans="1:24" ht="15.6" x14ac:dyDescent="0.3">
      <c r="A78" s="340"/>
      <c r="B78" s="288" t="s">
        <v>21</v>
      </c>
      <c r="C78" s="337"/>
      <c r="D78" s="337"/>
      <c r="E78" s="337"/>
      <c r="F78" s="337"/>
      <c r="G78" s="337"/>
      <c r="H78" s="337"/>
      <c r="I78" s="337"/>
      <c r="J78" s="337"/>
      <c r="K78" s="337"/>
      <c r="L78" s="337"/>
      <c r="M78" s="337"/>
      <c r="N78" s="337"/>
      <c r="O78" s="337"/>
      <c r="P78" s="337"/>
      <c r="Q78" s="337"/>
      <c r="R78" s="337"/>
      <c r="S78" s="337"/>
      <c r="T78" s="337"/>
      <c r="U78" s="337"/>
      <c r="V78" s="337"/>
      <c r="W78" s="291"/>
      <c r="X78" s="5"/>
    </row>
    <row r="79" spans="1:24" ht="15.6" x14ac:dyDescent="0.3">
      <c r="A79" s="340"/>
      <c r="B79" s="288"/>
      <c r="C79" s="337"/>
      <c r="D79" s="337"/>
      <c r="E79" s="337"/>
      <c r="F79" s="337"/>
      <c r="G79" s="337"/>
      <c r="H79" s="337"/>
      <c r="I79" s="337"/>
      <c r="J79" s="337"/>
      <c r="K79" s="337"/>
      <c r="L79" s="337"/>
      <c r="M79" s="337"/>
      <c r="N79" s="337"/>
      <c r="O79" s="337"/>
      <c r="P79" s="337"/>
      <c r="Q79" s="337"/>
      <c r="R79" s="337"/>
      <c r="S79" s="337"/>
      <c r="T79" s="337"/>
      <c r="U79" s="337"/>
      <c r="V79" s="337"/>
      <c r="W79" s="291"/>
      <c r="X79" s="5"/>
    </row>
    <row r="80" spans="1:24" ht="15.6" x14ac:dyDescent="0.3">
      <c r="A80" s="340"/>
      <c r="B80" s="288" t="s">
        <v>23</v>
      </c>
      <c r="C80" s="337"/>
      <c r="D80" s="337"/>
      <c r="E80" s="337"/>
      <c r="F80" s="337"/>
      <c r="G80" s="337"/>
      <c r="H80" s="337"/>
      <c r="I80" s="337"/>
      <c r="J80" s="337"/>
      <c r="K80" s="337"/>
      <c r="L80" s="337">
        <v>0</v>
      </c>
      <c r="M80" s="337"/>
      <c r="N80" s="337">
        <v>0</v>
      </c>
      <c r="O80" s="337"/>
      <c r="P80" s="337"/>
      <c r="Q80" s="337"/>
      <c r="R80" s="337"/>
      <c r="S80" s="337"/>
      <c r="T80" s="337"/>
      <c r="U80" s="337"/>
      <c r="V80" s="338">
        <v>0</v>
      </c>
      <c r="W80" s="291"/>
      <c r="X80" s="5"/>
    </row>
    <row r="81" spans="1:24" ht="15.6" x14ac:dyDescent="0.3">
      <c r="A81" s="340"/>
      <c r="B81" s="288" t="s">
        <v>117</v>
      </c>
      <c r="C81" s="337"/>
      <c r="D81" s="337"/>
      <c r="E81" s="337"/>
      <c r="F81" s="337"/>
      <c r="G81" s="337"/>
      <c r="H81" s="337"/>
      <c r="I81" s="337"/>
      <c r="J81" s="337"/>
      <c r="K81" s="337"/>
      <c r="L81" s="337">
        <v>342245</v>
      </c>
      <c r="M81" s="337"/>
      <c r="N81" s="337">
        <v>0</v>
      </c>
      <c r="O81" s="337"/>
      <c r="P81" s="337">
        <v>0</v>
      </c>
      <c r="Q81" s="337"/>
      <c r="R81" s="337"/>
      <c r="S81" s="337"/>
      <c r="T81" s="337"/>
      <c r="U81" s="337"/>
      <c r="V81" s="337">
        <f>SUM(N81:R81)</f>
        <v>0</v>
      </c>
      <c r="W81" s="291"/>
      <c r="X81" s="5"/>
    </row>
    <row r="82" spans="1:24" ht="15.6" x14ac:dyDescent="0.3">
      <c r="A82" s="340"/>
      <c r="B82" s="288"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91"/>
      <c r="X82" s="5"/>
    </row>
    <row r="83" spans="1:24" ht="15.6" x14ac:dyDescent="0.3">
      <c r="A83" s="340"/>
      <c r="B83" s="288" t="s">
        <v>25</v>
      </c>
      <c r="C83" s="337"/>
      <c r="D83" s="337"/>
      <c r="E83" s="337"/>
      <c r="F83" s="337"/>
      <c r="G83" s="337"/>
      <c r="H83" s="337"/>
      <c r="I83" s="337"/>
      <c r="J83" s="337"/>
      <c r="K83" s="337"/>
      <c r="L83" s="337">
        <v>0</v>
      </c>
      <c r="M83" s="337"/>
      <c r="N83" s="337">
        <v>0</v>
      </c>
      <c r="O83" s="337"/>
      <c r="P83" s="337"/>
      <c r="Q83" s="337"/>
      <c r="R83" s="337"/>
      <c r="S83" s="337"/>
      <c r="T83" s="337"/>
      <c r="U83" s="337"/>
      <c r="V83" s="337">
        <v>0</v>
      </c>
      <c r="W83" s="291"/>
      <c r="X83" s="5"/>
    </row>
    <row r="84" spans="1:24" ht="15.6" x14ac:dyDescent="0.3">
      <c r="A84" s="340"/>
      <c r="B84" s="288" t="s">
        <v>26</v>
      </c>
      <c r="C84" s="337"/>
      <c r="D84" s="337"/>
      <c r="E84" s="337"/>
      <c r="F84" s="337"/>
      <c r="G84" s="337"/>
      <c r="H84" s="337"/>
      <c r="I84" s="337"/>
      <c r="J84" s="337"/>
      <c r="K84" s="337"/>
      <c r="L84" s="337">
        <f>SUM(L71:L83)</f>
        <v>1500275</v>
      </c>
      <c r="M84" s="337"/>
      <c r="N84" s="337">
        <f>SUM(N71:N83)</f>
        <v>1151600</v>
      </c>
      <c r="O84" s="337"/>
      <c r="P84" s="337"/>
      <c r="Q84" s="337"/>
      <c r="R84" s="337"/>
      <c r="S84" s="337"/>
      <c r="T84" s="337"/>
      <c r="U84" s="337"/>
      <c r="V84" s="337">
        <f>SUM(V71:V83)</f>
        <v>1145647</v>
      </c>
      <c r="W84" s="291"/>
      <c r="X84" s="5"/>
    </row>
    <row r="85" spans="1:24" ht="15.6" x14ac:dyDescent="0.3">
      <c r="A85" s="243"/>
      <c r="B85" s="284"/>
      <c r="C85" s="339"/>
      <c r="D85" s="339"/>
      <c r="E85" s="339"/>
      <c r="F85" s="339"/>
      <c r="G85" s="339"/>
      <c r="H85" s="339"/>
      <c r="I85" s="339"/>
      <c r="J85" s="339"/>
      <c r="K85" s="339"/>
      <c r="L85" s="339"/>
      <c r="M85" s="339"/>
      <c r="N85" s="339"/>
      <c r="O85" s="339"/>
      <c r="P85" s="339"/>
      <c r="Q85" s="339"/>
      <c r="R85" s="339"/>
      <c r="S85" s="339"/>
      <c r="T85" s="339"/>
      <c r="U85" s="339"/>
      <c r="V85" s="339"/>
      <c r="W85" s="284"/>
      <c r="X85" s="5"/>
    </row>
    <row r="86" spans="1:24" ht="15.6" x14ac:dyDescent="0.3">
      <c r="A86" s="243"/>
      <c r="B86" s="224"/>
      <c r="C86" s="224"/>
      <c r="D86" s="224"/>
      <c r="E86" s="224"/>
      <c r="F86" s="224"/>
      <c r="G86" s="224"/>
      <c r="H86" s="224"/>
      <c r="I86" s="224"/>
      <c r="J86" s="224"/>
      <c r="K86" s="224"/>
      <c r="L86" s="224"/>
      <c r="M86" s="224"/>
      <c r="N86" s="224"/>
      <c r="O86" s="224"/>
      <c r="P86" s="224"/>
      <c r="Q86" s="224"/>
      <c r="R86" s="224"/>
      <c r="S86" s="224"/>
      <c r="T86" s="224"/>
      <c r="U86" s="224"/>
      <c r="V86" s="224"/>
      <c r="W86" s="224"/>
      <c r="X86" s="5"/>
    </row>
    <row r="87" spans="1:24" ht="15.6" x14ac:dyDescent="0.3">
      <c r="A87" s="262"/>
      <c r="B87" s="399" t="s">
        <v>27</v>
      </c>
      <c r="C87" s="399"/>
      <c r="D87" s="399"/>
      <c r="E87" s="399"/>
      <c r="F87" s="399"/>
      <c r="G87" s="399"/>
      <c r="H87" s="400"/>
      <c r="I87" s="400"/>
      <c r="J87" s="400"/>
      <c r="K87" s="400"/>
      <c r="L87" s="401" t="s">
        <v>95</v>
      </c>
      <c r="M87" s="400"/>
      <c r="N87" s="402">
        <f>+T205</f>
        <v>40694</v>
      </c>
      <c r="O87" s="400"/>
      <c r="P87" s="400"/>
      <c r="Q87" s="400"/>
      <c r="R87" s="400"/>
      <c r="S87" s="400"/>
      <c r="T87" s="400" t="s">
        <v>107</v>
      </c>
      <c r="U87" s="400"/>
      <c r="V87" s="400" t="s">
        <v>113</v>
      </c>
      <c r="W87" s="263"/>
      <c r="X87" s="5"/>
    </row>
    <row r="88" spans="1:24" ht="15.6" x14ac:dyDescent="0.3">
      <c r="A88" s="242"/>
      <c r="B88" s="231" t="s">
        <v>28</v>
      </c>
      <c r="C88" s="231"/>
      <c r="D88" s="231"/>
      <c r="E88" s="231"/>
      <c r="F88" s="231"/>
      <c r="G88" s="231"/>
      <c r="H88" s="231"/>
      <c r="I88" s="231"/>
      <c r="J88" s="231"/>
      <c r="K88" s="231"/>
      <c r="L88" s="231"/>
      <c r="M88" s="231"/>
      <c r="N88" s="231"/>
      <c r="O88" s="231"/>
      <c r="P88" s="231"/>
      <c r="Q88" s="231"/>
      <c r="R88" s="231"/>
      <c r="S88" s="231"/>
      <c r="T88" s="234">
        <v>0</v>
      </c>
      <c r="U88" s="231"/>
      <c r="V88" s="241">
        <v>0</v>
      </c>
      <c r="W88" s="231"/>
      <c r="X88" s="5"/>
    </row>
    <row r="89" spans="1:24" ht="15.6" x14ac:dyDescent="0.3">
      <c r="A89" s="340"/>
      <c r="B89" s="288" t="s">
        <v>29</v>
      </c>
      <c r="C89" s="288"/>
      <c r="D89" s="288"/>
      <c r="E89" s="288"/>
      <c r="F89" s="288"/>
      <c r="G89" s="288"/>
      <c r="H89" s="325"/>
      <c r="I89" s="325"/>
      <c r="J89" s="325"/>
      <c r="K89" s="341"/>
      <c r="L89" s="325"/>
      <c r="M89" s="288"/>
      <c r="N89" s="342"/>
      <c r="O89" s="288"/>
      <c r="P89" s="288"/>
      <c r="Q89" s="288"/>
      <c r="R89" s="288"/>
      <c r="S89" s="288"/>
      <c r="T89" s="337">
        <f>6268-179</f>
        <v>6089</v>
      </c>
      <c r="U89" s="288"/>
      <c r="V89" s="338"/>
      <c r="W89" s="291"/>
      <c r="X89" s="5"/>
    </row>
    <row r="90" spans="1:24" ht="15.6" x14ac:dyDescent="0.3">
      <c r="A90" s="340"/>
      <c r="B90" s="288" t="s">
        <v>216</v>
      </c>
      <c r="C90" s="288"/>
      <c r="D90" s="288"/>
      <c r="E90" s="288"/>
      <c r="F90" s="288"/>
      <c r="G90" s="288"/>
      <c r="H90" s="325"/>
      <c r="I90" s="325"/>
      <c r="J90" s="325"/>
      <c r="K90" s="341"/>
      <c r="L90" s="325"/>
      <c r="M90" s="288"/>
      <c r="N90" s="342"/>
      <c r="O90" s="288"/>
      <c r="P90" s="288"/>
      <c r="Q90" s="288"/>
      <c r="R90" s="288"/>
      <c r="S90" s="288"/>
      <c r="T90" s="337"/>
      <c r="U90" s="288"/>
      <c r="V90" s="338">
        <f>3803+4864-490-702+40</f>
        <v>7515</v>
      </c>
      <c r="W90" s="291"/>
      <c r="X90" s="5"/>
    </row>
    <row r="91" spans="1:24" ht="15.6" x14ac:dyDescent="0.3">
      <c r="A91" s="340"/>
      <c r="B91" s="288" t="s">
        <v>211</v>
      </c>
      <c r="C91" s="288"/>
      <c r="D91" s="288"/>
      <c r="E91" s="288"/>
      <c r="F91" s="288"/>
      <c r="G91" s="288"/>
      <c r="H91" s="325"/>
      <c r="I91" s="325"/>
      <c r="J91" s="325"/>
      <c r="K91" s="341"/>
      <c r="L91" s="325"/>
      <c r="M91" s="288"/>
      <c r="N91" s="342"/>
      <c r="O91" s="288"/>
      <c r="P91" s="288"/>
      <c r="Q91" s="288"/>
      <c r="R91" s="288"/>
      <c r="S91" s="288"/>
      <c r="T91" s="337"/>
      <c r="U91" s="288"/>
      <c r="V91" s="338">
        <f>52+10</f>
        <v>62</v>
      </c>
      <c r="W91" s="291"/>
      <c r="X91" s="5"/>
    </row>
    <row r="92" spans="1:24" ht="15.6" x14ac:dyDescent="0.3">
      <c r="A92" s="340"/>
      <c r="B92" s="288" t="s">
        <v>212</v>
      </c>
      <c r="C92" s="288"/>
      <c r="D92" s="288"/>
      <c r="E92" s="288"/>
      <c r="F92" s="288"/>
      <c r="G92" s="288"/>
      <c r="H92" s="325"/>
      <c r="I92" s="325"/>
      <c r="J92" s="325"/>
      <c r="K92" s="341"/>
      <c r="L92" s="325"/>
      <c r="M92" s="288"/>
      <c r="N92" s="342"/>
      <c r="O92" s="288"/>
      <c r="P92" s="288"/>
      <c r="Q92" s="288"/>
      <c r="R92" s="288"/>
      <c r="S92" s="288"/>
      <c r="T92" s="337"/>
      <c r="U92" s="288"/>
      <c r="V92" s="338">
        <v>83</v>
      </c>
      <c r="W92" s="291"/>
      <c r="X92" s="5"/>
    </row>
    <row r="93" spans="1:24" ht="15.6" x14ac:dyDescent="0.3">
      <c r="A93" s="340"/>
      <c r="B93" s="288" t="s">
        <v>272</v>
      </c>
      <c r="C93" s="288"/>
      <c r="D93" s="288"/>
      <c r="E93" s="288"/>
      <c r="F93" s="288"/>
      <c r="G93" s="288"/>
      <c r="H93" s="325"/>
      <c r="I93" s="325"/>
      <c r="J93" s="325"/>
      <c r="K93" s="341"/>
      <c r="L93" s="325"/>
      <c r="M93" s="288"/>
      <c r="N93" s="342"/>
      <c r="O93" s="288"/>
      <c r="P93" s="288"/>
      <c r="Q93" s="288"/>
      <c r="R93" s="288"/>
      <c r="S93" s="288"/>
      <c r="T93" s="337"/>
      <c r="U93" s="288"/>
      <c r="V93" s="338">
        <v>0</v>
      </c>
      <c r="W93" s="291"/>
      <c r="X93" s="5"/>
    </row>
    <row r="94" spans="1:24" ht="15.6" x14ac:dyDescent="0.3">
      <c r="A94" s="340"/>
      <c r="B94" s="288" t="s">
        <v>274</v>
      </c>
      <c r="C94" s="288"/>
      <c r="D94" s="288"/>
      <c r="E94" s="288"/>
      <c r="F94" s="288"/>
      <c r="G94" s="288"/>
      <c r="H94" s="325"/>
      <c r="I94" s="325"/>
      <c r="J94" s="325"/>
      <c r="K94" s="341"/>
      <c r="L94" s="325"/>
      <c r="M94" s="288"/>
      <c r="N94" s="342"/>
      <c r="O94" s="288"/>
      <c r="P94" s="288"/>
      <c r="Q94" s="288"/>
      <c r="R94" s="288"/>
      <c r="S94" s="288"/>
      <c r="T94" s="337"/>
      <c r="U94" s="288"/>
      <c r="V94" s="338">
        <v>0</v>
      </c>
      <c r="W94" s="291"/>
      <c r="X94" s="5"/>
    </row>
    <row r="95" spans="1:24" ht="15.6" x14ac:dyDescent="0.3">
      <c r="A95" s="340"/>
      <c r="B95" s="288" t="s">
        <v>135</v>
      </c>
      <c r="C95" s="288"/>
      <c r="D95" s="288"/>
      <c r="E95" s="288"/>
      <c r="F95" s="288"/>
      <c r="G95" s="288"/>
      <c r="H95" s="288"/>
      <c r="I95" s="288"/>
      <c r="J95" s="288"/>
      <c r="K95" s="288"/>
      <c r="L95" s="288"/>
      <c r="M95" s="288"/>
      <c r="N95" s="288"/>
      <c r="O95" s="288"/>
      <c r="P95" s="288"/>
      <c r="Q95" s="288"/>
      <c r="R95" s="288"/>
      <c r="S95" s="288"/>
      <c r="T95" s="337"/>
      <c r="U95" s="288"/>
      <c r="V95" s="338">
        <v>0</v>
      </c>
      <c r="W95" s="291"/>
      <c r="X95" s="5"/>
    </row>
    <row r="96" spans="1:24" ht="15.6" x14ac:dyDescent="0.3">
      <c r="A96" s="340"/>
      <c r="B96" s="288" t="s">
        <v>268</v>
      </c>
      <c r="C96" s="288"/>
      <c r="D96" s="288"/>
      <c r="E96" s="288"/>
      <c r="F96" s="288"/>
      <c r="G96" s="288"/>
      <c r="H96" s="288"/>
      <c r="I96" s="288"/>
      <c r="J96" s="288"/>
      <c r="K96" s="288"/>
      <c r="L96" s="288"/>
      <c r="M96" s="288"/>
      <c r="N96" s="288"/>
      <c r="O96" s="288"/>
      <c r="P96" s="288"/>
      <c r="Q96" s="288"/>
      <c r="R96" s="288"/>
      <c r="S96" s="288"/>
      <c r="T96" s="337"/>
      <c r="U96" s="288"/>
      <c r="V96" s="338">
        <v>0</v>
      </c>
      <c r="W96" s="291"/>
      <c r="X96" s="5"/>
    </row>
    <row r="97" spans="1:25" ht="15.6" x14ac:dyDescent="0.3">
      <c r="A97" s="340"/>
      <c r="B97" s="288" t="s">
        <v>30</v>
      </c>
      <c r="C97" s="288"/>
      <c r="D97" s="288"/>
      <c r="E97" s="288"/>
      <c r="F97" s="288"/>
      <c r="G97" s="288"/>
      <c r="H97" s="288"/>
      <c r="I97" s="288"/>
      <c r="J97" s="288"/>
      <c r="K97" s="288"/>
      <c r="L97" s="288"/>
      <c r="M97" s="288"/>
      <c r="N97" s="288"/>
      <c r="O97" s="288"/>
      <c r="P97" s="288"/>
      <c r="Q97" s="288"/>
      <c r="R97" s="288"/>
      <c r="S97" s="288"/>
      <c r="T97" s="337">
        <f>SUM(T88:T96)</f>
        <v>6089</v>
      </c>
      <c r="U97" s="288"/>
      <c r="V97" s="337">
        <f>SUM(V88:V96)</f>
        <v>7660</v>
      </c>
      <c r="W97" s="291"/>
      <c r="X97" s="5"/>
    </row>
    <row r="98" spans="1:25" ht="15.6" x14ac:dyDescent="0.3">
      <c r="A98" s="340"/>
      <c r="B98" s="288" t="s">
        <v>161</v>
      </c>
      <c r="C98" s="288"/>
      <c r="D98" s="288"/>
      <c r="E98" s="288"/>
      <c r="F98" s="288"/>
      <c r="G98" s="288"/>
      <c r="H98" s="288"/>
      <c r="I98" s="288"/>
      <c r="J98" s="288"/>
      <c r="K98" s="288"/>
      <c r="L98" s="288"/>
      <c r="M98" s="288"/>
      <c r="N98" s="288"/>
      <c r="O98" s="288"/>
      <c r="P98" s="288"/>
      <c r="Q98" s="288"/>
      <c r="R98" s="288"/>
      <c r="S98" s="288"/>
      <c r="T98" s="337">
        <f>-V98</f>
        <v>-60</v>
      </c>
      <c r="U98" s="288"/>
      <c r="V98" s="337">
        <v>60</v>
      </c>
      <c r="W98" s="291"/>
      <c r="X98" s="5"/>
    </row>
    <row r="99" spans="1:25" ht="15.6" x14ac:dyDescent="0.3">
      <c r="A99" s="340"/>
      <c r="B99" s="288" t="s">
        <v>31</v>
      </c>
      <c r="C99" s="288"/>
      <c r="D99" s="288"/>
      <c r="E99" s="288"/>
      <c r="F99" s="288"/>
      <c r="G99" s="288"/>
      <c r="H99" s="288"/>
      <c r="I99" s="288"/>
      <c r="J99" s="288"/>
      <c r="K99" s="288"/>
      <c r="L99" s="288"/>
      <c r="M99" s="288"/>
      <c r="N99" s="288"/>
      <c r="O99" s="288"/>
      <c r="P99" s="288"/>
      <c r="Q99" s="288"/>
      <c r="R99" s="288"/>
      <c r="S99" s="288"/>
      <c r="T99" s="337">
        <f>-V99</f>
        <v>0</v>
      </c>
      <c r="U99" s="288"/>
      <c r="V99" s="338">
        <v>0</v>
      </c>
      <c r="W99" s="291"/>
      <c r="X99" s="5"/>
    </row>
    <row r="100" spans="1:25" ht="15.6" x14ac:dyDescent="0.3">
      <c r="A100" s="340"/>
      <c r="B100" s="288" t="s">
        <v>283</v>
      </c>
      <c r="C100" s="288"/>
      <c r="D100" s="288"/>
      <c r="E100" s="288"/>
      <c r="F100" s="288"/>
      <c r="G100" s="288"/>
      <c r="H100" s="288"/>
      <c r="I100" s="288"/>
      <c r="J100" s="288"/>
      <c r="K100" s="288"/>
      <c r="L100" s="288"/>
      <c r="M100" s="288"/>
      <c r="N100" s="288"/>
      <c r="O100" s="288"/>
      <c r="P100" s="288"/>
      <c r="Q100" s="288"/>
      <c r="R100" s="288"/>
      <c r="S100" s="288"/>
      <c r="T100" s="337"/>
      <c r="U100" s="288"/>
      <c r="V100" s="338">
        <v>-151</v>
      </c>
      <c r="W100" s="291"/>
      <c r="X100" s="5"/>
    </row>
    <row r="101" spans="1:25" ht="15.6" x14ac:dyDescent="0.3">
      <c r="A101" s="340"/>
      <c r="B101" s="288" t="s">
        <v>32</v>
      </c>
      <c r="C101" s="288"/>
      <c r="D101" s="288"/>
      <c r="E101" s="288"/>
      <c r="F101" s="288"/>
      <c r="G101" s="288"/>
      <c r="H101" s="288"/>
      <c r="I101" s="288"/>
      <c r="J101" s="288"/>
      <c r="K101" s="288"/>
      <c r="L101" s="288"/>
      <c r="M101" s="288"/>
      <c r="N101" s="288"/>
      <c r="O101" s="288"/>
      <c r="P101" s="288"/>
      <c r="Q101" s="288"/>
      <c r="R101" s="288"/>
      <c r="S101" s="288"/>
      <c r="T101" s="337">
        <f>T97+T99+T98</f>
        <v>6029</v>
      </c>
      <c r="U101" s="288"/>
      <c r="V101" s="337">
        <f>V97+V99+V98+V100</f>
        <v>7569</v>
      </c>
      <c r="W101" s="291"/>
      <c r="X101" s="5"/>
    </row>
    <row r="102" spans="1:25" ht="15.6" x14ac:dyDescent="0.3">
      <c r="A102" s="287"/>
      <c r="B102" s="343" t="s">
        <v>33</v>
      </c>
      <c r="C102" s="314"/>
      <c r="D102" s="314"/>
      <c r="E102" s="314"/>
      <c r="F102" s="314"/>
      <c r="G102" s="314"/>
      <c r="H102" s="314"/>
      <c r="I102" s="314"/>
      <c r="J102" s="314"/>
      <c r="K102" s="314"/>
      <c r="L102" s="314"/>
      <c r="M102" s="314"/>
      <c r="N102" s="314"/>
      <c r="O102" s="314"/>
      <c r="P102" s="314"/>
      <c r="Q102" s="314"/>
      <c r="R102" s="314"/>
      <c r="S102" s="314"/>
      <c r="T102" s="344"/>
      <c r="U102" s="314"/>
      <c r="V102" s="345"/>
      <c r="W102" s="318"/>
      <c r="X102" s="5"/>
    </row>
    <row r="103" spans="1:25" ht="15.6" x14ac:dyDescent="0.3">
      <c r="A103" s="340">
        <v>1</v>
      </c>
      <c r="B103" s="288" t="s">
        <v>34</v>
      </c>
      <c r="C103" s="288"/>
      <c r="D103" s="288"/>
      <c r="E103" s="288"/>
      <c r="F103" s="288"/>
      <c r="G103" s="288"/>
      <c r="H103" s="288"/>
      <c r="I103" s="288"/>
      <c r="J103" s="288"/>
      <c r="K103" s="288"/>
      <c r="L103" s="288"/>
      <c r="M103" s="288"/>
      <c r="N103" s="288"/>
      <c r="O103" s="288"/>
      <c r="P103" s="288"/>
      <c r="Q103" s="288"/>
      <c r="R103" s="288"/>
      <c r="S103" s="288"/>
      <c r="T103" s="288"/>
      <c r="U103" s="288"/>
      <c r="V103" s="338">
        <v>0</v>
      </c>
      <c r="W103" s="291"/>
      <c r="X103" s="5"/>
    </row>
    <row r="104" spans="1:25" ht="15.6" x14ac:dyDescent="0.3">
      <c r="A104" s="340">
        <f>+A103+1</f>
        <v>2</v>
      </c>
      <c r="B104" s="288" t="s">
        <v>225</v>
      </c>
      <c r="C104" s="288"/>
      <c r="D104" s="288"/>
      <c r="E104" s="288"/>
      <c r="F104" s="288"/>
      <c r="G104" s="288"/>
      <c r="H104" s="288"/>
      <c r="I104" s="288"/>
      <c r="J104" s="288"/>
      <c r="K104" s="288"/>
      <c r="L104" s="288"/>
      <c r="M104" s="288"/>
      <c r="N104" s="288"/>
      <c r="O104" s="288"/>
      <c r="P104" s="288"/>
      <c r="Q104" s="288"/>
      <c r="R104" s="288"/>
      <c r="S104" s="288"/>
      <c r="T104" s="288"/>
      <c r="U104" s="288"/>
      <c r="V104" s="338">
        <v>-2</v>
      </c>
      <c r="W104" s="291"/>
      <c r="X104" s="5"/>
    </row>
    <row r="105" spans="1:25" ht="15.6" x14ac:dyDescent="0.3">
      <c r="A105" s="340">
        <f>+A104+1</f>
        <v>3</v>
      </c>
      <c r="B105" s="288" t="s">
        <v>204</v>
      </c>
      <c r="C105" s="288"/>
      <c r="D105" s="288"/>
      <c r="E105" s="288"/>
      <c r="F105" s="288"/>
      <c r="G105" s="288"/>
      <c r="H105" s="288"/>
      <c r="I105" s="288"/>
      <c r="J105" s="288"/>
      <c r="K105" s="288"/>
      <c r="L105" s="288"/>
      <c r="M105" s="288"/>
      <c r="N105" s="288"/>
      <c r="O105" s="288"/>
      <c r="P105" s="288"/>
      <c r="Q105" s="288"/>
      <c r="R105" s="288"/>
      <c r="S105" s="288"/>
      <c r="T105" s="288"/>
      <c r="U105" s="288"/>
      <c r="V105" s="338">
        <f>-146-256-14</f>
        <v>-416</v>
      </c>
      <c r="W105" s="291"/>
      <c r="X105" s="5"/>
    </row>
    <row r="106" spans="1:25" ht="15.6" x14ac:dyDescent="0.3">
      <c r="A106" s="340" t="s">
        <v>127</v>
      </c>
      <c r="B106" s="288" t="s">
        <v>116</v>
      </c>
      <c r="C106" s="288"/>
      <c r="D106" s="288"/>
      <c r="E106" s="288"/>
      <c r="F106" s="288"/>
      <c r="G106" s="288"/>
      <c r="H106" s="288"/>
      <c r="I106" s="288"/>
      <c r="J106" s="288"/>
      <c r="K106" s="288"/>
      <c r="L106" s="288"/>
      <c r="M106" s="288"/>
      <c r="N106" s="288"/>
      <c r="O106" s="288"/>
      <c r="P106" s="288"/>
      <c r="Q106" s="288"/>
      <c r="R106" s="288"/>
      <c r="S106" s="288"/>
      <c r="T106" s="288"/>
      <c r="U106" s="288"/>
      <c r="V106" s="338">
        <v>-63</v>
      </c>
      <c r="W106" s="291"/>
      <c r="X106" s="5"/>
    </row>
    <row r="107" spans="1:25" ht="15.6" x14ac:dyDescent="0.3">
      <c r="A107" s="340" t="s">
        <v>128</v>
      </c>
      <c r="B107" s="288" t="s">
        <v>222</v>
      </c>
      <c r="C107" s="288"/>
      <c r="D107" s="288"/>
      <c r="E107" s="288"/>
      <c r="F107" s="288"/>
      <c r="G107" s="288"/>
      <c r="H107" s="288"/>
      <c r="I107" s="288"/>
      <c r="J107" s="288"/>
      <c r="K107" s="288"/>
      <c r="L107" s="288"/>
      <c r="M107" s="288"/>
      <c r="N107" s="288"/>
      <c r="O107" s="288"/>
      <c r="P107" s="288"/>
      <c r="Q107" s="288"/>
      <c r="R107" s="288"/>
      <c r="S107" s="288"/>
      <c r="T107" s="288"/>
      <c r="U107" s="288"/>
      <c r="V107" s="338">
        <f>207-2181</f>
        <v>-1974</v>
      </c>
      <c r="W107" s="291"/>
      <c r="X107" s="5"/>
      <c r="Y107" s="109"/>
    </row>
    <row r="108" spans="1:25" ht="15.6" x14ac:dyDescent="0.3">
      <c r="A108" s="340" t="s">
        <v>150</v>
      </c>
      <c r="B108" s="288" t="s">
        <v>184</v>
      </c>
      <c r="C108" s="288"/>
      <c r="D108" s="288"/>
      <c r="E108" s="288"/>
      <c r="F108" s="288"/>
      <c r="G108" s="288"/>
      <c r="H108" s="288"/>
      <c r="I108" s="288"/>
      <c r="J108" s="288"/>
      <c r="K108" s="288"/>
      <c r="L108" s="288"/>
      <c r="M108" s="288"/>
      <c r="N108" s="288"/>
      <c r="O108" s="288"/>
      <c r="P108" s="288"/>
      <c r="Q108" s="288"/>
      <c r="R108" s="288"/>
      <c r="S108" s="288"/>
      <c r="T108" s="288"/>
      <c r="U108" s="288"/>
      <c r="V108" s="338">
        <v>-207</v>
      </c>
      <c r="W108" s="291"/>
      <c r="X108" s="5"/>
      <c r="Y108" s="109"/>
    </row>
    <row r="109" spans="1:25" ht="15.6" x14ac:dyDescent="0.3">
      <c r="A109" s="340" t="s">
        <v>236</v>
      </c>
      <c r="B109" s="288" t="s">
        <v>238</v>
      </c>
      <c r="C109" s="288"/>
      <c r="D109" s="288"/>
      <c r="E109" s="288"/>
      <c r="F109" s="288"/>
      <c r="G109" s="288"/>
      <c r="H109" s="288"/>
      <c r="I109" s="288"/>
      <c r="J109" s="288"/>
      <c r="K109" s="288"/>
      <c r="L109" s="288"/>
      <c r="M109" s="288"/>
      <c r="N109" s="288"/>
      <c r="O109" s="288"/>
      <c r="P109" s="288"/>
      <c r="Q109" s="288"/>
      <c r="R109" s="288"/>
      <c r="S109" s="288"/>
      <c r="T109" s="288"/>
      <c r="U109" s="288"/>
      <c r="V109" s="338">
        <v>-1</v>
      </c>
      <c r="W109" s="291"/>
      <c r="X109" s="5"/>
    </row>
    <row r="110" spans="1:25" ht="15.6" x14ac:dyDescent="0.3">
      <c r="A110" s="340" t="s">
        <v>205</v>
      </c>
      <c r="B110" s="288" t="s">
        <v>185</v>
      </c>
      <c r="C110" s="288"/>
      <c r="D110" s="288"/>
      <c r="E110" s="288"/>
      <c r="F110" s="288"/>
      <c r="G110" s="288"/>
      <c r="H110" s="288"/>
      <c r="I110" s="288"/>
      <c r="J110" s="288"/>
      <c r="K110" s="288"/>
      <c r="L110" s="288"/>
      <c r="M110" s="288"/>
      <c r="N110" s="288"/>
      <c r="O110" s="288"/>
      <c r="P110" s="288"/>
      <c r="Q110" s="288"/>
      <c r="R110" s="288"/>
      <c r="S110" s="288"/>
      <c r="T110" s="288"/>
      <c r="U110" s="288"/>
      <c r="V110" s="338">
        <v>-155</v>
      </c>
      <c r="W110" s="291"/>
      <c r="X110" s="5"/>
      <c r="Y110" s="109"/>
    </row>
    <row r="111" spans="1:25" ht="15.6" x14ac:dyDescent="0.3">
      <c r="A111" s="340" t="s">
        <v>206</v>
      </c>
      <c r="B111" s="288" t="s">
        <v>186</v>
      </c>
      <c r="C111" s="288"/>
      <c r="D111" s="288"/>
      <c r="E111" s="288"/>
      <c r="F111" s="288"/>
      <c r="G111" s="288"/>
      <c r="H111" s="288"/>
      <c r="I111" s="288"/>
      <c r="J111" s="288"/>
      <c r="K111" s="288"/>
      <c r="L111" s="288"/>
      <c r="M111" s="288"/>
      <c r="N111" s="288"/>
      <c r="O111" s="288"/>
      <c r="P111" s="288"/>
      <c r="Q111" s="288"/>
      <c r="R111" s="288"/>
      <c r="S111" s="288"/>
      <c r="T111" s="288"/>
      <c r="U111" s="288"/>
      <c r="V111" s="338">
        <f>155-284</f>
        <v>-129</v>
      </c>
      <c r="W111" s="291"/>
      <c r="X111" s="179"/>
      <c r="Y111" s="109"/>
    </row>
    <row r="112" spans="1:25" ht="15.6" x14ac:dyDescent="0.3">
      <c r="A112" s="340" t="s">
        <v>207</v>
      </c>
      <c r="B112" s="288" t="s">
        <v>196</v>
      </c>
      <c r="C112" s="288"/>
      <c r="D112" s="288"/>
      <c r="E112" s="288"/>
      <c r="F112" s="288"/>
      <c r="G112" s="288"/>
      <c r="H112" s="288"/>
      <c r="I112" s="288"/>
      <c r="J112" s="288"/>
      <c r="K112" s="288"/>
      <c r="L112" s="288"/>
      <c r="M112" s="288"/>
      <c r="N112" s="288"/>
      <c r="O112" s="288"/>
      <c r="P112" s="288"/>
      <c r="Q112" s="288"/>
      <c r="R112" s="288"/>
      <c r="S112" s="288"/>
      <c r="T112" s="288"/>
      <c r="U112" s="288"/>
      <c r="V112" s="338">
        <v>-289</v>
      </c>
      <c r="W112" s="291"/>
      <c r="X112" s="5"/>
      <c r="Y112" s="109"/>
    </row>
    <row r="113" spans="1:25" ht="15.6" x14ac:dyDescent="0.3">
      <c r="A113" s="340" t="s">
        <v>224</v>
      </c>
      <c r="B113" s="288" t="s">
        <v>223</v>
      </c>
      <c r="C113" s="288"/>
      <c r="D113" s="288"/>
      <c r="E113" s="288"/>
      <c r="F113" s="288"/>
      <c r="G113" s="288"/>
      <c r="H113" s="288"/>
      <c r="I113" s="288"/>
      <c r="J113" s="288"/>
      <c r="K113" s="288"/>
      <c r="L113" s="288"/>
      <c r="M113" s="288"/>
      <c r="N113" s="288"/>
      <c r="O113" s="288"/>
      <c r="P113" s="288"/>
      <c r="Q113" s="288"/>
      <c r="R113" s="288"/>
      <c r="S113" s="288"/>
      <c r="T113" s="288"/>
      <c r="U113" s="288"/>
      <c r="V113" s="338">
        <f>289-349</f>
        <v>-60</v>
      </c>
      <c r="W113" s="291"/>
      <c r="X113" s="5"/>
      <c r="Y113" s="109"/>
    </row>
    <row r="114" spans="1:25" ht="15.6" x14ac:dyDescent="0.3">
      <c r="A114" s="340">
        <v>7</v>
      </c>
      <c r="B114" s="288" t="s">
        <v>35</v>
      </c>
      <c r="C114" s="288"/>
      <c r="D114" s="288"/>
      <c r="E114" s="288"/>
      <c r="F114" s="288"/>
      <c r="G114" s="288"/>
      <c r="H114" s="288"/>
      <c r="I114" s="288"/>
      <c r="J114" s="288"/>
      <c r="K114" s="288"/>
      <c r="L114" s="288"/>
      <c r="M114" s="288"/>
      <c r="N114" s="288"/>
      <c r="O114" s="288"/>
      <c r="P114" s="288"/>
      <c r="Q114" s="288"/>
      <c r="R114" s="288"/>
      <c r="S114" s="288"/>
      <c r="T114" s="288"/>
      <c r="U114" s="288"/>
      <c r="V114" s="338">
        <v>-10</v>
      </c>
      <c r="W114" s="291"/>
      <c r="X114" s="5"/>
    </row>
    <row r="115" spans="1:25" ht="15.6" x14ac:dyDescent="0.3">
      <c r="A115" s="340">
        <f t="shared" ref="A115:A121" si="0">+A114+1</f>
        <v>8</v>
      </c>
      <c r="B115" s="288" t="s">
        <v>45</v>
      </c>
      <c r="C115" s="288"/>
      <c r="D115" s="288"/>
      <c r="E115" s="288"/>
      <c r="F115" s="288"/>
      <c r="G115" s="288"/>
      <c r="H115" s="288"/>
      <c r="I115" s="288"/>
      <c r="J115" s="288"/>
      <c r="K115" s="288"/>
      <c r="L115" s="288"/>
      <c r="M115" s="288"/>
      <c r="N115" s="288"/>
      <c r="O115" s="288"/>
      <c r="P115" s="288"/>
      <c r="Q115" s="288"/>
      <c r="R115" s="288"/>
      <c r="S115" s="288"/>
      <c r="T115" s="337">
        <f>-V115</f>
        <v>179</v>
      </c>
      <c r="U115" s="288"/>
      <c r="V115" s="338">
        <v>-179</v>
      </c>
      <c r="W115" s="291"/>
      <c r="X115" s="5"/>
    </row>
    <row r="116" spans="1:25" ht="15.6" x14ac:dyDescent="0.3">
      <c r="A116" s="340">
        <f t="shared" si="0"/>
        <v>9</v>
      </c>
      <c r="B116" s="288" t="s">
        <v>125</v>
      </c>
      <c r="C116" s="288"/>
      <c r="D116" s="288"/>
      <c r="E116" s="288"/>
      <c r="F116" s="288"/>
      <c r="G116" s="288"/>
      <c r="H116" s="288"/>
      <c r="I116" s="288"/>
      <c r="J116" s="288"/>
      <c r="K116" s="288"/>
      <c r="L116" s="288"/>
      <c r="M116" s="288"/>
      <c r="N116" s="288"/>
      <c r="O116" s="288"/>
      <c r="P116" s="288"/>
      <c r="Q116" s="288"/>
      <c r="R116" s="288"/>
      <c r="S116" s="288"/>
      <c r="T116" s="288"/>
      <c r="U116" s="288"/>
      <c r="V116" s="338">
        <v>0</v>
      </c>
      <c r="W116" s="291"/>
      <c r="X116" s="5"/>
    </row>
    <row r="117" spans="1:25" ht="15.6" x14ac:dyDescent="0.3">
      <c r="A117" s="340">
        <f t="shared" si="0"/>
        <v>10</v>
      </c>
      <c r="B117" s="288" t="s">
        <v>240</v>
      </c>
      <c r="C117" s="288"/>
      <c r="D117" s="288"/>
      <c r="E117" s="288"/>
      <c r="F117" s="288"/>
      <c r="G117" s="288"/>
      <c r="H117" s="288"/>
      <c r="I117" s="288"/>
      <c r="J117" s="288"/>
      <c r="K117" s="288"/>
      <c r="L117" s="288"/>
      <c r="M117" s="288"/>
      <c r="N117" s="288"/>
      <c r="O117" s="288"/>
      <c r="P117" s="288"/>
      <c r="Q117" s="288"/>
      <c r="R117" s="288"/>
      <c r="S117" s="288"/>
      <c r="T117" s="288"/>
      <c r="U117" s="288"/>
      <c r="V117" s="338">
        <v>0</v>
      </c>
      <c r="W117" s="291"/>
      <c r="X117" s="5"/>
    </row>
    <row r="118" spans="1:25" ht="15.6" x14ac:dyDescent="0.3">
      <c r="A118" s="340">
        <f t="shared" si="0"/>
        <v>11</v>
      </c>
      <c r="B118" s="288" t="s">
        <v>36</v>
      </c>
      <c r="C118" s="288"/>
      <c r="D118" s="288"/>
      <c r="E118" s="288"/>
      <c r="F118" s="288"/>
      <c r="G118" s="288"/>
      <c r="H118" s="288"/>
      <c r="I118" s="288"/>
      <c r="J118" s="288"/>
      <c r="K118" s="288"/>
      <c r="L118" s="288"/>
      <c r="M118" s="288"/>
      <c r="N118" s="288"/>
      <c r="O118" s="288"/>
      <c r="P118" s="288"/>
      <c r="Q118" s="288"/>
      <c r="R118" s="288"/>
      <c r="S118" s="288"/>
      <c r="T118" s="288"/>
      <c r="U118" s="288"/>
      <c r="V118" s="338">
        <v>0</v>
      </c>
      <c r="W118" s="291"/>
      <c r="X118" s="5"/>
    </row>
    <row r="119" spans="1:25" ht="15.6" x14ac:dyDescent="0.3">
      <c r="A119" s="340">
        <f t="shared" si="0"/>
        <v>12</v>
      </c>
      <c r="B119" s="288" t="s">
        <v>239</v>
      </c>
      <c r="C119" s="288"/>
      <c r="D119" s="288"/>
      <c r="E119" s="288"/>
      <c r="F119" s="288"/>
      <c r="G119" s="288"/>
      <c r="H119" s="288"/>
      <c r="I119" s="288"/>
      <c r="J119" s="288"/>
      <c r="K119" s="288"/>
      <c r="L119" s="288"/>
      <c r="M119" s="288"/>
      <c r="N119" s="288"/>
      <c r="O119" s="288"/>
      <c r="P119" s="288"/>
      <c r="Q119" s="288"/>
      <c r="R119" s="288"/>
      <c r="S119" s="288"/>
      <c r="T119" s="288"/>
      <c r="U119" s="288"/>
      <c r="V119" s="338">
        <v>0</v>
      </c>
      <c r="W119" s="291"/>
      <c r="X119" s="5"/>
    </row>
    <row r="120" spans="1:25" ht="15.6" x14ac:dyDescent="0.3">
      <c r="A120" s="340">
        <f t="shared" si="0"/>
        <v>13</v>
      </c>
      <c r="B120" s="288" t="s">
        <v>149</v>
      </c>
      <c r="C120" s="288"/>
      <c r="D120" s="288"/>
      <c r="E120" s="288"/>
      <c r="F120" s="288"/>
      <c r="G120" s="288"/>
      <c r="H120" s="288"/>
      <c r="I120" s="288"/>
      <c r="J120" s="288"/>
      <c r="K120" s="288"/>
      <c r="L120" s="288"/>
      <c r="M120" s="288"/>
      <c r="N120" s="288"/>
      <c r="O120" s="288"/>
      <c r="P120" s="288"/>
      <c r="Q120" s="288"/>
      <c r="R120" s="288"/>
      <c r="S120" s="288"/>
      <c r="T120" s="288"/>
      <c r="U120" s="288"/>
      <c r="V120" s="338">
        <v>-729</v>
      </c>
      <c r="W120" s="291"/>
      <c r="X120" s="5"/>
    </row>
    <row r="121" spans="1:25" ht="15.6" x14ac:dyDescent="0.3">
      <c r="A121" s="340">
        <f t="shared" si="0"/>
        <v>14</v>
      </c>
      <c r="B121" s="288" t="s">
        <v>126</v>
      </c>
      <c r="C121" s="288"/>
      <c r="D121" s="288"/>
      <c r="E121" s="288"/>
      <c r="F121" s="288"/>
      <c r="G121" s="288"/>
      <c r="H121" s="288"/>
      <c r="I121" s="288"/>
      <c r="J121" s="288"/>
      <c r="K121" s="288"/>
      <c r="L121" s="288"/>
      <c r="M121" s="288"/>
      <c r="N121" s="288"/>
      <c r="O121" s="288"/>
      <c r="P121" s="288"/>
      <c r="Q121" s="288"/>
      <c r="R121" s="288"/>
      <c r="S121" s="288"/>
      <c r="T121" s="288"/>
      <c r="U121" s="288"/>
      <c r="V121" s="338">
        <f>-V101-SUM(V103:V120)</f>
        <v>-3355</v>
      </c>
      <c r="W121" s="291"/>
      <c r="X121" s="5"/>
    </row>
    <row r="122" spans="1:25" ht="15.6" x14ac:dyDescent="0.3">
      <c r="A122" s="287"/>
      <c r="B122" s="343" t="s">
        <v>37</v>
      </c>
      <c r="C122" s="314"/>
      <c r="D122" s="314"/>
      <c r="E122" s="314"/>
      <c r="F122" s="314"/>
      <c r="G122" s="314"/>
      <c r="H122" s="314"/>
      <c r="I122" s="314"/>
      <c r="J122" s="314"/>
      <c r="K122" s="314"/>
      <c r="L122" s="314"/>
      <c r="M122" s="314"/>
      <c r="N122" s="314"/>
      <c r="O122" s="314"/>
      <c r="P122" s="314"/>
      <c r="Q122" s="314"/>
      <c r="R122" s="314"/>
      <c r="S122" s="314"/>
      <c r="T122" s="314"/>
      <c r="U122" s="314"/>
      <c r="V122" s="346"/>
      <c r="W122" s="318"/>
      <c r="X122" s="5"/>
    </row>
    <row r="123" spans="1:25" ht="15.6" x14ac:dyDescent="0.3">
      <c r="A123" s="340"/>
      <c r="B123" s="288" t="s">
        <v>173</v>
      </c>
      <c r="C123" s="288"/>
      <c r="D123" s="288"/>
      <c r="E123" s="288"/>
      <c r="F123" s="288"/>
      <c r="G123" s="288"/>
      <c r="H123" s="288"/>
      <c r="I123" s="288"/>
      <c r="J123" s="288"/>
      <c r="K123" s="288"/>
      <c r="L123" s="288"/>
      <c r="M123" s="288"/>
      <c r="N123" s="288"/>
      <c r="O123" s="288"/>
      <c r="P123" s="288"/>
      <c r="Q123" s="288"/>
      <c r="R123" s="288"/>
      <c r="S123" s="288"/>
      <c r="T123" s="337">
        <f>-T189</f>
        <v>-15</v>
      </c>
      <c r="U123" s="337"/>
      <c r="V123" s="338"/>
      <c r="W123" s="291"/>
      <c r="X123" s="5"/>
    </row>
    <row r="124" spans="1:25" ht="15.6" x14ac:dyDescent="0.3">
      <c r="A124" s="340"/>
      <c r="B124" s="288" t="s">
        <v>174</v>
      </c>
      <c r="C124" s="288"/>
      <c r="D124" s="288"/>
      <c r="E124" s="288"/>
      <c r="F124" s="288"/>
      <c r="G124" s="288"/>
      <c r="H124" s="288"/>
      <c r="I124" s="288"/>
      <c r="J124" s="288"/>
      <c r="K124" s="288"/>
      <c r="L124" s="288"/>
      <c r="M124" s="288"/>
      <c r="N124" s="288"/>
      <c r="O124" s="288"/>
      <c r="P124" s="288"/>
      <c r="Q124" s="288"/>
      <c r="R124" s="288"/>
      <c r="S124" s="288"/>
      <c r="T124" s="337">
        <v>0</v>
      </c>
      <c r="U124" s="337"/>
      <c r="V124" s="338"/>
      <c r="W124" s="291"/>
      <c r="X124" s="5"/>
    </row>
    <row r="125" spans="1:25" ht="15.6" x14ac:dyDescent="0.3">
      <c r="A125" s="340"/>
      <c r="B125" s="288" t="s">
        <v>38</v>
      </c>
      <c r="C125" s="288"/>
      <c r="D125" s="288"/>
      <c r="E125" s="288"/>
      <c r="F125" s="288"/>
      <c r="G125" s="288"/>
      <c r="H125" s="288"/>
      <c r="I125" s="288"/>
      <c r="J125" s="288"/>
      <c r="K125" s="288"/>
      <c r="L125" s="288"/>
      <c r="M125" s="288"/>
      <c r="N125" s="288"/>
      <c r="O125" s="288"/>
      <c r="P125" s="288"/>
      <c r="Q125" s="288"/>
      <c r="R125" s="288"/>
      <c r="S125" s="288"/>
      <c r="T125" s="337">
        <f>-S189</f>
        <v>-240</v>
      </c>
      <c r="U125" s="337"/>
      <c r="V125" s="338"/>
      <c r="W125" s="291"/>
      <c r="X125" s="5"/>
    </row>
    <row r="126" spans="1:25" ht="15.6" x14ac:dyDescent="0.3">
      <c r="A126" s="340"/>
      <c r="B126" s="288" t="s">
        <v>197</v>
      </c>
      <c r="C126" s="288"/>
      <c r="D126" s="288"/>
      <c r="E126" s="288"/>
      <c r="F126" s="288"/>
      <c r="G126" s="288"/>
      <c r="H126" s="288"/>
      <c r="I126" s="288"/>
      <c r="J126" s="288"/>
      <c r="K126" s="288"/>
      <c r="L126" s="288"/>
      <c r="M126" s="288"/>
      <c r="N126" s="288"/>
      <c r="O126" s="288"/>
      <c r="P126" s="288"/>
      <c r="Q126" s="288"/>
      <c r="R126" s="288"/>
      <c r="S126" s="288"/>
      <c r="T126" s="337">
        <v>-3619</v>
      </c>
      <c r="U126" s="337"/>
      <c r="V126" s="338"/>
      <c r="W126" s="291"/>
      <c r="X126" s="5"/>
    </row>
    <row r="127" spans="1:25" ht="15.6" x14ac:dyDescent="0.3">
      <c r="A127" s="340"/>
      <c r="B127" s="288" t="s">
        <v>195</v>
      </c>
      <c r="C127" s="288"/>
      <c r="D127" s="288"/>
      <c r="E127" s="288"/>
      <c r="F127" s="288"/>
      <c r="G127" s="288"/>
      <c r="H127" s="288"/>
      <c r="I127" s="288"/>
      <c r="J127" s="288"/>
      <c r="K127" s="288"/>
      <c r="L127" s="288"/>
      <c r="M127" s="288"/>
      <c r="N127" s="288"/>
      <c r="O127" s="288"/>
      <c r="P127" s="288"/>
      <c r="Q127" s="288"/>
      <c r="R127" s="288"/>
      <c r="S127" s="288"/>
      <c r="T127" s="337">
        <v>-584</v>
      </c>
      <c r="U127" s="337"/>
      <c r="V127" s="338"/>
      <c r="W127" s="291"/>
      <c r="X127" s="5"/>
    </row>
    <row r="128" spans="1:25" ht="15.6" x14ac:dyDescent="0.3">
      <c r="A128" s="340"/>
      <c r="B128" s="288" t="s">
        <v>194</v>
      </c>
      <c r="C128" s="288"/>
      <c r="D128" s="288"/>
      <c r="E128" s="288"/>
      <c r="F128" s="288"/>
      <c r="G128" s="288"/>
      <c r="H128" s="288"/>
      <c r="I128" s="288"/>
      <c r="J128" s="288"/>
      <c r="K128" s="288"/>
      <c r="L128" s="288"/>
      <c r="M128" s="288"/>
      <c r="N128" s="288"/>
      <c r="O128" s="288"/>
      <c r="P128" s="288"/>
      <c r="Q128" s="288"/>
      <c r="R128" s="288"/>
      <c r="S128" s="288"/>
      <c r="T128" s="337">
        <v>-785</v>
      </c>
      <c r="U128" s="337"/>
      <c r="V128" s="338"/>
      <c r="W128" s="291"/>
      <c r="X128" s="5"/>
    </row>
    <row r="129" spans="1:24" ht="15.6" x14ac:dyDescent="0.3">
      <c r="A129" s="340"/>
      <c r="B129" s="288" t="s">
        <v>226</v>
      </c>
      <c r="C129" s="288"/>
      <c r="D129" s="288"/>
      <c r="E129" s="288"/>
      <c r="F129" s="288"/>
      <c r="G129" s="288"/>
      <c r="H129" s="288"/>
      <c r="I129" s="288"/>
      <c r="J129" s="288"/>
      <c r="K129" s="288"/>
      <c r="L129" s="288"/>
      <c r="M129" s="288"/>
      <c r="N129" s="288"/>
      <c r="O129" s="288"/>
      <c r="P129" s="288"/>
      <c r="Q129" s="288"/>
      <c r="R129" s="288"/>
      <c r="S129" s="288"/>
      <c r="T129" s="337">
        <v>-965</v>
      </c>
      <c r="U129" s="337"/>
      <c r="V129" s="338"/>
      <c r="W129" s="291"/>
      <c r="X129" s="5"/>
    </row>
    <row r="130" spans="1:24" ht="15.6" x14ac:dyDescent="0.3">
      <c r="A130" s="340"/>
      <c r="B130" s="288" t="s">
        <v>189</v>
      </c>
      <c r="C130" s="288"/>
      <c r="D130" s="288"/>
      <c r="E130" s="288"/>
      <c r="F130" s="288"/>
      <c r="G130" s="288"/>
      <c r="H130" s="288"/>
      <c r="I130" s="288"/>
      <c r="J130" s="288"/>
      <c r="K130" s="288"/>
      <c r="L130" s="288"/>
      <c r="M130" s="288"/>
      <c r="N130" s="288"/>
      <c r="O130" s="288"/>
      <c r="P130" s="288"/>
      <c r="Q130" s="288"/>
      <c r="R130" s="288"/>
      <c r="S130" s="288"/>
      <c r="T130" s="337">
        <v>0</v>
      </c>
      <c r="U130" s="337"/>
      <c r="V130" s="338"/>
      <c r="W130" s="291"/>
      <c r="X130" s="5"/>
    </row>
    <row r="131" spans="1:24" ht="15.6" x14ac:dyDescent="0.3">
      <c r="A131" s="340"/>
      <c r="B131" s="288" t="s">
        <v>188</v>
      </c>
      <c r="C131" s="288"/>
      <c r="D131" s="288"/>
      <c r="E131" s="288"/>
      <c r="F131" s="288"/>
      <c r="G131" s="288"/>
      <c r="H131" s="288"/>
      <c r="I131" s="288"/>
      <c r="J131" s="288"/>
      <c r="K131" s="288"/>
      <c r="L131" s="288"/>
      <c r="M131" s="288"/>
      <c r="N131" s="288"/>
      <c r="O131" s="288"/>
      <c r="P131" s="288"/>
      <c r="Q131" s="288"/>
      <c r="R131" s="288"/>
      <c r="S131" s="288"/>
      <c r="T131" s="337">
        <v>0</v>
      </c>
      <c r="U131" s="337"/>
      <c r="V131" s="338"/>
      <c r="W131" s="291"/>
      <c r="X131" s="5"/>
    </row>
    <row r="132" spans="1:24" ht="15.6" x14ac:dyDescent="0.3">
      <c r="A132" s="340"/>
      <c r="B132" s="288" t="s">
        <v>227</v>
      </c>
      <c r="C132" s="288"/>
      <c r="D132" s="288"/>
      <c r="E132" s="288"/>
      <c r="F132" s="288"/>
      <c r="G132" s="288"/>
      <c r="H132" s="288"/>
      <c r="I132" s="288"/>
      <c r="J132" s="288"/>
      <c r="K132" s="288"/>
      <c r="L132" s="288"/>
      <c r="M132" s="288"/>
      <c r="N132" s="288"/>
      <c r="O132" s="288"/>
      <c r="P132" s="288"/>
      <c r="Q132" s="288"/>
      <c r="R132" s="288"/>
      <c r="S132" s="288"/>
      <c r="T132" s="337">
        <v>0</v>
      </c>
      <c r="U132" s="337"/>
      <c r="V132" s="338"/>
      <c r="W132" s="291"/>
      <c r="X132" s="5"/>
    </row>
    <row r="133" spans="1:24" ht="15.6" x14ac:dyDescent="0.3">
      <c r="A133" s="340"/>
      <c r="B133" s="288" t="s">
        <v>187</v>
      </c>
      <c r="C133" s="288"/>
      <c r="D133" s="288"/>
      <c r="E133" s="288"/>
      <c r="F133" s="288"/>
      <c r="G133" s="288"/>
      <c r="H133" s="288"/>
      <c r="I133" s="288"/>
      <c r="J133" s="288"/>
      <c r="K133" s="288"/>
      <c r="L133" s="288"/>
      <c r="M133" s="288"/>
      <c r="N133" s="288"/>
      <c r="O133" s="288"/>
      <c r="P133" s="288"/>
      <c r="Q133" s="288"/>
      <c r="R133" s="288"/>
      <c r="S133" s="288"/>
      <c r="T133" s="337">
        <v>0</v>
      </c>
      <c r="U133" s="337"/>
      <c r="V133" s="338"/>
      <c r="W133" s="291"/>
      <c r="X133" s="5"/>
    </row>
    <row r="134" spans="1:24" ht="15.6" x14ac:dyDescent="0.3">
      <c r="A134" s="340"/>
      <c r="B134" s="288" t="s">
        <v>39</v>
      </c>
      <c r="C134" s="288"/>
      <c r="D134" s="288"/>
      <c r="E134" s="288"/>
      <c r="F134" s="288"/>
      <c r="G134" s="288"/>
      <c r="H134" s="288"/>
      <c r="I134" s="288"/>
      <c r="J134" s="288"/>
      <c r="K134" s="288"/>
      <c r="L134" s="288"/>
      <c r="M134" s="288"/>
      <c r="N134" s="288"/>
      <c r="O134" s="288"/>
      <c r="P134" s="288"/>
      <c r="Q134" s="288"/>
      <c r="R134" s="288"/>
      <c r="S134" s="288"/>
      <c r="T134" s="337">
        <f>SUM(T123:T133)</f>
        <v>-6208</v>
      </c>
      <c r="U134" s="337"/>
      <c r="V134" s="337">
        <f>SUM(V102:V131)</f>
        <v>-7569</v>
      </c>
      <c r="W134" s="291"/>
      <c r="X134" s="5"/>
    </row>
    <row r="135" spans="1:24" ht="15.6" x14ac:dyDescent="0.3">
      <c r="A135" s="340"/>
      <c r="B135" s="288" t="s">
        <v>40</v>
      </c>
      <c r="C135" s="288"/>
      <c r="D135" s="288"/>
      <c r="E135" s="288"/>
      <c r="F135" s="288"/>
      <c r="G135" s="288"/>
      <c r="H135" s="288"/>
      <c r="I135" s="288"/>
      <c r="J135" s="288"/>
      <c r="K135" s="288"/>
      <c r="L135" s="288"/>
      <c r="M135" s="288"/>
      <c r="N135" s="288"/>
      <c r="O135" s="288"/>
      <c r="P135" s="288"/>
      <c r="Q135" s="288"/>
      <c r="R135" s="288"/>
      <c r="S135" s="288"/>
      <c r="T135" s="337">
        <f>T101+T134+T115</f>
        <v>0</v>
      </c>
      <c r="U135" s="337"/>
      <c r="V135" s="337">
        <f>V101+V134</f>
        <v>0</v>
      </c>
      <c r="W135" s="291"/>
      <c r="X135" s="5"/>
    </row>
    <row r="136" spans="1:24" ht="15.6" x14ac:dyDescent="0.3">
      <c r="A136" s="243"/>
      <c r="B136" s="284"/>
      <c r="C136" s="284"/>
      <c r="D136" s="284"/>
      <c r="E136" s="284"/>
      <c r="F136" s="284"/>
      <c r="G136" s="284"/>
      <c r="H136" s="284"/>
      <c r="I136" s="284"/>
      <c r="J136" s="284"/>
      <c r="K136" s="284"/>
      <c r="L136" s="284"/>
      <c r="M136" s="284"/>
      <c r="N136" s="284"/>
      <c r="O136" s="284"/>
      <c r="P136" s="284"/>
      <c r="Q136" s="284"/>
      <c r="R136" s="284"/>
      <c r="S136" s="284"/>
      <c r="T136" s="339"/>
      <c r="U136" s="339"/>
      <c r="V136" s="339"/>
      <c r="W136" s="284"/>
      <c r="X136" s="5"/>
    </row>
    <row r="137" spans="1:24" ht="15.6" x14ac:dyDescent="0.3">
      <c r="A137" s="243"/>
      <c r="B137" s="224"/>
      <c r="C137" s="224"/>
      <c r="D137" s="224"/>
      <c r="E137" s="224"/>
      <c r="F137" s="224"/>
      <c r="G137" s="224"/>
      <c r="H137" s="224"/>
      <c r="I137" s="224"/>
      <c r="J137" s="224"/>
      <c r="K137" s="224"/>
      <c r="L137" s="224"/>
      <c r="M137" s="224"/>
      <c r="N137" s="224"/>
      <c r="O137" s="224"/>
      <c r="P137" s="224"/>
      <c r="Q137" s="224"/>
      <c r="R137" s="224"/>
      <c r="S137" s="224"/>
      <c r="T137" s="224"/>
      <c r="U137" s="224"/>
      <c r="V137" s="244"/>
      <c r="W137" s="224"/>
      <c r="X137" s="5"/>
    </row>
    <row r="138" spans="1:24" ht="18" thickBot="1" x14ac:dyDescent="0.35">
      <c r="A138" s="245"/>
      <c r="B138" s="237" t="str">
        <f>B64</f>
        <v>PM14 INVESTOR REPORT QUARTER ENDING MAY 2011</v>
      </c>
      <c r="C138" s="238"/>
      <c r="D138" s="238"/>
      <c r="E138" s="238"/>
      <c r="F138" s="238"/>
      <c r="G138" s="238"/>
      <c r="H138" s="238"/>
      <c r="I138" s="238"/>
      <c r="J138" s="238"/>
      <c r="K138" s="238"/>
      <c r="L138" s="238"/>
      <c r="M138" s="238"/>
      <c r="N138" s="238"/>
      <c r="O138" s="238"/>
      <c r="P138" s="238"/>
      <c r="Q138" s="238"/>
      <c r="R138" s="238"/>
      <c r="S138" s="238"/>
      <c r="T138" s="238"/>
      <c r="U138" s="238"/>
      <c r="V138" s="246"/>
      <c r="W138" s="240"/>
      <c r="X138" s="5"/>
    </row>
    <row r="139" spans="1:24" ht="15.6" x14ac:dyDescent="0.3">
      <c r="A139" s="273"/>
      <c r="B139" s="403" t="s">
        <v>41</v>
      </c>
      <c r="C139" s="274"/>
      <c r="D139" s="274"/>
      <c r="E139" s="274"/>
      <c r="F139" s="274"/>
      <c r="G139" s="274"/>
      <c r="H139" s="274"/>
      <c r="I139" s="274"/>
      <c r="J139" s="274"/>
      <c r="K139" s="274"/>
      <c r="L139" s="274"/>
      <c r="M139" s="274"/>
      <c r="N139" s="274"/>
      <c r="O139" s="274"/>
      <c r="P139" s="274"/>
      <c r="Q139" s="274"/>
      <c r="R139" s="274"/>
      <c r="S139" s="274"/>
      <c r="T139" s="274"/>
      <c r="U139" s="274"/>
      <c r="V139" s="275"/>
      <c r="W139" s="274"/>
      <c r="X139" s="5"/>
    </row>
    <row r="140" spans="1:24" ht="15.6" x14ac:dyDescent="0.3">
      <c r="A140" s="183"/>
      <c r="B140" s="195"/>
      <c r="C140" s="185"/>
      <c r="D140" s="185"/>
      <c r="E140" s="185"/>
      <c r="F140" s="185"/>
      <c r="G140" s="185"/>
      <c r="H140" s="185"/>
      <c r="I140" s="185"/>
      <c r="J140" s="185"/>
      <c r="K140" s="185"/>
      <c r="L140" s="185"/>
      <c r="M140" s="185"/>
      <c r="N140" s="185"/>
      <c r="O140" s="185"/>
      <c r="P140" s="185"/>
      <c r="Q140" s="185"/>
      <c r="R140" s="185"/>
      <c r="S140" s="185"/>
      <c r="T140" s="185"/>
      <c r="U140" s="185"/>
      <c r="V140" s="201"/>
      <c r="W140" s="185"/>
      <c r="X140" s="5"/>
    </row>
    <row r="141" spans="1:24" ht="15.6" x14ac:dyDescent="0.3">
      <c r="A141" s="183"/>
      <c r="B141" s="208" t="s">
        <v>42</v>
      </c>
      <c r="C141" s="185"/>
      <c r="D141" s="185"/>
      <c r="E141" s="185"/>
      <c r="F141" s="185"/>
      <c r="G141" s="185"/>
      <c r="H141" s="185"/>
      <c r="I141" s="185"/>
      <c r="J141" s="185"/>
      <c r="K141" s="185"/>
      <c r="L141" s="185"/>
      <c r="M141" s="185"/>
      <c r="N141" s="185"/>
      <c r="O141" s="185"/>
      <c r="P141" s="185"/>
      <c r="Q141" s="185"/>
      <c r="R141" s="185"/>
      <c r="S141" s="185"/>
      <c r="T141" s="185"/>
      <c r="U141" s="185"/>
      <c r="V141" s="201"/>
      <c r="W141" s="185"/>
      <c r="X141" s="5"/>
    </row>
    <row r="142" spans="1:24" ht="15.6" x14ac:dyDescent="0.3">
      <c r="A142" s="287"/>
      <c r="B142" s="288" t="s">
        <v>43</v>
      </c>
      <c r="C142" s="288"/>
      <c r="D142" s="288"/>
      <c r="E142" s="288"/>
      <c r="F142" s="288"/>
      <c r="G142" s="288"/>
      <c r="H142" s="288"/>
      <c r="I142" s="288"/>
      <c r="J142" s="288"/>
      <c r="K142" s="288"/>
      <c r="L142" s="288"/>
      <c r="M142" s="288"/>
      <c r="N142" s="288"/>
      <c r="O142" s="288"/>
      <c r="P142" s="288"/>
      <c r="Q142" s="288"/>
      <c r="R142" s="288"/>
      <c r="S142" s="288"/>
      <c r="T142" s="288"/>
      <c r="U142" s="288"/>
      <c r="V142" s="338">
        <f>+V34*0.019</f>
        <v>28505.224999999999</v>
      </c>
      <c r="W142" s="291"/>
      <c r="X142" s="5"/>
    </row>
    <row r="143" spans="1:24" ht="15.6" x14ac:dyDescent="0.3">
      <c r="A143" s="287"/>
      <c r="B143" s="288" t="s">
        <v>44</v>
      </c>
      <c r="C143" s="288"/>
      <c r="D143" s="288"/>
      <c r="E143" s="288"/>
      <c r="F143" s="288"/>
      <c r="G143" s="288"/>
      <c r="H143" s="288"/>
      <c r="I143" s="288"/>
      <c r="J143" s="288"/>
      <c r="K143" s="288"/>
      <c r="L143" s="288"/>
      <c r="M143" s="288"/>
      <c r="N143" s="288"/>
      <c r="O143" s="288"/>
      <c r="P143" s="288"/>
      <c r="Q143" s="288"/>
      <c r="R143" s="288"/>
      <c r="S143" s="288"/>
      <c r="T143" s="288"/>
      <c r="U143" s="288"/>
      <c r="V143" s="338">
        <v>28505</v>
      </c>
      <c r="W143" s="291"/>
      <c r="X143" s="5"/>
    </row>
    <row r="144" spans="1:24" ht="15.6" x14ac:dyDescent="0.3">
      <c r="A144" s="287"/>
      <c r="B144" s="288" t="s">
        <v>136</v>
      </c>
      <c r="C144" s="288"/>
      <c r="D144" s="288"/>
      <c r="E144" s="288"/>
      <c r="F144" s="288"/>
      <c r="G144" s="288"/>
      <c r="H144" s="288"/>
      <c r="I144" s="288"/>
      <c r="J144" s="288"/>
      <c r="K144" s="288"/>
      <c r="L144" s="288"/>
      <c r="M144" s="288"/>
      <c r="N144" s="288"/>
      <c r="O144" s="288"/>
      <c r="P144" s="288"/>
      <c r="Q144" s="288"/>
      <c r="R144" s="288"/>
      <c r="S144" s="288"/>
      <c r="T144" s="288"/>
      <c r="U144" s="288"/>
      <c r="V144" s="338"/>
      <c r="W144" s="291"/>
      <c r="X144" s="5"/>
    </row>
    <row r="145" spans="1:25" ht="15.6" x14ac:dyDescent="0.3">
      <c r="A145" s="287"/>
      <c r="B145" s="288" t="s">
        <v>123</v>
      </c>
      <c r="C145" s="288"/>
      <c r="D145" s="288"/>
      <c r="E145" s="288"/>
      <c r="F145" s="288"/>
      <c r="G145" s="288"/>
      <c r="H145" s="288"/>
      <c r="I145" s="288"/>
      <c r="J145" s="288"/>
      <c r="K145" s="288"/>
      <c r="L145" s="288"/>
      <c r="M145" s="288"/>
      <c r="N145" s="288"/>
      <c r="O145" s="288"/>
      <c r="P145" s="288"/>
      <c r="Q145" s="288"/>
      <c r="R145" s="288"/>
      <c r="S145" s="288"/>
      <c r="T145" s="288"/>
      <c r="U145" s="288"/>
      <c r="V145" s="338">
        <v>0</v>
      </c>
      <c r="W145" s="291"/>
      <c r="X145" s="5"/>
    </row>
    <row r="146" spans="1:25" ht="15.6" x14ac:dyDescent="0.3">
      <c r="A146" s="287"/>
      <c r="B146" s="288" t="s">
        <v>124</v>
      </c>
      <c r="C146" s="288"/>
      <c r="D146" s="288"/>
      <c r="E146" s="288"/>
      <c r="F146" s="288"/>
      <c r="G146" s="288"/>
      <c r="H146" s="288"/>
      <c r="I146" s="288"/>
      <c r="J146" s="288"/>
      <c r="K146" s="288"/>
      <c r="L146" s="288"/>
      <c r="M146" s="288"/>
      <c r="N146" s="288"/>
      <c r="O146" s="288"/>
      <c r="P146" s="288"/>
      <c r="Q146" s="288"/>
      <c r="R146" s="288"/>
      <c r="S146" s="288"/>
      <c r="T146" s="288"/>
      <c r="U146" s="288"/>
      <c r="V146" s="338">
        <v>0</v>
      </c>
      <c r="W146" s="291"/>
      <c r="X146" s="5"/>
    </row>
    <row r="147" spans="1:25" ht="15.6" x14ac:dyDescent="0.3">
      <c r="A147" s="287"/>
      <c r="B147" s="288" t="s">
        <v>175</v>
      </c>
      <c r="C147" s="288"/>
      <c r="D147" s="288"/>
      <c r="E147" s="288"/>
      <c r="F147" s="288"/>
      <c r="G147" s="288"/>
      <c r="H147" s="288"/>
      <c r="I147" s="288"/>
      <c r="J147" s="288"/>
      <c r="K147" s="288"/>
      <c r="L147" s="288"/>
      <c r="M147" s="288"/>
      <c r="N147" s="288"/>
      <c r="O147" s="288"/>
      <c r="P147" s="288"/>
      <c r="Q147" s="288"/>
      <c r="R147" s="288"/>
      <c r="S147" s="288"/>
      <c r="T147" s="288"/>
      <c r="U147" s="288"/>
      <c r="V147" s="338">
        <v>0</v>
      </c>
      <c r="W147" s="291"/>
      <c r="X147" s="5"/>
    </row>
    <row r="148" spans="1:25" ht="15.6" x14ac:dyDescent="0.3">
      <c r="A148" s="287"/>
      <c r="B148" s="288" t="s">
        <v>45</v>
      </c>
      <c r="C148" s="288"/>
      <c r="D148" s="288"/>
      <c r="E148" s="288"/>
      <c r="F148" s="288"/>
      <c r="G148" s="288"/>
      <c r="H148" s="288"/>
      <c r="I148" s="288"/>
      <c r="J148" s="288"/>
      <c r="K148" s="288"/>
      <c r="L148" s="288"/>
      <c r="M148" s="288"/>
      <c r="N148" s="288"/>
      <c r="O148" s="288"/>
      <c r="P148" s="288"/>
      <c r="Q148" s="288"/>
      <c r="R148" s="288"/>
      <c r="S148" s="288"/>
      <c r="T148" s="288"/>
      <c r="U148" s="288"/>
      <c r="V148" s="338">
        <v>0</v>
      </c>
      <c r="W148" s="291"/>
      <c r="X148" s="5"/>
    </row>
    <row r="149" spans="1:25" ht="15.6" x14ac:dyDescent="0.3">
      <c r="A149" s="287"/>
      <c r="B149" s="288" t="s">
        <v>129</v>
      </c>
      <c r="C149" s="288"/>
      <c r="D149" s="288"/>
      <c r="E149" s="288"/>
      <c r="F149" s="288"/>
      <c r="G149" s="288"/>
      <c r="H149" s="288"/>
      <c r="I149" s="288"/>
      <c r="J149" s="288"/>
      <c r="K149" s="288"/>
      <c r="L149" s="288"/>
      <c r="M149" s="288"/>
      <c r="N149" s="288"/>
      <c r="O149" s="288"/>
      <c r="P149" s="288"/>
      <c r="Q149" s="288"/>
      <c r="R149" s="288"/>
      <c r="S149" s="288"/>
      <c r="T149" s="288"/>
      <c r="U149" s="288"/>
      <c r="V149" s="338">
        <v>0</v>
      </c>
      <c r="W149" s="291"/>
      <c r="X149" s="5"/>
    </row>
    <row r="150" spans="1:25" ht="15.6" x14ac:dyDescent="0.3">
      <c r="A150" s="287"/>
      <c r="B150" s="288" t="s">
        <v>267</v>
      </c>
      <c r="C150" s="288"/>
      <c r="D150" s="288"/>
      <c r="E150" s="288"/>
      <c r="F150" s="288"/>
      <c r="G150" s="288"/>
      <c r="H150" s="288"/>
      <c r="I150" s="288"/>
      <c r="J150" s="288"/>
      <c r="K150" s="288"/>
      <c r="L150" s="288"/>
      <c r="M150" s="288"/>
      <c r="N150" s="288"/>
      <c r="O150" s="288"/>
      <c r="P150" s="288"/>
      <c r="Q150" s="288"/>
      <c r="R150" s="288"/>
      <c r="S150" s="288"/>
      <c r="T150" s="288"/>
      <c r="U150" s="288"/>
      <c r="V150" s="338">
        <v>0</v>
      </c>
      <c r="W150" s="291"/>
      <c r="X150" s="5"/>
      <c r="Y150" s="109"/>
    </row>
    <row r="151" spans="1:25" ht="15.6" x14ac:dyDescent="0.3">
      <c r="A151" s="287"/>
      <c r="B151" s="288" t="s">
        <v>46</v>
      </c>
      <c r="C151" s="288"/>
      <c r="D151" s="288"/>
      <c r="E151" s="288"/>
      <c r="F151" s="288"/>
      <c r="G151" s="288"/>
      <c r="H151" s="288"/>
      <c r="I151" s="288"/>
      <c r="J151" s="288"/>
      <c r="K151" s="288"/>
      <c r="L151" s="288"/>
      <c r="M151" s="288"/>
      <c r="N151" s="288"/>
      <c r="O151" s="288"/>
      <c r="P151" s="288"/>
      <c r="Q151" s="288"/>
      <c r="R151" s="288"/>
      <c r="S151" s="288"/>
      <c r="T151" s="288"/>
      <c r="U151" s="288"/>
      <c r="V151" s="338">
        <f>SUM(V143:V150)</f>
        <v>28505</v>
      </c>
      <c r="W151" s="291"/>
      <c r="X151" s="5"/>
    </row>
    <row r="152" spans="1:25" ht="15.6" x14ac:dyDescent="0.3">
      <c r="A152" s="287"/>
      <c r="B152" s="314"/>
      <c r="C152" s="314"/>
      <c r="D152" s="314"/>
      <c r="E152" s="314"/>
      <c r="F152" s="314"/>
      <c r="G152" s="314"/>
      <c r="H152" s="314"/>
      <c r="I152" s="314"/>
      <c r="J152" s="314"/>
      <c r="K152" s="314"/>
      <c r="L152" s="314"/>
      <c r="M152" s="314"/>
      <c r="N152" s="314"/>
      <c r="O152" s="314"/>
      <c r="P152" s="314"/>
      <c r="Q152" s="314"/>
      <c r="R152" s="314"/>
      <c r="S152" s="314"/>
      <c r="T152" s="314"/>
      <c r="U152" s="314"/>
      <c r="V152" s="345"/>
      <c r="W152" s="318"/>
      <c r="X152" s="5"/>
    </row>
    <row r="153" spans="1:25" ht="15.6" x14ac:dyDescent="0.3">
      <c r="A153" s="287"/>
      <c r="B153" s="343" t="s">
        <v>237</v>
      </c>
      <c r="C153" s="314"/>
      <c r="D153" s="314"/>
      <c r="E153" s="314"/>
      <c r="F153" s="314"/>
      <c r="G153" s="314"/>
      <c r="H153" s="314"/>
      <c r="I153" s="314"/>
      <c r="J153" s="314"/>
      <c r="K153" s="314"/>
      <c r="L153" s="314"/>
      <c r="M153" s="314"/>
      <c r="N153" s="314"/>
      <c r="O153" s="314"/>
      <c r="P153" s="314"/>
      <c r="Q153" s="314"/>
      <c r="R153" s="314"/>
      <c r="S153" s="314"/>
      <c r="T153" s="314"/>
      <c r="U153" s="314"/>
      <c r="V153" s="345"/>
      <c r="W153" s="318"/>
      <c r="X153" s="5"/>
    </row>
    <row r="154" spans="1:25" ht="15.6" x14ac:dyDescent="0.3">
      <c r="A154" s="287"/>
      <c r="B154" s="288" t="s">
        <v>155</v>
      </c>
      <c r="C154" s="288"/>
      <c r="D154" s="288"/>
      <c r="E154" s="288"/>
      <c r="F154" s="288"/>
      <c r="G154" s="288"/>
      <c r="H154" s="288"/>
      <c r="I154" s="288"/>
      <c r="J154" s="288"/>
      <c r="K154" s="288"/>
      <c r="L154" s="288"/>
      <c r="M154" s="288"/>
      <c r="N154" s="288"/>
      <c r="O154" s="288"/>
      <c r="P154" s="288"/>
      <c r="Q154" s="288"/>
      <c r="R154" s="288"/>
      <c r="S154" s="288"/>
      <c r="T154" s="288"/>
      <c r="U154" s="288"/>
      <c r="V154" s="338">
        <v>7500</v>
      </c>
      <c r="W154" s="291"/>
      <c r="X154" s="5"/>
    </row>
    <row r="155" spans="1:25" ht="15.6" x14ac:dyDescent="0.3">
      <c r="A155" s="287"/>
      <c r="B155" s="288" t="s">
        <v>172</v>
      </c>
      <c r="C155" s="288"/>
      <c r="D155" s="288"/>
      <c r="E155" s="288"/>
      <c r="F155" s="288"/>
      <c r="G155" s="288"/>
      <c r="H155" s="288"/>
      <c r="I155" s="288"/>
      <c r="J155" s="288"/>
      <c r="K155" s="288"/>
      <c r="L155" s="288"/>
      <c r="M155" s="288"/>
      <c r="N155" s="288"/>
      <c r="O155" s="288"/>
      <c r="P155" s="288"/>
      <c r="Q155" s="288"/>
      <c r="R155" s="288"/>
      <c r="S155" s="288"/>
      <c r="T155" s="288"/>
      <c r="U155" s="288"/>
      <c r="V155" s="338">
        <v>0</v>
      </c>
      <c r="W155" s="291"/>
      <c r="X155" s="5"/>
    </row>
    <row r="156" spans="1:25" ht="15.6" x14ac:dyDescent="0.3">
      <c r="A156" s="287"/>
      <c r="B156" s="288" t="s">
        <v>305</v>
      </c>
      <c r="C156" s="288"/>
      <c r="D156" s="288"/>
      <c r="E156" s="288"/>
      <c r="F156" s="288"/>
      <c r="G156" s="288"/>
      <c r="H156" s="288"/>
      <c r="I156" s="288"/>
      <c r="J156" s="288"/>
      <c r="K156" s="288"/>
      <c r="L156" s="288"/>
      <c r="M156" s="288"/>
      <c r="N156" s="288"/>
      <c r="O156" s="288"/>
      <c r="P156" s="288"/>
      <c r="Q156" s="288"/>
      <c r="R156" s="288"/>
      <c r="S156" s="288"/>
      <c r="T156" s="288"/>
      <c r="U156" s="288"/>
      <c r="V156" s="338">
        <v>2101</v>
      </c>
      <c r="W156" s="291"/>
      <c r="X156" s="5"/>
    </row>
    <row r="157" spans="1:25" ht="15.6" x14ac:dyDescent="0.3">
      <c r="A157" s="287"/>
      <c r="B157" s="288"/>
      <c r="C157" s="288"/>
      <c r="D157" s="288"/>
      <c r="E157" s="288"/>
      <c r="F157" s="288"/>
      <c r="G157" s="288"/>
      <c r="H157" s="288"/>
      <c r="I157" s="288"/>
      <c r="J157" s="288"/>
      <c r="K157" s="288"/>
      <c r="L157" s="288"/>
      <c r="M157" s="288"/>
      <c r="N157" s="288"/>
      <c r="O157" s="288"/>
      <c r="P157" s="288"/>
      <c r="Q157" s="288"/>
      <c r="R157" s="288"/>
      <c r="S157" s="288"/>
      <c r="T157" s="288"/>
      <c r="U157" s="288"/>
      <c r="V157" s="338"/>
      <c r="W157" s="291"/>
      <c r="X157" s="5"/>
    </row>
    <row r="158" spans="1:25" ht="15.6" x14ac:dyDescent="0.3">
      <c r="A158" s="183"/>
      <c r="B158" s="198"/>
      <c r="C158" s="198"/>
      <c r="D158" s="198"/>
      <c r="E158" s="198"/>
      <c r="F158" s="198"/>
      <c r="G158" s="198"/>
      <c r="H158" s="198"/>
      <c r="I158" s="198"/>
      <c r="J158" s="198"/>
      <c r="K158" s="198"/>
      <c r="L158" s="198"/>
      <c r="M158" s="198"/>
      <c r="N158" s="198"/>
      <c r="O158" s="198"/>
      <c r="P158" s="198"/>
      <c r="Q158" s="198"/>
      <c r="R158" s="198"/>
      <c r="S158" s="198"/>
      <c r="T158" s="198"/>
      <c r="U158" s="198"/>
      <c r="V158" s="347"/>
      <c r="W158" s="198"/>
      <c r="X158" s="5"/>
    </row>
    <row r="159" spans="1:25" ht="15.6" x14ac:dyDescent="0.3">
      <c r="A159" s="183"/>
      <c r="B159" s="208" t="s">
        <v>24</v>
      </c>
      <c r="C159" s="185"/>
      <c r="D159" s="185"/>
      <c r="E159" s="185"/>
      <c r="F159" s="185"/>
      <c r="G159" s="185"/>
      <c r="H159" s="185"/>
      <c r="I159" s="185"/>
      <c r="J159" s="185"/>
      <c r="K159" s="185"/>
      <c r="L159" s="185"/>
      <c r="M159" s="185"/>
      <c r="N159" s="185"/>
      <c r="O159" s="185"/>
      <c r="P159" s="185"/>
      <c r="Q159" s="185"/>
      <c r="R159" s="185"/>
      <c r="S159" s="185"/>
      <c r="T159" s="185"/>
      <c r="U159" s="185"/>
      <c r="V159" s="201"/>
      <c r="W159" s="185"/>
      <c r="X159" s="5"/>
    </row>
    <row r="160" spans="1:25" ht="15.6" x14ac:dyDescent="0.3">
      <c r="A160" s="287"/>
      <c r="B160" s="288" t="s">
        <v>47</v>
      </c>
      <c r="C160" s="288"/>
      <c r="D160" s="288"/>
      <c r="E160" s="288"/>
      <c r="F160" s="288"/>
      <c r="G160" s="288"/>
      <c r="H160" s="288"/>
      <c r="I160" s="288"/>
      <c r="J160" s="288"/>
      <c r="K160" s="288"/>
      <c r="L160" s="288"/>
      <c r="M160" s="288"/>
      <c r="N160" s="288"/>
      <c r="O160" s="288"/>
      <c r="P160" s="288"/>
      <c r="Q160" s="288"/>
      <c r="R160" s="288"/>
      <c r="S160" s="288"/>
      <c r="T160" s="288"/>
      <c r="U160" s="288"/>
      <c r="V160" s="348" t="s">
        <v>118</v>
      </c>
      <c r="W160" s="291"/>
      <c r="X160" s="5"/>
    </row>
    <row r="161" spans="1:256" ht="15.6" x14ac:dyDescent="0.3">
      <c r="A161" s="287"/>
      <c r="B161" s="288" t="s">
        <v>48</v>
      </c>
      <c r="C161" s="290"/>
      <c r="D161" s="290"/>
      <c r="E161" s="290"/>
      <c r="F161" s="290"/>
      <c r="G161" s="290"/>
      <c r="H161" s="290"/>
      <c r="I161" s="290"/>
      <c r="J161" s="290"/>
      <c r="K161" s="290"/>
      <c r="L161" s="290"/>
      <c r="M161" s="290"/>
      <c r="N161" s="290"/>
      <c r="O161" s="290"/>
      <c r="P161" s="290"/>
      <c r="Q161" s="290"/>
      <c r="R161" s="290"/>
      <c r="S161" s="290"/>
      <c r="T161" s="290"/>
      <c r="U161" s="290"/>
      <c r="V161" s="348" t="s">
        <v>118</v>
      </c>
      <c r="W161" s="291"/>
      <c r="X161" s="5"/>
    </row>
    <row r="162" spans="1:256" ht="15.6" x14ac:dyDescent="0.3">
      <c r="A162" s="287"/>
      <c r="B162" s="288" t="s">
        <v>49</v>
      </c>
      <c r="C162" s="288"/>
      <c r="D162" s="288"/>
      <c r="E162" s="288"/>
      <c r="F162" s="288"/>
      <c r="G162" s="288"/>
      <c r="H162" s="288"/>
      <c r="I162" s="288"/>
      <c r="J162" s="288"/>
      <c r="K162" s="288"/>
      <c r="L162" s="288"/>
      <c r="M162" s="288"/>
      <c r="N162" s="288"/>
      <c r="O162" s="288"/>
      <c r="P162" s="288"/>
      <c r="Q162" s="288"/>
      <c r="R162" s="288"/>
      <c r="S162" s="288"/>
      <c r="T162" s="288"/>
      <c r="U162" s="288"/>
      <c r="V162" s="348" t="s">
        <v>118</v>
      </c>
      <c r="W162" s="291"/>
      <c r="X162" s="5"/>
    </row>
    <row r="163" spans="1:256" ht="15.6" x14ac:dyDescent="0.3">
      <c r="A163" s="287"/>
      <c r="B163" s="288" t="s">
        <v>50</v>
      </c>
      <c r="C163" s="288"/>
      <c r="D163" s="288"/>
      <c r="E163" s="288"/>
      <c r="F163" s="288"/>
      <c r="G163" s="288"/>
      <c r="H163" s="288"/>
      <c r="I163" s="288"/>
      <c r="J163" s="288"/>
      <c r="K163" s="288"/>
      <c r="L163" s="288"/>
      <c r="M163" s="288"/>
      <c r="N163" s="288"/>
      <c r="O163" s="288"/>
      <c r="P163" s="288"/>
      <c r="Q163" s="288"/>
      <c r="R163" s="288"/>
      <c r="S163" s="288"/>
      <c r="T163" s="288"/>
      <c r="U163" s="288"/>
      <c r="V163" s="348" t="s">
        <v>118</v>
      </c>
      <c r="W163" s="291"/>
      <c r="X163" s="5"/>
    </row>
    <row r="164" spans="1:256" ht="15.6" x14ac:dyDescent="0.3">
      <c r="A164" s="183"/>
      <c r="B164" s="198"/>
      <c r="C164" s="198"/>
      <c r="D164" s="198"/>
      <c r="E164" s="198"/>
      <c r="F164" s="198"/>
      <c r="G164" s="198"/>
      <c r="H164" s="198"/>
      <c r="I164" s="198"/>
      <c r="J164" s="198"/>
      <c r="K164" s="198"/>
      <c r="L164" s="198"/>
      <c r="M164" s="198"/>
      <c r="N164" s="198"/>
      <c r="O164" s="198"/>
      <c r="P164" s="198"/>
      <c r="Q164" s="198"/>
      <c r="R164" s="198"/>
      <c r="S164" s="198"/>
      <c r="T164" s="198"/>
      <c r="U164" s="198"/>
      <c r="V164" s="347"/>
      <c r="W164" s="198"/>
      <c r="X164" s="5"/>
    </row>
    <row r="165" spans="1:256" ht="15.6" x14ac:dyDescent="0.3">
      <c r="A165" s="183"/>
      <c r="B165" s="208" t="s">
        <v>51</v>
      </c>
      <c r="C165" s="185"/>
      <c r="D165" s="185"/>
      <c r="E165" s="185"/>
      <c r="F165" s="185"/>
      <c r="G165" s="185"/>
      <c r="H165" s="185"/>
      <c r="I165" s="185"/>
      <c r="J165" s="185"/>
      <c r="K165" s="185"/>
      <c r="L165" s="185"/>
      <c r="M165" s="185"/>
      <c r="N165" s="185"/>
      <c r="O165" s="185"/>
      <c r="P165" s="185"/>
      <c r="Q165" s="185"/>
      <c r="R165" s="185"/>
      <c r="S165" s="185"/>
      <c r="T165" s="185"/>
      <c r="U165" s="185"/>
      <c r="V165" s="209"/>
      <c r="W165" s="185"/>
      <c r="X165" s="5"/>
    </row>
    <row r="166" spans="1:256" ht="15.6" x14ac:dyDescent="0.3">
      <c r="A166" s="287"/>
      <c r="B166" s="288" t="s">
        <v>52</v>
      </c>
      <c r="C166" s="288"/>
      <c r="D166" s="288"/>
      <c r="E166" s="288"/>
      <c r="F166" s="288"/>
      <c r="G166" s="288"/>
      <c r="H166" s="288"/>
      <c r="I166" s="288"/>
      <c r="J166" s="288"/>
      <c r="K166" s="288"/>
      <c r="L166" s="288"/>
      <c r="M166" s="288"/>
      <c r="N166" s="288"/>
      <c r="O166" s="288"/>
      <c r="P166" s="288"/>
      <c r="Q166" s="288"/>
      <c r="R166" s="288"/>
      <c r="S166" s="288"/>
      <c r="T166" s="288"/>
      <c r="U166" s="288"/>
      <c r="V166" s="338">
        <v>0</v>
      </c>
      <c r="W166" s="291"/>
      <c r="X166" s="5"/>
    </row>
    <row r="167" spans="1:256" ht="15.6" x14ac:dyDescent="0.3">
      <c r="A167" s="287"/>
      <c r="B167" s="288" t="s">
        <v>53</v>
      </c>
      <c r="C167" s="288"/>
      <c r="D167" s="288"/>
      <c r="E167" s="288"/>
      <c r="F167" s="288"/>
      <c r="G167" s="288"/>
      <c r="H167" s="288"/>
      <c r="I167" s="288"/>
      <c r="J167" s="288"/>
      <c r="K167" s="288"/>
      <c r="L167" s="288"/>
      <c r="M167" s="288"/>
      <c r="N167" s="288"/>
      <c r="O167" s="288"/>
      <c r="P167" s="288"/>
      <c r="Q167" s="288"/>
      <c r="R167" s="288"/>
      <c r="S167" s="288"/>
      <c r="T167" s="288"/>
      <c r="U167" s="288"/>
      <c r="V167" s="338">
        <v>179</v>
      </c>
      <c r="W167" s="291"/>
      <c r="X167" s="5"/>
    </row>
    <row r="168" spans="1:256" ht="15.6" x14ac:dyDescent="0.3">
      <c r="A168" s="287"/>
      <c r="B168" s="288" t="s">
        <v>54</v>
      </c>
      <c r="C168" s="288"/>
      <c r="D168" s="288"/>
      <c r="E168" s="288"/>
      <c r="F168" s="288"/>
      <c r="G168" s="288"/>
      <c r="H168" s="288"/>
      <c r="I168" s="288"/>
      <c r="J168" s="288"/>
      <c r="K168" s="288"/>
      <c r="L168" s="288"/>
      <c r="M168" s="288"/>
      <c r="N168" s="288"/>
      <c r="O168" s="288"/>
      <c r="P168" s="288"/>
      <c r="Q168" s="288"/>
      <c r="R168" s="288"/>
      <c r="S168" s="288"/>
      <c r="T168" s="288"/>
      <c r="U168" s="288"/>
      <c r="V168" s="338">
        <f>V167+V166</f>
        <v>179</v>
      </c>
      <c r="W168" s="291"/>
      <c r="X168" s="5"/>
    </row>
    <row r="169" spans="1:256" ht="15.6" x14ac:dyDescent="0.3">
      <c r="A169" s="287"/>
      <c r="B169" s="288" t="s">
        <v>315</v>
      </c>
      <c r="C169" s="288"/>
      <c r="D169" s="288"/>
      <c r="E169" s="288"/>
      <c r="F169" s="288"/>
      <c r="G169" s="288"/>
      <c r="H169" s="288"/>
      <c r="I169" s="288"/>
      <c r="J169" s="288"/>
      <c r="K169" s="288"/>
      <c r="L169" s="288"/>
      <c r="M169" s="288"/>
      <c r="N169" s="288"/>
      <c r="O169" s="288"/>
      <c r="P169" s="288"/>
      <c r="Q169" s="288"/>
      <c r="R169" s="288"/>
      <c r="S169" s="288"/>
      <c r="T169" s="288"/>
      <c r="U169" s="288"/>
      <c r="V169" s="338">
        <f>V115</f>
        <v>-179</v>
      </c>
      <c r="W169" s="291"/>
      <c r="X169" s="5"/>
    </row>
    <row r="170" spans="1:256" ht="15.6" x14ac:dyDescent="0.3">
      <c r="A170" s="287"/>
      <c r="B170" s="288" t="s">
        <v>55</v>
      </c>
      <c r="C170" s="288"/>
      <c r="D170" s="288"/>
      <c r="E170" s="288"/>
      <c r="F170" s="288"/>
      <c r="G170" s="288"/>
      <c r="H170" s="288"/>
      <c r="I170" s="288"/>
      <c r="J170" s="288"/>
      <c r="K170" s="288"/>
      <c r="L170" s="288"/>
      <c r="M170" s="288"/>
      <c r="N170" s="288"/>
      <c r="O170" s="288"/>
      <c r="P170" s="288"/>
      <c r="Q170" s="288"/>
      <c r="R170" s="288"/>
      <c r="S170" s="288"/>
      <c r="T170" s="288"/>
      <c r="U170" s="288"/>
      <c r="V170" s="338">
        <f>V168+V169</f>
        <v>0</v>
      </c>
      <c r="W170" s="291"/>
      <c r="X170" s="5"/>
    </row>
    <row r="171" spans="1:256" ht="15.6" x14ac:dyDescent="0.3">
      <c r="A171" s="287"/>
      <c r="B171" s="288" t="s">
        <v>283</v>
      </c>
      <c r="C171" s="288"/>
      <c r="D171" s="288"/>
      <c r="E171" s="288"/>
      <c r="F171" s="288"/>
      <c r="G171" s="288"/>
      <c r="H171" s="288"/>
      <c r="I171" s="288"/>
      <c r="J171" s="288"/>
      <c r="K171" s="288"/>
      <c r="L171" s="288"/>
      <c r="M171" s="288"/>
      <c r="N171" s="288"/>
      <c r="O171" s="288"/>
      <c r="P171" s="288"/>
      <c r="Q171" s="288"/>
      <c r="R171" s="288"/>
      <c r="S171" s="288"/>
      <c r="T171" s="288"/>
      <c r="U171" s="288"/>
      <c r="V171" s="338">
        <f>-V100</f>
        <v>151</v>
      </c>
      <c r="W171" s="291"/>
      <c r="X171" s="5"/>
    </row>
    <row r="172" spans="1:256" ht="16.2" thickBot="1" x14ac:dyDescent="0.35">
      <c r="A172" s="183"/>
      <c r="B172" s="284"/>
      <c r="C172" s="284"/>
      <c r="D172" s="284"/>
      <c r="E172" s="284"/>
      <c r="F172" s="284"/>
      <c r="G172" s="284"/>
      <c r="H172" s="284"/>
      <c r="I172" s="284"/>
      <c r="J172" s="284"/>
      <c r="K172" s="284"/>
      <c r="L172" s="284"/>
      <c r="M172" s="284"/>
      <c r="N172" s="284"/>
      <c r="O172" s="284"/>
      <c r="P172" s="284"/>
      <c r="Q172" s="284"/>
      <c r="R172" s="284"/>
      <c r="S172" s="284"/>
      <c r="T172" s="284"/>
      <c r="U172" s="284"/>
      <c r="V172" s="349"/>
      <c r="W172" s="284"/>
      <c r="X172" s="5"/>
    </row>
    <row r="173" spans="1:256" ht="15.6" x14ac:dyDescent="0.3">
      <c r="A173" s="180"/>
      <c r="B173" s="247"/>
      <c r="C173" s="247"/>
      <c r="D173" s="247"/>
      <c r="E173" s="247"/>
      <c r="F173" s="247"/>
      <c r="G173" s="247"/>
      <c r="H173" s="247"/>
      <c r="I173" s="247"/>
      <c r="J173" s="247"/>
      <c r="K173" s="247"/>
      <c r="L173" s="247"/>
      <c r="M173" s="247"/>
      <c r="N173" s="247"/>
      <c r="O173" s="247"/>
      <c r="P173" s="247"/>
      <c r="Q173" s="247"/>
      <c r="R173" s="247"/>
      <c r="S173" s="247"/>
      <c r="T173" s="247"/>
      <c r="U173" s="247"/>
      <c r="V173" s="248"/>
      <c r="W173" s="247"/>
      <c r="X173" s="5"/>
    </row>
    <row r="174" spans="1:256" s="161" customFormat="1" ht="15.6" x14ac:dyDescent="0.3">
      <c r="A174" s="183"/>
      <c r="B174" s="208" t="s">
        <v>269</v>
      </c>
      <c r="C174" s="198"/>
      <c r="D174" s="198"/>
      <c r="E174" s="198"/>
      <c r="F174" s="198"/>
      <c r="G174" s="198"/>
      <c r="H174" s="198"/>
      <c r="I174" s="198"/>
      <c r="J174" s="198"/>
      <c r="K174" s="198"/>
      <c r="L174" s="198"/>
      <c r="M174" s="198"/>
      <c r="N174" s="198"/>
      <c r="O174" s="198"/>
      <c r="P174" s="198"/>
      <c r="Q174" s="198"/>
      <c r="R174" s="198"/>
      <c r="S174" s="198"/>
      <c r="T174" s="198"/>
      <c r="U174" s="198"/>
      <c r="V174" s="210"/>
      <c r="W174" s="198"/>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5.6" x14ac:dyDescent="0.3">
      <c r="A175" s="287"/>
      <c r="B175" s="288" t="s">
        <v>270</v>
      </c>
      <c r="C175" s="288"/>
      <c r="D175" s="288"/>
      <c r="E175" s="288"/>
      <c r="F175" s="288"/>
      <c r="G175" s="288"/>
      <c r="H175" s="288"/>
      <c r="I175" s="288"/>
      <c r="J175" s="288"/>
      <c r="K175" s="288"/>
      <c r="L175" s="288"/>
      <c r="M175" s="288"/>
      <c r="N175" s="288"/>
      <c r="O175" s="288"/>
      <c r="P175" s="288"/>
      <c r="Q175" s="288"/>
      <c r="R175" s="288"/>
      <c r="S175" s="288"/>
      <c r="T175" s="288"/>
      <c r="U175" s="288"/>
      <c r="V175" s="338">
        <f>+'Aug 08'!V177</f>
        <v>0</v>
      </c>
      <c r="W175" s="291"/>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3" customFormat="1" ht="15.6" x14ac:dyDescent="0.3">
      <c r="A176" s="287"/>
      <c r="B176" s="288" t="s">
        <v>273</v>
      </c>
      <c r="C176" s="288"/>
      <c r="D176" s="288"/>
      <c r="E176" s="288"/>
      <c r="F176" s="288"/>
      <c r="G176" s="288"/>
      <c r="H176" s="288"/>
      <c r="I176" s="288"/>
      <c r="J176" s="288"/>
      <c r="K176" s="288"/>
      <c r="L176" s="288"/>
      <c r="M176" s="288"/>
      <c r="N176" s="288"/>
      <c r="O176" s="288"/>
      <c r="P176" s="288"/>
      <c r="Q176" s="288"/>
      <c r="R176" s="288"/>
      <c r="S176" s="288"/>
      <c r="T176" s="288"/>
      <c r="U176" s="288"/>
      <c r="V176" s="338">
        <f>+V94</f>
        <v>0</v>
      </c>
      <c r="W176" s="291"/>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s="163" customFormat="1" ht="15.6" x14ac:dyDescent="0.3">
      <c r="A177" s="287"/>
      <c r="B177" s="288" t="s">
        <v>271</v>
      </c>
      <c r="C177" s="288"/>
      <c r="D177" s="288"/>
      <c r="E177" s="288"/>
      <c r="F177" s="288"/>
      <c r="G177" s="288"/>
      <c r="H177" s="288"/>
      <c r="I177" s="288"/>
      <c r="J177" s="288"/>
      <c r="K177" s="288"/>
      <c r="L177" s="288"/>
      <c r="M177" s="288"/>
      <c r="N177" s="288"/>
      <c r="O177" s="288"/>
      <c r="P177" s="288"/>
      <c r="Q177" s="288"/>
      <c r="R177" s="288"/>
      <c r="S177" s="288"/>
      <c r="T177" s="288"/>
      <c r="U177" s="288"/>
      <c r="V177" s="338">
        <f>+V175-V176</f>
        <v>0</v>
      </c>
      <c r="W177" s="291"/>
      <c r="X177" s="5"/>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s="166" customFormat="1" ht="16.2" thickBot="1" x14ac:dyDescent="0.35">
      <c r="A178" s="199"/>
      <c r="B178" s="198"/>
      <c r="C178" s="198"/>
      <c r="D178" s="198"/>
      <c r="E178" s="198"/>
      <c r="F178" s="198"/>
      <c r="G178" s="198"/>
      <c r="H178" s="198"/>
      <c r="I178" s="198"/>
      <c r="J178" s="198"/>
      <c r="K178" s="198"/>
      <c r="L178" s="198"/>
      <c r="M178" s="198"/>
      <c r="N178" s="198"/>
      <c r="O178" s="198"/>
      <c r="P178" s="198"/>
      <c r="Q178" s="198"/>
      <c r="R178" s="198"/>
      <c r="S178" s="198"/>
      <c r="T178" s="198"/>
      <c r="U178" s="198"/>
      <c r="V178" s="347"/>
      <c r="W178" s="198"/>
      <c r="X178" s="5"/>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s="167" customFormat="1" ht="15.6" x14ac:dyDescent="0.3">
      <c r="A179" s="180"/>
      <c r="B179" s="181"/>
      <c r="C179" s="181"/>
      <c r="D179" s="181"/>
      <c r="E179" s="181"/>
      <c r="F179" s="181"/>
      <c r="G179" s="181"/>
      <c r="H179" s="181"/>
      <c r="I179" s="181"/>
      <c r="J179" s="181"/>
      <c r="K179" s="181"/>
      <c r="L179" s="181"/>
      <c r="M179" s="181"/>
      <c r="N179" s="181"/>
      <c r="O179" s="181"/>
      <c r="P179" s="181"/>
      <c r="Q179" s="181"/>
      <c r="R179" s="181"/>
      <c r="S179" s="181"/>
      <c r="T179" s="181"/>
      <c r="U179" s="181"/>
      <c r="V179" s="200"/>
      <c r="W179" s="181"/>
      <c r="X179" s="5"/>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ht="15.6" x14ac:dyDescent="0.3">
      <c r="A180" s="183"/>
      <c r="B180" s="208" t="s">
        <v>56</v>
      </c>
      <c r="C180" s="185"/>
      <c r="D180" s="185"/>
      <c r="E180" s="185"/>
      <c r="F180" s="185"/>
      <c r="G180" s="185"/>
      <c r="H180" s="185"/>
      <c r="I180" s="185"/>
      <c r="J180" s="185"/>
      <c r="K180" s="185"/>
      <c r="L180" s="185"/>
      <c r="M180" s="185"/>
      <c r="N180" s="185"/>
      <c r="O180" s="185"/>
      <c r="P180" s="185"/>
      <c r="Q180" s="185"/>
      <c r="R180" s="185"/>
      <c r="S180" s="185"/>
      <c r="T180" s="185"/>
      <c r="U180" s="185"/>
      <c r="V180" s="201"/>
      <c r="W180" s="185"/>
      <c r="X180" s="5"/>
    </row>
    <row r="181" spans="1:256" ht="15.6" x14ac:dyDescent="0.3">
      <c r="A181" s="183"/>
      <c r="B181" s="195"/>
      <c r="C181" s="185"/>
      <c r="D181" s="185"/>
      <c r="E181" s="185"/>
      <c r="F181" s="185"/>
      <c r="G181" s="185"/>
      <c r="H181" s="185"/>
      <c r="I181" s="185"/>
      <c r="J181" s="185"/>
      <c r="K181" s="185"/>
      <c r="L181" s="185"/>
      <c r="M181" s="185"/>
      <c r="N181" s="185"/>
      <c r="O181" s="185"/>
      <c r="P181" s="185"/>
      <c r="Q181" s="185"/>
      <c r="R181" s="185"/>
      <c r="S181" s="185"/>
      <c r="T181" s="185"/>
      <c r="U181" s="185"/>
      <c r="V181" s="201"/>
      <c r="W181" s="185"/>
      <c r="X181" s="5"/>
    </row>
    <row r="182" spans="1:256" ht="15.6" x14ac:dyDescent="0.3">
      <c r="A182" s="287"/>
      <c r="B182" s="288" t="s">
        <v>57</v>
      </c>
      <c r="C182" s="288"/>
      <c r="D182" s="288"/>
      <c r="E182" s="288"/>
      <c r="F182" s="288"/>
      <c r="G182" s="288"/>
      <c r="H182" s="288"/>
      <c r="I182" s="288"/>
      <c r="J182" s="288"/>
      <c r="K182" s="288"/>
      <c r="L182" s="288"/>
      <c r="M182" s="288"/>
      <c r="N182" s="288"/>
      <c r="O182" s="288"/>
      <c r="P182" s="288"/>
      <c r="Q182" s="288"/>
      <c r="R182" s="288"/>
      <c r="S182" s="288"/>
      <c r="T182" s="288"/>
      <c r="U182" s="288"/>
      <c r="V182" s="338">
        <f>V71</f>
        <v>1145647</v>
      </c>
      <c r="W182" s="291"/>
      <c r="X182" s="5"/>
    </row>
    <row r="183" spans="1:256" ht="15.6" x14ac:dyDescent="0.3">
      <c r="A183" s="287"/>
      <c r="B183" s="288" t="s">
        <v>58</v>
      </c>
      <c r="C183" s="288"/>
      <c r="D183" s="288"/>
      <c r="E183" s="288"/>
      <c r="F183" s="288"/>
      <c r="G183" s="288"/>
      <c r="H183" s="288"/>
      <c r="I183" s="288"/>
      <c r="J183" s="288"/>
      <c r="K183" s="288"/>
      <c r="L183" s="288"/>
      <c r="M183" s="288"/>
      <c r="N183" s="288"/>
      <c r="O183" s="288"/>
      <c r="P183" s="288"/>
      <c r="Q183" s="288"/>
      <c r="R183" s="288"/>
      <c r="S183" s="288"/>
      <c r="T183" s="288"/>
      <c r="U183" s="288"/>
      <c r="V183" s="338">
        <f>V84</f>
        <v>1145647</v>
      </c>
      <c r="W183" s="291"/>
      <c r="X183" s="5"/>
    </row>
    <row r="184" spans="1:256" ht="16.2" thickBot="1" x14ac:dyDescent="0.35">
      <c r="A184" s="183"/>
      <c r="B184" s="198"/>
      <c r="C184" s="198"/>
      <c r="D184" s="198"/>
      <c r="E184" s="198"/>
      <c r="F184" s="198"/>
      <c r="G184" s="198"/>
      <c r="H184" s="198"/>
      <c r="I184" s="198"/>
      <c r="J184" s="198"/>
      <c r="K184" s="198"/>
      <c r="L184" s="198"/>
      <c r="M184" s="198"/>
      <c r="N184" s="198"/>
      <c r="O184" s="198"/>
      <c r="P184" s="198"/>
      <c r="Q184" s="198"/>
      <c r="R184" s="198"/>
      <c r="S184" s="198"/>
      <c r="T184" s="198"/>
      <c r="U184" s="198"/>
      <c r="V184" s="347"/>
      <c r="W184" s="198"/>
      <c r="X184" s="5"/>
    </row>
    <row r="185" spans="1:256" ht="15.6" x14ac:dyDescent="0.3">
      <c r="A185" s="180"/>
      <c r="B185" s="181"/>
      <c r="C185" s="181"/>
      <c r="D185" s="181"/>
      <c r="E185" s="181"/>
      <c r="F185" s="181"/>
      <c r="G185" s="181"/>
      <c r="H185" s="181"/>
      <c r="I185" s="181"/>
      <c r="J185" s="181"/>
      <c r="K185" s="181"/>
      <c r="L185" s="181"/>
      <c r="M185" s="181"/>
      <c r="N185" s="181"/>
      <c r="O185" s="181"/>
      <c r="P185" s="181"/>
      <c r="Q185" s="181"/>
      <c r="R185" s="181"/>
      <c r="S185" s="181"/>
      <c r="T185" s="181"/>
      <c r="U185" s="181"/>
      <c r="V185" s="200"/>
      <c r="W185" s="181"/>
      <c r="X185" s="5"/>
    </row>
    <row r="186" spans="1:256" ht="15.6" x14ac:dyDescent="0.3">
      <c r="A186" s="183"/>
      <c r="B186" s="208" t="s">
        <v>59</v>
      </c>
      <c r="C186" s="205"/>
      <c r="D186" s="205"/>
      <c r="E186" s="205"/>
      <c r="F186" s="205"/>
      <c r="G186" s="205"/>
      <c r="H186" s="211"/>
      <c r="I186" s="211"/>
      <c r="J186" s="211"/>
      <c r="K186" s="211"/>
      <c r="L186" s="211"/>
      <c r="M186" s="211"/>
      <c r="N186" s="211"/>
      <c r="O186" s="211"/>
      <c r="P186" s="211"/>
      <c r="Q186" s="211"/>
      <c r="R186" s="211"/>
      <c r="S186" s="211" t="s">
        <v>101</v>
      </c>
      <c r="T186" s="211" t="s">
        <v>176</v>
      </c>
      <c r="U186" s="187"/>
      <c r="V186" s="212" t="s">
        <v>114</v>
      </c>
      <c r="W186" s="213"/>
      <c r="X186" s="5"/>
    </row>
    <row r="187" spans="1:256" ht="15.6" x14ac:dyDescent="0.3">
      <c r="A187" s="287"/>
      <c r="B187" s="288" t="s">
        <v>60</v>
      </c>
      <c r="C187" s="288"/>
      <c r="D187" s="288"/>
      <c r="E187" s="288"/>
      <c r="F187" s="288"/>
      <c r="G187" s="288"/>
      <c r="H187" s="288"/>
      <c r="I187" s="288"/>
      <c r="J187" s="288"/>
      <c r="K187" s="288"/>
      <c r="L187" s="288"/>
      <c r="M187" s="288"/>
      <c r="N187" s="288"/>
      <c r="O187" s="288"/>
      <c r="P187" s="288"/>
      <c r="Q187" s="288"/>
      <c r="R187" s="288"/>
      <c r="S187" s="338">
        <f>+V34*0.16</f>
        <v>240044</v>
      </c>
      <c r="T187" s="325"/>
      <c r="U187" s="288"/>
      <c r="V187" s="338"/>
      <c r="W187" s="291"/>
      <c r="X187" s="5"/>
    </row>
    <row r="188" spans="1:256" ht="15.6" x14ac:dyDescent="0.3">
      <c r="A188" s="287"/>
      <c r="B188" s="288" t="s">
        <v>61</v>
      </c>
      <c r="C188" s="288"/>
      <c r="D188" s="288"/>
      <c r="E188" s="288"/>
      <c r="F188" s="288"/>
      <c r="G188" s="288"/>
      <c r="H188" s="288"/>
      <c r="I188" s="288"/>
      <c r="J188" s="288"/>
      <c r="K188" s="288"/>
      <c r="L188" s="288"/>
      <c r="M188" s="288"/>
      <c r="N188" s="288"/>
      <c r="O188" s="288"/>
      <c r="P188" s="288"/>
      <c r="Q188" s="288"/>
      <c r="R188" s="288"/>
      <c r="S188" s="338">
        <f>+'Feb 11'!S190</f>
        <v>23834</v>
      </c>
      <c r="T188" s="338">
        <f>+'Feb 11'!T190</f>
        <v>5990</v>
      </c>
      <c r="U188" s="288"/>
      <c r="V188" s="338">
        <f>S188+T188</f>
        <v>29824</v>
      </c>
      <c r="W188" s="291"/>
      <c r="X188" s="5"/>
    </row>
    <row r="189" spans="1:256" ht="15.6" x14ac:dyDescent="0.3">
      <c r="A189" s="287"/>
      <c r="B189" s="288" t="s">
        <v>62</v>
      </c>
      <c r="C189" s="288"/>
      <c r="D189" s="288"/>
      <c r="E189" s="288"/>
      <c r="F189" s="288"/>
      <c r="G189" s="288"/>
      <c r="H189" s="288"/>
      <c r="I189" s="288"/>
      <c r="J189" s="288"/>
      <c r="K189" s="288"/>
      <c r="L189" s="288"/>
      <c r="M189" s="288"/>
      <c r="N189" s="288"/>
      <c r="O189" s="288"/>
      <c r="P189" s="288"/>
      <c r="Q189" s="288"/>
      <c r="R189" s="288"/>
      <c r="S189" s="337">
        <v>240</v>
      </c>
      <c r="T189" s="337">
        <v>15</v>
      </c>
      <c r="U189" s="288"/>
      <c r="V189" s="338">
        <f>S189+T189</f>
        <v>255</v>
      </c>
      <c r="W189" s="291"/>
      <c r="X189" s="5"/>
    </row>
    <row r="190" spans="1:256" ht="15.6" x14ac:dyDescent="0.3">
      <c r="A190" s="287"/>
      <c r="B190" s="288" t="s">
        <v>63</v>
      </c>
      <c r="C190" s="288"/>
      <c r="D190" s="288"/>
      <c r="E190" s="288"/>
      <c r="F190" s="288"/>
      <c r="G190" s="288"/>
      <c r="H190" s="288"/>
      <c r="I190" s="288"/>
      <c r="J190" s="288"/>
      <c r="K190" s="288"/>
      <c r="L190" s="288"/>
      <c r="M190" s="288"/>
      <c r="N190" s="288"/>
      <c r="O190" s="288"/>
      <c r="P190" s="288"/>
      <c r="Q190" s="288"/>
      <c r="R190" s="288"/>
      <c r="S190" s="338">
        <f>S188+S189</f>
        <v>24074</v>
      </c>
      <c r="T190" s="338">
        <f>T189+T188</f>
        <v>6005</v>
      </c>
      <c r="U190" s="288"/>
      <c r="V190" s="338">
        <f>S190+T190</f>
        <v>30079</v>
      </c>
      <c r="W190" s="291"/>
      <c r="X190" s="5"/>
    </row>
    <row r="191" spans="1:256" ht="15.6" x14ac:dyDescent="0.3">
      <c r="A191" s="287"/>
      <c r="B191" s="288" t="s">
        <v>64</v>
      </c>
      <c r="C191" s="288"/>
      <c r="D191" s="288"/>
      <c r="E191" s="288"/>
      <c r="F191" s="288"/>
      <c r="G191" s="288"/>
      <c r="H191" s="288"/>
      <c r="I191" s="288"/>
      <c r="J191" s="288"/>
      <c r="K191" s="288"/>
      <c r="L191" s="288"/>
      <c r="M191" s="288"/>
      <c r="N191" s="288"/>
      <c r="O191" s="288"/>
      <c r="P191" s="288"/>
      <c r="Q191" s="288"/>
      <c r="R191" s="288"/>
      <c r="S191" s="338">
        <f>S187-S190-T190</f>
        <v>209965</v>
      </c>
      <c r="T191" s="325"/>
      <c r="U191" s="288"/>
      <c r="V191" s="338"/>
      <c r="W191" s="291"/>
      <c r="X191" s="5"/>
    </row>
    <row r="192" spans="1:256" ht="16.2" thickBot="1" x14ac:dyDescent="0.35">
      <c r="A192" s="183"/>
      <c r="B192" s="198"/>
      <c r="C192" s="198"/>
      <c r="D192" s="198"/>
      <c r="E192" s="198"/>
      <c r="F192" s="198"/>
      <c r="G192" s="198"/>
      <c r="H192" s="198"/>
      <c r="I192" s="198"/>
      <c r="J192" s="198"/>
      <c r="K192" s="198"/>
      <c r="L192" s="198"/>
      <c r="M192" s="198"/>
      <c r="N192" s="198"/>
      <c r="O192" s="198"/>
      <c r="P192" s="198"/>
      <c r="Q192" s="198"/>
      <c r="R192" s="198"/>
      <c r="S192" s="198"/>
      <c r="T192" s="198"/>
      <c r="U192" s="198"/>
      <c r="V192" s="347"/>
      <c r="W192" s="198"/>
      <c r="X192" s="5"/>
    </row>
    <row r="193" spans="1:24" ht="15.6" x14ac:dyDescent="0.3">
      <c r="A193" s="180"/>
      <c r="B193" s="181"/>
      <c r="C193" s="181"/>
      <c r="D193" s="181"/>
      <c r="E193" s="181"/>
      <c r="F193" s="181"/>
      <c r="G193" s="181"/>
      <c r="H193" s="181"/>
      <c r="I193" s="181"/>
      <c r="J193" s="181"/>
      <c r="K193" s="181"/>
      <c r="L193" s="181"/>
      <c r="M193" s="181"/>
      <c r="N193" s="181"/>
      <c r="O193" s="181"/>
      <c r="P193" s="181"/>
      <c r="Q193" s="181"/>
      <c r="R193" s="181"/>
      <c r="S193" s="181"/>
      <c r="T193" s="181"/>
      <c r="U193" s="181"/>
      <c r="V193" s="200"/>
      <c r="W193" s="181"/>
      <c r="X193" s="5"/>
    </row>
    <row r="194" spans="1:24" ht="15.6" x14ac:dyDescent="0.3">
      <c r="A194" s="183"/>
      <c r="B194" s="208" t="s">
        <v>65</v>
      </c>
      <c r="C194" s="185"/>
      <c r="D194" s="185"/>
      <c r="E194" s="185"/>
      <c r="F194" s="185"/>
      <c r="G194" s="185"/>
      <c r="H194" s="185"/>
      <c r="I194" s="185"/>
      <c r="J194" s="185"/>
      <c r="K194" s="185"/>
      <c r="L194" s="185"/>
      <c r="M194" s="185"/>
      <c r="N194" s="185"/>
      <c r="O194" s="185"/>
      <c r="P194" s="185"/>
      <c r="Q194" s="185"/>
      <c r="R194" s="185"/>
      <c r="S194" s="185"/>
      <c r="T194" s="185"/>
      <c r="U194" s="185"/>
      <c r="V194" s="214"/>
      <c r="W194" s="185"/>
      <c r="X194" s="5"/>
    </row>
    <row r="195" spans="1:24" ht="15.6" x14ac:dyDescent="0.3">
      <c r="A195" s="287"/>
      <c r="B195" s="288" t="s">
        <v>66</v>
      </c>
      <c r="C195" s="288"/>
      <c r="D195" s="288"/>
      <c r="E195" s="288"/>
      <c r="F195" s="288"/>
      <c r="G195" s="288"/>
      <c r="H195" s="288"/>
      <c r="I195" s="288"/>
      <c r="J195" s="288"/>
      <c r="K195" s="288"/>
      <c r="L195" s="288"/>
      <c r="M195" s="288"/>
      <c r="N195" s="288"/>
      <c r="O195" s="288"/>
      <c r="P195" s="288"/>
      <c r="Q195" s="288"/>
      <c r="R195" s="288"/>
      <c r="S195" s="288"/>
      <c r="T195" s="288"/>
      <c r="U195" s="288"/>
      <c r="V195" s="348">
        <f>(V101+V103+V104+V105+V106)/-(V107+V108)</f>
        <v>3.2498853736817974</v>
      </c>
      <c r="W195" s="291" t="s">
        <v>115</v>
      </c>
      <c r="X195" s="5"/>
    </row>
    <row r="196" spans="1:24" ht="15.6" x14ac:dyDescent="0.3">
      <c r="A196" s="287"/>
      <c r="B196" s="288" t="s">
        <v>67</v>
      </c>
      <c r="C196" s="288"/>
      <c r="D196" s="288"/>
      <c r="E196" s="288"/>
      <c r="F196" s="288"/>
      <c r="G196" s="288"/>
      <c r="H196" s="288"/>
      <c r="I196" s="288"/>
      <c r="J196" s="288"/>
      <c r="K196" s="288"/>
      <c r="L196" s="288"/>
      <c r="M196" s="288"/>
      <c r="N196" s="288"/>
      <c r="O196" s="288"/>
      <c r="P196" s="288"/>
      <c r="Q196" s="288"/>
      <c r="R196" s="288"/>
      <c r="S196" s="288"/>
      <c r="T196" s="288"/>
      <c r="U196" s="288"/>
      <c r="V196" s="350">
        <v>1.61</v>
      </c>
      <c r="W196" s="291" t="s">
        <v>115</v>
      </c>
      <c r="X196" s="5"/>
    </row>
    <row r="197" spans="1:24" ht="15.6" x14ac:dyDescent="0.3">
      <c r="A197" s="287"/>
      <c r="B197" s="288" t="s">
        <v>68</v>
      </c>
      <c r="C197" s="288"/>
      <c r="D197" s="288"/>
      <c r="E197" s="288"/>
      <c r="F197" s="288"/>
      <c r="G197" s="288"/>
      <c r="H197" s="288"/>
      <c r="I197" s="288"/>
      <c r="J197" s="288"/>
      <c r="K197" s="288"/>
      <c r="L197" s="288"/>
      <c r="M197" s="288"/>
      <c r="N197" s="288"/>
      <c r="O197" s="288"/>
      <c r="P197" s="288"/>
      <c r="Q197" s="288"/>
      <c r="R197" s="288"/>
      <c r="S197" s="288"/>
      <c r="T197" s="288"/>
      <c r="U197" s="288"/>
      <c r="V197" s="348">
        <f>(V101+V103+V104+V105+V106+V107+V108)/-(V110+V111)</f>
        <v>17.278169014084508</v>
      </c>
      <c r="W197" s="291" t="s">
        <v>115</v>
      </c>
      <c r="X197" s="5"/>
    </row>
    <row r="198" spans="1:24" ht="15.6" x14ac:dyDescent="0.3">
      <c r="A198" s="287"/>
      <c r="B198" s="288" t="s">
        <v>69</v>
      </c>
      <c r="C198" s="288"/>
      <c r="D198" s="288"/>
      <c r="E198" s="288"/>
      <c r="F198" s="288"/>
      <c r="G198" s="288"/>
      <c r="H198" s="288"/>
      <c r="I198" s="288"/>
      <c r="J198" s="288"/>
      <c r="K198" s="288"/>
      <c r="L198" s="288"/>
      <c r="M198" s="288"/>
      <c r="N198" s="288"/>
      <c r="O198" s="288"/>
      <c r="P198" s="288"/>
      <c r="Q198" s="288"/>
      <c r="R198" s="288"/>
      <c r="S198" s="288"/>
      <c r="T198" s="288"/>
      <c r="U198" s="288"/>
      <c r="V198" s="350">
        <v>6.15</v>
      </c>
      <c r="W198" s="291" t="s">
        <v>115</v>
      </c>
      <c r="X198" s="5"/>
    </row>
    <row r="199" spans="1:24" ht="15.6" x14ac:dyDescent="0.3">
      <c r="A199" s="287"/>
      <c r="B199" s="288" t="s">
        <v>198</v>
      </c>
      <c r="C199" s="288"/>
      <c r="D199" s="288"/>
      <c r="E199" s="288"/>
      <c r="F199" s="288"/>
      <c r="G199" s="288"/>
      <c r="H199" s="288"/>
      <c r="I199" s="288"/>
      <c r="J199" s="288"/>
      <c r="K199" s="288"/>
      <c r="L199" s="288"/>
      <c r="M199" s="288"/>
      <c r="N199" s="288"/>
      <c r="O199" s="288"/>
      <c r="P199" s="288"/>
      <c r="Q199" s="288"/>
      <c r="R199" s="288"/>
      <c r="S199" s="288"/>
      <c r="T199" s="288"/>
      <c r="U199" s="288"/>
      <c r="V199" s="348">
        <f>(V101+V103+V104+V105+V106+V107+V108+V110+V111)/-(V112+V113)</f>
        <v>13.246418338108883</v>
      </c>
      <c r="W199" s="291" t="s">
        <v>115</v>
      </c>
      <c r="X199" s="5"/>
    </row>
    <row r="200" spans="1:24" ht="15.6" x14ac:dyDescent="0.3">
      <c r="A200" s="287"/>
      <c r="B200" s="288" t="s">
        <v>199</v>
      </c>
      <c r="C200" s="288"/>
      <c r="D200" s="288"/>
      <c r="E200" s="288"/>
      <c r="F200" s="288"/>
      <c r="G200" s="288"/>
      <c r="H200" s="288"/>
      <c r="I200" s="288"/>
      <c r="J200" s="288"/>
      <c r="K200" s="288"/>
      <c r="L200" s="288"/>
      <c r="M200" s="288"/>
      <c r="N200" s="288"/>
      <c r="O200" s="288"/>
      <c r="P200" s="288"/>
      <c r="Q200" s="288"/>
      <c r="R200" s="288"/>
      <c r="S200" s="288"/>
      <c r="T200" s="288"/>
      <c r="U200" s="288"/>
      <c r="V200" s="350">
        <v>4.82</v>
      </c>
      <c r="W200" s="291" t="s">
        <v>115</v>
      </c>
      <c r="X200" s="5"/>
    </row>
    <row r="201" spans="1:24" ht="15.6" x14ac:dyDescent="0.3">
      <c r="A201" s="287"/>
      <c r="B201" s="314"/>
      <c r="C201" s="314"/>
      <c r="D201" s="314"/>
      <c r="E201" s="314"/>
      <c r="F201" s="314"/>
      <c r="G201" s="314"/>
      <c r="H201" s="314"/>
      <c r="I201" s="314"/>
      <c r="J201" s="314"/>
      <c r="K201" s="314"/>
      <c r="L201" s="314"/>
      <c r="M201" s="314"/>
      <c r="N201" s="314"/>
      <c r="O201" s="314"/>
      <c r="P201" s="314"/>
      <c r="Q201" s="314"/>
      <c r="R201" s="314"/>
      <c r="S201" s="314"/>
      <c r="T201" s="314"/>
      <c r="U201" s="314"/>
      <c r="V201" s="314"/>
      <c r="W201" s="318"/>
      <c r="X201" s="5"/>
    </row>
    <row r="202" spans="1:24" ht="15.6" x14ac:dyDescent="0.3">
      <c r="A202" s="183"/>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5"/>
    </row>
    <row r="203" spans="1:24" ht="15.6" x14ac:dyDescent="0.3">
      <c r="A203" s="183"/>
      <c r="B203" s="185"/>
      <c r="C203" s="185"/>
      <c r="D203" s="185"/>
      <c r="E203" s="185"/>
      <c r="F203" s="185"/>
      <c r="G203" s="185"/>
      <c r="H203" s="185"/>
      <c r="I203" s="185"/>
      <c r="J203" s="185"/>
      <c r="K203" s="185"/>
      <c r="L203" s="185"/>
      <c r="M203" s="185"/>
      <c r="N203" s="185"/>
      <c r="O203" s="185"/>
      <c r="P203" s="185"/>
      <c r="Q203" s="185"/>
      <c r="R203" s="185"/>
      <c r="S203" s="185"/>
      <c r="T203" s="185"/>
      <c r="U203" s="185"/>
      <c r="V203" s="185"/>
      <c r="W203" s="185"/>
      <c r="X203" s="5"/>
    </row>
    <row r="204" spans="1:24" ht="18" thickBot="1" x14ac:dyDescent="0.35">
      <c r="A204" s="199"/>
      <c r="B204" s="237" t="str">
        <f>B138</f>
        <v>PM14 INVESTOR REPORT QUARTER ENDING MAY 2011</v>
      </c>
      <c r="C204" s="215"/>
      <c r="D204" s="215"/>
      <c r="E204" s="215"/>
      <c r="F204" s="215"/>
      <c r="G204" s="215"/>
      <c r="H204" s="215"/>
      <c r="I204" s="215"/>
      <c r="J204" s="215"/>
      <c r="K204" s="215"/>
      <c r="L204" s="215"/>
      <c r="M204" s="215"/>
      <c r="N204" s="215"/>
      <c r="O204" s="215"/>
      <c r="P204" s="215"/>
      <c r="Q204" s="215"/>
      <c r="R204" s="215"/>
      <c r="S204" s="215"/>
      <c r="T204" s="215"/>
      <c r="U204" s="215"/>
      <c r="V204" s="215"/>
      <c r="W204" s="216"/>
      <c r="X204" s="5"/>
    </row>
    <row r="205" spans="1:24" ht="15.6" x14ac:dyDescent="0.3">
      <c r="A205" s="273"/>
      <c r="B205" s="403" t="s">
        <v>70</v>
      </c>
      <c r="C205" s="404"/>
      <c r="D205" s="404"/>
      <c r="E205" s="404"/>
      <c r="F205" s="404"/>
      <c r="G205" s="405"/>
      <c r="H205" s="405"/>
      <c r="I205" s="405"/>
      <c r="J205" s="405"/>
      <c r="K205" s="405"/>
      <c r="L205" s="405"/>
      <c r="M205" s="405"/>
      <c r="N205" s="405"/>
      <c r="O205" s="405"/>
      <c r="P205" s="405"/>
      <c r="Q205" s="405"/>
      <c r="R205" s="405"/>
      <c r="S205" s="405"/>
      <c r="T205" s="405">
        <v>40694</v>
      </c>
      <c r="U205" s="274"/>
      <c r="V205" s="274"/>
      <c r="W205" s="274"/>
      <c r="X205" s="5"/>
    </row>
    <row r="206" spans="1:24" ht="15.6" x14ac:dyDescent="0.3">
      <c r="A206" s="217"/>
      <c r="B206" s="230"/>
      <c r="C206" s="249"/>
      <c r="D206" s="249"/>
      <c r="E206" s="249"/>
      <c r="F206" s="249"/>
      <c r="G206" s="229"/>
      <c r="H206" s="229"/>
      <c r="I206" s="229"/>
      <c r="J206" s="229"/>
      <c r="K206" s="229"/>
      <c r="L206" s="229"/>
      <c r="M206" s="229"/>
      <c r="N206" s="229"/>
      <c r="O206" s="229"/>
      <c r="P206" s="229"/>
      <c r="Q206" s="229"/>
      <c r="R206" s="229"/>
      <c r="S206" s="229"/>
      <c r="T206" s="229"/>
      <c r="U206" s="224"/>
      <c r="V206" s="224"/>
      <c r="W206" s="224"/>
      <c r="X206" s="5"/>
    </row>
    <row r="207" spans="1:24" ht="15.6" x14ac:dyDescent="0.3">
      <c r="A207" s="352"/>
      <c r="B207" s="288" t="s">
        <v>71</v>
      </c>
      <c r="C207" s="353"/>
      <c r="D207" s="353"/>
      <c r="E207" s="353"/>
      <c r="F207" s="353"/>
      <c r="G207" s="330"/>
      <c r="H207" s="330"/>
      <c r="I207" s="330"/>
      <c r="J207" s="330"/>
      <c r="K207" s="330"/>
      <c r="L207" s="330"/>
      <c r="M207" s="330"/>
      <c r="N207" s="330"/>
      <c r="O207" s="330"/>
      <c r="P207" s="330"/>
      <c r="Q207" s="330"/>
      <c r="R207" s="330"/>
      <c r="S207" s="330"/>
      <c r="T207" s="321">
        <v>5.2819999999999999E-2</v>
      </c>
      <c r="U207" s="288"/>
      <c r="V207" s="288"/>
      <c r="W207" s="291"/>
      <c r="X207" s="5"/>
    </row>
    <row r="208" spans="1:24" ht="15.6" x14ac:dyDescent="0.3">
      <c r="A208" s="352"/>
      <c r="B208" s="288" t="s">
        <v>151</v>
      </c>
      <c r="C208" s="353"/>
      <c r="D208" s="353"/>
      <c r="E208" s="353"/>
      <c r="F208" s="353"/>
      <c r="G208" s="330"/>
      <c r="H208" s="330"/>
      <c r="I208" s="330"/>
      <c r="J208" s="330"/>
      <c r="K208" s="330"/>
      <c r="L208" s="330"/>
      <c r="M208" s="330"/>
      <c r="N208" s="330"/>
      <c r="O208" s="330"/>
      <c r="P208" s="330"/>
      <c r="Q208" s="330"/>
      <c r="R208" s="330"/>
      <c r="S208" s="330"/>
      <c r="T208" s="321">
        <v>5.7799999999999997E-2</v>
      </c>
      <c r="U208" s="288"/>
      <c r="V208" s="288"/>
      <c r="W208" s="291"/>
      <c r="X208" s="5"/>
    </row>
    <row r="209" spans="1:24" ht="15.6" x14ac:dyDescent="0.3">
      <c r="A209" s="352"/>
      <c r="B209" s="288" t="s">
        <v>72</v>
      </c>
      <c r="C209" s="353"/>
      <c r="D209" s="353"/>
      <c r="E209" s="353"/>
      <c r="F209" s="353"/>
      <c r="G209" s="330"/>
      <c r="H209" s="330"/>
      <c r="I209" s="330"/>
      <c r="J209" s="330"/>
      <c r="K209" s="330"/>
      <c r="L209" s="330"/>
      <c r="M209" s="330"/>
      <c r="N209" s="330"/>
      <c r="O209" s="330"/>
      <c r="P209" s="330"/>
      <c r="Q209" s="330"/>
      <c r="R209" s="330"/>
      <c r="S209" s="330"/>
      <c r="T209" s="321">
        <f>T207-T208</f>
        <v>-4.9799999999999983E-3</v>
      </c>
      <c r="U209" s="288"/>
      <c r="V209" s="288"/>
      <c r="W209" s="291"/>
      <c r="X209" s="5"/>
    </row>
    <row r="210" spans="1:24" ht="15.6" x14ac:dyDescent="0.3">
      <c r="A210" s="352"/>
      <c r="B210" s="288" t="s">
        <v>73</v>
      </c>
      <c r="C210" s="353"/>
      <c r="D210" s="353"/>
      <c r="E210" s="353"/>
      <c r="F210" s="353"/>
      <c r="G210" s="330"/>
      <c r="H210" s="330"/>
      <c r="I210" s="330"/>
      <c r="J210" s="330"/>
      <c r="K210" s="330"/>
      <c r="L210" s="330"/>
      <c r="M210" s="330"/>
      <c r="N210" s="330"/>
      <c r="O210" s="330"/>
      <c r="P210" s="330"/>
      <c r="Q210" s="330"/>
      <c r="R210" s="330"/>
      <c r="S210" s="330"/>
      <c r="T210" s="321">
        <v>2.5819999999999999E-2</v>
      </c>
      <c r="U210" s="288"/>
      <c r="V210" s="288"/>
      <c r="W210" s="291"/>
      <c r="X210" s="5"/>
    </row>
    <row r="211" spans="1:24" ht="15.6" x14ac:dyDescent="0.3">
      <c r="A211" s="352"/>
      <c r="B211" s="288" t="s">
        <v>219</v>
      </c>
      <c r="C211" s="353"/>
      <c r="D211" s="353"/>
      <c r="E211" s="353"/>
      <c r="F211" s="353"/>
      <c r="G211" s="330"/>
      <c r="H211" s="330"/>
      <c r="I211" s="330"/>
      <c r="J211" s="330"/>
      <c r="K211" s="330"/>
      <c r="L211" s="330"/>
      <c r="M211" s="330"/>
      <c r="N211" s="330"/>
      <c r="O211" s="330"/>
      <c r="P211" s="330"/>
      <c r="Q211" s="330"/>
      <c r="R211" s="330"/>
      <c r="S211" s="330"/>
      <c r="T211" s="321">
        <f>V43</f>
        <v>9.6947945425883263E-3</v>
      </c>
      <c r="U211" s="288"/>
      <c r="V211" s="288"/>
      <c r="W211" s="291"/>
      <c r="X211" s="5"/>
    </row>
    <row r="212" spans="1:24" ht="15.6" x14ac:dyDescent="0.3">
      <c r="A212" s="352"/>
      <c r="B212" s="288" t="s">
        <v>74</v>
      </c>
      <c r="C212" s="353"/>
      <c r="D212" s="353"/>
      <c r="E212" s="353"/>
      <c r="F212" s="353"/>
      <c r="G212" s="330"/>
      <c r="H212" s="330"/>
      <c r="I212" s="330"/>
      <c r="J212" s="330"/>
      <c r="K212" s="330"/>
      <c r="L212" s="330"/>
      <c r="M212" s="330"/>
      <c r="N212" s="330"/>
      <c r="O212" s="330"/>
      <c r="P212" s="330"/>
      <c r="Q212" s="330"/>
      <c r="R212" s="330"/>
      <c r="S212" s="330"/>
      <c r="T212" s="321">
        <f>T210-T211</f>
        <v>1.6125205457411675E-2</v>
      </c>
      <c r="U212" s="288"/>
      <c r="V212" s="288"/>
      <c r="W212" s="291"/>
      <c r="X212" s="5"/>
    </row>
    <row r="213" spans="1:24" ht="15.6" x14ac:dyDescent="0.3">
      <c r="A213" s="352"/>
      <c r="B213" s="288" t="s">
        <v>242</v>
      </c>
      <c r="C213" s="353"/>
      <c r="D213" s="353"/>
      <c r="E213" s="353"/>
      <c r="F213" s="353"/>
      <c r="G213" s="330"/>
      <c r="H213" s="330"/>
      <c r="I213" s="330"/>
      <c r="J213" s="330"/>
      <c r="K213" s="330"/>
      <c r="L213" s="330"/>
      <c r="M213" s="330"/>
      <c r="N213" s="330"/>
      <c r="O213" s="330"/>
      <c r="P213" s="330"/>
      <c r="Q213" s="330"/>
      <c r="R213" s="330"/>
      <c r="S213" s="330"/>
      <c r="T213" s="321">
        <f>V101/N71</f>
        <v>6.5725946509204583E-3</v>
      </c>
      <c r="U213" s="288"/>
      <c r="V213" s="288"/>
      <c r="W213" s="291"/>
      <c r="X213" s="5"/>
    </row>
    <row r="214" spans="1:24" ht="15.6" x14ac:dyDescent="0.3">
      <c r="A214" s="352"/>
      <c r="B214" s="288" t="s">
        <v>208</v>
      </c>
      <c r="C214" s="353"/>
      <c r="D214" s="353"/>
      <c r="E214" s="353"/>
      <c r="F214" s="353"/>
      <c r="G214" s="330"/>
      <c r="H214" s="330"/>
      <c r="I214" s="330"/>
      <c r="J214" s="330"/>
      <c r="K214" s="330"/>
      <c r="L214" s="330"/>
      <c r="M214" s="330"/>
      <c r="N214" s="330"/>
      <c r="O214" s="330"/>
      <c r="P214" s="330"/>
      <c r="Q214" s="330"/>
      <c r="R214" s="330"/>
      <c r="S214" s="330"/>
      <c r="T214" s="354">
        <v>51014</v>
      </c>
      <c r="U214" s="288"/>
      <c r="V214" s="288"/>
      <c r="W214" s="291"/>
      <c r="X214" s="5"/>
    </row>
    <row r="215" spans="1:24" ht="15.6" x14ac:dyDescent="0.3">
      <c r="A215" s="352"/>
      <c r="B215" s="288" t="s">
        <v>209</v>
      </c>
      <c r="C215" s="353"/>
      <c r="D215" s="353"/>
      <c r="E215" s="353"/>
      <c r="F215" s="353"/>
      <c r="G215" s="330"/>
      <c r="H215" s="330"/>
      <c r="I215" s="330"/>
      <c r="J215" s="330"/>
      <c r="K215" s="330"/>
      <c r="L215" s="330"/>
      <c r="M215" s="330"/>
      <c r="N215" s="330"/>
      <c r="O215" s="330"/>
      <c r="P215" s="330"/>
      <c r="Q215" s="330"/>
      <c r="R215" s="330"/>
      <c r="S215" s="330"/>
      <c r="T215" s="354">
        <v>51014</v>
      </c>
      <c r="U215" s="288"/>
      <c r="V215" s="288"/>
      <c r="W215" s="291"/>
      <c r="X215" s="5"/>
    </row>
    <row r="216" spans="1:24" ht="15.6" x14ac:dyDescent="0.3">
      <c r="A216" s="352"/>
      <c r="B216" s="288" t="s">
        <v>210</v>
      </c>
      <c r="C216" s="353"/>
      <c r="D216" s="353"/>
      <c r="E216" s="353"/>
      <c r="F216" s="353"/>
      <c r="G216" s="330"/>
      <c r="H216" s="330"/>
      <c r="I216" s="330"/>
      <c r="J216" s="330"/>
      <c r="K216" s="330"/>
      <c r="L216" s="330"/>
      <c r="M216" s="330"/>
      <c r="N216" s="330"/>
      <c r="O216" s="330"/>
      <c r="P216" s="330"/>
      <c r="Q216" s="330"/>
      <c r="R216" s="330"/>
      <c r="S216" s="330"/>
      <c r="T216" s="354">
        <v>51014</v>
      </c>
      <c r="U216" s="288"/>
      <c r="V216" s="288"/>
      <c r="W216" s="291"/>
      <c r="X216" s="5"/>
    </row>
    <row r="217" spans="1:24" ht="15.6" x14ac:dyDescent="0.3">
      <c r="A217" s="352"/>
      <c r="B217" s="288" t="s">
        <v>75</v>
      </c>
      <c r="C217" s="353"/>
      <c r="D217" s="353"/>
      <c r="E217" s="353"/>
      <c r="F217" s="353"/>
      <c r="G217" s="330"/>
      <c r="H217" s="330"/>
      <c r="I217" s="330"/>
      <c r="J217" s="330"/>
      <c r="K217" s="330"/>
      <c r="L217" s="330"/>
      <c r="M217" s="330"/>
      <c r="N217" s="330"/>
      <c r="O217" s="330"/>
      <c r="P217" s="330"/>
      <c r="Q217" s="330"/>
      <c r="R217" s="330"/>
      <c r="S217" s="330"/>
      <c r="T217" s="327">
        <v>20.66</v>
      </c>
      <c r="U217" s="288" t="s">
        <v>110</v>
      </c>
      <c r="V217" s="288"/>
      <c r="W217" s="291"/>
      <c r="X217" s="5"/>
    </row>
    <row r="218" spans="1:24" ht="15.6" x14ac:dyDescent="0.3">
      <c r="A218" s="352"/>
      <c r="B218" s="288" t="s">
        <v>76</v>
      </c>
      <c r="C218" s="353"/>
      <c r="D218" s="353"/>
      <c r="E218" s="353"/>
      <c r="F218" s="353"/>
      <c r="G218" s="330"/>
      <c r="H218" s="330"/>
      <c r="I218" s="330"/>
      <c r="J218" s="330"/>
      <c r="K218" s="330"/>
      <c r="L218" s="330"/>
      <c r="M218" s="330"/>
      <c r="N218" s="330"/>
      <c r="O218" s="330"/>
      <c r="P218" s="330"/>
      <c r="Q218" s="330"/>
      <c r="R218" s="330"/>
      <c r="S218" s="330"/>
      <c r="T218" s="327">
        <v>17.12</v>
      </c>
      <c r="U218" s="288" t="s">
        <v>110</v>
      </c>
      <c r="V218" s="288"/>
      <c r="W218" s="291"/>
      <c r="X218" s="5"/>
    </row>
    <row r="219" spans="1:24" ht="15.6" x14ac:dyDescent="0.3">
      <c r="A219" s="352"/>
      <c r="B219" s="288" t="s">
        <v>77</v>
      </c>
      <c r="C219" s="353"/>
      <c r="D219" s="353"/>
      <c r="E219" s="353"/>
      <c r="F219" s="353"/>
      <c r="G219" s="330"/>
      <c r="H219" s="330"/>
      <c r="I219" s="330"/>
      <c r="J219" s="330"/>
      <c r="K219" s="330"/>
      <c r="L219" s="330"/>
      <c r="M219" s="330"/>
      <c r="N219" s="330"/>
      <c r="O219" s="330"/>
      <c r="P219" s="330"/>
      <c r="Q219" s="330"/>
      <c r="R219" s="330"/>
      <c r="S219" s="330"/>
      <c r="T219" s="321">
        <f>+P68/N68</f>
        <v>5.4428621048975339E-3</v>
      </c>
      <c r="U219" s="288"/>
      <c r="V219" s="288"/>
      <c r="W219" s="291"/>
      <c r="X219" s="5"/>
    </row>
    <row r="220" spans="1:24" ht="15.6" x14ac:dyDescent="0.3">
      <c r="A220" s="352"/>
      <c r="B220" s="288" t="s">
        <v>78</v>
      </c>
      <c r="C220" s="353"/>
      <c r="D220" s="353"/>
      <c r="E220" s="353"/>
      <c r="F220" s="353"/>
      <c r="G220" s="330"/>
      <c r="H220" s="330"/>
      <c r="I220" s="330"/>
      <c r="J220" s="330"/>
      <c r="K220" s="330"/>
      <c r="L220" s="330"/>
      <c r="M220" s="330"/>
      <c r="N220" s="330"/>
      <c r="O220" s="330"/>
      <c r="P220" s="330"/>
      <c r="Q220" s="330"/>
      <c r="R220" s="330"/>
      <c r="S220" s="330"/>
      <c r="T220" s="321">
        <v>6.7000000000000004E-2</v>
      </c>
      <c r="U220" s="288"/>
      <c r="V220" s="288"/>
      <c r="W220" s="291"/>
      <c r="X220" s="5"/>
    </row>
    <row r="221" spans="1:24" ht="15.6" x14ac:dyDescent="0.3">
      <c r="A221" s="217"/>
      <c r="B221" s="284"/>
      <c r="C221" s="284"/>
      <c r="D221" s="284"/>
      <c r="E221" s="284"/>
      <c r="F221" s="284"/>
      <c r="G221" s="284"/>
      <c r="H221" s="284"/>
      <c r="I221" s="284"/>
      <c r="J221" s="284"/>
      <c r="K221" s="284"/>
      <c r="L221" s="284"/>
      <c r="M221" s="284"/>
      <c r="N221" s="284"/>
      <c r="O221" s="284"/>
      <c r="P221" s="284"/>
      <c r="Q221" s="284"/>
      <c r="R221" s="284"/>
      <c r="S221" s="284"/>
      <c r="T221" s="349"/>
      <c r="U221" s="284"/>
      <c r="V221" s="351"/>
      <c r="W221" s="284"/>
      <c r="X221" s="5"/>
    </row>
    <row r="222" spans="1:24" ht="15.6" x14ac:dyDescent="0.3">
      <c r="A222" s="278"/>
      <c r="B222" s="399" t="s">
        <v>79</v>
      </c>
      <c r="C222" s="400"/>
      <c r="D222" s="400"/>
      <c r="E222" s="400"/>
      <c r="F222" s="406"/>
      <c r="G222" s="400"/>
      <c r="H222" s="400"/>
      <c r="I222" s="400"/>
      <c r="J222" s="400"/>
      <c r="K222" s="400"/>
      <c r="L222" s="400"/>
      <c r="M222" s="400"/>
      <c r="N222" s="400"/>
      <c r="O222" s="400"/>
      <c r="P222" s="400"/>
      <c r="Q222" s="400"/>
      <c r="R222" s="400"/>
      <c r="S222" s="400" t="s">
        <v>102</v>
      </c>
      <c r="T222" s="406" t="s">
        <v>108</v>
      </c>
      <c r="U222" s="263"/>
      <c r="V222" s="263"/>
      <c r="W222" s="263"/>
      <c r="X222" s="5"/>
    </row>
    <row r="223" spans="1:24" ht="15.6" x14ac:dyDescent="0.3">
      <c r="A223" s="218"/>
      <c r="B223" s="231" t="s">
        <v>80</v>
      </c>
      <c r="C223" s="234"/>
      <c r="D223" s="234"/>
      <c r="E223" s="234"/>
      <c r="F223" s="231"/>
      <c r="G223" s="231"/>
      <c r="H223" s="233"/>
      <c r="I223" s="233"/>
      <c r="J223" s="233"/>
      <c r="K223" s="233"/>
      <c r="L223" s="233"/>
      <c r="M223" s="233"/>
      <c r="N223" s="233"/>
      <c r="O223" s="233"/>
      <c r="P223" s="233"/>
      <c r="Q223" s="233"/>
      <c r="R223" s="233"/>
      <c r="S223" s="233">
        <v>2</v>
      </c>
      <c r="T223" s="251">
        <v>486</v>
      </c>
      <c r="U223" s="231"/>
      <c r="V223" s="250"/>
      <c r="W223" s="252"/>
      <c r="X223" s="5"/>
    </row>
    <row r="224" spans="1:24" ht="15.6" x14ac:dyDescent="0.3">
      <c r="A224" s="362"/>
      <c r="B224" s="288" t="s">
        <v>145</v>
      </c>
      <c r="C224" s="337"/>
      <c r="D224" s="337"/>
      <c r="E224" s="337"/>
      <c r="F224" s="288"/>
      <c r="G224" s="288"/>
      <c r="H224" s="296"/>
      <c r="I224" s="296"/>
      <c r="J224" s="296"/>
      <c r="K224" s="296"/>
      <c r="L224" s="296"/>
      <c r="M224" s="296"/>
      <c r="N224" s="296"/>
      <c r="O224" s="296"/>
      <c r="P224" s="296"/>
      <c r="Q224" s="296"/>
      <c r="R224" s="296"/>
      <c r="S224" s="363">
        <f>+R276</f>
        <v>180</v>
      </c>
      <c r="T224" s="364">
        <f>+T276</f>
        <v>25382</v>
      </c>
      <c r="U224" s="288"/>
      <c r="V224" s="365"/>
      <c r="W224" s="366"/>
      <c r="X224" s="5"/>
    </row>
    <row r="225" spans="1:24" ht="15.6" x14ac:dyDescent="0.3">
      <c r="A225" s="362"/>
      <c r="B225" s="288" t="s">
        <v>81</v>
      </c>
      <c r="C225" s="337"/>
      <c r="D225" s="337"/>
      <c r="E225" s="337"/>
      <c r="F225" s="288"/>
      <c r="G225" s="288"/>
      <c r="H225" s="296"/>
      <c r="I225" s="296"/>
      <c r="J225" s="296"/>
      <c r="K225" s="296"/>
      <c r="L225" s="296"/>
      <c r="M225" s="296"/>
      <c r="N225" s="296"/>
      <c r="O225" s="296"/>
      <c r="P225" s="296"/>
      <c r="Q225" s="296"/>
      <c r="R225" s="296"/>
      <c r="S225" s="363">
        <f>+R288</f>
        <v>0</v>
      </c>
      <c r="T225" s="364">
        <f>+T288</f>
        <v>0</v>
      </c>
      <c r="U225" s="288"/>
      <c r="V225" s="365"/>
      <c r="W225" s="366"/>
      <c r="X225" s="5"/>
    </row>
    <row r="226" spans="1:24" ht="15.6" x14ac:dyDescent="0.3">
      <c r="A226" s="362"/>
      <c r="B226" s="313" t="s">
        <v>82</v>
      </c>
      <c r="C226" s="367"/>
      <c r="D226" s="367"/>
      <c r="E226" s="367"/>
      <c r="F226" s="314"/>
      <c r="G226" s="314"/>
      <c r="H226" s="314"/>
      <c r="I226" s="314"/>
      <c r="J226" s="314"/>
      <c r="K226" s="314"/>
      <c r="L226" s="314"/>
      <c r="M226" s="314"/>
      <c r="N226" s="314"/>
      <c r="O226" s="314"/>
      <c r="P226" s="314"/>
      <c r="Q226" s="314"/>
      <c r="R226" s="314"/>
      <c r="S226" s="314"/>
      <c r="T226" s="364">
        <v>0</v>
      </c>
      <c r="U226" s="314"/>
      <c r="V226" s="369"/>
      <c r="W226" s="370"/>
      <c r="X226" s="5"/>
    </row>
    <row r="227" spans="1:24" ht="15.6" x14ac:dyDescent="0.3">
      <c r="A227" s="362"/>
      <c r="B227" s="313" t="s">
        <v>243</v>
      </c>
      <c r="C227" s="367"/>
      <c r="D227" s="367"/>
      <c r="E227" s="367"/>
      <c r="F227" s="314"/>
      <c r="G227" s="314"/>
      <c r="H227" s="314"/>
      <c r="I227" s="314"/>
      <c r="J227" s="314"/>
      <c r="K227" s="314"/>
      <c r="L227" s="314"/>
      <c r="M227" s="314"/>
      <c r="N227" s="314"/>
      <c r="O227" s="314"/>
      <c r="P227" s="314"/>
      <c r="Q227" s="314"/>
      <c r="R227" s="314"/>
      <c r="S227" s="314"/>
      <c r="T227" s="364">
        <f>+N81</f>
        <v>0</v>
      </c>
      <c r="U227" s="314"/>
      <c r="V227" s="369"/>
      <c r="W227" s="370"/>
      <c r="X227" s="5"/>
    </row>
    <row r="228" spans="1:24" ht="15.6" x14ac:dyDescent="0.3">
      <c r="A228" s="371"/>
      <c r="B228" s="313" t="s">
        <v>83</v>
      </c>
      <c r="C228" s="372"/>
      <c r="D228" s="372"/>
      <c r="E228" s="372"/>
      <c r="F228" s="372"/>
      <c r="G228" s="314"/>
      <c r="H228" s="314"/>
      <c r="I228" s="314"/>
      <c r="J228" s="314"/>
      <c r="K228" s="314"/>
      <c r="L228" s="314"/>
      <c r="M228" s="314"/>
      <c r="N228" s="314"/>
      <c r="O228" s="314"/>
      <c r="P228" s="314"/>
      <c r="Q228" s="314"/>
      <c r="R228" s="314"/>
      <c r="S228" s="314"/>
      <c r="T228" s="368"/>
      <c r="U228" s="314"/>
      <c r="V228" s="369"/>
      <c r="W228" s="373"/>
      <c r="X228" s="5"/>
    </row>
    <row r="229" spans="1:24" ht="15.6" x14ac:dyDescent="0.3">
      <c r="A229" s="371"/>
      <c r="B229" s="288" t="s">
        <v>84</v>
      </c>
      <c r="C229" s="288"/>
      <c r="D229" s="288"/>
      <c r="E229" s="288"/>
      <c r="F229" s="288"/>
      <c r="G229" s="288"/>
      <c r="H229" s="288"/>
      <c r="I229" s="288"/>
      <c r="J229" s="288"/>
      <c r="K229" s="288"/>
      <c r="L229" s="288"/>
      <c r="M229" s="288"/>
      <c r="N229" s="288"/>
      <c r="O229" s="288"/>
      <c r="P229" s="288"/>
      <c r="Q229" s="288"/>
      <c r="R229" s="288"/>
      <c r="S229" s="296"/>
      <c r="T229" s="364">
        <f>V167</f>
        <v>179</v>
      </c>
      <c r="U229" s="288"/>
      <c r="V229" s="365"/>
      <c r="W229" s="378"/>
      <c r="X229" s="5"/>
    </row>
    <row r="230" spans="1:24" ht="15.6" x14ac:dyDescent="0.3">
      <c r="A230" s="362"/>
      <c r="B230" s="288" t="s">
        <v>85</v>
      </c>
      <c r="C230" s="337"/>
      <c r="D230" s="337"/>
      <c r="E230" s="337"/>
      <c r="F230" s="337"/>
      <c r="G230" s="288"/>
      <c r="H230" s="288"/>
      <c r="I230" s="288"/>
      <c r="J230" s="288"/>
      <c r="K230" s="288"/>
      <c r="L230" s="288"/>
      <c r="M230" s="288"/>
      <c r="N230" s="288"/>
      <c r="O230" s="288"/>
      <c r="P230" s="288"/>
      <c r="Q230" s="288"/>
      <c r="R230" s="288"/>
      <c r="S230" s="296"/>
      <c r="T230" s="364">
        <f>'Feb 11'!T230+T229</f>
        <v>2957</v>
      </c>
      <c r="U230" s="288"/>
      <c r="V230" s="365"/>
      <c r="W230" s="378"/>
      <c r="X230" s="5"/>
    </row>
    <row r="231" spans="1:24" ht="15.6" x14ac:dyDescent="0.3">
      <c r="A231" s="371"/>
      <c r="B231" s="313" t="s">
        <v>295</v>
      </c>
      <c r="C231" s="372"/>
      <c r="D231" s="372"/>
      <c r="E231" s="372"/>
      <c r="F231" s="372"/>
      <c r="G231" s="314"/>
      <c r="H231" s="314"/>
      <c r="I231" s="314"/>
      <c r="J231" s="314"/>
      <c r="K231" s="314"/>
      <c r="L231" s="314"/>
      <c r="M231" s="314"/>
      <c r="N231" s="314"/>
      <c r="O231" s="314"/>
      <c r="P231" s="314"/>
      <c r="Q231" s="314"/>
      <c r="R231" s="314"/>
      <c r="S231" s="316"/>
      <c r="T231" s="368"/>
      <c r="U231" s="314"/>
      <c r="V231" s="369"/>
      <c r="W231" s="373"/>
      <c r="X231" s="5"/>
    </row>
    <row r="232" spans="1:24" ht="15.6" x14ac:dyDescent="0.3">
      <c r="A232" s="371"/>
      <c r="B232" s="288" t="s">
        <v>291</v>
      </c>
      <c r="C232" s="288"/>
      <c r="D232" s="288"/>
      <c r="E232" s="288"/>
      <c r="F232" s="288"/>
      <c r="G232" s="288"/>
      <c r="H232" s="288"/>
      <c r="I232" s="288"/>
      <c r="J232" s="288"/>
      <c r="K232" s="288"/>
      <c r="L232" s="288"/>
      <c r="M232" s="288"/>
      <c r="N232" s="288"/>
      <c r="O232" s="288"/>
      <c r="P232" s="288"/>
      <c r="Q232" s="288"/>
      <c r="R232" s="288"/>
      <c r="S232" s="296">
        <v>0</v>
      </c>
      <c r="T232" s="364">
        <v>0</v>
      </c>
      <c r="U232" s="288"/>
      <c r="V232" s="365"/>
      <c r="W232" s="378"/>
      <c r="X232" s="5"/>
    </row>
    <row r="233" spans="1:24" ht="15.6" x14ac:dyDescent="0.3">
      <c r="A233" s="362"/>
      <c r="B233" s="288" t="s">
        <v>86</v>
      </c>
      <c r="C233" s="325"/>
      <c r="D233" s="325"/>
      <c r="E233" s="325"/>
      <c r="F233" s="379"/>
      <c r="G233" s="288"/>
      <c r="H233" s="288"/>
      <c r="I233" s="288"/>
      <c r="J233" s="288"/>
      <c r="K233" s="288"/>
      <c r="L233" s="288"/>
      <c r="M233" s="288"/>
      <c r="N233" s="288"/>
      <c r="O233" s="288"/>
      <c r="P233" s="288"/>
      <c r="Q233" s="288"/>
      <c r="R233" s="288"/>
      <c r="S233" s="288"/>
      <c r="T233" s="380">
        <v>0</v>
      </c>
      <c r="U233" s="288"/>
      <c r="V233" s="365"/>
      <c r="W233" s="378"/>
      <c r="X233" s="5"/>
    </row>
    <row r="234" spans="1:24" ht="15.6" x14ac:dyDescent="0.3">
      <c r="A234" s="362"/>
      <c r="B234" s="288" t="s">
        <v>87</v>
      </c>
      <c r="C234" s="325"/>
      <c r="D234" s="325"/>
      <c r="E234" s="325"/>
      <c r="F234" s="379"/>
      <c r="G234" s="288"/>
      <c r="H234" s="288"/>
      <c r="I234" s="288"/>
      <c r="J234" s="288"/>
      <c r="K234" s="288"/>
      <c r="L234" s="288"/>
      <c r="M234" s="288"/>
      <c r="N234" s="288"/>
      <c r="O234" s="288"/>
      <c r="P234" s="288"/>
      <c r="Q234" s="288"/>
      <c r="R234" s="288"/>
      <c r="S234" s="288"/>
      <c r="T234" s="380">
        <v>0</v>
      </c>
      <c r="U234" s="288"/>
      <c r="V234" s="365"/>
      <c r="W234" s="378"/>
      <c r="X234" s="5"/>
    </row>
    <row r="235" spans="1:24" ht="15.6" x14ac:dyDescent="0.3">
      <c r="A235" s="362"/>
      <c r="B235" s="313" t="s">
        <v>217</v>
      </c>
      <c r="C235" s="381"/>
      <c r="D235" s="381"/>
      <c r="E235" s="381"/>
      <c r="F235" s="382"/>
      <c r="G235" s="314"/>
      <c r="H235" s="314"/>
      <c r="I235" s="314"/>
      <c r="J235" s="314"/>
      <c r="K235" s="314"/>
      <c r="L235" s="314"/>
      <c r="M235" s="314"/>
      <c r="N235" s="314"/>
      <c r="O235" s="314"/>
      <c r="P235" s="314"/>
      <c r="Q235" s="314"/>
      <c r="R235" s="314"/>
      <c r="S235" s="314"/>
      <c r="T235" s="383"/>
      <c r="U235" s="314"/>
      <c r="V235" s="369"/>
      <c r="W235" s="373"/>
      <c r="X235" s="5"/>
    </row>
    <row r="236" spans="1:24" ht="15.6" x14ac:dyDescent="0.3">
      <c r="A236" s="362"/>
      <c r="B236" s="288" t="s">
        <v>291</v>
      </c>
      <c r="C236" s="381"/>
      <c r="D236" s="381"/>
      <c r="E236" s="381"/>
      <c r="F236" s="382"/>
      <c r="G236" s="314"/>
      <c r="H236" s="314"/>
      <c r="I236" s="314"/>
      <c r="J236" s="314"/>
      <c r="K236" s="314"/>
      <c r="L236" s="314"/>
      <c r="M236" s="314"/>
      <c r="N236" s="314"/>
      <c r="O236" s="314"/>
      <c r="P236" s="314"/>
      <c r="Q236" s="314"/>
      <c r="R236" s="314"/>
      <c r="S236" s="296">
        <v>3</v>
      </c>
      <c r="T236" s="364">
        <v>430</v>
      </c>
      <c r="U236" s="314"/>
      <c r="V236" s="369"/>
      <c r="W236" s="373"/>
      <c r="X236" s="5"/>
    </row>
    <row r="237" spans="1:24" ht="15.6" x14ac:dyDescent="0.3">
      <c r="A237" s="362"/>
      <c r="B237" s="288" t="s">
        <v>218</v>
      </c>
      <c r="C237" s="381"/>
      <c r="D237" s="381"/>
      <c r="E237" s="381"/>
      <c r="F237" s="382"/>
      <c r="G237" s="314"/>
      <c r="H237" s="314"/>
      <c r="I237" s="314"/>
      <c r="J237" s="314"/>
      <c r="K237" s="314"/>
      <c r="L237" s="314"/>
      <c r="M237" s="314"/>
      <c r="N237" s="314"/>
      <c r="O237" s="314"/>
      <c r="P237" s="314"/>
      <c r="Q237" s="314"/>
      <c r="R237" s="314"/>
      <c r="S237" s="288"/>
      <c r="T237" s="380">
        <v>15.23</v>
      </c>
      <c r="U237" s="314"/>
      <c r="V237" s="369"/>
      <c r="W237" s="373"/>
      <c r="X237" s="5"/>
    </row>
    <row r="238" spans="1:24" ht="15.6" x14ac:dyDescent="0.3">
      <c r="A238" s="362"/>
      <c r="B238" s="372"/>
      <c r="C238" s="381"/>
      <c r="D238" s="381"/>
      <c r="E238" s="381"/>
      <c r="F238" s="382"/>
      <c r="G238" s="314"/>
      <c r="H238" s="314"/>
      <c r="I238" s="314"/>
      <c r="J238" s="314"/>
      <c r="K238" s="314"/>
      <c r="L238" s="314"/>
      <c r="M238" s="314"/>
      <c r="N238" s="314"/>
      <c r="O238" s="314"/>
      <c r="P238" s="314"/>
      <c r="Q238" s="314"/>
      <c r="R238" s="314"/>
      <c r="S238" s="314"/>
      <c r="T238" s="383"/>
      <c r="U238" s="314"/>
      <c r="V238" s="369"/>
      <c r="W238" s="373"/>
      <c r="X238" s="5"/>
    </row>
    <row r="239" spans="1:24" ht="15.6" x14ac:dyDescent="0.3">
      <c r="A239" s="362"/>
      <c r="B239" s="372"/>
      <c r="C239" s="381"/>
      <c r="D239" s="381"/>
      <c r="E239" s="381"/>
      <c r="F239" s="382"/>
      <c r="G239" s="314"/>
      <c r="H239" s="314"/>
      <c r="I239" s="314"/>
      <c r="J239" s="314"/>
      <c r="K239" s="314"/>
      <c r="L239" s="314"/>
      <c r="M239" s="314"/>
      <c r="N239" s="314"/>
      <c r="O239" s="314"/>
      <c r="P239" s="314"/>
      <c r="Q239" s="314"/>
      <c r="R239" s="314"/>
      <c r="S239" s="314"/>
      <c r="T239" s="383"/>
      <c r="U239" s="314"/>
      <c r="V239" s="369"/>
      <c r="W239" s="373"/>
      <c r="X239" s="5"/>
    </row>
    <row r="240" spans="1:24" ht="17.399999999999999" x14ac:dyDescent="0.3">
      <c r="A240" s="362"/>
      <c r="B240" s="384" t="s">
        <v>168</v>
      </c>
      <c r="C240" s="381"/>
      <c r="D240" s="381"/>
      <c r="E240" s="381"/>
      <c r="F240" s="382"/>
      <c r="G240" s="314"/>
      <c r="H240" s="314"/>
      <c r="I240" s="314"/>
      <c r="J240" s="314"/>
      <c r="K240" s="314"/>
      <c r="L240" s="314"/>
      <c r="M240" s="314"/>
      <c r="N240" s="314"/>
      <c r="O240" s="314"/>
      <c r="P240" s="385" t="s">
        <v>167</v>
      </c>
      <c r="Q240" s="314"/>
      <c r="R240" s="314"/>
      <c r="S240" s="314"/>
      <c r="T240" s="383"/>
      <c r="U240" s="314"/>
      <c r="V240" s="369"/>
      <c r="W240" s="373"/>
      <c r="X240" s="5"/>
    </row>
    <row r="241" spans="1:25" ht="15.6" x14ac:dyDescent="0.3">
      <c r="A241" s="355"/>
      <c r="B241" s="356"/>
      <c r="C241" s="357"/>
      <c r="D241" s="357"/>
      <c r="E241" s="357"/>
      <c r="F241" s="358"/>
      <c r="G241" s="198"/>
      <c r="H241" s="198"/>
      <c r="I241" s="198"/>
      <c r="J241" s="198"/>
      <c r="K241" s="198"/>
      <c r="L241" s="198"/>
      <c r="M241" s="198"/>
      <c r="N241" s="198"/>
      <c r="O241" s="198"/>
      <c r="P241" s="198"/>
      <c r="Q241" s="198"/>
      <c r="R241" s="198"/>
      <c r="S241" s="198"/>
      <c r="T241" s="359"/>
      <c r="U241" s="198"/>
      <c r="V241" s="360"/>
      <c r="W241" s="361"/>
      <c r="X241" s="5"/>
    </row>
    <row r="242" spans="1:25" ht="15.6" x14ac:dyDescent="0.3">
      <c r="A242" s="262"/>
      <c r="B242" s="399" t="s">
        <v>308</v>
      </c>
      <c r="C242" s="400"/>
      <c r="D242" s="400"/>
      <c r="E242" s="400"/>
      <c r="F242" s="406"/>
      <c r="G242" s="400"/>
      <c r="H242" s="400"/>
      <c r="I242" s="400"/>
      <c r="J242" s="400"/>
      <c r="K242" s="400"/>
      <c r="L242" s="400"/>
      <c r="M242" s="400"/>
      <c r="N242" s="400"/>
      <c r="O242" s="400"/>
      <c r="P242" s="400"/>
      <c r="Q242" s="400"/>
      <c r="R242" s="406" t="s">
        <v>102</v>
      </c>
      <c r="S242" s="400" t="s">
        <v>103</v>
      </c>
      <c r="T242" s="406" t="s">
        <v>109</v>
      </c>
      <c r="U242" s="400" t="s">
        <v>103</v>
      </c>
      <c r="V242" s="263"/>
      <c r="W242" s="399"/>
      <c r="X242" s="5"/>
    </row>
    <row r="243" spans="1:25" ht="15.6" x14ac:dyDescent="0.3">
      <c r="A243" s="197"/>
      <c r="B243" s="234" t="s">
        <v>88</v>
      </c>
      <c r="C243" s="253"/>
      <c r="D243" s="253"/>
      <c r="E243" s="253"/>
      <c r="F243" s="231"/>
      <c r="G243" s="253"/>
      <c r="H243" s="253"/>
      <c r="I243" s="253"/>
      <c r="J243" s="253"/>
      <c r="K243" s="253"/>
      <c r="L243" s="253"/>
      <c r="M243" s="253"/>
      <c r="N243" s="253"/>
      <c r="O243" s="253"/>
      <c r="P243" s="253"/>
      <c r="Q243" s="253"/>
      <c r="R243" s="234">
        <f t="shared" ref="R243:R250" si="1">+R255+R267+R279</f>
        <v>7987</v>
      </c>
      <c r="S243" s="254">
        <f t="shared" ref="S243:S250" si="2">R243/$R$252</f>
        <v>0.98410547067520948</v>
      </c>
      <c r="T243" s="241">
        <f t="shared" ref="T243:T250" si="3">+T255+T267+T279</f>
        <v>1124949</v>
      </c>
      <c r="U243" s="254">
        <f t="shared" ref="U243:U250" si="4">T243/$T$252</f>
        <v>0.98193335294379502</v>
      </c>
      <c r="V243" s="250"/>
      <c r="W243" s="232"/>
      <c r="X243" s="5"/>
    </row>
    <row r="244" spans="1:25" ht="15.6" x14ac:dyDescent="0.3">
      <c r="A244" s="287"/>
      <c r="B244" s="337" t="s">
        <v>89</v>
      </c>
      <c r="C244" s="389"/>
      <c r="D244" s="389"/>
      <c r="E244" s="389"/>
      <c r="F244" s="288"/>
      <c r="G244" s="390"/>
      <c r="H244" s="389"/>
      <c r="I244" s="389"/>
      <c r="J244" s="389"/>
      <c r="K244" s="389"/>
      <c r="L244" s="389"/>
      <c r="M244" s="389"/>
      <c r="N244" s="389"/>
      <c r="O244" s="389"/>
      <c r="P244" s="389"/>
      <c r="Q244" s="389"/>
      <c r="R244" s="337">
        <f t="shared" si="1"/>
        <v>48</v>
      </c>
      <c r="S244" s="390">
        <f t="shared" si="2"/>
        <v>5.9142434696895022E-3</v>
      </c>
      <c r="T244" s="338">
        <f t="shared" si="3"/>
        <v>9515</v>
      </c>
      <c r="U244" s="390">
        <f t="shared" si="4"/>
        <v>8.3053506010140991E-3</v>
      </c>
      <c r="V244" s="365"/>
      <c r="W244" s="378"/>
      <c r="X244" s="5"/>
      <c r="Y244" s="109"/>
    </row>
    <row r="245" spans="1:25" ht="15.6" x14ac:dyDescent="0.3">
      <c r="A245" s="287"/>
      <c r="B245" s="337" t="s">
        <v>90</v>
      </c>
      <c r="C245" s="389"/>
      <c r="D245" s="389"/>
      <c r="E245" s="389"/>
      <c r="F245" s="288"/>
      <c r="G245" s="390"/>
      <c r="H245" s="389"/>
      <c r="I245" s="389"/>
      <c r="J245" s="389"/>
      <c r="K245" s="389"/>
      <c r="L245" s="389"/>
      <c r="M245" s="389"/>
      <c r="N245" s="389"/>
      <c r="O245" s="389"/>
      <c r="P245" s="389"/>
      <c r="Q245" s="389"/>
      <c r="R245" s="337">
        <f t="shared" si="1"/>
        <v>25</v>
      </c>
      <c r="S245" s="390">
        <f t="shared" si="2"/>
        <v>3.0803351404632825E-3</v>
      </c>
      <c r="T245" s="338">
        <f t="shared" si="3"/>
        <v>3368</v>
      </c>
      <c r="U245" s="390">
        <f t="shared" si="4"/>
        <v>2.93982352330168E-3</v>
      </c>
      <c r="V245" s="365"/>
      <c r="W245" s="378"/>
      <c r="X245" s="5"/>
    </row>
    <row r="246" spans="1:25" ht="15.6" x14ac:dyDescent="0.3">
      <c r="A246" s="287"/>
      <c r="B246" s="337" t="s">
        <v>156</v>
      </c>
      <c r="C246" s="389"/>
      <c r="D246" s="389"/>
      <c r="E246" s="389"/>
      <c r="F246" s="288"/>
      <c r="G246" s="390"/>
      <c r="H246" s="389"/>
      <c r="I246" s="389"/>
      <c r="J246" s="389"/>
      <c r="K246" s="389"/>
      <c r="L246" s="389"/>
      <c r="M246" s="389"/>
      <c r="N246" s="389"/>
      <c r="O246" s="389"/>
      <c r="P246" s="389"/>
      <c r="Q246" s="389"/>
      <c r="R246" s="337">
        <f t="shared" si="1"/>
        <v>8</v>
      </c>
      <c r="S246" s="390">
        <f t="shared" si="2"/>
        <v>9.8570724494825043E-4</v>
      </c>
      <c r="T246" s="338">
        <f t="shared" si="3"/>
        <v>952</v>
      </c>
      <c r="U246" s="390">
        <f t="shared" si="4"/>
        <v>8.3097149470997612E-4</v>
      </c>
      <c r="V246" s="365"/>
      <c r="W246" s="378"/>
      <c r="X246" s="5"/>
      <c r="Y246" s="109"/>
    </row>
    <row r="247" spans="1:25" ht="15.6" x14ac:dyDescent="0.3">
      <c r="A247" s="287"/>
      <c r="B247" s="337" t="s">
        <v>157</v>
      </c>
      <c r="C247" s="389"/>
      <c r="D247" s="389"/>
      <c r="E247" s="389"/>
      <c r="F247" s="288"/>
      <c r="G247" s="390"/>
      <c r="H247" s="389"/>
      <c r="I247" s="389"/>
      <c r="J247" s="389"/>
      <c r="K247" s="389"/>
      <c r="L247" s="389"/>
      <c r="M247" s="389"/>
      <c r="N247" s="389"/>
      <c r="O247" s="389"/>
      <c r="P247" s="389"/>
      <c r="Q247" s="389"/>
      <c r="R247" s="337">
        <f t="shared" si="1"/>
        <v>3</v>
      </c>
      <c r="S247" s="390">
        <f t="shared" si="2"/>
        <v>3.6964021685559388E-4</v>
      </c>
      <c r="T247" s="338">
        <f t="shared" si="3"/>
        <v>269</v>
      </c>
      <c r="U247" s="390">
        <f t="shared" si="4"/>
        <v>2.3480181940859618E-4</v>
      </c>
      <c r="V247" s="365"/>
      <c r="W247" s="378"/>
      <c r="X247" s="5"/>
    </row>
    <row r="248" spans="1:25" ht="15.6" x14ac:dyDescent="0.3">
      <c r="A248" s="287"/>
      <c r="B248" s="337" t="s">
        <v>158</v>
      </c>
      <c r="C248" s="389"/>
      <c r="D248" s="389"/>
      <c r="E248" s="389"/>
      <c r="F248" s="288"/>
      <c r="G248" s="390"/>
      <c r="H248" s="389"/>
      <c r="I248" s="389"/>
      <c r="J248" s="389"/>
      <c r="K248" s="389"/>
      <c r="L248" s="389"/>
      <c r="M248" s="389"/>
      <c r="N248" s="389"/>
      <c r="O248" s="389"/>
      <c r="P248" s="389"/>
      <c r="Q248" s="389"/>
      <c r="R248" s="337">
        <f t="shared" si="1"/>
        <v>2</v>
      </c>
      <c r="S248" s="390">
        <f t="shared" si="2"/>
        <v>2.4642681123706261E-4</v>
      </c>
      <c r="T248" s="338">
        <f t="shared" si="3"/>
        <v>263</v>
      </c>
      <c r="U248" s="390">
        <f t="shared" si="4"/>
        <v>2.2956460410580222E-4</v>
      </c>
      <c r="V248" s="365"/>
      <c r="W248" s="378"/>
      <c r="X248" s="5"/>
      <c r="Y248" s="109"/>
    </row>
    <row r="249" spans="1:25" ht="15.6" x14ac:dyDescent="0.3">
      <c r="A249" s="287"/>
      <c r="B249" s="337" t="s">
        <v>159</v>
      </c>
      <c r="C249" s="389"/>
      <c r="D249" s="389"/>
      <c r="E249" s="389"/>
      <c r="F249" s="288"/>
      <c r="G249" s="390"/>
      <c r="H249" s="389"/>
      <c r="I249" s="389"/>
      <c r="J249" s="389"/>
      <c r="K249" s="389"/>
      <c r="L249" s="389"/>
      <c r="M249" s="389"/>
      <c r="N249" s="389"/>
      <c r="O249" s="389"/>
      <c r="P249" s="389"/>
      <c r="Q249" s="389"/>
      <c r="R249" s="337">
        <f t="shared" si="1"/>
        <v>21</v>
      </c>
      <c r="S249" s="390">
        <f t="shared" si="2"/>
        <v>2.5874815179891572E-3</v>
      </c>
      <c r="T249" s="338">
        <f t="shared" si="3"/>
        <v>2823</v>
      </c>
      <c r="U249" s="390">
        <f t="shared" si="4"/>
        <v>2.4641097999645615E-3</v>
      </c>
      <c r="V249" s="365"/>
      <c r="W249" s="378"/>
      <c r="X249" s="5"/>
    </row>
    <row r="250" spans="1:25" ht="15.6" x14ac:dyDescent="0.3">
      <c r="A250" s="287"/>
      <c r="B250" s="337" t="s">
        <v>160</v>
      </c>
      <c r="C250" s="389"/>
      <c r="D250" s="389"/>
      <c r="E250" s="389"/>
      <c r="F250" s="288"/>
      <c r="G250" s="390"/>
      <c r="H250" s="389"/>
      <c r="I250" s="389"/>
      <c r="J250" s="389"/>
      <c r="K250" s="389"/>
      <c r="L250" s="389"/>
      <c r="M250" s="389"/>
      <c r="N250" s="389"/>
      <c r="O250" s="389"/>
      <c r="P250" s="389"/>
      <c r="Q250" s="389"/>
      <c r="R250" s="339">
        <f t="shared" si="1"/>
        <v>22</v>
      </c>
      <c r="S250" s="393">
        <f t="shared" si="2"/>
        <v>2.7106949236076886E-3</v>
      </c>
      <c r="T250" s="394">
        <f t="shared" si="3"/>
        <v>3508</v>
      </c>
      <c r="U250" s="393">
        <f t="shared" si="4"/>
        <v>3.0620252137002059E-3</v>
      </c>
      <c r="V250" s="365"/>
      <c r="W250" s="378"/>
      <c r="X250" s="5"/>
      <c r="Y250" s="109"/>
    </row>
    <row r="251" spans="1:25" ht="15.6" x14ac:dyDescent="0.3">
      <c r="A251" s="287"/>
      <c r="B251" s="337"/>
      <c r="C251" s="389"/>
      <c r="D251" s="389"/>
      <c r="E251" s="389"/>
      <c r="F251" s="288"/>
      <c r="G251" s="390"/>
      <c r="H251" s="389"/>
      <c r="I251" s="389"/>
      <c r="J251" s="389"/>
      <c r="K251" s="389"/>
      <c r="L251" s="389"/>
      <c r="M251" s="389"/>
      <c r="N251" s="389"/>
      <c r="O251" s="389"/>
      <c r="P251" s="389"/>
      <c r="Q251" s="389"/>
      <c r="R251" s="337"/>
      <c r="S251" s="390"/>
      <c r="T251" s="338"/>
      <c r="U251" s="390"/>
      <c r="V251" s="365"/>
      <c r="W251" s="378"/>
      <c r="X251" s="5"/>
    </row>
    <row r="252" spans="1:25" ht="15.6" x14ac:dyDescent="0.3">
      <c r="A252" s="287"/>
      <c r="B252" s="288"/>
      <c r="C252" s="288"/>
      <c r="D252" s="288"/>
      <c r="E252" s="288"/>
      <c r="F252" s="288"/>
      <c r="G252" s="288"/>
      <c r="H252" s="391"/>
      <c r="I252" s="391"/>
      <c r="J252" s="391"/>
      <c r="K252" s="391"/>
      <c r="L252" s="391"/>
      <c r="M252" s="391"/>
      <c r="N252" s="391"/>
      <c r="O252" s="391"/>
      <c r="P252" s="391"/>
      <c r="Q252" s="391"/>
      <c r="R252" s="337">
        <f>SUM(R243:R251)</f>
        <v>8116</v>
      </c>
      <c r="S252" s="390">
        <f>SUM(S243:S251)</f>
        <v>1</v>
      </c>
      <c r="T252" s="338">
        <f>SUM(T243:T251)</f>
        <v>1145647</v>
      </c>
      <c r="U252" s="390">
        <f>SUM(U243:U251)</f>
        <v>1</v>
      </c>
      <c r="V252" s="288"/>
      <c r="W252" s="291"/>
      <c r="X252" s="5"/>
    </row>
    <row r="253" spans="1:25" ht="15.6" x14ac:dyDescent="0.3">
      <c r="A253" s="183"/>
      <c r="B253" s="198"/>
      <c r="C253" s="198"/>
      <c r="D253" s="198"/>
      <c r="E253" s="198"/>
      <c r="F253" s="198"/>
      <c r="G253" s="198"/>
      <c r="H253" s="386"/>
      <c r="I253" s="386"/>
      <c r="J253" s="386"/>
      <c r="K253" s="386"/>
      <c r="L253" s="386"/>
      <c r="M253" s="386"/>
      <c r="N253" s="386"/>
      <c r="O253" s="386"/>
      <c r="P253" s="386"/>
      <c r="Q253" s="386"/>
      <c r="R253" s="335"/>
      <c r="S253" s="387"/>
      <c r="T253" s="388"/>
      <c r="U253" s="387"/>
      <c r="V253" s="198"/>
      <c r="W253" s="198"/>
      <c r="X253" s="5"/>
    </row>
    <row r="254" spans="1:25" ht="15.6" x14ac:dyDescent="0.3">
      <c r="A254" s="262"/>
      <c r="B254" s="399" t="s">
        <v>162</v>
      </c>
      <c r="C254" s="400"/>
      <c r="D254" s="400"/>
      <c r="E254" s="400"/>
      <c r="F254" s="406"/>
      <c r="G254" s="400"/>
      <c r="H254" s="400"/>
      <c r="I254" s="400"/>
      <c r="J254" s="400"/>
      <c r="K254" s="400"/>
      <c r="L254" s="400"/>
      <c r="M254" s="400"/>
      <c r="N254" s="400"/>
      <c r="O254" s="400"/>
      <c r="P254" s="400"/>
      <c r="Q254" s="400"/>
      <c r="R254" s="406" t="s">
        <v>102</v>
      </c>
      <c r="S254" s="400" t="s">
        <v>103</v>
      </c>
      <c r="T254" s="406" t="s">
        <v>109</v>
      </c>
      <c r="U254" s="400" t="s">
        <v>103</v>
      </c>
      <c r="V254" s="263"/>
      <c r="W254" s="399"/>
      <c r="X254" s="5"/>
    </row>
    <row r="255" spans="1:25" ht="15.6" x14ac:dyDescent="0.3">
      <c r="A255" s="197"/>
      <c r="B255" s="234" t="s">
        <v>88</v>
      </c>
      <c r="C255" s="253"/>
      <c r="D255" s="253"/>
      <c r="E255" s="253"/>
      <c r="F255" s="231"/>
      <c r="G255" s="253"/>
      <c r="H255" s="253"/>
      <c r="I255" s="253"/>
      <c r="J255" s="253"/>
      <c r="K255" s="253"/>
      <c r="L255" s="253"/>
      <c r="M255" s="253"/>
      <c r="N255" s="253"/>
      <c r="O255" s="253"/>
      <c r="P255" s="253"/>
      <c r="Q255" s="253"/>
      <c r="R255" s="234">
        <v>7871</v>
      </c>
      <c r="S255" s="254">
        <f t="shared" ref="S255:S262" si="5">R255/$R$264</f>
        <v>0.99180947580645162</v>
      </c>
      <c r="T255" s="241">
        <v>1108896</v>
      </c>
      <c r="U255" s="254">
        <f t="shared" ref="U255:U262" si="6">T255/$T$264</f>
        <v>0.98985150834847113</v>
      </c>
      <c r="V255" s="250"/>
      <c r="W255" s="232"/>
      <c r="X255" s="5"/>
    </row>
    <row r="256" spans="1:25" ht="15.6" x14ac:dyDescent="0.3">
      <c r="A256" s="287"/>
      <c r="B256" s="337" t="s">
        <v>89</v>
      </c>
      <c r="C256" s="389"/>
      <c r="D256" s="389"/>
      <c r="E256" s="389"/>
      <c r="F256" s="288"/>
      <c r="G256" s="390"/>
      <c r="H256" s="389"/>
      <c r="I256" s="389"/>
      <c r="J256" s="389"/>
      <c r="K256" s="389"/>
      <c r="L256" s="389"/>
      <c r="M256" s="389"/>
      <c r="N256" s="389"/>
      <c r="O256" s="389"/>
      <c r="P256" s="389"/>
      <c r="Q256" s="389"/>
      <c r="R256" s="337">
        <v>42</v>
      </c>
      <c r="S256" s="390">
        <f t="shared" si="5"/>
        <v>5.292338709677419E-3</v>
      </c>
      <c r="T256" s="338">
        <v>8101</v>
      </c>
      <c r="U256" s="390">
        <f t="shared" si="6"/>
        <v>7.2313247312019921E-3</v>
      </c>
      <c r="V256" s="365"/>
      <c r="W256" s="378"/>
      <c r="X256" s="5"/>
      <c r="Y256" s="109"/>
    </row>
    <row r="257" spans="1:25" ht="15.6" x14ac:dyDescent="0.3">
      <c r="A257" s="287"/>
      <c r="B257" s="337" t="s">
        <v>90</v>
      </c>
      <c r="C257" s="389"/>
      <c r="D257" s="389"/>
      <c r="E257" s="389"/>
      <c r="F257" s="288"/>
      <c r="G257" s="390"/>
      <c r="H257" s="389"/>
      <c r="I257" s="389"/>
      <c r="J257" s="389"/>
      <c r="K257" s="389"/>
      <c r="L257" s="389"/>
      <c r="M257" s="389"/>
      <c r="N257" s="389"/>
      <c r="O257" s="389"/>
      <c r="P257" s="389"/>
      <c r="Q257" s="389"/>
      <c r="R257" s="337">
        <v>13</v>
      </c>
      <c r="S257" s="390">
        <f t="shared" si="5"/>
        <v>1.6381048387096775E-3</v>
      </c>
      <c r="T257" s="338">
        <v>1952</v>
      </c>
      <c r="U257" s="390">
        <f t="shared" si="6"/>
        <v>1.7424448679553498E-3</v>
      </c>
      <c r="V257" s="365"/>
      <c r="W257" s="378"/>
      <c r="X257" s="5"/>
    </row>
    <row r="258" spans="1:25" ht="15.6" x14ac:dyDescent="0.3">
      <c r="A258" s="287"/>
      <c r="B258" s="337" t="s">
        <v>156</v>
      </c>
      <c r="C258" s="389"/>
      <c r="D258" s="389"/>
      <c r="E258" s="389"/>
      <c r="F258" s="288"/>
      <c r="G258" s="390"/>
      <c r="H258" s="389"/>
      <c r="I258" s="389"/>
      <c r="J258" s="389"/>
      <c r="K258" s="389"/>
      <c r="L258" s="389"/>
      <c r="M258" s="389"/>
      <c r="N258" s="389"/>
      <c r="O258" s="389"/>
      <c r="P258" s="389"/>
      <c r="Q258" s="389"/>
      <c r="R258" s="337">
        <v>4</v>
      </c>
      <c r="S258" s="390">
        <f t="shared" si="5"/>
        <v>5.0403225806451612E-4</v>
      </c>
      <c r="T258" s="338">
        <v>557</v>
      </c>
      <c r="U258" s="390">
        <f t="shared" si="6"/>
        <v>4.9720378660406247E-4</v>
      </c>
      <c r="V258" s="365"/>
      <c r="W258" s="378"/>
      <c r="X258" s="5"/>
      <c r="Y258" s="109"/>
    </row>
    <row r="259" spans="1:25" ht="15.6" x14ac:dyDescent="0.3">
      <c r="A259" s="287"/>
      <c r="B259" s="337" t="s">
        <v>157</v>
      </c>
      <c r="C259" s="389"/>
      <c r="D259" s="389"/>
      <c r="E259" s="389"/>
      <c r="F259" s="288"/>
      <c r="G259" s="390"/>
      <c r="H259" s="389"/>
      <c r="I259" s="389"/>
      <c r="J259" s="389"/>
      <c r="K259" s="389"/>
      <c r="L259" s="389"/>
      <c r="M259" s="389"/>
      <c r="N259" s="389"/>
      <c r="O259" s="389"/>
      <c r="P259" s="389"/>
      <c r="Q259" s="389"/>
      <c r="R259" s="337">
        <v>0</v>
      </c>
      <c r="S259" s="390">
        <f t="shared" si="5"/>
        <v>0</v>
      </c>
      <c r="T259" s="338">
        <v>0</v>
      </c>
      <c r="U259" s="390">
        <f t="shared" si="6"/>
        <v>0</v>
      </c>
      <c r="V259" s="365"/>
      <c r="W259" s="378"/>
      <c r="X259" s="5"/>
    </row>
    <row r="260" spans="1:25" ht="15.6" x14ac:dyDescent="0.3">
      <c r="A260" s="287"/>
      <c r="B260" s="337" t="s">
        <v>158</v>
      </c>
      <c r="C260" s="389"/>
      <c r="D260" s="389"/>
      <c r="E260" s="389"/>
      <c r="F260" s="288"/>
      <c r="G260" s="390"/>
      <c r="H260" s="389"/>
      <c r="I260" s="389"/>
      <c r="J260" s="389"/>
      <c r="K260" s="389"/>
      <c r="L260" s="389"/>
      <c r="M260" s="389"/>
      <c r="N260" s="389"/>
      <c r="O260" s="389"/>
      <c r="P260" s="389"/>
      <c r="Q260" s="389"/>
      <c r="R260" s="337">
        <v>0</v>
      </c>
      <c r="S260" s="390">
        <f t="shared" si="5"/>
        <v>0</v>
      </c>
      <c r="T260" s="338">
        <v>0</v>
      </c>
      <c r="U260" s="390">
        <f t="shared" si="6"/>
        <v>0</v>
      </c>
      <c r="V260" s="365"/>
      <c r="W260" s="378"/>
      <c r="X260" s="5"/>
      <c r="Y260" s="109"/>
    </row>
    <row r="261" spans="1:25" ht="15.6" x14ac:dyDescent="0.3">
      <c r="A261" s="287"/>
      <c r="B261" s="337" t="s">
        <v>159</v>
      </c>
      <c r="C261" s="389"/>
      <c r="D261" s="389"/>
      <c r="E261" s="389"/>
      <c r="F261" s="288"/>
      <c r="G261" s="390"/>
      <c r="H261" s="389"/>
      <c r="I261" s="389"/>
      <c r="J261" s="389"/>
      <c r="K261" s="389"/>
      <c r="L261" s="389"/>
      <c r="M261" s="389"/>
      <c r="N261" s="389"/>
      <c r="O261" s="389"/>
      <c r="P261" s="389"/>
      <c r="Q261" s="389"/>
      <c r="R261" s="337">
        <v>4</v>
      </c>
      <c r="S261" s="390">
        <f t="shared" si="5"/>
        <v>5.0403225806451612E-4</v>
      </c>
      <c r="T261" s="338">
        <v>557</v>
      </c>
      <c r="U261" s="390">
        <f t="shared" si="6"/>
        <v>4.9720378660406247E-4</v>
      </c>
      <c r="V261" s="365"/>
      <c r="W261" s="378"/>
      <c r="X261" s="5"/>
    </row>
    <row r="262" spans="1:25" ht="15.6" x14ac:dyDescent="0.3">
      <c r="A262" s="287"/>
      <c r="B262" s="337" t="s">
        <v>160</v>
      </c>
      <c r="C262" s="389"/>
      <c r="D262" s="389"/>
      <c r="E262" s="389"/>
      <c r="F262" s="288"/>
      <c r="G262" s="390"/>
      <c r="H262" s="389"/>
      <c r="I262" s="389"/>
      <c r="J262" s="389"/>
      <c r="K262" s="389"/>
      <c r="L262" s="389"/>
      <c r="M262" s="389"/>
      <c r="N262" s="389"/>
      <c r="O262" s="389"/>
      <c r="P262" s="389"/>
      <c r="Q262" s="389"/>
      <c r="R262" s="337">
        <v>2</v>
      </c>
      <c r="S262" s="390">
        <f t="shared" si="5"/>
        <v>2.5201612903225806E-4</v>
      </c>
      <c r="T262" s="338">
        <v>202</v>
      </c>
      <c r="U262" s="390">
        <f t="shared" si="6"/>
        <v>1.8031447916341223E-4</v>
      </c>
      <c r="V262" s="365"/>
      <c r="W262" s="378"/>
      <c r="X262" s="5"/>
      <c r="Y262" s="109"/>
    </row>
    <row r="263" spans="1:25" ht="15.6" x14ac:dyDescent="0.3">
      <c r="A263" s="287"/>
      <c r="B263" s="337"/>
      <c r="C263" s="389"/>
      <c r="D263" s="389"/>
      <c r="E263" s="389"/>
      <c r="F263" s="288"/>
      <c r="G263" s="390"/>
      <c r="H263" s="389"/>
      <c r="I263" s="389"/>
      <c r="J263" s="389"/>
      <c r="K263" s="389"/>
      <c r="L263" s="389"/>
      <c r="M263" s="389"/>
      <c r="N263" s="389"/>
      <c r="O263" s="389"/>
      <c r="P263" s="389"/>
      <c r="Q263" s="389"/>
      <c r="R263" s="337"/>
      <c r="S263" s="390"/>
      <c r="T263" s="338"/>
      <c r="U263" s="390"/>
      <c r="V263" s="365"/>
      <c r="W263" s="378"/>
      <c r="X263" s="5"/>
    </row>
    <row r="264" spans="1:25" ht="15.6" x14ac:dyDescent="0.3">
      <c r="A264" s="287"/>
      <c r="B264" s="288"/>
      <c r="C264" s="288"/>
      <c r="D264" s="288"/>
      <c r="E264" s="288"/>
      <c r="F264" s="288"/>
      <c r="G264" s="288"/>
      <c r="H264" s="391"/>
      <c r="I264" s="391"/>
      <c r="J264" s="391"/>
      <c r="K264" s="391"/>
      <c r="L264" s="391"/>
      <c r="M264" s="391"/>
      <c r="N264" s="391"/>
      <c r="O264" s="391"/>
      <c r="P264" s="391"/>
      <c r="Q264" s="391"/>
      <c r="R264" s="337">
        <f>SUM(R255:R263)</f>
        <v>7936</v>
      </c>
      <c r="S264" s="390">
        <f>SUM(S255:S263)</f>
        <v>0.99999999999999989</v>
      </c>
      <c r="T264" s="338">
        <f>SUM(T255:T263)</f>
        <v>1120265</v>
      </c>
      <c r="U264" s="390">
        <f>SUM(U255:U263)</f>
        <v>1.0000000000000002</v>
      </c>
      <c r="V264" s="288"/>
      <c r="W264" s="291"/>
      <c r="X264" s="5"/>
    </row>
    <row r="265" spans="1:25" ht="15.6" x14ac:dyDescent="0.3">
      <c r="A265" s="183"/>
      <c r="B265" s="198"/>
      <c r="C265" s="198"/>
      <c r="D265" s="198"/>
      <c r="E265" s="198"/>
      <c r="F265" s="198"/>
      <c r="G265" s="198"/>
      <c r="H265" s="386"/>
      <c r="I265" s="386"/>
      <c r="J265" s="386"/>
      <c r="K265" s="386"/>
      <c r="L265" s="386"/>
      <c r="M265" s="386"/>
      <c r="N265" s="386"/>
      <c r="O265" s="386"/>
      <c r="P265" s="386"/>
      <c r="Q265" s="386"/>
      <c r="R265" s="335"/>
      <c r="S265" s="387"/>
      <c r="T265" s="388"/>
      <c r="U265" s="387"/>
      <c r="V265" s="198"/>
      <c r="W265" s="198"/>
      <c r="X265" s="5"/>
    </row>
    <row r="266" spans="1:25" ht="15.6" x14ac:dyDescent="0.3">
      <c r="A266" s="280"/>
      <c r="B266" s="399" t="s">
        <v>275</v>
      </c>
      <c r="C266" s="400"/>
      <c r="D266" s="400"/>
      <c r="E266" s="400"/>
      <c r="F266" s="406"/>
      <c r="G266" s="400"/>
      <c r="H266" s="400"/>
      <c r="I266" s="400"/>
      <c r="J266" s="400"/>
      <c r="K266" s="400"/>
      <c r="L266" s="400"/>
      <c r="M266" s="400"/>
      <c r="N266" s="400"/>
      <c r="O266" s="400"/>
      <c r="P266" s="400"/>
      <c r="Q266" s="400"/>
      <c r="R266" s="406" t="s">
        <v>102</v>
      </c>
      <c r="S266" s="400" t="s">
        <v>103</v>
      </c>
      <c r="T266" s="406" t="s">
        <v>109</v>
      </c>
      <c r="U266" s="400" t="s">
        <v>103</v>
      </c>
      <c r="V266" s="281"/>
      <c r="W266" s="282"/>
      <c r="X266" s="5"/>
    </row>
    <row r="267" spans="1:25" ht="15.6" x14ac:dyDescent="0.3">
      <c r="A267" s="197"/>
      <c r="B267" s="234" t="s">
        <v>88</v>
      </c>
      <c r="C267" s="253"/>
      <c r="D267" s="253"/>
      <c r="E267" s="253"/>
      <c r="F267" s="231"/>
      <c r="G267" s="253"/>
      <c r="H267" s="253"/>
      <c r="I267" s="253"/>
      <c r="J267" s="253"/>
      <c r="K267" s="253"/>
      <c r="L267" s="253"/>
      <c r="M267" s="253"/>
      <c r="N267" s="253"/>
      <c r="O267" s="253"/>
      <c r="P267" s="253"/>
      <c r="Q267" s="253"/>
      <c r="R267" s="234">
        <v>116</v>
      </c>
      <c r="S267" s="254">
        <f t="shared" ref="S267:S274" si="7">R267/$R$276</f>
        <v>0.64444444444444449</v>
      </c>
      <c r="T267" s="241">
        <v>16053</v>
      </c>
      <c r="U267" s="254">
        <f t="shared" ref="U267:U274" si="8">T267/$T$276</f>
        <v>0.63245607123158143</v>
      </c>
      <c r="V267" s="231"/>
      <c r="W267" s="231"/>
      <c r="X267" s="5"/>
    </row>
    <row r="268" spans="1:25" ht="15.6" x14ac:dyDescent="0.3">
      <c r="A268" s="287"/>
      <c r="B268" s="337" t="s">
        <v>89</v>
      </c>
      <c r="C268" s="389"/>
      <c r="D268" s="389"/>
      <c r="E268" s="389"/>
      <c r="F268" s="288"/>
      <c r="G268" s="390"/>
      <c r="H268" s="389"/>
      <c r="I268" s="389"/>
      <c r="J268" s="389"/>
      <c r="K268" s="389"/>
      <c r="L268" s="389"/>
      <c r="M268" s="389"/>
      <c r="N268" s="389"/>
      <c r="O268" s="389"/>
      <c r="P268" s="389"/>
      <c r="Q268" s="389"/>
      <c r="R268" s="337">
        <v>6</v>
      </c>
      <c r="S268" s="390">
        <f t="shared" si="7"/>
        <v>3.3333333333333333E-2</v>
      </c>
      <c r="T268" s="338">
        <v>1414</v>
      </c>
      <c r="U268" s="390">
        <f t="shared" si="8"/>
        <v>5.5708769994484278E-2</v>
      </c>
      <c r="V268" s="288"/>
      <c r="W268" s="291"/>
      <c r="X268" s="5"/>
    </row>
    <row r="269" spans="1:25" ht="15.6" x14ac:dyDescent="0.3">
      <c r="A269" s="287"/>
      <c r="B269" s="337" t="s">
        <v>90</v>
      </c>
      <c r="C269" s="389"/>
      <c r="D269" s="389"/>
      <c r="E269" s="389"/>
      <c r="F269" s="288"/>
      <c r="G269" s="390"/>
      <c r="H269" s="389"/>
      <c r="I269" s="389"/>
      <c r="J269" s="389"/>
      <c r="K269" s="389"/>
      <c r="L269" s="389"/>
      <c r="M269" s="389"/>
      <c r="N269" s="389"/>
      <c r="O269" s="389"/>
      <c r="P269" s="389"/>
      <c r="Q269" s="389"/>
      <c r="R269" s="337">
        <v>12</v>
      </c>
      <c r="S269" s="390">
        <f t="shared" si="7"/>
        <v>6.6666666666666666E-2</v>
      </c>
      <c r="T269" s="338">
        <v>1416</v>
      </c>
      <c r="U269" s="390">
        <f t="shared" si="8"/>
        <v>5.5787565991647622E-2</v>
      </c>
      <c r="V269" s="288"/>
      <c r="W269" s="291"/>
      <c r="X269" s="5"/>
    </row>
    <row r="270" spans="1:25" ht="15.6" x14ac:dyDescent="0.3">
      <c r="A270" s="287"/>
      <c r="B270" s="337" t="s">
        <v>156</v>
      </c>
      <c r="C270" s="389"/>
      <c r="D270" s="389"/>
      <c r="E270" s="389"/>
      <c r="F270" s="288"/>
      <c r="G270" s="390"/>
      <c r="H270" s="389"/>
      <c r="I270" s="389"/>
      <c r="J270" s="389"/>
      <c r="K270" s="389"/>
      <c r="L270" s="389"/>
      <c r="M270" s="389"/>
      <c r="N270" s="389"/>
      <c r="O270" s="389"/>
      <c r="P270" s="389"/>
      <c r="Q270" s="389"/>
      <c r="R270" s="337">
        <v>4</v>
      </c>
      <c r="S270" s="390">
        <f t="shared" si="7"/>
        <v>2.2222222222222223E-2</v>
      </c>
      <c r="T270" s="338">
        <v>395</v>
      </c>
      <c r="U270" s="390">
        <f t="shared" si="8"/>
        <v>1.5562209439760459E-2</v>
      </c>
      <c r="V270" s="288"/>
      <c r="W270" s="291"/>
      <c r="X270" s="5"/>
    </row>
    <row r="271" spans="1:25" ht="15.6" x14ac:dyDescent="0.3">
      <c r="A271" s="287"/>
      <c r="B271" s="337" t="s">
        <v>157</v>
      </c>
      <c r="C271" s="389"/>
      <c r="D271" s="389"/>
      <c r="E271" s="389"/>
      <c r="F271" s="288"/>
      <c r="G271" s="390"/>
      <c r="H271" s="389"/>
      <c r="I271" s="389"/>
      <c r="J271" s="389"/>
      <c r="K271" s="389"/>
      <c r="L271" s="389"/>
      <c r="M271" s="389"/>
      <c r="N271" s="389"/>
      <c r="O271" s="389"/>
      <c r="P271" s="389"/>
      <c r="Q271" s="389"/>
      <c r="R271" s="337">
        <v>3</v>
      </c>
      <c r="S271" s="390">
        <f t="shared" si="7"/>
        <v>1.6666666666666666E-2</v>
      </c>
      <c r="T271" s="338">
        <v>269</v>
      </c>
      <c r="U271" s="390">
        <f t="shared" si="8"/>
        <v>1.0598061618469781E-2</v>
      </c>
      <c r="V271" s="288"/>
      <c r="W271" s="291"/>
      <c r="X271" s="5"/>
    </row>
    <row r="272" spans="1:25" ht="15.6" x14ac:dyDescent="0.3">
      <c r="A272" s="287"/>
      <c r="B272" s="337" t="s">
        <v>158</v>
      </c>
      <c r="C272" s="389"/>
      <c r="D272" s="389"/>
      <c r="E272" s="389"/>
      <c r="F272" s="288"/>
      <c r="G272" s="390"/>
      <c r="H272" s="389"/>
      <c r="I272" s="389"/>
      <c r="J272" s="389"/>
      <c r="K272" s="389"/>
      <c r="L272" s="389"/>
      <c r="M272" s="389"/>
      <c r="N272" s="389"/>
      <c r="O272" s="389"/>
      <c r="P272" s="389"/>
      <c r="Q272" s="389"/>
      <c r="R272" s="337">
        <v>2</v>
      </c>
      <c r="S272" s="390">
        <f t="shared" si="7"/>
        <v>1.1111111111111112E-2</v>
      </c>
      <c r="T272" s="338">
        <v>263</v>
      </c>
      <c r="U272" s="390">
        <f t="shared" si="8"/>
        <v>1.0361673626979749E-2</v>
      </c>
      <c r="V272" s="288"/>
      <c r="W272" s="291"/>
      <c r="X272" s="5"/>
    </row>
    <row r="273" spans="1:24" ht="15.6" x14ac:dyDescent="0.3">
      <c r="A273" s="287"/>
      <c r="B273" s="337" t="s">
        <v>159</v>
      </c>
      <c r="C273" s="389"/>
      <c r="D273" s="389"/>
      <c r="E273" s="389"/>
      <c r="F273" s="288"/>
      <c r="G273" s="390"/>
      <c r="H273" s="389"/>
      <c r="I273" s="389"/>
      <c r="J273" s="389"/>
      <c r="K273" s="389"/>
      <c r="L273" s="389"/>
      <c r="M273" s="389"/>
      <c r="N273" s="389"/>
      <c r="O273" s="389"/>
      <c r="P273" s="389"/>
      <c r="Q273" s="389"/>
      <c r="R273" s="337">
        <v>17</v>
      </c>
      <c r="S273" s="390">
        <f t="shared" si="7"/>
        <v>9.4444444444444442E-2</v>
      </c>
      <c r="T273" s="338">
        <v>2266</v>
      </c>
      <c r="U273" s="390">
        <f t="shared" si="8"/>
        <v>8.9275864786068873E-2</v>
      </c>
      <c r="V273" s="288"/>
      <c r="W273" s="291"/>
      <c r="X273" s="5"/>
    </row>
    <row r="274" spans="1:24" ht="15.6" x14ac:dyDescent="0.3">
      <c r="A274" s="287"/>
      <c r="B274" s="337" t="s">
        <v>160</v>
      </c>
      <c r="C274" s="389"/>
      <c r="D274" s="389"/>
      <c r="E274" s="389"/>
      <c r="F274" s="288"/>
      <c r="G274" s="390"/>
      <c r="H274" s="389"/>
      <c r="I274" s="389"/>
      <c r="J274" s="389"/>
      <c r="K274" s="389"/>
      <c r="L274" s="389"/>
      <c r="M274" s="389"/>
      <c r="N274" s="389"/>
      <c r="O274" s="389"/>
      <c r="P274" s="389"/>
      <c r="Q274" s="389"/>
      <c r="R274" s="337">
        <v>20</v>
      </c>
      <c r="S274" s="390">
        <f t="shared" si="7"/>
        <v>0.1111111111111111</v>
      </c>
      <c r="T274" s="338">
        <v>3306</v>
      </c>
      <c r="U274" s="390">
        <f t="shared" si="8"/>
        <v>0.13024978331100781</v>
      </c>
      <c r="V274" s="288"/>
      <c r="W274" s="291"/>
      <c r="X274" s="5"/>
    </row>
    <row r="275" spans="1:24" ht="15.6" x14ac:dyDescent="0.3">
      <c r="A275" s="287"/>
      <c r="B275" s="337"/>
      <c r="C275" s="389"/>
      <c r="D275" s="389"/>
      <c r="E275" s="389"/>
      <c r="F275" s="288"/>
      <c r="G275" s="390"/>
      <c r="H275" s="389"/>
      <c r="I275" s="389"/>
      <c r="J275" s="389"/>
      <c r="K275" s="389"/>
      <c r="L275" s="389"/>
      <c r="M275" s="389"/>
      <c r="N275" s="389"/>
      <c r="O275" s="389"/>
      <c r="P275" s="389"/>
      <c r="Q275" s="389"/>
      <c r="R275" s="337"/>
      <c r="S275" s="390"/>
      <c r="T275" s="338"/>
      <c r="U275" s="390"/>
      <c r="V275" s="288"/>
      <c r="W275" s="291"/>
      <c r="X275" s="5"/>
    </row>
    <row r="276" spans="1:24" ht="15.6" x14ac:dyDescent="0.3">
      <c r="A276" s="287"/>
      <c r="B276" s="288"/>
      <c r="C276" s="288"/>
      <c r="D276" s="288"/>
      <c r="E276" s="288"/>
      <c r="F276" s="288"/>
      <c r="G276" s="288"/>
      <c r="H276" s="391"/>
      <c r="I276" s="391"/>
      <c r="J276" s="391"/>
      <c r="K276" s="391"/>
      <c r="L276" s="391"/>
      <c r="M276" s="391"/>
      <c r="N276" s="391"/>
      <c r="O276" s="391"/>
      <c r="P276" s="391"/>
      <c r="Q276" s="391"/>
      <c r="R276" s="337">
        <f>SUM(R267:R275)</f>
        <v>180</v>
      </c>
      <c r="S276" s="390">
        <f>SUM(S267:S275)</f>
        <v>1</v>
      </c>
      <c r="T276" s="338">
        <f>SUM(T267:T275)</f>
        <v>25382</v>
      </c>
      <c r="U276" s="390">
        <f>SUM(U267:U275)</f>
        <v>0.99999999999999989</v>
      </c>
      <c r="V276" s="288"/>
      <c r="W276" s="291"/>
      <c r="X276" s="5"/>
    </row>
    <row r="277" spans="1:24" ht="15.6" x14ac:dyDescent="0.3">
      <c r="A277" s="183"/>
      <c r="B277" s="284"/>
      <c r="C277" s="284"/>
      <c r="D277" s="284"/>
      <c r="E277" s="284"/>
      <c r="F277" s="284"/>
      <c r="G277" s="284"/>
      <c r="H277" s="392"/>
      <c r="I277" s="392"/>
      <c r="J277" s="392"/>
      <c r="K277" s="392"/>
      <c r="L277" s="392"/>
      <c r="M277" s="392"/>
      <c r="N277" s="392"/>
      <c r="O277" s="392"/>
      <c r="P277" s="392"/>
      <c r="Q277" s="392"/>
      <c r="R277" s="339"/>
      <c r="S277" s="393"/>
      <c r="T277" s="394"/>
      <c r="U277" s="393"/>
      <c r="V277" s="284"/>
      <c r="W277" s="284"/>
      <c r="X277" s="5"/>
    </row>
    <row r="278" spans="1:24" ht="15.6" x14ac:dyDescent="0.3">
      <c r="A278" s="280"/>
      <c r="B278" s="399" t="s">
        <v>163</v>
      </c>
      <c r="C278" s="281"/>
      <c r="D278" s="281"/>
      <c r="E278" s="281"/>
      <c r="F278" s="281"/>
      <c r="G278" s="281"/>
      <c r="H278" s="283"/>
      <c r="I278" s="283"/>
      <c r="J278" s="283"/>
      <c r="K278" s="283"/>
      <c r="L278" s="283"/>
      <c r="M278" s="283"/>
      <c r="N278" s="283"/>
      <c r="O278" s="283"/>
      <c r="P278" s="283"/>
      <c r="Q278" s="283"/>
      <c r="R278" s="406" t="s">
        <v>102</v>
      </c>
      <c r="S278" s="400" t="s">
        <v>103</v>
      </c>
      <c r="T278" s="406" t="s">
        <v>109</v>
      </c>
      <c r="U278" s="400" t="s">
        <v>103</v>
      </c>
      <c r="V278" s="281"/>
      <c r="W278" s="282"/>
      <c r="X278" s="5"/>
    </row>
    <row r="279" spans="1:24" ht="15.6" x14ac:dyDescent="0.3">
      <c r="A279" s="197"/>
      <c r="B279" s="234" t="s">
        <v>88</v>
      </c>
      <c r="C279" s="231"/>
      <c r="D279" s="231"/>
      <c r="E279" s="231"/>
      <c r="F279" s="231"/>
      <c r="G279" s="231"/>
      <c r="H279" s="255"/>
      <c r="I279" s="255"/>
      <c r="J279" s="255"/>
      <c r="K279" s="255"/>
      <c r="L279" s="255"/>
      <c r="M279" s="255"/>
      <c r="N279" s="255"/>
      <c r="O279" s="255"/>
      <c r="P279" s="255"/>
      <c r="Q279" s="255"/>
      <c r="R279" s="234">
        <v>0</v>
      </c>
      <c r="S279" s="254">
        <v>0</v>
      </c>
      <c r="T279" s="241">
        <v>0</v>
      </c>
      <c r="U279" s="254">
        <v>0</v>
      </c>
      <c r="V279" s="231"/>
      <c r="W279" s="231"/>
      <c r="X279" s="5"/>
    </row>
    <row r="280" spans="1:24" ht="15.6" x14ac:dyDescent="0.3">
      <c r="A280" s="287"/>
      <c r="B280" s="337" t="s">
        <v>89</v>
      </c>
      <c r="C280" s="288"/>
      <c r="D280" s="288"/>
      <c r="E280" s="288"/>
      <c r="F280" s="288"/>
      <c r="G280" s="288"/>
      <c r="H280" s="391"/>
      <c r="I280" s="391"/>
      <c r="J280" s="391"/>
      <c r="K280" s="391"/>
      <c r="L280" s="391"/>
      <c r="M280" s="391"/>
      <c r="N280" s="391"/>
      <c r="O280" s="391"/>
      <c r="P280" s="391"/>
      <c r="Q280" s="391"/>
      <c r="R280" s="337">
        <v>0</v>
      </c>
      <c r="S280" s="390">
        <v>0</v>
      </c>
      <c r="T280" s="338">
        <v>0</v>
      </c>
      <c r="U280" s="390">
        <v>0</v>
      </c>
      <c r="V280" s="288"/>
      <c r="W280" s="291"/>
      <c r="X280" s="5"/>
    </row>
    <row r="281" spans="1:24" ht="15.6" x14ac:dyDescent="0.3">
      <c r="A281" s="287"/>
      <c r="B281" s="337" t="s">
        <v>90</v>
      </c>
      <c r="C281" s="288"/>
      <c r="D281" s="288"/>
      <c r="E281" s="288"/>
      <c r="F281" s="288"/>
      <c r="G281" s="288"/>
      <c r="H281" s="391"/>
      <c r="I281" s="391"/>
      <c r="J281" s="391"/>
      <c r="K281" s="391"/>
      <c r="L281" s="391"/>
      <c r="M281" s="391"/>
      <c r="N281" s="391"/>
      <c r="O281" s="391"/>
      <c r="P281" s="391"/>
      <c r="Q281" s="391"/>
      <c r="R281" s="337">
        <v>0</v>
      </c>
      <c r="S281" s="390">
        <v>0</v>
      </c>
      <c r="T281" s="338">
        <v>0</v>
      </c>
      <c r="U281" s="390">
        <v>0</v>
      </c>
      <c r="V281" s="288"/>
      <c r="W281" s="291"/>
      <c r="X281" s="5"/>
    </row>
    <row r="282" spans="1:24" ht="15.6" x14ac:dyDescent="0.3">
      <c r="A282" s="287"/>
      <c r="B282" s="337" t="s">
        <v>156</v>
      </c>
      <c r="C282" s="288"/>
      <c r="D282" s="288"/>
      <c r="E282" s="288"/>
      <c r="F282" s="288"/>
      <c r="G282" s="288"/>
      <c r="H282" s="391"/>
      <c r="I282" s="391"/>
      <c r="J282" s="391"/>
      <c r="K282" s="391"/>
      <c r="L282" s="391"/>
      <c r="M282" s="391"/>
      <c r="N282" s="391"/>
      <c r="O282" s="391"/>
      <c r="P282" s="391"/>
      <c r="Q282" s="391"/>
      <c r="R282" s="337">
        <v>0</v>
      </c>
      <c r="S282" s="390">
        <v>0</v>
      </c>
      <c r="T282" s="338">
        <v>0</v>
      </c>
      <c r="U282" s="390">
        <v>0</v>
      </c>
      <c r="V282" s="288"/>
      <c r="W282" s="291"/>
      <c r="X282" s="5"/>
    </row>
    <row r="283" spans="1:24" ht="15.6" x14ac:dyDescent="0.3">
      <c r="A283" s="287"/>
      <c r="B283" s="337" t="s">
        <v>157</v>
      </c>
      <c r="C283" s="288"/>
      <c r="D283" s="288"/>
      <c r="E283" s="288"/>
      <c r="F283" s="288"/>
      <c r="G283" s="288"/>
      <c r="H283" s="391"/>
      <c r="I283" s="391"/>
      <c r="J283" s="391"/>
      <c r="K283" s="391"/>
      <c r="L283" s="391"/>
      <c r="M283" s="391"/>
      <c r="N283" s="391"/>
      <c r="O283" s="391"/>
      <c r="P283" s="391"/>
      <c r="Q283" s="391"/>
      <c r="R283" s="337">
        <v>0</v>
      </c>
      <c r="S283" s="390">
        <v>0</v>
      </c>
      <c r="T283" s="338">
        <v>0</v>
      </c>
      <c r="U283" s="390">
        <v>0</v>
      </c>
      <c r="V283" s="288"/>
      <c r="W283" s="291"/>
      <c r="X283" s="5"/>
    </row>
    <row r="284" spans="1:24" ht="15.6" x14ac:dyDescent="0.3">
      <c r="A284" s="287"/>
      <c r="B284" s="337" t="s">
        <v>158</v>
      </c>
      <c r="C284" s="288"/>
      <c r="D284" s="288"/>
      <c r="E284" s="288"/>
      <c r="F284" s="288"/>
      <c r="G284" s="288"/>
      <c r="H284" s="391"/>
      <c r="I284" s="391"/>
      <c r="J284" s="391"/>
      <c r="K284" s="391"/>
      <c r="L284" s="391"/>
      <c r="M284" s="391"/>
      <c r="N284" s="391"/>
      <c r="O284" s="391"/>
      <c r="P284" s="391"/>
      <c r="Q284" s="391"/>
      <c r="R284" s="337">
        <v>0</v>
      </c>
      <c r="S284" s="390">
        <v>0</v>
      </c>
      <c r="T284" s="338">
        <v>0</v>
      </c>
      <c r="U284" s="390">
        <v>0</v>
      </c>
      <c r="V284" s="288"/>
      <c r="W284" s="291"/>
      <c r="X284" s="5"/>
    </row>
    <row r="285" spans="1:24" ht="15.6" x14ac:dyDescent="0.3">
      <c r="A285" s="287"/>
      <c r="B285" s="337" t="s">
        <v>159</v>
      </c>
      <c r="C285" s="288"/>
      <c r="D285" s="288"/>
      <c r="E285" s="288"/>
      <c r="F285" s="288"/>
      <c r="G285" s="288"/>
      <c r="H285" s="391"/>
      <c r="I285" s="391"/>
      <c r="J285" s="391"/>
      <c r="K285" s="391"/>
      <c r="L285" s="391"/>
      <c r="M285" s="391"/>
      <c r="N285" s="391"/>
      <c r="O285" s="391"/>
      <c r="P285" s="391"/>
      <c r="Q285" s="391"/>
      <c r="R285" s="337">
        <v>0</v>
      </c>
      <c r="S285" s="390">
        <v>0</v>
      </c>
      <c r="T285" s="338">
        <v>0</v>
      </c>
      <c r="U285" s="390">
        <v>0</v>
      </c>
      <c r="V285" s="288"/>
      <c r="W285" s="291"/>
      <c r="X285" s="5"/>
    </row>
    <row r="286" spans="1:24" ht="15.6" x14ac:dyDescent="0.3">
      <c r="A286" s="287"/>
      <c r="B286" s="337" t="s">
        <v>160</v>
      </c>
      <c r="C286" s="288"/>
      <c r="D286" s="288"/>
      <c r="E286" s="288"/>
      <c r="F286" s="288"/>
      <c r="G286" s="288"/>
      <c r="H286" s="391"/>
      <c r="I286" s="391"/>
      <c r="J286" s="391"/>
      <c r="K286" s="391"/>
      <c r="L286" s="391"/>
      <c r="M286" s="391"/>
      <c r="N286" s="391"/>
      <c r="O286" s="391"/>
      <c r="P286" s="391"/>
      <c r="Q286" s="391"/>
      <c r="R286" s="337">
        <v>0</v>
      </c>
      <c r="S286" s="390">
        <v>0</v>
      </c>
      <c r="T286" s="338">
        <v>0</v>
      </c>
      <c r="U286" s="390">
        <v>0</v>
      </c>
      <c r="V286" s="288"/>
      <c r="W286" s="291"/>
      <c r="X286" s="5"/>
    </row>
    <row r="287" spans="1:24" ht="15.6" x14ac:dyDescent="0.3">
      <c r="A287" s="287"/>
      <c r="B287" s="337"/>
      <c r="C287" s="288"/>
      <c r="D287" s="288"/>
      <c r="E287" s="288"/>
      <c r="F287" s="288"/>
      <c r="G287" s="288"/>
      <c r="H287" s="391"/>
      <c r="I287" s="391"/>
      <c r="J287" s="391"/>
      <c r="K287" s="391"/>
      <c r="L287" s="391"/>
      <c r="M287" s="391"/>
      <c r="N287" s="391"/>
      <c r="O287" s="391"/>
      <c r="P287" s="391"/>
      <c r="Q287" s="391"/>
      <c r="R287" s="337"/>
      <c r="S287" s="390"/>
      <c r="T287" s="338"/>
      <c r="U287" s="390"/>
      <c r="V287" s="288"/>
      <c r="W287" s="291"/>
      <c r="X287" s="5"/>
    </row>
    <row r="288" spans="1:24" ht="15.6" x14ac:dyDescent="0.3">
      <c r="A288" s="287"/>
      <c r="B288" s="288" t="s">
        <v>114</v>
      </c>
      <c r="C288" s="288"/>
      <c r="D288" s="288"/>
      <c r="E288" s="288"/>
      <c r="F288" s="288"/>
      <c r="G288" s="288"/>
      <c r="H288" s="391"/>
      <c r="I288" s="391"/>
      <c r="J288" s="391"/>
      <c r="K288" s="391"/>
      <c r="L288" s="391"/>
      <c r="M288" s="391"/>
      <c r="N288" s="391"/>
      <c r="O288" s="391"/>
      <c r="P288" s="391"/>
      <c r="Q288" s="391"/>
      <c r="R288" s="337">
        <f>SUM(R279:R286)</f>
        <v>0</v>
      </c>
      <c r="S288" s="390">
        <f>SUM(S279:S287)</f>
        <v>0</v>
      </c>
      <c r="T288" s="338">
        <f>SUM(T279:T286)</f>
        <v>0</v>
      </c>
      <c r="U288" s="390">
        <f>SUM(U279:U287)</f>
        <v>0</v>
      </c>
      <c r="V288" s="288"/>
      <c r="W288" s="291"/>
      <c r="X288" s="5"/>
    </row>
    <row r="289" spans="1:24" ht="15.6" x14ac:dyDescent="0.3">
      <c r="A289" s="287"/>
      <c r="B289" s="288"/>
      <c r="C289" s="288"/>
      <c r="D289" s="288"/>
      <c r="E289" s="288"/>
      <c r="F289" s="288"/>
      <c r="G289" s="288"/>
      <c r="H289" s="391"/>
      <c r="I289" s="391"/>
      <c r="J289" s="391"/>
      <c r="K289" s="391"/>
      <c r="L289" s="391"/>
      <c r="M289" s="391"/>
      <c r="N289" s="391"/>
      <c r="O289" s="391"/>
      <c r="P289" s="391"/>
      <c r="Q289" s="391"/>
      <c r="R289" s="337"/>
      <c r="S289" s="390"/>
      <c r="T289" s="338"/>
      <c r="U289" s="390"/>
      <c r="V289" s="288"/>
      <c r="W289" s="291"/>
      <c r="X289" s="5"/>
    </row>
    <row r="290" spans="1:24" ht="15.6" x14ac:dyDescent="0.3">
      <c r="A290" s="287"/>
      <c r="B290" s="295" t="s">
        <v>164</v>
      </c>
      <c r="C290" s="288"/>
      <c r="D290" s="288"/>
      <c r="E290" s="288"/>
      <c r="F290" s="288"/>
      <c r="G290" s="288"/>
      <c r="H290" s="391"/>
      <c r="I290" s="391"/>
      <c r="J290" s="391"/>
      <c r="K290" s="391"/>
      <c r="L290" s="391"/>
      <c r="M290" s="391"/>
      <c r="N290" s="391"/>
      <c r="O290" s="391"/>
      <c r="P290" s="391"/>
      <c r="Q290" s="391"/>
      <c r="R290" s="407">
        <f>R288+R276+R264</f>
        <v>8116</v>
      </c>
      <c r="S290" s="390"/>
      <c r="T290" s="396">
        <f>+T288+T276+T264</f>
        <v>1145647</v>
      </c>
      <c r="U290" s="390"/>
      <c r="V290" s="288"/>
      <c r="W290" s="291"/>
      <c r="X290" s="5"/>
    </row>
    <row r="291" spans="1:24" ht="15.6" x14ac:dyDescent="0.3">
      <c r="A291" s="183"/>
      <c r="B291" s="284"/>
      <c r="C291" s="284"/>
      <c r="D291" s="284"/>
      <c r="E291" s="284"/>
      <c r="F291" s="284"/>
      <c r="G291" s="284"/>
      <c r="H291" s="392"/>
      <c r="I291" s="392"/>
      <c r="J291" s="392"/>
      <c r="K291" s="392"/>
      <c r="L291" s="392"/>
      <c r="M291" s="392"/>
      <c r="N291" s="392"/>
      <c r="O291" s="392"/>
      <c r="P291" s="392"/>
      <c r="Q291" s="392"/>
      <c r="R291" s="392"/>
      <c r="S291" s="392"/>
      <c r="T291" s="394"/>
      <c r="U291" s="392"/>
      <c r="V291" s="284"/>
      <c r="W291" s="284"/>
      <c r="X291" s="5"/>
    </row>
    <row r="292" spans="1:24" ht="15.6" x14ac:dyDescent="0.3">
      <c r="A292" s="183"/>
      <c r="B292" s="224"/>
      <c r="C292" s="224"/>
      <c r="D292" s="224"/>
      <c r="E292" s="224"/>
      <c r="F292" s="224"/>
      <c r="G292" s="224"/>
      <c r="H292" s="256"/>
      <c r="I292" s="256"/>
      <c r="J292" s="256"/>
      <c r="K292" s="256"/>
      <c r="L292" s="256"/>
      <c r="M292" s="256"/>
      <c r="N292" s="256"/>
      <c r="O292" s="256"/>
      <c r="P292" s="256"/>
      <c r="Q292" s="256"/>
      <c r="R292" s="256"/>
      <c r="S292" s="256"/>
      <c r="T292" s="257"/>
      <c r="U292" s="256"/>
      <c r="V292" s="224"/>
      <c r="W292" s="224"/>
      <c r="X292" s="5"/>
    </row>
    <row r="293" spans="1:24" ht="15.6" x14ac:dyDescent="0.3">
      <c r="A293" s="219"/>
      <c r="B293" s="222" t="s">
        <v>91</v>
      </c>
      <c r="C293" s="224"/>
      <c r="D293" s="224"/>
      <c r="E293" s="224"/>
      <c r="F293" s="228" t="s">
        <v>97</v>
      </c>
      <c r="G293" s="224"/>
      <c r="H293" s="222" t="s">
        <v>99</v>
      </c>
      <c r="I293" s="222"/>
      <c r="J293" s="222"/>
      <c r="K293" s="258"/>
      <c r="L293" s="258"/>
      <c r="M293" s="258"/>
      <c r="N293" s="258"/>
      <c r="O293" s="258"/>
      <c r="P293" s="258"/>
      <c r="Q293" s="258"/>
      <c r="R293" s="258"/>
      <c r="S293" s="258"/>
      <c r="T293" s="258"/>
      <c r="U293" s="258"/>
      <c r="V293" s="258"/>
      <c r="W293" s="258"/>
      <c r="X293" s="5"/>
    </row>
    <row r="294" spans="1:24" ht="15.6" x14ac:dyDescent="0.3">
      <c r="A294" s="219"/>
      <c r="B294" s="258"/>
      <c r="C294" s="224"/>
      <c r="D294" s="224"/>
      <c r="E294" s="224"/>
      <c r="F294" s="224"/>
      <c r="G294" s="224"/>
      <c r="H294" s="224"/>
      <c r="I294" s="224"/>
      <c r="J294" s="224"/>
      <c r="K294" s="258"/>
      <c r="L294" s="258"/>
      <c r="M294" s="258"/>
      <c r="N294" s="258"/>
      <c r="O294" s="258"/>
      <c r="P294" s="258"/>
      <c r="Q294" s="258"/>
      <c r="R294" s="258"/>
      <c r="S294" s="258"/>
      <c r="T294" s="258"/>
      <c r="U294" s="258"/>
      <c r="V294" s="258"/>
      <c r="W294" s="258"/>
      <c r="X294" s="5"/>
    </row>
    <row r="295" spans="1:24" ht="15.6" x14ac:dyDescent="0.3">
      <c r="A295" s="219"/>
      <c r="B295" s="222" t="s">
        <v>92</v>
      </c>
      <c r="C295" s="222"/>
      <c r="D295" s="222"/>
      <c r="E295" s="222"/>
      <c r="F295" s="259" t="s">
        <v>148</v>
      </c>
      <c r="G295" s="222"/>
      <c r="H295" s="222" t="s">
        <v>152</v>
      </c>
      <c r="I295" s="222"/>
      <c r="J295" s="222"/>
      <c r="K295" s="258"/>
      <c r="L295" s="258"/>
      <c r="M295" s="258"/>
      <c r="N295" s="258"/>
      <c r="O295" s="258"/>
      <c r="P295" s="258"/>
      <c r="Q295" s="258"/>
      <c r="R295" s="258"/>
      <c r="S295" s="258"/>
      <c r="T295" s="258"/>
      <c r="U295" s="258"/>
      <c r="V295" s="258"/>
      <c r="W295" s="258"/>
      <c r="X295" s="5"/>
    </row>
    <row r="296" spans="1:24" ht="15.6" x14ac:dyDescent="0.3">
      <c r="A296" s="219"/>
      <c r="B296" s="222" t="s">
        <v>277</v>
      </c>
      <c r="C296" s="222"/>
      <c r="D296" s="222"/>
      <c r="E296" s="222"/>
      <c r="F296" s="259" t="s">
        <v>278</v>
      </c>
      <c r="G296" s="222"/>
      <c r="H296" s="222" t="s">
        <v>279</v>
      </c>
      <c r="I296" s="258"/>
      <c r="J296" s="222"/>
      <c r="K296" s="258"/>
      <c r="L296" s="258"/>
      <c r="M296" s="258"/>
      <c r="N296" s="258"/>
      <c r="O296" s="258"/>
      <c r="P296" s="258"/>
      <c r="Q296" s="258"/>
      <c r="R296" s="258"/>
      <c r="S296" s="258"/>
      <c r="T296" s="258"/>
      <c r="U296" s="258"/>
      <c r="V296" s="258"/>
      <c r="W296" s="258"/>
      <c r="X296" s="5"/>
    </row>
    <row r="297" spans="1:24" ht="15.6" x14ac:dyDescent="0.3">
      <c r="A297" s="219"/>
      <c r="B297" s="222" t="s">
        <v>93</v>
      </c>
      <c r="C297" s="222"/>
      <c r="D297" s="222"/>
      <c r="E297" s="222"/>
      <c r="F297" s="259" t="s">
        <v>147</v>
      </c>
      <c r="G297" s="222"/>
      <c r="H297" s="222" t="s">
        <v>153</v>
      </c>
      <c r="I297" s="222"/>
      <c r="J297" s="222"/>
      <c r="K297" s="258"/>
      <c r="L297" s="258"/>
      <c r="M297" s="258"/>
      <c r="N297" s="258"/>
      <c r="O297" s="258"/>
      <c r="P297" s="258"/>
      <c r="Q297" s="258"/>
      <c r="R297" s="258"/>
      <c r="S297" s="258"/>
      <c r="T297" s="258"/>
      <c r="U297" s="258"/>
      <c r="V297" s="258"/>
      <c r="W297" s="258"/>
      <c r="X297" s="5"/>
    </row>
    <row r="298" spans="1:24" ht="15.6" x14ac:dyDescent="0.3">
      <c r="A298" s="219"/>
      <c r="B298" s="222"/>
      <c r="C298" s="222"/>
      <c r="D298" s="222"/>
      <c r="E298" s="222"/>
      <c r="F298" s="222"/>
      <c r="G298" s="260"/>
      <c r="H298" s="258"/>
      <c r="I298" s="258"/>
      <c r="J298" s="258"/>
      <c r="K298" s="258"/>
      <c r="L298" s="258"/>
      <c r="M298" s="258"/>
      <c r="N298" s="258"/>
      <c r="O298" s="258"/>
      <c r="P298" s="258"/>
      <c r="Q298" s="258"/>
      <c r="R298" s="258"/>
      <c r="S298" s="258"/>
      <c r="T298" s="258"/>
      <c r="U298" s="258"/>
      <c r="V298" s="258"/>
      <c r="W298" s="258"/>
      <c r="X298" s="5"/>
    </row>
    <row r="299" spans="1:24" ht="15.6" x14ac:dyDescent="0.3">
      <c r="A299" s="219"/>
      <c r="B299" s="222"/>
      <c r="C299" s="222"/>
      <c r="D299" s="222"/>
      <c r="E299" s="222"/>
      <c r="F299" s="222"/>
      <c r="G299" s="260"/>
      <c r="H299" s="258"/>
      <c r="I299" s="258"/>
      <c r="J299" s="258"/>
      <c r="K299" s="258"/>
      <c r="L299" s="258"/>
      <c r="M299" s="258"/>
      <c r="N299" s="258"/>
      <c r="O299" s="258"/>
      <c r="P299" s="258"/>
      <c r="Q299" s="258"/>
      <c r="R299" s="258"/>
      <c r="S299" s="258"/>
      <c r="T299" s="258"/>
      <c r="U299" s="258"/>
      <c r="V299" s="258"/>
      <c r="W299" s="258"/>
      <c r="X299" s="5"/>
    </row>
    <row r="300" spans="1:24" ht="18" thickBot="1" x14ac:dyDescent="0.35">
      <c r="A300" s="219"/>
      <c r="B300" s="261" t="str">
        <f>B204</f>
        <v>PM14 INVESTOR REPORT QUARTER ENDING MAY 2011</v>
      </c>
      <c r="C300" s="222"/>
      <c r="D300" s="222"/>
      <c r="E300" s="222"/>
      <c r="F300" s="222"/>
      <c r="G300" s="260"/>
      <c r="H300" s="258"/>
      <c r="I300" s="258"/>
      <c r="J300" s="258"/>
      <c r="K300" s="258"/>
      <c r="L300" s="258"/>
      <c r="M300" s="258"/>
      <c r="N300" s="258"/>
      <c r="O300" s="258"/>
      <c r="P300" s="258"/>
      <c r="Q300" s="258"/>
      <c r="R300" s="258"/>
      <c r="S300" s="258"/>
      <c r="T300" s="258"/>
      <c r="U300" s="258"/>
      <c r="V300" s="258"/>
      <c r="W300" s="258"/>
      <c r="X300" s="5"/>
    </row>
    <row r="301" spans="1:24" x14ac:dyDescent="0.25">
      <c r="A301" s="100"/>
      <c r="B301" s="100"/>
      <c r="C301" s="100"/>
      <c r="D301" s="100"/>
      <c r="E301" s="100"/>
      <c r="F301" s="100"/>
      <c r="G301" s="100"/>
      <c r="H301" s="100"/>
      <c r="I301" s="100"/>
      <c r="J301" s="100"/>
      <c r="K301" s="100"/>
      <c r="L301" s="100"/>
      <c r="M301" s="100"/>
      <c r="N301" s="100"/>
      <c r="O301" s="100"/>
      <c r="P301" s="100"/>
      <c r="Q301" s="100"/>
      <c r="R301" s="100"/>
      <c r="S301" s="100"/>
      <c r="T301" s="100"/>
      <c r="U301" s="100"/>
      <c r="V301" s="100"/>
      <c r="W301" s="100"/>
    </row>
  </sheetData>
  <phoneticPr fontId="0" type="noConversion"/>
  <hyperlinks>
    <hyperlink ref="P240" r:id="rId1" xr:uid="{00000000-0004-0000-0F00-000000000000}"/>
    <hyperlink ref="I9" r:id="rId2" xr:uid="{00000000-0004-0000-0F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8" max="14" man="1"/>
    <brk id="204" max="14" man="1"/>
  </rowBreaks>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6"/>
  </sheetPr>
  <dimension ref="A1:IV301"/>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80"/>
      <c r="B1" s="220" t="s">
        <v>244</v>
      </c>
      <c r="C1" s="181"/>
      <c r="D1" s="181"/>
      <c r="E1" s="181"/>
      <c r="F1" s="181"/>
      <c r="G1" s="181"/>
      <c r="H1" s="181"/>
      <c r="I1" s="181"/>
      <c r="J1" s="181"/>
      <c r="K1" s="181"/>
      <c r="L1" s="181"/>
      <c r="M1" s="181"/>
      <c r="N1" s="181"/>
      <c r="O1" s="181"/>
      <c r="P1" s="181"/>
      <c r="Q1" s="181"/>
      <c r="R1" s="181"/>
      <c r="S1" s="181"/>
      <c r="T1" s="181"/>
      <c r="U1" s="181"/>
      <c r="V1" s="181"/>
      <c r="W1" s="181"/>
      <c r="X1" s="5"/>
    </row>
    <row r="2" spans="1:24" ht="15.6" x14ac:dyDescent="0.3">
      <c r="A2" s="183"/>
      <c r="B2" s="184"/>
      <c r="C2" s="185"/>
      <c r="D2" s="185"/>
      <c r="E2" s="185"/>
      <c r="F2" s="185"/>
      <c r="G2" s="185"/>
      <c r="H2" s="185"/>
      <c r="I2" s="185"/>
      <c r="J2" s="185"/>
      <c r="K2" s="185"/>
      <c r="L2" s="185"/>
      <c r="M2" s="185"/>
      <c r="N2" s="185"/>
      <c r="O2" s="185"/>
      <c r="P2" s="185"/>
      <c r="Q2" s="185"/>
      <c r="R2" s="185"/>
      <c r="S2" s="185"/>
      <c r="T2" s="185"/>
      <c r="U2" s="185"/>
      <c r="V2" s="185"/>
      <c r="W2" s="185"/>
      <c r="X2" s="5"/>
    </row>
    <row r="3" spans="1:24" ht="15.6" x14ac:dyDescent="0.3">
      <c r="A3" s="186"/>
      <c r="B3" s="187" t="s">
        <v>245</v>
      </c>
      <c r="C3" s="185"/>
      <c r="D3" s="185"/>
      <c r="E3" s="185"/>
      <c r="F3" s="185"/>
      <c r="G3" s="185"/>
      <c r="H3" s="185"/>
      <c r="I3" s="185"/>
      <c r="J3" s="185"/>
      <c r="K3" s="185"/>
      <c r="L3" s="185"/>
      <c r="M3" s="185"/>
      <c r="N3" s="185"/>
      <c r="O3" s="185"/>
      <c r="P3" s="185"/>
      <c r="Q3" s="185"/>
      <c r="R3" s="185"/>
      <c r="S3" s="185"/>
      <c r="T3" s="185"/>
      <c r="U3" s="185"/>
      <c r="V3" s="185"/>
      <c r="W3" s="185"/>
      <c r="X3" s="5"/>
    </row>
    <row r="4" spans="1:24" ht="15.6" x14ac:dyDescent="0.3">
      <c r="A4" s="183"/>
      <c r="B4" s="184"/>
      <c r="C4" s="185"/>
      <c r="D4" s="185"/>
      <c r="E4" s="185"/>
      <c r="F4" s="185"/>
      <c r="G4" s="185"/>
      <c r="H4" s="185"/>
      <c r="I4" s="185"/>
      <c r="J4" s="185"/>
      <c r="K4" s="185"/>
      <c r="L4" s="185"/>
      <c r="M4" s="185"/>
      <c r="N4" s="185"/>
      <c r="O4" s="185"/>
      <c r="P4" s="185"/>
      <c r="Q4" s="185"/>
      <c r="R4" s="185"/>
      <c r="S4" s="185"/>
      <c r="T4" s="185"/>
      <c r="U4" s="185"/>
      <c r="V4" s="185"/>
      <c r="W4" s="185"/>
      <c r="X4" s="5"/>
    </row>
    <row r="5" spans="1:24" ht="15.6" x14ac:dyDescent="0.3">
      <c r="A5" s="183"/>
      <c r="B5" s="221" t="s">
        <v>137</v>
      </c>
      <c r="C5" s="185"/>
      <c r="D5" s="185"/>
      <c r="E5" s="185"/>
      <c r="F5" s="185"/>
      <c r="G5" s="185"/>
      <c r="H5" s="185"/>
      <c r="I5" s="185"/>
      <c r="J5" s="185"/>
      <c r="K5" s="185"/>
      <c r="L5" s="185"/>
      <c r="M5" s="185"/>
      <c r="N5" s="185"/>
      <c r="O5" s="185"/>
      <c r="P5" s="185"/>
      <c r="Q5" s="185"/>
      <c r="R5" s="185"/>
      <c r="S5" s="185"/>
      <c r="T5" s="185"/>
      <c r="U5" s="185"/>
      <c r="V5" s="185"/>
      <c r="W5" s="185"/>
      <c r="X5" s="5"/>
    </row>
    <row r="6" spans="1:24" ht="15.6" x14ac:dyDescent="0.3">
      <c r="A6" s="183"/>
      <c r="B6" s="221" t="s">
        <v>139</v>
      </c>
      <c r="C6" s="185"/>
      <c r="D6" s="185"/>
      <c r="E6" s="185"/>
      <c r="F6" s="185"/>
      <c r="G6" s="185"/>
      <c r="H6" s="185"/>
      <c r="I6" s="185"/>
      <c r="J6" s="185"/>
      <c r="K6" s="185"/>
      <c r="L6" s="185"/>
      <c r="M6" s="185"/>
      <c r="N6" s="185"/>
      <c r="O6" s="185"/>
      <c r="P6" s="185"/>
      <c r="Q6" s="185"/>
      <c r="R6" s="185"/>
      <c r="S6" s="185"/>
      <c r="T6" s="185"/>
      <c r="U6" s="185"/>
      <c r="V6" s="185"/>
      <c r="W6" s="185"/>
      <c r="X6" s="5"/>
    </row>
    <row r="7" spans="1:24" ht="15.6" x14ac:dyDescent="0.3">
      <c r="A7" s="183"/>
      <c r="B7" s="221" t="s">
        <v>138</v>
      </c>
      <c r="C7" s="185"/>
      <c r="D7" s="185"/>
      <c r="E7" s="185"/>
      <c r="F7" s="185"/>
      <c r="G7" s="185"/>
      <c r="H7" s="185"/>
      <c r="I7" s="185"/>
      <c r="J7" s="185"/>
      <c r="K7" s="185"/>
      <c r="L7" s="185"/>
      <c r="M7" s="185"/>
      <c r="N7" s="185"/>
      <c r="O7" s="185"/>
      <c r="P7" s="185"/>
      <c r="Q7" s="185"/>
      <c r="R7" s="185"/>
      <c r="S7" s="185"/>
      <c r="T7" s="185"/>
      <c r="U7" s="185"/>
      <c r="V7" s="185"/>
      <c r="W7" s="185"/>
      <c r="X7" s="5"/>
    </row>
    <row r="8" spans="1:24" ht="15.6" x14ac:dyDescent="0.3">
      <c r="A8" s="183"/>
      <c r="B8" s="188"/>
      <c r="C8" s="185"/>
      <c r="D8" s="185"/>
      <c r="E8" s="185"/>
      <c r="F8" s="185"/>
      <c r="G8" s="185"/>
      <c r="H8" s="185"/>
      <c r="I8" s="185"/>
      <c r="J8" s="185"/>
      <c r="K8" s="185"/>
      <c r="L8" s="185"/>
      <c r="M8" s="185"/>
      <c r="N8" s="185"/>
      <c r="O8" s="185"/>
      <c r="P8" s="185"/>
      <c r="Q8" s="185"/>
      <c r="R8" s="185"/>
      <c r="S8" s="185"/>
      <c r="T8" s="185"/>
      <c r="U8" s="185"/>
      <c r="V8" s="185"/>
      <c r="W8" s="185"/>
      <c r="X8" s="5"/>
    </row>
    <row r="9" spans="1:24" ht="17.399999999999999" x14ac:dyDescent="0.3">
      <c r="A9" s="183"/>
      <c r="B9" s="189" t="s">
        <v>166</v>
      </c>
      <c r="C9" s="185"/>
      <c r="D9" s="185"/>
      <c r="E9" s="185"/>
      <c r="F9" s="185"/>
      <c r="G9" s="185"/>
      <c r="H9" s="185"/>
      <c r="I9" s="190" t="s">
        <v>167</v>
      </c>
      <c r="J9" s="185"/>
      <c r="K9" s="185"/>
      <c r="L9" s="190"/>
      <c r="M9" s="185"/>
      <c r="N9" s="190"/>
      <c r="O9" s="185"/>
      <c r="P9" s="185"/>
      <c r="Q9" s="185"/>
      <c r="R9" s="185"/>
      <c r="S9" s="185"/>
      <c r="T9" s="185"/>
      <c r="U9" s="185"/>
      <c r="V9" s="185"/>
      <c r="W9" s="185"/>
      <c r="X9" s="5"/>
    </row>
    <row r="10" spans="1:24" ht="15.6" x14ac:dyDescent="0.3">
      <c r="A10" s="183"/>
      <c r="B10" s="188"/>
      <c r="C10" s="191"/>
      <c r="D10" s="191"/>
      <c r="E10" s="191"/>
      <c r="F10" s="185"/>
      <c r="G10" s="185"/>
      <c r="H10" s="185"/>
      <c r="I10" s="185"/>
      <c r="J10" s="185"/>
      <c r="K10" s="185"/>
      <c r="L10" s="185"/>
      <c r="M10" s="185"/>
      <c r="N10" s="185"/>
      <c r="O10" s="185"/>
      <c r="P10" s="185"/>
      <c r="Q10" s="185"/>
      <c r="R10" s="185"/>
      <c r="S10" s="185"/>
      <c r="T10" s="185"/>
      <c r="U10" s="185"/>
      <c r="V10" s="185"/>
      <c r="W10" s="185"/>
      <c r="X10" s="5"/>
    </row>
    <row r="11" spans="1:24" ht="15.6" x14ac:dyDescent="0.3">
      <c r="A11" s="183"/>
      <c r="B11" s="222" t="s">
        <v>0</v>
      </c>
      <c r="C11" s="185"/>
      <c r="D11" s="185"/>
      <c r="E11" s="185"/>
      <c r="F11" s="185"/>
      <c r="G11" s="185"/>
      <c r="H11" s="185"/>
      <c r="I11" s="185"/>
      <c r="J11" s="185"/>
      <c r="K11" s="185"/>
      <c r="L11" s="185"/>
      <c r="M11" s="185"/>
      <c r="N11" s="185"/>
      <c r="O11" s="185"/>
      <c r="P11" s="185"/>
      <c r="Q11" s="185"/>
      <c r="R11" s="185"/>
      <c r="S11" s="185"/>
      <c r="T11" s="185"/>
      <c r="U11" s="185"/>
      <c r="V11" s="185"/>
      <c r="W11" s="185"/>
      <c r="X11" s="5"/>
    </row>
    <row r="12" spans="1:24" ht="16.2" thickBot="1" x14ac:dyDescent="0.35">
      <c r="A12" s="183"/>
      <c r="B12" s="191"/>
      <c r="C12" s="185"/>
      <c r="D12" s="185"/>
      <c r="E12" s="185"/>
      <c r="F12" s="185"/>
      <c r="G12" s="185"/>
      <c r="H12" s="185"/>
      <c r="I12" s="185"/>
      <c r="J12" s="185"/>
      <c r="K12" s="185"/>
      <c r="L12" s="185"/>
      <c r="M12" s="185"/>
      <c r="N12" s="185"/>
      <c r="O12" s="185"/>
      <c r="P12" s="185"/>
      <c r="Q12" s="185"/>
      <c r="R12" s="185"/>
      <c r="S12" s="185"/>
      <c r="T12" s="185"/>
      <c r="U12" s="185"/>
      <c r="V12" s="185"/>
      <c r="W12" s="185"/>
      <c r="X12" s="5"/>
    </row>
    <row r="13" spans="1:24" ht="15.6" x14ac:dyDescent="0.3">
      <c r="A13" s="180"/>
      <c r="B13" s="181"/>
      <c r="C13" s="181"/>
      <c r="D13" s="181"/>
      <c r="E13" s="181"/>
      <c r="F13" s="181"/>
      <c r="G13" s="181"/>
      <c r="H13" s="181"/>
      <c r="I13" s="181"/>
      <c r="J13" s="181"/>
      <c r="K13" s="181"/>
      <c r="L13" s="181"/>
      <c r="M13" s="181"/>
      <c r="N13" s="181"/>
      <c r="O13" s="181"/>
      <c r="P13" s="181"/>
      <c r="Q13" s="181"/>
      <c r="R13" s="181"/>
      <c r="S13" s="181"/>
      <c r="T13" s="181"/>
      <c r="U13" s="181"/>
      <c r="V13" s="181"/>
      <c r="W13" s="181"/>
      <c r="X13" s="5"/>
    </row>
    <row r="14" spans="1:24" ht="15.6" x14ac:dyDescent="0.3">
      <c r="A14" s="183"/>
      <c r="B14" s="222" t="s">
        <v>1</v>
      </c>
      <c r="C14" s="192"/>
      <c r="D14" s="192"/>
      <c r="E14" s="192"/>
      <c r="F14" s="192"/>
      <c r="G14" s="192"/>
      <c r="H14" s="192"/>
      <c r="I14" s="192"/>
      <c r="J14" s="192"/>
      <c r="K14" s="192"/>
      <c r="L14" s="192"/>
      <c r="M14" s="192"/>
      <c r="N14" s="192"/>
      <c r="O14" s="192"/>
      <c r="P14" s="192"/>
      <c r="Q14" s="192"/>
      <c r="R14" s="224"/>
      <c r="S14" s="224"/>
      <c r="T14" s="224"/>
      <c r="U14" s="224"/>
      <c r="V14" s="225" t="s">
        <v>246</v>
      </c>
      <c r="W14" s="192"/>
      <c r="X14" s="5"/>
    </row>
    <row r="15" spans="1:24" ht="15.6" x14ac:dyDescent="0.3">
      <c r="A15" s="183"/>
      <c r="B15" s="222" t="s">
        <v>2</v>
      </c>
      <c r="C15" s="192"/>
      <c r="D15" s="192"/>
      <c r="E15" s="192"/>
      <c r="F15" s="192"/>
      <c r="G15" s="192"/>
      <c r="H15" s="193"/>
      <c r="I15" s="193"/>
      <c r="J15" s="193"/>
      <c r="K15" s="193"/>
      <c r="L15" s="193"/>
      <c r="M15" s="193"/>
      <c r="N15" s="193"/>
      <c r="O15" s="193"/>
      <c r="P15" s="193"/>
      <c r="Q15" s="193"/>
      <c r="R15" s="226" t="s">
        <v>104</v>
      </c>
      <c r="S15" s="227">
        <v>0.38300000000000001</v>
      </c>
      <c r="T15" s="228" t="s">
        <v>140</v>
      </c>
      <c r="U15" s="227">
        <v>0.61699999999999999</v>
      </c>
      <c r="V15" s="225"/>
      <c r="W15" s="192"/>
      <c r="X15" s="5"/>
    </row>
    <row r="16" spans="1:24" ht="15.6" x14ac:dyDescent="0.3">
      <c r="A16" s="183"/>
      <c r="B16" s="222" t="s">
        <v>3</v>
      </c>
      <c r="C16" s="192"/>
      <c r="D16" s="192"/>
      <c r="E16" s="192"/>
      <c r="F16" s="192"/>
      <c r="G16" s="192"/>
      <c r="H16" s="193"/>
      <c r="I16" s="193"/>
      <c r="J16" s="193"/>
      <c r="K16" s="193"/>
      <c r="L16" s="193"/>
      <c r="M16" s="193"/>
      <c r="N16" s="193"/>
      <c r="O16" s="193"/>
      <c r="P16" s="193"/>
      <c r="Q16" s="193"/>
      <c r="R16" s="226" t="s">
        <v>104</v>
      </c>
      <c r="S16" s="227">
        <v>0.45490000000000003</v>
      </c>
      <c r="T16" s="228" t="s">
        <v>140</v>
      </c>
      <c r="U16" s="227">
        <v>0.54510000000000003</v>
      </c>
      <c r="V16" s="225"/>
      <c r="W16" s="192"/>
      <c r="X16" s="5"/>
    </row>
    <row r="17" spans="1:24" ht="15.6" x14ac:dyDescent="0.3">
      <c r="A17" s="183"/>
      <c r="B17" s="222" t="s">
        <v>4</v>
      </c>
      <c r="C17" s="192"/>
      <c r="D17" s="192"/>
      <c r="E17" s="192"/>
      <c r="F17" s="192"/>
      <c r="G17" s="192"/>
      <c r="H17" s="192"/>
      <c r="I17" s="192"/>
      <c r="J17" s="192"/>
      <c r="K17" s="192"/>
      <c r="L17" s="192"/>
      <c r="M17" s="192"/>
      <c r="N17" s="192"/>
      <c r="O17" s="192"/>
      <c r="P17" s="192"/>
      <c r="Q17" s="192"/>
      <c r="R17" s="224"/>
      <c r="S17" s="224"/>
      <c r="T17" s="224"/>
      <c r="U17" s="224"/>
      <c r="V17" s="229">
        <v>39163</v>
      </c>
      <c r="W17" s="192"/>
      <c r="X17" s="5"/>
    </row>
    <row r="18" spans="1:24" ht="15.6" x14ac:dyDescent="0.3">
      <c r="A18" s="183"/>
      <c r="B18" s="222" t="s">
        <v>5</v>
      </c>
      <c r="C18" s="192"/>
      <c r="D18" s="192"/>
      <c r="E18" s="192"/>
      <c r="F18" s="192"/>
      <c r="G18" s="192"/>
      <c r="H18" s="192"/>
      <c r="I18" s="192"/>
      <c r="J18" s="192"/>
      <c r="K18" s="192"/>
      <c r="L18" s="192"/>
      <c r="M18" s="192"/>
      <c r="N18" s="192"/>
      <c r="O18" s="192"/>
      <c r="P18" s="192"/>
      <c r="Q18" s="192"/>
      <c r="R18" s="224"/>
      <c r="S18" s="224"/>
      <c r="T18" s="224"/>
      <c r="U18" s="224"/>
      <c r="V18" s="229">
        <v>40807</v>
      </c>
      <c r="W18" s="192"/>
      <c r="X18" s="5"/>
    </row>
    <row r="19" spans="1:24" ht="15.6" x14ac:dyDescent="0.3">
      <c r="A19" s="183"/>
      <c r="B19" s="185"/>
      <c r="C19" s="185"/>
      <c r="D19" s="185"/>
      <c r="E19" s="185"/>
      <c r="F19" s="185"/>
      <c r="G19" s="185"/>
      <c r="H19" s="185"/>
      <c r="I19" s="185"/>
      <c r="J19" s="185"/>
      <c r="K19" s="185"/>
      <c r="L19" s="185"/>
      <c r="M19" s="185"/>
      <c r="N19" s="185"/>
      <c r="O19" s="185"/>
      <c r="P19" s="185"/>
      <c r="Q19" s="185"/>
      <c r="R19" s="185"/>
      <c r="S19" s="185"/>
      <c r="T19" s="185"/>
      <c r="U19" s="185"/>
      <c r="V19" s="194"/>
      <c r="W19" s="185"/>
      <c r="X19" s="5"/>
    </row>
    <row r="20" spans="1:24" ht="15.6" x14ac:dyDescent="0.3">
      <c r="A20" s="183"/>
      <c r="B20" s="230" t="s">
        <v>6</v>
      </c>
      <c r="C20" s="185"/>
      <c r="D20" s="185"/>
      <c r="E20" s="185"/>
      <c r="F20" s="185"/>
      <c r="G20" s="185"/>
      <c r="H20" s="185"/>
      <c r="I20" s="185"/>
      <c r="J20" s="185"/>
      <c r="K20" s="185"/>
      <c r="L20" s="185"/>
      <c r="M20" s="185"/>
      <c r="N20" s="185"/>
      <c r="O20" s="185"/>
      <c r="P20" s="185"/>
      <c r="Q20" s="185"/>
      <c r="R20" s="185"/>
      <c r="S20" s="185"/>
      <c r="T20" s="223" t="s">
        <v>105</v>
      </c>
      <c r="U20" s="185"/>
      <c r="V20" s="182"/>
      <c r="W20" s="185"/>
      <c r="X20" s="5"/>
    </row>
    <row r="21" spans="1:24" ht="15.6" x14ac:dyDescent="0.3">
      <c r="A21" s="183"/>
      <c r="B21" s="185"/>
      <c r="C21" s="185"/>
      <c r="D21" s="185"/>
      <c r="E21" s="185"/>
      <c r="F21" s="185"/>
      <c r="G21" s="185"/>
      <c r="H21" s="185"/>
      <c r="I21" s="185"/>
      <c r="J21" s="185"/>
      <c r="K21" s="185"/>
      <c r="L21" s="185"/>
      <c r="M21" s="185"/>
      <c r="N21" s="185"/>
      <c r="O21" s="185"/>
      <c r="P21" s="185"/>
      <c r="Q21" s="185"/>
      <c r="R21" s="185"/>
      <c r="S21" s="185"/>
      <c r="T21" s="185"/>
      <c r="U21" s="185"/>
      <c r="V21" s="196"/>
      <c r="W21" s="185"/>
      <c r="X21" s="5"/>
    </row>
    <row r="22" spans="1:24" ht="15.6" x14ac:dyDescent="0.3">
      <c r="A22" s="262"/>
      <c r="B22" s="263"/>
      <c r="C22" s="264"/>
      <c r="D22" s="264" t="s">
        <v>177</v>
      </c>
      <c r="E22" s="264"/>
      <c r="F22" s="264" t="s">
        <v>178</v>
      </c>
      <c r="G22" s="264"/>
      <c r="H22" s="264" t="s">
        <v>179</v>
      </c>
      <c r="I22" s="264"/>
      <c r="J22" s="264" t="s">
        <v>220</v>
      </c>
      <c r="K22" s="264"/>
      <c r="L22" s="264" t="s">
        <v>180</v>
      </c>
      <c r="M22" s="264"/>
      <c r="N22" s="264" t="s">
        <v>181</v>
      </c>
      <c r="O22" s="264"/>
      <c r="P22" s="264" t="s">
        <v>221</v>
      </c>
      <c r="Q22" s="264"/>
      <c r="R22" s="264" t="s">
        <v>182</v>
      </c>
      <c r="S22" s="266"/>
      <c r="T22" s="266"/>
      <c r="U22" s="267"/>
      <c r="V22" s="267"/>
      <c r="W22" s="263"/>
      <c r="X22" s="5"/>
    </row>
    <row r="23" spans="1:24" ht="15.6" x14ac:dyDescent="0.3">
      <c r="A23" s="287"/>
      <c r="B23" s="288" t="s">
        <v>7</v>
      </c>
      <c r="C23" s="289"/>
      <c r="D23" s="289" t="s">
        <v>213</v>
      </c>
      <c r="E23" s="289"/>
      <c r="F23" s="289" t="s">
        <v>141</v>
      </c>
      <c r="G23" s="289"/>
      <c r="H23" s="289" t="s">
        <v>141</v>
      </c>
      <c r="I23" s="289"/>
      <c r="J23" s="289" t="s">
        <v>141</v>
      </c>
      <c r="K23" s="289"/>
      <c r="L23" s="289" t="s">
        <v>183</v>
      </c>
      <c r="M23" s="289"/>
      <c r="N23" s="289" t="s">
        <v>183</v>
      </c>
      <c r="O23" s="289"/>
      <c r="P23" s="289" t="s">
        <v>142</v>
      </c>
      <c r="Q23" s="289"/>
      <c r="R23" s="289" t="s">
        <v>142</v>
      </c>
      <c r="S23" s="289"/>
      <c r="T23" s="289"/>
      <c r="U23" s="290"/>
      <c r="V23" s="290"/>
      <c r="W23" s="291"/>
      <c r="X23" s="5"/>
    </row>
    <row r="24" spans="1:24" ht="15.6" x14ac:dyDescent="0.3">
      <c r="A24" s="287"/>
      <c r="B24" s="288" t="s">
        <v>8</v>
      </c>
      <c r="C24" s="289"/>
      <c r="D24" s="289" t="s">
        <v>214</v>
      </c>
      <c r="E24" s="289"/>
      <c r="F24" s="289" t="s">
        <v>143</v>
      </c>
      <c r="G24" s="289"/>
      <c r="H24" s="289" t="s">
        <v>143</v>
      </c>
      <c r="I24" s="289"/>
      <c r="J24" s="289" t="s">
        <v>143</v>
      </c>
      <c r="K24" s="289"/>
      <c r="L24" s="289" t="s">
        <v>165</v>
      </c>
      <c r="M24" s="289"/>
      <c r="N24" s="289" t="s">
        <v>165</v>
      </c>
      <c r="O24" s="289"/>
      <c r="P24" s="289" t="s">
        <v>144</v>
      </c>
      <c r="Q24" s="289"/>
      <c r="R24" s="289" t="s">
        <v>144</v>
      </c>
      <c r="S24" s="289"/>
      <c r="T24" s="289"/>
      <c r="U24" s="290"/>
      <c r="V24" s="290"/>
      <c r="W24" s="291"/>
      <c r="X24" s="5"/>
    </row>
    <row r="25" spans="1:24" ht="15.6" x14ac:dyDescent="0.3">
      <c r="A25" s="292"/>
      <c r="B25" s="288" t="s">
        <v>190</v>
      </c>
      <c r="C25" s="398"/>
      <c r="D25" s="289" t="s">
        <v>215</v>
      </c>
      <c r="E25" s="289"/>
      <c r="F25" s="289" t="s">
        <v>143</v>
      </c>
      <c r="G25" s="289"/>
      <c r="H25" s="289" t="s">
        <v>143</v>
      </c>
      <c r="I25" s="289"/>
      <c r="J25" s="289" t="s">
        <v>143</v>
      </c>
      <c r="K25" s="289"/>
      <c r="L25" s="289" t="s">
        <v>293</v>
      </c>
      <c r="M25" s="289"/>
      <c r="N25" s="289" t="s">
        <v>293</v>
      </c>
      <c r="O25" s="289"/>
      <c r="P25" s="289" t="s">
        <v>144</v>
      </c>
      <c r="Q25" s="289"/>
      <c r="R25" s="289" t="s">
        <v>144</v>
      </c>
      <c r="S25" s="398"/>
      <c r="T25" s="289"/>
      <c r="U25" s="290"/>
      <c r="V25" s="290"/>
      <c r="W25" s="291"/>
      <c r="X25" s="5"/>
    </row>
    <row r="26" spans="1:24" ht="15.6" x14ac:dyDescent="0.3">
      <c r="A26" s="292"/>
      <c r="B26" s="295" t="s">
        <v>9</v>
      </c>
      <c r="C26" s="398"/>
      <c r="D26" s="398" t="s">
        <v>213</v>
      </c>
      <c r="E26" s="398"/>
      <c r="F26" s="398" t="s">
        <v>141</v>
      </c>
      <c r="G26" s="398"/>
      <c r="H26" s="398" t="s">
        <v>141</v>
      </c>
      <c r="I26" s="398"/>
      <c r="J26" s="398" t="s">
        <v>141</v>
      </c>
      <c r="K26" s="398"/>
      <c r="L26" s="398" t="s">
        <v>183</v>
      </c>
      <c r="M26" s="398"/>
      <c r="N26" s="398" t="s">
        <v>183</v>
      </c>
      <c r="O26" s="398"/>
      <c r="P26" s="398" t="s">
        <v>142</v>
      </c>
      <c r="Q26" s="398"/>
      <c r="R26" s="398" t="s">
        <v>142</v>
      </c>
      <c r="S26" s="398"/>
      <c r="T26" s="289"/>
      <c r="U26" s="290"/>
      <c r="V26" s="290"/>
      <c r="W26" s="291"/>
      <c r="X26" s="5"/>
    </row>
    <row r="27" spans="1:24" ht="15.6" x14ac:dyDescent="0.3">
      <c r="A27" s="287"/>
      <c r="B27" s="295" t="s">
        <v>191</v>
      </c>
      <c r="C27" s="289"/>
      <c r="D27" s="398" t="s">
        <v>214</v>
      </c>
      <c r="E27" s="398"/>
      <c r="F27" s="398" t="s">
        <v>143</v>
      </c>
      <c r="G27" s="398"/>
      <c r="H27" s="398" t="s">
        <v>143</v>
      </c>
      <c r="I27" s="398"/>
      <c r="J27" s="398" t="s">
        <v>143</v>
      </c>
      <c r="K27" s="398"/>
      <c r="L27" s="398" t="s">
        <v>165</v>
      </c>
      <c r="M27" s="398"/>
      <c r="N27" s="398" t="s">
        <v>165</v>
      </c>
      <c r="O27" s="398"/>
      <c r="P27" s="398" t="s">
        <v>144</v>
      </c>
      <c r="Q27" s="398"/>
      <c r="R27" s="398" t="s">
        <v>144</v>
      </c>
      <c r="S27" s="289"/>
      <c r="T27" s="296"/>
      <c r="U27" s="290"/>
      <c r="V27" s="290"/>
      <c r="W27" s="291"/>
      <c r="X27" s="5"/>
    </row>
    <row r="28" spans="1:24" ht="15.6" x14ac:dyDescent="0.3">
      <c r="A28" s="287"/>
      <c r="B28" s="295" t="s">
        <v>192</v>
      </c>
      <c r="C28" s="289"/>
      <c r="D28" s="398" t="s">
        <v>215</v>
      </c>
      <c r="E28" s="398"/>
      <c r="F28" s="398" t="s">
        <v>143</v>
      </c>
      <c r="G28" s="398"/>
      <c r="H28" s="398" t="s">
        <v>143</v>
      </c>
      <c r="I28" s="398"/>
      <c r="J28" s="398" t="s">
        <v>143</v>
      </c>
      <c r="K28" s="398"/>
      <c r="L28" s="398" t="s">
        <v>293</v>
      </c>
      <c r="M28" s="398"/>
      <c r="N28" s="398" t="s">
        <v>293</v>
      </c>
      <c r="O28" s="398"/>
      <c r="P28" s="398" t="s">
        <v>144</v>
      </c>
      <c r="Q28" s="398"/>
      <c r="R28" s="398" t="s">
        <v>144</v>
      </c>
      <c r="S28" s="289"/>
      <c r="T28" s="296"/>
      <c r="U28" s="290"/>
      <c r="V28" s="290"/>
      <c r="W28" s="291"/>
      <c r="X28" s="5"/>
    </row>
    <row r="29" spans="1:24" ht="15.6" x14ac:dyDescent="0.3">
      <c r="A29" s="287"/>
      <c r="B29" s="288" t="s">
        <v>10</v>
      </c>
      <c r="C29" s="298"/>
      <c r="D29" s="289" t="s">
        <v>249</v>
      </c>
      <c r="E29" s="289"/>
      <c r="F29" s="296" t="s">
        <v>250</v>
      </c>
      <c r="G29" s="289"/>
      <c r="H29" s="289" t="s">
        <v>251</v>
      </c>
      <c r="I29" s="289"/>
      <c r="J29" s="289" t="s">
        <v>253</v>
      </c>
      <c r="K29" s="289"/>
      <c r="L29" s="289" t="s">
        <v>254</v>
      </c>
      <c r="M29" s="289"/>
      <c r="N29" s="289" t="s">
        <v>255</v>
      </c>
      <c r="O29" s="289"/>
      <c r="P29" s="289" t="s">
        <v>256</v>
      </c>
      <c r="Q29" s="289"/>
      <c r="R29" s="289" t="s">
        <v>257</v>
      </c>
      <c r="S29" s="299"/>
      <c r="T29" s="299"/>
      <c r="U29" s="300"/>
      <c r="V29" s="299"/>
      <c r="W29" s="301"/>
      <c r="X29" s="5"/>
    </row>
    <row r="30" spans="1:24" ht="15.6" x14ac:dyDescent="0.3">
      <c r="A30" s="287"/>
      <c r="B30" s="288" t="s">
        <v>10</v>
      </c>
      <c r="C30" s="298"/>
      <c r="D30" s="289" t="s">
        <v>248</v>
      </c>
      <c r="E30" s="289"/>
      <c r="F30" s="296" t="s">
        <v>118</v>
      </c>
      <c r="G30" s="289"/>
      <c r="H30" s="289" t="s">
        <v>118</v>
      </c>
      <c r="I30" s="289"/>
      <c r="J30" s="289" t="s">
        <v>252</v>
      </c>
      <c r="K30" s="289"/>
      <c r="L30" s="289" t="s">
        <v>118</v>
      </c>
      <c r="M30" s="289"/>
      <c r="N30" s="289" t="s">
        <v>118</v>
      </c>
      <c r="O30" s="289"/>
      <c r="P30" s="289" t="s">
        <v>118</v>
      </c>
      <c r="Q30" s="289"/>
      <c r="R30" s="289" t="s">
        <v>118</v>
      </c>
      <c r="S30" s="299"/>
      <c r="T30" s="299"/>
      <c r="U30" s="300"/>
      <c r="V30" s="299"/>
      <c r="W30" s="301"/>
      <c r="X30" s="5"/>
    </row>
    <row r="31" spans="1:24" ht="15.6" x14ac:dyDescent="0.3">
      <c r="A31" s="292"/>
      <c r="B31" s="288" t="s">
        <v>133</v>
      </c>
      <c r="C31" s="302"/>
      <c r="D31" s="303">
        <v>1500000</v>
      </c>
      <c r="E31" s="298"/>
      <c r="F31" s="299">
        <v>125000</v>
      </c>
      <c r="G31" s="299"/>
      <c r="H31" s="304">
        <v>246000</v>
      </c>
      <c r="I31" s="304"/>
      <c r="J31" s="303">
        <v>400000</v>
      </c>
      <c r="K31" s="299"/>
      <c r="L31" s="299">
        <v>51900</v>
      </c>
      <c r="M31" s="299"/>
      <c r="N31" s="304">
        <v>88800</v>
      </c>
      <c r="O31" s="299"/>
      <c r="P31" s="299">
        <v>20000</v>
      </c>
      <c r="Q31" s="299"/>
      <c r="R31" s="304">
        <v>135500</v>
      </c>
      <c r="S31" s="305"/>
      <c r="T31" s="305"/>
      <c r="U31" s="306"/>
      <c r="V31" s="305"/>
      <c r="W31" s="301"/>
      <c r="X31" s="5"/>
    </row>
    <row r="32" spans="1:24" ht="15.6" x14ac:dyDescent="0.3">
      <c r="A32" s="287"/>
      <c r="B32" s="288" t="s">
        <v>132</v>
      </c>
      <c r="C32" s="298"/>
      <c r="D32" s="303">
        <f>D31*D38</f>
        <v>1082809.8</v>
      </c>
      <c r="E32" s="298"/>
      <c r="F32" s="299">
        <f>F31*F38</f>
        <v>90234.225000000006</v>
      </c>
      <c r="G32" s="299"/>
      <c r="H32" s="304">
        <f>H31*H38</f>
        <v>177580.95480000001</v>
      </c>
      <c r="I32" s="304"/>
      <c r="J32" s="303">
        <f>J31*J38</f>
        <v>288749.27999999997</v>
      </c>
      <c r="K32" s="299"/>
      <c r="L32" s="299">
        <f>+L31</f>
        <v>51900</v>
      </c>
      <c r="M32" s="299"/>
      <c r="N32" s="304">
        <f>+N31</f>
        <v>88800</v>
      </c>
      <c r="O32" s="299"/>
      <c r="P32" s="299">
        <f>+P31</f>
        <v>20000</v>
      </c>
      <c r="Q32" s="299"/>
      <c r="R32" s="304">
        <f>+R31</f>
        <v>135500</v>
      </c>
      <c r="S32" s="299"/>
      <c r="T32" s="299"/>
      <c r="U32" s="300"/>
      <c r="V32" s="299"/>
      <c r="W32" s="301"/>
      <c r="X32" s="5"/>
    </row>
    <row r="33" spans="1:24" ht="15.6" x14ac:dyDescent="0.3">
      <c r="A33" s="287"/>
      <c r="B33" s="295" t="s">
        <v>134</v>
      </c>
      <c r="C33" s="298"/>
      <c r="D33" s="307">
        <f>D37*D31</f>
        <v>1076039.55</v>
      </c>
      <c r="E33" s="302"/>
      <c r="F33" s="305">
        <f>F37*F31</f>
        <v>89670.05</v>
      </c>
      <c r="G33" s="305"/>
      <c r="H33" s="308">
        <f>H31*H37</f>
        <v>176470.65840000001</v>
      </c>
      <c r="I33" s="308"/>
      <c r="J33" s="307">
        <f>J37*J31</f>
        <v>286943.88</v>
      </c>
      <c r="K33" s="305"/>
      <c r="L33" s="305">
        <f>L31*L37</f>
        <v>51900</v>
      </c>
      <c r="M33" s="305"/>
      <c r="N33" s="308">
        <f>N31*N37</f>
        <v>88800</v>
      </c>
      <c r="O33" s="305"/>
      <c r="P33" s="305">
        <f>P31*P37</f>
        <v>20000</v>
      </c>
      <c r="Q33" s="305"/>
      <c r="R33" s="308">
        <f>R31*R37</f>
        <v>135500</v>
      </c>
      <c r="S33" s="299"/>
      <c r="T33" s="299"/>
      <c r="U33" s="300"/>
      <c r="V33" s="299"/>
      <c r="W33" s="301"/>
      <c r="X33" s="5"/>
    </row>
    <row r="34" spans="1:24" ht="15.6" x14ac:dyDescent="0.3">
      <c r="A34" s="292"/>
      <c r="B34" s="288" t="s">
        <v>296</v>
      </c>
      <c r="C34" s="302"/>
      <c r="D34" s="299">
        <v>775194</v>
      </c>
      <c r="E34" s="298"/>
      <c r="F34" s="299">
        <v>125000</v>
      </c>
      <c r="G34" s="299"/>
      <c r="H34" s="299">
        <v>168148</v>
      </c>
      <c r="I34" s="299"/>
      <c r="J34" s="299">
        <v>206718</v>
      </c>
      <c r="K34" s="299"/>
      <c r="L34" s="299">
        <v>51900</v>
      </c>
      <c r="M34" s="299"/>
      <c r="N34" s="299">
        <v>60697</v>
      </c>
      <c r="O34" s="299"/>
      <c r="P34" s="299">
        <v>20000</v>
      </c>
      <c r="Q34" s="299"/>
      <c r="R34" s="299">
        <v>92618</v>
      </c>
      <c r="S34" s="305"/>
      <c r="T34" s="305"/>
      <c r="U34" s="306"/>
      <c r="V34" s="299">
        <f>SUM(C34:R34)</f>
        <v>1500275</v>
      </c>
      <c r="W34" s="301"/>
      <c r="X34" s="5"/>
    </row>
    <row r="35" spans="1:24" ht="15.6" x14ac:dyDescent="0.3">
      <c r="A35" s="292"/>
      <c r="B35" s="288" t="s">
        <v>297</v>
      </c>
      <c r="C35" s="302"/>
      <c r="D35" s="299">
        <f>D34*D38</f>
        <v>559591.77340079995</v>
      </c>
      <c r="E35" s="298"/>
      <c r="F35" s="299">
        <f>F34*F38</f>
        <v>90234.225000000006</v>
      </c>
      <c r="G35" s="299"/>
      <c r="H35" s="299">
        <f>H34*H38</f>
        <v>121381.63572239999</v>
      </c>
      <c r="I35" s="299"/>
      <c r="J35" s="299">
        <f>J34*J38</f>
        <v>149224.18415759999</v>
      </c>
      <c r="K35" s="299"/>
      <c r="L35" s="299">
        <f>+L34</f>
        <v>51900</v>
      </c>
      <c r="M35" s="299"/>
      <c r="N35" s="299">
        <f>+N34</f>
        <v>60697</v>
      </c>
      <c r="O35" s="299"/>
      <c r="P35" s="299">
        <f>+P34</f>
        <v>20000</v>
      </c>
      <c r="Q35" s="299"/>
      <c r="R35" s="299">
        <f>+R34</f>
        <v>92618</v>
      </c>
      <c r="S35" s="299"/>
      <c r="T35" s="299"/>
      <c r="U35" s="300"/>
      <c r="V35" s="299">
        <f>SUM(C35:R35)</f>
        <v>1145646.8182808</v>
      </c>
      <c r="W35" s="301"/>
      <c r="X35" s="5"/>
    </row>
    <row r="36" spans="1:24" ht="15.6" x14ac:dyDescent="0.3">
      <c r="A36" s="292"/>
      <c r="B36" s="295" t="s">
        <v>298</v>
      </c>
      <c r="C36" s="302"/>
      <c r="D36" s="305">
        <f>D34*D37</f>
        <v>556092.93528179999</v>
      </c>
      <c r="E36" s="302"/>
      <c r="F36" s="305">
        <f>F34*F37</f>
        <v>89670.05</v>
      </c>
      <c r="G36" s="305"/>
      <c r="H36" s="305">
        <f>H34*H37</f>
        <v>120622.7165392</v>
      </c>
      <c r="I36" s="305"/>
      <c r="J36" s="305">
        <f>J34*J37</f>
        <v>148291.1624646</v>
      </c>
      <c r="K36" s="305"/>
      <c r="L36" s="305">
        <f>L34*L37</f>
        <v>51900</v>
      </c>
      <c r="M36" s="305"/>
      <c r="N36" s="305">
        <f>N34*N37</f>
        <v>60697</v>
      </c>
      <c r="O36" s="305"/>
      <c r="P36" s="305">
        <f>P34*P37</f>
        <v>20000</v>
      </c>
      <c r="Q36" s="305"/>
      <c r="R36" s="305">
        <f>R34*R37</f>
        <v>92618</v>
      </c>
      <c r="S36" s="328"/>
      <c r="T36" s="328"/>
      <c r="U36" s="300"/>
      <c r="V36" s="305">
        <f>SUM(C36:R36)</f>
        <v>1139891.8642856001</v>
      </c>
      <c r="W36" s="301"/>
      <c r="X36" s="5"/>
    </row>
    <row r="37" spans="1:24" ht="15.6" x14ac:dyDescent="0.3">
      <c r="A37" s="287"/>
      <c r="B37" s="313" t="s">
        <v>130</v>
      </c>
      <c r="C37" s="314"/>
      <c r="D37" s="315">
        <v>0.71735970000000004</v>
      </c>
      <c r="E37" s="315"/>
      <c r="F37" s="315">
        <v>0.71736040000000001</v>
      </c>
      <c r="G37" s="315"/>
      <c r="H37" s="315">
        <v>0.71736040000000001</v>
      </c>
      <c r="I37" s="315"/>
      <c r="J37" s="315">
        <v>0.71735970000000004</v>
      </c>
      <c r="K37" s="315"/>
      <c r="L37" s="315">
        <v>1</v>
      </c>
      <c r="M37" s="315"/>
      <c r="N37" s="315">
        <v>1</v>
      </c>
      <c r="O37" s="315"/>
      <c r="P37" s="315">
        <v>1</v>
      </c>
      <c r="Q37" s="315"/>
      <c r="R37" s="315">
        <v>1</v>
      </c>
      <c r="S37" s="316"/>
      <c r="T37" s="316"/>
      <c r="U37" s="317"/>
      <c r="V37" s="317"/>
      <c r="W37" s="318"/>
      <c r="X37" s="5"/>
    </row>
    <row r="38" spans="1:24" ht="15.6" x14ac:dyDescent="0.3">
      <c r="A38" s="287"/>
      <c r="B38" s="313" t="s">
        <v>131</v>
      </c>
      <c r="C38" s="314"/>
      <c r="D38" s="315">
        <v>0.72187319999999999</v>
      </c>
      <c r="E38" s="315"/>
      <c r="F38" s="315">
        <v>0.72187380000000001</v>
      </c>
      <c r="G38" s="315"/>
      <c r="H38" s="315">
        <v>0.72187380000000001</v>
      </c>
      <c r="I38" s="315"/>
      <c r="J38" s="315">
        <v>0.72187319999999999</v>
      </c>
      <c r="K38" s="315"/>
      <c r="L38" s="315">
        <v>1</v>
      </c>
      <c r="M38" s="315"/>
      <c r="N38" s="315">
        <v>1</v>
      </c>
      <c r="O38" s="315"/>
      <c r="P38" s="315">
        <v>1</v>
      </c>
      <c r="Q38" s="315"/>
      <c r="R38" s="315">
        <v>1</v>
      </c>
      <c r="S38" s="319"/>
      <c r="T38" s="320"/>
      <c r="U38" s="317"/>
      <c r="V38" s="319"/>
      <c r="W38" s="318"/>
      <c r="X38" s="5"/>
    </row>
    <row r="39" spans="1:24" ht="15.6" x14ac:dyDescent="0.3">
      <c r="A39" s="287"/>
      <c r="B39" s="288" t="s">
        <v>11</v>
      </c>
      <c r="C39" s="288"/>
      <c r="D39" s="296" t="s">
        <v>285</v>
      </c>
      <c r="E39" s="288"/>
      <c r="F39" s="296" t="s">
        <v>258</v>
      </c>
      <c r="G39" s="296"/>
      <c r="H39" s="296" t="s">
        <v>258</v>
      </c>
      <c r="I39" s="296"/>
      <c r="J39" s="296" t="s">
        <v>258</v>
      </c>
      <c r="K39" s="296"/>
      <c r="L39" s="296" t="s">
        <v>232</v>
      </c>
      <c r="M39" s="296"/>
      <c r="N39" s="296" t="s">
        <v>232</v>
      </c>
      <c r="O39" s="296"/>
      <c r="P39" s="296" t="s">
        <v>233</v>
      </c>
      <c r="Q39" s="296"/>
      <c r="R39" s="296" t="s">
        <v>233</v>
      </c>
      <c r="S39" s="321"/>
      <c r="T39" s="322"/>
      <c r="U39" s="290"/>
      <c r="V39" s="290"/>
      <c r="W39" s="291"/>
      <c r="X39" s="5"/>
    </row>
    <row r="40" spans="1:24" ht="15.6" x14ac:dyDescent="0.3">
      <c r="A40" s="287"/>
      <c r="B40" s="288" t="s">
        <v>12</v>
      </c>
      <c r="C40" s="288"/>
      <c r="D40" s="322">
        <v>3.0722000000000002E-3</v>
      </c>
      <c r="E40" s="288"/>
      <c r="F40" s="322">
        <v>9.2437999999999999E-3</v>
      </c>
      <c r="G40" s="321"/>
      <c r="H40" s="322">
        <v>1.5709999999999998E-2</v>
      </c>
      <c r="I40" s="322"/>
      <c r="J40" s="322">
        <v>3.47E-3</v>
      </c>
      <c r="K40" s="321"/>
      <c r="L40" s="322">
        <v>1.00438E-2</v>
      </c>
      <c r="M40" s="321"/>
      <c r="N40" s="322">
        <v>1.651E-2</v>
      </c>
      <c r="O40" s="321"/>
      <c r="P40" s="322">
        <v>1.20438E-2</v>
      </c>
      <c r="Q40" s="321"/>
      <c r="R40" s="322">
        <v>1.8509999999999999E-2</v>
      </c>
      <c r="S40" s="321"/>
      <c r="T40" s="322"/>
      <c r="U40" s="290"/>
      <c r="V40" s="296"/>
      <c r="W40" s="291"/>
      <c r="X40" s="5"/>
    </row>
    <row r="41" spans="1:24" ht="15.6" x14ac:dyDescent="0.3">
      <c r="A41" s="287"/>
      <c r="B41" s="288" t="s">
        <v>13</v>
      </c>
      <c r="C41" s="288"/>
      <c r="D41" s="322">
        <v>2.98E-3</v>
      </c>
      <c r="E41" s="288"/>
      <c r="F41" s="322">
        <v>9.0562999999999998E-3</v>
      </c>
      <c r="G41" s="321"/>
      <c r="H41" s="322">
        <v>1.273E-2</v>
      </c>
      <c r="I41" s="322"/>
      <c r="J41" s="322">
        <v>4.0949999999999997E-3</v>
      </c>
      <c r="K41" s="321"/>
      <c r="L41" s="322">
        <v>9.8563000000000001E-3</v>
      </c>
      <c r="M41" s="321"/>
      <c r="N41" s="322">
        <v>1.353E-2</v>
      </c>
      <c r="O41" s="321"/>
      <c r="P41" s="322">
        <v>1.18563E-2</v>
      </c>
      <c r="Q41" s="321"/>
      <c r="R41" s="322">
        <v>1.553E-2</v>
      </c>
      <c r="S41" s="321"/>
      <c r="T41" s="322"/>
      <c r="U41" s="290"/>
      <c r="V41" s="321" t="s">
        <v>193</v>
      </c>
      <c r="W41" s="291"/>
      <c r="X41" s="5"/>
    </row>
    <row r="42" spans="1:24" ht="15.6" x14ac:dyDescent="0.3">
      <c r="A42" s="287"/>
      <c r="B42" s="288" t="s">
        <v>299</v>
      </c>
      <c r="C42" s="288"/>
      <c r="D42" s="296" t="s">
        <v>286</v>
      </c>
      <c r="E42" s="288"/>
      <c r="F42" s="296" t="s">
        <v>258</v>
      </c>
      <c r="G42" s="296"/>
      <c r="H42" s="296" t="s">
        <v>259</v>
      </c>
      <c r="I42" s="296"/>
      <c r="J42" s="296" t="s">
        <v>260</v>
      </c>
      <c r="K42" s="296"/>
      <c r="L42" s="296" t="s">
        <v>232</v>
      </c>
      <c r="M42" s="296"/>
      <c r="N42" s="296" t="s">
        <v>235</v>
      </c>
      <c r="O42" s="296"/>
      <c r="P42" s="296" t="s">
        <v>233</v>
      </c>
      <c r="Q42" s="296"/>
      <c r="R42" s="296" t="s">
        <v>261</v>
      </c>
      <c r="S42" s="321"/>
      <c r="T42" s="322"/>
      <c r="U42" s="290"/>
      <c r="V42" s="290"/>
      <c r="W42" s="291"/>
      <c r="X42" s="5"/>
    </row>
    <row r="43" spans="1:24" ht="15.6" x14ac:dyDescent="0.3">
      <c r="A43" s="287"/>
      <c r="B43" s="288" t="s">
        <v>300</v>
      </c>
      <c r="C43" s="323"/>
      <c r="D43" s="322">
        <v>9.5828000000000007E-3</v>
      </c>
      <c r="E43" s="322"/>
      <c r="F43" s="322">
        <f>+F40</f>
        <v>9.2437999999999999E-3</v>
      </c>
      <c r="G43" s="322"/>
      <c r="H43" s="322">
        <v>9.3837999999999994E-3</v>
      </c>
      <c r="I43" s="322"/>
      <c r="J43" s="322">
        <v>9.6068000000000004E-3</v>
      </c>
      <c r="K43" s="322"/>
      <c r="L43" s="322">
        <f>+L40</f>
        <v>1.00438E-2</v>
      </c>
      <c r="M43" s="322"/>
      <c r="N43" s="322">
        <v>1.03398E-2</v>
      </c>
      <c r="O43" s="322"/>
      <c r="P43" s="322">
        <f>+P40</f>
        <v>1.20438E-2</v>
      </c>
      <c r="Q43" s="321"/>
      <c r="R43" s="322">
        <v>1.2576800000000001E-2</v>
      </c>
      <c r="S43" s="296"/>
      <c r="T43" s="296"/>
      <c r="U43" s="290"/>
      <c r="V43" s="321">
        <f>SUMPRODUCT(D43:R43,D35:R35)/V35</f>
        <v>9.8841396870023943E-3</v>
      </c>
      <c r="W43" s="291"/>
      <c r="X43" s="5"/>
    </row>
    <row r="44" spans="1:24" ht="15.6" x14ac:dyDescent="0.3">
      <c r="A44" s="287"/>
      <c r="B44" s="288" t="s">
        <v>301</v>
      </c>
      <c r="C44" s="323"/>
      <c r="D44" s="322">
        <v>9.3953000000000005E-3</v>
      </c>
      <c r="E44" s="322"/>
      <c r="F44" s="322">
        <f>+F41</f>
        <v>9.0562999999999998E-3</v>
      </c>
      <c r="G44" s="322"/>
      <c r="H44" s="322">
        <v>9.1962999999999993E-3</v>
      </c>
      <c r="I44" s="322"/>
      <c r="J44" s="322">
        <v>9.4193000000000002E-3</v>
      </c>
      <c r="K44" s="322"/>
      <c r="L44" s="322">
        <f>+L41</f>
        <v>9.8563000000000001E-3</v>
      </c>
      <c r="M44" s="322"/>
      <c r="N44" s="322">
        <v>1.01523E-2</v>
      </c>
      <c r="O44" s="322"/>
      <c r="P44" s="322">
        <f>+P41</f>
        <v>1.18563E-2</v>
      </c>
      <c r="Q44" s="321"/>
      <c r="R44" s="322">
        <v>1.2389300000000001E-2</v>
      </c>
      <c r="S44" s="296"/>
      <c r="T44" s="296"/>
      <c r="U44" s="290"/>
      <c r="V44" s="290"/>
      <c r="W44" s="291"/>
      <c r="X44" s="5"/>
    </row>
    <row r="45" spans="1:24" ht="15.6" x14ac:dyDescent="0.3">
      <c r="A45" s="287"/>
      <c r="B45" s="288" t="s">
        <v>14</v>
      </c>
      <c r="C45" s="288"/>
      <c r="D45" s="323">
        <v>40617</v>
      </c>
      <c r="E45" s="323"/>
      <c r="F45" s="323">
        <v>40617</v>
      </c>
      <c r="G45" s="323"/>
      <c r="H45" s="323">
        <v>40617</v>
      </c>
      <c r="I45" s="323"/>
      <c r="J45" s="323">
        <v>40617</v>
      </c>
      <c r="K45" s="323"/>
      <c r="L45" s="323">
        <v>40617</v>
      </c>
      <c r="M45" s="323"/>
      <c r="N45" s="323">
        <v>40617</v>
      </c>
      <c r="O45" s="323"/>
      <c r="P45" s="323">
        <v>40617</v>
      </c>
      <c r="Q45" s="323"/>
      <c r="R45" s="323">
        <v>40617</v>
      </c>
      <c r="S45" s="296"/>
      <c r="T45" s="296"/>
      <c r="U45" s="290"/>
      <c r="V45" s="290"/>
      <c r="W45" s="291"/>
      <c r="X45" s="5"/>
    </row>
    <row r="46" spans="1:24" ht="15.6" x14ac:dyDescent="0.3">
      <c r="A46" s="287"/>
      <c r="B46" s="288" t="s">
        <v>15</v>
      </c>
      <c r="C46" s="288"/>
      <c r="D46" s="323" t="s">
        <v>118</v>
      </c>
      <c r="E46" s="323"/>
      <c r="F46" s="323">
        <v>40983</v>
      </c>
      <c r="G46" s="323"/>
      <c r="H46" s="323">
        <v>40983</v>
      </c>
      <c r="I46" s="323"/>
      <c r="J46" s="323">
        <v>40983</v>
      </c>
      <c r="K46" s="296"/>
      <c r="L46" s="323">
        <v>40983</v>
      </c>
      <c r="M46" s="296"/>
      <c r="N46" s="323">
        <v>40983</v>
      </c>
      <c r="O46" s="296"/>
      <c r="P46" s="323">
        <v>40983</v>
      </c>
      <c r="Q46" s="296"/>
      <c r="R46" s="323">
        <v>40983</v>
      </c>
      <c r="S46" s="296"/>
      <c r="T46" s="296"/>
      <c r="U46" s="290"/>
      <c r="V46" s="290"/>
      <c r="W46" s="291"/>
      <c r="X46" s="5"/>
    </row>
    <row r="47" spans="1:24" ht="15.6" x14ac:dyDescent="0.3">
      <c r="A47" s="287"/>
      <c r="B47" s="288" t="s">
        <v>119</v>
      </c>
      <c r="C47" s="288"/>
      <c r="D47" s="296" t="s">
        <v>118</v>
      </c>
      <c r="E47" s="288"/>
      <c r="F47" s="296" t="s">
        <v>231</v>
      </c>
      <c r="G47" s="296"/>
      <c r="H47" s="296" t="s">
        <v>231</v>
      </c>
      <c r="I47" s="296"/>
      <c r="J47" s="296" t="s">
        <v>231</v>
      </c>
      <c r="K47" s="296"/>
      <c r="L47" s="296" t="s">
        <v>265</v>
      </c>
      <c r="M47" s="296"/>
      <c r="N47" s="296" t="s">
        <v>265</v>
      </c>
      <c r="O47" s="296"/>
      <c r="P47" s="296" t="s">
        <v>266</v>
      </c>
      <c r="Q47" s="296"/>
      <c r="R47" s="296" t="s">
        <v>266</v>
      </c>
      <c r="S47" s="325"/>
      <c r="T47" s="325"/>
      <c r="U47" s="325"/>
      <c r="V47" s="325"/>
      <c r="W47" s="291"/>
      <c r="X47" s="5"/>
    </row>
    <row r="48" spans="1:24" ht="15.6" x14ac:dyDescent="0.3">
      <c r="A48" s="287"/>
      <c r="B48" s="288" t="s">
        <v>302</v>
      </c>
      <c r="C48" s="288"/>
      <c r="D48" s="296" t="s">
        <v>200</v>
      </c>
      <c r="E48" s="288"/>
      <c r="F48" s="296" t="s">
        <v>231</v>
      </c>
      <c r="G48" s="296"/>
      <c r="H48" s="296" t="s">
        <v>262</v>
      </c>
      <c r="I48" s="296"/>
      <c r="J48" s="296" t="s">
        <v>263</v>
      </c>
      <c r="K48" s="296"/>
      <c r="L48" s="296" t="s">
        <v>265</v>
      </c>
      <c r="M48" s="296"/>
      <c r="N48" s="296" t="s">
        <v>234</v>
      </c>
      <c r="O48" s="296"/>
      <c r="P48" s="296" t="s">
        <v>266</v>
      </c>
      <c r="Q48" s="296"/>
      <c r="R48" s="296" t="s">
        <v>264</v>
      </c>
      <c r="S48" s="288"/>
      <c r="T48" s="288"/>
      <c r="U48" s="288"/>
      <c r="V48" s="321"/>
      <c r="W48" s="291"/>
      <c r="X48" s="5"/>
    </row>
    <row r="49" spans="1:25" ht="15.6" x14ac:dyDescent="0.3">
      <c r="A49" s="287"/>
      <c r="B49" s="288"/>
      <c r="C49" s="288"/>
      <c r="D49" s="296"/>
      <c r="E49" s="288"/>
      <c r="F49" s="296"/>
      <c r="G49" s="296"/>
      <c r="H49" s="296"/>
      <c r="I49" s="296"/>
      <c r="J49" s="296"/>
      <c r="K49" s="296"/>
      <c r="L49" s="296"/>
      <c r="M49" s="296"/>
      <c r="N49" s="296"/>
      <c r="O49" s="296"/>
      <c r="P49" s="296"/>
      <c r="Q49" s="296"/>
      <c r="R49" s="296"/>
      <c r="S49" s="288"/>
      <c r="T49" s="288"/>
      <c r="U49" s="288"/>
      <c r="V49" s="321" t="s">
        <v>193</v>
      </c>
      <c r="W49" s="291"/>
      <c r="X49" s="5"/>
    </row>
    <row r="50" spans="1:25" ht="15.6" x14ac:dyDescent="0.3">
      <c r="A50" s="287"/>
      <c r="B50" s="288" t="s">
        <v>169</v>
      </c>
      <c r="C50" s="288"/>
      <c r="D50" s="296"/>
      <c r="E50" s="288"/>
      <c r="F50" s="296"/>
      <c r="G50" s="296"/>
      <c r="H50" s="296"/>
      <c r="I50" s="296"/>
      <c r="J50" s="296"/>
      <c r="K50" s="296"/>
      <c r="L50" s="296"/>
      <c r="M50" s="296"/>
      <c r="N50" s="296"/>
      <c r="O50" s="296"/>
      <c r="P50" s="296"/>
      <c r="Q50" s="296"/>
      <c r="R50" s="296"/>
      <c r="S50" s="288"/>
      <c r="T50" s="288"/>
      <c r="U50" s="288"/>
      <c r="V50" s="321">
        <f>SUM(L34:R34)/SUM(D34:J34)</f>
        <v>0.17663090364375009</v>
      </c>
      <c r="W50" s="291"/>
      <c r="X50" s="5"/>
    </row>
    <row r="51" spans="1:25" ht="15.6" x14ac:dyDescent="0.3">
      <c r="A51" s="287"/>
      <c r="B51" s="288" t="s">
        <v>170</v>
      </c>
      <c r="C51" s="288"/>
      <c r="D51" s="288"/>
      <c r="E51" s="288"/>
      <c r="F51" s="326"/>
      <c r="G51" s="288"/>
      <c r="H51" s="288"/>
      <c r="I51" s="288"/>
      <c r="J51" s="288"/>
      <c r="K51" s="288"/>
      <c r="L51" s="288"/>
      <c r="M51" s="288"/>
      <c r="N51" s="288"/>
      <c r="O51" s="288"/>
      <c r="P51" s="288"/>
      <c r="Q51" s="288"/>
      <c r="R51" s="288"/>
      <c r="S51" s="288"/>
      <c r="T51" s="288"/>
      <c r="U51" s="288"/>
      <c r="V51" s="321">
        <f>SUM(L36:R36)/SUM(D36:J36)</f>
        <v>0.24622356680673463</v>
      </c>
      <c r="W51" s="291"/>
      <c r="X51" s="5"/>
    </row>
    <row r="52" spans="1:25" ht="15.6" x14ac:dyDescent="0.3">
      <c r="A52" s="287"/>
      <c r="B52" s="288" t="s">
        <v>171</v>
      </c>
      <c r="C52" s="288"/>
      <c r="D52" s="288"/>
      <c r="E52" s="288"/>
      <c r="F52" s="288"/>
      <c r="G52" s="288"/>
      <c r="H52" s="288"/>
      <c r="I52" s="288"/>
      <c r="J52" s="288"/>
      <c r="K52" s="288"/>
      <c r="L52" s="288"/>
      <c r="M52" s="288"/>
      <c r="N52" s="288"/>
      <c r="O52" s="288"/>
      <c r="P52" s="288"/>
      <c r="Q52" s="288"/>
      <c r="R52" s="288"/>
      <c r="S52" s="288"/>
      <c r="T52" s="296"/>
      <c r="U52" s="296"/>
      <c r="V52" s="299" t="s">
        <v>276</v>
      </c>
      <c r="W52" s="291"/>
      <c r="X52" s="5"/>
    </row>
    <row r="53" spans="1:25" ht="15.6" x14ac:dyDescent="0.3">
      <c r="A53" s="287"/>
      <c r="B53" s="288"/>
      <c r="C53" s="288"/>
      <c r="D53" s="288"/>
      <c r="E53" s="288"/>
      <c r="F53" s="288"/>
      <c r="G53" s="288"/>
      <c r="H53" s="288"/>
      <c r="I53" s="288"/>
      <c r="J53" s="288"/>
      <c r="K53" s="288"/>
      <c r="L53" s="288"/>
      <c r="M53" s="288"/>
      <c r="N53" s="288"/>
      <c r="O53" s="288"/>
      <c r="P53" s="288"/>
      <c r="Q53" s="288"/>
      <c r="R53" s="288"/>
      <c r="S53" s="288"/>
      <c r="T53" s="288"/>
      <c r="U53" s="288"/>
      <c r="V53" s="327"/>
      <c r="W53" s="291"/>
      <c r="X53" s="5"/>
    </row>
    <row r="54" spans="1:25" ht="15.6" x14ac:dyDescent="0.3">
      <c r="A54" s="287"/>
      <c r="B54" s="288" t="s">
        <v>202</v>
      </c>
      <c r="C54" s="288"/>
      <c r="D54" s="288"/>
      <c r="E54" s="288"/>
      <c r="F54" s="288"/>
      <c r="G54" s="288"/>
      <c r="H54" s="288"/>
      <c r="I54" s="288"/>
      <c r="J54" s="288"/>
      <c r="K54" s="288"/>
      <c r="L54" s="288"/>
      <c r="M54" s="288"/>
      <c r="N54" s="288"/>
      <c r="O54" s="288"/>
      <c r="P54" s="288"/>
      <c r="Q54" s="288"/>
      <c r="R54" s="288"/>
      <c r="S54" s="288"/>
      <c r="T54" s="288"/>
      <c r="U54" s="288"/>
      <c r="V54" s="328" t="s">
        <v>203</v>
      </c>
      <c r="W54" s="291"/>
      <c r="X54" s="5"/>
    </row>
    <row r="55" spans="1:25" ht="15.6" x14ac:dyDescent="0.3">
      <c r="A55" s="287"/>
      <c r="B55" s="288" t="s">
        <v>280</v>
      </c>
      <c r="C55" s="288"/>
      <c r="D55" s="288"/>
      <c r="E55" s="288"/>
      <c r="F55" s="288"/>
      <c r="G55" s="288"/>
      <c r="H55" s="288"/>
      <c r="I55" s="288"/>
      <c r="J55" s="288"/>
      <c r="K55" s="288"/>
      <c r="L55" s="288"/>
      <c r="M55" s="288"/>
      <c r="N55" s="288"/>
      <c r="O55" s="288"/>
      <c r="P55" s="288"/>
      <c r="Q55" s="288"/>
      <c r="R55" s="288"/>
      <c r="S55" s="288"/>
      <c r="T55" s="296"/>
      <c r="U55" s="296"/>
      <c r="V55" s="329" t="s">
        <v>111</v>
      </c>
      <c r="W55" s="291"/>
      <c r="X55" s="5"/>
    </row>
    <row r="56" spans="1:25" ht="15.6" x14ac:dyDescent="0.3">
      <c r="A56" s="287"/>
      <c r="B56" s="295" t="s">
        <v>201</v>
      </c>
      <c r="C56" s="295"/>
      <c r="D56" s="295"/>
      <c r="E56" s="295"/>
      <c r="F56" s="295"/>
      <c r="G56" s="295"/>
      <c r="H56" s="295"/>
      <c r="I56" s="295"/>
      <c r="J56" s="295"/>
      <c r="K56" s="295"/>
      <c r="L56" s="295"/>
      <c r="M56" s="295"/>
      <c r="N56" s="295"/>
      <c r="O56" s="295"/>
      <c r="P56" s="295"/>
      <c r="Q56" s="295"/>
      <c r="R56" s="295"/>
      <c r="S56" s="295"/>
      <c r="T56" s="330"/>
      <c r="U56" s="330"/>
      <c r="V56" s="331">
        <v>40801</v>
      </c>
      <c r="W56" s="291"/>
      <c r="X56" s="5"/>
    </row>
    <row r="57" spans="1:25" ht="15.6" x14ac:dyDescent="0.3">
      <c r="A57" s="287"/>
      <c r="B57" s="288" t="s">
        <v>121</v>
      </c>
      <c r="C57" s="288"/>
      <c r="D57" s="288"/>
      <c r="E57" s="288"/>
      <c r="F57" s="288"/>
      <c r="G57" s="288"/>
      <c r="H57" s="332"/>
      <c r="I57" s="332"/>
      <c r="J57" s="332"/>
      <c r="K57" s="332"/>
      <c r="L57" s="332"/>
      <c r="M57" s="332"/>
      <c r="N57" s="332"/>
      <c r="O57" s="332"/>
      <c r="P57" s="332"/>
      <c r="Q57" s="332"/>
      <c r="R57" s="288">
        <f>+V57-T57+1</f>
        <v>92</v>
      </c>
      <c r="S57" s="332"/>
      <c r="T57" s="333">
        <v>40617</v>
      </c>
      <c r="U57" s="334"/>
      <c r="V57" s="333">
        <v>40708</v>
      </c>
      <c r="W57" s="291"/>
      <c r="X57" s="5"/>
    </row>
    <row r="58" spans="1:25" ht="15.6" x14ac:dyDescent="0.3">
      <c r="A58" s="287"/>
      <c r="B58" s="288" t="s">
        <v>122</v>
      </c>
      <c r="C58" s="288"/>
      <c r="D58" s="288"/>
      <c r="E58" s="288"/>
      <c r="F58" s="288"/>
      <c r="G58" s="288"/>
      <c r="H58" s="288"/>
      <c r="I58" s="288"/>
      <c r="J58" s="288"/>
      <c r="K58" s="288"/>
      <c r="L58" s="288"/>
      <c r="M58" s="288"/>
      <c r="N58" s="288"/>
      <c r="O58" s="288"/>
      <c r="P58" s="288"/>
      <c r="Q58" s="288"/>
      <c r="R58" s="288">
        <f>+V58-T58+1</f>
        <v>92</v>
      </c>
      <c r="S58" s="288"/>
      <c r="T58" s="333">
        <v>40709</v>
      </c>
      <c r="U58" s="334"/>
      <c r="V58" s="333">
        <v>40800</v>
      </c>
      <c r="W58" s="291"/>
      <c r="X58" s="5"/>
    </row>
    <row r="59" spans="1:25" ht="15.6" x14ac:dyDescent="0.3">
      <c r="A59" s="287"/>
      <c r="B59" s="288" t="s">
        <v>229</v>
      </c>
      <c r="C59" s="288"/>
      <c r="D59" s="288"/>
      <c r="E59" s="288"/>
      <c r="F59" s="288"/>
      <c r="G59" s="288"/>
      <c r="H59" s="288"/>
      <c r="I59" s="288"/>
      <c r="J59" s="288"/>
      <c r="K59" s="288"/>
      <c r="L59" s="288"/>
      <c r="M59" s="288"/>
      <c r="N59" s="288"/>
      <c r="O59" s="288"/>
      <c r="P59" s="288"/>
      <c r="Q59" s="288"/>
      <c r="R59" s="288"/>
      <c r="S59" s="288"/>
      <c r="T59" s="333"/>
      <c r="U59" s="334"/>
      <c r="V59" s="333" t="s">
        <v>120</v>
      </c>
      <c r="W59" s="291"/>
      <c r="X59" s="5"/>
    </row>
    <row r="60" spans="1:25" ht="15.6" x14ac:dyDescent="0.3">
      <c r="A60" s="287"/>
      <c r="B60" s="288" t="s">
        <v>228</v>
      </c>
      <c r="C60" s="288"/>
      <c r="D60" s="288"/>
      <c r="E60" s="288"/>
      <c r="F60" s="288"/>
      <c r="G60" s="288"/>
      <c r="H60" s="288"/>
      <c r="I60" s="288"/>
      <c r="J60" s="288"/>
      <c r="K60" s="288"/>
      <c r="L60" s="288"/>
      <c r="M60" s="288"/>
      <c r="N60" s="288"/>
      <c r="O60" s="288"/>
      <c r="P60" s="288"/>
      <c r="Q60" s="288"/>
      <c r="R60" s="288"/>
      <c r="S60" s="288"/>
      <c r="T60" s="333"/>
      <c r="U60" s="334"/>
      <c r="V60" s="333" t="s">
        <v>154</v>
      </c>
      <c r="W60" s="291"/>
      <c r="X60" s="5"/>
      <c r="Y60" s="134"/>
    </row>
    <row r="61" spans="1:25" ht="15.6" x14ac:dyDescent="0.3">
      <c r="A61" s="287"/>
      <c r="B61" s="288" t="s">
        <v>16</v>
      </c>
      <c r="C61" s="288"/>
      <c r="D61" s="288"/>
      <c r="E61" s="288"/>
      <c r="F61" s="288"/>
      <c r="G61" s="288"/>
      <c r="H61" s="288"/>
      <c r="I61" s="288"/>
      <c r="J61" s="288"/>
      <c r="K61" s="288"/>
      <c r="L61" s="288"/>
      <c r="M61" s="288"/>
      <c r="N61" s="288"/>
      <c r="O61" s="288"/>
      <c r="P61" s="288"/>
      <c r="Q61" s="288"/>
      <c r="R61" s="288"/>
      <c r="S61" s="288"/>
      <c r="T61" s="333"/>
      <c r="U61" s="334"/>
      <c r="V61" s="333">
        <v>40787</v>
      </c>
      <c r="W61" s="291"/>
      <c r="X61" s="5"/>
    </row>
    <row r="62" spans="1:25" ht="15.6" x14ac:dyDescent="0.3">
      <c r="A62" s="183"/>
      <c r="B62" s="284"/>
      <c r="C62" s="284"/>
      <c r="D62" s="284"/>
      <c r="E62" s="284"/>
      <c r="F62" s="284"/>
      <c r="G62" s="284"/>
      <c r="H62" s="284"/>
      <c r="I62" s="284"/>
      <c r="J62" s="284"/>
      <c r="K62" s="284"/>
      <c r="L62" s="284"/>
      <c r="M62" s="284"/>
      <c r="N62" s="284"/>
      <c r="O62" s="284"/>
      <c r="P62" s="284"/>
      <c r="Q62" s="284"/>
      <c r="R62" s="284"/>
      <c r="S62" s="284"/>
      <c r="T62" s="285"/>
      <c r="U62" s="286"/>
      <c r="V62" s="285"/>
      <c r="W62" s="284"/>
      <c r="X62" s="5"/>
    </row>
    <row r="63" spans="1:25" ht="15.6" x14ac:dyDescent="0.3">
      <c r="A63" s="183"/>
      <c r="B63" s="224"/>
      <c r="C63" s="224"/>
      <c r="D63" s="224"/>
      <c r="E63" s="224"/>
      <c r="F63" s="224"/>
      <c r="G63" s="224"/>
      <c r="H63" s="224"/>
      <c r="I63" s="224"/>
      <c r="J63" s="224"/>
      <c r="K63" s="224"/>
      <c r="L63" s="224"/>
      <c r="M63" s="224"/>
      <c r="N63" s="224"/>
      <c r="O63" s="224"/>
      <c r="P63" s="224"/>
      <c r="Q63" s="224"/>
      <c r="R63" s="224"/>
      <c r="S63" s="224"/>
      <c r="T63" s="235"/>
      <c r="U63" s="236"/>
      <c r="V63" s="235"/>
      <c r="W63" s="224"/>
      <c r="X63" s="5"/>
    </row>
    <row r="64" spans="1:25" ht="18" thickBot="1" x14ac:dyDescent="0.35">
      <c r="A64" s="199"/>
      <c r="B64" s="237" t="s">
        <v>312</v>
      </c>
      <c r="C64" s="238"/>
      <c r="D64" s="238"/>
      <c r="E64" s="238"/>
      <c r="F64" s="238"/>
      <c r="G64" s="238"/>
      <c r="H64" s="238"/>
      <c r="I64" s="238"/>
      <c r="J64" s="238"/>
      <c r="K64" s="238"/>
      <c r="L64" s="238"/>
      <c r="M64" s="238"/>
      <c r="N64" s="238"/>
      <c r="O64" s="238"/>
      <c r="P64" s="238"/>
      <c r="Q64" s="238"/>
      <c r="R64" s="238"/>
      <c r="S64" s="238"/>
      <c r="T64" s="238"/>
      <c r="U64" s="238"/>
      <c r="V64" s="239"/>
      <c r="W64" s="240"/>
      <c r="X64" s="5"/>
    </row>
    <row r="65" spans="1:24" ht="15.6" x14ac:dyDescent="0.3">
      <c r="A65" s="262"/>
      <c r="B65" s="399" t="s">
        <v>17</v>
      </c>
      <c r="C65" s="263"/>
      <c r="D65" s="263"/>
      <c r="E65" s="263"/>
      <c r="F65" s="263"/>
      <c r="G65" s="263"/>
      <c r="H65" s="263"/>
      <c r="I65" s="263"/>
      <c r="J65" s="263"/>
      <c r="K65" s="263"/>
      <c r="L65" s="263"/>
      <c r="M65" s="263"/>
      <c r="N65" s="263"/>
      <c r="O65" s="263"/>
      <c r="P65" s="263"/>
      <c r="Q65" s="263"/>
      <c r="R65" s="263"/>
      <c r="S65" s="263"/>
      <c r="T65" s="263"/>
      <c r="U65" s="263"/>
      <c r="V65" s="268"/>
      <c r="W65" s="263"/>
      <c r="X65" s="5"/>
    </row>
    <row r="66" spans="1:24" ht="15.6" x14ac:dyDescent="0.3">
      <c r="A66" s="183"/>
      <c r="B66" s="191"/>
      <c r="C66" s="185"/>
      <c r="D66" s="185"/>
      <c r="E66" s="185"/>
      <c r="F66" s="185"/>
      <c r="G66" s="185"/>
      <c r="H66" s="185"/>
      <c r="I66" s="185"/>
      <c r="J66" s="185"/>
      <c r="K66" s="185"/>
      <c r="L66" s="185"/>
      <c r="M66" s="185"/>
      <c r="N66" s="185"/>
      <c r="O66" s="185"/>
      <c r="P66" s="185"/>
      <c r="Q66" s="185"/>
      <c r="R66" s="185"/>
      <c r="S66" s="185"/>
      <c r="T66" s="185"/>
      <c r="U66" s="185"/>
      <c r="V66" s="201"/>
      <c r="W66" s="185"/>
      <c r="X66" s="5"/>
    </row>
    <row r="67" spans="1:24" ht="46.8" x14ac:dyDescent="0.3">
      <c r="A67" s="183"/>
      <c r="B67" s="202" t="s">
        <v>18</v>
      </c>
      <c r="C67" s="203"/>
      <c r="D67" s="203"/>
      <c r="E67" s="203"/>
      <c r="F67" s="203"/>
      <c r="G67" s="203"/>
      <c r="H67" s="203"/>
      <c r="I67" s="203"/>
      <c r="J67" s="203"/>
      <c r="K67" s="203"/>
      <c r="L67" s="203" t="s">
        <v>94</v>
      </c>
      <c r="M67" s="203"/>
      <c r="N67" s="203" t="s">
        <v>96</v>
      </c>
      <c r="O67" s="203"/>
      <c r="P67" s="203" t="s">
        <v>98</v>
      </c>
      <c r="Q67" s="203"/>
      <c r="R67" s="203" t="s">
        <v>100</v>
      </c>
      <c r="S67" s="203"/>
      <c r="T67" s="203" t="s">
        <v>106</v>
      </c>
      <c r="U67" s="203"/>
      <c r="V67" s="204" t="s">
        <v>112</v>
      </c>
      <c r="W67" s="205"/>
      <c r="X67" s="5"/>
    </row>
    <row r="68" spans="1:24" ht="15.6" x14ac:dyDescent="0.3">
      <c r="A68" s="287"/>
      <c r="B68" s="288" t="s">
        <v>19</v>
      </c>
      <c r="C68" s="337"/>
      <c r="D68" s="337"/>
      <c r="E68" s="337"/>
      <c r="F68" s="337"/>
      <c r="G68" s="337"/>
      <c r="H68" s="337"/>
      <c r="I68" s="337"/>
      <c r="J68" s="337"/>
      <c r="K68" s="337"/>
      <c r="L68" s="337">
        <v>1158015</v>
      </c>
      <c r="M68" s="337"/>
      <c r="N68" s="338">
        <v>1145647</v>
      </c>
      <c r="O68" s="337"/>
      <c r="P68" s="337">
        <f>5755+30+241</f>
        <v>6026</v>
      </c>
      <c r="Q68" s="337"/>
      <c r="R68" s="337">
        <f>30+241</f>
        <v>271</v>
      </c>
      <c r="S68" s="337"/>
      <c r="T68" s="337">
        <v>0</v>
      </c>
      <c r="U68" s="337"/>
      <c r="V68" s="338">
        <f>+N68-P68+R68-T68</f>
        <v>1139892</v>
      </c>
      <c r="W68" s="291"/>
      <c r="X68" s="5"/>
    </row>
    <row r="69" spans="1:24" ht="15.6" x14ac:dyDescent="0.3">
      <c r="A69" s="287"/>
      <c r="B69" s="288" t="s">
        <v>20</v>
      </c>
      <c r="C69" s="337"/>
      <c r="D69" s="337"/>
      <c r="E69" s="337"/>
      <c r="F69" s="337"/>
      <c r="G69" s="337"/>
      <c r="H69" s="337"/>
      <c r="I69" s="337"/>
      <c r="J69" s="337"/>
      <c r="K69" s="337"/>
      <c r="L69" s="337">
        <v>15</v>
      </c>
      <c r="M69" s="337"/>
      <c r="N69" s="338">
        <v>0</v>
      </c>
      <c r="O69" s="337"/>
      <c r="P69" s="337">
        <v>0</v>
      </c>
      <c r="Q69" s="337"/>
      <c r="R69" s="337">
        <v>0</v>
      </c>
      <c r="S69" s="337"/>
      <c r="T69" s="337">
        <v>0</v>
      </c>
      <c r="U69" s="337"/>
      <c r="V69" s="338">
        <v>0</v>
      </c>
      <c r="W69" s="291"/>
      <c r="X69" s="5"/>
    </row>
    <row r="70" spans="1:24" ht="15.6" x14ac:dyDescent="0.3">
      <c r="A70" s="287"/>
      <c r="B70" s="288"/>
      <c r="C70" s="337"/>
      <c r="D70" s="337"/>
      <c r="E70" s="337"/>
      <c r="F70" s="337"/>
      <c r="G70" s="337"/>
      <c r="H70" s="337"/>
      <c r="I70" s="337"/>
      <c r="J70" s="337"/>
      <c r="K70" s="337"/>
      <c r="L70" s="337"/>
      <c r="M70" s="337"/>
      <c r="N70" s="338"/>
      <c r="O70" s="337"/>
      <c r="P70" s="337"/>
      <c r="Q70" s="337"/>
      <c r="R70" s="337"/>
      <c r="S70" s="337"/>
      <c r="T70" s="337"/>
      <c r="U70" s="337"/>
      <c r="V70" s="338"/>
      <c r="W70" s="291"/>
      <c r="X70" s="5"/>
    </row>
    <row r="71" spans="1:24" ht="15.6" x14ac:dyDescent="0.3">
      <c r="A71" s="287"/>
      <c r="B71" s="288" t="s">
        <v>21</v>
      </c>
      <c r="C71" s="337"/>
      <c r="D71" s="337"/>
      <c r="E71" s="337"/>
      <c r="F71" s="337"/>
      <c r="G71" s="337"/>
      <c r="H71" s="337"/>
      <c r="I71" s="337"/>
      <c r="J71" s="337"/>
      <c r="K71" s="337"/>
      <c r="L71" s="337">
        <f>SUM(L68:L70)</f>
        <v>1158030</v>
      </c>
      <c r="M71" s="337"/>
      <c r="N71" s="337">
        <f>N68+N69</f>
        <v>1145647</v>
      </c>
      <c r="O71" s="337"/>
      <c r="P71" s="337">
        <f>SUM(P68:P70)</f>
        <v>6026</v>
      </c>
      <c r="Q71" s="337"/>
      <c r="R71" s="337">
        <f>SUM(R68:R70)</f>
        <v>271</v>
      </c>
      <c r="S71" s="337"/>
      <c r="T71" s="337">
        <f>SUM(T68:T70)</f>
        <v>0</v>
      </c>
      <c r="U71" s="337"/>
      <c r="V71" s="337">
        <f>SUM(V68:V70)</f>
        <v>1139892</v>
      </c>
      <c r="W71" s="291"/>
      <c r="X71" s="5"/>
    </row>
    <row r="72" spans="1:24" ht="15.6" x14ac:dyDescent="0.3">
      <c r="A72" s="183"/>
      <c r="B72" s="198"/>
      <c r="C72" s="335"/>
      <c r="D72" s="335"/>
      <c r="E72" s="335"/>
      <c r="F72" s="335"/>
      <c r="G72" s="335"/>
      <c r="H72" s="335"/>
      <c r="I72" s="335"/>
      <c r="J72" s="335"/>
      <c r="K72" s="335"/>
      <c r="L72" s="335"/>
      <c r="M72" s="335"/>
      <c r="N72" s="335"/>
      <c r="O72" s="335"/>
      <c r="P72" s="335"/>
      <c r="Q72" s="335"/>
      <c r="R72" s="335"/>
      <c r="S72" s="335"/>
      <c r="T72" s="335"/>
      <c r="U72" s="335"/>
      <c r="V72" s="336"/>
      <c r="W72" s="198"/>
      <c r="X72" s="5"/>
    </row>
    <row r="73" spans="1:24" ht="15.6" x14ac:dyDescent="0.3">
      <c r="A73" s="183"/>
      <c r="B73" s="187" t="s">
        <v>22</v>
      </c>
      <c r="C73" s="206"/>
      <c r="D73" s="206"/>
      <c r="E73" s="206"/>
      <c r="F73" s="206"/>
      <c r="G73" s="206"/>
      <c r="H73" s="206"/>
      <c r="I73" s="206"/>
      <c r="J73" s="206"/>
      <c r="K73" s="206"/>
      <c r="L73" s="206"/>
      <c r="M73" s="206"/>
      <c r="N73" s="206"/>
      <c r="O73" s="206"/>
      <c r="P73" s="206"/>
      <c r="Q73" s="206"/>
      <c r="R73" s="206"/>
      <c r="S73" s="206"/>
      <c r="T73" s="206"/>
      <c r="U73" s="206"/>
      <c r="V73" s="207"/>
      <c r="W73" s="185"/>
      <c r="X73" s="5"/>
    </row>
    <row r="74" spans="1:24" ht="15.6" x14ac:dyDescent="0.3">
      <c r="A74" s="183"/>
      <c r="B74" s="185"/>
      <c r="C74" s="206"/>
      <c r="D74" s="206"/>
      <c r="E74" s="206"/>
      <c r="F74" s="206"/>
      <c r="G74" s="206"/>
      <c r="H74" s="206"/>
      <c r="I74" s="206"/>
      <c r="J74" s="206"/>
      <c r="K74" s="206"/>
      <c r="L74" s="206"/>
      <c r="M74" s="206"/>
      <c r="N74" s="206"/>
      <c r="O74" s="206"/>
      <c r="P74" s="206"/>
      <c r="Q74" s="206"/>
      <c r="R74" s="206"/>
      <c r="S74" s="206"/>
      <c r="T74" s="206"/>
      <c r="U74" s="206"/>
      <c r="V74" s="207"/>
      <c r="W74" s="185"/>
      <c r="X74" s="5"/>
    </row>
    <row r="75" spans="1:24" ht="15.6" x14ac:dyDescent="0.3">
      <c r="A75" s="340"/>
      <c r="B75" s="288" t="s">
        <v>19</v>
      </c>
      <c r="C75" s="337"/>
      <c r="D75" s="337"/>
      <c r="E75" s="337"/>
      <c r="F75" s="337"/>
      <c r="G75" s="337"/>
      <c r="H75" s="337"/>
      <c r="I75" s="337"/>
      <c r="J75" s="337"/>
      <c r="K75" s="337"/>
      <c r="L75" s="337"/>
      <c r="M75" s="337"/>
      <c r="N75" s="337"/>
      <c r="O75" s="337"/>
      <c r="P75" s="337"/>
      <c r="Q75" s="337"/>
      <c r="R75" s="337"/>
      <c r="S75" s="337"/>
      <c r="T75" s="337"/>
      <c r="U75" s="337"/>
      <c r="V75" s="337"/>
      <c r="W75" s="291"/>
      <c r="X75" s="5"/>
    </row>
    <row r="76" spans="1:24" ht="15.6" x14ac:dyDescent="0.3">
      <c r="A76" s="340"/>
      <c r="B76" s="288" t="s">
        <v>20</v>
      </c>
      <c r="C76" s="337"/>
      <c r="D76" s="337"/>
      <c r="E76" s="337"/>
      <c r="F76" s="337"/>
      <c r="G76" s="337"/>
      <c r="H76" s="337"/>
      <c r="I76" s="337"/>
      <c r="J76" s="337"/>
      <c r="K76" s="337"/>
      <c r="L76" s="337"/>
      <c r="M76" s="337"/>
      <c r="N76" s="337"/>
      <c r="O76" s="337"/>
      <c r="P76" s="337"/>
      <c r="Q76" s="337"/>
      <c r="R76" s="337"/>
      <c r="S76" s="337"/>
      <c r="T76" s="337"/>
      <c r="U76" s="337"/>
      <c r="V76" s="337"/>
      <c r="W76" s="291"/>
      <c r="X76" s="5"/>
    </row>
    <row r="77" spans="1:24" ht="15.6" x14ac:dyDescent="0.3">
      <c r="A77" s="340"/>
      <c r="B77" s="288"/>
      <c r="C77" s="337"/>
      <c r="D77" s="337"/>
      <c r="E77" s="337"/>
      <c r="F77" s="337"/>
      <c r="G77" s="337"/>
      <c r="H77" s="337"/>
      <c r="I77" s="337"/>
      <c r="J77" s="337"/>
      <c r="K77" s="337"/>
      <c r="L77" s="337"/>
      <c r="M77" s="337"/>
      <c r="N77" s="337"/>
      <c r="O77" s="337"/>
      <c r="P77" s="337"/>
      <c r="Q77" s="337"/>
      <c r="R77" s="337"/>
      <c r="S77" s="337"/>
      <c r="T77" s="337"/>
      <c r="U77" s="337"/>
      <c r="V77" s="337"/>
      <c r="W77" s="291"/>
      <c r="X77" s="5"/>
    </row>
    <row r="78" spans="1:24" ht="15.6" x14ac:dyDescent="0.3">
      <c r="A78" s="340"/>
      <c r="B78" s="288" t="s">
        <v>21</v>
      </c>
      <c r="C78" s="337"/>
      <c r="D78" s="337"/>
      <c r="E78" s="337"/>
      <c r="F78" s="337"/>
      <c r="G78" s="337"/>
      <c r="H78" s="337"/>
      <c r="I78" s="337"/>
      <c r="J78" s="337"/>
      <c r="K78" s="337"/>
      <c r="L78" s="337"/>
      <c r="M78" s="337"/>
      <c r="N78" s="337"/>
      <c r="O78" s="337"/>
      <c r="P78" s="337"/>
      <c r="Q78" s="337"/>
      <c r="R78" s="337"/>
      <c r="S78" s="337"/>
      <c r="T78" s="337"/>
      <c r="U78" s="337"/>
      <c r="V78" s="337"/>
      <c r="W78" s="291"/>
      <c r="X78" s="5"/>
    </row>
    <row r="79" spans="1:24" ht="15.6" x14ac:dyDescent="0.3">
      <c r="A79" s="340"/>
      <c r="B79" s="288"/>
      <c r="C79" s="337"/>
      <c r="D79" s="337"/>
      <c r="E79" s="337"/>
      <c r="F79" s="337"/>
      <c r="G79" s="337"/>
      <c r="H79" s="337"/>
      <c r="I79" s="337"/>
      <c r="J79" s="337"/>
      <c r="K79" s="337"/>
      <c r="L79" s="337"/>
      <c r="M79" s="337"/>
      <c r="N79" s="337"/>
      <c r="O79" s="337"/>
      <c r="P79" s="337"/>
      <c r="Q79" s="337"/>
      <c r="R79" s="337"/>
      <c r="S79" s="337"/>
      <c r="T79" s="337"/>
      <c r="U79" s="337"/>
      <c r="V79" s="337"/>
      <c r="W79" s="291"/>
      <c r="X79" s="5"/>
    </row>
    <row r="80" spans="1:24" ht="15.6" x14ac:dyDescent="0.3">
      <c r="A80" s="340"/>
      <c r="B80" s="288" t="s">
        <v>23</v>
      </c>
      <c r="C80" s="337"/>
      <c r="D80" s="337"/>
      <c r="E80" s="337"/>
      <c r="F80" s="337"/>
      <c r="G80" s="337"/>
      <c r="H80" s="337"/>
      <c r="I80" s="337"/>
      <c r="J80" s="337"/>
      <c r="K80" s="337"/>
      <c r="L80" s="337">
        <v>0</v>
      </c>
      <c r="M80" s="337"/>
      <c r="N80" s="337">
        <v>0</v>
      </c>
      <c r="O80" s="337"/>
      <c r="P80" s="337"/>
      <c r="Q80" s="337"/>
      <c r="R80" s="337"/>
      <c r="S80" s="337"/>
      <c r="T80" s="337"/>
      <c r="U80" s="337"/>
      <c r="V80" s="338">
        <v>0</v>
      </c>
      <c r="W80" s="291"/>
      <c r="X80" s="5"/>
    </row>
    <row r="81" spans="1:24" ht="15.6" x14ac:dyDescent="0.3">
      <c r="A81" s="340"/>
      <c r="B81" s="288" t="s">
        <v>117</v>
      </c>
      <c r="C81" s="337"/>
      <c r="D81" s="337"/>
      <c r="E81" s="337"/>
      <c r="F81" s="337"/>
      <c r="G81" s="337"/>
      <c r="H81" s="337"/>
      <c r="I81" s="337"/>
      <c r="J81" s="337"/>
      <c r="K81" s="337"/>
      <c r="L81" s="337">
        <v>342245</v>
      </c>
      <c r="M81" s="337"/>
      <c r="N81" s="337">
        <v>0</v>
      </c>
      <c r="O81" s="337"/>
      <c r="P81" s="337">
        <v>0</v>
      </c>
      <c r="Q81" s="337"/>
      <c r="R81" s="337"/>
      <c r="S81" s="337"/>
      <c r="T81" s="337"/>
      <c r="U81" s="337"/>
      <c r="V81" s="337">
        <f>SUM(N81:R81)</f>
        <v>0</v>
      </c>
      <c r="W81" s="291"/>
      <c r="X81" s="5"/>
    </row>
    <row r="82" spans="1:24" ht="15.6" x14ac:dyDescent="0.3">
      <c r="A82" s="340"/>
      <c r="B82" s="288"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91"/>
      <c r="X82" s="5"/>
    </row>
    <row r="83" spans="1:24" ht="15.6" x14ac:dyDescent="0.3">
      <c r="A83" s="340"/>
      <c r="B83" s="288" t="s">
        <v>25</v>
      </c>
      <c r="C83" s="337"/>
      <c r="D83" s="337"/>
      <c r="E83" s="337"/>
      <c r="F83" s="337"/>
      <c r="G83" s="337"/>
      <c r="H83" s="337"/>
      <c r="I83" s="337"/>
      <c r="J83" s="337"/>
      <c r="K83" s="337"/>
      <c r="L83" s="337">
        <v>0</v>
      </c>
      <c r="M83" s="337"/>
      <c r="N83" s="337">
        <v>0</v>
      </c>
      <c r="O83" s="337"/>
      <c r="P83" s="337"/>
      <c r="Q83" s="337"/>
      <c r="R83" s="337"/>
      <c r="S83" s="337"/>
      <c r="T83" s="337"/>
      <c r="U83" s="337"/>
      <c r="V83" s="337">
        <v>0</v>
      </c>
      <c r="W83" s="291"/>
      <c r="X83" s="5"/>
    </row>
    <row r="84" spans="1:24" ht="15.6" x14ac:dyDescent="0.3">
      <c r="A84" s="340"/>
      <c r="B84" s="288" t="s">
        <v>26</v>
      </c>
      <c r="C84" s="337"/>
      <c r="D84" s="337"/>
      <c r="E84" s="337"/>
      <c r="F84" s="337"/>
      <c r="G84" s="337"/>
      <c r="H84" s="337"/>
      <c r="I84" s="337"/>
      <c r="J84" s="337"/>
      <c r="K84" s="337"/>
      <c r="L84" s="337">
        <f>SUM(L71:L83)</f>
        <v>1500275</v>
      </c>
      <c r="M84" s="337"/>
      <c r="N84" s="337">
        <f>SUM(N71:N83)</f>
        <v>1145647</v>
      </c>
      <c r="O84" s="337"/>
      <c r="P84" s="337"/>
      <c r="Q84" s="337"/>
      <c r="R84" s="337"/>
      <c r="S84" s="337"/>
      <c r="T84" s="337"/>
      <c r="U84" s="337"/>
      <c r="V84" s="337">
        <f>SUM(V71:V83)</f>
        <v>1139892</v>
      </c>
      <c r="W84" s="291"/>
      <c r="X84" s="5"/>
    </row>
    <row r="85" spans="1:24" ht="15.6" x14ac:dyDescent="0.3">
      <c r="A85" s="243"/>
      <c r="B85" s="284"/>
      <c r="C85" s="339"/>
      <c r="D85" s="339"/>
      <c r="E85" s="339"/>
      <c r="F85" s="339"/>
      <c r="G85" s="339"/>
      <c r="H85" s="339"/>
      <c r="I85" s="339"/>
      <c r="J85" s="339"/>
      <c r="K85" s="339"/>
      <c r="L85" s="339"/>
      <c r="M85" s="339"/>
      <c r="N85" s="339"/>
      <c r="O85" s="339"/>
      <c r="P85" s="339"/>
      <c r="Q85" s="339"/>
      <c r="R85" s="339"/>
      <c r="S85" s="339"/>
      <c r="T85" s="339"/>
      <c r="U85" s="339"/>
      <c r="V85" s="339"/>
      <c r="W85" s="284"/>
      <c r="X85" s="5"/>
    </row>
    <row r="86" spans="1:24" ht="15.6" x14ac:dyDescent="0.3">
      <c r="A86" s="243"/>
      <c r="B86" s="224"/>
      <c r="C86" s="224"/>
      <c r="D86" s="224"/>
      <c r="E86" s="224"/>
      <c r="F86" s="224"/>
      <c r="G86" s="224"/>
      <c r="H86" s="224"/>
      <c r="I86" s="224"/>
      <c r="J86" s="224"/>
      <c r="K86" s="224"/>
      <c r="L86" s="224"/>
      <c r="M86" s="224"/>
      <c r="N86" s="224"/>
      <c r="O86" s="224"/>
      <c r="P86" s="224"/>
      <c r="Q86" s="224"/>
      <c r="R86" s="224"/>
      <c r="S86" s="224"/>
      <c r="T86" s="224"/>
      <c r="U86" s="224"/>
      <c r="V86" s="224"/>
      <c r="W86" s="224"/>
      <c r="X86" s="5"/>
    </row>
    <row r="87" spans="1:24" ht="15.6" x14ac:dyDescent="0.3">
      <c r="A87" s="262"/>
      <c r="B87" s="399" t="s">
        <v>27</v>
      </c>
      <c r="C87" s="399"/>
      <c r="D87" s="399"/>
      <c r="E87" s="399"/>
      <c r="F87" s="399"/>
      <c r="G87" s="399"/>
      <c r="H87" s="400"/>
      <c r="I87" s="400"/>
      <c r="J87" s="400"/>
      <c r="K87" s="400"/>
      <c r="L87" s="401" t="s">
        <v>95</v>
      </c>
      <c r="M87" s="400"/>
      <c r="N87" s="402">
        <f>+T205</f>
        <v>40786</v>
      </c>
      <c r="O87" s="400"/>
      <c r="P87" s="400"/>
      <c r="Q87" s="400"/>
      <c r="R87" s="400"/>
      <c r="S87" s="400"/>
      <c r="T87" s="400" t="s">
        <v>107</v>
      </c>
      <c r="U87" s="400"/>
      <c r="V87" s="400" t="s">
        <v>113</v>
      </c>
      <c r="W87" s="263"/>
      <c r="X87" s="5"/>
    </row>
    <row r="88" spans="1:24" ht="15.6" x14ac:dyDescent="0.3">
      <c r="A88" s="242"/>
      <c r="B88" s="231" t="s">
        <v>28</v>
      </c>
      <c r="C88" s="231"/>
      <c r="D88" s="231"/>
      <c r="E88" s="231"/>
      <c r="F88" s="231"/>
      <c r="G88" s="231"/>
      <c r="H88" s="231"/>
      <c r="I88" s="231"/>
      <c r="J88" s="231"/>
      <c r="K88" s="231"/>
      <c r="L88" s="231"/>
      <c r="M88" s="231"/>
      <c r="N88" s="231"/>
      <c r="O88" s="231"/>
      <c r="P88" s="231"/>
      <c r="Q88" s="231"/>
      <c r="R88" s="231"/>
      <c r="S88" s="231"/>
      <c r="T88" s="234">
        <v>0</v>
      </c>
      <c r="U88" s="231"/>
      <c r="V88" s="241">
        <v>0</v>
      </c>
      <c r="W88" s="231"/>
      <c r="X88" s="5"/>
    </row>
    <row r="89" spans="1:24" ht="15.6" x14ac:dyDescent="0.3">
      <c r="A89" s="340"/>
      <c r="B89" s="288" t="s">
        <v>29</v>
      </c>
      <c r="C89" s="288"/>
      <c r="D89" s="288"/>
      <c r="E89" s="288"/>
      <c r="F89" s="288"/>
      <c r="G89" s="288"/>
      <c r="H89" s="325"/>
      <c r="I89" s="325"/>
      <c r="J89" s="325"/>
      <c r="K89" s="341"/>
      <c r="L89" s="325"/>
      <c r="M89" s="288"/>
      <c r="N89" s="342"/>
      <c r="O89" s="288"/>
      <c r="P89" s="288"/>
      <c r="Q89" s="288"/>
      <c r="R89" s="288"/>
      <c r="S89" s="288"/>
      <c r="T89" s="337">
        <f>6026-336</f>
        <v>5690</v>
      </c>
      <c r="U89" s="288"/>
      <c r="V89" s="338"/>
      <c r="W89" s="291"/>
      <c r="X89" s="5"/>
    </row>
    <row r="90" spans="1:24" ht="15.6" x14ac:dyDescent="0.3">
      <c r="A90" s="340"/>
      <c r="B90" s="288" t="s">
        <v>216</v>
      </c>
      <c r="C90" s="288"/>
      <c r="D90" s="288"/>
      <c r="E90" s="288"/>
      <c r="F90" s="288"/>
      <c r="G90" s="288"/>
      <c r="H90" s="325"/>
      <c r="I90" s="325"/>
      <c r="J90" s="325"/>
      <c r="K90" s="341"/>
      <c r="L90" s="325"/>
      <c r="M90" s="288"/>
      <c r="N90" s="342"/>
      <c r="O90" s="288"/>
      <c r="P90" s="288"/>
      <c r="Q90" s="288"/>
      <c r="R90" s="288"/>
      <c r="S90" s="288"/>
      <c r="T90" s="337"/>
      <c r="U90" s="288"/>
      <c r="V90" s="338">
        <f>3603+4628+2-284-462</f>
        <v>7487</v>
      </c>
      <c r="W90" s="291"/>
      <c r="X90" s="5"/>
    </row>
    <row r="91" spans="1:24" ht="15.6" x14ac:dyDescent="0.3">
      <c r="A91" s="340"/>
      <c r="B91" s="288" t="s">
        <v>211</v>
      </c>
      <c r="C91" s="288"/>
      <c r="D91" s="288"/>
      <c r="E91" s="288"/>
      <c r="F91" s="288"/>
      <c r="G91" s="288"/>
      <c r="H91" s="325"/>
      <c r="I91" s="325"/>
      <c r="J91" s="325"/>
      <c r="K91" s="341"/>
      <c r="L91" s="325"/>
      <c r="M91" s="288"/>
      <c r="N91" s="342"/>
      <c r="O91" s="288"/>
      <c r="P91" s="288"/>
      <c r="Q91" s="288"/>
      <c r="R91" s="288"/>
      <c r="S91" s="288"/>
      <c r="T91" s="337"/>
      <c r="U91" s="288"/>
      <c r="V91" s="338">
        <f>29+31</f>
        <v>60</v>
      </c>
      <c r="W91" s="291"/>
      <c r="X91" s="5"/>
    </row>
    <row r="92" spans="1:24" ht="15.6" x14ac:dyDescent="0.3">
      <c r="A92" s="340"/>
      <c r="B92" s="288" t="s">
        <v>212</v>
      </c>
      <c r="C92" s="288"/>
      <c r="D92" s="288"/>
      <c r="E92" s="288"/>
      <c r="F92" s="288"/>
      <c r="G92" s="288"/>
      <c r="H92" s="325"/>
      <c r="I92" s="325"/>
      <c r="J92" s="325"/>
      <c r="K92" s="341"/>
      <c r="L92" s="325"/>
      <c r="M92" s="288"/>
      <c r="N92" s="342"/>
      <c r="O92" s="288"/>
      <c r="P92" s="288"/>
      <c r="Q92" s="288"/>
      <c r="R92" s="288"/>
      <c r="S92" s="288"/>
      <c r="T92" s="337"/>
      <c r="U92" s="288"/>
      <c r="V92" s="338">
        <v>21</v>
      </c>
      <c r="W92" s="291"/>
      <c r="X92" s="5"/>
    </row>
    <row r="93" spans="1:24" ht="15.6" x14ac:dyDescent="0.3">
      <c r="A93" s="340"/>
      <c r="B93" s="288" t="s">
        <v>272</v>
      </c>
      <c r="C93" s="288"/>
      <c r="D93" s="288"/>
      <c r="E93" s="288"/>
      <c r="F93" s="288"/>
      <c r="G93" s="288"/>
      <c r="H93" s="325"/>
      <c r="I93" s="325"/>
      <c r="J93" s="325"/>
      <c r="K93" s="341"/>
      <c r="L93" s="325"/>
      <c r="M93" s="288"/>
      <c r="N93" s="342"/>
      <c r="O93" s="288"/>
      <c r="P93" s="288"/>
      <c r="Q93" s="288"/>
      <c r="R93" s="288"/>
      <c r="S93" s="288"/>
      <c r="T93" s="337"/>
      <c r="U93" s="288"/>
      <c r="V93" s="338">
        <v>0</v>
      </c>
      <c r="W93" s="291"/>
      <c r="X93" s="5"/>
    </row>
    <row r="94" spans="1:24" ht="15.6" x14ac:dyDescent="0.3">
      <c r="A94" s="340"/>
      <c r="B94" s="288" t="s">
        <v>274</v>
      </c>
      <c r="C94" s="288"/>
      <c r="D94" s="288"/>
      <c r="E94" s="288"/>
      <c r="F94" s="288"/>
      <c r="G94" s="288"/>
      <c r="H94" s="325"/>
      <c r="I94" s="325"/>
      <c r="J94" s="325"/>
      <c r="K94" s="341"/>
      <c r="L94" s="325"/>
      <c r="M94" s="288"/>
      <c r="N94" s="342"/>
      <c r="O94" s="288"/>
      <c r="P94" s="288"/>
      <c r="Q94" s="288"/>
      <c r="R94" s="288"/>
      <c r="S94" s="288"/>
      <c r="T94" s="337"/>
      <c r="U94" s="288"/>
      <c r="V94" s="338">
        <v>0</v>
      </c>
      <c r="W94" s="291"/>
      <c r="X94" s="5"/>
    </row>
    <row r="95" spans="1:24" ht="15.6" x14ac:dyDescent="0.3">
      <c r="A95" s="340"/>
      <c r="B95" s="288" t="s">
        <v>135</v>
      </c>
      <c r="C95" s="288"/>
      <c r="D95" s="288"/>
      <c r="E95" s="288"/>
      <c r="F95" s="288"/>
      <c r="G95" s="288"/>
      <c r="H95" s="288"/>
      <c r="I95" s="288"/>
      <c r="J95" s="288"/>
      <c r="K95" s="288"/>
      <c r="L95" s="288"/>
      <c r="M95" s="288"/>
      <c r="N95" s="288"/>
      <c r="O95" s="288"/>
      <c r="P95" s="288"/>
      <c r="Q95" s="288"/>
      <c r="R95" s="288"/>
      <c r="S95" s="288"/>
      <c r="T95" s="337"/>
      <c r="U95" s="288"/>
      <c r="V95" s="338">
        <v>0</v>
      </c>
      <c r="W95" s="291"/>
      <c r="X95" s="5"/>
    </row>
    <row r="96" spans="1:24" ht="15.6" x14ac:dyDescent="0.3">
      <c r="A96" s="340"/>
      <c r="B96" s="288" t="s">
        <v>268</v>
      </c>
      <c r="C96" s="288"/>
      <c r="D96" s="288"/>
      <c r="E96" s="288"/>
      <c r="F96" s="288"/>
      <c r="G96" s="288"/>
      <c r="H96" s="288"/>
      <c r="I96" s="288"/>
      <c r="J96" s="288"/>
      <c r="K96" s="288"/>
      <c r="L96" s="288"/>
      <c r="M96" s="288"/>
      <c r="N96" s="288"/>
      <c r="O96" s="288"/>
      <c r="P96" s="288"/>
      <c r="Q96" s="288"/>
      <c r="R96" s="288"/>
      <c r="S96" s="288"/>
      <c r="T96" s="337"/>
      <c r="U96" s="288"/>
      <c r="V96" s="338">
        <v>0</v>
      </c>
      <c r="W96" s="291"/>
      <c r="X96" s="5"/>
    </row>
    <row r="97" spans="1:25" ht="15.6" x14ac:dyDescent="0.3">
      <c r="A97" s="340"/>
      <c r="B97" s="288" t="s">
        <v>30</v>
      </c>
      <c r="C97" s="288"/>
      <c r="D97" s="288"/>
      <c r="E97" s="288"/>
      <c r="F97" s="288"/>
      <c r="G97" s="288"/>
      <c r="H97" s="288"/>
      <c r="I97" s="288"/>
      <c r="J97" s="288"/>
      <c r="K97" s="288"/>
      <c r="L97" s="288"/>
      <c r="M97" s="288"/>
      <c r="N97" s="288"/>
      <c r="O97" s="288"/>
      <c r="P97" s="288"/>
      <c r="Q97" s="288"/>
      <c r="R97" s="288"/>
      <c r="S97" s="288"/>
      <c r="T97" s="337">
        <f>SUM(T88:T96)</f>
        <v>5690</v>
      </c>
      <c r="U97" s="288"/>
      <c r="V97" s="337">
        <f>SUM(V88:V96)</f>
        <v>7568</v>
      </c>
      <c r="W97" s="291"/>
      <c r="X97" s="5"/>
    </row>
    <row r="98" spans="1:25" ht="15.6" x14ac:dyDescent="0.3">
      <c r="A98" s="340"/>
      <c r="B98" s="288" t="s">
        <v>161</v>
      </c>
      <c r="C98" s="288"/>
      <c r="D98" s="288"/>
      <c r="E98" s="288"/>
      <c r="F98" s="288"/>
      <c r="G98" s="288"/>
      <c r="H98" s="288"/>
      <c r="I98" s="288"/>
      <c r="J98" s="288"/>
      <c r="K98" s="288"/>
      <c r="L98" s="288"/>
      <c r="M98" s="288"/>
      <c r="N98" s="288"/>
      <c r="O98" s="288"/>
      <c r="P98" s="288"/>
      <c r="Q98" s="288"/>
      <c r="R98" s="288"/>
      <c r="S98" s="288"/>
      <c r="T98" s="337">
        <f>-V98</f>
        <v>-24</v>
      </c>
      <c r="U98" s="288"/>
      <c r="V98" s="337">
        <v>24</v>
      </c>
      <c r="W98" s="291"/>
      <c r="X98" s="5"/>
    </row>
    <row r="99" spans="1:25" ht="15.6" x14ac:dyDescent="0.3">
      <c r="A99" s="340"/>
      <c r="B99" s="288" t="s">
        <v>31</v>
      </c>
      <c r="C99" s="288"/>
      <c r="D99" s="288"/>
      <c r="E99" s="288"/>
      <c r="F99" s="288"/>
      <c r="G99" s="288"/>
      <c r="H99" s="288"/>
      <c r="I99" s="288"/>
      <c r="J99" s="288"/>
      <c r="K99" s="288"/>
      <c r="L99" s="288"/>
      <c r="M99" s="288"/>
      <c r="N99" s="288"/>
      <c r="O99" s="288"/>
      <c r="P99" s="288"/>
      <c r="Q99" s="288"/>
      <c r="R99" s="288"/>
      <c r="S99" s="288"/>
      <c r="T99" s="337">
        <f>-V99</f>
        <v>0</v>
      </c>
      <c r="U99" s="288"/>
      <c r="V99" s="338">
        <v>0</v>
      </c>
      <c r="W99" s="291"/>
      <c r="X99" s="5"/>
    </row>
    <row r="100" spans="1:25" ht="15.6" x14ac:dyDescent="0.3">
      <c r="A100" s="340"/>
      <c r="B100" s="288" t="s">
        <v>283</v>
      </c>
      <c r="C100" s="288"/>
      <c r="D100" s="288"/>
      <c r="E100" s="288"/>
      <c r="F100" s="288"/>
      <c r="G100" s="288"/>
      <c r="H100" s="288"/>
      <c r="I100" s="288"/>
      <c r="J100" s="288"/>
      <c r="K100" s="288"/>
      <c r="L100" s="288"/>
      <c r="M100" s="288"/>
      <c r="N100" s="288"/>
      <c r="O100" s="288"/>
      <c r="P100" s="288"/>
      <c r="Q100" s="288"/>
      <c r="R100" s="288"/>
      <c r="S100" s="288"/>
      <c r="T100" s="337"/>
      <c r="U100" s="288"/>
      <c r="V100" s="338">
        <v>86</v>
      </c>
      <c r="W100" s="291"/>
      <c r="X100" s="5"/>
    </row>
    <row r="101" spans="1:25" ht="15.6" x14ac:dyDescent="0.3">
      <c r="A101" s="340"/>
      <c r="B101" s="288" t="s">
        <v>32</v>
      </c>
      <c r="C101" s="288"/>
      <c r="D101" s="288"/>
      <c r="E101" s="288"/>
      <c r="F101" s="288"/>
      <c r="G101" s="288"/>
      <c r="H101" s="288"/>
      <c r="I101" s="288"/>
      <c r="J101" s="288"/>
      <c r="K101" s="288"/>
      <c r="L101" s="288"/>
      <c r="M101" s="288"/>
      <c r="N101" s="288"/>
      <c r="O101" s="288"/>
      <c r="P101" s="288"/>
      <c r="Q101" s="288"/>
      <c r="R101" s="288"/>
      <c r="S101" s="288"/>
      <c r="T101" s="337">
        <f>T97+T99+T98</f>
        <v>5666</v>
      </c>
      <c r="U101" s="288"/>
      <c r="V101" s="337">
        <f>V97+V99+V98+V100</f>
        <v>7678</v>
      </c>
      <c r="W101" s="291"/>
      <c r="X101" s="5"/>
    </row>
    <row r="102" spans="1:25" ht="15.6" x14ac:dyDescent="0.3">
      <c r="A102" s="287"/>
      <c r="B102" s="343" t="s">
        <v>33</v>
      </c>
      <c r="C102" s="314"/>
      <c r="D102" s="314"/>
      <c r="E102" s="314"/>
      <c r="F102" s="314"/>
      <c r="G102" s="314"/>
      <c r="H102" s="314"/>
      <c r="I102" s="314"/>
      <c r="J102" s="314"/>
      <c r="K102" s="314"/>
      <c r="L102" s="314"/>
      <c r="M102" s="314"/>
      <c r="N102" s="314"/>
      <c r="O102" s="314"/>
      <c r="P102" s="314"/>
      <c r="Q102" s="314"/>
      <c r="R102" s="314"/>
      <c r="S102" s="314"/>
      <c r="T102" s="344"/>
      <c r="U102" s="314"/>
      <c r="V102" s="345"/>
      <c r="W102" s="318"/>
      <c r="X102" s="5"/>
    </row>
    <row r="103" spans="1:25" ht="15.6" x14ac:dyDescent="0.3">
      <c r="A103" s="340">
        <v>1</v>
      </c>
      <c r="B103" s="288" t="s">
        <v>34</v>
      </c>
      <c r="C103" s="288"/>
      <c r="D103" s="288"/>
      <c r="E103" s="288"/>
      <c r="F103" s="288"/>
      <c r="G103" s="288"/>
      <c r="H103" s="288"/>
      <c r="I103" s="288"/>
      <c r="J103" s="288"/>
      <c r="K103" s="288"/>
      <c r="L103" s="288"/>
      <c r="M103" s="288"/>
      <c r="N103" s="288"/>
      <c r="O103" s="288"/>
      <c r="P103" s="288"/>
      <c r="Q103" s="288"/>
      <c r="R103" s="288"/>
      <c r="S103" s="288"/>
      <c r="T103" s="288"/>
      <c r="U103" s="288"/>
      <c r="V103" s="338">
        <v>0</v>
      </c>
      <c r="W103" s="291"/>
      <c r="X103" s="5"/>
    </row>
    <row r="104" spans="1:25" ht="15.6" x14ac:dyDescent="0.3">
      <c r="A104" s="340">
        <f>+A103+1</f>
        <v>2</v>
      </c>
      <c r="B104" s="288" t="s">
        <v>225</v>
      </c>
      <c r="C104" s="288"/>
      <c r="D104" s="288"/>
      <c r="E104" s="288"/>
      <c r="F104" s="288"/>
      <c r="G104" s="288"/>
      <c r="H104" s="288"/>
      <c r="I104" s="288"/>
      <c r="J104" s="288"/>
      <c r="K104" s="288"/>
      <c r="L104" s="288"/>
      <c r="M104" s="288"/>
      <c r="N104" s="288"/>
      <c r="O104" s="288"/>
      <c r="P104" s="288"/>
      <c r="Q104" s="288"/>
      <c r="R104" s="288"/>
      <c r="S104" s="288"/>
      <c r="T104" s="288"/>
      <c r="U104" s="288"/>
      <c r="V104" s="338">
        <v>-2</v>
      </c>
      <c r="W104" s="291"/>
      <c r="X104" s="5"/>
    </row>
    <row r="105" spans="1:25" ht="15.6" x14ac:dyDescent="0.3">
      <c r="A105" s="340">
        <f>+A104+1</f>
        <v>3</v>
      </c>
      <c r="B105" s="288" t="s">
        <v>204</v>
      </c>
      <c r="C105" s="288"/>
      <c r="D105" s="288"/>
      <c r="E105" s="288"/>
      <c r="F105" s="288"/>
      <c r="G105" s="288"/>
      <c r="H105" s="288"/>
      <c r="I105" s="288"/>
      <c r="J105" s="288"/>
      <c r="K105" s="288"/>
      <c r="L105" s="288"/>
      <c r="M105" s="288"/>
      <c r="N105" s="288"/>
      <c r="O105" s="288"/>
      <c r="P105" s="288"/>
      <c r="Q105" s="288"/>
      <c r="R105" s="288"/>
      <c r="S105" s="288"/>
      <c r="T105" s="288"/>
      <c r="U105" s="288"/>
      <c r="V105" s="338">
        <f>-145-276-14</f>
        <v>-435</v>
      </c>
      <c r="W105" s="291"/>
      <c r="X105" s="5"/>
    </row>
    <row r="106" spans="1:25" ht="15.6" x14ac:dyDescent="0.3">
      <c r="A106" s="340" t="s">
        <v>127</v>
      </c>
      <c r="B106" s="288" t="s">
        <v>116</v>
      </c>
      <c r="C106" s="288"/>
      <c r="D106" s="288"/>
      <c r="E106" s="288"/>
      <c r="F106" s="288"/>
      <c r="G106" s="288"/>
      <c r="H106" s="288"/>
      <c r="I106" s="288"/>
      <c r="J106" s="288"/>
      <c r="K106" s="288"/>
      <c r="L106" s="288"/>
      <c r="M106" s="288"/>
      <c r="N106" s="288"/>
      <c r="O106" s="288"/>
      <c r="P106" s="288"/>
      <c r="Q106" s="288"/>
      <c r="R106" s="288"/>
      <c r="S106" s="288"/>
      <c r="T106" s="288"/>
      <c r="U106" s="288"/>
      <c r="V106" s="338">
        <v>0</v>
      </c>
      <c r="W106" s="291"/>
      <c r="X106" s="5"/>
    </row>
    <row r="107" spans="1:25" ht="15.6" x14ac:dyDescent="0.3">
      <c r="A107" s="340" t="s">
        <v>128</v>
      </c>
      <c r="B107" s="288" t="s">
        <v>222</v>
      </c>
      <c r="C107" s="288"/>
      <c r="D107" s="288"/>
      <c r="E107" s="288"/>
      <c r="F107" s="288"/>
      <c r="G107" s="288"/>
      <c r="H107" s="288"/>
      <c r="I107" s="288"/>
      <c r="J107" s="288"/>
      <c r="K107" s="288"/>
      <c r="L107" s="288"/>
      <c r="M107" s="288"/>
      <c r="N107" s="288"/>
      <c r="O107" s="288"/>
      <c r="P107" s="288"/>
      <c r="Q107" s="288"/>
      <c r="R107" s="288"/>
      <c r="S107" s="288"/>
      <c r="T107" s="288"/>
      <c r="U107" s="288"/>
      <c r="V107" s="338">
        <f>-2210+210</f>
        <v>-2000</v>
      </c>
      <c r="W107" s="291"/>
      <c r="X107" s="5"/>
      <c r="Y107" s="109"/>
    </row>
    <row r="108" spans="1:25" ht="15.6" x14ac:dyDescent="0.3">
      <c r="A108" s="340" t="s">
        <v>150</v>
      </c>
      <c r="B108" s="288" t="s">
        <v>184</v>
      </c>
      <c r="C108" s="288"/>
      <c r="D108" s="288"/>
      <c r="E108" s="288"/>
      <c r="F108" s="288"/>
      <c r="G108" s="288"/>
      <c r="H108" s="288"/>
      <c r="I108" s="288"/>
      <c r="J108" s="288"/>
      <c r="K108" s="288"/>
      <c r="L108" s="288"/>
      <c r="M108" s="288"/>
      <c r="N108" s="288"/>
      <c r="O108" s="288"/>
      <c r="P108" s="288"/>
      <c r="Q108" s="288"/>
      <c r="R108" s="288"/>
      <c r="S108" s="288"/>
      <c r="T108" s="288"/>
      <c r="U108" s="288"/>
      <c r="V108" s="338">
        <v>-210</v>
      </c>
      <c r="W108" s="291"/>
      <c r="X108" s="5"/>
      <c r="Y108" s="109"/>
    </row>
    <row r="109" spans="1:25" ht="15.6" x14ac:dyDescent="0.3">
      <c r="A109" s="340" t="s">
        <v>236</v>
      </c>
      <c r="B109" s="288" t="s">
        <v>238</v>
      </c>
      <c r="C109" s="288"/>
      <c r="D109" s="288"/>
      <c r="E109" s="288"/>
      <c r="F109" s="288"/>
      <c r="G109" s="288"/>
      <c r="H109" s="288"/>
      <c r="I109" s="288"/>
      <c r="J109" s="288"/>
      <c r="K109" s="288"/>
      <c r="L109" s="288"/>
      <c r="M109" s="288"/>
      <c r="N109" s="288"/>
      <c r="O109" s="288"/>
      <c r="P109" s="288"/>
      <c r="Q109" s="288"/>
      <c r="R109" s="288"/>
      <c r="S109" s="288"/>
      <c r="T109" s="288"/>
      <c r="U109" s="288"/>
      <c r="V109" s="338">
        <v>-1</v>
      </c>
      <c r="W109" s="291"/>
      <c r="X109" s="5"/>
    </row>
    <row r="110" spans="1:25" ht="15.6" x14ac:dyDescent="0.3">
      <c r="A110" s="340" t="s">
        <v>205</v>
      </c>
      <c r="B110" s="288" t="s">
        <v>185</v>
      </c>
      <c r="C110" s="288"/>
      <c r="D110" s="288"/>
      <c r="E110" s="288"/>
      <c r="F110" s="288"/>
      <c r="G110" s="288"/>
      <c r="H110" s="288"/>
      <c r="I110" s="288"/>
      <c r="J110" s="288"/>
      <c r="K110" s="288"/>
      <c r="L110" s="288"/>
      <c r="M110" s="288"/>
      <c r="N110" s="288"/>
      <c r="O110" s="288"/>
      <c r="P110" s="288"/>
      <c r="Q110" s="288"/>
      <c r="R110" s="288"/>
      <c r="S110" s="288"/>
      <c r="T110" s="288"/>
      <c r="U110" s="288"/>
      <c r="V110" s="338">
        <v>-158</v>
      </c>
      <c r="W110" s="291"/>
      <c r="X110" s="5"/>
      <c r="Y110" s="109"/>
    </row>
    <row r="111" spans="1:25" ht="15.6" x14ac:dyDescent="0.3">
      <c r="A111" s="340" t="s">
        <v>206</v>
      </c>
      <c r="B111" s="288" t="s">
        <v>186</v>
      </c>
      <c r="C111" s="288"/>
      <c r="D111" s="288"/>
      <c r="E111" s="288"/>
      <c r="F111" s="288"/>
      <c r="G111" s="288"/>
      <c r="H111" s="288"/>
      <c r="I111" s="288"/>
      <c r="J111" s="288"/>
      <c r="K111" s="288"/>
      <c r="L111" s="288"/>
      <c r="M111" s="288"/>
      <c r="N111" s="288"/>
      <c r="O111" s="288"/>
      <c r="P111" s="288"/>
      <c r="Q111" s="288"/>
      <c r="R111" s="288"/>
      <c r="S111" s="288"/>
      <c r="T111" s="288"/>
      <c r="U111" s="288"/>
      <c r="V111" s="338">
        <v>-131</v>
      </c>
      <c r="W111" s="291"/>
      <c r="X111" s="179"/>
      <c r="Y111" s="109"/>
    </row>
    <row r="112" spans="1:25" ht="15.6" x14ac:dyDescent="0.3">
      <c r="A112" s="340" t="s">
        <v>207</v>
      </c>
      <c r="B112" s="288" t="s">
        <v>196</v>
      </c>
      <c r="C112" s="288"/>
      <c r="D112" s="288"/>
      <c r="E112" s="288"/>
      <c r="F112" s="288"/>
      <c r="G112" s="288"/>
      <c r="H112" s="288"/>
      <c r="I112" s="288"/>
      <c r="J112" s="288"/>
      <c r="K112" s="288"/>
      <c r="L112" s="288"/>
      <c r="M112" s="288"/>
      <c r="N112" s="288"/>
      <c r="O112" s="288"/>
      <c r="P112" s="288"/>
      <c r="Q112" s="288"/>
      <c r="R112" s="288"/>
      <c r="S112" s="288"/>
      <c r="T112" s="288"/>
      <c r="U112" s="288"/>
      <c r="V112" s="338">
        <v>-293</v>
      </c>
      <c r="W112" s="291"/>
      <c r="X112" s="5"/>
      <c r="Y112" s="109"/>
    </row>
    <row r="113" spans="1:25" ht="15.6" x14ac:dyDescent="0.3">
      <c r="A113" s="340" t="s">
        <v>224</v>
      </c>
      <c r="B113" s="288" t="s">
        <v>223</v>
      </c>
      <c r="C113" s="288"/>
      <c r="D113" s="288"/>
      <c r="E113" s="288"/>
      <c r="F113" s="288"/>
      <c r="G113" s="288"/>
      <c r="H113" s="288"/>
      <c r="I113" s="288"/>
      <c r="J113" s="288"/>
      <c r="K113" s="288"/>
      <c r="L113" s="288"/>
      <c r="M113" s="288"/>
      <c r="N113" s="288"/>
      <c r="O113" s="288"/>
      <c r="P113" s="288"/>
      <c r="Q113" s="288"/>
      <c r="R113" s="288"/>
      <c r="S113" s="288"/>
      <c r="T113" s="288"/>
      <c r="U113" s="288"/>
      <c r="V113" s="338">
        <v>-61</v>
      </c>
      <c r="W113" s="291"/>
      <c r="X113" s="5"/>
      <c r="Y113" s="109"/>
    </row>
    <row r="114" spans="1:25" ht="15.6" x14ac:dyDescent="0.3">
      <c r="A114" s="340">
        <v>7</v>
      </c>
      <c r="B114" s="288" t="s">
        <v>35</v>
      </c>
      <c r="C114" s="288"/>
      <c r="D114" s="288"/>
      <c r="E114" s="288"/>
      <c r="F114" s="288"/>
      <c r="G114" s="288"/>
      <c r="H114" s="288"/>
      <c r="I114" s="288"/>
      <c r="J114" s="288"/>
      <c r="K114" s="288"/>
      <c r="L114" s="288"/>
      <c r="M114" s="288"/>
      <c r="N114" s="288"/>
      <c r="O114" s="288"/>
      <c r="P114" s="288"/>
      <c r="Q114" s="288"/>
      <c r="R114" s="288"/>
      <c r="S114" s="288"/>
      <c r="T114" s="288"/>
      <c r="U114" s="288"/>
      <c r="V114" s="338">
        <v>-10</v>
      </c>
      <c r="W114" s="291"/>
      <c r="X114" s="5"/>
    </row>
    <row r="115" spans="1:25" ht="15.6" x14ac:dyDescent="0.3">
      <c r="A115" s="340">
        <f t="shared" ref="A115:A121" si="0">+A114+1</f>
        <v>8</v>
      </c>
      <c r="B115" s="288" t="s">
        <v>45</v>
      </c>
      <c r="C115" s="288"/>
      <c r="D115" s="288"/>
      <c r="E115" s="288"/>
      <c r="F115" s="288"/>
      <c r="G115" s="288"/>
      <c r="H115" s="288"/>
      <c r="I115" s="288"/>
      <c r="J115" s="288"/>
      <c r="K115" s="288"/>
      <c r="L115" s="288"/>
      <c r="M115" s="288"/>
      <c r="N115" s="288"/>
      <c r="O115" s="288"/>
      <c r="P115" s="288"/>
      <c r="Q115" s="288"/>
      <c r="R115" s="288"/>
      <c r="S115" s="288"/>
      <c r="T115" s="337">
        <f>-V115</f>
        <v>336</v>
      </c>
      <c r="U115" s="288"/>
      <c r="V115" s="338">
        <v>-336</v>
      </c>
      <c r="W115" s="291"/>
      <c r="X115" s="5"/>
    </row>
    <row r="116" spans="1:25" ht="15.6" x14ac:dyDescent="0.3">
      <c r="A116" s="340">
        <f t="shared" si="0"/>
        <v>9</v>
      </c>
      <c r="B116" s="288" t="s">
        <v>125</v>
      </c>
      <c r="C116" s="288"/>
      <c r="D116" s="288"/>
      <c r="E116" s="288"/>
      <c r="F116" s="288"/>
      <c r="G116" s="288"/>
      <c r="H116" s="288"/>
      <c r="I116" s="288"/>
      <c r="J116" s="288"/>
      <c r="K116" s="288"/>
      <c r="L116" s="288"/>
      <c r="M116" s="288"/>
      <c r="N116" s="288"/>
      <c r="O116" s="288"/>
      <c r="P116" s="288"/>
      <c r="Q116" s="288"/>
      <c r="R116" s="288"/>
      <c r="S116" s="288"/>
      <c r="T116" s="288"/>
      <c r="U116" s="288"/>
      <c r="V116" s="338">
        <v>0</v>
      </c>
      <c r="W116" s="291"/>
      <c r="X116" s="5"/>
    </row>
    <row r="117" spans="1:25" ht="15.6" x14ac:dyDescent="0.3">
      <c r="A117" s="340">
        <f t="shared" si="0"/>
        <v>10</v>
      </c>
      <c r="B117" s="288" t="s">
        <v>240</v>
      </c>
      <c r="C117" s="288"/>
      <c r="D117" s="288"/>
      <c r="E117" s="288"/>
      <c r="F117" s="288"/>
      <c r="G117" s="288"/>
      <c r="H117" s="288"/>
      <c r="I117" s="288"/>
      <c r="J117" s="288"/>
      <c r="K117" s="288"/>
      <c r="L117" s="288"/>
      <c r="M117" s="288"/>
      <c r="N117" s="288"/>
      <c r="O117" s="288"/>
      <c r="P117" s="288"/>
      <c r="Q117" s="288"/>
      <c r="R117" s="288"/>
      <c r="S117" s="288"/>
      <c r="T117" s="288"/>
      <c r="U117" s="288"/>
      <c r="V117" s="338">
        <v>0</v>
      </c>
      <c r="W117" s="291"/>
      <c r="X117" s="5"/>
    </row>
    <row r="118" spans="1:25" ht="15.6" x14ac:dyDescent="0.3">
      <c r="A118" s="340">
        <f t="shared" si="0"/>
        <v>11</v>
      </c>
      <c r="B118" s="288" t="s">
        <v>36</v>
      </c>
      <c r="C118" s="288"/>
      <c r="D118" s="288"/>
      <c r="E118" s="288"/>
      <c r="F118" s="288"/>
      <c r="G118" s="288"/>
      <c r="H118" s="288"/>
      <c r="I118" s="288"/>
      <c r="J118" s="288"/>
      <c r="K118" s="288"/>
      <c r="L118" s="288"/>
      <c r="M118" s="288"/>
      <c r="N118" s="288"/>
      <c r="O118" s="288"/>
      <c r="P118" s="288"/>
      <c r="Q118" s="288"/>
      <c r="R118" s="288"/>
      <c r="S118" s="288"/>
      <c r="T118" s="288"/>
      <c r="U118" s="288"/>
      <c r="V118" s="338">
        <v>0</v>
      </c>
      <c r="W118" s="291"/>
      <c r="X118" s="5"/>
    </row>
    <row r="119" spans="1:25" ht="15.6" x14ac:dyDescent="0.3">
      <c r="A119" s="340">
        <f t="shared" si="0"/>
        <v>12</v>
      </c>
      <c r="B119" s="288" t="s">
        <v>239</v>
      </c>
      <c r="C119" s="288"/>
      <c r="D119" s="288"/>
      <c r="E119" s="288"/>
      <c r="F119" s="288"/>
      <c r="G119" s="288"/>
      <c r="H119" s="288"/>
      <c r="I119" s="288"/>
      <c r="J119" s="288"/>
      <c r="K119" s="288"/>
      <c r="L119" s="288"/>
      <c r="M119" s="288"/>
      <c r="N119" s="288"/>
      <c r="O119" s="288"/>
      <c r="P119" s="288"/>
      <c r="Q119" s="288"/>
      <c r="R119" s="288"/>
      <c r="S119" s="288"/>
      <c r="T119" s="288"/>
      <c r="U119" s="288"/>
      <c r="V119" s="338">
        <v>0</v>
      </c>
      <c r="W119" s="291"/>
      <c r="X119" s="5"/>
    </row>
    <row r="120" spans="1:25" ht="15.6" x14ac:dyDescent="0.3">
      <c r="A120" s="340">
        <f t="shared" si="0"/>
        <v>13</v>
      </c>
      <c r="B120" s="288" t="s">
        <v>149</v>
      </c>
      <c r="C120" s="288"/>
      <c r="D120" s="288"/>
      <c r="E120" s="288"/>
      <c r="F120" s="288"/>
      <c r="G120" s="288"/>
      <c r="H120" s="288"/>
      <c r="I120" s="288"/>
      <c r="J120" s="288"/>
      <c r="K120" s="288"/>
      <c r="L120" s="288"/>
      <c r="M120" s="288"/>
      <c r="N120" s="288"/>
      <c r="O120" s="288"/>
      <c r="P120" s="288"/>
      <c r="Q120" s="288"/>
      <c r="R120" s="288"/>
      <c r="S120" s="288"/>
      <c r="T120" s="288"/>
      <c r="U120" s="288"/>
      <c r="V120" s="338">
        <v>-725</v>
      </c>
      <c r="W120" s="291"/>
      <c r="X120" s="5"/>
    </row>
    <row r="121" spans="1:25" ht="15.6" x14ac:dyDescent="0.3">
      <c r="A121" s="340">
        <f t="shared" si="0"/>
        <v>14</v>
      </c>
      <c r="B121" s="288" t="s">
        <v>126</v>
      </c>
      <c r="C121" s="288"/>
      <c r="D121" s="288"/>
      <c r="E121" s="288"/>
      <c r="F121" s="288"/>
      <c r="G121" s="288"/>
      <c r="H121" s="288"/>
      <c r="I121" s="288"/>
      <c r="J121" s="288"/>
      <c r="K121" s="288"/>
      <c r="L121" s="288"/>
      <c r="M121" s="288"/>
      <c r="N121" s="288"/>
      <c r="O121" s="288"/>
      <c r="P121" s="288"/>
      <c r="Q121" s="288"/>
      <c r="R121" s="288"/>
      <c r="S121" s="288"/>
      <c r="T121" s="288"/>
      <c r="U121" s="288"/>
      <c r="V121" s="338">
        <f>-V101-SUM(V103:V120)</f>
        <v>-3316</v>
      </c>
      <c r="W121" s="291"/>
      <c r="X121" s="5"/>
    </row>
    <row r="122" spans="1:25" ht="15.6" x14ac:dyDescent="0.3">
      <c r="A122" s="287"/>
      <c r="B122" s="343" t="s">
        <v>37</v>
      </c>
      <c r="C122" s="314"/>
      <c r="D122" s="314"/>
      <c r="E122" s="314"/>
      <c r="F122" s="314"/>
      <c r="G122" s="314"/>
      <c r="H122" s="314"/>
      <c r="I122" s="314"/>
      <c r="J122" s="314"/>
      <c r="K122" s="314"/>
      <c r="L122" s="314"/>
      <c r="M122" s="314"/>
      <c r="N122" s="314"/>
      <c r="O122" s="314"/>
      <c r="P122" s="314"/>
      <c r="Q122" s="314"/>
      <c r="R122" s="314"/>
      <c r="S122" s="314"/>
      <c r="T122" s="314"/>
      <c r="U122" s="314"/>
      <c r="V122" s="346"/>
      <c r="W122" s="318"/>
      <c r="X122" s="5"/>
    </row>
    <row r="123" spans="1:25" ht="15.6" x14ac:dyDescent="0.3">
      <c r="A123" s="340"/>
      <c r="B123" s="288" t="s">
        <v>173</v>
      </c>
      <c r="C123" s="288"/>
      <c r="D123" s="288"/>
      <c r="E123" s="288"/>
      <c r="F123" s="288"/>
      <c r="G123" s="288"/>
      <c r="H123" s="288"/>
      <c r="I123" s="288"/>
      <c r="J123" s="288"/>
      <c r="K123" s="288"/>
      <c r="L123" s="288"/>
      <c r="M123" s="288"/>
      <c r="N123" s="288"/>
      <c r="O123" s="288"/>
      <c r="P123" s="288"/>
      <c r="Q123" s="288"/>
      <c r="R123" s="288"/>
      <c r="S123" s="288"/>
      <c r="T123" s="337">
        <f>-T189</f>
        <v>-8</v>
      </c>
      <c r="U123" s="337"/>
      <c r="V123" s="338"/>
      <c r="W123" s="291"/>
      <c r="X123" s="5"/>
    </row>
    <row r="124" spans="1:25" ht="15.6" x14ac:dyDescent="0.3">
      <c r="A124" s="340"/>
      <c r="B124" s="288" t="s">
        <v>174</v>
      </c>
      <c r="C124" s="288"/>
      <c r="D124" s="288"/>
      <c r="E124" s="288"/>
      <c r="F124" s="288"/>
      <c r="G124" s="288"/>
      <c r="H124" s="288"/>
      <c r="I124" s="288"/>
      <c r="J124" s="288"/>
      <c r="K124" s="288"/>
      <c r="L124" s="288"/>
      <c r="M124" s="288"/>
      <c r="N124" s="288"/>
      <c r="O124" s="288"/>
      <c r="P124" s="288"/>
      <c r="Q124" s="288"/>
      <c r="R124" s="288"/>
      <c r="S124" s="288"/>
      <c r="T124" s="337">
        <v>-190</v>
      </c>
      <c r="U124" s="337"/>
      <c r="V124" s="338"/>
      <c r="W124" s="291"/>
      <c r="X124" s="5"/>
    </row>
    <row r="125" spans="1:25" ht="15.6" x14ac:dyDescent="0.3">
      <c r="A125" s="340"/>
      <c r="B125" s="288" t="s">
        <v>38</v>
      </c>
      <c r="C125" s="288"/>
      <c r="D125" s="288"/>
      <c r="E125" s="288"/>
      <c r="F125" s="288"/>
      <c r="G125" s="288"/>
      <c r="H125" s="288"/>
      <c r="I125" s="288"/>
      <c r="J125" s="288"/>
      <c r="K125" s="288"/>
      <c r="L125" s="288"/>
      <c r="M125" s="288"/>
      <c r="N125" s="288"/>
      <c r="O125" s="288"/>
      <c r="P125" s="288"/>
      <c r="Q125" s="288"/>
      <c r="R125" s="288"/>
      <c r="S125" s="288"/>
      <c r="T125" s="337">
        <f>-S189</f>
        <v>-49</v>
      </c>
      <c r="U125" s="337"/>
      <c r="V125" s="338"/>
      <c r="W125" s="291"/>
      <c r="X125" s="5"/>
    </row>
    <row r="126" spans="1:25" ht="15.6" x14ac:dyDescent="0.3">
      <c r="A126" s="340"/>
      <c r="B126" s="288" t="s">
        <v>197</v>
      </c>
      <c r="C126" s="288"/>
      <c r="D126" s="288"/>
      <c r="E126" s="288"/>
      <c r="F126" s="288"/>
      <c r="G126" s="288"/>
      <c r="H126" s="288"/>
      <c r="I126" s="288"/>
      <c r="J126" s="288"/>
      <c r="K126" s="288"/>
      <c r="L126" s="288"/>
      <c r="M126" s="288"/>
      <c r="N126" s="288"/>
      <c r="O126" s="288"/>
      <c r="P126" s="288"/>
      <c r="Q126" s="288"/>
      <c r="R126" s="288"/>
      <c r="S126" s="288"/>
      <c r="T126" s="337">
        <v>-3499</v>
      </c>
      <c r="U126" s="337"/>
      <c r="V126" s="338"/>
      <c r="W126" s="291"/>
      <c r="X126" s="5"/>
    </row>
    <row r="127" spans="1:25" ht="15.6" x14ac:dyDescent="0.3">
      <c r="A127" s="340"/>
      <c r="B127" s="288" t="s">
        <v>195</v>
      </c>
      <c r="C127" s="288"/>
      <c r="D127" s="288"/>
      <c r="E127" s="288"/>
      <c r="F127" s="288"/>
      <c r="G127" s="288"/>
      <c r="H127" s="288"/>
      <c r="I127" s="288"/>
      <c r="J127" s="288"/>
      <c r="K127" s="288"/>
      <c r="L127" s="288"/>
      <c r="M127" s="288"/>
      <c r="N127" s="288"/>
      <c r="O127" s="288"/>
      <c r="P127" s="288"/>
      <c r="Q127" s="288"/>
      <c r="R127" s="288"/>
      <c r="S127" s="288"/>
      <c r="T127" s="337">
        <v>-564</v>
      </c>
      <c r="U127" s="337"/>
      <c r="V127" s="338"/>
      <c r="W127" s="291"/>
      <c r="X127" s="5"/>
    </row>
    <row r="128" spans="1:25" ht="15.6" x14ac:dyDescent="0.3">
      <c r="A128" s="340"/>
      <c r="B128" s="288" t="s">
        <v>194</v>
      </c>
      <c r="C128" s="288"/>
      <c r="D128" s="288"/>
      <c r="E128" s="288"/>
      <c r="F128" s="288"/>
      <c r="G128" s="288"/>
      <c r="H128" s="288"/>
      <c r="I128" s="288"/>
      <c r="J128" s="288"/>
      <c r="K128" s="288"/>
      <c r="L128" s="288"/>
      <c r="M128" s="288"/>
      <c r="N128" s="288"/>
      <c r="O128" s="288"/>
      <c r="P128" s="288"/>
      <c r="Q128" s="288"/>
      <c r="R128" s="288"/>
      <c r="S128" s="288"/>
      <c r="T128" s="337">
        <v>-759</v>
      </c>
      <c r="U128" s="337"/>
      <c r="V128" s="338"/>
      <c r="W128" s="291"/>
      <c r="X128" s="5"/>
    </row>
    <row r="129" spans="1:24" ht="15.6" x14ac:dyDescent="0.3">
      <c r="A129" s="340"/>
      <c r="B129" s="288" t="s">
        <v>226</v>
      </c>
      <c r="C129" s="288"/>
      <c r="D129" s="288"/>
      <c r="E129" s="288"/>
      <c r="F129" s="288"/>
      <c r="G129" s="288"/>
      <c r="H129" s="288"/>
      <c r="I129" s="288"/>
      <c r="J129" s="288"/>
      <c r="K129" s="288"/>
      <c r="L129" s="288"/>
      <c r="M129" s="288"/>
      <c r="N129" s="288"/>
      <c r="O129" s="288"/>
      <c r="P129" s="288"/>
      <c r="Q129" s="288"/>
      <c r="R129" s="288"/>
      <c r="S129" s="288"/>
      <c r="T129" s="337">
        <v>-933</v>
      </c>
      <c r="U129" s="337"/>
      <c r="V129" s="338"/>
      <c r="W129" s="291"/>
      <c r="X129" s="5"/>
    </row>
    <row r="130" spans="1:24" ht="15.6" x14ac:dyDescent="0.3">
      <c r="A130" s="340"/>
      <c r="B130" s="288" t="s">
        <v>189</v>
      </c>
      <c r="C130" s="288"/>
      <c r="D130" s="288"/>
      <c r="E130" s="288"/>
      <c r="F130" s="288"/>
      <c r="G130" s="288"/>
      <c r="H130" s="288"/>
      <c r="I130" s="288"/>
      <c r="J130" s="288"/>
      <c r="K130" s="288"/>
      <c r="L130" s="288"/>
      <c r="M130" s="288"/>
      <c r="N130" s="288"/>
      <c r="O130" s="288"/>
      <c r="P130" s="288"/>
      <c r="Q130" s="288"/>
      <c r="R130" s="288"/>
      <c r="S130" s="288"/>
      <c r="T130" s="337">
        <v>0</v>
      </c>
      <c r="U130" s="337"/>
      <c r="V130" s="338"/>
      <c r="W130" s="291"/>
      <c r="X130" s="5"/>
    </row>
    <row r="131" spans="1:24" ht="15.6" x14ac:dyDescent="0.3">
      <c r="A131" s="340"/>
      <c r="B131" s="288" t="s">
        <v>188</v>
      </c>
      <c r="C131" s="288"/>
      <c r="D131" s="288"/>
      <c r="E131" s="288"/>
      <c r="F131" s="288"/>
      <c r="G131" s="288"/>
      <c r="H131" s="288"/>
      <c r="I131" s="288"/>
      <c r="J131" s="288"/>
      <c r="K131" s="288"/>
      <c r="L131" s="288"/>
      <c r="M131" s="288"/>
      <c r="N131" s="288"/>
      <c r="O131" s="288"/>
      <c r="P131" s="288"/>
      <c r="Q131" s="288"/>
      <c r="R131" s="288"/>
      <c r="S131" s="288"/>
      <c r="T131" s="337">
        <v>0</v>
      </c>
      <c r="U131" s="337"/>
      <c r="V131" s="338"/>
      <c r="W131" s="291"/>
      <c r="X131" s="5"/>
    </row>
    <row r="132" spans="1:24" ht="15.6" x14ac:dyDescent="0.3">
      <c r="A132" s="340"/>
      <c r="B132" s="288" t="s">
        <v>227</v>
      </c>
      <c r="C132" s="288"/>
      <c r="D132" s="288"/>
      <c r="E132" s="288"/>
      <c r="F132" s="288"/>
      <c r="G132" s="288"/>
      <c r="H132" s="288"/>
      <c r="I132" s="288"/>
      <c r="J132" s="288"/>
      <c r="K132" s="288"/>
      <c r="L132" s="288"/>
      <c r="M132" s="288"/>
      <c r="N132" s="288"/>
      <c r="O132" s="288"/>
      <c r="P132" s="288"/>
      <c r="Q132" s="288"/>
      <c r="R132" s="288"/>
      <c r="S132" s="288"/>
      <c r="T132" s="337">
        <v>0</v>
      </c>
      <c r="U132" s="337"/>
      <c r="V132" s="338"/>
      <c r="W132" s="291"/>
      <c r="X132" s="5"/>
    </row>
    <row r="133" spans="1:24" ht="15.6" x14ac:dyDescent="0.3">
      <c r="A133" s="340"/>
      <c r="B133" s="288" t="s">
        <v>187</v>
      </c>
      <c r="C133" s="288"/>
      <c r="D133" s="288"/>
      <c r="E133" s="288"/>
      <c r="F133" s="288"/>
      <c r="G133" s="288"/>
      <c r="H133" s="288"/>
      <c r="I133" s="288"/>
      <c r="J133" s="288"/>
      <c r="K133" s="288"/>
      <c r="L133" s="288"/>
      <c r="M133" s="288"/>
      <c r="N133" s="288"/>
      <c r="O133" s="288"/>
      <c r="P133" s="288"/>
      <c r="Q133" s="288"/>
      <c r="R133" s="288"/>
      <c r="S133" s="288"/>
      <c r="T133" s="337">
        <v>0</v>
      </c>
      <c r="U133" s="337"/>
      <c r="V133" s="338"/>
      <c r="W133" s="291"/>
      <c r="X133" s="5"/>
    </row>
    <row r="134" spans="1:24" ht="15.6" x14ac:dyDescent="0.3">
      <c r="A134" s="340"/>
      <c r="B134" s="288" t="s">
        <v>39</v>
      </c>
      <c r="C134" s="288"/>
      <c r="D134" s="288"/>
      <c r="E134" s="288"/>
      <c r="F134" s="288"/>
      <c r="G134" s="288"/>
      <c r="H134" s="288"/>
      <c r="I134" s="288"/>
      <c r="J134" s="288"/>
      <c r="K134" s="288"/>
      <c r="L134" s="288"/>
      <c r="M134" s="288"/>
      <c r="N134" s="288"/>
      <c r="O134" s="288"/>
      <c r="P134" s="288"/>
      <c r="Q134" s="288"/>
      <c r="R134" s="288"/>
      <c r="S134" s="288"/>
      <c r="T134" s="337">
        <f>SUM(T123:T133)</f>
        <v>-6002</v>
      </c>
      <c r="U134" s="337"/>
      <c r="V134" s="337">
        <f>SUM(V102:V131)</f>
        <v>-7678</v>
      </c>
      <c r="W134" s="291"/>
      <c r="X134" s="5"/>
    </row>
    <row r="135" spans="1:24" ht="15.6" x14ac:dyDescent="0.3">
      <c r="A135" s="340"/>
      <c r="B135" s="288" t="s">
        <v>40</v>
      </c>
      <c r="C135" s="288"/>
      <c r="D135" s="288"/>
      <c r="E135" s="288"/>
      <c r="F135" s="288"/>
      <c r="G135" s="288"/>
      <c r="H135" s="288"/>
      <c r="I135" s="288"/>
      <c r="J135" s="288"/>
      <c r="K135" s="288"/>
      <c r="L135" s="288"/>
      <c r="M135" s="288"/>
      <c r="N135" s="288"/>
      <c r="O135" s="288"/>
      <c r="P135" s="288"/>
      <c r="Q135" s="288"/>
      <c r="R135" s="288"/>
      <c r="S135" s="288"/>
      <c r="T135" s="337">
        <f>T101+T134+T115</f>
        <v>0</v>
      </c>
      <c r="U135" s="337"/>
      <c r="V135" s="337">
        <f>V101+V134</f>
        <v>0</v>
      </c>
      <c r="W135" s="291"/>
      <c r="X135" s="5"/>
    </row>
    <row r="136" spans="1:24" ht="15.6" x14ac:dyDescent="0.3">
      <c r="A136" s="243"/>
      <c r="B136" s="284"/>
      <c r="C136" s="284"/>
      <c r="D136" s="284"/>
      <c r="E136" s="284"/>
      <c r="F136" s="284"/>
      <c r="G136" s="284"/>
      <c r="H136" s="284"/>
      <c r="I136" s="284"/>
      <c r="J136" s="284"/>
      <c r="K136" s="284"/>
      <c r="L136" s="284"/>
      <c r="M136" s="284"/>
      <c r="N136" s="284"/>
      <c r="O136" s="284"/>
      <c r="P136" s="284"/>
      <c r="Q136" s="284"/>
      <c r="R136" s="284"/>
      <c r="S136" s="284"/>
      <c r="T136" s="339"/>
      <c r="U136" s="339"/>
      <c r="V136" s="339"/>
      <c r="W136" s="284"/>
      <c r="X136" s="5"/>
    </row>
    <row r="137" spans="1:24" ht="15.6" x14ac:dyDescent="0.3">
      <c r="A137" s="243"/>
      <c r="B137" s="224"/>
      <c r="C137" s="224"/>
      <c r="D137" s="224"/>
      <c r="E137" s="224"/>
      <c r="F137" s="224"/>
      <c r="G137" s="224"/>
      <c r="H137" s="224"/>
      <c r="I137" s="224"/>
      <c r="J137" s="224"/>
      <c r="K137" s="224"/>
      <c r="L137" s="224"/>
      <c r="M137" s="224"/>
      <c r="N137" s="224"/>
      <c r="O137" s="224"/>
      <c r="P137" s="224"/>
      <c r="Q137" s="224"/>
      <c r="R137" s="224"/>
      <c r="S137" s="224"/>
      <c r="T137" s="224"/>
      <c r="U137" s="224"/>
      <c r="V137" s="244"/>
      <c r="W137" s="224"/>
      <c r="X137" s="5"/>
    </row>
    <row r="138" spans="1:24" ht="18" thickBot="1" x14ac:dyDescent="0.35">
      <c r="A138" s="245"/>
      <c r="B138" s="237" t="str">
        <f>B64</f>
        <v>PM14 INVESTOR REPORT QUARTER ENDING AUGUST 2011</v>
      </c>
      <c r="C138" s="238"/>
      <c r="D138" s="238"/>
      <c r="E138" s="238"/>
      <c r="F138" s="238"/>
      <c r="G138" s="238"/>
      <c r="H138" s="238"/>
      <c r="I138" s="238"/>
      <c r="J138" s="238"/>
      <c r="K138" s="238"/>
      <c r="L138" s="238"/>
      <c r="M138" s="238"/>
      <c r="N138" s="238"/>
      <c r="O138" s="238"/>
      <c r="P138" s="238"/>
      <c r="Q138" s="238"/>
      <c r="R138" s="238"/>
      <c r="S138" s="238"/>
      <c r="T138" s="238"/>
      <c r="U138" s="238"/>
      <c r="V138" s="246"/>
      <c r="W138" s="240"/>
      <c r="X138" s="5"/>
    </row>
    <row r="139" spans="1:24" ht="15.6" x14ac:dyDescent="0.3">
      <c r="A139" s="273"/>
      <c r="B139" s="403" t="s">
        <v>41</v>
      </c>
      <c r="C139" s="274"/>
      <c r="D139" s="274"/>
      <c r="E139" s="274"/>
      <c r="F139" s="274"/>
      <c r="G139" s="274"/>
      <c r="H139" s="274"/>
      <c r="I139" s="274"/>
      <c r="J139" s="274"/>
      <c r="K139" s="274"/>
      <c r="L139" s="274"/>
      <c r="M139" s="274"/>
      <c r="N139" s="274"/>
      <c r="O139" s="274"/>
      <c r="P139" s="274"/>
      <c r="Q139" s="274"/>
      <c r="R139" s="274"/>
      <c r="S139" s="274"/>
      <c r="T139" s="274"/>
      <c r="U139" s="274"/>
      <c r="V139" s="275"/>
      <c r="W139" s="274"/>
      <c r="X139" s="5"/>
    </row>
    <row r="140" spans="1:24" ht="15.6" x14ac:dyDescent="0.3">
      <c r="A140" s="183"/>
      <c r="B140" s="195"/>
      <c r="C140" s="185"/>
      <c r="D140" s="185"/>
      <c r="E140" s="185"/>
      <c r="F140" s="185"/>
      <c r="G140" s="185"/>
      <c r="H140" s="185"/>
      <c r="I140" s="185"/>
      <c r="J140" s="185"/>
      <c r="K140" s="185"/>
      <c r="L140" s="185"/>
      <c r="M140" s="185"/>
      <c r="N140" s="185"/>
      <c r="O140" s="185"/>
      <c r="P140" s="185"/>
      <c r="Q140" s="185"/>
      <c r="R140" s="185"/>
      <c r="S140" s="185"/>
      <c r="T140" s="185"/>
      <c r="U140" s="185"/>
      <c r="V140" s="201"/>
      <c r="W140" s="185"/>
      <c r="X140" s="5"/>
    </row>
    <row r="141" spans="1:24" ht="15.6" x14ac:dyDescent="0.3">
      <c r="A141" s="183"/>
      <c r="B141" s="208" t="s">
        <v>42</v>
      </c>
      <c r="C141" s="185"/>
      <c r="D141" s="185"/>
      <c r="E141" s="185"/>
      <c r="F141" s="185"/>
      <c r="G141" s="185"/>
      <c r="H141" s="185"/>
      <c r="I141" s="185"/>
      <c r="J141" s="185"/>
      <c r="K141" s="185"/>
      <c r="L141" s="185"/>
      <c r="M141" s="185"/>
      <c r="N141" s="185"/>
      <c r="O141" s="185"/>
      <c r="P141" s="185"/>
      <c r="Q141" s="185"/>
      <c r="R141" s="185"/>
      <c r="S141" s="185"/>
      <c r="T141" s="185"/>
      <c r="U141" s="185"/>
      <c r="V141" s="201"/>
      <c r="W141" s="185"/>
      <c r="X141" s="5"/>
    </row>
    <row r="142" spans="1:24" ht="15.6" x14ac:dyDescent="0.3">
      <c r="A142" s="287"/>
      <c r="B142" s="288" t="s">
        <v>43</v>
      </c>
      <c r="C142" s="288"/>
      <c r="D142" s="288"/>
      <c r="E142" s="288"/>
      <c r="F142" s="288"/>
      <c r="G142" s="288"/>
      <c r="H142" s="288"/>
      <c r="I142" s="288"/>
      <c r="J142" s="288"/>
      <c r="K142" s="288"/>
      <c r="L142" s="288"/>
      <c r="M142" s="288"/>
      <c r="N142" s="288"/>
      <c r="O142" s="288"/>
      <c r="P142" s="288"/>
      <c r="Q142" s="288"/>
      <c r="R142" s="288"/>
      <c r="S142" s="288"/>
      <c r="T142" s="288"/>
      <c r="U142" s="288"/>
      <c r="V142" s="338">
        <f>+V34*0.019</f>
        <v>28505.224999999999</v>
      </c>
      <c r="W142" s="291"/>
      <c r="X142" s="5"/>
    </row>
    <row r="143" spans="1:24" ht="15.6" x14ac:dyDescent="0.3">
      <c r="A143" s="287"/>
      <c r="B143" s="288" t="s">
        <v>44</v>
      </c>
      <c r="C143" s="288"/>
      <c r="D143" s="288"/>
      <c r="E143" s="288"/>
      <c r="F143" s="288"/>
      <c r="G143" s="288"/>
      <c r="H143" s="288"/>
      <c r="I143" s="288"/>
      <c r="J143" s="288"/>
      <c r="K143" s="288"/>
      <c r="L143" s="288"/>
      <c r="M143" s="288"/>
      <c r="N143" s="288"/>
      <c r="O143" s="288"/>
      <c r="P143" s="288"/>
      <c r="Q143" s="288"/>
      <c r="R143" s="288"/>
      <c r="S143" s="288"/>
      <c r="T143" s="288"/>
      <c r="U143" s="288"/>
      <c r="V143" s="338">
        <v>28505</v>
      </c>
      <c r="W143" s="291"/>
      <c r="X143" s="5"/>
    </row>
    <row r="144" spans="1:24" ht="15.6" x14ac:dyDescent="0.3">
      <c r="A144" s="287"/>
      <c r="B144" s="288" t="s">
        <v>136</v>
      </c>
      <c r="C144" s="288"/>
      <c r="D144" s="288"/>
      <c r="E144" s="288"/>
      <c r="F144" s="288"/>
      <c r="G144" s="288"/>
      <c r="H144" s="288"/>
      <c r="I144" s="288"/>
      <c r="J144" s="288"/>
      <c r="K144" s="288"/>
      <c r="L144" s="288"/>
      <c r="M144" s="288"/>
      <c r="N144" s="288"/>
      <c r="O144" s="288"/>
      <c r="P144" s="288"/>
      <c r="Q144" s="288"/>
      <c r="R144" s="288"/>
      <c r="S144" s="288"/>
      <c r="T144" s="288"/>
      <c r="U144" s="288"/>
      <c r="V144" s="338"/>
      <c r="W144" s="291"/>
      <c r="X144" s="5"/>
    </row>
    <row r="145" spans="1:25" ht="15.6" x14ac:dyDescent="0.3">
      <c r="A145" s="287"/>
      <c r="B145" s="288" t="s">
        <v>123</v>
      </c>
      <c r="C145" s="288"/>
      <c r="D145" s="288"/>
      <c r="E145" s="288"/>
      <c r="F145" s="288"/>
      <c r="G145" s="288"/>
      <c r="H145" s="288"/>
      <c r="I145" s="288"/>
      <c r="J145" s="288"/>
      <c r="K145" s="288"/>
      <c r="L145" s="288"/>
      <c r="M145" s="288"/>
      <c r="N145" s="288"/>
      <c r="O145" s="288"/>
      <c r="P145" s="288"/>
      <c r="Q145" s="288"/>
      <c r="R145" s="288"/>
      <c r="S145" s="288"/>
      <c r="T145" s="288"/>
      <c r="U145" s="288"/>
      <c r="V145" s="338">
        <v>0</v>
      </c>
      <c r="W145" s="291"/>
      <c r="X145" s="5"/>
    </row>
    <row r="146" spans="1:25" ht="15.6" x14ac:dyDescent="0.3">
      <c r="A146" s="287"/>
      <c r="B146" s="288" t="s">
        <v>124</v>
      </c>
      <c r="C146" s="288"/>
      <c r="D146" s="288"/>
      <c r="E146" s="288"/>
      <c r="F146" s="288"/>
      <c r="G146" s="288"/>
      <c r="H146" s="288"/>
      <c r="I146" s="288"/>
      <c r="J146" s="288"/>
      <c r="K146" s="288"/>
      <c r="L146" s="288"/>
      <c r="M146" s="288"/>
      <c r="N146" s="288"/>
      <c r="O146" s="288"/>
      <c r="P146" s="288"/>
      <c r="Q146" s="288"/>
      <c r="R146" s="288"/>
      <c r="S146" s="288"/>
      <c r="T146" s="288"/>
      <c r="U146" s="288"/>
      <c r="V146" s="338">
        <v>0</v>
      </c>
      <c r="W146" s="291"/>
      <c r="X146" s="5"/>
    </row>
    <row r="147" spans="1:25" ht="15.6" x14ac:dyDescent="0.3">
      <c r="A147" s="287"/>
      <c r="B147" s="288" t="s">
        <v>175</v>
      </c>
      <c r="C147" s="288"/>
      <c r="D147" s="288"/>
      <c r="E147" s="288"/>
      <c r="F147" s="288"/>
      <c r="G147" s="288"/>
      <c r="H147" s="288"/>
      <c r="I147" s="288"/>
      <c r="J147" s="288"/>
      <c r="K147" s="288"/>
      <c r="L147" s="288"/>
      <c r="M147" s="288"/>
      <c r="N147" s="288"/>
      <c r="O147" s="288"/>
      <c r="P147" s="288"/>
      <c r="Q147" s="288"/>
      <c r="R147" s="288"/>
      <c r="S147" s="288"/>
      <c r="T147" s="288"/>
      <c r="U147" s="288"/>
      <c r="V147" s="338">
        <v>0</v>
      </c>
      <c r="W147" s="291"/>
      <c r="X147" s="5"/>
    </row>
    <row r="148" spans="1:25" ht="15.6" x14ac:dyDescent="0.3">
      <c r="A148" s="287"/>
      <c r="B148" s="288" t="s">
        <v>45</v>
      </c>
      <c r="C148" s="288"/>
      <c r="D148" s="288"/>
      <c r="E148" s="288"/>
      <c r="F148" s="288"/>
      <c r="G148" s="288"/>
      <c r="H148" s="288"/>
      <c r="I148" s="288"/>
      <c r="J148" s="288"/>
      <c r="K148" s="288"/>
      <c r="L148" s="288"/>
      <c r="M148" s="288"/>
      <c r="N148" s="288"/>
      <c r="O148" s="288"/>
      <c r="P148" s="288"/>
      <c r="Q148" s="288"/>
      <c r="R148" s="288"/>
      <c r="S148" s="288"/>
      <c r="T148" s="288"/>
      <c r="U148" s="288"/>
      <c r="V148" s="338">
        <v>0</v>
      </c>
      <c r="W148" s="291"/>
      <c r="X148" s="5"/>
    </row>
    <row r="149" spans="1:25" ht="15.6" x14ac:dyDescent="0.3">
      <c r="A149" s="287"/>
      <c r="B149" s="288" t="s">
        <v>129</v>
      </c>
      <c r="C149" s="288"/>
      <c r="D149" s="288"/>
      <c r="E149" s="288"/>
      <c r="F149" s="288"/>
      <c r="G149" s="288"/>
      <c r="H149" s="288"/>
      <c r="I149" s="288"/>
      <c r="J149" s="288"/>
      <c r="K149" s="288"/>
      <c r="L149" s="288"/>
      <c r="M149" s="288"/>
      <c r="N149" s="288"/>
      <c r="O149" s="288"/>
      <c r="P149" s="288"/>
      <c r="Q149" s="288"/>
      <c r="R149" s="288"/>
      <c r="S149" s="288"/>
      <c r="T149" s="288"/>
      <c r="U149" s="288"/>
      <c r="V149" s="338">
        <v>0</v>
      </c>
      <c r="W149" s="291"/>
      <c r="X149" s="5"/>
    </row>
    <row r="150" spans="1:25" ht="15.6" x14ac:dyDescent="0.3">
      <c r="A150" s="287"/>
      <c r="B150" s="288" t="s">
        <v>267</v>
      </c>
      <c r="C150" s="288"/>
      <c r="D150" s="288"/>
      <c r="E150" s="288"/>
      <c r="F150" s="288"/>
      <c r="G150" s="288"/>
      <c r="H150" s="288"/>
      <c r="I150" s="288"/>
      <c r="J150" s="288"/>
      <c r="K150" s="288"/>
      <c r="L150" s="288"/>
      <c r="M150" s="288"/>
      <c r="N150" s="288"/>
      <c r="O150" s="288"/>
      <c r="P150" s="288"/>
      <c r="Q150" s="288"/>
      <c r="R150" s="288"/>
      <c r="S150" s="288"/>
      <c r="T150" s="288"/>
      <c r="U150" s="288"/>
      <c r="V150" s="338">
        <v>0</v>
      </c>
      <c r="W150" s="291"/>
      <c r="X150" s="5"/>
      <c r="Y150" s="109"/>
    </row>
    <row r="151" spans="1:25" ht="15.6" x14ac:dyDescent="0.3">
      <c r="A151" s="287"/>
      <c r="B151" s="288" t="s">
        <v>46</v>
      </c>
      <c r="C151" s="288"/>
      <c r="D151" s="288"/>
      <c r="E151" s="288"/>
      <c r="F151" s="288"/>
      <c r="G151" s="288"/>
      <c r="H151" s="288"/>
      <c r="I151" s="288"/>
      <c r="J151" s="288"/>
      <c r="K151" s="288"/>
      <c r="L151" s="288"/>
      <c r="M151" s="288"/>
      <c r="N151" s="288"/>
      <c r="O151" s="288"/>
      <c r="P151" s="288"/>
      <c r="Q151" s="288"/>
      <c r="R151" s="288"/>
      <c r="S151" s="288"/>
      <c r="T151" s="288"/>
      <c r="U151" s="288"/>
      <c r="V151" s="338">
        <f>SUM(V143:V150)</f>
        <v>28505</v>
      </c>
      <c r="W151" s="291"/>
      <c r="X151" s="5"/>
    </row>
    <row r="152" spans="1:25" ht="15.6" x14ac:dyDescent="0.3">
      <c r="A152" s="287"/>
      <c r="B152" s="314"/>
      <c r="C152" s="314"/>
      <c r="D152" s="314"/>
      <c r="E152" s="314"/>
      <c r="F152" s="314"/>
      <c r="G152" s="314"/>
      <c r="H152" s="314"/>
      <c r="I152" s="314"/>
      <c r="J152" s="314"/>
      <c r="K152" s="314"/>
      <c r="L152" s="314"/>
      <c r="M152" s="314"/>
      <c r="N152" s="314"/>
      <c r="O152" s="314"/>
      <c r="P152" s="314"/>
      <c r="Q152" s="314"/>
      <c r="R152" s="314"/>
      <c r="S152" s="314"/>
      <c r="T152" s="314"/>
      <c r="U152" s="314"/>
      <c r="V152" s="345"/>
      <c r="W152" s="318"/>
      <c r="X152" s="5"/>
    </row>
    <row r="153" spans="1:25" ht="15.6" x14ac:dyDescent="0.3">
      <c r="A153" s="287"/>
      <c r="B153" s="343" t="s">
        <v>237</v>
      </c>
      <c r="C153" s="314"/>
      <c r="D153" s="314"/>
      <c r="E153" s="314"/>
      <c r="F153" s="314"/>
      <c r="G153" s="314"/>
      <c r="H153" s="314"/>
      <c r="I153" s="314"/>
      <c r="J153" s="314"/>
      <c r="K153" s="314"/>
      <c r="L153" s="314"/>
      <c r="M153" s="314"/>
      <c r="N153" s="314"/>
      <c r="O153" s="314"/>
      <c r="P153" s="314"/>
      <c r="Q153" s="314"/>
      <c r="R153" s="314"/>
      <c r="S153" s="314"/>
      <c r="T153" s="314"/>
      <c r="U153" s="314"/>
      <c r="V153" s="345"/>
      <c r="W153" s="318"/>
      <c r="X153" s="5"/>
    </row>
    <row r="154" spans="1:25" ht="15.6" x14ac:dyDescent="0.3">
      <c r="A154" s="287"/>
      <c r="B154" s="288" t="s">
        <v>155</v>
      </c>
      <c r="C154" s="288"/>
      <c r="D154" s="288"/>
      <c r="E154" s="288"/>
      <c r="F154" s="288"/>
      <c r="G154" s="288"/>
      <c r="H154" s="288"/>
      <c r="I154" s="288"/>
      <c r="J154" s="288"/>
      <c r="K154" s="288"/>
      <c r="L154" s="288"/>
      <c r="M154" s="288"/>
      <c r="N154" s="288"/>
      <c r="O154" s="288"/>
      <c r="P154" s="288"/>
      <c r="Q154" s="288"/>
      <c r="R154" s="288"/>
      <c r="S154" s="288"/>
      <c r="T154" s="288"/>
      <c r="U154" s="288"/>
      <c r="V154" s="338">
        <v>7500</v>
      </c>
      <c r="W154" s="291"/>
      <c r="X154" s="5"/>
    </row>
    <row r="155" spans="1:25" ht="15.6" x14ac:dyDescent="0.3">
      <c r="A155" s="287"/>
      <c r="B155" s="288" t="s">
        <v>172</v>
      </c>
      <c r="C155" s="288"/>
      <c r="D155" s="288"/>
      <c r="E155" s="288"/>
      <c r="F155" s="288"/>
      <c r="G155" s="288"/>
      <c r="H155" s="288"/>
      <c r="I155" s="288"/>
      <c r="J155" s="288"/>
      <c r="K155" s="288"/>
      <c r="L155" s="288"/>
      <c r="M155" s="288"/>
      <c r="N155" s="288"/>
      <c r="O155" s="288"/>
      <c r="P155" s="288"/>
      <c r="Q155" s="288"/>
      <c r="R155" s="288"/>
      <c r="S155" s="288"/>
      <c r="T155" s="288"/>
      <c r="U155" s="288"/>
      <c r="V155" s="338">
        <v>0</v>
      </c>
      <c r="W155" s="291"/>
      <c r="X155" s="5"/>
    </row>
    <row r="156" spans="1:25" ht="15.6" x14ac:dyDescent="0.3">
      <c r="A156" s="287"/>
      <c r="B156" s="288" t="s">
        <v>305</v>
      </c>
      <c r="C156" s="288"/>
      <c r="D156" s="288"/>
      <c r="E156" s="288"/>
      <c r="F156" s="288"/>
      <c r="G156" s="288"/>
      <c r="H156" s="288"/>
      <c r="I156" s="288"/>
      <c r="J156" s="288"/>
      <c r="K156" s="288"/>
      <c r="L156" s="288"/>
      <c r="M156" s="288"/>
      <c r="N156" s="288"/>
      <c r="O156" s="288"/>
      <c r="P156" s="288"/>
      <c r="Q156" s="288"/>
      <c r="R156" s="288"/>
      <c r="S156" s="288"/>
      <c r="T156" s="288"/>
      <c r="U156" s="288"/>
      <c r="V156" s="338">
        <v>2101</v>
      </c>
      <c r="W156" s="291"/>
      <c r="X156" s="5"/>
    </row>
    <row r="157" spans="1:25" ht="15.6" x14ac:dyDescent="0.3">
      <c r="A157" s="287"/>
      <c r="B157" s="288"/>
      <c r="C157" s="288"/>
      <c r="D157" s="288"/>
      <c r="E157" s="288"/>
      <c r="F157" s="288"/>
      <c r="G157" s="288"/>
      <c r="H157" s="288"/>
      <c r="I157" s="288"/>
      <c r="J157" s="288"/>
      <c r="K157" s="288"/>
      <c r="L157" s="288"/>
      <c r="M157" s="288"/>
      <c r="N157" s="288"/>
      <c r="O157" s="288"/>
      <c r="P157" s="288"/>
      <c r="Q157" s="288"/>
      <c r="R157" s="288"/>
      <c r="S157" s="288"/>
      <c r="T157" s="288"/>
      <c r="U157" s="288"/>
      <c r="V157" s="338"/>
      <c r="W157" s="291"/>
      <c r="X157" s="5"/>
    </row>
    <row r="158" spans="1:25" ht="15.6" x14ac:dyDescent="0.3">
      <c r="A158" s="183"/>
      <c r="B158" s="198"/>
      <c r="C158" s="198"/>
      <c r="D158" s="198"/>
      <c r="E158" s="198"/>
      <c r="F158" s="198"/>
      <c r="G158" s="198"/>
      <c r="H158" s="198"/>
      <c r="I158" s="198"/>
      <c r="J158" s="198"/>
      <c r="K158" s="198"/>
      <c r="L158" s="198"/>
      <c r="M158" s="198"/>
      <c r="N158" s="198"/>
      <c r="O158" s="198"/>
      <c r="P158" s="198"/>
      <c r="Q158" s="198"/>
      <c r="R158" s="198"/>
      <c r="S158" s="198"/>
      <c r="T158" s="198"/>
      <c r="U158" s="198"/>
      <c r="V158" s="347"/>
      <c r="W158" s="198"/>
      <c r="X158" s="5"/>
    </row>
    <row r="159" spans="1:25" ht="15.6" x14ac:dyDescent="0.3">
      <c r="A159" s="183"/>
      <c r="B159" s="208" t="s">
        <v>24</v>
      </c>
      <c r="C159" s="185"/>
      <c r="D159" s="185"/>
      <c r="E159" s="185"/>
      <c r="F159" s="185"/>
      <c r="G159" s="185"/>
      <c r="H159" s="185"/>
      <c r="I159" s="185"/>
      <c r="J159" s="185"/>
      <c r="K159" s="185"/>
      <c r="L159" s="185"/>
      <c r="M159" s="185"/>
      <c r="N159" s="185"/>
      <c r="O159" s="185"/>
      <c r="P159" s="185"/>
      <c r="Q159" s="185"/>
      <c r="R159" s="185"/>
      <c r="S159" s="185"/>
      <c r="T159" s="185"/>
      <c r="U159" s="185"/>
      <c r="V159" s="201"/>
      <c r="W159" s="185"/>
      <c r="X159" s="5"/>
    </row>
    <row r="160" spans="1:25" ht="15.6" x14ac:dyDescent="0.3">
      <c r="A160" s="287"/>
      <c r="B160" s="288" t="s">
        <v>47</v>
      </c>
      <c r="C160" s="288"/>
      <c r="D160" s="288"/>
      <c r="E160" s="288"/>
      <c r="F160" s="288"/>
      <c r="G160" s="288"/>
      <c r="H160" s="288"/>
      <c r="I160" s="288"/>
      <c r="J160" s="288"/>
      <c r="K160" s="288"/>
      <c r="L160" s="288"/>
      <c r="M160" s="288"/>
      <c r="N160" s="288"/>
      <c r="O160" s="288"/>
      <c r="P160" s="288"/>
      <c r="Q160" s="288"/>
      <c r="R160" s="288"/>
      <c r="S160" s="288"/>
      <c r="T160" s="288"/>
      <c r="U160" s="288"/>
      <c r="V160" s="348" t="s">
        <v>118</v>
      </c>
      <c r="W160" s="291"/>
      <c r="X160" s="5"/>
    </row>
    <row r="161" spans="1:256" ht="15.6" x14ac:dyDescent="0.3">
      <c r="A161" s="287"/>
      <c r="B161" s="288" t="s">
        <v>48</v>
      </c>
      <c r="C161" s="290"/>
      <c r="D161" s="290"/>
      <c r="E161" s="290"/>
      <c r="F161" s="290"/>
      <c r="G161" s="290"/>
      <c r="H161" s="290"/>
      <c r="I161" s="290"/>
      <c r="J161" s="290"/>
      <c r="K161" s="290"/>
      <c r="L161" s="290"/>
      <c r="M161" s="290"/>
      <c r="N161" s="290"/>
      <c r="O161" s="290"/>
      <c r="P161" s="290"/>
      <c r="Q161" s="290"/>
      <c r="R161" s="290"/>
      <c r="S161" s="290"/>
      <c r="T161" s="290"/>
      <c r="U161" s="290"/>
      <c r="V161" s="348" t="s">
        <v>118</v>
      </c>
      <c r="W161" s="291"/>
      <c r="X161" s="5"/>
    </row>
    <row r="162" spans="1:256" ht="15.6" x14ac:dyDescent="0.3">
      <c r="A162" s="287"/>
      <c r="B162" s="288" t="s">
        <v>49</v>
      </c>
      <c r="C162" s="288"/>
      <c r="D162" s="288"/>
      <c r="E162" s="288"/>
      <c r="F162" s="288"/>
      <c r="G162" s="288"/>
      <c r="H162" s="288"/>
      <c r="I162" s="288"/>
      <c r="J162" s="288"/>
      <c r="K162" s="288"/>
      <c r="L162" s="288"/>
      <c r="M162" s="288"/>
      <c r="N162" s="288"/>
      <c r="O162" s="288"/>
      <c r="P162" s="288"/>
      <c r="Q162" s="288"/>
      <c r="R162" s="288"/>
      <c r="S162" s="288"/>
      <c r="T162" s="288"/>
      <c r="U162" s="288"/>
      <c r="V162" s="348" t="s">
        <v>118</v>
      </c>
      <c r="W162" s="291"/>
      <c r="X162" s="5"/>
    </row>
    <row r="163" spans="1:256" ht="15.6" x14ac:dyDescent="0.3">
      <c r="A163" s="287"/>
      <c r="B163" s="288" t="s">
        <v>50</v>
      </c>
      <c r="C163" s="288"/>
      <c r="D163" s="288"/>
      <c r="E163" s="288"/>
      <c r="F163" s="288"/>
      <c r="G163" s="288"/>
      <c r="H163" s="288"/>
      <c r="I163" s="288"/>
      <c r="J163" s="288"/>
      <c r="K163" s="288"/>
      <c r="L163" s="288"/>
      <c r="M163" s="288"/>
      <c r="N163" s="288"/>
      <c r="O163" s="288"/>
      <c r="P163" s="288"/>
      <c r="Q163" s="288"/>
      <c r="R163" s="288"/>
      <c r="S163" s="288"/>
      <c r="T163" s="288"/>
      <c r="U163" s="288"/>
      <c r="V163" s="348" t="s">
        <v>118</v>
      </c>
      <c r="W163" s="291"/>
      <c r="X163" s="5"/>
    </row>
    <row r="164" spans="1:256" ht="15.6" x14ac:dyDescent="0.3">
      <c r="A164" s="183"/>
      <c r="B164" s="198"/>
      <c r="C164" s="198"/>
      <c r="D164" s="198"/>
      <c r="E164" s="198"/>
      <c r="F164" s="198"/>
      <c r="G164" s="198"/>
      <c r="H164" s="198"/>
      <c r="I164" s="198"/>
      <c r="J164" s="198"/>
      <c r="K164" s="198"/>
      <c r="L164" s="198"/>
      <c r="M164" s="198"/>
      <c r="N164" s="198"/>
      <c r="O164" s="198"/>
      <c r="P164" s="198"/>
      <c r="Q164" s="198"/>
      <c r="R164" s="198"/>
      <c r="S164" s="198"/>
      <c r="T164" s="198"/>
      <c r="U164" s="198"/>
      <c r="V164" s="347"/>
      <c r="W164" s="198"/>
      <c r="X164" s="5"/>
    </row>
    <row r="165" spans="1:256" ht="15.6" x14ac:dyDescent="0.3">
      <c r="A165" s="183"/>
      <c r="B165" s="208" t="s">
        <v>51</v>
      </c>
      <c r="C165" s="185"/>
      <c r="D165" s="185"/>
      <c r="E165" s="185"/>
      <c r="F165" s="185"/>
      <c r="G165" s="185"/>
      <c r="H165" s="185"/>
      <c r="I165" s="185"/>
      <c r="J165" s="185"/>
      <c r="K165" s="185"/>
      <c r="L165" s="185"/>
      <c r="M165" s="185"/>
      <c r="N165" s="185"/>
      <c r="O165" s="185"/>
      <c r="P165" s="185"/>
      <c r="Q165" s="185"/>
      <c r="R165" s="185"/>
      <c r="S165" s="185"/>
      <c r="T165" s="185"/>
      <c r="U165" s="185"/>
      <c r="V165" s="209"/>
      <c r="W165" s="185"/>
      <c r="X165" s="5"/>
    </row>
    <row r="166" spans="1:256" ht="15.6" x14ac:dyDescent="0.3">
      <c r="A166" s="287"/>
      <c r="B166" s="288" t="s">
        <v>52</v>
      </c>
      <c r="C166" s="288"/>
      <c r="D166" s="288"/>
      <c r="E166" s="288"/>
      <c r="F166" s="288"/>
      <c r="G166" s="288"/>
      <c r="H166" s="288"/>
      <c r="I166" s="288"/>
      <c r="J166" s="288"/>
      <c r="K166" s="288"/>
      <c r="L166" s="288"/>
      <c r="M166" s="288"/>
      <c r="N166" s="288"/>
      <c r="O166" s="288"/>
      <c r="P166" s="288"/>
      <c r="Q166" s="288"/>
      <c r="R166" s="288"/>
      <c r="S166" s="288"/>
      <c r="T166" s="288"/>
      <c r="U166" s="288"/>
      <c r="V166" s="338">
        <v>0</v>
      </c>
      <c r="W166" s="291"/>
      <c r="X166" s="5"/>
    </row>
    <row r="167" spans="1:256" ht="15.6" x14ac:dyDescent="0.3">
      <c r="A167" s="287"/>
      <c r="B167" s="288" t="s">
        <v>53</v>
      </c>
      <c r="C167" s="288"/>
      <c r="D167" s="288"/>
      <c r="E167" s="288"/>
      <c r="F167" s="288"/>
      <c r="G167" s="288"/>
      <c r="H167" s="288"/>
      <c r="I167" s="288"/>
      <c r="J167" s="288"/>
      <c r="K167" s="288"/>
      <c r="L167" s="288"/>
      <c r="M167" s="288"/>
      <c r="N167" s="288"/>
      <c r="O167" s="288"/>
      <c r="P167" s="288"/>
      <c r="Q167" s="288"/>
      <c r="R167" s="288"/>
      <c r="S167" s="288"/>
      <c r="T167" s="288"/>
      <c r="U167" s="288"/>
      <c r="V167" s="338">
        <v>336</v>
      </c>
      <c r="W167" s="291"/>
      <c r="X167" s="5"/>
    </row>
    <row r="168" spans="1:256" ht="15.6" x14ac:dyDescent="0.3">
      <c r="A168" s="287"/>
      <c r="B168" s="288" t="s">
        <v>54</v>
      </c>
      <c r="C168" s="288"/>
      <c r="D168" s="288"/>
      <c r="E168" s="288"/>
      <c r="F168" s="288"/>
      <c r="G168" s="288"/>
      <c r="H168" s="288"/>
      <c r="I168" s="288"/>
      <c r="J168" s="288"/>
      <c r="K168" s="288"/>
      <c r="L168" s="288"/>
      <c r="M168" s="288"/>
      <c r="N168" s="288"/>
      <c r="O168" s="288"/>
      <c r="P168" s="288"/>
      <c r="Q168" s="288"/>
      <c r="R168" s="288"/>
      <c r="S168" s="288"/>
      <c r="T168" s="288"/>
      <c r="U168" s="288"/>
      <c r="V168" s="338">
        <f>V167+V166</f>
        <v>336</v>
      </c>
      <c r="W168" s="291"/>
      <c r="X168" s="5"/>
    </row>
    <row r="169" spans="1:256" ht="15.6" x14ac:dyDescent="0.3">
      <c r="A169" s="287"/>
      <c r="B169" s="288" t="s">
        <v>315</v>
      </c>
      <c r="C169" s="288"/>
      <c r="D169" s="288"/>
      <c r="E169" s="288"/>
      <c r="F169" s="288"/>
      <c r="G169" s="288"/>
      <c r="H169" s="288"/>
      <c r="I169" s="288"/>
      <c r="J169" s="288"/>
      <c r="K169" s="288"/>
      <c r="L169" s="288"/>
      <c r="M169" s="288"/>
      <c r="N169" s="288"/>
      <c r="O169" s="288"/>
      <c r="P169" s="288"/>
      <c r="Q169" s="288"/>
      <c r="R169" s="288"/>
      <c r="S169" s="288"/>
      <c r="T169" s="288"/>
      <c r="U169" s="288"/>
      <c r="V169" s="338">
        <f>V115</f>
        <v>-336</v>
      </c>
      <c r="W169" s="291"/>
      <c r="X169" s="5"/>
    </row>
    <row r="170" spans="1:256" ht="15.6" x14ac:dyDescent="0.3">
      <c r="A170" s="287"/>
      <c r="B170" s="288" t="s">
        <v>55</v>
      </c>
      <c r="C170" s="288"/>
      <c r="D170" s="288"/>
      <c r="E170" s="288"/>
      <c r="F170" s="288"/>
      <c r="G170" s="288"/>
      <c r="H170" s="288"/>
      <c r="I170" s="288"/>
      <c r="J170" s="288"/>
      <c r="K170" s="288"/>
      <c r="L170" s="288"/>
      <c r="M170" s="288"/>
      <c r="N170" s="288"/>
      <c r="O170" s="288"/>
      <c r="P170" s="288"/>
      <c r="Q170" s="288"/>
      <c r="R170" s="288"/>
      <c r="S170" s="288"/>
      <c r="T170" s="288"/>
      <c r="U170" s="288"/>
      <c r="V170" s="338">
        <f>V168+V169</f>
        <v>0</v>
      </c>
      <c r="W170" s="291"/>
      <c r="X170" s="5"/>
    </row>
    <row r="171" spans="1:256" ht="15.6" x14ac:dyDescent="0.3">
      <c r="A171" s="287"/>
      <c r="B171" s="288" t="s">
        <v>283</v>
      </c>
      <c r="C171" s="288"/>
      <c r="D171" s="288"/>
      <c r="E171" s="288"/>
      <c r="F171" s="288"/>
      <c r="G171" s="288"/>
      <c r="H171" s="288"/>
      <c r="I171" s="288"/>
      <c r="J171" s="288"/>
      <c r="K171" s="288"/>
      <c r="L171" s="288"/>
      <c r="M171" s="288"/>
      <c r="N171" s="288"/>
      <c r="O171" s="288"/>
      <c r="P171" s="288"/>
      <c r="Q171" s="288"/>
      <c r="R171" s="288"/>
      <c r="S171" s="288"/>
      <c r="T171" s="288"/>
      <c r="U171" s="288"/>
      <c r="V171" s="338">
        <v>0</v>
      </c>
      <c r="W171" s="291"/>
      <c r="X171" s="5"/>
    </row>
    <row r="172" spans="1:256" ht="16.2" thickBot="1" x14ac:dyDescent="0.35">
      <c r="A172" s="183"/>
      <c r="B172" s="284"/>
      <c r="C172" s="284"/>
      <c r="D172" s="284"/>
      <c r="E172" s="284"/>
      <c r="F172" s="284"/>
      <c r="G172" s="284"/>
      <c r="H172" s="284"/>
      <c r="I172" s="284"/>
      <c r="J172" s="284"/>
      <c r="K172" s="284"/>
      <c r="L172" s="284"/>
      <c r="M172" s="284"/>
      <c r="N172" s="284"/>
      <c r="O172" s="284"/>
      <c r="P172" s="284"/>
      <c r="Q172" s="284"/>
      <c r="R172" s="284"/>
      <c r="S172" s="284"/>
      <c r="T172" s="284"/>
      <c r="U172" s="284"/>
      <c r="V172" s="349"/>
      <c r="W172" s="284"/>
      <c r="X172" s="5"/>
    </row>
    <row r="173" spans="1:256" ht="15.6" x14ac:dyDescent="0.3">
      <c r="A173" s="180"/>
      <c r="B173" s="247"/>
      <c r="C173" s="247"/>
      <c r="D173" s="247"/>
      <c r="E173" s="247"/>
      <c r="F173" s="247"/>
      <c r="G173" s="247"/>
      <c r="H173" s="247"/>
      <c r="I173" s="247"/>
      <c r="J173" s="247"/>
      <c r="K173" s="247"/>
      <c r="L173" s="247"/>
      <c r="M173" s="247"/>
      <c r="N173" s="247"/>
      <c r="O173" s="247"/>
      <c r="P173" s="247"/>
      <c r="Q173" s="247"/>
      <c r="R173" s="247"/>
      <c r="S173" s="247"/>
      <c r="T173" s="247"/>
      <c r="U173" s="247"/>
      <c r="V173" s="248"/>
      <c r="W173" s="247"/>
      <c r="X173" s="5"/>
    </row>
    <row r="174" spans="1:256" s="161" customFormat="1" ht="15.6" x14ac:dyDescent="0.3">
      <c r="A174" s="183"/>
      <c r="B174" s="208" t="s">
        <v>269</v>
      </c>
      <c r="C174" s="198"/>
      <c r="D174" s="198"/>
      <c r="E174" s="198"/>
      <c r="F174" s="198"/>
      <c r="G174" s="198"/>
      <c r="H174" s="198"/>
      <c r="I174" s="198"/>
      <c r="J174" s="198"/>
      <c r="K174" s="198"/>
      <c r="L174" s="198"/>
      <c r="M174" s="198"/>
      <c r="N174" s="198"/>
      <c r="O174" s="198"/>
      <c r="P174" s="198"/>
      <c r="Q174" s="198"/>
      <c r="R174" s="198"/>
      <c r="S174" s="198"/>
      <c r="T174" s="198"/>
      <c r="U174" s="198"/>
      <c r="V174" s="210"/>
      <c r="W174" s="198"/>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5.6" x14ac:dyDescent="0.3">
      <c r="A175" s="287"/>
      <c r="B175" s="288" t="s">
        <v>270</v>
      </c>
      <c r="C175" s="288"/>
      <c r="D175" s="288"/>
      <c r="E175" s="288"/>
      <c r="F175" s="288"/>
      <c r="G175" s="288"/>
      <c r="H175" s="288"/>
      <c r="I175" s="288"/>
      <c r="J175" s="288"/>
      <c r="K175" s="288"/>
      <c r="L175" s="288"/>
      <c r="M175" s="288"/>
      <c r="N175" s="288"/>
      <c r="O175" s="288"/>
      <c r="P175" s="288"/>
      <c r="Q175" s="288"/>
      <c r="R175" s="288"/>
      <c r="S175" s="288"/>
      <c r="T175" s="288"/>
      <c r="U175" s="288"/>
      <c r="V175" s="338">
        <f>+'Aug 08'!V177</f>
        <v>0</v>
      </c>
      <c r="W175" s="291"/>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3" customFormat="1" ht="15.6" x14ac:dyDescent="0.3">
      <c r="A176" s="287"/>
      <c r="B176" s="288" t="s">
        <v>273</v>
      </c>
      <c r="C176" s="288"/>
      <c r="D176" s="288"/>
      <c r="E176" s="288"/>
      <c r="F176" s="288"/>
      <c r="G176" s="288"/>
      <c r="H176" s="288"/>
      <c r="I176" s="288"/>
      <c r="J176" s="288"/>
      <c r="K176" s="288"/>
      <c r="L176" s="288"/>
      <c r="M176" s="288"/>
      <c r="N176" s="288"/>
      <c r="O176" s="288"/>
      <c r="P176" s="288"/>
      <c r="Q176" s="288"/>
      <c r="R176" s="288"/>
      <c r="S176" s="288"/>
      <c r="T176" s="288"/>
      <c r="U176" s="288"/>
      <c r="V176" s="338">
        <f>+V94</f>
        <v>0</v>
      </c>
      <c r="W176" s="291"/>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s="163" customFormat="1" ht="15.6" x14ac:dyDescent="0.3">
      <c r="A177" s="287"/>
      <c r="B177" s="288" t="s">
        <v>271</v>
      </c>
      <c r="C177" s="288"/>
      <c r="D177" s="288"/>
      <c r="E177" s="288"/>
      <c r="F177" s="288"/>
      <c r="G177" s="288"/>
      <c r="H177" s="288"/>
      <c r="I177" s="288"/>
      <c r="J177" s="288"/>
      <c r="K177" s="288"/>
      <c r="L177" s="288"/>
      <c r="M177" s="288"/>
      <c r="N177" s="288"/>
      <c r="O177" s="288"/>
      <c r="P177" s="288"/>
      <c r="Q177" s="288"/>
      <c r="R177" s="288"/>
      <c r="S177" s="288"/>
      <c r="T177" s="288"/>
      <c r="U177" s="288"/>
      <c r="V177" s="338">
        <f>+V175-V176</f>
        <v>0</v>
      </c>
      <c r="W177" s="291"/>
      <c r="X177" s="5"/>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s="166" customFormat="1" ht="16.2" thickBot="1" x14ac:dyDescent="0.35">
      <c r="A178" s="199"/>
      <c r="B178" s="198"/>
      <c r="C178" s="198"/>
      <c r="D178" s="198"/>
      <c r="E178" s="198"/>
      <c r="F178" s="198"/>
      <c r="G178" s="198"/>
      <c r="H178" s="198"/>
      <c r="I178" s="198"/>
      <c r="J178" s="198"/>
      <c r="K178" s="198"/>
      <c r="L178" s="198"/>
      <c r="M178" s="198"/>
      <c r="N178" s="198"/>
      <c r="O178" s="198"/>
      <c r="P178" s="198"/>
      <c r="Q178" s="198"/>
      <c r="R178" s="198"/>
      <c r="S178" s="198"/>
      <c r="T178" s="198"/>
      <c r="U178" s="198"/>
      <c r="V178" s="347"/>
      <c r="W178" s="198"/>
      <c r="X178" s="5"/>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s="167" customFormat="1" ht="15.6" x14ac:dyDescent="0.3">
      <c r="A179" s="180"/>
      <c r="B179" s="181"/>
      <c r="C179" s="181"/>
      <c r="D179" s="181"/>
      <c r="E179" s="181"/>
      <c r="F179" s="181"/>
      <c r="G179" s="181"/>
      <c r="H179" s="181"/>
      <c r="I179" s="181"/>
      <c r="J179" s="181"/>
      <c r="K179" s="181"/>
      <c r="L179" s="181"/>
      <c r="M179" s="181"/>
      <c r="N179" s="181"/>
      <c r="O179" s="181"/>
      <c r="P179" s="181"/>
      <c r="Q179" s="181"/>
      <c r="R179" s="181"/>
      <c r="S179" s="181"/>
      <c r="T179" s="181"/>
      <c r="U179" s="181"/>
      <c r="V179" s="200"/>
      <c r="W179" s="181"/>
      <c r="X179" s="5"/>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ht="15.6" x14ac:dyDescent="0.3">
      <c r="A180" s="183"/>
      <c r="B180" s="208" t="s">
        <v>56</v>
      </c>
      <c r="C180" s="185"/>
      <c r="D180" s="185"/>
      <c r="E180" s="185"/>
      <c r="F180" s="185"/>
      <c r="G180" s="185"/>
      <c r="H180" s="185"/>
      <c r="I180" s="185"/>
      <c r="J180" s="185"/>
      <c r="K180" s="185"/>
      <c r="L180" s="185"/>
      <c r="M180" s="185"/>
      <c r="N180" s="185"/>
      <c r="O180" s="185"/>
      <c r="P180" s="185"/>
      <c r="Q180" s="185"/>
      <c r="R180" s="185"/>
      <c r="S180" s="185"/>
      <c r="T180" s="185"/>
      <c r="U180" s="185"/>
      <c r="V180" s="201"/>
      <c r="W180" s="185"/>
      <c r="X180" s="5"/>
    </row>
    <row r="181" spans="1:256" ht="15.6" x14ac:dyDescent="0.3">
      <c r="A181" s="183"/>
      <c r="B181" s="195"/>
      <c r="C181" s="185"/>
      <c r="D181" s="185"/>
      <c r="E181" s="185"/>
      <c r="F181" s="185"/>
      <c r="G181" s="185"/>
      <c r="H181" s="185"/>
      <c r="I181" s="185"/>
      <c r="J181" s="185"/>
      <c r="K181" s="185"/>
      <c r="L181" s="185"/>
      <c r="M181" s="185"/>
      <c r="N181" s="185"/>
      <c r="O181" s="185"/>
      <c r="P181" s="185"/>
      <c r="Q181" s="185"/>
      <c r="R181" s="185"/>
      <c r="S181" s="185"/>
      <c r="T181" s="185"/>
      <c r="U181" s="185"/>
      <c r="V181" s="201"/>
      <c r="W181" s="185"/>
      <c r="X181" s="5"/>
    </row>
    <row r="182" spans="1:256" ht="15.6" x14ac:dyDescent="0.3">
      <c r="A182" s="287"/>
      <c r="B182" s="288" t="s">
        <v>57</v>
      </c>
      <c r="C182" s="288"/>
      <c r="D182" s="288"/>
      <c r="E182" s="288"/>
      <c r="F182" s="288"/>
      <c r="G182" s="288"/>
      <c r="H182" s="288"/>
      <c r="I182" s="288"/>
      <c r="J182" s="288"/>
      <c r="K182" s="288"/>
      <c r="L182" s="288"/>
      <c r="M182" s="288"/>
      <c r="N182" s="288"/>
      <c r="O182" s="288"/>
      <c r="P182" s="288"/>
      <c r="Q182" s="288"/>
      <c r="R182" s="288"/>
      <c r="S182" s="288"/>
      <c r="T182" s="288"/>
      <c r="U182" s="288"/>
      <c r="V182" s="338">
        <f>V71</f>
        <v>1139892</v>
      </c>
      <c r="W182" s="291"/>
      <c r="X182" s="5"/>
    </row>
    <row r="183" spans="1:256" ht="15.6" x14ac:dyDescent="0.3">
      <c r="A183" s="287"/>
      <c r="B183" s="288" t="s">
        <v>58</v>
      </c>
      <c r="C183" s="288"/>
      <c r="D183" s="288"/>
      <c r="E183" s="288"/>
      <c r="F183" s="288"/>
      <c r="G183" s="288"/>
      <c r="H183" s="288"/>
      <c r="I183" s="288"/>
      <c r="J183" s="288"/>
      <c r="K183" s="288"/>
      <c r="L183" s="288"/>
      <c r="M183" s="288"/>
      <c r="N183" s="288"/>
      <c r="O183" s="288"/>
      <c r="P183" s="288"/>
      <c r="Q183" s="288"/>
      <c r="R183" s="288"/>
      <c r="S183" s="288"/>
      <c r="T183" s="288"/>
      <c r="U183" s="288"/>
      <c r="V183" s="338">
        <f>V84</f>
        <v>1139892</v>
      </c>
      <c r="W183" s="291"/>
      <c r="X183" s="5"/>
    </row>
    <row r="184" spans="1:256" ht="16.2" thickBot="1" x14ac:dyDescent="0.35">
      <c r="A184" s="183"/>
      <c r="B184" s="198"/>
      <c r="C184" s="198"/>
      <c r="D184" s="198"/>
      <c r="E184" s="198"/>
      <c r="F184" s="198"/>
      <c r="G184" s="198"/>
      <c r="H184" s="198"/>
      <c r="I184" s="198"/>
      <c r="J184" s="198"/>
      <c r="K184" s="198"/>
      <c r="L184" s="198"/>
      <c r="M184" s="198"/>
      <c r="N184" s="198"/>
      <c r="O184" s="198"/>
      <c r="P184" s="198"/>
      <c r="Q184" s="198"/>
      <c r="R184" s="198"/>
      <c r="S184" s="198"/>
      <c r="T184" s="198"/>
      <c r="U184" s="198"/>
      <c r="V184" s="347"/>
      <c r="W184" s="198"/>
      <c r="X184" s="5"/>
    </row>
    <row r="185" spans="1:256" ht="15.6" x14ac:dyDescent="0.3">
      <c r="A185" s="180"/>
      <c r="B185" s="181"/>
      <c r="C185" s="181"/>
      <c r="D185" s="181"/>
      <c r="E185" s="181"/>
      <c r="F185" s="181"/>
      <c r="G185" s="181"/>
      <c r="H185" s="181"/>
      <c r="I185" s="181"/>
      <c r="J185" s="181"/>
      <c r="K185" s="181"/>
      <c r="L185" s="181"/>
      <c r="M185" s="181"/>
      <c r="N185" s="181"/>
      <c r="O185" s="181"/>
      <c r="P185" s="181"/>
      <c r="Q185" s="181"/>
      <c r="R185" s="181"/>
      <c r="S185" s="181"/>
      <c r="T185" s="181"/>
      <c r="U185" s="181"/>
      <c r="V185" s="200"/>
      <c r="W185" s="181"/>
      <c r="X185" s="5"/>
    </row>
    <row r="186" spans="1:256" ht="15.6" x14ac:dyDescent="0.3">
      <c r="A186" s="183"/>
      <c r="B186" s="208" t="s">
        <v>59</v>
      </c>
      <c r="C186" s="205"/>
      <c r="D186" s="205"/>
      <c r="E186" s="205"/>
      <c r="F186" s="205"/>
      <c r="G186" s="205"/>
      <c r="H186" s="211"/>
      <c r="I186" s="211"/>
      <c r="J186" s="211"/>
      <c r="K186" s="211"/>
      <c r="L186" s="211"/>
      <c r="M186" s="211"/>
      <c r="N186" s="211"/>
      <c r="O186" s="211"/>
      <c r="P186" s="211"/>
      <c r="Q186" s="211"/>
      <c r="R186" s="211"/>
      <c r="S186" s="211" t="s">
        <v>101</v>
      </c>
      <c r="T186" s="211" t="s">
        <v>176</v>
      </c>
      <c r="U186" s="187"/>
      <c r="V186" s="212" t="s">
        <v>114</v>
      </c>
      <c r="W186" s="213"/>
      <c r="X186" s="5"/>
    </row>
    <row r="187" spans="1:256" ht="15.6" x14ac:dyDescent="0.3">
      <c r="A187" s="287"/>
      <c r="B187" s="288" t="s">
        <v>60</v>
      </c>
      <c r="C187" s="288"/>
      <c r="D187" s="288"/>
      <c r="E187" s="288"/>
      <c r="F187" s="288"/>
      <c r="G187" s="288"/>
      <c r="H187" s="288"/>
      <c r="I187" s="288"/>
      <c r="J187" s="288"/>
      <c r="K187" s="288"/>
      <c r="L187" s="288"/>
      <c r="M187" s="288"/>
      <c r="N187" s="288"/>
      <c r="O187" s="288"/>
      <c r="P187" s="288"/>
      <c r="Q187" s="288"/>
      <c r="R187" s="288"/>
      <c r="S187" s="338">
        <f>+V34*0.16</f>
        <v>240044</v>
      </c>
      <c r="T187" s="325"/>
      <c r="U187" s="288"/>
      <c r="V187" s="338"/>
      <c r="W187" s="291"/>
      <c r="X187" s="5"/>
    </row>
    <row r="188" spans="1:256" ht="15.6" x14ac:dyDescent="0.3">
      <c r="A188" s="287"/>
      <c r="B188" s="288" t="s">
        <v>61</v>
      </c>
      <c r="C188" s="288"/>
      <c r="D188" s="288"/>
      <c r="E188" s="288"/>
      <c r="F188" s="288"/>
      <c r="G188" s="288"/>
      <c r="H188" s="288"/>
      <c r="I188" s="288"/>
      <c r="J188" s="288"/>
      <c r="K188" s="288"/>
      <c r="L188" s="288"/>
      <c r="M188" s="288"/>
      <c r="N188" s="288"/>
      <c r="O188" s="288"/>
      <c r="P188" s="288"/>
      <c r="Q188" s="288"/>
      <c r="R188" s="288"/>
      <c r="S188" s="338">
        <f>+'May 11'!S190</f>
        <v>24074</v>
      </c>
      <c r="T188" s="338">
        <f>+'May 11'!T190</f>
        <v>6005</v>
      </c>
      <c r="U188" s="288"/>
      <c r="V188" s="338">
        <f>S188+T188</f>
        <v>30079</v>
      </c>
      <c r="W188" s="291"/>
      <c r="X188" s="5"/>
    </row>
    <row r="189" spans="1:256" ht="15.6" x14ac:dyDescent="0.3">
      <c r="A189" s="287"/>
      <c r="B189" s="288" t="s">
        <v>62</v>
      </c>
      <c r="C189" s="288"/>
      <c r="D189" s="288"/>
      <c r="E189" s="288"/>
      <c r="F189" s="288"/>
      <c r="G189" s="288"/>
      <c r="H189" s="288"/>
      <c r="I189" s="288"/>
      <c r="J189" s="288"/>
      <c r="K189" s="288"/>
      <c r="L189" s="288"/>
      <c r="M189" s="288"/>
      <c r="N189" s="288"/>
      <c r="O189" s="288"/>
      <c r="P189" s="288"/>
      <c r="Q189" s="288"/>
      <c r="R189" s="288"/>
      <c r="S189" s="337">
        <v>49</v>
      </c>
      <c r="T189" s="337">
        <v>8</v>
      </c>
      <c r="U189" s="288"/>
      <c r="V189" s="338">
        <f>S189+T189</f>
        <v>57</v>
      </c>
      <c r="W189" s="291"/>
      <c r="X189" s="5"/>
    </row>
    <row r="190" spans="1:256" ht="15.6" x14ac:dyDescent="0.3">
      <c r="A190" s="287"/>
      <c r="B190" s="288" t="s">
        <v>63</v>
      </c>
      <c r="C190" s="288"/>
      <c r="D190" s="288"/>
      <c r="E190" s="288"/>
      <c r="F190" s="288"/>
      <c r="G190" s="288"/>
      <c r="H190" s="288"/>
      <c r="I190" s="288"/>
      <c r="J190" s="288"/>
      <c r="K190" s="288"/>
      <c r="L190" s="288"/>
      <c r="M190" s="288"/>
      <c r="N190" s="288"/>
      <c r="O190" s="288"/>
      <c r="P190" s="288"/>
      <c r="Q190" s="288"/>
      <c r="R190" s="288"/>
      <c r="S190" s="338">
        <f>S188+S189</f>
        <v>24123</v>
      </c>
      <c r="T190" s="338">
        <f>T189+T188</f>
        <v>6013</v>
      </c>
      <c r="U190" s="288"/>
      <c r="V190" s="338">
        <f>S190+T190</f>
        <v>30136</v>
      </c>
      <c r="W190" s="291"/>
      <c r="X190" s="5"/>
    </row>
    <row r="191" spans="1:256" ht="15.6" x14ac:dyDescent="0.3">
      <c r="A191" s="287"/>
      <c r="B191" s="288" t="s">
        <v>64</v>
      </c>
      <c r="C191" s="288"/>
      <c r="D191" s="288"/>
      <c r="E191" s="288"/>
      <c r="F191" s="288"/>
      <c r="G191" s="288"/>
      <c r="H191" s="288"/>
      <c r="I191" s="288"/>
      <c r="J191" s="288"/>
      <c r="K191" s="288"/>
      <c r="L191" s="288"/>
      <c r="M191" s="288"/>
      <c r="N191" s="288"/>
      <c r="O191" s="288"/>
      <c r="P191" s="288"/>
      <c r="Q191" s="288"/>
      <c r="R191" s="288"/>
      <c r="S191" s="338">
        <f>S187-S190-T190</f>
        <v>209908</v>
      </c>
      <c r="T191" s="325"/>
      <c r="U191" s="288"/>
      <c r="V191" s="338"/>
      <c r="W191" s="291"/>
      <c r="X191" s="5"/>
    </row>
    <row r="192" spans="1:256" ht="16.2" thickBot="1" x14ac:dyDescent="0.35">
      <c r="A192" s="183"/>
      <c r="B192" s="198"/>
      <c r="C192" s="198"/>
      <c r="D192" s="198"/>
      <c r="E192" s="198"/>
      <c r="F192" s="198"/>
      <c r="G192" s="198"/>
      <c r="H192" s="198"/>
      <c r="I192" s="198"/>
      <c r="J192" s="198"/>
      <c r="K192" s="198"/>
      <c r="L192" s="198"/>
      <c r="M192" s="198"/>
      <c r="N192" s="198"/>
      <c r="O192" s="198"/>
      <c r="P192" s="198"/>
      <c r="Q192" s="198"/>
      <c r="R192" s="198"/>
      <c r="S192" s="198"/>
      <c r="T192" s="198"/>
      <c r="U192" s="198"/>
      <c r="V192" s="347"/>
      <c r="W192" s="198"/>
      <c r="X192" s="5"/>
    </row>
    <row r="193" spans="1:24" ht="15.6" x14ac:dyDescent="0.3">
      <c r="A193" s="180"/>
      <c r="B193" s="181"/>
      <c r="C193" s="181"/>
      <c r="D193" s="181"/>
      <c r="E193" s="181"/>
      <c r="F193" s="181"/>
      <c r="G193" s="181"/>
      <c r="H193" s="181"/>
      <c r="I193" s="181"/>
      <c r="J193" s="181"/>
      <c r="K193" s="181"/>
      <c r="L193" s="181"/>
      <c r="M193" s="181"/>
      <c r="N193" s="181"/>
      <c r="O193" s="181"/>
      <c r="P193" s="181"/>
      <c r="Q193" s="181"/>
      <c r="R193" s="181"/>
      <c r="S193" s="181"/>
      <c r="T193" s="181"/>
      <c r="U193" s="181"/>
      <c r="V193" s="200"/>
      <c r="W193" s="181"/>
      <c r="X193" s="5"/>
    </row>
    <row r="194" spans="1:24" ht="15.6" x14ac:dyDescent="0.3">
      <c r="A194" s="183"/>
      <c r="B194" s="208" t="s">
        <v>65</v>
      </c>
      <c r="C194" s="185"/>
      <c r="D194" s="185"/>
      <c r="E194" s="185"/>
      <c r="F194" s="185"/>
      <c r="G194" s="185"/>
      <c r="H194" s="185"/>
      <c r="I194" s="185"/>
      <c r="J194" s="185"/>
      <c r="K194" s="185"/>
      <c r="L194" s="185"/>
      <c r="M194" s="185"/>
      <c r="N194" s="185"/>
      <c r="O194" s="185"/>
      <c r="P194" s="185"/>
      <c r="Q194" s="185"/>
      <c r="R194" s="185"/>
      <c r="S194" s="185"/>
      <c r="T194" s="185"/>
      <c r="U194" s="185"/>
      <c r="V194" s="214"/>
      <c r="W194" s="185"/>
      <c r="X194" s="5"/>
    </row>
    <row r="195" spans="1:24" ht="15.6" x14ac:dyDescent="0.3">
      <c r="A195" s="287"/>
      <c r="B195" s="288" t="s">
        <v>66</v>
      </c>
      <c r="C195" s="288"/>
      <c r="D195" s="288"/>
      <c r="E195" s="288"/>
      <c r="F195" s="288"/>
      <c r="G195" s="288"/>
      <c r="H195" s="288"/>
      <c r="I195" s="288"/>
      <c r="J195" s="288"/>
      <c r="K195" s="288"/>
      <c r="L195" s="288"/>
      <c r="M195" s="288"/>
      <c r="N195" s="288"/>
      <c r="O195" s="288"/>
      <c r="P195" s="288"/>
      <c r="Q195" s="288"/>
      <c r="R195" s="288"/>
      <c r="S195" s="288"/>
      <c r="T195" s="288"/>
      <c r="U195" s="288"/>
      <c r="V195" s="348">
        <f>(V101+V103+V104+V105+V106)/-(V107+V108)</f>
        <v>3.276470588235294</v>
      </c>
      <c r="W195" s="291" t="s">
        <v>115</v>
      </c>
      <c r="X195" s="5"/>
    </row>
    <row r="196" spans="1:24" ht="15.6" x14ac:dyDescent="0.3">
      <c r="A196" s="287"/>
      <c r="B196" s="288" t="s">
        <v>67</v>
      </c>
      <c r="C196" s="288"/>
      <c r="D196" s="288"/>
      <c r="E196" s="288"/>
      <c r="F196" s="288"/>
      <c r="G196" s="288"/>
      <c r="H196" s="288"/>
      <c r="I196" s="288"/>
      <c r="J196" s="288"/>
      <c r="K196" s="288"/>
      <c r="L196" s="288"/>
      <c r="M196" s="288"/>
      <c r="N196" s="288"/>
      <c r="O196" s="288"/>
      <c r="P196" s="288"/>
      <c r="Q196" s="288"/>
      <c r="R196" s="288"/>
      <c r="S196" s="288"/>
      <c r="T196" s="288"/>
      <c r="U196" s="288"/>
      <c r="V196" s="350">
        <v>1.64</v>
      </c>
      <c r="W196" s="291" t="s">
        <v>115</v>
      </c>
      <c r="X196" s="5"/>
    </row>
    <row r="197" spans="1:24" ht="15.6" x14ac:dyDescent="0.3">
      <c r="A197" s="287"/>
      <c r="B197" s="288" t="s">
        <v>68</v>
      </c>
      <c r="C197" s="288"/>
      <c r="D197" s="288"/>
      <c r="E197" s="288"/>
      <c r="F197" s="288"/>
      <c r="G197" s="288"/>
      <c r="H197" s="288"/>
      <c r="I197" s="288"/>
      <c r="J197" s="288"/>
      <c r="K197" s="288"/>
      <c r="L197" s="288"/>
      <c r="M197" s="288"/>
      <c r="N197" s="288"/>
      <c r="O197" s="288"/>
      <c r="P197" s="288"/>
      <c r="Q197" s="288"/>
      <c r="R197" s="288"/>
      <c r="S197" s="288"/>
      <c r="T197" s="288"/>
      <c r="U197" s="288"/>
      <c r="V197" s="348">
        <f>(V101+V103+V104+V105+V106+V107+V108)/-(V110+V111)</f>
        <v>17.408304498269896</v>
      </c>
      <c r="W197" s="291" t="s">
        <v>115</v>
      </c>
      <c r="X197" s="5"/>
    </row>
    <row r="198" spans="1:24" ht="15.6" x14ac:dyDescent="0.3">
      <c r="A198" s="287"/>
      <c r="B198" s="288" t="s">
        <v>69</v>
      </c>
      <c r="C198" s="288"/>
      <c r="D198" s="288"/>
      <c r="E198" s="288"/>
      <c r="F198" s="288"/>
      <c r="G198" s="288"/>
      <c r="H198" s="288"/>
      <c r="I198" s="288"/>
      <c r="J198" s="288"/>
      <c r="K198" s="288"/>
      <c r="L198" s="288"/>
      <c r="M198" s="288"/>
      <c r="N198" s="288"/>
      <c r="O198" s="288"/>
      <c r="P198" s="288"/>
      <c r="Q198" s="288"/>
      <c r="R198" s="288"/>
      <c r="S198" s="288"/>
      <c r="T198" s="288"/>
      <c r="U198" s="288"/>
      <c r="V198" s="350">
        <v>6.35</v>
      </c>
      <c r="W198" s="291" t="s">
        <v>115</v>
      </c>
      <c r="X198" s="5"/>
    </row>
    <row r="199" spans="1:24" ht="15.6" x14ac:dyDescent="0.3">
      <c r="A199" s="287"/>
      <c r="B199" s="288" t="s">
        <v>198</v>
      </c>
      <c r="C199" s="288"/>
      <c r="D199" s="288"/>
      <c r="E199" s="288"/>
      <c r="F199" s="288"/>
      <c r="G199" s="288"/>
      <c r="H199" s="288"/>
      <c r="I199" s="288"/>
      <c r="J199" s="288"/>
      <c r="K199" s="288"/>
      <c r="L199" s="288"/>
      <c r="M199" s="288"/>
      <c r="N199" s="288"/>
      <c r="O199" s="288"/>
      <c r="P199" s="288"/>
      <c r="Q199" s="288"/>
      <c r="R199" s="288"/>
      <c r="S199" s="288"/>
      <c r="T199" s="288"/>
      <c r="U199" s="288"/>
      <c r="V199" s="348">
        <f>(V101+V103+V104+V105+V106+V107+V108+V110+V111)/-(V112+V113)</f>
        <v>13.395480225988701</v>
      </c>
      <c r="W199" s="291" t="s">
        <v>115</v>
      </c>
      <c r="X199" s="5"/>
    </row>
    <row r="200" spans="1:24" ht="15.6" x14ac:dyDescent="0.3">
      <c r="A200" s="287"/>
      <c r="B200" s="288" t="s">
        <v>199</v>
      </c>
      <c r="C200" s="288"/>
      <c r="D200" s="288"/>
      <c r="E200" s="288"/>
      <c r="F200" s="288"/>
      <c r="G200" s="288"/>
      <c r="H200" s="288"/>
      <c r="I200" s="288"/>
      <c r="J200" s="288"/>
      <c r="K200" s="288"/>
      <c r="L200" s="288"/>
      <c r="M200" s="288"/>
      <c r="N200" s="288"/>
      <c r="O200" s="288"/>
      <c r="P200" s="288"/>
      <c r="Q200" s="288"/>
      <c r="R200" s="288"/>
      <c r="S200" s="288"/>
      <c r="T200" s="288"/>
      <c r="U200" s="288"/>
      <c r="V200" s="350">
        <v>4.99</v>
      </c>
      <c r="W200" s="291" t="s">
        <v>115</v>
      </c>
      <c r="X200" s="5"/>
    </row>
    <row r="201" spans="1:24" ht="15.6" x14ac:dyDescent="0.3">
      <c r="A201" s="287"/>
      <c r="B201" s="314"/>
      <c r="C201" s="314"/>
      <c r="D201" s="314"/>
      <c r="E201" s="314"/>
      <c r="F201" s="314"/>
      <c r="G201" s="314"/>
      <c r="H201" s="314"/>
      <c r="I201" s="314"/>
      <c r="J201" s="314"/>
      <c r="K201" s="314"/>
      <c r="L201" s="314"/>
      <c r="M201" s="314"/>
      <c r="N201" s="314"/>
      <c r="O201" s="314"/>
      <c r="P201" s="314"/>
      <c r="Q201" s="314"/>
      <c r="R201" s="314"/>
      <c r="S201" s="314"/>
      <c r="T201" s="314"/>
      <c r="U201" s="314"/>
      <c r="V201" s="314"/>
      <c r="W201" s="318"/>
      <c r="X201" s="5"/>
    </row>
    <row r="202" spans="1:24" ht="15.6" x14ac:dyDescent="0.3">
      <c r="A202" s="183"/>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5"/>
    </row>
    <row r="203" spans="1:24" ht="15.6" x14ac:dyDescent="0.3">
      <c r="A203" s="183"/>
      <c r="B203" s="185"/>
      <c r="C203" s="185"/>
      <c r="D203" s="185"/>
      <c r="E203" s="185"/>
      <c r="F203" s="185"/>
      <c r="G203" s="185"/>
      <c r="H203" s="185"/>
      <c r="I203" s="185"/>
      <c r="J203" s="185"/>
      <c r="K203" s="185"/>
      <c r="L203" s="185"/>
      <c r="M203" s="185"/>
      <c r="N203" s="185"/>
      <c r="O203" s="185"/>
      <c r="P203" s="185"/>
      <c r="Q203" s="185"/>
      <c r="R203" s="185"/>
      <c r="S203" s="185"/>
      <c r="T203" s="185"/>
      <c r="U203" s="185"/>
      <c r="V203" s="185"/>
      <c r="W203" s="185"/>
      <c r="X203" s="5"/>
    </row>
    <row r="204" spans="1:24" ht="18" thickBot="1" x14ac:dyDescent="0.35">
      <c r="A204" s="199"/>
      <c r="B204" s="237" t="str">
        <f>B138</f>
        <v>PM14 INVESTOR REPORT QUARTER ENDING AUGUST 2011</v>
      </c>
      <c r="C204" s="215"/>
      <c r="D204" s="215"/>
      <c r="E204" s="215"/>
      <c r="F204" s="215"/>
      <c r="G204" s="215"/>
      <c r="H204" s="215"/>
      <c r="I204" s="215"/>
      <c r="J204" s="215"/>
      <c r="K204" s="215"/>
      <c r="L204" s="215"/>
      <c r="M204" s="215"/>
      <c r="N204" s="215"/>
      <c r="O204" s="215"/>
      <c r="P204" s="215"/>
      <c r="Q204" s="215"/>
      <c r="R204" s="215"/>
      <c r="S204" s="215"/>
      <c r="T204" s="215"/>
      <c r="U204" s="215"/>
      <c r="V204" s="215"/>
      <c r="W204" s="216"/>
      <c r="X204" s="5"/>
    </row>
    <row r="205" spans="1:24" ht="15.6" x14ac:dyDescent="0.3">
      <c r="A205" s="273"/>
      <c r="B205" s="403" t="s">
        <v>70</v>
      </c>
      <c r="C205" s="404"/>
      <c r="D205" s="404"/>
      <c r="E205" s="404"/>
      <c r="F205" s="404"/>
      <c r="G205" s="405"/>
      <c r="H205" s="405"/>
      <c r="I205" s="405"/>
      <c r="J205" s="405"/>
      <c r="K205" s="405"/>
      <c r="L205" s="405"/>
      <c r="M205" s="405"/>
      <c r="N205" s="405"/>
      <c r="O205" s="405"/>
      <c r="P205" s="405"/>
      <c r="Q205" s="405"/>
      <c r="R205" s="405"/>
      <c r="S205" s="405"/>
      <c r="T205" s="405">
        <v>40786</v>
      </c>
      <c r="U205" s="274"/>
      <c r="V205" s="274"/>
      <c r="W205" s="274"/>
      <c r="X205" s="5"/>
    </row>
    <row r="206" spans="1:24" ht="15.6" x14ac:dyDescent="0.3">
      <c r="A206" s="217"/>
      <c r="B206" s="230"/>
      <c r="C206" s="249"/>
      <c r="D206" s="249"/>
      <c r="E206" s="249"/>
      <c r="F206" s="249"/>
      <c r="G206" s="229"/>
      <c r="H206" s="229"/>
      <c r="I206" s="229"/>
      <c r="J206" s="229"/>
      <c r="K206" s="229"/>
      <c r="L206" s="229"/>
      <c r="M206" s="229"/>
      <c r="N206" s="229"/>
      <c r="O206" s="229"/>
      <c r="P206" s="229"/>
      <c r="Q206" s="229"/>
      <c r="R206" s="229"/>
      <c r="S206" s="229"/>
      <c r="T206" s="229"/>
      <c r="U206" s="224"/>
      <c r="V206" s="224"/>
      <c r="W206" s="224"/>
      <c r="X206" s="5"/>
    </row>
    <row r="207" spans="1:24" ht="15.6" x14ac:dyDescent="0.3">
      <c r="A207" s="352"/>
      <c r="B207" s="288" t="s">
        <v>71</v>
      </c>
      <c r="C207" s="353"/>
      <c r="D207" s="353"/>
      <c r="E207" s="353"/>
      <c r="F207" s="353"/>
      <c r="G207" s="330"/>
      <c r="H207" s="330"/>
      <c r="I207" s="330"/>
      <c r="J207" s="330"/>
      <c r="K207" s="330"/>
      <c r="L207" s="330"/>
      <c r="M207" s="330"/>
      <c r="N207" s="330"/>
      <c r="O207" s="330"/>
      <c r="P207" s="330"/>
      <c r="Q207" s="330"/>
      <c r="R207" s="330"/>
      <c r="S207" s="330"/>
      <c r="T207" s="321">
        <v>5.2819999999999999E-2</v>
      </c>
      <c r="U207" s="288"/>
      <c r="V207" s="288"/>
      <c r="W207" s="291"/>
      <c r="X207" s="5"/>
    </row>
    <row r="208" spans="1:24" ht="15.6" x14ac:dyDescent="0.3">
      <c r="A208" s="352"/>
      <c r="B208" s="288" t="s">
        <v>151</v>
      </c>
      <c r="C208" s="353"/>
      <c r="D208" s="353"/>
      <c r="E208" s="353"/>
      <c r="F208" s="353"/>
      <c r="G208" s="330"/>
      <c r="H208" s="330"/>
      <c r="I208" s="330"/>
      <c r="J208" s="330"/>
      <c r="K208" s="330"/>
      <c r="L208" s="330"/>
      <c r="M208" s="330"/>
      <c r="N208" s="330"/>
      <c r="O208" s="330"/>
      <c r="P208" s="330"/>
      <c r="Q208" s="330"/>
      <c r="R208" s="330"/>
      <c r="S208" s="330"/>
      <c r="T208" s="321">
        <v>5.7799999999999997E-2</v>
      </c>
      <c r="U208" s="288"/>
      <c r="V208" s="288"/>
      <c r="W208" s="291"/>
      <c r="X208" s="5"/>
    </row>
    <row r="209" spans="1:24" ht="15.6" x14ac:dyDescent="0.3">
      <c r="A209" s="352"/>
      <c r="B209" s="288" t="s">
        <v>72</v>
      </c>
      <c r="C209" s="353"/>
      <c r="D209" s="353"/>
      <c r="E209" s="353"/>
      <c r="F209" s="353"/>
      <c r="G209" s="330"/>
      <c r="H209" s="330"/>
      <c r="I209" s="330"/>
      <c r="J209" s="330"/>
      <c r="K209" s="330"/>
      <c r="L209" s="330"/>
      <c r="M209" s="330"/>
      <c r="N209" s="330"/>
      <c r="O209" s="330"/>
      <c r="P209" s="330"/>
      <c r="Q209" s="330"/>
      <c r="R209" s="330"/>
      <c r="S209" s="330"/>
      <c r="T209" s="321">
        <f>T207-T208</f>
        <v>-4.9799999999999983E-3</v>
      </c>
      <c r="U209" s="288"/>
      <c r="V209" s="288"/>
      <c r="W209" s="291"/>
      <c r="X209" s="5"/>
    </row>
    <row r="210" spans="1:24" ht="15.6" x14ac:dyDescent="0.3">
      <c r="A210" s="352"/>
      <c r="B210" s="288" t="s">
        <v>73</v>
      </c>
      <c r="C210" s="353"/>
      <c r="D210" s="353"/>
      <c r="E210" s="353"/>
      <c r="F210" s="353"/>
      <c r="G210" s="330"/>
      <c r="H210" s="330"/>
      <c r="I210" s="330"/>
      <c r="J210" s="330"/>
      <c r="K210" s="330"/>
      <c r="L210" s="330"/>
      <c r="M210" s="330"/>
      <c r="N210" s="330"/>
      <c r="O210" s="330"/>
      <c r="P210" s="330"/>
      <c r="Q210" s="330"/>
      <c r="R210" s="330"/>
      <c r="S210" s="330"/>
      <c r="T210" s="321">
        <v>2.579E-2</v>
      </c>
      <c r="U210" s="288"/>
      <c r="V210" s="288"/>
      <c r="W210" s="291"/>
      <c r="X210" s="5"/>
    </row>
    <row r="211" spans="1:24" ht="15.6" x14ac:dyDescent="0.3">
      <c r="A211" s="352"/>
      <c r="B211" s="288" t="s">
        <v>219</v>
      </c>
      <c r="C211" s="353"/>
      <c r="D211" s="353"/>
      <c r="E211" s="353"/>
      <c r="F211" s="353"/>
      <c r="G211" s="330"/>
      <c r="H211" s="330"/>
      <c r="I211" s="330"/>
      <c r="J211" s="330"/>
      <c r="K211" s="330"/>
      <c r="L211" s="330"/>
      <c r="M211" s="330"/>
      <c r="N211" s="330"/>
      <c r="O211" s="330"/>
      <c r="P211" s="330"/>
      <c r="Q211" s="330"/>
      <c r="R211" s="330"/>
      <c r="S211" s="330"/>
      <c r="T211" s="321">
        <f>V43</f>
        <v>9.8841396870023943E-3</v>
      </c>
      <c r="U211" s="288"/>
      <c r="V211" s="288"/>
      <c r="W211" s="291"/>
      <c r="X211" s="5"/>
    </row>
    <row r="212" spans="1:24" ht="15.6" x14ac:dyDescent="0.3">
      <c r="A212" s="352"/>
      <c r="B212" s="288" t="s">
        <v>74</v>
      </c>
      <c r="C212" s="353"/>
      <c r="D212" s="353"/>
      <c r="E212" s="353"/>
      <c r="F212" s="353"/>
      <c r="G212" s="330"/>
      <c r="H212" s="330"/>
      <c r="I212" s="330"/>
      <c r="J212" s="330"/>
      <c r="K212" s="330"/>
      <c r="L212" s="330"/>
      <c r="M212" s="330"/>
      <c r="N212" s="330"/>
      <c r="O212" s="330"/>
      <c r="P212" s="330"/>
      <c r="Q212" s="330"/>
      <c r="R212" s="330"/>
      <c r="S212" s="330"/>
      <c r="T212" s="321">
        <f>T210-T211</f>
        <v>1.5905860312997608E-2</v>
      </c>
      <c r="U212" s="288"/>
      <c r="V212" s="288"/>
      <c r="W212" s="291"/>
      <c r="X212" s="5"/>
    </row>
    <row r="213" spans="1:24" ht="15.6" x14ac:dyDescent="0.3">
      <c r="A213" s="352"/>
      <c r="B213" s="288" t="s">
        <v>242</v>
      </c>
      <c r="C213" s="353"/>
      <c r="D213" s="353"/>
      <c r="E213" s="353"/>
      <c r="F213" s="353"/>
      <c r="G213" s="330"/>
      <c r="H213" s="330"/>
      <c r="I213" s="330"/>
      <c r="J213" s="330"/>
      <c r="K213" s="330"/>
      <c r="L213" s="330"/>
      <c r="M213" s="330"/>
      <c r="N213" s="330"/>
      <c r="O213" s="330"/>
      <c r="P213" s="330"/>
      <c r="Q213" s="330"/>
      <c r="R213" s="330"/>
      <c r="S213" s="330"/>
      <c r="T213" s="321">
        <f>V101/N71</f>
        <v>6.7018898491420136E-3</v>
      </c>
      <c r="U213" s="288"/>
      <c r="V213" s="288"/>
      <c r="W213" s="291"/>
      <c r="X213" s="5"/>
    </row>
    <row r="214" spans="1:24" ht="15.6" x14ac:dyDescent="0.3">
      <c r="A214" s="352"/>
      <c r="B214" s="288" t="s">
        <v>208</v>
      </c>
      <c r="C214" s="353"/>
      <c r="D214" s="353"/>
      <c r="E214" s="353"/>
      <c r="F214" s="353"/>
      <c r="G214" s="330"/>
      <c r="H214" s="330"/>
      <c r="I214" s="330"/>
      <c r="J214" s="330"/>
      <c r="K214" s="330"/>
      <c r="L214" s="330"/>
      <c r="M214" s="330"/>
      <c r="N214" s="330"/>
      <c r="O214" s="330"/>
      <c r="P214" s="330"/>
      <c r="Q214" s="330"/>
      <c r="R214" s="330"/>
      <c r="S214" s="330"/>
      <c r="T214" s="354">
        <v>51014</v>
      </c>
      <c r="U214" s="288"/>
      <c r="V214" s="288"/>
      <c r="W214" s="291"/>
      <c r="X214" s="5"/>
    </row>
    <row r="215" spans="1:24" ht="15.6" x14ac:dyDescent="0.3">
      <c r="A215" s="352"/>
      <c r="B215" s="288" t="s">
        <v>209</v>
      </c>
      <c r="C215" s="353"/>
      <c r="D215" s="353"/>
      <c r="E215" s="353"/>
      <c r="F215" s="353"/>
      <c r="G215" s="330"/>
      <c r="H215" s="330"/>
      <c r="I215" s="330"/>
      <c r="J215" s="330"/>
      <c r="K215" s="330"/>
      <c r="L215" s="330"/>
      <c r="M215" s="330"/>
      <c r="N215" s="330"/>
      <c r="O215" s="330"/>
      <c r="P215" s="330"/>
      <c r="Q215" s="330"/>
      <c r="R215" s="330"/>
      <c r="S215" s="330"/>
      <c r="T215" s="354">
        <v>51014</v>
      </c>
      <c r="U215" s="288"/>
      <c r="V215" s="288"/>
      <c r="W215" s="291"/>
      <c r="X215" s="5"/>
    </row>
    <row r="216" spans="1:24" ht="15.6" x14ac:dyDescent="0.3">
      <c r="A216" s="352"/>
      <c r="B216" s="288" t="s">
        <v>210</v>
      </c>
      <c r="C216" s="353"/>
      <c r="D216" s="353"/>
      <c r="E216" s="353"/>
      <c r="F216" s="353"/>
      <c r="G216" s="330"/>
      <c r="H216" s="330"/>
      <c r="I216" s="330"/>
      <c r="J216" s="330"/>
      <c r="K216" s="330"/>
      <c r="L216" s="330"/>
      <c r="M216" s="330"/>
      <c r="N216" s="330"/>
      <c r="O216" s="330"/>
      <c r="P216" s="330"/>
      <c r="Q216" s="330"/>
      <c r="R216" s="330"/>
      <c r="S216" s="330"/>
      <c r="T216" s="354">
        <v>51014</v>
      </c>
      <c r="U216" s="288"/>
      <c r="V216" s="288"/>
      <c r="W216" s="291"/>
      <c r="X216" s="5"/>
    </row>
    <row r="217" spans="1:24" ht="15.6" x14ac:dyDescent="0.3">
      <c r="A217" s="352"/>
      <c r="B217" s="288" t="s">
        <v>75</v>
      </c>
      <c r="C217" s="353"/>
      <c r="D217" s="353"/>
      <c r="E217" s="353"/>
      <c r="F217" s="353"/>
      <c r="G217" s="330"/>
      <c r="H217" s="330"/>
      <c r="I217" s="330"/>
      <c r="J217" s="330"/>
      <c r="K217" s="330"/>
      <c r="L217" s="330"/>
      <c r="M217" s="330"/>
      <c r="N217" s="330"/>
      <c r="O217" s="330"/>
      <c r="P217" s="330"/>
      <c r="Q217" s="330"/>
      <c r="R217" s="330"/>
      <c r="S217" s="330"/>
      <c r="T217" s="327">
        <v>20.66</v>
      </c>
      <c r="U217" s="288" t="s">
        <v>110</v>
      </c>
      <c r="V217" s="288"/>
      <c r="W217" s="291"/>
      <c r="X217" s="5"/>
    </row>
    <row r="218" spans="1:24" ht="15.6" x14ac:dyDescent="0.3">
      <c r="A218" s="352"/>
      <c r="B218" s="288" t="s">
        <v>76</v>
      </c>
      <c r="C218" s="353"/>
      <c r="D218" s="353"/>
      <c r="E218" s="353"/>
      <c r="F218" s="353"/>
      <c r="G218" s="330"/>
      <c r="H218" s="330"/>
      <c r="I218" s="330"/>
      <c r="J218" s="330"/>
      <c r="K218" s="330"/>
      <c r="L218" s="330"/>
      <c r="M218" s="330"/>
      <c r="N218" s="330"/>
      <c r="O218" s="330"/>
      <c r="P218" s="330"/>
      <c r="Q218" s="330"/>
      <c r="R218" s="330"/>
      <c r="S218" s="330"/>
      <c r="T218" s="327">
        <v>16.88</v>
      </c>
      <c r="U218" s="288" t="s">
        <v>110</v>
      </c>
      <c r="V218" s="288"/>
      <c r="W218" s="291"/>
      <c r="X218" s="5"/>
    </row>
    <row r="219" spans="1:24" ht="15.6" x14ac:dyDescent="0.3">
      <c r="A219" s="352"/>
      <c r="B219" s="288" t="s">
        <v>77</v>
      </c>
      <c r="C219" s="353"/>
      <c r="D219" s="353"/>
      <c r="E219" s="353"/>
      <c r="F219" s="353"/>
      <c r="G219" s="330"/>
      <c r="H219" s="330"/>
      <c r="I219" s="330"/>
      <c r="J219" s="330"/>
      <c r="K219" s="330"/>
      <c r="L219" s="330"/>
      <c r="M219" s="330"/>
      <c r="N219" s="330"/>
      <c r="O219" s="330"/>
      <c r="P219" s="330"/>
      <c r="Q219" s="330"/>
      <c r="R219" s="330"/>
      <c r="S219" s="330"/>
      <c r="T219" s="321">
        <f>+P68/N68</f>
        <v>5.2599099024394072E-3</v>
      </c>
      <c r="U219" s="288"/>
      <c r="V219" s="288"/>
      <c r="W219" s="291"/>
      <c r="X219" s="5"/>
    </row>
    <row r="220" spans="1:24" ht="15.6" x14ac:dyDescent="0.3">
      <c r="A220" s="352"/>
      <c r="B220" s="288" t="s">
        <v>78</v>
      </c>
      <c r="C220" s="353"/>
      <c r="D220" s="353"/>
      <c r="E220" s="353"/>
      <c r="F220" s="353"/>
      <c r="G220" s="330"/>
      <c r="H220" s="330"/>
      <c r="I220" s="330"/>
      <c r="J220" s="330"/>
      <c r="K220" s="330"/>
      <c r="L220" s="330"/>
      <c r="M220" s="330"/>
      <c r="N220" s="330"/>
      <c r="O220" s="330"/>
      <c r="P220" s="330"/>
      <c r="Q220" s="330"/>
      <c r="R220" s="330"/>
      <c r="S220" s="330"/>
      <c r="T220" s="321">
        <v>6.4500000000000002E-2</v>
      </c>
      <c r="U220" s="288"/>
      <c r="V220" s="288"/>
      <c r="W220" s="291"/>
      <c r="X220" s="5"/>
    </row>
    <row r="221" spans="1:24" ht="15.6" x14ac:dyDescent="0.3">
      <c r="A221" s="217"/>
      <c r="B221" s="284"/>
      <c r="C221" s="284"/>
      <c r="D221" s="284"/>
      <c r="E221" s="284"/>
      <c r="F221" s="284"/>
      <c r="G221" s="284"/>
      <c r="H221" s="284"/>
      <c r="I221" s="284"/>
      <c r="J221" s="284"/>
      <c r="K221" s="284"/>
      <c r="L221" s="284"/>
      <c r="M221" s="284"/>
      <c r="N221" s="284"/>
      <c r="O221" s="284"/>
      <c r="P221" s="284"/>
      <c r="Q221" s="284"/>
      <c r="R221" s="284"/>
      <c r="S221" s="284"/>
      <c r="T221" s="349"/>
      <c r="U221" s="284"/>
      <c r="V221" s="351"/>
      <c r="W221" s="284"/>
      <c r="X221" s="5"/>
    </row>
    <row r="222" spans="1:24" ht="15.6" x14ac:dyDescent="0.3">
      <c r="A222" s="278"/>
      <c r="B222" s="399" t="s">
        <v>79</v>
      </c>
      <c r="C222" s="400"/>
      <c r="D222" s="400"/>
      <c r="E222" s="400"/>
      <c r="F222" s="406"/>
      <c r="G222" s="400"/>
      <c r="H222" s="400"/>
      <c r="I222" s="400"/>
      <c r="J222" s="400"/>
      <c r="K222" s="400"/>
      <c r="L222" s="400"/>
      <c r="M222" s="400"/>
      <c r="N222" s="400"/>
      <c r="O222" s="400"/>
      <c r="P222" s="400"/>
      <c r="Q222" s="400"/>
      <c r="R222" s="400"/>
      <c r="S222" s="400" t="s">
        <v>102</v>
      </c>
      <c r="T222" s="406" t="s">
        <v>108</v>
      </c>
      <c r="U222" s="263"/>
      <c r="V222" s="263"/>
      <c r="W222" s="263"/>
      <c r="X222" s="5"/>
    </row>
    <row r="223" spans="1:24" ht="15.6" x14ac:dyDescent="0.3">
      <c r="A223" s="218"/>
      <c r="B223" s="231" t="s">
        <v>80</v>
      </c>
      <c r="C223" s="234"/>
      <c r="D223" s="234"/>
      <c r="E223" s="234"/>
      <c r="F223" s="231"/>
      <c r="G223" s="231"/>
      <c r="H223" s="233"/>
      <c r="I223" s="233"/>
      <c r="J223" s="233"/>
      <c r="K223" s="233"/>
      <c r="L223" s="233"/>
      <c r="M223" s="233"/>
      <c r="N223" s="233"/>
      <c r="O223" s="233"/>
      <c r="P223" s="233"/>
      <c r="Q223" s="233"/>
      <c r="R223" s="233"/>
      <c r="S223" s="233">
        <v>8</v>
      </c>
      <c r="T223" s="251">
        <v>1263</v>
      </c>
      <c r="U223" s="231"/>
      <c r="V223" s="250"/>
      <c r="W223" s="252"/>
      <c r="X223" s="5"/>
    </row>
    <row r="224" spans="1:24" ht="15.6" x14ac:dyDescent="0.3">
      <c r="A224" s="362"/>
      <c r="B224" s="288" t="s">
        <v>145</v>
      </c>
      <c r="C224" s="337"/>
      <c r="D224" s="337"/>
      <c r="E224" s="337"/>
      <c r="F224" s="288"/>
      <c r="G224" s="288"/>
      <c r="H224" s="296"/>
      <c r="I224" s="296"/>
      <c r="J224" s="296"/>
      <c r="K224" s="296"/>
      <c r="L224" s="296"/>
      <c r="M224" s="296"/>
      <c r="N224" s="296"/>
      <c r="O224" s="296"/>
      <c r="P224" s="296"/>
      <c r="Q224" s="296"/>
      <c r="R224" s="296"/>
      <c r="S224" s="363">
        <f>+R276</f>
        <v>183</v>
      </c>
      <c r="T224" s="364">
        <f>+T276</f>
        <v>26082</v>
      </c>
      <c r="U224" s="288"/>
      <c r="V224" s="365"/>
      <c r="W224" s="366"/>
      <c r="X224" s="5"/>
    </row>
    <row r="225" spans="1:24" ht="15.6" x14ac:dyDescent="0.3">
      <c r="A225" s="362"/>
      <c r="B225" s="288" t="s">
        <v>81</v>
      </c>
      <c r="C225" s="337"/>
      <c r="D225" s="337"/>
      <c r="E225" s="337"/>
      <c r="F225" s="288"/>
      <c r="G225" s="288"/>
      <c r="H225" s="296"/>
      <c r="I225" s="296"/>
      <c r="J225" s="296"/>
      <c r="K225" s="296"/>
      <c r="L225" s="296"/>
      <c r="M225" s="296"/>
      <c r="N225" s="296"/>
      <c r="O225" s="296"/>
      <c r="P225" s="296"/>
      <c r="Q225" s="296"/>
      <c r="R225" s="296"/>
      <c r="S225" s="363">
        <f>+R288</f>
        <v>0</v>
      </c>
      <c r="T225" s="364">
        <f>+T288</f>
        <v>0</v>
      </c>
      <c r="U225" s="288"/>
      <c r="V225" s="365"/>
      <c r="W225" s="366"/>
      <c r="X225" s="5"/>
    </row>
    <row r="226" spans="1:24" ht="15.6" x14ac:dyDescent="0.3">
      <c r="A226" s="362"/>
      <c r="B226" s="313" t="s">
        <v>82</v>
      </c>
      <c r="C226" s="367"/>
      <c r="D226" s="367"/>
      <c r="E226" s="367"/>
      <c r="F226" s="314"/>
      <c r="G226" s="314"/>
      <c r="H226" s="314"/>
      <c r="I226" s="314"/>
      <c r="J226" s="314"/>
      <c r="K226" s="314"/>
      <c r="L226" s="314"/>
      <c r="M226" s="314"/>
      <c r="N226" s="314"/>
      <c r="O226" s="314"/>
      <c r="P226" s="314"/>
      <c r="Q226" s="314"/>
      <c r="R226" s="314"/>
      <c r="S226" s="314"/>
      <c r="T226" s="364">
        <v>0</v>
      </c>
      <c r="U226" s="314"/>
      <c r="V226" s="369"/>
      <c r="W226" s="370"/>
      <c r="X226" s="5"/>
    </row>
    <row r="227" spans="1:24" ht="15.6" x14ac:dyDescent="0.3">
      <c r="A227" s="362"/>
      <c r="B227" s="313" t="s">
        <v>243</v>
      </c>
      <c r="C227" s="367"/>
      <c r="D227" s="367"/>
      <c r="E227" s="367"/>
      <c r="F227" s="314"/>
      <c r="G227" s="314"/>
      <c r="H227" s="314"/>
      <c r="I227" s="314"/>
      <c r="J227" s="314"/>
      <c r="K227" s="314"/>
      <c r="L227" s="314"/>
      <c r="M227" s="314"/>
      <c r="N227" s="314"/>
      <c r="O227" s="314"/>
      <c r="P227" s="314"/>
      <c r="Q227" s="314"/>
      <c r="R227" s="314"/>
      <c r="S227" s="314"/>
      <c r="T227" s="364">
        <f>+N81</f>
        <v>0</v>
      </c>
      <c r="U227" s="314"/>
      <c r="V227" s="369"/>
      <c r="W227" s="370"/>
      <c r="X227" s="5"/>
    </row>
    <row r="228" spans="1:24" ht="15.6" x14ac:dyDescent="0.3">
      <c r="A228" s="371"/>
      <c r="B228" s="313" t="s">
        <v>83</v>
      </c>
      <c r="C228" s="372"/>
      <c r="D228" s="372"/>
      <c r="E228" s="372"/>
      <c r="F228" s="372"/>
      <c r="G228" s="314"/>
      <c r="H228" s="314"/>
      <c r="I228" s="314"/>
      <c r="J228" s="314"/>
      <c r="K228" s="314"/>
      <c r="L228" s="314"/>
      <c r="M228" s="314"/>
      <c r="N228" s="314"/>
      <c r="O228" s="314"/>
      <c r="P228" s="314"/>
      <c r="Q228" s="314"/>
      <c r="R228" s="314"/>
      <c r="S228" s="314"/>
      <c r="T228" s="368"/>
      <c r="U228" s="314"/>
      <c r="V228" s="369"/>
      <c r="W228" s="373"/>
      <c r="X228" s="5"/>
    </row>
    <row r="229" spans="1:24" ht="15.6" x14ac:dyDescent="0.3">
      <c r="A229" s="371"/>
      <c r="B229" s="288" t="s">
        <v>84</v>
      </c>
      <c r="C229" s="288"/>
      <c r="D229" s="288"/>
      <c r="E229" s="288"/>
      <c r="F229" s="288"/>
      <c r="G229" s="288"/>
      <c r="H229" s="288"/>
      <c r="I229" s="288"/>
      <c r="J229" s="288"/>
      <c r="K229" s="288"/>
      <c r="L229" s="288"/>
      <c r="M229" s="288"/>
      <c r="N229" s="288"/>
      <c r="O229" s="288"/>
      <c r="P229" s="288"/>
      <c r="Q229" s="288"/>
      <c r="R229" s="288"/>
      <c r="S229" s="296"/>
      <c r="T229" s="364">
        <f>V167</f>
        <v>336</v>
      </c>
      <c r="U229" s="288"/>
      <c r="V229" s="365"/>
      <c r="W229" s="378"/>
      <c r="X229" s="5"/>
    </row>
    <row r="230" spans="1:24" ht="15.6" x14ac:dyDescent="0.3">
      <c r="A230" s="362"/>
      <c r="B230" s="288" t="s">
        <v>85</v>
      </c>
      <c r="C230" s="337"/>
      <c r="D230" s="337"/>
      <c r="E230" s="337"/>
      <c r="F230" s="337"/>
      <c r="G230" s="288"/>
      <c r="H230" s="288"/>
      <c r="I230" s="288"/>
      <c r="J230" s="288"/>
      <c r="K230" s="288"/>
      <c r="L230" s="288"/>
      <c r="M230" s="288"/>
      <c r="N230" s="288"/>
      <c r="O230" s="288"/>
      <c r="P230" s="288"/>
      <c r="Q230" s="288"/>
      <c r="R230" s="288"/>
      <c r="S230" s="296"/>
      <c r="T230" s="364">
        <f>'May 11'!T230+T229</f>
        <v>3293</v>
      </c>
      <c r="U230" s="288"/>
      <c r="V230" s="365"/>
      <c r="W230" s="378"/>
      <c r="X230" s="5"/>
    </row>
    <row r="231" spans="1:24" ht="15.6" x14ac:dyDescent="0.3">
      <c r="A231" s="371"/>
      <c r="B231" s="313" t="s">
        <v>295</v>
      </c>
      <c r="C231" s="372"/>
      <c r="D231" s="372"/>
      <c r="E231" s="372"/>
      <c r="F231" s="372"/>
      <c r="G231" s="314"/>
      <c r="H231" s="314"/>
      <c r="I231" s="314"/>
      <c r="J231" s="314"/>
      <c r="K231" s="314"/>
      <c r="L231" s="314"/>
      <c r="M231" s="314"/>
      <c r="N231" s="314"/>
      <c r="O231" s="314"/>
      <c r="P231" s="314"/>
      <c r="Q231" s="314"/>
      <c r="R231" s="314"/>
      <c r="S231" s="316"/>
      <c r="T231" s="368"/>
      <c r="U231" s="314"/>
      <c r="V231" s="369"/>
      <c r="W231" s="373"/>
      <c r="X231" s="5"/>
    </row>
    <row r="232" spans="1:24" ht="15.6" x14ac:dyDescent="0.3">
      <c r="A232" s="371"/>
      <c r="B232" s="288" t="s">
        <v>291</v>
      </c>
      <c r="C232" s="288"/>
      <c r="D232" s="288"/>
      <c r="E232" s="288"/>
      <c r="F232" s="288"/>
      <c r="G232" s="288"/>
      <c r="H232" s="288"/>
      <c r="I232" s="288"/>
      <c r="J232" s="288"/>
      <c r="K232" s="288"/>
      <c r="L232" s="288"/>
      <c r="M232" s="288"/>
      <c r="N232" s="288"/>
      <c r="O232" s="288"/>
      <c r="P232" s="288"/>
      <c r="Q232" s="288"/>
      <c r="R232" s="288"/>
      <c r="S232" s="296">
        <v>0</v>
      </c>
      <c r="T232" s="364">
        <v>0</v>
      </c>
      <c r="U232" s="288"/>
      <c r="V232" s="365"/>
      <c r="W232" s="378"/>
      <c r="X232" s="5"/>
    </row>
    <row r="233" spans="1:24" ht="15.6" x14ac:dyDescent="0.3">
      <c r="A233" s="362"/>
      <c r="B233" s="288" t="s">
        <v>86</v>
      </c>
      <c r="C233" s="325"/>
      <c r="D233" s="325"/>
      <c r="E233" s="325"/>
      <c r="F233" s="379"/>
      <c r="G233" s="288"/>
      <c r="H233" s="288"/>
      <c r="I233" s="288"/>
      <c r="J233" s="288"/>
      <c r="K233" s="288"/>
      <c r="L233" s="288"/>
      <c r="M233" s="288"/>
      <c r="N233" s="288"/>
      <c r="O233" s="288"/>
      <c r="P233" s="288"/>
      <c r="Q233" s="288"/>
      <c r="R233" s="288"/>
      <c r="S233" s="288"/>
      <c r="T233" s="380">
        <v>0</v>
      </c>
      <c r="U233" s="288"/>
      <c r="V233" s="365"/>
      <c r="W233" s="378"/>
      <c r="X233" s="5"/>
    </row>
    <row r="234" spans="1:24" ht="15.6" x14ac:dyDescent="0.3">
      <c r="A234" s="362"/>
      <c r="B234" s="288" t="s">
        <v>87</v>
      </c>
      <c r="C234" s="325"/>
      <c r="D234" s="325"/>
      <c r="E234" s="325"/>
      <c r="F234" s="379"/>
      <c r="G234" s="288"/>
      <c r="H234" s="288"/>
      <c r="I234" s="288"/>
      <c r="J234" s="288"/>
      <c r="K234" s="288"/>
      <c r="L234" s="288"/>
      <c r="M234" s="288"/>
      <c r="N234" s="288"/>
      <c r="O234" s="288"/>
      <c r="P234" s="288"/>
      <c r="Q234" s="288"/>
      <c r="R234" s="288"/>
      <c r="S234" s="288"/>
      <c r="T234" s="380">
        <v>0</v>
      </c>
      <c r="U234" s="288"/>
      <c r="V234" s="365"/>
      <c r="W234" s="378"/>
      <c r="X234" s="5"/>
    </row>
    <row r="235" spans="1:24" ht="15.6" x14ac:dyDescent="0.3">
      <c r="A235" s="362"/>
      <c r="B235" s="313" t="s">
        <v>217</v>
      </c>
      <c r="C235" s="381"/>
      <c r="D235" s="381"/>
      <c r="E235" s="381"/>
      <c r="F235" s="382"/>
      <c r="G235" s="314"/>
      <c r="H235" s="314"/>
      <c r="I235" s="314"/>
      <c r="J235" s="314"/>
      <c r="K235" s="314"/>
      <c r="L235" s="314"/>
      <c r="M235" s="314"/>
      <c r="N235" s="314"/>
      <c r="O235" s="314"/>
      <c r="P235" s="314"/>
      <c r="Q235" s="314"/>
      <c r="R235" s="314"/>
      <c r="S235" s="314"/>
      <c r="T235" s="383"/>
      <c r="U235" s="314"/>
      <c r="V235" s="369"/>
      <c r="W235" s="373"/>
      <c r="X235" s="5"/>
    </row>
    <row r="236" spans="1:24" ht="15.6" x14ac:dyDescent="0.3">
      <c r="A236" s="362"/>
      <c r="B236" s="288" t="s">
        <v>291</v>
      </c>
      <c r="C236" s="381"/>
      <c r="D236" s="381"/>
      <c r="E236" s="381"/>
      <c r="F236" s="382"/>
      <c r="G236" s="314"/>
      <c r="H236" s="314"/>
      <c r="I236" s="314"/>
      <c r="J236" s="314"/>
      <c r="K236" s="314"/>
      <c r="L236" s="314"/>
      <c r="M236" s="314"/>
      <c r="N236" s="314"/>
      <c r="O236" s="314"/>
      <c r="P236" s="314"/>
      <c r="Q236" s="314"/>
      <c r="R236" s="314"/>
      <c r="S236" s="296">
        <v>4</v>
      </c>
      <c r="T236" s="364">
        <v>639</v>
      </c>
      <c r="U236" s="314"/>
      <c r="V236" s="369"/>
      <c r="W236" s="373"/>
      <c r="X236" s="5"/>
    </row>
    <row r="237" spans="1:24" ht="15.6" x14ac:dyDescent="0.3">
      <c r="A237" s="362"/>
      <c r="B237" s="288" t="s">
        <v>218</v>
      </c>
      <c r="C237" s="381"/>
      <c r="D237" s="381"/>
      <c r="E237" s="381"/>
      <c r="F237" s="382"/>
      <c r="G237" s="314"/>
      <c r="H237" s="314"/>
      <c r="I237" s="314"/>
      <c r="J237" s="314"/>
      <c r="K237" s="314"/>
      <c r="L237" s="314"/>
      <c r="M237" s="314"/>
      <c r="N237" s="314"/>
      <c r="O237" s="314"/>
      <c r="P237" s="314"/>
      <c r="Q237" s="314"/>
      <c r="R237" s="314"/>
      <c r="S237" s="288"/>
      <c r="T237" s="380">
        <v>6.31</v>
      </c>
      <c r="U237" s="314"/>
      <c r="V237" s="369"/>
      <c r="W237" s="373"/>
      <c r="X237" s="5"/>
    </row>
    <row r="238" spans="1:24" ht="15.6" x14ac:dyDescent="0.3">
      <c r="A238" s="362"/>
      <c r="B238" s="372"/>
      <c r="C238" s="381"/>
      <c r="D238" s="381"/>
      <c r="E238" s="381"/>
      <c r="F238" s="382"/>
      <c r="G238" s="314"/>
      <c r="H238" s="314"/>
      <c r="I238" s="314"/>
      <c r="J238" s="314"/>
      <c r="K238" s="314"/>
      <c r="L238" s="314"/>
      <c r="M238" s="314"/>
      <c r="N238" s="314"/>
      <c r="O238" s="314"/>
      <c r="P238" s="314"/>
      <c r="Q238" s="314"/>
      <c r="R238" s="314"/>
      <c r="S238" s="314"/>
      <c r="T238" s="383"/>
      <c r="U238" s="314"/>
      <c r="V238" s="369"/>
      <c r="W238" s="373"/>
      <c r="X238" s="5"/>
    </row>
    <row r="239" spans="1:24" ht="15.6" x14ac:dyDescent="0.3">
      <c r="A239" s="362"/>
      <c r="B239" s="372"/>
      <c r="C239" s="381"/>
      <c r="D239" s="381"/>
      <c r="E239" s="381"/>
      <c r="F239" s="382"/>
      <c r="G239" s="314"/>
      <c r="H239" s="314"/>
      <c r="I239" s="314"/>
      <c r="J239" s="314"/>
      <c r="K239" s="314"/>
      <c r="L239" s="314"/>
      <c r="M239" s="314"/>
      <c r="N239" s="314"/>
      <c r="O239" s="314"/>
      <c r="P239" s="314"/>
      <c r="Q239" s="314"/>
      <c r="R239" s="314"/>
      <c r="S239" s="314"/>
      <c r="T239" s="383"/>
      <c r="U239" s="314"/>
      <c r="V239" s="369"/>
      <c r="W239" s="373"/>
      <c r="X239" s="5"/>
    </row>
    <row r="240" spans="1:24" ht="17.399999999999999" x14ac:dyDescent="0.3">
      <c r="A240" s="362"/>
      <c r="B240" s="384" t="s">
        <v>168</v>
      </c>
      <c r="C240" s="381"/>
      <c r="D240" s="381"/>
      <c r="E240" s="381"/>
      <c r="F240" s="382"/>
      <c r="G240" s="314"/>
      <c r="H240" s="314"/>
      <c r="I240" s="314"/>
      <c r="J240" s="314"/>
      <c r="K240" s="314"/>
      <c r="L240" s="314"/>
      <c r="M240" s="314"/>
      <c r="N240" s="314"/>
      <c r="O240" s="314"/>
      <c r="P240" s="385" t="s">
        <v>167</v>
      </c>
      <c r="Q240" s="314"/>
      <c r="R240" s="314"/>
      <c r="S240" s="314"/>
      <c r="T240" s="383"/>
      <c r="U240" s="314"/>
      <c r="V240" s="369"/>
      <c r="W240" s="373"/>
      <c r="X240" s="5"/>
    </row>
    <row r="241" spans="1:25" ht="15.6" x14ac:dyDescent="0.3">
      <c r="A241" s="355"/>
      <c r="B241" s="356"/>
      <c r="C241" s="357"/>
      <c r="D241" s="357"/>
      <c r="E241" s="357"/>
      <c r="F241" s="358"/>
      <c r="G241" s="198"/>
      <c r="H241" s="198"/>
      <c r="I241" s="198"/>
      <c r="J241" s="198"/>
      <c r="K241" s="198"/>
      <c r="L241" s="198"/>
      <c r="M241" s="198"/>
      <c r="N241" s="198"/>
      <c r="O241" s="198"/>
      <c r="P241" s="198"/>
      <c r="Q241" s="198"/>
      <c r="R241" s="198"/>
      <c r="S241" s="198"/>
      <c r="T241" s="359"/>
      <c r="U241" s="198"/>
      <c r="V241" s="360"/>
      <c r="W241" s="361"/>
      <c r="X241" s="5"/>
    </row>
    <row r="242" spans="1:25" ht="15.6" x14ac:dyDescent="0.3">
      <c r="A242" s="262"/>
      <c r="B242" s="399" t="s">
        <v>308</v>
      </c>
      <c r="C242" s="400"/>
      <c r="D242" s="400"/>
      <c r="E242" s="400"/>
      <c r="F242" s="406"/>
      <c r="G242" s="400"/>
      <c r="H242" s="400"/>
      <c r="I242" s="400"/>
      <c r="J242" s="400"/>
      <c r="K242" s="400"/>
      <c r="L242" s="400"/>
      <c r="M242" s="400"/>
      <c r="N242" s="400"/>
      <c r="O242" s="400"/>
      <c r="P242" s="400"/>
      <c r="Q242" s="400"/>
      <c r="R242" s="406" t="s">
        <v>102</v>
      </c>
      <c r="S242" s="400" t="s">
        <v>103</v>
      </c>
      <c r="T242" s="406" t="s">
        <v>109</v>
      </c>
      <c r="U242" s="400" t="s">
        <v>103</v>
      </c>
      <c r="V242" s="263"/>
      <c r="W242" s="399"/>
      <c r="X242" s="5"/>
    </row>
    <row r="243" spans="1:25" ht="15.6" x14ac:dyDescent="0.3">
      <c r="A243" s="197"/>
      <c r="B243" s="234" t="s">
        <v>88</v>
      </c>
      <c r="C243" s="253"/>
      <c r="D243" s="253"/>
      <c r="E243" s="253"/>
      <c r="F243" s="231"/>
      <c r="G243" s="253"/>
      <c r="H243" s="253"/>
      <c r="I243" s="253"/>
      <c r="J243" s="253"/>
      <c r="K243" s="253"/>
      <c r="L243" s="253"/>
      <c r="M243" s="253"/>
      <c r="N243" s="253"/>
      <c r="O243" s="253"/>
      <c r="P243" s="253"/>
      <c r="Q243" s="253"/>
      <c r="R243" s="234">
        <f t="shared" ref="R243:R250" si="1">+R255+R267+R279</f>
        <v>7957</v>
      </c>
      <c r="S243" s="254">
        <f t="shared" ref="S243:S250" si="2">R243/$R$252</f>
        <v>0.98465536443509472</v>
      </c>
      <c r="T243" s="241">
        <f t="shared" ref="T243:T250" si="3">+T255+T267+T279</f>
        <v>1120115</v>
      </c>
      <c r="U243" s="254">
        <f t="shared" ref="U243:U250" si="4">T243/$T$252</f>
        <v>0.98265011071224295</v>
      </c>
      <c r="V243" s="250"/>
      <c r="W243" s="232"/>
      <c r="X243" s="5"/>
    </row>
    <row r="244" spans="1:25" ht="15.6" x14ac:dyDescent="0.3">
      <c r="A244" s="287"/>
      <c r="B244" s="337" t="s">
        <v>89</v>
      </c>
      <c r="C244" s="389"/>
      <c r="D244" s="389"/>
      <c r="E244" s="389"/>
      <c r="F244" s="288"/>
      <c r="G244" s="390"/>
      <c r="H244" s="389"/>
      <c r="I244" s="389"/>
      <c r="J244" s="389"/>
      <c r="K244" s="389"/>
      <c r="L244" s="389"/>
      <c r="M244" s="389"/>
      <c r="N244" s="389"/>
      <c r="O244" s="389"/>
      <c r="P244" s="389"/>
      <c r="Q244" s="389"/>
      <c r="R244" s="337">
        <f t="shared" si="1"/>
        <v>62</v>
      </c>
      <c r="S244" s="390">
        <f t="shared" si="2"/>
        <v>7.6723177824526666E-3</v>
      </c>
      <c r="T244" s="338">
        <f t="shared" si="3"/>
        <v>9953</v>
      </c>
      <c r="U244" s="390">
        <f t="shared" si="4"/>
        <v>8.7315289518656147E-3</v>
      </c>
      <c r="V244" s="365"/>
      <c r="W244" s="378"/>
      <c r="X244" s="5"/>
      <c r="Y244" s="109"/>
    </row>
    <row r="245" spans="1:25" ht="15.6" x14ac:dyDescent="0.3">
      <c r="A245" s="287"/>
      <c r="B245" s="337" t="s">
        <v>90</v>
      </c>
      <c r="C245" s="389"/>
      <c r="D245" s="389"/>
      <c r="E245" s="389"/>
      <c r="F245" s="288"/>
      <c r="G245" s="390"/>
      <c r="H245" s="389"/>
      <c r="I245" s="389"/>
      <c r="J245" s="389"/>
      <c r="K245" s="389"/>
      <c r="L245" s="389"/>
      <c r="M245" s="389"/>
      <c r="N245" s="389"/>
      <c r="O245" s="389"/>
      <c r="P245" s="389"/>
      <c r="Q245" s="389"/>
      <c r="R245" s="337">
        <f t="shared" si="1"/>
        <v>14</v>
      </c>
      <c r="S245" s="390">
        <f t="shared" si="2"/>
        <v>1.732458854102215E-3</v>
      </c>
      <c r="T245" s="338">
        <f t="shared" si="3"/>
        <v>2988</v>
      </c>
      <c r="U245" s="390">
        <f t="shared" si="4"/>
        <v>2.6213009653546127E-3</v>
      </c>
      <c r="V245" s="365"/>
      <c r="W245" s="378"/>
      <c r="X245" s="5"/>
    </row>
    <row r="246" spans="1:25" ht="15.6" x14ac:dyDescent="0.3">
      <c r="A246" s="287"/>
      <c r="B246" s="337" t="s">
        <v>156</v>
      </c>
      <c r="C246" s="389"/>
      <c r="D246" s="389"/>
      <c r="E246" s="389"/>
      <c r="F246" s="288"/>
      <c r="G246" s="390"/>
      <c r="H246" s="389"/>
      <c r="I246" s="389"/>
      <c r="J246" s="389"/>
      <c r="K246" s="389"/>
      <c r="L246" s="389"/>
      <c r="M246" s="389"/>
      <c r="N246" s="389"/>
      <c r="O246" s="389"/>
      <c r="P246" s="389"/>
      <c r="Q246" s="389"/>
      <c r="R246" s="337">
        <f t="shared" si="1"/>
        <v>6</v>
      </c>
      <c r="S246" s="390">
        <f t="shared" si="2"/>
        <v>7.4248236604380641E-4</v>
      </c>
      <c r="T246" s="338">
        <f t="shared" si="3"/>
        <v>603</v>
      </c>
      <c r="U246" s="390">
        <f t="shared" si="4"/>
        <v>5.2899748397216575E-4</v>
      </c>
      <c r="V246" s="365"/>
      <c r="W246" s="378"/>
      <c r="X246" s="5"/>
      <c r="Y246" s="109"/>
    </row>
    <row r="247" spans="1:25" ht="15.6" x14ac:dyDescent="0.3">
      <c r="A247" s="287"/>
      <c r="B247" s="337" t="s">
        <v>157</v>
      </c>
      <c r="C247" s="389"/>
      <c r="D247" s="389"/>
      <c r="E247" s="389"/>
      <c r="F247" s="288"/>
      <c r="G247" s="390"/>
      <c r="H247" s="389"/>
      <c r="I247" s="389"/>
      <c r="J247" s="389"/>
      <c r="K247" s="389"/>
      <c r="L247" s="389"/>
      <c r="M247" s="389"/>
      <c r="N247" s="389"/>
      <c r="O247" s="389"/>
      <c r="P247" s="389"/>
      <c r="Q247" s="389"/>
      <c r="R247" s="337">
        <f t="shared" si="1"/>
        <v>3</v>
      </c>
      <c r="S247" s="390">
        <f t="shared" si="2"/>
        <v>3.7124118302190321E-4</v>
      </c>
      <c r="T247" s="338">
        <f t="shared" si="3"/>
        <v>332</v>
      </c>
      <c r="U247" s="390">
        <f t="shared" si="4"/>
        <v>2.9125566281717916E-4</v>
      </c>
      <c r="V247" s="365"/>
      <c r="W247" s="378"/>
      <c r="X247" s="5"/>
    </row>
    <row r="248" spans="1:25" ht="15.6" x14ac:dyDescent="0.3">
      <c r="A248" s="287"/>
      <c r="B248" s="337" t="s">
        <v>158</v>
      </c>
      <c r="C248" s="389"/>
      <c r="D248" s="389"/>
      <c r="E248" s="389"/>
      <c r="F248" s="288"/>
      <c r="G248" s="390"/>
      <c r="H248" s="389"/>
      <c r="I248" s="389"/>
      <c r="J248" s="389"/>
      <c r="K248" s="389"/>
      <c r="L248" s="389"/>
      <c r="M248" s="389"/>
      <c r="N248" s="389"/>
      <c r="O248" s="389"/>
      <c r="P248" s="389"/>
      <c r="Q248" s="389"/>
      <c r="R248" s="337">
        <f t="shared" si="1"/>
        <v>2</v>
      </c>
      <c r="S248" s="390">
        <f t="shared" si="2"/>
        <v>2.4749412201460216E-4</v>
      </c>
      <c r="T248" s="338">
        <f t="shared" si="3"/>
        <v>631</v>
      </c>
      <c r="U248" s="390">
        <f t="shared" si="4"/>
        <v>5.5356121457120504E-4</v>
      </c>
      <c r="V248" s="365"/>
      <c r="W248" s="378"/>
      <c r="X248" s="5"/>
      <c r="Y248" s="109"/>
    </row>
    <row r="249" spans="1:25" ht="15.6" x14ac:dyDescent="0.3">
      <c r="A249" s="287"/>
      <c r="B249" s="337" t="s">
        <v>159</v>
      </c>
      <c r="C249" s="389"/>
      <c r="D249" s="389"/>
      <c r="E249" s="389"/>
      <c r="F249" s="288"/>
      <c r="G249" s="390"/>
      <c r="H249" s="389"/>
      <c r="I249" s="389"/>
      <c r="J249" s="389"/>
      <c r="K249" s="389"/>
      <c r="L249" s="389"/>
      <c r="M249" s="389"/>
      <c r="N249" s="389"/>
      <c r="O249" s="389"/>
      <c r="P249" s="389"/>
      <c r="Q249" s="389"/>
      <c r="R249" s="337">
        <f t="shared" si="1"/>
        <v>17</v>
      </c>
      <c r="S249" s="390">
        <f t="shared" si="2"/>
        <v>2.1037000371241185E-3</v>
      </c>
      <c r="T249" s="338">
        <f t="shared" si="3"/>
        <v>2172</v>
      </c>
      <c r="U249" s="390">
        <f t="shared" si="4"/>
        <v>1.9054436736111841E-3</v>
      </c>
      <c r="V249" s="365"/>
      <c r="W249" s="378"/>
      <c r="X249" s="5"/>
    </row>
    <row r="250" spans="1:25" ht="15.6" x14ac:dyDescent="0.3">
      <c r="A250" s="287"/>
      <c r="B250" s="337" t="s">
        <v>160</v>
      </c>
      <c r="C250" s="389"/>
      <c r="D250" s="389"/>
      <c r="E250" s="389"/>
      <c r="F250" s="288"/>
      <c r="G250" s="390"/>
      <c r="H250" s="389"/>
      <c r="I250" s="389"/>
      <c r="J250" s="389"/>
      <c r="K250" s="389"/>
      <c r="L250" s="389"/>
      <c r="M250" s="389"/>
      <c r="N250" s="389"/>
      <c r="O250" s="389"/>
      <c r="P250" s="389"/>
      <c r="Q250" s="389"/>
      <c r="R250" s="339">
        <f t="shared" si="1"/>
        <v>20</v>
      </c>
      <c r="S250" s="393">
        <f t="shared" si="2"/>
        <v>2.4749412201460217E-3</v>
      </c>
      <c r="T250" s="394">
        <f t="shared" si="3"/>
        <v>3098</v>
      </c>
      <c r="U250" s="393">
        <f t="shared" si="4"/>
        <v>2.7178013355651236E-3</v>
      </c>
      <c r="V250" s="365"/>
      <c r="W250" s="378"/>
      <c r="X250" s="5"/>
      <c r="Y250" s="109"/>
    </row>
    <row r="251" spans="1:25" ht="15.6" x14ac:dyDescent="0.3">
      <c r="A251" s="287"/>
      <c r="B251" s="337"/>
      <c r="C251" s="389"/>
      <c r="D251" s="389"/>
      <c r="E251" s="389"/>
      <c r="F251" s="288"/>
      <c r="G251" s="390"/>
      <c r="H251" s="389"/>
      <c r="I251" s="389"/>
      <c r="J251" s="389"/>
      <c r="K251" s="389"/>
      <c r="L251" s="389"/>
      <c r="M251" s="389"/>
      <c r="N251" s="389"/>
      <c r="O251" s="389"/>
      <c r="P251" s="389"/>
      <c r="Q251" s="389"/>
      <c r="R251" s="337"/>
      <c r="S251" s="390"/>
      <c r="T251" s="338"/>
      <c r="U251" s="390"/>
      <c r="V251" s="365"/>
      <c r="W251" s="378"/>
      <c r="X251" s="5"/>
    </row>
    <row r="252" spans="1:25" ht="15.6" x14ac:dyDescent="0.3">
      <c r="A252" s="287"/>
      <c r="B252" s="288"/>
      <c r="C252" s="288"/>
      <c r="D252" s="288"/>
      <c r="E252" s="288"/>
      <c r="F252" s="288"/>
      <c r="G252" s="288"/>
      <c r="H252" s="391"/>
      <c r="I252" s="391"/>
      <c r="J252" s="391"/>
      <c r="K252" s="391"/>
      <c r="L252" s="391"/>
      <c r="M252" s="391"/>
      <c r="N252" s="391"/>
      <c r="O252" s="391"/>
      <c r="P252" s="391"/>
      <c r="Q252" s="391"/>
      <c r="R252" s="337">
        <f>SUM(R243:R251)</f>
        <v>8081</v>
      </c>
      <c r="S252" s="390">
        <f>SUM(S243:S251)</f>
        <v>1.0000000000000002</v>
      </c>
      <c r="T252" s="338">
        <f>SUM(T243:T251)</f>
        <v>1139892</v>
      </c>
      <c r="U252" s="390">
        <f>SUM(U243:U251)</f>
        <v>1</v>
      </c>
      <c r="V252" s="288"/>
      <c r="W252" s="291"/>
      <c r="X252" s="5"/>
    </row>
    <row r="253" spans="1:25" ht="15.6" x14ac:dyDescent="0.3">
      <c r="A253" s="183"/>
      <c r="B253" s="198"/>
      <c r="C253" s="198"/>
      <c r="D253" s="198"/>
      <c r="E253" s="198"/>
      <c r="F253" s="198"/>
      <c r="G253" s="198"/>
      <c r="H253" s="386"/>
      <c r="I253" s="386"/>
      <c r="J253" s="386"/>
      <c r="K253" s="386"/>
      <c r="L253" s="386"/>
      <c r="M253" s="386"/>
      <c r="N253" s="386"/>
      <c r="O253" s="386"/>
      <c r="P253" s="386"/>
      <c r="Q253" s="386"/>
      <c r="R253" s="335"/>
      <c r="S253" s="387"/>
      <c r="T253" s="388"/>
      <c r="U253" s="387"/>
      <c r="V253" s="198"/>
      <c r="W253" s="198"/>
      <c r="X253" s="5"/>
    </row>
    <row r="254" spans="1:25" ht="15.6" x14ac:dyDescent="0.3">
      <c r="A254" s="262"/>
      <c r="B254" s="399" t="s">
        <v>162</v>
      </c>
      <c r="C254" s="400"/>
      <c r="D254" s="400"/>
      <c r="E254" s="400"/>
      <c r="F254" s="406"/>
      <c r="G254" s="400"/>
      <c r="H254" s="400"/>
      <c r="I254" s="400"/>
      <c r="J254" s="400"/>
      <c r="K254" s="400"/>
      <c r="L254" s="400"/>
      <c r="M254" s="400"/>
      <c r="N254" s="400"/>
      <c r="O254" s="400"/>
      <c r="P254" s="400"/>
      <c r="Q254" s="400"/>
      <c r="R254" s="406" t="s">
        <v>102</v>
      </c>
      <c r="S254" s="400" t="s">
        <v>103</v>
      </c>
      <c r="T254" s="406" t="s">
        <v>109</v>
      </c>
      <c r="U254" s="400" t="s">
        <v>103</v>
      </c>
      <c r="V254" s="263"/>
      <c r="W254" s="399"/>
      <c r="X254" s="5"/>
    </row>
    <row r="255" spans="1:25" ht="15.6" x14ac:dyDescent="0.3">
      <c r="A255" s="197"/>
      <c r="B255" s="234" t="s">
        <v>88</v>
      </c>
      <c r="C255" s="253"/>
      <c r="D255" s="253"/>
      <c r="E255" s="253"/>
      <c r="F255" s="231"/>
      <c r="G255" s="253"/>
      <c r="H255" s="253"/>
      <c r="I255" s="253"/>
      <c r="J255" s="253"/>
      <c r="K255" s="253"/>
      <c r="L255" s="253"/>
      <c r="M255" s="253"/>
      <c r="N255" s="253"/>
      <c r="O255" s="253"/>
      <c r="P255" s="253"/>
      <c r="Q255" s="253"/>
      <c r="R255" s="234">
        <v>7827</v>
      </c>
      <c r="S255" s="254">
        <f t="shared" ref="S255:S262" si="5">R255/$R$264</f>
        <v>0.99101038237528494</v>
      </c>
      <c r="T255" s="241">
        <v>1102133</v>
      </c>
      <c r="U255" s="254">
        <f t="shared" ref="U255:U262" si="6">T255/$T$264</f>
        <v>0.98951616523464503</v>
      </c>
      <c r="V255" s="250"/>
      <c r="W255" s="232"/>
      <c r="X255" s="5"/>
    </row>
    <row r="256" spans="1:25" ht="15.6" x14ac:dyDescent="0.3">
      <c r="A256" s="287"/>
      <c r="B256" s="337" t="s">
        <v>89</v>
      </c>
      <c r="C256" s="389"/>
      <c r="D256" s="389"/>
      <c r="E256" s="389"/>
      <c r="F256" s="288"/>
      <c r="G256" s="390"/>
      <c r="H256" s="389"/>
      <c r="I256" s="389"/>
      <c r="J256" s="389"/>
      <c r="K256" s="389"/>
      <c r="L256" s="389"/>
      <c r="M256" s="389"/>
      <c r="N256" s="389"/>
      <c r="O256" s="389"/>
      <c r="P256" s="389"/>
      <c r="Q256" s="389"/>
      <c r="R256" s="337">
        <v>53</v>
      </c>
      <c r="S256" s="390">
        <f t="shared" si="5"/>
        <v>6.7105596353507213E-3</v>
      </c>
      <c r="T256" s="338">
        <v>8630</v>
      </c>
      <c r="U256" s="390">
        <f t="shared" si="6"/>
        <v>7.7481796715777379E-3</v>
      </c>
      <c r="V256" s="365"/>
      <c r="W256" s="378"/>
      <c r="X256" s="5"/>
      <c r="Y256" s="109"/>
    </row>
    <row r="257" spans="1:25" ht="15.6" x14ac:dyDescent="0.3">
      <c r="A257" s="287"/>
      <c r="B257" s="337" t="s">
        <v>90</v>
      </c>
      <c r="C257" s="389"/>
      <c r="D257" s="389"/>
      <c r="E257" s="389"/>
      <c r="F257" s="288"/>
      <c r="G257" s="390"/>
      <c r="H257" s="389"/>
      <c r="I257" s="389"/>
      <c r="J257" s="389"/>
      <c r="K257" s="389"/>
      <c r="L257" s="389"/>
      <c r="M257" s="389"/>
      <c r="N257" s="389"/>
      <c r="O257" s="389"/>
      <c r="P257" s="389"/>
      <c r="Q257" s="389"/>
      <c r="R257" s="337">
        <v>8</v>
      </c>
      <c r="S257" s="390">
        <f t="shared" si="5"/>
        <v>1.0129146619397315E-3</v>
      </c>
      <c r="T257" s="338">
        <v>2149</v>
      </c>
      <c r="U257" s="390">
        <f t="shared" si="6"/>
        <v>1.9294134547184888E-3</v>
      </c>
      <c r="V257" s="365"/>
      <c r="W257" s="378"/>
      <c r="X257" s="5"/>
    </row>
    <row r="258" spans="1:25" ht="15.6" x14ac:dyDescent="0.3">
      <c r="A258" s="287"/>
      <c r="B258" s="337" t="s">
        <v>156</v>
      </c>
      <c r="C258" s="389"/>
      <c r="D258" s="389"/>
      <c r="E258" s="389"/>
      <c r="F258" s="288"/>
      <c r="G258" s="390"/>
      <c r="H258" s="389"/>
      <c r="I258" s="389"/>
      <c r="J258" s="389"/>
      <c r="K258" s="389"/>
      <c r="L258" s="389"/>
      <c r="M258" s="389"/>
      <c r="N258" s="389"/>
      <c r="O258" s="389"/>
      <c r="P258" s="389"/>
      <c r="Q258" s="389"/>
      <c r="R258" s="337">
        <v>4</v>
      </c>
      <c r="S258" s="390">
        <f t="shared" si="5"/>
        <v>5.0645733096986575E-4</v>
      </c>
      <c r="T258" s="338">
        <v>199</v>
      </c>
      <c r="U258" s="390">
        <f t="shared" si="6"/>
        <v>1.7866602023684471E-4</v>
      </c>
      <c r="V258" s="365"/>
      <c r="W258" s="378"/>
      <c r="X258" s="5"/>
      <c r="Y258" s="109"/>
    </row>
    <row r="259" spans="1:25" ht="15.6" x14ac:dyDescent="0.3">
      <c r="A259" s="287"/>
      <c r="B259" s="337" t="s">
        <v>157</v>
      </c>
      <c r="C259" s="389"/>
      <c r="D259" s="389"/>
      <c r="E259" s="389"/>
      <c r="F259" s="288"/>
      <c r="G259" s="390"/>
      <c r="H259" s="389"/>
      <c r="I259" s="389"/>
      <c r="J259" s="389"/>
      <c r="K259" s="389"/>
      <c r="L259" s="389"/>
      <c r="M259" s="389"/>
      <c r="N259" s="389"/>
      <c r="O259" s="389"/>
      <c r="P259" s="389"/>
      <c r="Q259" s="389"/>
      <c r="R259" s="337">
        <v>0</v>
      </c>
      <c r="S259" s="390">
        <f t="shared" si="5"/>
        <v>0</v>
      </c>
      <c r="T259" s="338">
        <v>0</v>
      </c>
      <c r="U259" s="390">
        <f t="shared" si="6"/>
        <v>0</v>
      </c>
      <c r="V259" s="365"/>
      <c r="W259" s="378"/>
      <c r="X259" s="5"/>
    </row>
    <row r="260" spans="1:25" ht="15.6" x14ac:dyDescent="0.3">
      <c r="A260" s="287"/>
      <c r="B260" s="337" t="s">
        <v>158</v>
      </c>
      <c r="C260" s="389"/>
      <c r="D260" s="389"/>
      <c r="E260" s="389"/>
      <c r="F260" s="288"/>
      <c r="G260" s="390"/>
      <c r="H260" s="389"/>
      <c r="I260" s="389"/>
      <c r="J260" s="389"/>
      <c r="K260" s="389"/>
      <c r="L260" s="389"/>
      <c r="M260" s="389"/>
      <c r="N260" s="389"/>
      <c r="O260" s="389"/>
      <c r="P260" s="389"/>
      <c r="Q260" s="389"/>
      <c r="R260" s="337">
        <v>0</v>
      </c>
      <c r="S260" s="390">
        <f t="shared" si="5"/>
        <v>0</v>
      </c>
      <c r="T260" s="338">
        <v>0</v>
      </c>
      <c r="U260" s="390">
        <f t="shared" si="6"/>
        <v>0</v>
      </c>
      <c r="V260" s="365"/>
      <c r="W260" s="378"/>
      <c r="X260" s="5"/>
      <c r="Y260" s="109"/>
    </row>
    <row r="261" spans="1:25" ht="15.6" x14ac:dyDescent="0.3">
      <c r="A261" s="287"/>
      <c r="B261" s="337" t="s">
        <v>159</v>
      </c>
      <c r="C261" s="389"/>
      <c r="D261" s="389"/>
      <c r="E261" s="389"/>
      <c r="F261" s="288"/>
      <c r="G261" s="390"/>
      <c r="H261" s="389"/>
      <c r="I261" s="389"/>
      <c r="J261" s="389"/>
      <c r="K261" s="389"/>
      <c r="L261" s="389"/>
      <c r="M261" s="389"/>
      <c r="N261" s="389"/>
      <c r="O261" s="389"/>
      <c r="P261" s="389"/>
      <c r="Q261" s="389"/>
      <c r="R261" s="337">
        <v>4</v>
      </c>
      <c r="S261" s="390">
        <f t="shared" si="5"/>
        <v>5.0645733096986575E-4</v>
      </c>
      <c r="T261" s="338">
        <v>497</v>
      </c>
      <c r="U261" s="390">
        <f t="shared" si="6"/>
        <v>4.4621614099352673E-4</v>
      </c>
      <c r="V261" s="365"/>
      <c r="W261" s="378"/>
      <c r="X261" s="5"/>
    </row>
    <row r="262" spans="1:25" ht="15.6" x14ac:dyDescent="0.3">
      <c r="A262" s="287"/>
      <c r="B262" s="337" t="s">
        <v>160</v>
      </c>
      <c r="C262" s="389"/>
      <c r="D262" s="389"/>
      <c r="E262" s="389"/>
      <c r="F262" s="288"/>
      <c r="G262" s="390"/>
      <c r="H262" s="389"/>
      <c r="I262" s="389"/>
      <c r="J262" s="389"/>
      <c r="K262" s="389"/>
      <c r="L262" s="389"/>
      <c r="M262" s="389"/>
      <c r="N262" s="389"/>
      <c r="O262" s="389"/>
      <c r="P262" s="389"/>
      <c r="Q262" s="389"/>
      <c r="R262" s="337">
        <v>2</v>
      </c>
      <c r="S262" s="390">
        <f t="shared" si="5"/>
        <v>2.5322866548493288E-4</v>
      </c>
      <c r="T262" s="338">
        <v>202</v>
      </c>
      <c r="U262" s="390">
        <f t="shared" si="6"/>
        <v>1.8135947782835492E-4</v>
      </c>
      <c r="V262" s="365"/>
      <c r="W262" s="378"/>
      <c r="X262" s="5"/>
      <c r="Y262" s="109"/>
    </row>
    <row r="263" spans="1:25" ht="15.6" x14ac:dyDescent="0.3">
      <c r="A263" s="287"/>
      <c r="B263" s="337"/>
      <c r="C263" s="389"/>
      <c r="D263" s="389"/>
      <c r="E263" s="389"/>
      <c r="F263" s="288"/>
      <c r="G263" s="390"/>
      <c r="H263" s="389"/>
      <c r="I263" s="389"/>
      <c r="J263" s="389"/>
      <c r="K263" s="389"/>
      <c r="L263" s="389"/>
      <c r="M263" s="389"/>
      <c r="N263" s="389"/>
      <c r="O263" s="389"/>
      <c r="P263" s="389"/>
      <c r="Q263" s="389"/>
      <c r="R263" s="337"/>
      <c r="S263" s="390"/>
      <c r="T263" s="338"/>
      <c r="U263" s="390"/>
      <c r="V263" s="365"/>
      <c r="W263" s="378"/>
      <c r="X263" s="5"/>
    </row>
    <row r="264" spans="1:25" ht="15.6" x14ac:dyDescent="0.3">
      <c r="A264" s="287"/>
      <c r="B264" s="288"/>
      <c r="C264" s="288"/>
      <c r="D264" s="288"/>
      <c r="E264" s="288"/>
      <c r="F264" s="288"/>
      <c r="G264" s="288"/>
      <c r="H264" s="391"/>
      <c r="I264" s="391"/>
      <c r="J264" s="391"/>
      <c r="K264" s="391"/>
      <c r="L264" s="391"/>
      <c r="M264" s="391"/>
      <c r="N264" s="391"/>
      <c r="O264" s="391"/>
      <c r="P264" s="391"/>
      <c r="Q264" s="391"/>
      <c r="R264" s="337">
        <f>SUM(R255:R263)</f>
        <v>7898</v>
      </c>
      <c r="S264" s="390">
        <f>SUM(S255:S263)</f>
        <v>1</v>
      </c>
      <c r="T264" s="338">
        <f>SUM(T255:T263)</f>
        <v>1113810</v>
      </c>
      <c r="U264" s="390">
        <f>SUM(U255:U263)</f>
        <v>1</v>
      </c>
      <c r="V264" s="288"/>
      <c r="W264" s="291"/>
      <c r="X264" s="5"/>
    </row>
    <row r="265" spans="1:25" ht="15.6" x14ac:dyDescent="0.3">
      <c r="A265" s="183"/>
      <c r="B265" s="198"/>
      <c r="C265" s="198"/>
      <c r="D265" s="198"/>
      <c r="E265" s="198"/>
      <c r="F265" s="198"/>
      <c r="G265" s="198"/>
      <c r="H265" s="386"/>
      <c r="I265" s="386"/>
      <c r="J265" s="386"/>
      <c r="K265" s="386"/>
      <c r="L265" s="386"/>
      <c r="M265" s="386"/>
      <c r="N265" s="386"/>
      <c r="O265" s="386"/>
      <c r="P265" s="386"/>
      <c r="Q265" s="386"/>
      <c r="R265" s="335"/>
      <c r="S265" s="387"/>
      <c r="T265" s="388"/>
      <c r="U265" s="387"/>
      <c r="V265" s="198"/>
      <c r="W265" s="198"/>
      <c r="X265" s="5"/>
    </row>
    <row r="266" spans="1:25" ht="15.6" x14ac:dyDescent="0.3">
      <c r="A266" s="280"/>
      <c r="B266" s="399" t="s">
        <v>275</v>
      </c>
      <c r="C266" s="400"/>
      <c r="D266" s="400"/>
      <c r="E266" s="400"/>
      <c r="F266" s="406"/>
      <c r="G266" s="400"/>
      <c r="H266" s="400"/>
      <c r="I266" s="400"/>
      <c r="J266" s="400"/>
      <c r="K266" s="400"/>
      <c r="L266" s="400"/>
      <c r="M266" s="400"/>
      <c r="N266" s="400"/>
      <c r="O266" s="400"/>
      <c r="P266" s="400"/>
      <c r="Q266" s="400"/>
      <c r="R266" s="406" t="s">
        <v>102</v>
      </c>
      <c r="S266" s="400" t="s">
        <v>103</v>
      </c>
      <c r="T266" s="406" t="s">
        <v>109</v>
      </c>
      <c r="U266" s="400" t="s">
        <v>103</v>
      </c>
      <c r="V266" s="281"/>
      <c r="W266" s="282"/>
      <c r="X266" s="5"/>
    </row>
    <row r="267" spans="1:25" ht="15.6" x14ac:dyDescent="0.3">
      <c r="A267" s="197"/>
      <c r="B267" s="234" t="s">
        <v>88</v>
      </c>
      <c r="C267" s="253"/>
      <c r="D267" s="253"/>
      <c r="E267" s="253"/>
      <c r="F267" s="231"/>
      <c r="G267" s="253"/>
      <c r="H267" s="253"/>
      <c r="I267" s="253"/>
      <c r="J267" s="253"/>
      <c r="K267" s="253"/>
      <c r="L267" s="253"/>
      <c r="M267" s="253"/>
      <c r="N267" s="253"/>
      <c r="O267" s="253"/>
      <c r="P267" s="253"/>
      <c r="Q267" s="253"/>
      <c r="R267" s="234">
        <v>130</v>
      </c>
      <c r="S267" s="254">
        <f t="shared" ref="S267:S274" si="7">R267/$R$276</f>
        <v>0.7103825136612022</v>
      </c>
      <c r="T267" s="241">
        <v>17982</v>
      </c>
      <c r="U267" s="254">
        <f t="shared" ref="U267:U274" si="8">T267/$T$276</f>
        <v>0.68944099378881984</v>
      </c>
      <c r="V267" s="231"/>
      <c r="W267" s="231"/>
      <c r="X267" s="5"/>
    </row>
    <row r="268" spans="1:25" ht="15.6" x14ac:dyDescent="0.3">
      <c r="A268" s="287"/>
      <c r="B268" s="337" t="s">
        <v>89</v>
      </c>
      <c r="C268" s="389"/>
      <c r="D268" s="389"/>
      <c r="E268" s="389"/>
      <c r="F268" s="288"/>
      <c r="G268" s="390"/>
      <c r="H268" s="389"/>
      <c r="I268" s="389"/>
      <c r="J268" s="389"/>
      <c r="K268" s="389"/>
      <c r="L268" s="389"/>
      <c r="M268" s="389"/>
      <c r="N268" s="389"/>
      <c r="O268" s="389"/>
      <c r="P268" s="389"/>
      <c r="Q268" s="389"/>
      <c r="R268" s="337">
        <v>9</v>
      </c>
      <c r="S268" s="390">
        <f t="shared" si="7"/>
        <v>4.9180327868852458E-2</v>
      </c>
      <c r="T268" s="338">
        <v>1323</v>
      </c>
      <c r="U268" s="390">
        <f t="shared" si="8"/>
        <v>5.0724637681159424E-2</v>
      </c>
      <c r="V268" s="288"/>
      <c r="W268" s="291"/>
      <c r="X268" s="5"/>
    </row>
    <row r="269" spans="1:25" ht="15.6" x14ac:dyDescent="0.3">
      <c r="A269" s="287"/>
      <c r="B269" s="337" t="s">
        <v>90</v>
      </c>
      <c r="C269" s="389"/>
      <c r="D269" s="389"/>
      <c r="E269" s="389"/>
      <c r="F269" s="288"/>
      <c r="G269" s="390"/>
      <c r="H269" s="389"/>
      <c r="I269" s="389"/>
      <c r="J269" s="389"/>
      <c r="K269" s="389"/>
      <c r="L269" s="389"/>
      <c r="M269" s="389"/>
      <c r="N269" s="389"/>
      <c r="O269" s="389"/>
      <c r="P269" s="389"/>
      <c r="Q269" s="389"/>
      <c r="R269" s="337">
        <v>6</v>
      </c>
      <c r="S269" s="390">
        <f t="shared" si="7"/>
        <v>3.2786885245901641E-2</v>
      </c>
      <c r="T269" s="338">
        <v>839</v>
      </c>
      <c r="U269" s="390">
        <f t="shared" si="8"/>
        <v>3.2167778544590138E-2</v>
      </c>
      <c r="V269" s="288"/>
      <c r="W269" s="291"/>
      <c r="X269" s="5"/>
    </row>
    <row r="270" spans="1:25" ht="15.6" x14ac:dyDescent="0.3">
      <c r="A270" s="287"/>
      <c r="B270" s="337" t="s">
        <v>156</v>
      </c>
      <c r="C270" s="389"/>
      <c r="D270" s="389"/>
      <c r="E270" s="389"/>
      <c r="F270" s="288"/>
      <c r="G270" s="390"/>
      <c r="H270" s="389"/>
      <c r="I270" s="389"/>
      <c r="J270" s="389"/>
      <c r="K270" s="389"/>
      <c r="L270" s="389"/>
      <c r="M270" s="389"/>
      <c r="N270" s="389"/>
      <c r="O270" s="389"/>
      <c r="P270" s="389"/>
      <c r="Q270" s="389"/>
      <c r="R270" s="337">
        <v>2</v>
      </c>
      <c r="S270" s="390">
        <f t="shared" si="7"/>
        <v>1.092896174863388E-2</v>
      </c>
      <c r="T270" s="338">
        <v>404</v>
      </c>
      <c r="U270" s="390">
        <f t="shared" si="8"/>
        <v>1.5489609692508243E-2</v>
      </c>
      <c r="V270" s="288"/>
      <c r="W270" s="291"/>
      <c r="X270" s="5"/>
    </row>
    <row r="271" spans="1:25" ht="15.6" x14ac:dyDescent="0.3">
      <c r="A271" s="287"/>
      <c r="B271" s="337" t="s">
        <v>157</v>
      </c>
      <c r="C271" s="389"/>
      <c r="D271" s="389"/>
      <c r="E271" s="389"/>
      <c r="F271" s="288"/>
      <c r="G271" s="390"/>
      <c r="H271" s="389"/>
      <c r="I271" s="389"/>
      <c r="J271" s="389"/>
      <c r="K271" s="389"/>
      <c r="L271" s="389"/>
      <c r="M271" s="389"/>
      <c r="N271" s="389"/>
      <c r="O271" s="389"/>
      <c r="P271" s="389"/>
      <c r="Q271" s="389"/>
      <c r="R271" s="337">
        <v>3</v>
      </c>
      <c r="S271" s="390">
        <f t="shared" si="7"/>
        <v>1.6393442622950821E-2</v>
      </c>
      <c r="T271" s="338">
        <v>332</v>
      </c>
      <c r="U271" s="390">
        <f t="shared" si="8"/>
        <v>1.2729085192853309E-2</v>
      </c>
      <c r="V271" s="288"/>
      <c r="W271" s="291"/>
      <c r="X271" s="5"/>
    </row>
    <row r="272" spans="1:25" ht="15.6" x14ac:dyDescent="0.3">
      <c r="A272" s="287"/>
      <c r="B272" s="337" t="s">
        <v>158</v>
      </c>
      <c r="C272" s="389"/>
      <c r="D272" s="389"/>
      <c r="E272" s="389"/>
      <c r="F272" s="288"/>
      <c r="G272" s="390"/>
      <c r="H272" s="389"/>
      <c r="I272" s="389"/>
      <c r="J272" s="389"/>
      <c r="K272" s="389"/>
      <c r="L272" s="389"/>
      <c r="M272" s="389"/>
      <c r="N272" s="389"/>
      <c r="O272" s="389"/>
      <c r="P272" s="389"/>
      <c r="Q272" s="389"/>
      <c r="R272" s="337">
        <v>2</v>
      </c>
      <c r="S272" s="390">
        <f t="shared" si="7"/>
        <v>1.092896174863388E-2</v>
      </c>
      <c r="T272" s="338">
        <v>631</v>
      </c>
      <c r="U272" s="390">
        <f t="shared" si="8"/>
        <v>2.4192929990031441E-2</v>
      </c>
      <c r="V272" s="288"/>
      <c r="W272" s="291"/>
      <c r="X272" s="5"/>
    </row>
    <row r="273" spans="1:24" ht="15.6" x14ac:dyDescent="0.3">
      <c r="A273" s="287"/>
      <c r="B273" s="337" t="s">
        <v>159</v>
      </c>
      <c r="C273" s="389"/>
      <c r="D273" s="389"/>
      <c r="E273" s="389"/>
      <c r="F273" s="288"/>
      <c r="G273" s="390"/>
      <c r="H273" s="389"/>
      <c r="I273" s="389"/>
      <c r="J273" s="389"/>
      <c r="K273" s="389"/>
      <c r="L273" s="389"/>
      <c r="M273" s="389"/>
      <c r="N273" s="389"/>
      <c r="O273" s="389"/>
      <c r="P273" s="389"/>
      <c r="Q273" s="389"/>
      <c r="R273" s="337">
        <v>13</v>
      </c>
      <c r="S273" s="390">
        <f t="shared" si="7"/>
        <v>7.1038251366120214E-2</v>
      </c>
      <c r="T273" s="338">
        <v>1675</v>
      </c>
      <c r="U273" s="390">
        <f t="shared" si="8"/>
        <v>6.4220535235027992E-2</v>
      </c>
      <c r="V273" s="288"/>
      <c r="W273" s="291"/>
      <c r="X273" s="5"/>
    </row>
    <row r="274" spans="1:24" ht="15.6" x14ac:dyDescent="0.3">
      <c r="A274" s="287"/>
      <c r="B274" s="337" t="s">
        <v>160</v>
      </c>
      <c r="C274" s="389"/>
      <c r="D274" s="389"/>
      <c r="E274" s="389"/>
      <c r="F274" s="288"/>
      <c r="G274" s="390"/>
      <c r="H274" s="389"/>
      <c r="I274" s="389"/>
      <c r="J274" s="389"/>
      <c r="K274" s="389"/>
      <c r="L274" s="389"/>
      <c r="M274" s="389"/>
      <c r="N274" s="389"/>
      <c r="O274" s="389"/>
      <c r="P274" s="389"/>
      <c r="Q274" s="389"/>
      <c r="R274" s="337">
        <v>18</v>
      </c>
      <c r="S274" s="390">
        <f t="shared" si="7"/>
        <v>9.8360655737704916E-2</v>
      </c>
      <c r="T274" s="338">
        <v>2896</v>
      </c>
      <c r="U274" s="390">
        <f t="shared" si="8"/>
        <v>0.11103442987500958</v>
      </c>
      <c r="V274" s="288"/>
      <c r="W274" s="291"/>
      <c r="X274" s="5"/>
    </row>
    <row r="275" spans="1:24" ht="15.6" x14ac:dyDescent="0.3">
      <c r="A275" s="287"/>
      <c r="B275" s="337"/>
      <c r="C275" s="389"/>
      <c r="D275" s="389"/>
      <c r="E275" s="389"/>
      <c r="F275" s="288"/>
      <c r="G275" s="390"/>
      <c r="H275" s="389"/>
      <c r="I275" s="389"/>
      <c r="J275" s="389"/>
      <c r="K275" s="389"/>
      <c r="L275" s="389"/>
      <c r="M275" s="389"/>
      <c r="N275" s="389"/>
      <c r="O275" s="389"/>
      <c r="P275" s="389"/>
      <c r="Q275" s="389"/>
      <c r="R275" s="337"/>
      <c r="S275" s="390"/>
      <c r="T275" s="338"/>
      <c r="U275" s="390"/>
      <c r="V275" s="288"/>
      <c r="W275" s="291"/>
      <c r="X275" s="5"/>
    </row>
    <row r="276" spans="1:24" ht="15.6" x14ac:dyDescent="0.3">
      <c r="A276" s="287"/>
      <c r="B276" s="288"/>
      <c r="C276" s="288"/>
      <c r="D276" s="288"/>
      <c r="E276" s="288"/>
      <c r="F276" s="288"/>
      <c r="G276" s="288"/>
      <c r="H276" s="391"/>
      <c r="I276" s="391"/>
      <c r="J276" s="391"/>
      <c r="K276" s="391"/>
      <c r="L276" s="391"/>
      <c r="M276" s="391"/>
      <c r="N276" s="391"/>
      <c r="O276" s="391"/>
      <c r="P276" s="391"/>
      <c r="Q276" s="391"/>
      <c r="R276" s="337">
        <f>SUM(R267:R275)</f>
        <v>183</v>
      </c>
      <c r="S276" s="390">
        <f>SUM(S267:S275)</f>
        <v>1</v>
      </c>
      <c r="T276" s="338">
        <f>SUM(T267:T275)</f>
        <v>26082</v>
      </c>
      <c r="U276" s="390">
        <f>SUM(U267:U275)</f>
        <v>1</v>
      </c>
      <c r="V276" s="288"/>
      <c r="W276" s="291"/>
      <c r="X276" s="5"/>
    </row>
    <row r="277" spans="1:24" ht="15.6" x14ac:dyDescent="0.3">
      <c r="A277" s="183"/>
      <c r="B277" s="284"/>
      <c r="C277" s="284"/>
      <c r="D277" s="284"/>
      <c r="E277" s="284"/>
      <c r="F277" s="284"/>
      <c r="G277" s="284"/>
      <c r="H277" s="392"/>
      <c r="I277" s="392"/>
      <c r="J277" s="392"/>
      <c r="K277" s="392"/>
      <c r="L277" s="392"/>
      <c r="M277" s="392"/>
      <c r="N277" s="392"/>
      <c r="O277" s="392"/>
      <c r="P277" s="392"/>
      <c r="Q277" s="392"/>
      <c r="R277" s="339"/>
      <c r="S277" s="393"/>
      <c r="T277" s="394"/>
      <c r="U277" s="393"/>
      <c r="V277" s="284"/>
      <c r="W277" s="284"/>
      <c r="X277" s="5"/>
    </row>
    <row r="278" spans="1:24" ht="15.6" x14ac:dyDescent="0.3">
      <c r="A278" s="280"/>
      <c r="B278" s="399" t="s">
        <v>163</v>
      </c>
      <c r="C278" s="281"/>
      <c r="D278" s="281"/>
      <c r="E278" s="281"/>
      <c r="F278" s="281"/>
      <c r="G278" s="281"/>
      <c r="H278" s="283"/>
      <c r="I278" s="283"/>
      <c r="J278" s="283"/>
      <c r="K278" s="283"/>
      <c r="L278" s="283"/>
      <c r="M278" s="283"/>
      <c r="N278" s="283"/>
      <c r="O278" s="283"/>
      <c r="P278" s="283"/>
      <c r="Q278" s="283"/>
      <c r="R278" s="406" t="s">
        <v>102</v>
      </c>
      <c r="S278" s="400" t="s">
        <v>103</v>
      </c>
      <c r="T278" s="406" t="s">
        <v>109</v>
      </c>
      <c r="U278" s="400" t="s">
        <v>103</v>
      </c>
      <c r="V278" s="281"/>
      <c r="W278" s="282"/>
      <c r="X278" s="5"/>
    </row>
    <row r="279" spans="1:24" ht="15.6" x14ac:dyDescent="0.3">
      <c r="A279" s="197"/>
      <c r="B279" s="234" t="s">
        <v>88</v>
      </c>
      <c r="C279" s="231"/>
      <c r="D279" s="231"/>
      <c r="E279" s="231"/>
      <c r="F279" s="231"/>
      <c r="G279" s="231"/>
      <c r="H279" s="255"/>
      <c r="I279" s="255"/>
      <c r="J279" s="255"/>
      <c r="K279" s="255"/>
      <c r="L279" s="255"/>
      <c r="M279" s="255"/>
      <c r="N279" s="255"/>
      <c r="O279" s="255"/>
      <c r="P279" s="255"/>
      <c r="Q279" s="255"/>
      <c r="R279" s="234">
        <v>0</v>
      </c>
      <c r="S279" s="254">
        <v>0</v>
      </c>
      <c r="T279" s="241">
        <v>0</v>
      </c>
      <c r="U279" s="254">
        <v>0</v>
      </c>
      <c r="V279" s="231"/>
      <c r="W279" s="231"/>
      <c r="X279" s="5"/>
    </row>
    <row r="280" spans="1:24" ht="15.6" x14ac:dyDescent="0.3">
      <c r="A280" s="287"/>
      <c r="B280" s="337" t="s">
        <v>89</v>
      </c>
      <c r="C280" s="288"/>
      <c r="D280" s="288"/>
      <c r="E280" s="288"/>
      <c r="F280" s="288"/>
      <c r="G280" s="288"/>
      <c r="H280" s="391"/>
      <c r="I280" s="391"/>
      <c r="J280" s="391"/>
      <c r="K280" s="391"/>
      <c r="L280" s="391"/>
      <c r="M280" s="391"/>
      <c r="N280" s="391"/>
      <c r="O280" s="391"/>
      <c r="P280" s="391"/>
      <c r="Q280" s="391"/>
      <c r="R280" s="337">
        <v>0</v>
      </c>
      <c r="S280" s="390">
        <v>0</v>
      </c>
      <c r="T280" s="338">
        <v>0</v>
      </c>
      <c r="U280" s="390">
        <v>0</v>
      </c>
      <c r="V280" s="288"/>
      <c r="W280" s="291"/>
      <c r="X280" s="5"/>
    </row>
    <row r="281" spans="1:24" ht="15.6" x14ac:dyDescent="0.3">
      <c r="A281" s="287"/>
      <c r="B281" s="337" t="s">
        <v>90</v>
      </c>
      <c r="C281" s="288"/>
      <c r="D281" s="288"/>
      <c r="E281" s="288"/>
      <c r="F281" s="288"/>
      <c r="G281" s="288"/>
      <c r="H281" s="391"/>
      <c r="I281" s="391"/>
      <c r="J281" s="391"/>
      <c r="K281" s="391"/>
      <c r="L281" s="391"/>
      <c r="M281" s="391"/>
      <c r="N281" s="391"/>
      <c r="O281" s="391"/>
      <c r="P281" s="391"/>
      <c r="Q281" s="391"/>
      <c r="R281" s="337">
        <v>0</v>
      </c>
      <c r="S281" s="390">
        <v>0</v>
      </c>
      <c r="T281" s="338">
        <v>0</v>
      </c>
      <c r="U281" s="390">
        <v>0</v>
      </c>
      <c r="V281" s="288"/>
      <c r="W281" s="291"/>
      <c r="X281" s="5"/>
    </row>
    <row r="282" spans="1:24" ht="15.6" x14ac:dyDescent="0.3">
      <c r="A282" s="287"/>
      <c r="B282" s="337" t="s">
        <v>156</v>
      </c>
      <c r="C282" s="288"/>
      <c r="D282" s="288"/>
      <c r="E282" s="288"/>
      <c r="F282" s="288"/>
      <c r="G282" s="288"/>
      <c r="H282" s="391"/>
      <c r="I282" s="391"/>
      <c r="J282" s="391"/>
      <c r="K282" s="391"/>
      <c r="L282" s="391"/>
      <c r="M282" s="391"/>
      <c r="N282" s="391"/>
      <c r="O282" s="391"/>
      <c r="P282" s="391"/>
      <c r="Q282" s="391"/>
      <c r="R282" s="337">
        <v>0</v>
      </c>
      <c r="S282" s="390">
        <v>0</v>
      </c>
      <c r="T282" s="338">
        <v>0</v>
      </c>
      <c r="U282" s="390">
        <v>0</v>
      </c>
      <c r="V282" s="288"/>
      <c r="W282" s="291"/>
      <c r="X282" s="5"/>
    </row>
    <row r="283" spans="1:24" ht="15.6" x14ac:dyDescent="0.3">
      <c r="A283" s="287"/>
      <c r="B283" s="337" t="s">
        <v>157</v>
      </c>
      <c r="C283" s="288"/>
      <c r="D283" s="288"/>
      <c r="E283" s="288"/>
      <c r="F283" s="288"/>
      <c r="G283" s="288"/>
      <c r="H283" s="391"/>
      <c r="I283" s="391"/>
      <c r="J283" s="391"/>
      <c r="K283" s="391"/>
      <c r="L283" s="391"/>
      <c r="M283" s="391"/>
      <c r="N283" s="391"/>
      <c r="O283" s="391"/>
      <c r="P283" s="391"/>
      <c r="Q283" s="391"/>
      <c r="R283" s="337">
        <v>0</v>
      </c>
      <c r="S283" s="390">
        <v>0</v>
      </c>
      <c r="T283" s="338">
        <v>0</v>
      </c>
      <c r="U283" s="390">
        <v>0</v>
      </c>
      <c r="V283" s="288"/>
      <c r="W283" s="291"/>
      <c r="X283" s="5"/>
    </row>
    <row r="284" spans="1:24" ht="15.6" x14ac:dyDescent="0.3">
      <c r="A284" s="287"/>
      <c r="B284" s="337" t="s">
        <v>158</v>
      </c>
      <c r="C284" s="288"/>
      <c r="D284" s="288"/>
      <c r="E284" s="288"/>
      <c r="F284" s="288"/>
      <c r="G284" s="288"/>
      <c r="H284" s="391"/>
      <c r="I284" s="391"/>
      <c r="J284" s="391"/>
      <c r="K284" s="391"/>
      <c r="L284" s="391"/>
      <c r="M284" s="391"/>
      <c r="N284" s="391"/>
      <c r="O284" s="391"/>
      <c r="P284" s="391"/>
      <c r="Q284" s="391"/>
      <c r="R284" s="337">
        <v>0</v>
      </c>
      <c r="S284" s="390">
        <v>0</v>
      </c>
      <c r="T284" s="338">
        <v>0</v>
      </c>
      <c r="U284" s="390">
        <v>0</v>
      </c>
      <c r="V284" s="288"/>
      <c r="W284" s="291"/>
      <c r="X284" s="5"/>
    </row>
    <row r="285" spans="1:24" ht="15.6" x14ac:dyDescent="0.3">
      <c r="A285" s="287"/>
      <c r="B285" s="337" t="s">
        <v>159</v>
      </c>
      <c r="C285" s="288"/>
      <c r="D285" s="288"/>
      <c r="E285" s="288"/>
      <c r="F285" s="288"/>
      <c r="G285" s="288"/>
      <c r="H285" s="391"/>
      <c r="I285" s="391"/>
      <c r="J285" s="391"/>
      <c r="K285" s="391"/>
      <c r="L285" s="391"/>
      <c r="M285" s="391"/>
      <c r="N285" s="391"/>
      <c r="O285" s="391"/>
      <c r="P285" s="391"/>
      <c r="Q285" s="391"/>
      <c r="R285" s="337">
        <v>0</v>
      </c>
      <c r="S285" s="390">
        <v>0</v>
      </c>
      <c r="T285" s="338">
        <v>0</v>
      </c>
      <c r="U285" s="390">
        <v>0</v>
      </c>
      <c r="V285" s="288"/>
      <c r="W285" s="291"/>
      <c r="X285" s="5"/>
    </row>
    <row r="286" spans="1:24" ht="15.6" x14ac:dyDescent="0.3">
      <c r="A286" s="287"/>
      <c r="B286" s="337" t="s">
        <v>160</v>
      </c>
      <c r="C286" s="288"/>
      <c r="D286" s="288"/>
      <c r="E286" s="288"/>
      <c r="F286" s="288"/>
      <c r="G286" s="288"/>
      <c r="H286" s="391"/>
      <c r="I286" s="391"/>
      <c r="J286" s="391"/>
      <c r="K286" s="391"/>
      <c r="L286" s="391"/>
      <c r="M286" s="391"/>
      <c r="N286" s="391"/>
      <c r="O286" s="391"/>
      <c r="P286" s="391"/>
      <c r="Q286" s="391"/>
      <c r="R286" s="337">
        <v>0</v>
      </c>
      <c r="S286" s="390">
        <v>0</v>
      </c>
      <c r="T286" s="338">
        <v>0</v>
      </c>
      <c r="U286" s="390">
        <v>0</v>
      </c>
      <c r="V286" s="288"/>
      <c r="W286" s="291"/>
      <c r="X286" s="5"/>
    </row>
    <row r="287" spans="1:24" ht="15.6" x14ac:dyDescent="0.3">
      <c r="A287" s="287"/>
      <c r="B287" s="337"/>
      <c r="C287" s="288"/>
      <c r="D287" s="288"/>
      <c r="E287" s="288"/>
      <c r="F287" s="288"/>
      <c r="G287" s="288"/>
      <c r="H287" s="391"/>
      <c r="I287" s="391"/>
      <c r="J287" s="391"/>
      <c r="K287" s="391"/>
      <c r="L287" s="391"/>
      <c r="M287" s="391"/>
      <c r="N287" s="391"/>
      <c r="O287" s="391"/>
      <c r="P287" s="391"/>
      <c r="Q287" s="391"/>
      <c r="R287" s="337"/>
      <c r="S287" s="390"/>
      <c r="T287" s="338"/>
      <c r="U287" s="390"/>
      <c r="V287" s="288"/>
      <c r="W287" s="291"/>
      <c r="X287" s="5"/>
    </row>
    <row r="288" spans="1:24" ht="15.6" x14ac:dyDescent="0.3">
      <c r="A288" s="287"/>
      <c r="B288" s="288" t="s">
        <v>114</v>
      </c>
      <c r="C288" s="288"/>
      <c r="D288" s="288"/>
      <c r="E288" s="288"/>
      <c r="F288" s="288"/>
      <c r="G288" s="288"/>
      <c r="H288" s="391"/>
      <c r="I288" s="391"/>
      <c r="J288" s="391"/>
      <c r="K288" s="391"/>
      <c r="L288" s="391"/>
      <c r="M288" s="391"/>
      <c r="N288" s="391"/>
      <c r="O288" s="391"/>
      <c r="P288" s="391"/>
      <c r="Q288" s="391"/>
      <c r="R288" s="337">
        <f>SUM(R279:R286)</f>
        <v>0</v>
      </c>
      <c r="S288" s="390">
        <f>SUM(S279:S287)</f>
        <v>0</v>
      </c>
      <c r="T288" s="338">
        <f>SUM(T279:T286)</f>
        <v>0</v>
      </c>
      <c r="U288" s="390">
        <f>SUM(U279:U287)</f>
        <v>0</v>
      </c>
      <c r="V288" s="288"/>
      <c r="W288" s="291"/>
      <c r="X288" s="5"/>
    </row>
    <row r="289" spans="1:24" ht="15.6" x14ac:dyDescent="0.3">
      <c r="A289" s="287"/>
      <c r="B289" s="288"/>
      <c r="C289" s="288"/>
      <c r="D289" s="288"/>
      <c r="E289" s="288"/>
      <c r="F289" s="288"/>
      <c r="G289" s="288"/>
      <c r="H289" s="391"/>
      <c r="I289" s="391"/>
      <c r="J289" s="391"/>
      <c r="K289" s="391"/>
      <c r="L289" s="391"/>
      <c r="M289" s="391"/>
      <c r="N289" s="391"/>
      <c r="O289" s="391"/>
      <c r="P289" s="391"/>
      <c r="Q289" s="391"/>
      <c r="R289" s="337"/>
      <c r="S289" s="390"/>
      <c r="T289" s="338"/>
      <c r="U289" s="390"/>
      <c r="V289" s="288"/>
      <c r="W289" s="291"/>
      <c r="X289" s="5"/>
    </row>
    <row r="290" spans="1:24" ht="15.6" x14ac:dyDescent="0.3">
      <c r="A290" s="287"/>
      <c r="B290" s="295" t="s">
        <v>164</v>
      </c>
      <c r="C290" s="288"/>
      <c r="D290" s="288"/>
      <c r="E290" s="288"/>
      <c r="F290" s="288"/>
      <c r="G290" s="288"/>
      <c r="H290" s="391"/>
      <c r="I290" s="391"/>
      <c r="J290" s="391"/>
      <c r="K290" s="391"/>
      <c r="L290" s="391"/>
      <c r="M290" s="391"/>
      <c r="N290" s="391"/>
      <c r="O290" s="391"/>
      <c r="P290" s="391"/>
      <c r="Q290" s="391"/>
      <c r="R290" s="407">
        <f>R288+R276+R264</f>
        <v>8081</v>
      </c>
      <c r="S290" s="390"/>
      <c r="T290" s="396">
        <f>+T288+T276+T264</f>
        <v>1139892</v>
      </c>
      <c r="U290" s="390"/>
      <c r="V290" s="288"/>
      <c r="W290" s="291"/>
      <c r="X290" s="5"/>
    </row>
    <row r="291" spans="1:24" ht="15.6" x14ac:dyDescent="0.3">
      <c r="A291" s="183"/>
      <c r="B291" s="284"/>
      <c r="C291" s="284"/>
      <c r="D291" s="284"/>
      <c r="E291" s="284"/>
      <c r="F291" s="284"/>
      <c r="G291" s="284"/>
      <c r="H291" s="392"/>
      <c r="I291" s="392"/>
      <c r="J291" s="392"/>
      <c r="K291" s="392"/>
      <c r="L291" s="392"/>
      <c r="M291" s="392"/>
      <c r="N291" s="392"/>
      <c r="O291" s="392"/>
      <c r="P291" s="392"/>
      <c r="Q291" s="392"/>
      <c r="R291" s="392"/>
      <c r="S291" s="392"/>
      <c r="T291" s="394"/>
      <c r="U291" s="392"/>
      <c r="V291" s="284"/>
      <c r="W291" s="284"/>
      <c r="X291" s="5"/>
    </row>
    <row r="292" spans="1:24" ht="15.6" x14ac:dyDescent="0.3">
      <c r="A292" s="183"/>
      <c r="B292" s="224"/>
      <c r="C292" s="224"/>
      <c r="D292" s="224"/>
      <c r="E292" s="224"/>
      <c r="F292" s="224"/>
      <c r="G292" s="224"/>
      <c r="H292" s="256"/>
      <c r="I292" s="256"/>
      <c r="J292" s="256"/>
      <c r="K292" s="256"/>
      <c r="L292" s="256"/>
      <c r="M292" s="256"/>
      <c r="N292" s="256"/>
      <c r="O292" s="256"/>
      <c r="P292" s="256"/>
      <c r="Q292" s="256"/>
      <c r="R292" s="256"/>
      <c r="S292" s="256"/>
      <c r="T292" s="257"/>
      <c r="U292" s="256"/>
      <c r="V292" s="224"/>
      <c r="W292" s="224"/>
      <c r="X292" s="5"/>
    </row>
    <row r="293" spans="1:24" ht="15.6" x14ac:dyDescent="0.3">
      <c r="A293" s="219"/>
      <c r="B293" s="222" t="s">
        <v>91</v>
      </c>
      <c r="C293" s="224"/>
      <c r="D293" s="224"/>
      <c r="E293" s="224"/>
      <c r="F293" s="228" t="s">
        <v>97</v>
      </c>
      <c r="G293" s="224"/>
      <c r="H293" s="222" t="s">
        <v>99</v>
      </c>
      <c r="I293" s="222"/>
      <c r="J293" s="222"/>
      <c r="K293" s="258"/>
      <c r="L293" s="258"/>
      <c r="M293" s="258"/>
      <c r="N293" s="258"/>
      <c r="O293" s="258"/>
      <c r="P293" s="258"/>
      <c r="Q293" s="258"/>
      <c r="R293" s="258"/>
      <c r="S293" s="258"/>
      <c r="T293" s="258"/>
      <c r="U293" s="258"/>
      <c r="V293" s="258"/>
      <c r="W293" s="258"/>
      <c r="X293" s="5"/>
    </row>
    <row r="294" spans="1:24" ht="15.6" x14ac:dyDescent="0.3">
      <c r="A294" s="219"/>
      <c r="B294" s="258"/>
      <c r="C294" s="224"/>
      <c r="D294" s="224"/>
      <c r="E294" s="224"/>
      <c r="F294" s="224"/>
      <c r="G294" s="224"/>
      <c r="H294" s="224"/>
      <c r="I294" s="224"/>
      <c r="J294" s="224"/>
      <c r="K294" s="258"/>
      <c r="L294" s="258"/>
      <c r="M294" s="258"/>
      <c r="N294" s="258"/>
      <c r="O294" s="258"/>
      <c r="P294" s="258"/>
      <c r="Q294" s="258"/>
      <c r="R294" s="258"/>
      <c r="S294" s="258"/>
      <c r="T294" s="258"/>
      <c r="U294" s="258"/>
      <c r="V294" s="258"/>
      <c r="W294" s="258"/>
      <c r="X294" s="5"/>
    </row>
    <row r="295" spans="1:24" ht="15.6" x14ac:dyDescent="0.3">
      <c r="A295" s="219"/>
      <c r="B295" s="222" t="s">
        <v>92</v>
      </c>
      <c r="C295" s="222"/>
      <c r="D295" s="222"/>
      <c r="E295" s="222"/>
      <c r="F295" s="259" t="s">
        <v>148</v>
      </c>
      <c r="G295" s="222"/>
      <c r="H295" s="222" t="s">
        <v>152</v>
      </c>
      <c r="I295" s="222"/>
      <c r="J295" s="222"/>
      <c r="K295" s="258"/>
      <c r="L295" s="258"/>
      <c r="M295" s="258"/>
      <c r="N295" s="258"/>
      <c r="O295" s="258"/>
      <c r="P295" s="258"/>
      <c r="Q295" s="258"/>
      <c r="R295" s="258"/>
      <c r="S295" s="258"/>
      <c r="T295" s="258"/>
      <c r="U295" s="258"/>
      <c r="V295" s="258"/>
      <c r="W295" s="258"/>
      <c r="X295" s="5"/>
    </row>
    <row r="296" spans="1:24" ht="15.6" x14ac:dyDescent="0.3">
      <c r="A296" s="219"/>
      <c r="B296" s="222" t="s">
        <v>277</v>
      </c>
      <c r="C296" s="222"/>
      <c r="D296" s="222"/>
      <c r="E296" s="222"/>
      <c r="F296" s="259" t="s">
        <v>278</v>
      </c>
      <c r="G296" s="222"/>
      <c r="H296" s="222" t="s">
        <v>279</v>
      </c>
      <c r="I296" s="258"/>
      <c r="J296" s="222"/>
      <c r="K296" s="258"/>
      <c r="L296" s="258"/>
      <c r="M296" s="258"/>
      <c r="N296" s="258"/>
      <c r="O296" s="258"/>
      <c r="P296" s="258"/>
      <c r="Q296" s="258"/>
      <c r="R296" s="258"/>
      <c r="S296" s="258"/>
      <c r="T296" s="258"/>
      <c r="U296" s="258"/>
      <c r="V296" s="258"/>
      <c r="W296" s="258"/>
      <c r="X296" s="5"/>
    </row>
    <row r="297" spans="1:24" ht="15.6" x14ac:dyDescent="0.3">
      <c r="A297" s="219"/>
      <c r="B297" s="222" t="s">
        <v>93</v>
      </c>
      <c r="C297" s="222"/>
      <c r="D297" s="222"/>
      <c r="E297" s="222"/>
      <c r="F297" s="259" t="s">
        <v>147</v>
      </c>
      <c r="G297" s="222"/>
      <c r="H297" s="222" t="s">
        <v>153</v>
      </c>
      <c r="I297" s="222"/>
      <c r="J297" s="222"/>
      <c r="K297" s="258"/>
      <c r="L297" s="258"/>
      <c r="M297" s="258"/>
      <c r="N297" s="258"/>
      <c r="O297" s="258"/>
      <c r="P297" s="258"/>
      <c r="Q297" s="258"/>
      <c r="R297" s="258"/>
      <c r="S297" s="258"/>
      <c r="T297" s="258"/>
      <c r="U297" s="258"/>
      <c r="V297" s="258"/>
      <c r="W297" s="258"/>
      <c r="X297" s="5"/>
    </row>
    <row r="298" spans="1:24" ht="15.6" x14ac:dyDescent="0.3">
      <c r="A298" s="219"/>
      <c r="B298" s="222"/>
      <c r="C298" s="222"/>
      <c r="D298" s="222"/>
      <c r="E298" s="222"/>
      <c r="F298" s="222"/>
      <c r="G298" s="260"/>
      <c r="H298" s="258"/>
      <c r="I298" s="258"/>
      <c r="J298" s="258"/>
      <c r="K298" s="258"/>
      <c r="L298" s="258"/>
      <c r="M298" s="258"/>
      <c r="N298" s="258"/>
      <c r="O298" s="258"/>
      <c r="P298" s="258"/>
      <c r="Q298" s="258"/>
      <c r="R298" s="258"/>
      <c r="S298" s="258"/>
      <c r="T298" s="258"/>
      <c r="U298" s="258"/>
      <c r="V298" s="258"/>
      <c r="W298" s="258"/>
      <c r="X298" s="5"/>
    </row>
    <row r="299" spans="1:24" ht="15.6" x14ac:dyDescent="0.3">
      <c r="A299" s="219"/>
      <c r="B299" s="222"/>
      <c r="C299" s="222"/>
      <c r="D299" s="222"/>
      <c r="E299" s="222"/>
      <c r="F299" s="222"/>
      <c r="G299" s="260"/>
      <c r="H299" s="258"/>
      <c r="I299" s="258"/>
      <c r="J299" s="258"/>
      <c r="K299" s="258"/>
      <c r="L299" s="258"/>
      <c r="M299" s="258"/>
      <c r="N299" s="258"/>
      <c r="O299" s="258"/>
      <c r="P299" s="258"/>
      <c r="Q299" s="258"/>
      <c r="R299" s="258"/>
      <c r="S299" s="258"/>
      <c r="T299" s="258"/>
      <c r="U299" s="258"/>
      <c r="V299" s="258"/>
      <c r="W299" s="258"/>
      <c r="X299" s="5"/>
    </row>
    <row r="300" spans="1:24" ht="18" thickBot="1" x14ac:dyDescent="0.35">
      <c r="A300" s="219"/>
      <c r="B300" s="261" t="str">
        <f>B204</f>
        <v>PM14 INVESTOR REPORT QUARTER ENDING AUGUST 2011</v>
      </c>
      <c r="C300" s="222"/>
      <c r="D300" s="222"/>
      <c r="E300" s="222"/>
      <c r="F300" s="222"/>
      <c r="G300" s="260"/>
      <c r="H300" s="258"/>
      <c r="I300" s="258"/>
      <c r="J300" s="258"/>
      <c r="K300" s="258"/>
      <c r="L300" s="258"/>
      <c r="M300" s="258"/>
      <c r="N300" s="258"/>
      <c r="O300" s="258"/>
      <c r="P300" s="258"/>
      <c r="Q300" s="258"/>
      <c r="R300" s="258"/>
      <c r="S300" s="258"/>
      <c r="T300" s="258"/>
      <c r="U300" s="258"/>
      <c r="V300" s="258"/>
      <c r="W300" s="258"/>
      <c r="X300" s="5"/>
    </row>
    <row r="301" spans="1:24" x14ac:dyDescent="0.25">
      <c r="A301" s="100"/>
      <c r="B301" s="100"/>
      <c r="C301" s="100"/>
      <c r="D301" s="100"/>
      <c r="E301" s="100"/>
      <c r="F301" s="100"/>
      <c r="G301" s="100"/>
      <c r="H301" s="100"/>
      <c r="I301" s="100"/>
      <c r="J301" s="100"/>
      <c r="K301" s="100"/>
      <c r="L301" s="100"/>
      <c r="M301" s="100"/>
      <c r="N301" s="100"/>
      <c r="O301" s="100"/>
      <c r="P301" s="100"/>
      <c r="Q301" s="100"/>
      <c r="R301" s="100"/>
      <c r="S301" s="100"/>
      <c r="T301" s="100"/>
      <c r="U301" s="100"/>
      <c r="V301" s="100"/>
      <c r="W301" s="100"/>
    </row>
  </sheetData>
  <phoneticPr fontId="0" type="noConversion"/>
  <hyperlinks>
    <hyperlink ref="P240" r:id="rId1" xr:uid="{00000000-0004-0000-1000-000000000000}"/>
    <hyperlink ref="I9" r:id="rId2" xr:uid="{00000000-0004-0000-10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8" max="14" man="1"/>
    <brk id="204" max="14" man="1"/>
  </rowBreaks>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4"/>
  </sheetPr>
  <dimension ref="A1:IV301"/>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80"/>
      <c r="B1" s="220" t="s">
        <v>244</v>
      </c>
      <c r="C1" s="181"/>
      <c r="D1" s="181"/>
      <c r="E1" s="181"/>
      <c r="F1" s="181"/>
      <c r="G1" s="181"/>
      <c r="H1" s="181"/>
      <c r="I1" s="181"/>
      <c r="J1" s="181"/>
      <c r="K1" s="181"/>
      <c r="L1" s="181"/>
      <c r="M1" s="181"/>
      <c r="N1" s="181"/>
      <c r="O1" s="181"/>
      <c r="P1" s="181"/>
      <c r="Q1" s="181"/>
      <c r="R1" s="181"/>
      <c r="S1" s="181"/>
      <c r="T1" s="181"/>
      <c r="U1" s="181"/>
      <c r="V1" s="181"/>
      <c r="W1" s="181"/>
      <c r="X1" s="5"/>
    </row>
    <row r="2" spans="1:24" ht="15.6" x14ac:dyDescent="0.3">
      <c r="A2" s="183"/>
      <c r="B2" s="184"/>
      <c r="C2" s="185"/>
      <c r="D2" s="185"/>
      <c r="E2" s="185"/>
      <c r="F2" s="185"/>
      <c r="G2" s="185"/>
      <c r="H2" s="185"/>
      <c r="I2" s="185"/>
      <c r="J2" s="185"/>
      <c r="K2" s="185"/>
      <c r="L2" s="185"/>
      <c r="M2" s="185"/>
      <c r="N2" s="185"/>
      <c r="O2" s="185"/>
      <c r="P2" s="185"/>
      <c r="Q2" s="185"/>
      <c r="R2" s="185"/>
      <c r="S2" s="185"/>
      <c r="T2" s="185"/>
      <c r="U2" s="185"/>
      <c r="V2" s="185"/>
      <c r="W2" s="185"/>
      <c r="X2" s="5"/>
    </row>
    <row r="3" spans="1:24" ht="15.6" x14ac:dyDescent="0.3">
      <c r="A3" s="186"/>
      <c r="B3" s="187" t="s">
        <v>245</v>
      </c>
      <c r="C3" s="185"/>
      <c r="D3" s="185"/>
      <c r="E3" s="185"/>
      <c r="F3" s="185"/>
      <c r="G3" s="185"/>
      <c r="H3" s="185"/>
      <c r="I3" s="185"/>
      <c r="J3" s="185"/>
      <c r="K3" s="185"/>
      <c r="L3" s="185"/>
      <c r="M3" s="185"/>
      <c r="N3" s="185"/>
      <c r="O3" s="185"/>
      <c r="P3" s="185"/>
      <c r="Q3" s="185"/>
      <c r="R3" s="185"/>
      <c r="S3" s="185"/>
      <c r="T3" s="185"/>
      <c r="U3" s="185"/>
      <c r="V3" s="185"/>
      <c r="W3" s="185"/>
      <c r="X3" s="5"/>
    </row>
    <row r="4" spans="1:24" ht="15.6" x14ac:dyDescent="0.3">
      <c r="A4" s="183"/>
      <c r="B4" s="184"/>
      <c r="C4" s="185"/>
      <c r="D4" s="185"/>
      <c r="E4" s="185"/>
      <c r="F4" s="185"/>
      <c r="G4" s="185"/>
      <c r="H4" s="185"/>
      <c r="I4" s="185"/>
      <c r="J4" s="185"/>
      <c r="K4" s="185"/>
      <c r="L4" s="185"/>
      <c r="M4" s="185"/>
      <c r="N4" s="185"/>
      <c r="O4" s="185"/>
      <c r="P4" s="185"/>
      <c r="Q4" s="185"/>
      <c r="R4" s="185"/>
      <c r="S4" s="185"/>
      <c r="T4" s="185"/>
      <c r="U4" s="185"/>
      <c r="V4" s="185"/>
      <c r="W4" s="185"/>
      <c r="X4" s="5"/>
    </row>
    <row r="5" spans="1:24" ht="15.6" x14ac:dyDescent="0.3">
      <c r="A5" s="183"/>
      <c r="B5" s="221" t="s">
        <v>137</v>
      </c>
      <c r="C5" s="185"/>
      <c r="D5" s="185"/>
      <c r="E5" s="185"/>
      <c r="F5" s="185"/>
      <c r="G5" s="185"/>
      <c r="H5" s="185"/>
      <c r="I5" s="185"/>
      <c r="J5" s="185"/>
      <c r="K5" s="185"/>
      <c r="L5" s="185"/>
      <c r="M5" s="185"/>
      <c r="N5" s="185"/>
      <c r="O5" s="185"/>
      <c r="P5" s="185"/>
      <c r="Q5" s="185"/>
      <c r="R5" s="185"/>
      <c r="S5" s="185"/>
      <c r="T5" s="185"/>
      <c r="U5" s="185"/>
      <c r="V5" s="185"/>
      <c r="W5" s="185"/>
      <c r="X5" s="5"/>
    </row>
    <row r="6" spans="1:24" ht="15.6" x14ac:dyDescent="0.3">
      <c r="A6" s="183"/>
      <c r="B6" s="221" t="s">
        <v>139</v>
      </c>
      <c r="C6" s="185"/>
      <c r="D6" s="185"/>
      <c r="E6" s="185"/>
      <c r="F6" s="185"/>
      <c r="G6" s="185"/>
      <c r="H6" s="185"/>
      <c r="I6" s="185"/>
      <c r="J6" s="185"/>
      <c r="K6" s="185"/>
      <c r="L6" s="185"/>
      <c r="M6" s="185"/>
      <c r="N6" s="185"/>
      <c r="O6" s="185"/>
      <c r="P6" s="185"/>
      <c r="Q6" s="185"/>
      <c r="R6" s="185"/>
      <c r="S6" s="185"/>
      <c r="T6" s="185"/>
      <c r="U6" s="185"/>
      <c r="V6" s="185"/>
      <c r="W6" s="185"/>
      <c r="X6" s="5"/>
    </row>
    <row r="7" spans="1:24" ht="15.6" x14ac:dyDescent="0.3">
      <c r="A7" s="183"/>
      <c r="B7" s="221" t="s">
        <v>138</v>
      </c>
      <c r="C7" s="185"/>
      <c r="D7" s="185"/>
      <c r="E7" s="185"/>
      <c r="F7" s="185"/>
      <c r="G7" s="185"/>
      <c r="H7" s="185"/>
      <c r="I7" s="185"/>
      <c r="J7" s="185"/>
      <c r="K7" s="185"/>
      <c r="L7" s="185"/>
      <c r="M7" s="185"/>
      <c r="N7" s="185"/>
      <c r="O7" s="185"/>
      <c r="P7" s="185"/>
      <c r="Q7" s="185"/>
      <c r="R7" s="185"/>
      <c r="S7" s="185"/>
      <c r="T7" s="185"/>
      <c r="U7" s="185"/>
      <c r="V7" s="185"/>
      <c r="W7" s="185"/>
      <c r="X7" s="5"/>
    </row>
    <row r="8" spans="1:24" ht="15.6" x14ac:dyDescent="0.3">
      <c r="A8" s="183"/>
      <c r="B8" s="188"/>
      <c r="C8" s="185"/>
      <c r="D8" s="185"/>
      <c r="E8" s="185"/>
      <c r="F8" s="185"/>
      <c r="G8" s="185"/>
      <c r="H8" s="185"/>
      <c r="I8" s="185"/>
      <c r="J8" s="185"/>
      <c r="K8" s="185"/>
      <c r="L8" s="185"/>
      <c r="M8" s="185"/>
      <c r="N8" s="185"/>
      <c r="O8" s="185"/>
      <c r="P8" s="185"/>
      <c r="Q8" s="185"/>
      <c r="R8" s="185"/>
      <c r="S8" s="185"/>
      <c r="T8" s="185"/>
      <c r="U8" s="185"/>
      <c r="V8" s="185"/>
      <c r="W8" s="185"/>
      <c r="X8" s="5"/>
    </row>
    <row r="9" spans="1:24" ht="17.399999999999999" x14ac:dyDescent="0.3">
      <c r="A9" s="183"/>
      <c r="B9" s="189" t="s">
        <v>166</v>
      </c>
      <c r="C9" s="185"/>
      <c r="D9" s="185"/>
      <c r="E9" s="185"/>
      <c r="F9" s="185"/>
      <c r="G9" s="185"/>
      <c r="H9" s="185"/>
      <c r="I9" s="190" t="s">
        <v>167</v>
      </c>
      <c r="J9" s="185"/>
      <c r="K9" s="185"/>
      <c r="L9" s="190"/>
      <c r="M9" s="185"/>
      <c r="N9" s="190"/>
      <c r="O9" s="185"/>
      <c r="P9" s="185"/>
      <c r="Q9" s="185"/>
      <c r="R9" s="185"/>
      <c r="S9" s="185"/>
      <c r="T9" s="185"/>
      <c r="U9" s="185"/>
      <c r="V9" s="185"/>
      <c r="W9" s="185"/>
      <c r="X9" s="5"/>
    </row>
    <row r="10" spans="1:24" ht="15.6" x14ac:dyDescent="0.3">
      <c r="A10" s="183"/>
      <c r="B10" s="188"/>
      <c r="C10" s="191"/>
      <c r="D10" s="191"/>
      <c r="E10" s="191"/>
      <c r="F10" s="185"/>
      <c r="G10" s="185"/>
      <c r="H10" s="185"/>
      <c r="I10" s="185"/>
      <c r="J10" s="185"/>
      <c r="K10" s="185"/>
      <c r="L10" s="185"/>
      <c r="M10" s="185"/>
      <c r="N10" s="185"/>
      <c r="O10" s="185"/>
      <c r="P10" s="185"/>
      <c r="Q10" s="185"/>
      <c r="R10" s="185"/>
      <c r="S10" s="185"/>
      <c r="T10" s="185"/>
      <c r="U10" s="185"/>
      <c r="V10" s="185"/>
      <c r="W10" s="185"/>
      <c r="X10" s="5"/>
    </row>
    <row r="11" spans="1:24" ht="15.6" x14ac:dyDescent="0.3">
      <c r="A11" s="183"/>
      <c r="B11" s="222" t="s">
        <v>0</v>
      </c>
      <c r="C11" s="185"/>
      <c r="D11" s="185"/>
      <c r="E11" s="185"/>
      <c r="F11" s="185"/>
      <c r="G11" s="185"/>
      <c r="H11" s="185"/>
      <c r="I11" s="185"/>
      <c r="J11" s="185"/>
      <c r="K11" s="185"/>
      <c r="L11" s="185"/>
      <c r="M11" s="185"/>
      <c r="N11" s="185"/>
      <c r="O11" s="185"/>
      <c r="P11" s="185"/>
      <c r="Q11" s="185"/>
      <c r="R11" s="185"/>
      <c r="S11" s="185"/>
      <c r="T11" s="185"/>
      <c r="U11" s="185"/>
      <c r="V11" s="185"/>
      <c r="W11" s="185"/>
      <c r="X11" s="5"/>
    </row>
    <row r="12" spans="1:24" ht="16.2" thickBot="1" x14ac:dyDescent="0.35">
      <c r="A12" s="183"/>
      <c r="B12" s="191"/>
      <c r="C12" s="185"/>
      <c r="D12" s="185"/>
      <c r="E12" s="185"/>
      <c r="F12" s="185"/>
      <c r="G12" s="185"/>
      <c r="H12" s="185"/>
      <c r="I12" s="185"/>
      <c r="J12" s="185"/>
      <c r="K12" s="185"/>
      <c r="L12" s="185"/>
      <c r="M12" s="185"/>
      <c r="N12" s="185"/>
      <c r="O12" s="185"/>
      <c r="P12" s="185"/>
      <c r="Q12" s="185"/>
      <c r="R12" s="185"/>
      <c r="S12" s="185"/>
      <c r="T12" s="185"/>
      <c r="U12" s="185"/>
      <c r="V12" s="185"/>
      <c r="W12" s="185"/>
      <c r="X12" s="5"/>
    </row>
    <row r="13" spans="1:24" ht="15.6" x14ac:dyDescent="0.3">
      <c r="A13" s="180"/>
      <c r="B13" s="181"/>
      <c r="C13" s="181"/>
      <c r="D13" s="181"/>
      <c r="E13" s="181"/>
      <c r="F13" s="181"/>
      <c r="G13" s="181"/>
      <c r="H13" s="181"/>
      <c r="I13" s="181"/>
      <c r="J13" s="181"/>
      <c r="K13" s="181"/>
      <c r="L13" s="181"/>
      <c r="M13" s="181"/>
      <c r="N13" s="181"/>
      <c r="O13" s="181"/>
      <c r="P13" s="181"/>
      <c r="Q13" s="181"/>
      <c r="R13" s="181"/>
      <c r="S13" s="181"/>
      <c r="T13" s="181"/>
      <c r="U13" s="181"/>
      <c r="V13" s="181"/>
      <c r="W13" s="181"/>
      <c r="X13" s="5"/>
    </row>
    <row r="14" spans="1:24" ht="15.6" x14ac:dyDescent="0.3">
      <c r="A14" s="183"/>
      <c r="B14" s="222" t="s">
        <v>1</v>
      </c>
      <c r="C14" s="192"/>
      <c r="D14" s="192"/>
      <c r="E14" s="192"/>
      <c r="F14" s="192"/>
      <c r="G14" s="192"/>
      <c r="H14" s="192"/>
      <c r="I14" s="192"/>
      <c r="J14" s="192"/>
      <c r="K14" s="192"/>
      <c r="L14" s="192"/>
      <c r="M14" s="192"/>
      <c r="N14" s="192"/>
      <c r="O14" s="192"/>
      <c r="P14" s="192"/>
      <c r="Q14" s="192"/>
      <c r="R14" s="224"/>
      <c r="S14" s="224"/>
      <c r="T14" s="224"/>
      <c r="U14" s="224"/>
      <c r="V14" s="225" t="s">
        <v>246</v>
      </c>
      <c r="W14" s="192"/>
      <c r="X14" s="5"/>
    </row>
    <row r="15" spans="1:24" ht="15.6" x14ac:dyDescent="0.3">
      <c r="A15" s="183"/>
      <c r="B15" s="222" t="s">
        <v>2</v>
      </c>
      <c r="C15" s="192"/>
      <c r="D15" s="192"/>
      <c r="E15" s="192"/>
      <c r="F15" s="192"/>
      <c r="G15" s="192"/>
      <c r="H15" s="193"/>
      <c r="I15" s="193"/>
      <c r="J15" s="193"/>
      <c r="K15" s="193"/>
      <c r="L15" s="193"/>
      <c r="M15" s="193"/>
      <c r="N15" s="193"/>
      <c r="O15" s="193"/>
      <c r="P15" s="193"/>
      <c r="Q15" s="193"/>
      <c r="R15" s="226" t="s">
        <v>104</v>
      </c>
      <c r="S15" s="227">
        <v>0.38300000000000001</v>
      </c>
      <c r="T15" s="228" t="s">
        <v>140</v>
      </c>
      <c r="U15" s="227">
        <v>0.61699999999999999</v>
      </c>
      <c r="V15" s="225"/>
      <c r="W15" s="192"/>
      <c r="X15" s="5"/>
    </row>
    <row r="16" spans="1:24" ht="15.6" x14ac:dyDescent="0.3">
      <c r="A16" s="183"/>
      <c r="B16" s="222" t="s">
        <v>3</v>
      </c>
      <c r="C16" s="192"/>
      <c r="D16" s="192"/>
      <c r="E16" s="192"/>
      <c r="F16" s="192"/>
      <c r="G16" s="192"/>
      <c r="H16" s="193"/>
      <c r="I16" s="193"/>
      <c r="J16" s="193"/>
      <c r="K16" s="193"/>
      <c r="L16" s="193"/>
      <c r="M16" s="193"/>
      <c r="N16" s="193"/>
      <c r="O16" s="193"/>
      <c r="P16" s="193"/>
      <c r="Q16" s="193"/>
      <c r="R16" s="226" t="s">
        <v>104</v>
      </c>
      <c r="S16" s="227">
        <v>0.45569999999999999</v>
      </c>
      <c r="T16" s="228" t="s">
        <v>140</v>
      </c>
      <c r="U16" s="227">
        <v>0.54430000000000001</v>
      </c>
      <c r="V16" s="225"/>
      <c r="W16" s="192"/>
      <c r="X16" s="5"/>
    </row>
    <row r="17" spans="1:24" ht="15.6" x14ac:dyDescent="0.3">
      <c r="A17" s="183"/>
      <c r="B17" s="222" t="s">
        <v>4</v>
      </c>
      <c r="C17" s="192"/>
      <c r="D17" s="192"/>
      <c r="E17" s="192"/>
      <c r="F17" s="192"/>
      <c r="G17" s="192"/>
      <c r="H17" s="192"/>
      <c r="I17" s="192"/>
      <c r="J17" s="192"/>
      <c r="K17" s="192"/>
      <c r="L17" s="192"/>
      <c r="M17" s="192"/>
      <c r="N17" s="192"/>
      <c r="O17" s="192"/>
      <c r="P17" s="192"/>
      <c r="Q17" s="192"/>
      <c r="R17" s="224"/>
      <c r="S17" s="224"/>
      <c r="T17" s="224"/>
      <c r="U17" s="224"/>
      <c r="V17" s="229">
        <v>39163</v>
      </c>
      <c r="W17" s="192"/>
      <c r="X17" s="5"/>
    </row>
    <row r="18" spans="1:24" ht="15.6" x14ac:dyDescent="0.3">
      <c r="A18" s="183"/>
      <c r="B18" s="222" t="s">
        <v>5</v>
      </c>
      <c r="C18" s="192"/>
      <c r="D18" s="192"/>
      <c r="E18" s="192"/>
      <c r="F18" s="192"/>
      <c r="G18" s="192"/>
      <c r="H18" s="192"/>
      <c r="I18" s="192"/>
      <c r="J18" s="192"/>
      <c r="K18" s="192"/>
      <c r="L18" s="192"/>
      <c r="M18" s="192"/>
      <c r="N18" s="192"/>
      <c r="O18" s="192"/>
      <c r="P18" s="192"/>
      <c r="Q18" s="192"/>
      <c r="R18" s="224"/>
      <c r="S18" s="224"/>
      <c r="T18" s="224"/>
      <c r="U18" s="224"/>
      <c r="V18" s="229">
        <v>40896</v>
      </c>
      <c r="W18" s="192"/>
      <c r="X18" s="5"/>
    </row>
    <row r="19" spans="1:24" ht="15.6" x14ac:dyDescent="0.3">
      <c r="A19" s="183"/>
      <c r="B19" s="185"/>
      <c r="C19" s="185"/>
      <c r="D19" s="185"/>
      <c r="E19" s="185"/>
      <c r="F19" s="185"/>
      <c r="G19" s="185"/>
      <c r="H19" s="185"/>
      <c r="I19" s="185"/>
      <c r="J19" s="185"/>
      <c r="K19" s="185"/>
      <c r="L19" s="185"/>
      <c r="M19" s="185"/>
      <c r="N19" s="185"/>
      <c r="O19" s="185"/>
      <c r="P19" s="185"/>
      <c r="Q19" s="185"/>
      <c r="R19" s="185"/>
      <c r="S19" s="185"/>
      <c r="T19" s="185"/>
      <c r="U19" s="185"/>
      <c r="V19" s="194"/>
      <c r="W19" s="185"/>
      <c r="X19" s="5"/>
    </row>
    <row r="20" spans="1:24" ht="15.6" x14ac:dyDescent="0.3">
      <c r="A20" s="183"/>
      <c r="B20" s="230" t="s">
        <v>6</v>
      </c>
      <c r="C20" s="185"/>
      <c r="D20" s="185"/>
      <c r="E20" s="185"/>
      <c r="F20" s="185"/>
      <c r="G20" s="185"/>
      <c r="H20" s="185"/>
      <c r="I20" s="185"/>
      <c r="J20" s="185"/>
      <c r="K20" s="185"/>
      <c r="L20" s="185"/>
      <c r="M20" s="185"/>
      <c r="N20" s="185"/>
      <c r="O20" s="185"/>
      <c r="P20" s="185"/>
      <c r="Q20" s="185"/>
      <c r="R20" s="185"/>
      <c r="S20" s="185"/>
      <c r="T20" s="223" t="s">
        <v>105</v>
      </c>
      <c r="U20" s="185"/>
      <c r="V20" s="182"/>
      <c r="W20" s="185"/>
      <c r="X20" s="5"/>
    </row>
    <row r="21" spans="1:24" ht="15.6" x14ac:dyDescent="0.3">
      <c r="A21" s="183"/>
      <c r="B21" s="185"/>
      <c r="C21" s="185"/>
      <c r="D21" s="185"/>
      <c r="E21" s="185"/>
      <c r="F21" s="185"/>
      <c r="G21" s="185"/>
      <c r="H21" s="185"/>
      <c r="I21" s="185"/>
      <c r="J21" s="185"/>
      <c r="K21" s="185"/>
      <c r="L21" s="185"/>
      <c r="M21" s="185"/>
      <c r="N21" s="185"/>
      <c r="O21" s="185"/>
      <c r="P21" s="185"/>
      <c r="Q21" s="185"/>
      <c r="R21" s="185"/>
      <c r="S21" s="185"/>
      <c r="T21" s="185"/>
      <c r="U21" s="185"/>
      <c r="V21" s="196"/>
      <c r="W21" s="185"/>
      <c r="X21" s="5"/>
    </row>
    <row r="22" spans="1:24" ht="15.6" x14ac:dyDescent="0.3">
      <c r="A22" s="262"/>
      <c r="B22" s="263"/>
      <c r="C22" s="264"/>
      <c r="D22" s="264" t="s">
        <v>177</v>
      </c>
      <c r="E22" s="264"/>
      <c r="F22" s="264" t="s">
        <v>178</v>
      </c>
      <c r="G22" s="264"/>
      <c r="H22" s="264" t="s">
        <v>179</v>
      </c>
      <c r="I22" s="264"/>
      <c r="J22" s="264" t="s">
        <v>220</v>
      </c>
      <c r="K22" s="264"/>
      <c r="L22" s="264" t="s">
        <v>180</v>
      </c>
      <c r="M22" s="264"/>
      <c r="N22" s="264" t="s">
        <v>181</v>
      </c>
      <c r="O22" s="264"/>
      <c r="P22" s="264" t="s">
        <v>221</v>
      </c>
      <c r="Q22" s="264"/>
      <c r="R22" s="264" t="s">
        <v>182</v>
      </c>
      <c r="S22" s="266"/>
      <c r="T22" s="266"/>
      <c r="U22" s="267"/>
      <c r="V22" s="267"/>
      <c r="W22" s="263"/>
      <c r="X22" s="5"/>
    </row>
    <row r="23" spans="1:24" ht="15.6" x14ac:dyDescent="0.3">
      <c r="A23" s="287"/>
      <c r="B23" s="288" t="s">
        <v>7</v>
      </c>
      <c r="C23" s="289"/>
      <c r="D23" s="289" t="s">
        <v>213</v>
      </c>
      <c r="E23" s="289"/>
      <c r="F23" s="289" t="s">
        <v>141</v>
      </c>
      <c r="G23" s="289"/>
      <c r="H23" s="289" t="s">
        <v>141</v>
      </c>
      <c r="I23" s="289"/>
      <c r="J23" s="289" t="s">
        <v>141</v>
      </c>
      <c r="K23" s="289"/>
      <c r="L23" s="289" t="s">
        <v>183</v>
      </c>
      <c r="M23" s="289"/>
      <c r="N23" s="289" t="s">
        <v>183</v>
      </c>
      <c r="O23" s="289"/>
      <c r="P23" s="289" t="s">
        <v>142</v>
      </c>
      <c r="Q23" s="289"/>
      <c r="R23" s="289" t="s">
        <v>142</v>
      </c>
      <c r="S23" s="289"/>
      <c r="T23" s="289"/>
      <c r="U23" s="290"/>
      <c r="V23" s="290"/>
      <c r="W23" s="291"/>
      <c r="X23" s="5"/>
    </row>
    <row r="24" spans="1:24" ht="15.6" x14ac:dyDescent="0.3">
      <c r="A24" s="287"/>
      <c r="B24" s="288" t="s">
        <v>8</v>
      </c>
      <c r="C24" s="289"/>
      <c r="D24" s="289" t="s">
        <v>214</v>
      </c>
      <c r="E24" s="289"/>
      <c r="F24" s="289" t="s">
        <v>143</v>
      </c>
      <c r="G24" s="289"/>
      <c r="H24" s="289" t="s">
        <v>143</v>
      </c>
      <c r="I24" s="289"/>
      <c r="J24" s="289" t="s">
        <v>143</v>
      </c>
      <c r="K24" s="289"/>
      <c r="L24" s="289" t="s">
        <v>165</v>
      </c>
      <c r="M24" s="289"/>
      <c r="N24" s="289" t="s">
        <v>165</v>
      </c>
      <c r="O24" s="289"/>
      <c r="P24" s="289" t="s">
        <v>144</v>
      </c>
      <c r="Q24" s="289"/>
      <c r="R24" s="289" t="s">
        <v>144</v>
      </c>
      <c r="S24" s="289"/>
      <c r="T24" s="289"/>
      <c r="U24" s="290"/>
      <c r="V24" s="290"/>
      <c r="W24" s="291"/>
      <c r="X24" s="5"/>
    </row>
    <row r="25" spans="1:24" ht="15.6" x14ac:dyDescent="0.3">
      <c r="A25" s="292"/>
      <c r="B25" s="288" t="s">
        <v>190</v>
      </c>
      <c r="C25" s="398"/>
      <c r="D25" s="289" t="s">
        <v>215</v>
      </c>
      <c r="E25" s="289"/>
      <c r="F25" s="289" t="s">
        <v>143</v>
      </c>
      <c r="G25" s="289"/>
      <c r="H25" s="289" t="s">
        <v>143</v>
      </c>
      <c r="I25" s="289"/>
      <c r="J25" s="289" t="s">
        <v>143</v>
      </c>
      <c r="K25" s="289"/>
      <c r="L25" s="289" t="s">
        <v>293</v>
      </c>
      <c r="M25" s="289"/>
      <c r="N25" s="289" t="s">
        <v>293</v>
      </c>
      <c r="O25" s="289"/>
      <c r="P25" s="289" t="s">
        <v>144</v>
      </c>
      <c r="Q25" s="289"/>
      <c r="R25" s="289" t="s">
        <v>144</v>
      </c>
      <c r="S25" s="398"/>
      <c r="T25" s="289"/>
      <c r="U25" s="290"/>
      <c r="V25" s="290"/>
      <c r="W25" s="291"/>
      <c r="X25" s="5"/>
    </row>
    <row r="26" spans="1:24" ht="15.6" x14ac:dyDescent="0.3">
      <c r="A26" s="292"/>
      <c r="B26" s="295" t="s">
        <v>9</v>
      </c>
      <c r="C26" s="398"/>
      <c r="D26" s="398" t="s">
        <v>213</v>
      </c>
      <c r="E26" s="398"/>
      <c r="F26" s="398" t="s">
        <v>141</v>
      </c>
      <c r="G26" s="398"/>
      <c r="H26" s="398" t="s">
        <v>141</v>
      </c>
      <c r="I26" s="398"/>
      <c r="J26" s="398" t="s">
        <v>141</v>
      </c>
      <c r="K26" s="398"/>
      <c r="L26" s="398" t="s">
        <v>183</v>
      </c>
      <c r="M26" s="398"/>
      <c r="N26" s="398" t="s">
        <v>183</v>
      </c>
      <c r="O26" s="398"/>
      <c r="P26" s="398" t="s">
        <v>142</v>
      </c>
      <c r="Q26" s="398"/>
      <c r="R26" s="398" t="s">
        <v>142</v>
      </c>
      <c r="S26" s="398"/>
      <c r="T26" s="289"/>
      <c r="U26" s="290"/>
      <c r="V26" s="290"/>
      <c r="W26" s="291"/>
      <c r="X26" s="5"/>
    </row>
    <row r="27" spans="1:24" ht="15.6" x14ac:dyDescent="0.3">
      <c r="A27" s="287"/>
      <c r="B27" s="295" t="s">
        <v>191</v>
      </c>
      <c r="C27" s="289"/>
      <c r="D27" s="398" t="s">
        <v>214</v>
      </c>
      <c r="E27" s="398"/>
      <c r="F27" s="398" t="s">
        <v>143</v>
      </c>
      <c r="G27" s="398"/>
      <c r="H27" s="398" t="s">
        <v>143</v>
      </c>
      <c r="I27" s="398"/>
      <c r="J27" s="398" t="s">
        <v>143</v>
      </c>
      <c r="K27" s="398"/>
      <c r="L27" s="398" t="s">
        <v>165</v>
      </c>
      <c r="M27" s="398"/>
      <c r="N27" s="398" t="s">
        <v>165</v>
      </c>
      <c r="O27" s="398"/>
      <c r="P27" s="398" t="s">
        <v>144</v>
      </c>
      <c r="Q27" s="398"/>
      <c r="R27" s="398" t="s">
        <v>144</v>
      </c>
      <c r="S27" s="289"/>
      <c r="T27" s="296"/>
      <c r="U27" s="290"/>
      <c r="V27" s="290"/>
      <c r="W27" s="291"/>
      <c r="X27" s="5"/>
    </row>
    <row r="28" spans="1:24" ht="15.6" x14ac:dyDescent="0.3">
      <c r="A28" s="287"/>
      <c r="B28" s="295" t="s">
        <v>192</v>
      </c>
      <c r="C28" s="289"/>
      <c r="D28" s="398" t="s">
        <v>314</v>
      </c>
      <c r="E28" s="398"/>
      <c r="F28" s="398" t="s">
        <v>143</v>
      </c>
      <c r="G28" s="398"/>
      <c r="H28" s="398" t="s">
        <v>143</v>
      </c>
      <c r="I28" s="398"/>
      <c r="J28" s="398" t="s">
        <v>143</v>
      </c>
      <c r="K28" s="398"/>
      <c r="L28" s="398" t="s">
        <v>293</v>
      </c>
      <c r="M28" s="398"/>
      <c r="N28" s="398" t="s">
        <v>293</v>
      </c>
      <c r="O28" s="398"/>
      <c r="P28" s="398" t="s">
        <v>144</v>
      </c>
      <c r="Q28" s="398"/>
      <c r="R28" s="398" t="s">
        <v>144</v>
      </c>
      <c r="S28" s="289"/>
      <c r="T28" s="296"/>
      <c r="U28" s="290"/>
      <c r="V28" s="290"/>
      <c r="W28" s="291"/>
      <c r="X28" s="5"/>
    </row>
    <row r="29" spans="1:24" ht="15.6" x14ac:dyDescent="0.3">
      <c r="A29" s="287"/>
      <c r="B29" s="288" t="s">
        <v>10</v>
      </c>
      <c r="C29" s="298"/>
      <c r="D29" s="289" t="s">
        <v>249</v>
      </c>
      <c r="E29" s="289"/>
      <c r="F29" s="296" t="s">
        <v>250</v>
      </c>
      <c r="G29" s="289"/>
      <c r="H29" s="289" t="s">
        <v>251</v>
      </c>
      <c r="I29" s="289"/>
      <c r="J29" s="289" t="s">
        <v>253</v>
      </c>
      <c r="K29" s="289"/>
      <c r="L29" s="289" t="s">
        <v>254</v>
      </c>
      <c r="M29" s="289"/>
      <c r="N29" s="289" t="s">
        <v>255</v>
      </c>
      <c r="O29" s="289"/>
      <c r="P29" s="289" t="s">
        <v>256</v>
      </c>
      <c r="Q29" s="289"/>
      <c r="R29" s="289" t="s">
        <v>257</v>
      </c>
      <c r="S29" s="299"/>
      <c r="T29" s="299"/>
      <c r="U29" s="300"/>
      <c r="V29" s="299"/>
      <c r="W29" s="301"/>
      <c r="X29" s="5"/>
    </row>
    <row r="30" spans="1:24" ht="15.6" x14ac:dyDescent="0.3">
      <c r="A30" s="287"/>
      <c r="B30" s="288" t="s">
        <v>10</v>
      </c>
      <c r="C30" s="298"/>
      <c r="D30" s="289" t="s">
        <v>248</v>
      </c>
      <c r="E30" s="289"/>
      <c r="F30" s="296" t="s">
        <v>118</v>
      </c>
      <c r="G30" s="289"/>
      <c r="H30" s="289" t="s">
        <v>118</v>
      </c>
      <c r="I30" s="289"/>
      <c r="J30" s="289" t="s">
        <v>252</v>
      </c>
      <c r="K30" s="289"/>
      <c r="L30" s="289" t="s">
        <v>118</v>
      </c>
      <c r="M30" s="289"/>
      <c r="N30" s="289" t="s">
        <v>118</v>
      </c>
      <c r="O30" s="289"/>
      <c r="P30" s="289" t="s">
        <v>118</v>
      </c>
      <c r="Q30" s="289"/>
      <c r="R30" s="289" t="s">
        <v>118</v>
      </c>
      <c r="S30" s="299"/>
      <c r="T30" s="299"/>
      <c r="U30" s="300"/>
      <c r="V30" s="299"/>
      <c r="W30" s="301"/>
      <c r="X30" s="5"/>
    </row>
    <row r="31" spans="1:24" ht="15.6" x14ac:dyDescent="0.3">
      <c r="A31" s="292"/>
      <c r="B31" s="288" t="s">
        <v>133</v>
      </c>
      <c r="C31" s="302"/>
      <c r="D31" s="303">
        <v>1500000</v>
      </c>
      <c r="E31" s="298"/>
      <c r="F31" s="299">
        <v>125000</v>
      </c>
      <c r="G31" s="299"/>
      <c r="H31" s="304">
        <v>246000</v>
      </c>
      <c r="I31" s="304"/>
      <c r="J31" s="303">
        <v>400000</v>
      </c>
      <c r="K31" s="299"/>
      <c r="L31" s="299">
        <v>51900</v>
      </c>
      <c r="M31" s="299"/>
      <c r="N31" s="304">
        <v>88800</v>
      </c>
      <c r="O31" s="299"/>
      <c r="P31" s="299">
        <v>20000</v>
      </c>
      <c r="Q31" s="299"/>
      <c r="R31" s="304">
        <v>135500</v>
      </c>
      <c r="S31" s="305"/>
      <c r="T31" s="305"/>
      <c r="U31" s="306"/>
      <c r="V31" s="305"/>
      <c r="W31" s="301"/>
      <c r="X31" s="5"/>
    </row>
    <row r="32" spans="1:24" ht="15.6" x14ac:dyDescent="0.3">
      <c r="A32" s="287"/>
      <c r="B32" s="288" t="s">
        <v>132</v>
      </c>
      <c r="C32" s="298"/>
      <c r="D32" s="303">
        <f>D31*D38</f>
        <v>1076039.55</v>
      </c>
      <c r="E32" s="298"/>
      <c r="F32" s="299">
        <f>F31*F38</f>
        <v>89670.05</v>
      </c>
      <c r="G32" s="299"/>
      <c r="H32" s="304">
        <f>H31*H38</f>
        <v>176470.65840000001</v>
      </c>
      <c r="I32" s="304"/>
      <c r="J32" s="303">
        <f>J31*J38</f>
        <v>286943.88</v>
      </c>
      <c r="K32" s="299"/>
      <c r="L32" s="299">
        <f>+L31</f>
        <v>51900</v>
      </c>
      <c r="M32" s="299"/>
      <c r="N32" s="304">
        <f>+N31</f>
        <v>88800</v>
      </c>
      <c r="O32" s="299"/>
      <c r="P32" s="299">
        <f>+P31</f>
        <v>20000</v>
      </c>
      <c r="Q32" s="299"/>
      <c r="R32" s="304">
        <f>+R31</f>
        <v>135500</v>
      </c>
      <c r="S32" s="299"/>
      <c r="T32" s="299"/>
      <c r="U32" s="300"/>
      <c r="V32" s="299"/>
      <c r="W32" s="301"/>
      <c r="X32" s="5"/>
    </row>
    <row r="33" spans="1:24" ht="15.6" x14ac:dyDescent="0.3">
      <c r="A33" s="287"/>
      <c r="B33" s="295" t="s">
        <v>134</v>
      </c>
      <c r="C33" s="298"/>
      <c r="D33" s="307">
        <f>D37*D31</f>
        <v>1068798.45</v>
      </c>
      <c r="E33" s="302"/>
      <c r="F33" s="305">
        <f>F37*F31</f>
        <v>89066.625</v>
      </c>
      <c r="G33" s="305"/>
      <c r="H33" s="308">
        <f>H31*H37</f>
        <v>175283.11799999999</v>
      </c>
      <c r="I33" s="308"/>
      <c r="J33" s="307">
        <f>J37*J31</f>
        <v>285012.92</v>
      </c>
      <c r="K33" s="305"/>
      <c r="L33" s="305">
        <f>L31*L37</f>
        <v>51900</v>
      </c>
      <c r="M33" s="305"/>
      <c r="N33" s="308">
        <f>N31*N37</f>
        <v>88800</v>
      </c>
      <c r="O33" s="305"/>
      <c r="P33" s="305">
        <f>P31*P37</f>
        <v>20000</v>
      </c>
      <c r="Q33" s="305"/>
      <c r="R33" s="308">
        <f>R31*R37</f>
        <v>135500</v>
      </c>
      <c r="S33" s="299"/>
      <c r="T33" s="299"/>
      <c r="U33" s="300"/>
      <c r="V33" s="299"/>
      <c r="W33" s="301"/>
      <c r="X33" s="5"/>
    </row>
    <row r="34" spans="1:24" ht="15.6" x14ac:dyDescent="0.3">
      <c r="A34" s="292"/>
      <c r="B34" s="288" t="s">
        <v>296</v>
      </c>
      <c r="C34" s="302"/>
      <c r="D34" s="299">
        <v>775194</v>
      </c>
      <c r="E34" s="298"/>
      <c r="F34" s="299">
        <v>125000</v>
      </c>
      <c r="G34" s="299"/>
      <c r="H34" s="299">
        <v>168148</v>
      </c>
      <c r="I34" s="299"/>
      <c r="J34" s="299">
        <v>206718</v>
      </c>
      <c r="K34" s="299"/>
      <c r="L34" s="299">
        <v>51900</v>
      </c>
      <c r="M34" s="299"/>
      <c r="N34" s="299">
        <v>60697</v>
      </c>
      <c r="O34" s="299"/>
      <c r="P34" s="299">
        <v>20000</v>
      </c>
      <c r="Q34" s="299"/>
      <c r="R34" s="299">
        <v>92618</v>
      </c>
      <c r="S34" s="305"/>
      <c r="T34" s="305"/>
      <c r="U34" s="306"/>
      <c r="V34" s="299">
        <f>SUM(C34:R34)</f>
        <v>1500275</v>
      </c>
      <c r="W34" s="301"/>
      <c r="X34" s="5"/>
    </row>
    <row r="35" spans="1:24" ht="15.6" x14ac:dyDescent="0.3">
      <c r="A35" s="292"/>
      <c r="B35" s="288" t="s">
        <v>297</v>
      </c>
      <c r="C35" s="302"/>
      <c r="D35" s="299">
        <f>D34*D38</f>
        <v>556092.93528179999</v>
      </c>
      <c r="E35" s="298"/>
      <c r="F35" s="299">
        <f>F34*F38</f>
        <v>89670.05</v>
      </c>
      <c r="G35" s="299"/>
      <c r="H35" s="299">
        <f>H34*H38</f>
        <v>120622.7165392</v>
      </c>
      <c r="I35" s="299"/>
      <c r="J35" s="299">
        <f>J34*J38</f>
        <v>148291.1624646</v>
      </c>
      <c r="K35" s="299"/>
      <c r="L35" s="299">
        <f>+L34</f>
        <v>51900</v>
      </c>
      <c r="M35" s="299"/>
      <c r="N35" s="299">
        <f>+N34</f>
        <v>60697</v>
      </c>
      <c r="O35" s="299"/>
      <c r="P35" s="299">
        <f>+P34</f>
        <v>20000</v>
      </c>
      <c r="Q35" s="299"/>
      <c r="R35" s="299">
        <f>+R34</f>
        <v>92618</v>
      </c>
      <c r="S35" s="299"/>
      <c r="T35" s="299"/>
      <c r="U35" s="300"/>
      <c r="V35" s="299">
        <f>SUM(C35:R35)</f>
        <v>1139891.8642856001</v>
      </c>
      <c r="W35" s="301"/>
      <c r="X35" s="5"/>
    </row>
    <row r="36" spans="1:24" ht="15.6" x14ac:dyDescent="0.3">
      <c r="A36" s="292"/>
      <c r="B36" s="295" t="s">
        <v>298</v>
      </c>
      <c r="C36" s="302"/>
      <c r="D36" s="305">
        <f>D34*D37</f>
        <v>552350.76376620005</v>
      </c>
      <c r="E36" s="302"/>
      <c r="F36" s="305">
        <f>F34*F37</f>
        <v>89066.625</v>
      </c>
      <c r="G36" s="305"/>
      <c r="H36" s="305">
        <f>H34*H37</f>
        <v>119810.998884</v>
      </c>
      <c r="I36" s="305"/>
      <c r="J36" s="305">
        <f>J34*J37</f>
        <v>147293.2519914</v>
      </c>
      <c r="K36" s="305"/>
      <c r="L36" s="305">
        <f>L34*L37</f>
        <v>51900</v>
      </c>
      <c r="M36" s="305"/>
      <c r="N36" s="305">
        <f>N34*N37</f>
        <v>60697</v>
      </c>
      <c r="O36" s="305"/>
      <c r="P36" s="305">
        <f>P34*P37</f>
        <v>20000</v>
      </c>
      <c r="Q36" s="305"/>
      <c r="R36" s="305">
        <f>R34*R37</f>
        <v>92618</v>
      </c>
      <c r="S36" s="328"/>
      <c r="T36" s="328"/>
      <c r="U36" s="300"/>
      <c r="V36" s="305">
        <f>SUM(C36:R36)</f>
        <v>1133736.6396416002</v>
      </c>
      <c r="W36" s="301"/>
      <c r="X36" s="5"/>
    </row>
    <row r="37" spans="1:24" ht="15.6" x14ac:dyDescent="0.3">
      <c r="A37" s="287"/>
      <c r="B37" s="313" t="s">
        <v>130</v>
      </c>
      <c r="C37" s="314"/>
      <c r="D37" s="315">
        <v>0.71253230000000001</v>
      </c>
      <c r="E37" s="315"/>
      <c r="F37" s="315">
        <v>0.71253299999999997</v>
      </c>
      <c r="G37" s="315"/>
      <c r="H37" s="315">
        <v>0.71253299999999997</v>
      </c>
      <c r="I37" s="315"/>
      <c r="J37" s="315">
        <v>0.71253230000000001</v>
      </c>
      <c r="K37" s="315"/>
      <c r="L37" s="315">
        <v>1</v>
      </c>
      <c r="M37" s="315"/>
      <c r="N37" s="315">
        <v>1</v>
      </c>
      <c r="O37" s="315"/>
      <c r="P37" s="315">
        <v>1</v>
      </c>
      <c r="Q37" s="315"/>
      <c r="R37" s="315">
        <v>1</v>
      </c>
      <c r="S37" s="316"/>
      <c r="T37" s="316"/>
      <c r="U37" s="317"/>
      <c r="V37" s="317"/>
      <c r="W37" s="318"/>
      <c r="X37" s="5"/>
    </row>
    <row r="38" spans="1:24" ht="15.6" x14ac:dyDescent="0.3">
      <c r="A38" s="287"/>
      <c r="B38" s="313" t="s">
        <v>131</v>
      </c>
      <c r="C38" s="314"/>
      <c r="D38" s="315">
        <v>0.71735970000000004</v>
      </c>
      <c r="E38" s="315"/>
      <c r="F38" s="315">
        <v>0.71736040000000001</v>
      </c>
      <c r="G38" s="315"/>
      <c r="H38" s="315">
        <v>0.71736040000000001</v>
      </c>
      <c r="I38" s="315"/>
      <c r="J38" s="315">
        <v>0.71735970000000004</v>
      </c>
      <c r="K38" s="315"/>
      <c r="L38" s="315">
        <v>1</v>
      </c>
      <c r="M38" s="315"/>
      <c r="N38" s="315">
        <v>1</v>
      </c>
      <c r="O38" s="315"/>
      <c r="P38" s="315">
        <v>1</v>
      </c>
      <c r="Q38" s="315"/>
      <c r="R38" s="315">
        <v>1</v>
      </c>
      <c r="S38" s="319"/>
      <c r="T38" s="320"/>
      <c r="U38" s="317"/>
      <c r="V38" s="319"/>
      <c r="W38" s="318"/>
      <c r="X38" s="5"/>
    </row>
    <row r="39" spans="1:24" ht="15.6" x14ac:dyDescent="0.3">
      <c r="A39" s="287"/>
      <c r="B39" s="288" t="s">
        <v>11</v>
      </c>
      <c r="C39" s="288"/>
      <c r="D39" s="296" t="s">
        <v>285</v>
      </c>
      <c r="E39" s="288"/>
      <c r="F39" s="296" t="s">
        <v>258</v>
      </c>
      <c r="G39" s="296"/>
      <c r="H39" s="296" t="s">
        <v>258</v>
      </c>
      <c r="I39" s="296"/>
      <c r="J39" s="296" t="s">
        <v>258</v>
      </c>
      <c r="K39" s="296"/>
      <c r="L39" s="296" t="s">
        <v>232</v>
      </c>
      <c r="M39" s="296"/>
      <c r="N39" s="296" t="s">
        <v>232</v>
      </c>
      <c r="O39" s="296"/>
      <c r="P39" s="296" t="s">
        <v>233</v>
      </c>
      <c r="Q39" s="296"/>
      <c r="R39" s="296" t="s">
        <v>233</v>
      </c>
      <c r="S39" s="321"/>
      <c r="T39" s="322"/>
      <c r="U39" s="290"/>
      <c r="V39" s="290"/>
      <c r="W39" s="291"/>
      <c r="X39" s="5"/>
    </row>
    <row r="40" spans="1:24" ht="15.6" x14ac:dyDescent="0.3">
      <c r="A40" s="287"/>
      <c r="B40" s="288" t="s">
        <v>12</v>
      </c>
      <c r="C40" s="288"/>
      <c r="D40" s="322">
        <v>3.49E-3</v>
      </c>
      <c r="E40" s="288"/>
      <c r="F40" s="322">
        <v>1.0178100000000001E-2</v>
      </c>
      <c r="G40" s="321"/>
      <c r="H40" s="322">
        <v>1.6279999999999999E-2</v>
      </c>
      <c r="I40" s="322"/>
      <c r="J40" s="322">
        <v>4.4711000000000004E-3</v>
      </c>
      <c r="K40" s="321"/>
      <c r="L40" s="322">
        <v>1.0978099999999999E-2</v>
      </c>
      <c r="M40" s="321"/>
      <c r="N40" s="322">
        <v>1.7080000000000001E-2</v>
      </c>
      <c r="O40" s="321"/>
      <c r="P40" s="322">
        <v>1.2978099999999999E-2</v>
      </c>
      <c r="Q40" s="321"/>
      <c r="R40" s="322">
        <v>1.908E-2</v>
      </c>
      <c r="S40" s="321"/>
      <c r="T40" s="322"/>
      <c r="U40" s="290"/>
      <c r="V40" s="296"/>
      <c r="W40" s="291"/>
      <c r="X40" s="5"/>
    </row>
    <row r="41" spans="1:24" ht="15.6" x14ac:dyDescent="0.3">
      <c r="A41" s="287"/>
      <c r="B41" s="288" t="s">
        <v>13</v>
      </c>
      <c r="C41" s="288"/>
      <c r="D41" s="322">
        <v>3.0722000000000002E-3</v>
      </c>
      <c r="E41" s="288"/>
      <c r="F41" s="322">
        <v>9.2437999999999999E-3</v>
      </c>
      <c r="G41" s="321"/>
      <c r="H41" s="322">
        <v>1.5709999999999998E-2</v>
      </c>
      <c r="I41" s="322"/>
      <c r="J41" s="322">
        <v>3.47E-3</v>
      </c>
      <c r="K41" s="321"/>
      <c r="L41" s="322">
        <v>1.00438E-2</v>
      </c>
      <c r="M41" s="321"/>
      <c r="N41" s="322">
        <v>1.651E-2</v>
      </c>
      <c r="O41" s="321"/>
      <c r="P41" s="322">
        <v>1.20438E-2</v>
      </c>
      <c r="Q41" s="321"/>
      <c r="R41" s="322">
        <v>1.8509999999999999E-2</v>
      </c>
      <c r="S41" s="321"/>
      <c r="T41" s="322"/>
      <c r="U41" s="290"/>
      <c r="V41" s="321" t="s">
        <v>193</v>
      </c>
      <c r="W41" s="291"/>
      <c r="X41" s="5"/>
    </row>
    <row r="42" spans="1:24" ht="15.6" x14ac:dyDescent="0.3">
      <c r="A42" s="287"/>
      <c r="B42" s="288" t="s">
        <v>299</v>
      </c>
      <c r="C42" s="288"/>
      <c r="D42" s="296" t="s">
        <v>286</v>
      </c>
      <c r="E42" s="288"/>
      <c r="F42" s="296" t="s">
        <v>258</v>
      </c>
      <c r="G42" s="296"/>
      <c r="H42" s="296" t="s">
        <v>259</v>
      </c>
      <c r="I42" s="296"/>
      <c r="J42" s="296" t="s">
        <v>260</v>
      </c>
      <c r="K42" s="296"/>
      <c r="L42" s="296" t="s">
        <v>232</v>
      </c>
      <c r="M42" s="296"/>
      <c r="N42" s="296" t="s">
        <v>235</v>
      </c>
      <c r="O42" s="296"/>
      <c r="P42" s="296" t="s">
        <v>233</v>
      </c>
      <c r="Q42" s="296"/>
      <c r="R42" s="296" t="s">
        <v>261</v>
      </c>
      <c r="S42" s="321"/>
      <c r="T42" s="322"/>
      <c r="U42" s="290"/>
      <c r="V42" s="290"/>
      <c r="W42" s="291"/>
      <c r="X42" s="5"/>
    </row>
    <row r="43" spans="1:24" ht="15.6" x14ac:dyDescent="0.3">
      <c r="A43" s="287"/>
      <c r="B43" s="288" t="s">
        <v>300</v>
      </c>
      <c r="C43" s="323"/>
      <c r="D43" s="322">
        <v>1.05171E-2</v>
      </c>
      <c r="E43" s="322"/>
      <c r="F43" s="322">
        <f>+F40</f>
        <v>1.0178100000000001E-2</v>
      </c>
      <c r="G43" s="322"/>
      <c r="H43" s="322">
        <v>1.03181E-2</v>
      </c>
      <c r="I43" s="322"/>
      <c r="J43" s="322">
        <v>1.0541099999999999E-2</v>
      </c>
      <c r="K43" s="322"/>
      <c r="L43" s="322">
        <f>+L40</f>
        <v>1.0978099999999999E-2</v>
      </c>
      <c r="M43" s="322"/>
      <c r="N43" s="322">
        <v>1.12741E-2</v>
      </c>
      <c r="O43" s="322"/>
      <c r="P43" s="322">
        <f>+P40</f>
        <v>1.2978099999999999E-2</v>
      </c>
      <c r="Q43" s="321"/>
      <c r="R43" s="322">
        <v>1.35111E-2</v>
      </c>
      <c r="S43" s="296"/>
      <c r="T43" s="296"/>
      <c r="U43" s="290"/>
      <c r="V43" s="321">
        <f>SUMPRODUCT(D43:R43,D35:R35)/V35</f>
        <v>1.0820241685790004E-2</v>
      </c>
      <c r="W43" s="291"/>
      <c r="X43" s="5"/>
    </row>
    <row r="44" spans="1:24" ht="15.6" x14ac:dyDescent="0.3">
      <c r="A44" s="287"/>
      <c r="B44" s="288" t="s">
        <v>301</v>
      </c>
      <c r="C44" s="323"/>
      <c r="D44" s="322">
        <v>9.5828000000000007E-3</v>
      </c>
      <c r="E44" s="322"/>
      <c r="F44" s="322">
        <f>+F41</f>
        <v>9.2437999999999999E-3</v>
      </c>
      <c r="G44" s="322"/>
      <c r="H44" s="322">
        <v>9.3837999999999994E-3</v>
      </c>
      <c r="I44" s="322"/>
      <c r="J44" s="322">
        <v>9.6068000000000004E-3</v>
      </c>
      <c r="K44" s="322"/>
      <c r="L44" s="322">
        <f>+L41</f>
        <v>1.00438E-2</v>
      </c>
      <c r="M44" s="322"/>
      <c r="N44" s="322">
        <v>1.03398E-2</v>
      </c>
      <c r="O44" s="322"/>
      <c r="P44" s="322">
        <f>+P41</f>
        <v>1.20438E-2</v>
      </c>
      <c r="Q44" s="321"/>
      <c r="R44" s="322">
        <v>1.2576800000000001E-2</v>
      </c>
      <c r="S44" s="296"/>
      <c r="T44" s="296"/>
      <c r="U44" s="290"/>
      <c r="V44" s="290"/>
      <c r="W44" s="291"/>
      <c r="X44" s="5"/>
    </row>
    <row r="45" spans="1:24" ht="15.6" x14ac:dyDescent="0.3">
      <c r="A45" s="287"/>
      <c r="B45" s="288" t="s">
        <v>14</v>
      </c>
      <c r="C45" s="288"/>
      <c r="D45" s="323">
        <v>40617</v>
      </c>
      <c r="E45" s="323"/>
      <c r="F45" s="323">
        <v>40617</v>
      </c>
      <c r="G45" s="323"/>
      <c r="H45" s="323">
        <v>40617</v>
      </c>
      <c r="I45" s="323"/>
      <c r="J45" s="323">
        <v>40617</v>
      </c>
      <c r="K45" s="323"/>
      <c r="L45" s="323">
        <v>40617</v>
      </c>
      <c r="M45" s="323"/>
      <c r="N45" s="323">
        <v>40617</v>
      </c>
      <c r="O45" s="323"/>
      <c r="P45" s="323">
        <v>40617</v>
      </c>
      <c r="Q45" s="323"/>
      <c r="R45" s="323">
        <v>40617</v>
      </c>
      <c r="S45" s="296"/>
      <c r="T45" s="296"/>
      <c r="U45" s="290"/>
      <c r="V45" s="290"/>
      <c r="W45" s="291"/>
      <c r="X45" s="5"/>
    </row>
    <row r="46" spans="1:24" ht="15.6" x14ac:dyDescent="0.3">
      <c r="A46" s="287"/>
      <c r="B46" s="288" t="s">
        <v>15</v>
      </c>
      <c r="C46" s="288"/>
      <c r="D46" s="323">
        <v>40983</v>
      </c>
      <c r="E46" s="323"/>
      <c r="F46" s="323">
        <v>40983</v>
      </c>
      <c r="G46" s="323"/>
      <c r="H46" s="323">
        <v>40983</v>
      </c>
      <c r="I46" s="323"/>
      <c r="J46" s="323">
        <v>40983</v>
      </c>
      <c r="K46" s="296"/>
      <c r="L46" s="323">
        <v>40983</v>
      </c>
      <c r="M46" s="296"/>
      <c r="N46" s="323">
        <v>40983</v>
      </c>
      <c r="O46" s="296"/>
      <c r="P46" s="323">
        <v>40983</v>
      </c>
      <c r="Q46" s="296"/>
      <c r="R46" s="323">
        <v>40983</v>
      </c>
      <c r="S46" s="296"/>
      <c r="T46" s="296"/>
      <c r="U46" s="290"/>
      <c r="V46" s="290"/>
      <c r="W46" s="291"/>
      <c r="X46" s="5"/>
    </row>
    <row r="47" spans="1:24" ht="15.6" x14ac:dyDescent="0.3">
      <c r="A47" s="287"/>
      <c r="B47" s="288" t="s">
        <v>119</v>
      </c>
      <c r="C47" s="288"/>
      <c r="D47" s="296" t="s">
        <v>231</v>
      </c>
      <c r="E47" s="288"/>
      <c r="F47" s="296" t="s">
        <v>231</v>
      </c>
      <c r="G47" s="296"/>
      <c r="H47" s="296" t="s">
        <v>231</v>
      </c>
      <c r="I47" s="296"/>
      <c r="J47" s="296" t="s">
        <v>231</v>
      </c>
      <c r="K47" s="296"/>
      <c r="L47" s="296" t="s">
        <v>265</v>
      </c>
      <c r="M47" s="296"/>
      <c r="N47" s="296" t="s">
        <v>265</v>
      </c>
      <c r="O47" s="296"/>
      <c r="P47" s="296" t="s">
        <v>266</v>
      </c>
      <c r="Q47" s="296"/>
      <c r="R47" s="296" t="s">
        <v>266</v>
      </c>
      <c r="S47" s="325"/>
      <c r="T47" s="325"/>
      <c r="U47" s="325"/>
      <c r="V47" s="325"/>
      <c r="W47" s="291"/>
      <c r="X47" s="5"/>
    </row>
    <row r="48" spans="1:24" ht="15.6" x14ac:dyDescent="0.3">
      <c r="A48" s="287"/>
      <c r="B48" s="288" t="s">
        <v>302</v>
      </c>
      <c r="C48" s="288"/>
      <c r="D48" s="296" t="s">
        <v>200</v>
      </c>
      <c r="E48" s="288"/>
      <c r="F48" s="296" t="s">
        <v>231</v>
      </c>
      <c r="G48" s="296"/>
      <c r="H48" s="296" t="s">
        <v>262</v>
      </c>
      <c r="I48" s="296"/>
      <c r="J48" s="296" t="s">
        <v>263</v>
      </c>
      <c r="K48" s="296"/>
      <c r="L48" s="296" t="s">
        <v>265</v>
      </c>
      <c r="M48" s="296"/>
      <c r="N48" s="296" t="s">
        <v>234</v>
      </c>
      <c r="O48" s="296"/>
      <c r="P48" s="296" t="s">
        <v>266</v>
      </c>
      <c r="Q48" s="296"/>
      <c r="R48" s="296" t="s">
        <v>264</v>
      </c>
      <c r="S48" s="288"/>
      <c r="T48" s="288"/>
      <c r="U48" s="288"/>
      <c r="V48" s="321"/>
      <c r="W48" s="291"/>
      <c r="X48" s="5"/>
    </row>
    <row r="49" spans="1:25" ht="15.6" x14ac:dyDescent="0.3">
      <c r="A49" s="287"/>
      <c r="B49" s="288"/>
      <c r="C49" s="288"/>
      <c r="D49" s="296"/>
      <c r="E49" s="288"/>
      <c r="F49" s="296"/>
      <c r="G49" s="296"/>
      <c r="H49" s="296"/>
      <c r="I49" s="296"/>
      <c r="J49" s="296"/>
      <c r="K49" s="296"/>
      <c r="L49" s="296"/>
      <c r="M49" s="296"/>
      <c r="N49" s="296"/>
      <c r="O49" s="296"/>
      <c r="P49" s="296"/>
      <c r="Q49" s="296"/>
      <c r="R49" s="296"/>
      <c r="S49" s="288"/>
      <c r="T49" s="288"/>
      <c r="U49" s="288"/>
      <c r="V49" s="321" t="s">
        <v>193</v>
      </c>
      <c r="W49" s="291"/>
      <c r="X49" s="5"/>
    </row>
    <row r="50" spans="1:25" ht="15.6" x14ac:dyDescent="0.3">
      <c r="A50" s="287"/>
      <c r="B50" s="288" t="s">
        <v>169</v>
      </c>
      <c r="C50" s="288"/>
      <c r="D50" s="296"/>
      <c r="E50" s="288"/>
      <c r="F50" s="296"/>
      <c r="G50" s="296"/>
      <c r="H50" s="296"/>
      <c r="I50" s="296"/>
      <c r="J50" s="296"/>
      <c r="K50" s="296"/>
      <c r="L50" s="296"/>
      <c r="M50" s="296"/>
      <c r="N50" s="296"/>
      <c r="O50" s="296"/>
      <c r="P50" s="296"/>
      <c r="Q50" s="296"/>
      <c r="R50" s="296"/>
      <c r="S50" s="288"/>
      <c r="T50" s="288"/>
      <c r="U50" s="288"/>
      <c r="V50" s="321">
        <f>SUM(L34:R34)/SUM(D34:J34)</f>
        <v>0.17663090364375009</v>
      </c>
      <c r="W50" s="291"/>
      <c r="X50" s="5"/>
    </row>
    <row r="51" spans="1:25" ht="15.6" x14ac:dyDescent="0.3">
      <c r="A51" s="287"/>
      <c r="B51" s="288" t="s">
        <v>170</v>
      </c>
      <c r="C51" s="288"/>
      <c r="D51" s="288"/>
      <c r="E51" s="288"/>
      <c r="F51" s="326"/>
      <c r="G51" s="288"/>
      <c r="H51" s="288"/>
      <c r="I51" s="288"/>
      <c r="J51" s="288"/>
      <c r="K51" s="288"/>
      <c r="L51" s="288"/>
      <c r="M51" s="288"/>
      <c r="N51" s="288"/>
      <c r="O51" s="288"/>
      <c r="P51" s="288"/>
      <c r="Q51" s="288"/>
      <c r="R51" s="288"/>
      <c r="S51" s="288"/>
      <c r="T51" s="288"/>
      <c r="U51" s="288"/>
      <c r="V51" s="321">
        <f>SUM(L36:R36)/SUM(D36:J36)</f>
        <v>0.24789172890680333</v>
      </c>
      <c r="W51" s="291"/>
      <c r="X51" s="5"/>
    </row>
    <row r="52" spans="1:25" ht="15.6" x14ac:dyDescent="0.3">
      <c r="A52" s="287"/>
      <c r="B52" s="288" t="s">
        <v>171</v>
      </c>
      <c r="C52" s="288"/>
      <c r="D52" s="288"/>
      <c r="E52" s="288"/>
      <c r="F52" s="288"/>
      <c r="G52" s="288"/>
      <c r="H52" s="288"/>
      <c r="I52" s="288"/>
      <c r="J52" s="288"/>
      <c r="K52" s="288"/>
      <c r="L52" s="288"/>
      <c r="M52" s="288"/>
      <c r="N52" s="288"/>
      <c r="O52" s="288"/>
      <c r="P52" s="288"/>
      <c r="Q52" s="288"/>
      <c r="R52" s="288"/>
      <c r="S52" s="288"/>
      <c r="T52" s="296"/>
      <c r="U52" s="296"/>
      <c r="V52" s="299" t="s">
        <v>276</v>
      </c>
      <c r="W52" s="291"/>
      <c r="X52" s="5"/>
    </row>
    <row r="53" spans="1:25" ht="15.6" x14ac:dyDescent="0.3">
      <c r="A53" s="287"/>
      <c r="B53" s="288"/>
      <c r="C53" s="288"/>
      <c r="D53" s="288"/>
      <c r="E53" s="288"/>
      <c r="F53" s="288"/>
      <c r="G53" s="288"/>
      <c r="H53" s="288"/>
      <c r="I53" s="288"/>
      <c r="J53" s="288"/>
      <c r="K53" s="288"/>
      <c r="L53" s="288"/>
      <c r="M53" s="288"/>
      <c r="N53" s="288"/>
      <c r="O53" s="288"/>
      <c r="P53" s="288"/>
      <c r="Q53" s="288"/>
      <c r="R53" s="288"/>
      <c r="S53" s="288"/>
      <c r="T53" s="288"/>
      <c r="U53" s="288"/>
      <c r="V53" s="327"/>
      <c r="W53" s="291"/>
      <c r="X53" s="5"/>
    </row>
    <row r="54" spans="1:25" ht="15.6" x14ac:dyDescent="0.3">
      <c r="A54" s="287"/>
      <c r="B54" s="288" t="s">
        <v>202</v>
      </c>
      <c r="C54" s="288"/>
      <c r="D54" s="288"/>
      <c r="E54" s="288"/>
      <c r="F54" s="288"/>
      <c r="G54" s="288"/>
      <c r="H54" s="288"/>
      <c r="I54" s="288"/>
      <c r="J54" s="288"/>
      <c r="K54" s="288"/>
      <c r="L54" s="288"/>
      <c r="M54" s="288"/>
      <c r="N54" s="288"/>
      <c r="O54" s="288"/>
      <c r="P54" s="288"/>
      <c r="Q54" s="288"/>
      <c r="R54" s="288"/>
      <c r="S54" s="288"/>
      <c r="T54" s="288"/>
      <c r="U54" s="288"/>
      <c r="V54" s="328" t="s">
        <v>203</v>
      </c>
      <c r="W54" s="291"/>
      <c r="X54" s="5"/>
    </row>
    <row r="55" spans="1:25" ht="15.6" x14ac:dyDescent="0.3">
      <c r="A55" s="287"/>
      <c r="B55" s="288" t="s">
        <v>280</v>
      </c>
      <c r="C55" s="288"/>
      <c r="D55" s="288"/>
      <c r="E55" s="288"/>
      <c r="F55" s="288"/>
      <c r="G55" s="288"/>
      <c r="H55" s="288"/>
      <c r="I55" s="288"/>
      <c r="J55" s="288"/>
      <c r="K55" s="288"/>
      <c r="L55" s="288"/>
      <c r="M55" s="288"/>
      <c r="N55" s="288"/>
      <c r="O55" s="288"/>
      <c r="P55" s="288"/>
      <c r="Q55" s="288"/>
      <c r="R55" s="288"/>
      <c r="S55" s="288"/>
      <c r="T55" s="296"/>
      <c r="U55" s="296"/>
      <c r="V55" s="329" t="s">
        <v>111</v>
      </c>
      <c r="W55" s="291"/>
      <c r="X55" s="5"/>
    </row>
    <row r="56" spans="1:25" ht="15.6" x14ac:dyDescent="0.3">
      <c r="A56" s="287"/>
      <c r="B56" s="295" t="s">
        <v>201</v>
      </c>
      <c r="C56" s="295"/>
      <c r="D56" s="295"/>
      <c r="E56" s="295"/>
      <c r="F56" s="295"/>
      <c r="G56" s="295"/>
      <c r="H56" s="295"/>
      <c r="I56" s="295"/>
      <c r="J56" s="295"/>
      <c r="K56" s="295"/>
      <c r="L56" s="295"/>
      <c r="M56" s="295"/>
      <c r="N56" s="295"/>
      <c r="O56" s="295"/>
      <c r="P56" s="295"/>
      <c r="Q56" s="295"/>
      <c r="R56" s="295"/>
      <c r="S56" s="295"/>
      <c r="T56" s="330"/>
      <c r="U56" s="330"/>
      <c r="V56" s="331">
        <v>40892</v>
      </c>
      <c r="W56" s="291"/>
      <c r="X56" s="5"/>
    </row>
    <row r="57" spans="1:25" ht="15.6" x14ac:dyDescent="0.3">
      <c r="A57" s="287"/>
      <c r="B57" s="288" t="s">
        <v>121</v>
      </c>
      <c r="C57" s="288"/>
      <c r="D57" s="288"/>
      <c r="E57" s="288"/>
      <c r="F57" s="288"/>
      <c r="G57" s="288"/>
      <c r="H57" s="332"/>
      <c r="I57" s="332"/>
      <c r="J57" s="332"/>
      <c r="K57" s="332"/>
      <c r="L57" s="332"/>
      <c r="M57" s="332"/>
      <c r="N57" s="332"/>
      <c r="O57" s="332"/>
      <c r="P57" s="332"/>
      <c r="Q57" s="332"/>
      <c r="R57" s="288">
        <f>+V57-T57+1</f>
        <v>92</v>
      </c>
      <c r="S57" s="332"/>
      <c r="T57" s="333">
        <v>40709</v>
      </c>
      <c r="U57" s="334"/>
      <c r="V57" s="333">
        <v>40800</v>
      </c>
      <c r="W57" s="291"/>
      <c r="X57" s="5"/>
    </row>
    <row r="58" spans="1:25" ht="15.6" x14ac:dyDescent="0.3">
      <c r="A58" s="287"/>
      <c r="B58" s="288" t="s">
        <v>122</v>
      </c>
      <c r="C58" s="288"/>
      <c r="D58" s="288"/>
      <c r="E58" s="288"/>
      <c r="F58" s="288"/>
      <c r="G58" s="288"/>
      <c r="H58" s="288"/>
      <c r="I58" s="288"/>
      <c r="J58" s="288"/>
      <c r="K58" s="288"/>
      <c r="L58" s="288"/>
      <c r="M58" s="288"/>
      <c r="N58" s="288"/>
      <c r="O58" s="288"/>
      <c r="P58" s="288"/>
      <c r="Q58" s="288"/>
      <c r="R58" s="288">
        <f>+V58-T58+1</f>
        <v>91</v>
      </c>
      <c r="S58" s="288"/>
      <c r="T58" s="333">
        <v>40801</v>
      </c>
      <c r="U58" s="334"/>
      <c r="V58" s="333">
        <v>40891</v>
      </c>
      <c r="W58" s="291"/>
      <c r="X58" s="5"/>
    </row>
    <row r="59" spans="1:25" ht="15.6" x14ac:dyDescent="0.3">
      <c r="A59" s="287"/>
      <c r="B59" s="288" t="s">
        <v>229</v>
      </c>
      <c r="C59" s="288"/>
      <c r="D59" s="288"/>
      <c r="E59" s="288"/>
      <c r="F59" s="288"/>
      <c r="G59" s="288"/>
      <c r="H59" s="288"/>
      <c r="I59" s="288"/>
      <c r="J59" s="288"/>
      <c r="K59" s="288"/>
      <c r="L59" s="288"/>
      <c r="M59" s="288"/>
      <c r="N59" s="288"/>
      <c r="O59" s="288"/>
      <c r="P59" s="288"/>
      <c r="Q59" s="288"/>
      <c r="R59" s="288"/>
      <c r="S59" s="288"/>
      <c r="T59" s="333"/>
      <c r="U59" s="334"/>
      <c r="V59" s="333" t="s">
        <v>120</v>
      </c>
      <c r="W59" s="291"/>
      <c r="X59" s="5"/>
    </row>
    <row r="60" spans="1:25" ht="15.6" x14ac:dyDescent="0.3">
      <c r="A60" s="287"/>
      <c r="B60" s="288" t="s">
        <v>228</v>
      </c>
      <c r="C60" s="288"/>
      <c r="D60" s="288"/>
      <c r="E60" s="288"/>
      <c r="F60" s="288"/>
      <c r="G60" s="288"/>
      <c r="H60" s="288"/>
      <c r="I60" s="288"/>
      <c r="J60" s="288"/>
      <c r="K60" s="288"/>
      <c r="L60" s="288"/>
      <c r="M60" s="288"/>
      <c r="N60" s="288"/>
      <c r="O60" s="288"/>
      <c r="P60" s="288"/>
      <c r="Q60" s="288"/>
      <c r="R60" s="288"/>
      <c r="S60" s="288"/>
      <c r="T60" s="333"/>
      <c r="U60" s="334"/>
      <c r="V60" s="333" t="s">
        <v>154</v>
      </c>
      <c r="W60" s="291"/>
      <c r="X60" s="5"/>
      <c r="Y60" s="134"/>
    </row>
    <row r="61" spans="1:25" ht="15.6" x14ac:dyDescent="0.3">
      <c r="A61" s="287"/>
      <c r="B61" s="288" t="s">
        <v>16</v>
      </c>
      <c r="C61" s="288"/>
      <c r="D61" s="288"/>
      <c r="E61" s="288"/>
      <c r="F61" s="288"/>
      <c r="G61" s="288"/>
      <c r="H61" s="288"/>
      <c r="I61" s="288"/>
      <c r="J61" s="288"/>
      <c r="K61" s="288"/>
      <c r="L61" s="288"/>
      <c r="M61" s="288"/>
      <c r="N61" s="288"/>
      <c r="O61" s="288"/>
      <c r="P61" s="288"/>
      <c r="Q61" s="288"/>
      <c r="R61" s="288"/>
      <c r="S61" s="288"/>
      <c r="T61" s="333"/>
      <c r="U61" s="334"/>
      <c r="V61" s="333">
        <v>40878</v>
      </c>
      <c r="W61" s="291"/>
      <c r="X61" s="5"/>
    </row>
    <row r="62" spans="1:25" ht="15.6" x14ac:dyDescent="0.3">
      <c r="A62" s="183"/>
      <c r="B62" s="284"/>
      <c r="C62" s="284"/>
      <c r="D62" s="284"/>
      <c r="E62" s="284"/>
      <c r="F62" s="284"/>
      <c r="G62" s="284"/>
      <c r="H62" s="284"/>
      <c r="I62" s="284"/>
      <c r="J62" s="284"/>
      <c r="K62" s="284"/>
      <c r="L62" s="284"/>
      <c r="M62" s="284"/>
      <c r="N62" s="284"/>
      <c r="O62" s="284"/>
      <c r="P62" s="284"/>
      <c r="Q62" s="284"/>
      <c r="R62" s="284"/>
      <c r="S62" s="284"/>
      <c r="T62" s="285"/>
      <c r="U62" s="286"/>
      <c r="V62" s="285"/>
      <c r="W62" s="284"/>
      <c r="X62" s="5"/>
    </row>
    <row r="63" spans="1:25" ht="15.6" x14ac:dyDescent="0.3">
      <c r="A63" s="183"/>
      <c r="B63" s="224"/>
      <c r="C63" s="224"/>
      <c r="D63" s="224"/>
      <c r="E63" s="224"/>
      <c r="F63" s="224"/>
      <c r="G63" s="224"/>
      <c r="H63" s="224"/>
      <c r="I63" s="224"/>
      <c r="J63" s="224"/>
      <c r="K63" s="224"/>
      <c r="L63" s="224"/>
      <c r="M63" s="224"/>
      <c r="N63" s="224"/>
      <c r="O63" s="224"/>
      <c r="P63" s="224"/>
      <c r="Q63" s="224"/>
      <c r="R63" s="224"/>
      <c r="S63" s="224"/>
      <c r="T63" s="235"/>
      <c r="U63" s="236"/>
      <c r="V63" s="235"/>
      <c r="W63" s="224"/>
      <c r="X63" s="5"/>
    </row>
    <row r="64" spans="1:25" ht="18" thickBot="1" x14ac:dyDescent="0.35">
      <c r="A64" s="199"/>
      <c r="B64" s="237" t="s">
        <v>313</v>
      </c>
      <c r="C64" s="238"/>
      <c r="D64" s="238"/>
      <c r="E64" s="238"/>
      <c r="F64" s="238"/>
      <c r="G64" s="238"/>
      <c r="H64" s="238"/>
      <c r="I64" s="238"/>
      <c r="J64" s="238"/>
      <c r="K64" s="238"/>
      <c r="L64" s="238"/>
      <c r="M64" s="238"/>
      <c r="N64" s="238"/>
      <c r="O64" s="238"/>
      <c r="P64" s="238"/>
      <c r="Q64" s="238"/>
      <c r="R64" s="238"/>
      <c r="S64" s="238"/>
      <c r="T64" s="238"/>
      <c r="U64" s="238"/>
      <c r="V64" s="239"/>
      <c r="W64" s="240"/>
      <c r="X64" s="5"/>
    </row>
    <row r="65" spans="1:24" ht="15.6" x14ac:dyDescent="0.3">
      <c r="A65" s="262"/>
      <c r="B65" s="399" t="s">
        <v>17</v>
      </c>
      <c r="C65" s="263"/>
      <c r="D65" s="263"/>
      <c r="E65" s="263"/>
      <c r="F65" s="263"/>
      <c r="G65" s="263"/>
      <c r="H65" s="263"/>
      <c r="I65" s="263"/>
      <c r="J65" s="263"/>
      <c r="K65" s="263"/>
      <c r="L65" s="263"/>
      <c r="M65" s="263"/>
      <c r="N65" s="263"/>
      <c r="O65" s="263"/>
      <c r="P65" s="263"/>
      <c r="Q65" s="263"/>
      <c r="R65" s="263"/>
      <c r="S65" s="263"/>
      <c r="T65" s="263"/>
      <c r="U65" s="263"/>
      <c r="V65" s="268"/>
      <c r="W65" s="263"/>
      <c r="X65" s="5"/>
    </row>
    <row r="66" spans="1:24" ht="15.6" x14ac:dyDescent="0.3">
      <c r="A66" s="183"/>
      <c r="B66" s="191"/>
      <c r="C66" s="185"/>
      <c r="D66" s="185"/>
      <c r="E66" s="185"/>
      <c r="F66" s="185"/>
      <c r="G66" s="185"/>
      <c r="H66" s="185"/>
      <c r="I66" s="185"/>
      <c r="J66" s="185"/>
      <c r="K66" s="185"/>
      <c r="L66" s="185"/>
      <c r="M66" s="185"/>
      <c r="N66" s="185"/>
      <c r="O66" s="185"/>
      <c r="P66" s="185"/>
      <c r="Q66" s="185"/>
      <c r="R66" s="185"/>
      <c r="S66" s="185"/>
      <c r="T66" s="185"/>
      <c r="U66" s="185"/>
      <c r="V66" s="201"/>
      <c r="W66" s="185"/>
      <c r="X66" s="5"/>
    </row>
    <row r="67" spans="1:24" ht="46.8" x14ac:dyDescent="0.3">
      <c r="A67" s="183"/>
      <c r="B67" s="202" t="s">
        <v>18</v>
      </c>
      <c r="C67" s="203"/>
      <c r="D67" s="203"/>
      <c r="E67" s="203"/>
      <c r="F67" s="203"/>
      <c r="G67" s="203"/>
      <c r="H67" s="203"/>
      <c r="I67" s="203"/>
      <c r="J67" s="203"/>
      <c r="K67" s="203"/>
      <c r="L67" s="203" t="s">
        <v>94</v>
      </c>
      <c r="M67" s="203"/>
      <c r="N67" s="203" t="s">
        <v>96</v>
      </c>
      <c r="O67" s="203"/>
      <c r="P67" s="203" t="s">
        <v>98</v>
      </c>
      <c r="Q67" s="203"/>
      <c r="R67" s="203" t="s">
        <v>100</v>
      </c>
      <c r="S67" s="203"/>
      <c r="T67" s="203" t="s">
        <v>106</v>
      </c>
      <c r="U67" s="203"/>
      <c r="V67" s="204" t="s">
        <v>112</v>
      </c>
      <c r="W67" s="205"/>
      <c r="X67" s="5"/>
    </row>
    <row r="68" spans="1:24" ht="15.6" x14ac:dyDescent="0.3">
      <c r="A68" s="287"/>
      <c r="B68" s="288" t="s">
        <v>19</v>
      </c>
      <c r="C68" s="337"/>
      <c r="D68" s="337"/>
      <c r="E68" s="337"/>
      <c r="F68" s="337"/>
      <c r="G68" s="337"/>
      <c r="H68" s="337"/>
      <c r="I68" s="337"/>
      <c r="J68" s="337"/>
      <c r="K68" s="337"/>
      <c r="L68" s="337">
        <v>1158015</v>
      </c>
      <c r="M68" s="337"/>
      <c r="N68" s="338">
        <v>1139892</v>
      </c>
      <c r="O68" s="337"/>
      <c r="P68" s="337">
        <f>6155+51+15</f>
        <v>6221</v>
      </c>
      <c r="Q68" s="337"/>
      <c r="R68" s="337">
        <f>51+15</f>
        <v>66</v>
      </c>
      <c r="S68" s="337"/>
      <c r="T68" s="337">
        <v>0</v>
      </c>
      <c r="U68" s="337"/>
      <c r="V68" s="338">
        <f>+N68-P68+R68-T68</f>
        <v>1133737</v>
      </c>
      <c r="W68" s="291"/>
      <c r="X68" s="5"/>
    </row>
    <row r="69" spans="1:24" ht="15.6" x14ac:dyDescent="0.3">
      <c r="A69" s="287"/>
      <c r="B69" s="288" t="s">
        <v>20</v>
      </c>
      <c r="C69" s="337"/>
      <c r="D69" s="337"/>
      <c r="E69" s="337"/>
      <c r="F69" s="337"/>
      <c r="G69" s="337"/>
      <c r="H69" s="337"/>
      <c r="I69" s="337"/>
      <c r="J69" s="337"/>
      <c r="K69" s="337"/>
      <c r="L69" s="337">
        <v>15</v>
      </c>
      <c r="M69" s="337"/>
      <c r="N69" s="338">
        <v>0</v>
      </c>
      <c r="O69" s="337"/>
      <c r="P69" s="337">
        <v>0</v>
      </c>
      <c r="Q69" s="337"/>
      <c r="R69" s="337">
        <v>0</v>
      </c>
      <c r="S69" s="337"/>
      <c r="T69" s="337">
        <v>0</v>
      </c>
      <c r="U69" s="337"/>
      <c r="V69" s="338">
        <v>0</v>
      </c>
      <c r="W69" s="291"/>
      <c r="X69" s="5"/>
    </row>
    <row r="70" spans="1:24" ht="15.6" x14ac:dyDescent="0.3">
      <c r="A70" s="287"/>
      <c r="B70" s="288"/>
      <c r="C70" s="337"/>
      <c r="D70" s="337"/>
      <c r="E70" s="337"/>
      <c r="F70" s="337"/>
      <c r="G70" s="337"/>
      <c r="H70" s="337"/>
      <c r="I70" s="337"/>
      <c r="J70" s="337"/>
      <c r="K70" s="337"/>
      <c r="L70" s="337"/>
      <c r="M70" s="337"/>
      <c r="N70" s="338"/>
      <c r="O70" s="337"/>
      <c r="P70" s="337"/>
      <c r="Q70" s="337"/>
      <c r="R70" s="337"/>
      <c r="S70" s="337"/>
      <c r="T70" s="337"/>
      <c r="U70" s="337"/>
      <c r="V70" s="338"/>
      <c r="W70" s="291"/>
      <c r="X70" s="5"/>
    </row>
    <row r="71" spans="1:24" ht="15.6" x14ac:dyDescent="0.3">
      <c r="A71" s="287"/>
      <c r="B71" s="288" t="s">
        <v>21</v>
      </c>
      <c r="C71" s="337"/>
      <c r="D71" s="337"/>
      <c r="E71" s="337"/>
      <c r="F71" s="337"/>
      <c r="G71" s="337"/>
      <c r="H71" s="337"/>
      <c r="I71" s="337"/>
      <c r="J71" s="337"/>
      <c r="K71" s="337"/>
      <c r="L71" s="337">
        <f>SUM(L68:L70)</f>
        <v>1158030</v>
      </c>
      <c r="M71" s="337"/>
      <c r="N71" s="337">
        <f>N68+N69</f>
        <v>1139892</v>
      </c>
      <c r="O71" s="337"/>
      <c r="P71" s="337">
        <f>SUM(P68:P70)</f>
        <v>6221</v>
      </c>
      <c r="Q71" s="337"/>
      <c r="R71" s="337">
        <f>SUM(R68:R70)</f>
        <v>66</v>
      </c>
      <c r="S71" s="337"/>
      <c r="T71" s="337">
        <f>SUM(T68:T70)</f>
        <v>0</v>
      </c>
      <c r="U71" s="337"/>
      <c r="V71" s="337">
        <f>SUM(V68:V70)</f>
        <v>1133737</v>
      </c>
      <c r="W71" s="291"/>
      <c r="X71" s="5"/>
    </row>
    <row r="72" spans="1:24" ht="15.6" x14ac:dyDescent="0.3">
      <c r="A72" s="183"/>
      <c r="B72" s="198"/>
      <c r="C72" s="335"/>
      <c r="D72" s="335"/>
      <c r="E72" s="335"/>
      <c r="F72" s="335"/>
      <c r="G72" s="335"/>
      <c r="H72" s="335"/>
      <c r="I72" s="335"/>
      <c r="J72" s="335"/>
      <c r="K72" s="335"/>
      <c r="L72" s="335"/>
      <c r="M72" s="335"/>
      <c r="N72" s="335"/>
      <c r="O72" s="335"/>
      <c r="P72" s="335"/>
      <c r="Q72" s="335"/>
      <c r="R72" s="335"/>
      <c r="S72" s="335"/>
      <c r="T72" s="335"/>
      <c r="U72" s="335"/>
      <c r="V72" s="336"/>
      <c r="W72" s="198"/>
      <c r="X72" s="5"/>
    </row>
    <row r="73" spans="1:24" ht="15.6" x14ac:dyDescent="0.3">
      <c r="A73" s="183"/>
      <c r="B73" s="187" t="s">
        <v>22</v>
      </c>
      <c r="C73" s="206"/>
      <c r="D73" s="206"/>
      <c r="E73" s="206"/>
      <c r="F73" s="206"/>
      <c r="G73" s="206"/>
      <c r="H73" s="206"/>
      <c r="I73" s="206"/>
      <c r="J73" s="206"/>
      <c r="K73" s="206"/>
      <c r="L73" s="206"/>
      <c r="M73" s="206"/>
      <c r="N73" s="206"/>
      <c r="O73" s="206"/>
      <c r="P73" s="206"/>
      <c r="Q73" s="206"/>
      <c r="R73" s="206"/>
      <c r="S73" s="206"/>
      <c r="T73" s="206"/>
      <c r="U73" s="206"/>
      <c r="V73" s="207"/>
      <c r="W73" s="185"/>
      <c r="X73" s="5"/>
    </row>
    <row r="74" spans="1:24" ht="15.6" x14ac:dyDescent="0.3">
      <c r="A74" s="183"/>
      <c r="B74" s="185"/>
      <c r="C74" s="206"/>
      <c r="D74" s="206"/>
      <c r="E74" s="206"/>
      <c r="F74" s="206"/>
      <c r="G74" s="206"/>
      <c r="H74" s="206"/>
      <c r="I74" s="206"/>
      <c r="J74" s="206"/>
      <c r="K74" s="206"/>
      <c r="L74" s="206"/>
      <c r="M74" s="206"/>
      <c r="N74" s="206"/>
      <c r="O74" s="206"/>
      <c r="P74" s="206"/>
      <c r="Q74" s="206"/>
      <c r="R74" s="206"/>
      <c r="S74" s="206"/>
      <c r="T74" s="206"/>
      <c r="U74" s="206"/>
      <c r="V74" s="207"/>
      <c r="W74" s="185"/>
      <c r="X74" s="5"/>
    </row>
    <row r="75" spans="1:24" ht="15.6" x14ac:dyDescent="0.3">
      <c r="A75" s="340"/>
      <c r="B75" s="288" t="s">
        <v>19</v>
      </c>
      <c r="C75" s="337"/>
      <c r="D75" s="337"/>
      <c r="E75" s="337"/>
      <c r="F75" s="337"/>
      <c r="G75" s="337"/>
      <c r="H75" s="337"/>
      <c r="I75" s="337"/>
      <c r="J75" s="337"/>
      <c r="K75" s="337"/>
      <c r="L75" s="337"/>
      <c r="M75" s="337"/>
      <c r="N75" s="337"/>
      <c r="O75" s="337"/>
      <c r="P75" s="337"/>
      <c r="Q75" s="337"/>
      <c r="R75" s="337"/>
      <c r="S75" s="337"/>
      <c r="T75" s="337"/>
      <c r="U75" s="337"/>
      <c r="V75" s="337"/>
      <c r="W75" s="291"/>
      <c r="X75" s="5"/>
    </row>
    <row r="76" spans="1:24" ht="15.6" x14ac:dyDescent="0.3">
      <c r="A76" s="340"/>
      <c r="B76" s="288" t="s">
        <v>20</v>
      </c>
      <c r="C76" s="337"/>
      <c r="D76" s="337"/>
      <c r="E76" s="337"/>
      <c r="F76" s="337"/>
      <c r="G76" s="337"/>
      <c r="H76" s="337"/>
      <c r="I76" s="337"/>
      <c r="J76" s="337"/>
      <c r="K76" s="337"/>
      <c r="L76" s="337"/>
      <c r="M76" s="337"/>
      <c r="N76" s="337"/>
      <c r="O76" s="337"/>
      <c r="P76" s="337"/>
      <c r="Q76" s="337"/>
      <c r="R76" s="337"/>
      <c r="S76" s="337"/>
      <c r="T76" s="337"/>
      <c r="U76" s="337"/>
      <c r="V76" s="337"/>
      <c r="W76" s="291"/>
      <c r="X76" s="5"/>
    </row>
    <row r="77" spans="1:24" ht="15.6" x14ac:dyDescent="0.3">
      <c r="A77" s="340"/>
      <c r="B77" s="288"/>
      <c r="C77" s="337"/>
      <c r="D77" s="337"/>
      <c r="E77" s="337"/>
      <c r="F77" s="337"/>
      <c r="G77" s="337"/>
      <c r="H77" s="337"/>
      <c r="I77" s="337"/>
      <c r="J77" s="337"/>
      <c r="K77" s="337"/>
      <c r="L77" s="337"/>
      <c r="M77" s="337"/>
      <c r="N77" s="337"/>
      <c r="O77" s="337"/>
      <c r="P77" s="337"/>
      <c r="Q77" s="337"/>
      <c r="R77" s="337"/>
      <c r="S77" s="337"/>
      <c r="T77" s="337"/>
      <c r="U77" s="337"/>
      <c r="V77" s="337"/>
      <c r="W77" s="291"/>
      <c r="X77" s="5"/>
    </row>
    <row r="78" spans="1:24" ht="15.6" x14ac:dyDescent="0.3">
      <c r="A78" s="340"/>
      <c r="B78" s="288" t="s">
        <v>21</v>
      </c>
      <c r="C78" s="337"/>
      <c r="D78" s="337"/>
      <c r="E78" s="337"/>
      <c r="F78" s="337"/>
      <c r="G78" s="337"/>
      <c r="H78" s="337"/>
      <c r="I78" s="337"/>
      <c r="J78" s="337"/>
      <c r="K78" s="337"/>
      <c r="L78" s="337"/>
      <c r="M78" s="337"/>
      <c r="N78" s="337"/>
      <c r="O78" s="337"/>
      <c r="P78" s="337"/>
      <c r="Q78" s="337"/>
      <c r="R78" s="337"/>
      <c r="S78" s="337"/>
      <c r="T78" s="337"/>
      <c r="U78" s="337"/>
      <c r="V78" s="337"/>
      <c r="W78" s="291"/>
      <c r="X78" s="5"/>
    </row>
    <row r="79" spans="1:24" ht="15.6" x14ac:dyDescent="0.3">
      <c r="A79" s="340"/>
      <c r="B79" s="288"/>
      <c r="C79" s="337"/>
      <c r="D79" s="337"/>
      <c r="E79" s="337"/>
      <c r="F79" s="337"/>
      <c r="G79" s="337"/>
      <c r="H79" s="337"/>
      <c r="I79" s="337"/>
      <c r="J79" s="337"/>
      <c r="K79" s="337"/>
      <c r="L79" s="337"/>
      <c r="M79" s="337"/>
      <c r="N79" s="337"/>
      <c r="O79" s="337"/>
      <c r="P79" s="337"/>
      <c r="Q79" s="337"/>
      <c r="R79" s="337"/>
      <c r="S79" s="337"/>
      <c r="T79" s="337"/>
      <c r="U79" s="337"/>
      <c r="V79" s="337"/>
      <c r="W79" s="291"/>
      <c r="X79" s="5"/>
    </row>
    <row r="80" spans="1:24" ht="15.6" x14ac:dyDescent="0.3">
      <c r="A80" s="340"/>
      <c r="B80" s="288" t="s">
        <v>23</v>
      </c>
      <c r="C80" s="337"/>
      <c r="D80" s="337"/>
      <c r="E80" s="337"/>
      <c r="F80" s="337"/>
      <c r="G80" s="337"/>
      <c r="H80" s="337"/>
      <c r="I80" s="337"/>
      <c r="J80" s="337"/>
      <c r="K80" s="337"/>
      <c r="L80" s="337">
        <v>0</v>
      </c>
      <c r="M80" s="337"/>
      <c r="N80" s="337">
        <v>0</v>
      </c>
      <c r="O80" s="337"/>
      <c r="P80" s="337"/>
      <c r="Q80" s="337"/>
      <c r="R80" s="337"/>
      <c r="S80" s="337"/>
      <c r="T80" s="337"/>
      <c r="U80" s="337"/>
      <c r="V80" s="338">
        <v>0</v>
      </c>
      <c r="W80" s="291"/>
      <c r="X80" s="5"/>
    </row>
    <row r="81" spans="1:24" ht="15.6" x14ac:dyDescent="0.3">
      <c r="A81" s="340"/>
      <c r="B81" s="288" t="s">
        <v>117</v>
      </c>
      <c r="C81" s="337"/>
      <c r="D81" s="337"/>
      <c r="E81" s="337"/>
      <c r="F81" s="337"/>
      <c r="G81" s="337"/>
      <c r="H81" s="337"/>
      <c r="I81" s="337"/>
      <c r="J81" s="337"/>
      <c r="K81" s="337"/>
      <c r="L81" s="337">
        <v>342245</v>
      </c>
      <c r="M81" s="337"/>
      <c r="N81" s="337">
        <v>0</v>
      </c>
      <c r="O81" s="337"/>
      <c r="P81" s="337">
        <v>0</v>
      </c>
      <c r="Q81" s="337"/>
      <c r="R81" s="337"/>
      <c r="S81" s="337"/>
      <c r="T81" s="337"/>
      <c r="U81" s="337"/>
      <c r="V81" s="337">
        <f>SUM(N81:R81)</f>
        <v>0</v>
      </c>
      <c r="W81" s="291"/>
      <c r="X81" s="5"/>
    </row>
    <row r="82" spans="1:24" ht="15.6" x14ac:dyDescent="0.3">
      <c r="A82" s="340"/>
      <c r="B82" s="288"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91"/>
      <c r="X82" s="5"/>
    </row>
    <row r="83" spans="1:24" ht="15.6" x14ac:dyDescent="0.3">
      <c r="A83" s="340"/>
      <c r="B83" s="288" t="s">
        <v>25</v>
      </c>
      <c r="C83" s="337"/>
      <c r="D83" s="337"/>
      <c r="E83" s="337"/>
      <c r="F83" s="337"/>
      <c r="G83" s="337"/>
      <c r="H83" s="337"/>
      <c r="I83" s="337"/>
      <c r="J83" s="337"/>
      <c r="K83" s="337"/>
      <c r="L83" s="337">
        <v>0</v>
      </c>
      <c r="M83" s="337"/>
      <c r="N83" s="337">
        <v>0</v>
      </c>
      <c r="O83" s="337"/>
      <c r="P83" s="337"/>
      <c r="Q83" s="337"/>
      <c r="R83" s="337"/>
      <c r="S83" s="337"/>
      <c r="T83" s="337"/>
      <c r="U83" s="337"/>
      <c r="V83" s="337">
        <v>0</v>
      </c>
      <c r="W83" s="291"/>
      <c r="X83" s="5"/>
    </row>
    <row r="84" spans="1:24" ht="15.6" x14ac:dyDescent="0.3">
      <c r="A84" s="340"/>
      <c r="B84" s="288" t="s">
        <v>26</v>
      </c>
      <c r="C84" s="337"/>
      <c r="D84" s="337"/>
      <c r="E84" s="337"/>
      <c r="F84" s="337"/>
      <c r="G84" s="337"/>
      <c r="H84" s="337"/>
      <c r="I84" s="337"/>
      <c r="J84" s="337"/>
      <c r="K84" s="337"/>
      <c r="L84" s="337">
        <f>SUM(L71:L83)</f>
        <v>1500275</v>
      </c>
      <c r="M84" s="337"/>
      <c r="N84" s="337">
        <f>SUM(N71:N83)</f>
        <v>1139892</v>
      </c>
      <c r="O84" s="337"/>
      <c r="P84" s="337"/>
      <c r="Q84" s="337"/>
      <c r="R84" s="337"/>
      <c r="S84" s="337"/>
      <c r="T84" s="337"/>
      <c r="U84" s="337"/>
      <c r="V84" s="337">
        <f>SUM(V71:V83)</f>
        <v>1133737</v>
      </c>
      <c r="W84" s="291"/>
      <c r="X84" s="5"/>
    </row>
    <row r="85" spans="1:24" ht="15.6" x14ac:dyDescent="0.3">
      <c r="A85" s="243"/>
      <c r="B85" s="284"/>
      <c r="C85" s="339"/>
      <c r="D85" s="339"/>
      <c r="E85" s="339"/>
      <c r="F85" s="339"/>
      <c r="G85" s="339"/>
      <c r="H85" s="339"/>
      <c r="I85" s="339"/>
      <c r="J85" s="339"/>
      <c r="K85" s="339"/>
      <c r="L85" s="339"/>
      <c r="M85" s="339"/>
      <c r="N85" s="339"/>
      <c r="O85" s="339"/>
      <c r="P85" s="339"/>
      <c r="Q85" s="339"/>
      <c r="R85" s="339"/>
      <c r="S85" s="339"/>
      <c r="T85" s="339"/>
      <c r="U85" s="339"/>
      <c r="V85" s="339"/>
      <c r="W85" s="284"/>
      <c r="X85" s="5"/>
    </row>
    <row r="86" spans="1:24" ht="15.6" x14ac:dyDescent="0.3">
      <c r="A86" s="243"/>
      <c r="B86" s="224"/>
      <c r="C86" s="224"/>
      <c r="D86" s="224"/>
      <c r="E86" s="224"/>
      <c r="F86" s="224"/>
      <c r="G86" s="224"/>
      <c r="H86" s="224"/>
      <c r="I86" s="224"/>
      <c r="J86" s="224"/>
      <c r="K86" s="224"/>
      <c r="L86" s="224"/>
      <c r="M86" s="224"/>
      <c r="N86" s="224"/>
      <c r="O86" s="224"/>
      <c r="P86" s="224"/>
      <c r="Q86" s="224"/>
      <c r="R86" s="224"/>
      <c r="S86" s="224"/>
      <c r="T86" s="224"/>
      <c r="U86" s="224"/>
      <c r="V86" s="224"/>
      <c r="W86" s="224"/>
      <c r="X86" s="5"/>
    </row>
    <row r="87" spans="1:24" ht="15.6" x14ac:dyDescent="0.3">
      <c r="A87" s="262"/>
      <c r="B87" s="399" t="s">
        <v>27</v>
      </c>
      <c r="C87" s="399"/>
      <c r="D87" s="399"/>
      <c r="E87" s="399"/>
      <c r="F87" s="399"/>
      <c r="G87" s="399"/>
      <c r="H87" s="400"/>
      <c r="I87" s="400"/>
      <c r="J87" s="400"/>
      <c r="K87" s="400"/>
      <c r="L87" s="401" t="s">
        <v>95</v>
      </c>
      <c r="M87" s="400"/>
      <c r="N87" s="402">
        <f>+T205</f>
        <v>40877</v>
      </c>
      <c r="O87" s="400"/>
      <c r="P87" s="400"/>
      <c r="Q87" s="400"/>
      <c r="R87" s="400"/>
      <c r="S87" s="400"/>
      <c r="T87" s="400" t="s">
        <v>107</v>
      </c>
      <c r="U87" s="400"/>
      <c r="V87" s="400" t="s">
        <v>113</v>
      </c>
      <c r="W87" s="263"/>
      <c r="X87" s="5"/>
    </row>
    <row r="88" spans="1:24" ht="15.6" x14ac:dyDescent="0.3">
      <c r="A88" s="242"/>
      <c r="B88" s="231" t="s">
        <v>28</v>
      </c>
      <c r="C88" s="231"/>
      <c r="D88" s="231"/>
      <c r="E88" s="231"/>
      <c r="F88" s="231"/>
      <c r="G88" s="231"/>
      <c r="H88" s="231"/>
      <c r="I88" s="231"/>
      <c r="J88" s="231"/>
      <c r="K88" s="231"/>
      <c r="L88" s="231"/>
      <c r="M88" s="231"/>
      <c r="N88" s="231"/>
      <c r="O88" s="231"/>
      <c r="P88" s="231"/>
      <c r="Q88" s="231"/>
      <c r="R88" s="231"/>
      <c r="S88" s="231"/>
      <c r="T88" s="234">
        <v>0</v>
      </c>
      <c r="U88" s="231"/>
      <c r="V88" s="241">
        <v>0</v>
      </c>
      <c r="W88" s="231"/>
      <c r="X88" s="5"/>
    </row>
    <row r="89" spans="1:24" ht="15.6" x14ac:dyDescent="0.3">
      <c r="A89" s="340"/>
      <c r="B89" s="288" t="s">
        <v>29</v>
      </c>
      <c r="C89" s="288"/>
      <c r="D89" s="288"/>
      <c r="E89" s="288"/>
      <c r="F89" s="288"/>
      <c r="G89" s="288"/>
      <c r="H89" s="325"/>
      <c r="I89" s="325"/>
      <c r="J89" s="325"/>
      <c r="K89" s="341"/>
      <c r="L89" s="325"/>
      <c r="M89" s="288"/>
      <c r="N89" s="342"/>
      <c r="O89" s="288"/>
      <c r="P89" s="288"/>
      <c r="Q89" s="288"/>
      <c r="R89" s="288"/>
      <c r="S89" s="288"/>
      <c r="T89" s="337">
        <f>6221-47</f>
        <v>6174</v>
      </c>
      <c r="U89" s="288"/>
      <c r="V89" s="338"/>
      <c r="W89" s="291"/>
      <c r="X89" s="5"/>
    </row>
    <row r="90" spans="1:24" ht="15.6" x14ac:dyDescent="0.3">
      <c r="A90" s="340"/>
      <c r="B90" s="288" t="s">
        <v>216</v>
      </c>
      <c r="C90" s="288"/>
      <c r="D90" s="288"/>
      <c r="E90" s="288"/>
      <c r="F90" s="288"/>
      <c r="G90" s="288"/>
      <c r="H90" s="325"/>
      <c r="I90" s="325"/>
      <c r="J90" s="325"/>
      <c r="K90" s="341"/>
      <c r="L90" s="325"/>
      <c r="M90" s="288"/>
      <c r="N90" s="342"/>
      <c r="O90" s="288"/>
      <c r="P90" s="288"/>
      <c r="Q90" s="288"/>
      <c r="R90" s="288"/>
      <c r="S90" s="288"/>
      <c r="T90" s="337"/>
      <c r="U90" s="288"/>
      <c r="V90" s="338">
        <f>3617+4960-267-770</f>
        <v>7540</v>
      </c>
      <c r="W90" s="291"/>
      <c r="X90" s="5"/>
    </row>
    <row r="91" spans="1:24" ht="15.6" x14ac:dyDescent="0.3">
      <c r="A91" s="340"/>
      <c r="B91" s="288" t="s">
        <v>211</v>
      </c>
      <c r="C91" s="288"/>
      <c r="D91" s="288"/>
      <c r="E91" s="288"/>
      <c r="F91" s="288"/>
      <c r="G91" s="288"/>
      <c r="H91" s="325"/>
      <c r="I91" s="325"/>
      <c r="J91" s="325"/>
      <c r="K91" s="341"/>
      <c r="L91" s="325"/>
      <c r="M91" s="288"/>
      <c r="N91" s="342"/>
      <c r="O91" s="288"/>
      <c r="P91" s="288"/>
      <c r="Q91" s="288"/>
      <c r="R91" s="288"/>
      <c r="S91" s="288"/>
      <c r="T91" s="337"/>
      <c r="U91" s="288"/>
      <c r="V91" s="338">
        <f>6+19</f>
        <v>25</v>
      </c>
      <c r="W91" s="291"/>
      <c r="X91" s="5"/>
    </row>
    <row r="92" spans="1:24" ht="15.6" x14ac:dyDescent="0.3">
      <c r="A92" s="340"/>
      <c r="B92" s="288" t="s">
        <v>212</v>
      </c>
      <c r="C92" s="288"/>
      <c r="D92" s="288"/>
      <c r="E92" s="288"/>
      <c r="F92" s="288"/>
      <c r="G92" s="288"/>
      <c r="H92" s="325"/>
      <c r="I92" s="325"/>
      <c r="J92" s="325"/>
      <c r="K92" s="341"/>
      <c r="L92" s="325"/>
      <c r="M92" s="288"/>
      <c r="N92" s="342"/>
      <c r="O92" s="288"/>
      <c r="P92" s="288"/>
      <c r="Q92" s="288"/>
      <c r="R92" s="288"/>
      <c r="S92" s="288"/>
      <c r="T92" s="337"/>
      <c r="U92" s="288"/>
      <c r="V92" s="338">
        <v>41</v>
      </c>
      <c r="W92" s="291"/>
      <c r="X92" s="5"/>
    </row>
    <row r="93" spans="1:24" ht="15.6" x14ac:dyDescent="0.3">
      <c r="A93" s="340"/>
      <c r="B93" s="288" t="s">
        <v>272</v>
      </c>
      <c r="C93" s="288"/>
      <c r="D93" s="288"/>
      <c r="E93" s="288"/>
      <c r="F93" s="288"/>
      <c r="G93" s="288"/>
      <c r="H93" s="325"/>
      <c r="I93" s="325"/>
      <c r="J93" s="325"/>
      <c r="K93" s="341"/>
      <c r="L93" s="325"/>
      <c r="M93" s="288"/>
      <c r="N93" s="342"/>
      <c r="O93" s="288"/>
      <c r="P93" s="288"/>
      <c r="Q93" s="288"/>
      <c r="R93" s="288"/>
      <c r="S93" s="288"/>
      <c r="T93" s="337"/>
      <c r="U93" s="288"/>
      <c r="V93" s="338">
        <v>0</v>
      </c>
      <c r="W93" s="291"/>
      <c r="X93" s="5"/>
    </row>
    <row r="94" spans="1:24" ht="15.6" x14ac:dyDescent="0.3">
      <c r="A94" s="340"/>
      <c r="B94" s="288" t="s">
        <v>274</v>
      </c>
      <c r="C94" s="288"/>
      <c r="D94" s="288"/>
      <c r="E94" s="288"/>
      <c r="F94" s="288"/>
      <c r="G94" s="288"/>
      <c r="H94" s="325"/>
      <c r="I94" s="325"/>
      <c r="J94" s="325"/>
      <c r="K94" s="341"/>
      <c r="L94" s="325"/>
      <c r="M94" s="288"/>
      <c r="N94" s="342"/>
      <c r="O94" s="288"/>
      <c r="P94" s="288"/>
      <c r="Q94" s="288"/>
      <c r="R94" s="288"/>
      <c r="S94" s="288"/>
      <c r="T94" s="337"/>
      <c r="U94" s="288"/>
      <c r="V94" s="338">
        <v>0</v>
      </c>
      <c r="W94" s="291"/>
      <c r="X94" s="5"/>
    </row>
    <row r="95" spans="1:24" ht="15.6" x14ac:dyDescent="0.3">
      <c r="A95" s="340"/>
      <c r="B95" s="288" t="s">
        <v>135</v>
      </c>
      <c r="C95" s="288"/>
      <c r="D95" s="288"/>
      <c r="E95" s="288"/>
      <c r="F95" s="288"/>
      <c r="G95" s="288"/>
      <c r="H95" s="288"/>
      <c r="I95" s="288"/>
      <c r="J95" s="288"/>
      <c r="K95" s="288"/>
      <c r="L95" s="288"/>
      <c r="M95" s="288"/>
      <c r="N95" s="288"/>
      <c r="O95" s="288"/>
      <c r="P95" s="288"/>
      <c r="Q95" s="288"/>
      <c r="R95" s="288"/>
      <c r="S95" s="288"/>
      <c r="T95" s="337"/>
      <c r="U95" s="288"/>
      <c r="V95" s="338">
        <v>0</v>
      </c>
      <c r="W95" s="291"/>
      <c r="X95" s="5"/>
    </row>
    <row r="96" spans="1:24" ht="15.6" x14ac:dyDescent="0.3">
      <c r="A96" s="340"/>
      <c r="B96" s="288" t="s">
        <v>268</v>
      </c>
      <c r="C96" s="288"/>
      <c r="D96" s="288"/>
      <c r="E96" s="288"/>
      <c r="F96" s="288"/>
      <c r="G96" s="288"/>
      <c r="H96" s="288"/>
      <c r="I96" s="288"/>
      <c r="J96" s="288"/>
      <c r="K96" s="288"/>
      <c r="L96" s="288"/>
      <c r="M96" s="288"/>
      <c r="N96" s="288"/>
      <c r="O96" s="288"/>
      <c r="P96" s="288"/>
      <c r="Q96" s="288"/>
      <c r="R96" s="288"/>
      <c r="S96" s="288"/>
      <c r="T96" s="337"/>
      <c r="U96" s="288"/>
      <c r="V96" s="338">
        <v>0</v>
      </c>
      <c r="W96" s="291"/>
      <c r="X96" s="5"/>
    </row>
    <row r="97" spans="1:25" ht="15.6" x14ac:dyDescent="0.3">
      <c r="A97" s="340"/>
      <c r="B97" s="288" t="s">
        <v>30</v>
      </c>
      <c r="C97" s="288"/>
      <c r="D97" s="288"/>
      <c r="E97" s="288"/>
      <c r="F97" s="288"/>
      <c r="G97" s="288"/>
      <c r="H97" s="288"/>
      <c r="I97" s="288"/>
      <c r="J97" s="288"/>
      <c r="K97" s="288"/>
      <c r="L97" s="288"/>
      <c r="M97" s="288"/>
      <c r="N97" s="288"/>
      <c r="O97" s="288"/>
      <c r="P97" s="288"/>
      <c r="Q97" s="288"/>
      <c r="R97" s="288"/>
      <c r="S97" s="288"/>
      <c r="T97" s="337">
        <f>SUM(T88:T96)</f>
        <v>6174</v>
      </c>
      <c r="U97" s="288"/>
      <c r="V97" s="337">
        <f>SUM(V88:V96)</f>
        <v>7606</v>
      </c>
      <c r="W97" s="291"/>
      <c r="X97" s="5"/>
    </row>
    <row r="98" spans="1:25" ht="15.6" x14ac:dyDescent="0.3">
      <c r="A98" s="340"/>
      <c r="B98" s="288" t="s">
        <v>161</v>
      </c>
      <c r="C98" s="288"/>
      <c r="D98" s="288"/>
      <c r="E98" s="288"/>
      <c r="F98" s="288"/>
      <c r="G98" s="288"/>
      <c r="H98" s="288"/>
      <c r="I98" s="288"/>
      <c r="J98" s="288"/>
      <c r="K98" s="288"/>
      <c r="L98" s="288"/>
      <c r="M98" s="288"/>
      <c r="N98" s="288"/>
      <c r="O98" s="288"/>
      <c r="P98" s="288"/>
      <c r="Q98" s="288"/>
      <c r="R98" s="288"/>
      <c r="S98" s="288"/>
      <c r="T98" s="337">
        <f>-V98</f>
        <v>-8</v>
      </c>
      <c r="U98" s="288"/>
      <c r="V98" s="337">
        <v>8</v>
      </c>
      <c r="W98" s="291"/>
      <c r="X98" s="5"/>
    </row>
    <row r="99" spans="1:25" ht="15.6" x14ac:dyDescent="0.3">
      <c r="A99" s="340"/>
      <c r="B99" s="288" t="s">
        <v>31</v>
      </c>
      <c r="C99" s="288"/>
      <c r="D99" s="288"/>
      <c r="E99" s="288"/>
      <c r="F99" s="288"/>
      <c r="G99" s="288"/>
      <c r="H99" s="288"/>
      <c r="I99" s="288"/>
      <c r="J99" s="288"/>
      <c r="K99" s="288"/>
      <c r="L99" s="288"/>
      <c r="M99" s="288"/>
      <c r="N99" s="288"/>
      <c r="O99" s="288"/>
      <c r="P99" s="288"/>
      <c r="Q99" s="288"/>
      <c r="R99" s="288"/>
      <c r="S99" s="288"/>
      <c r="T99" s="337">
        <f>-V99</f>
        <v>0</v>
      </c>
      <c r="U99" s="288"/>
      <c r="V99" s="338">
        <v>0</v>
      </c>
      <c r="W99" s="291"/>
      <c r="X99" s="5"/>
    </row>
    <row r="100" spans="1:25" ht="15.6" x14ac:dyDescent="0.3">
      <c r="A100" s="340"/>
      <c r="B100" s="288" t="s">
        <v>283</v>
      </c>
      <c r="C100" s="288"/>
      <c r="D100" s="288"/>
      <c r="E100" s="288"/>
      <c r="F100" s="288"/>
      <c r="G100" s="288"/>
      <c r="H100" s="288"/>
      <c r="I100" s="288"/>
      <c r="J100" s="288"/>
      <c r="K100" s="288"/>
      <c r="L100" s="288"/>
      <c r="M100" s="288"/>
      <c r="N100" s="288"/>
      <c r="O100" s="288"/>
      <c r="P100" s="288"/>
      <c r="Q100" s="288"/>
      <c r="R100" s="288"/>
      <c r="S100" s="288"/>
      <c r="T100" s="337"/>
      <c r="U100" s="288"/>
      <c r="V100" s="338">
        <v>6</v>
      </c>
      <c r="W100" s="291"/>
      <c r="X100" s="5"/>
    </row>
    <row r="101" spans="1:25" ht="15.6" x14ac:dyDescent="0.3">
      <c r="A101" s="340"/>
      <c r="B101" s="288" t="s">
        <v>32</v>
      </c>
      <c r="C101" s="288"/>
      <c r="D101" s="288"/>
      <c r="E101" s="288"/>
      <c r="F101" s="288"/>
      <c r="G101" s="288"/>
      <c r="H101" s="288"/>
      <c r="I101" s="288"/>
      <c r="J101" s="288"/>
      <c r="K101" s="288"/>
      <c r="L101" s="288"/>
      <c r="M101" s="288"/>
      <c r="N101" s="288"/>
      <c r="O101" s="288"/>
      <c r="P101" s="288"/>
      <c r="Q101" s="288"/>
      <c r="R101" s="288"/>
      <c r="S101" s="288"/>
      <c r="T101" s="337">
        <f>T97+T99+T98</f>
        <v>6166</v>
      </c>
      <c r="U101" s="288"/>
      <c r="V101" s="337">
        <f>V97+V99+V98+V100</f>
        <v>7620</v>
      </c>
      <c r="W101" s="291"/>
      <c r="X101" s="5"/>
    </row>
    <row r="102" spans="1:25" ht="15.6" x14ac:dyDescent="0.3">
      <c r="A102" s="287"/>
      <c r="B102" s="343" t="s">
        <v>33</v>
      </c>
      <c r="C102" s="314"/>
      <c r="D102" s="314"/>
      <c r="E102" s="314"/>
      <c r="F102" s="314"/>
      <c r="G102" s="314"/>
      <c r="H102" s="314"/>
      <c r="I102" s="314"/>
      <c r="J102" s="314"/>
      <c r="K102" s="314"/>
      <c r="L102" s="314"/>
      <c r="M102" s="314"/>
      <c r="N102" s="314"/>
      <c r="O102" s="314"/>
      <c r="P102" s="314"/>
      <c r="Q102" s="314"/>
      <c r="R102" s="314"/>
      <c r="S102" s="314"/>
      <c r="T102" s="344"/>
      <c r="U102" s="314"/>
      <c r="V102" s="345"/>
      <c r="W102" s="318"/>
      <c r="X102" s="5"/>
    </row>
    <row r="103" spans="1:25" ht="15.6" x14ac:dyDescent="0.3">
      <c r="A103" s="340">
        <v>1</v>
      </c>
      <c r="B103" s="288" t="s">
        <v>34</v>
      </c>
      <c r="C103" s="288"/>
      <c r="D103" s="288"/>
      <c r="E103" s="288"/>
      <c r="F103" s="288"/>
      <c r="G103" s="288"/>
      <c r="H103" s="288"/>
      <c r="I103" s="288"/>
      <c r="J103" s="288"/>
      <c r="K103" s="288"/>
      <c r="L103" s="288"/>
      <c r="M103" s="288"/>
      <c r="N103" s="288"/>
      <c r="O103" s="288"/>
      <c r="P103" s="288"/>
      <c r="Q103" s="288"/>
      <c r="R103" s="288"/>
      <c r="S103" s="288"/>
      <c r="T103" s="288"/>
      <c r="U103" s="288"/>
      <c r="V103" s="338">
        <v>0</v>
      </c>
      <c r="W103" s="291"/>
      <c r="X103" s="5"/>
    </row>
    <row r="104" spans="1:25" ht="15.6" x14ac:dyDescent="0.3">
      <c r="A104" s="340">
        <f>+A103+1</f>
        <v>2</v>
      </c>
      <c r="B104" s="288" t="s">
        <v>225</v>
      </c>
      <c r="C104" s="288"/>
      <c r="D104" s="288"/>
      <c r="E104" s="288"/>
      <c r="F104" s="288"/>
      <c r="G104" s="288"/>
      <c r="H104" s="288"/>
      <c r="I104" s="288"/>
      <c r="J104" s="288"/>
      <c r="K104" s="288"/>
      <c r="L104" s="288"/>
      <c r="M104" s="288"/>
      <c r="N104" s="288"/>
      <c r="O104" s="288"/>
      <c r="P104" s="288"/>
      <c r="Q104" s="288"/>
      <c r="R104" s="288"/>
      <c r="S104" s="288"/>
      <c r="T104" s="288"/>
      <c r="U104" s="288"/>
      <c r="V104" s="338">
        <v>-2</v>
      </c>
      <c r="W104" s="291"/>
      <c r="X104" s="5"/>
    </row>
    <row r="105" spans="1:25" ht="15.6" x14ac:dyDescent="0.3">
      <c r="A105" s="340">
        <f>+A104+1</f>
        <v>3</v>
      </c>
      <c r="B105" s="288" t="s">
        <v>204</v>
      </c>
      <c r="C105" s="288"/>
      <c r="D105" s="288"/>
      <c r="E105" s="288"/>
      <c r="F105" s="288"/>
      <c r="G105" s="288"/>
      <c r="H105" s="288"/>
      <c r="I105" s="288"/>
      <c r="J105" s="288"/>
      <c r="K105" s="288"/>
      <c r="L105" s="288"/>
      <c r="M105" s="288"/>
      <c r="N105" s="288"/>
      <c r="O105" s="288"/>
      <c r="P105" s="288"/>
      <c r="Q105" s="288"/>
      <c r="R105" s="288"/>
      <c r="S105" s="288"/>
      <c r="T105" s="288"/>
      <c r="U105" s="288"/>
      <c r="V105" s="338">
        <f>-143-173-14</f>
        <v>-330</v>
      </c>
      <c r="W105" s="291"/>
      <c r="X105" s="5"/>
    </row>
    <row r="106" spans="1:25" ht="15.6" x14ac:dyDescent="0.3">
      <c r="A106" s="340" t="s">
        <v>127</v>
      </c>
      <c r="B106" s="288" t="s">
        <v>116</v>
      </c>
      <c r="C106" s="288"/>
      <c r="D106" s="288"/>
      <c r="E106" s="288"/>
      <c r="F106" s="288"/>
      <c r="G106" s="288"/>
      <c r="H106" s="288"/>
      <c r="I106" s="288"/>
      <c r="J106" s="288"/>
      <c r="K106" s="288"/>
      <c r="L106" s="288"/>
      <c r="M106" s="288"/>
      <c r="N106" s="288"/>
      <c r="O106" s="288"/>
      <c r="P106" s="288"/>
      <c r="Q106" s="288"/>
      <c r="R106" s="288"/>
      <c r="S106" s="288"/>
      <c r="T106" s="288"/>
      <c r="U106" s="288"/>
      <c r="V106" s="338">
        <v>0</v>
      </c>
      <c r="W106" s="291"/>
      <c r="X106" s="5"/>
    </row>
    <row r="107" spans="1:25" ht="15.6" x14ac:dyDescent="0.3">
      <c r="A107" s="340" t="s">
        <v>128</v>
      </c>
      <c r="B107" s="288" t="s">
        <v>222</v>
      </c>
      <c r="C107" s="288"/>
      <c r="D107" s="288"/>
      <c r="E107" s="288"/>
      <c r="F107" s="288"/>
      <c r="G107" s="288"/>
      <c r="H107" s="288"/>
      <c r="I107" s="288"/>
      <c r="J107" s="288"/>
      <c r="K107" s="288"/>
      <c r="L107" s="288"/>
      <c r="M107" s="288"/>
      <c r="N107" s="288"/>
      <c r="O107" s="288"/>
      <c r="P107" s="288"/>
      <c r="Q107" s="288"/>
      <c r="R107" s="288"/>
      <c r="S107" s="288"/>
      <c r="T107" s="288"/>
      <c r="U107" s="288"/>
      <c r="V107" s="338">
        <f>-2386+228</f>
        <v>-2158</v>
      </c>
      <c r="W107" s="291"/>
      <c r="X107" s="5"/>
      <c r="Y107" s="109"/>
    </row>
    <row r="108" spans="1:25" ht="15.6" x14ac:dyDescent="0.3">
      <c r="A108" s="340" t="s">
        <v>150</v>
      </c>
      <c r="B108" s="288" t="s">
        <v>184</v>
      </c>
      <c r="C108" s="288"/>
      <c r="D108" s="288"/>
      <c r="E108" s="288"/>
      <c r="F108" s="288"/>
      <c r="G108" s="288"/>
      <c r="H108" s="288"/>
      <c r="I108" s="288"/>
      <c r="J108" s="288"/>
      <c r="K108" s="288"/>
      <c r="L108" s="288"/>
      <c r="M108" s="288"/>
      <c r="N108" s="288"/>
      <c r="O108" s="288"/>
      <c r="P108" s="288"/>
      <c r="Q108" s="288"/>
      <c r="R108" s="288"/>
      <c r="S108" s="288"/>
      <c r="T108" s="288"/>
      <c r="U108" s="288"/>
      <c r="V108" s="338">
        <v>-228</v>
      </c>
      <c r="W108" s="291"/>
      <c r="X108" s="5"/>
      <c r="Y108" s="109"/>
    </row>
    <row r="109" spans="1:25" ht="15.6" x14ac:dyDescent="0.3">
      <c r="A109" s="340" t="s">
        <v>236</v>
      </c>
      <c r="B109" s="288" t="s">
        <v>238</v>
      </c>
      <c r="C109" s="288"/>
      <c r="D109" s="288"/>
      <c r="E109" s="288"/>
      <c r="F109" s="288"/>
      <c r="G109" s="288"/>
      <c r="H109" s="288"/>
      <c r="I109" s="288"/>
      <c r="J109" s="288"/>
      <c r="K109" s="288"/>
      <c r="L109" s="288"/>
      <c r="M109" s="288"/>
      <c r="N109" s="288"/>
      <c r="O109" s="288"/>
      <c r="P109" s="288"/>
      <c r="Q109" s="288"/>
      <c r="R109" s="288"/>
      <c r="S109" s="288"/>
      <c r="T109" s="288"/>
      <c r="U109" s="288"/>
      <c r="V109" s="338">
        <v>-1</v>
      </c>
      <c r="W109" s="291"/>
      <c r="X109" s="5"/>
    </row>
    <row r="110" spans="1:25" ht="15.6" x14ac:dyDescent="0.3">
      <c r="A110" s="340" t="s">
        <v>205</v>
      </c>
      <c r="B110" s="288" t="s">
        <v>185</v>
      </c>
      <c r="C110" s="288"/>
      <c r="D110" s="288"/>
      <c r="E110" s="288"/>
      <c r="F110" s="288"/>
      <c r="G110" s="288"/>
      <c r="H110" s="288"/>
      <c r="I110" s="288"/>
      <c r="J110" s="288"/>
      <c r="K110" s="288"/>
      <c r="L110" s="288"/>
      <c r="M110" s="288"/>
      <c r="N110" s="288"/>
      <c r="O110" s="288"/>
      <c r="P110" s="288"/>
      <c r="Q110" s="288"/>
      <c r="R110" s="288"/>
      <c r="S110" s="288"/>
      <c r="T110" s="288"/>
      <c r="U110" s="288"/>
      <c r="V110" s="338">
        <v>-171</v>
      </c>
      <c r="W110" s="291"/>
      <c r="X110" s="5"/>
      <c r="Y110" s="109"/>
    </row>
    <row r="111" spans="1:25" ht="15.6" x14ac:dyDescent="0.3">
      <c r="A111" s="340" t="s">
        <v>206</v>
      </c>
      <c r="B111" s="288" t="s">
        <v>186</v>
      </c>
      <c r="C111" s="288"/>
      <c r="D111" s="288"/>
      <c r="E111" s="288"/>
      <c r="F111" s="288"/>
      <c r="G111" s="288"/>
      <c r="H111" s="288"/>
      <c r="I111" s="288"/>
      <c r="J111" s="288"/>
      <c r="K111" s="288"/>
      <c r="L111" s="288"/>
      <c r="M111" s="288"/>
      <c r="N111" s="288"/>
      <c r="O111" s="288"/>
      <c r="P111" s="288"/>
      <c r="Q111" s="288"/>
      <c r="R111" s="288"/>
      <c r="S111" s="288"/>
      <c r="T111" s="288"/>
      <c r="U111" s="288"/>
      <c r="V111" s="338">
        <v>-142</v>
      </c>
      <c r="W111" s="291"/>
      <c r="X111" s="179"/>
      <c r="Y111" s="109"/>
    </row>
    <row r="112" spans="1:25" ht="15.6" x14ac:dyDescent="0.3">
      <c r="A112" s="340" t="s">
        <v>207</v>
      </c>
      <c r="B112" s="288" t="s">
        <v>196</v>
      </c>
      <c r="C112" s="288"/>
      <c r="D112" s="288"/>
      <c r="E112" s="288"/>
      <c r="F112" s="288"/>
      <c r="G112" s="288"/>
      <c r="H112" s="288"/>
      <c r="I112" s="288"/>
      <c r="J112" s="288"/>
      <c r="K112" s="288"/>
      <c r="L112" s="288"/>
      <c r="M112" s="288"/>
      <c r="N112" s="288"/>
      <c r="O112" s="288"/>
      <c r="P112" s="288"/>
      <c r="Q112" s="288"/>
      <c r="R112" s="288"/>
      <c r="S112" s="288"/>
      <c r="T112" s="288"/>
      <c r="U112" s="288"/>
      <c r="V112" s="338">
        <v>-312</v>
      </c>
      <c r="W112" s="291"/>
      <c r="X112" s="5"/>
      <c r="Y112" s="109"/>
    </row>
    <row r="113" spans="1:25" ht="15.6" x14ac:dyDescent="0.3">
      <c r="A113" s="340" t="s">
        <v>224</v>
      </c>
      <c r="B113" s="288" t="s">
        <v>223</v>
      </c>
      <c r="C113" s="288"/>
      <c r="D113" s="288"/>
      <c r="E113" s="288"/>
      <c r="F113" s="288"/>
      <c r="G113" s="288"/>
      <c r="H113" s="288"/>
      <c r="I113" s="288"/>
      <c r="J113" s="288"/>
      <c r="K113" s="288"/>
      <c r="L113" s="288"/>
      <c r="M113" s="288"/>
      <c r="N113" s="288"/>
      <c r="O113" s="288"/>
      <c r="P113" s="288"/>
      <c r="Q113" s="288"/>
      <c r="R113" s="288"/>
      <c r="S113" s="288"/>
      <c r="T113" s="288"/>
      <c r="U113" s="288"/>
      <c r="V113" s="338">
        <v>-65</v>
      </c>
      <c r="W113" s="291"/>
      <c r="X113" s="5"/>
      <c r="Y113" s="109"/>
    </row>
    <row r="114" spans="1:25" ht="15.6" x14ac:dyDescent="0.3">
      <c r="A114" s="340">
        <v>7</v>
      </c>
      <c r="B114" s="288" t="s">
        <v>35</v>
      </c>
      <c r="C114" s="288"/>
      <c r="D114" s="288"/>
      <c r="E114" s="288"/>
      <c r="F114" s="288"/>
      <c r="G114" s="288"/>
      <c r="H114" s="288"/>
      <c r="I114" s="288"/>
      <c r="J114" s="288"/>
      <c r="K114" s="288"/>
      <c r="L114" s="288"/>
      <c r="M114" s="288"/>
      <c r="N114" s="288"/>
      <c r="O114" s="288"/>
      <c r="P114" s="288"/>
      <c r="Q114" s="288"/>
      <c r="R114" s="288"/>
      <c r="S114" s="288"/>
      <c r="T114" s="288"/>
      <c r="U114" s="288"/>
      <c r="V114" s="338">
        <v>-10</v>
      </c>
      <c r="W114" s="291"/>
      <c r="X114" s="5"/>
    </row>
    <row r="115" spans="1:25" ht="15.6" x14ac:dyDescent="0.3">
      <c r="A115" s="340">
        <f t="shared" ref="A115:A121" si="0">+A114+1</f>
        <v>8</v>
      </c>
      <c r="B115" s="288" t="s">
        <v>45</v>
      </c>
      <c r="C115" s="288"/>
      <c r="D115" s="288"/>
      <c r="E115" s="288"/>
      <c r="F115" s="288"/>
      <c r="G115" s="288"/>
      <c r="H115" s="288"/>
      <c r="I115" s="288"/>
      <c r="J115" s="288"/>
      <c r="K115" s="288"/>
      <c r="L115" s="288"/>
      <c r="M115" s="288"/>
      <c r="N115" s="288"/>
      <c r="O115" s="288"/>
      <c r="P115" s="288"/>
      <c r="Q115" s="288"/>
      <c r="R115" s="288"/>
      <c r="S115" s="288"/>
      <c r="T115" s="337">
        <f>-V115</f>
        <v>47</v>
      </c>
      <c r="U115" s="288"/>
      <c r="V115" s="338">
        <v>-47</v>
      </c>
      <c r="W115" s="291"/>
      <c r="X115" s="5"/>
    </row>
    <row r="116" spans="1:25" ht="15.6" x14ac:dyDescent="0.3">
      <c r="A116" s="340">
        <f t="shared" si="0"/>
        <v>9</v>
      </c>
      <c r="B116" s="288" t="s">
        <v>125</v>
      </c>
      <c r="C116" s="288"/>
      <c r="D116" s="288"/>
      <c r="E116" s="288"/>
      <c r="F116" s="288"/>
      <c r="G116" s="288"/>
      <c r="H116" s="288"/>
      <c r="I116" s="288"/>
      <c r="J116" s="288"/>
      <c r="K116" s="288"/>
      <c r="L116" s="288"/>
      <c r="M116" s="288"/>
      <c r="N116" s="288"/>
      <c r="O116" s="288"/>
      <c r="P116" s="288"/>
      <c r="Q116" s="288"/>
      <c r="R116" s="288"/>
      <c r="S116" s="288"/>
      <c r="T116" s="288"/>
      <c r="U116" s="288"/>
      <c r="V116" s="338">
        <v>0</v>
      </c>
      <c r="W116" s="291"/>
      <c r="X116" s="5"/>
    </row>
    <row r="117" spans="1:25" ht="15.6" x14ac:dyDescent="0.3">
      <c r="A117" s="340">
        <f t="shared" si="0"/>
        <v>10</v>
      </c>
      <c r="B117" s="288" t="s">
        <v>240</v>
      </c>
      <c r="C117" s="288"/>
      <c r="D117" s="288"/>
      <c r="E117" s="288"/>
      <c r="F117" s="288"/>
      <c r="G117" s="288"/>
      <c r="H117" s="288"/>
      <c r="I117" s="288"/>
      <c r="J117" s="288"/>
      <c r="K117" s="288"/>
      <c r="L117" s="288"/>
      <c r="M117" s="288"/>
      <c r="N117" s="288"/>
      <c r="O117" s="288"/>
      <c r="P117" s="288"/>
      <c r="Q117" s="288"/>
      <c r="R117" s="288"/>
      <c r="S117" s="288"/>
      <c r="T117" s="288"/>
      <c r="U117" s="288"/>
      <c r="V117" s="338">
        <v>0</v>
      </c>
      <c r="W117" s="291"/>
      <c r="X117" s="5"/>
    </row>
    <row r="118" spans="1:25" ht="15.6" x14ac:dyDescent="0.3">
      <c r="A118" s="340">
        <f t="shared" si="0"/>
        <v>11</v>
      </c>
      <c r="B118" s="288" t="s">
        <v>36</v>
      </c>
      <c r="C118" s="288"/>
      <c r="D118" s="288"/>
      <c r="E118" s="288"/>
      <c r="F118" s="288"/>
      <c r="G118" s="288"/>
      <c r="H118" s="288"/>
      <c r="I118" s="288"/>
      <c r="J118" s="288"/>
      <c r="K118" s="288"/>
      <c r="L118" s="288"/>
      <c r="M118" s="288"/>
      <c r="N118" s="288"/>
      <c r="O118" s="288"/>
      <c r="P118" s="288"/>
      <c r="Q118" s="288"/>
      <c r="R118" s="288"/>
      <c r="S118" s="288"/>
      <c r="T118" s="288"/>
      <c r="U118" s="288"/>
      <c r="V118" s="338">
        <v>0</v>
      </c>
      <c r="W118" s="291"/>
      <c r="X118" s="5"/>
    </row>
    <row r="119" spans="1:25" ht="15.6" x14ac:dyDescent="0.3">
      <c r="A119" s="340">
        <f t="shared" si="0"/>
        <v>12</v>
      </c>
      <c r="B119" s="288" t="s">
        <v>239</v>
      </c>
      <c r="C119" s="288"/>
      <c r="D119" s="288"/>
      <c r="E119" s="288"/>
      <c r="F119" s="288"/>
      <c r="G119" s="288"/>
      <c r="H119" s="288"/>
      <c r="I119" s="288"/>
      <c r="J119" s="288"/>
      <c r="K119" s="288"/>
      <c r="L119" s="288"/>
      <c r="M119" s="288"/>
      <c r="N119" s="288"/>
      <c r="O119" s="288"/>
      <c r="P119" s="288"/>
      <c r="Q119" s="288"/>
      <c r="R119" s="288"/>
      <c r="S119" s="288"/>
      <c r="T119" s="288"/>
      <c r="U119" s="288"/>
      <c r="V119" s="338">
        <v>0</v>
      </c>
      <c r="W119" s="291"/>
      <c r="X119" s="5"/>
    </row>
    <row r="120" spans="1:25" ht="15.6" x14ac:dyDescent="0.3">
      <c r="A120" s="340">
        <f t="shared" si="0"/>
        <v>13</v>
      </c>
      <c r="B120" s="288" t="s">
        <v>149</v>
      </c>
      <c r="C120" s="288"/>
      <c r="D120" s="288"/>
      <c r="E120" s="288"/>
      <c r="F120" s="288"/>
      <c r="G120" s="288"/>
      <c r="H120" s="288"/>
      <c r="I120" s="288"/>
      <c r="J120" s="288"/>
      <c r="K120" s="288"/>
      <c r="L120" s="288"/>
      <c r="M120" s="288"/>
      <c r="N120" s="288"/>
      <c r="O120" s="288"/>
      <c r="P120" s="288"/>
      <c r="Q120" s="288"/>
      <c r="R120" s="288"/>
      <c r="S120" s="288"/>
      <c r="T120" s="288"/>
      <c r="U120" s="288"/>
      <c r="V120" s="338">
        <v>-714</v>
      </c>
      <c r="W120" s="291"/>
      <c r="X120" s="5"/>
    </row>
    <row r="121" spans="1:25" ht="15.6" x14ac:dyDescent="0.3">
      <c r="A121" s="340">
        <f t="shared" si="0"/>
        <v>14</v>
      </c>
      <c r="B121" s="288" t="s">
        <v>126</v>
      </c>
      <c r="C121" s="288"/>
      <c r="D121" s="288"/>
      <c r="E121" s="288"/>
      <c r="F121" s="288"/>
      <c r="G121" s="288"/>
      <c r="H121" s="288"/>
      <c r="I121" s="288"/>
      <c r="J121" s="288"/>
      <c r="K121" s="288"/>
      <c r="L121" s="288"/>
      <c r="M121" s="288"/>
      <c r="N121" s="288"/>
      <c r="O121" s="288"/>
      <c r="P121" s="288"/>
      <c r="Q121" s="288"/>
      <c r="R121" s="288"/>
      <c r="S121" s="288"/>
      <c r="T121" s="288"/>
      <c r="U121" s="288"/>
      <c r="V121" s="338">
        <f>-V101-SUM(V103:V120)</f>
        <v>-3440</v>
      </c>
      <c r="W121" s="291"/>
      <c r="X121" s="5"/>
    </row>
    <row r="122" spans="1:25" ht="15.6" x14ac:dyDescent="0.3">
      <c r="A122" s="287"/>
      <c r="B122" s="343" t="s">
        <v>37</v>
      </c>
      <c r="C122" s="314"/>
      <c r="D122" s="314"/>
      <c r="E122" s="314"/>
      <c r="F122" s="314"/>
      <c r="G122" s="314"/>
      <c r="H122" s="314"/>
      <c r="I122" s="314"/>
      <c r="J122" s="314"/>
      <c r="K122" s="314"/>
      <c r="L122" s="314"/>
      <c r="M122" s="314"/>
      <c r="N122" s="314"/>
      <c r="O122" s="314"/>
      <c r="P122" s="314"/>
      <c r="Q122" s="314"/>
      <c r="R122" s="314"/>
      <c r="S122" s="314"/>
      <c r="T122" s="314"/>
      <c r="U122" s="314"/>
      <c r="V122" s="346"/>
      <c r="W122" s="318"/>
      <c r="X122" s="5"/>
    </row>
    <row r="123" spans="1:25" ht="15.6" x14ac:dyDescent="0.3">
      <c r="A123" s="340"/>
      <c r="B123" s="288" t="s">
        <v>173</v>
      </c>
      <c r="C123" s="288"/>
      <c r="D123" s="288"/>
      <c r="E123" s="288"/>
      <c r="F123" s="288"/>
      <c r="G123" s="288"/>
      <c r="H123" s="288"/>
      <c r="I123" s="288"/>
      <c r="J123" s="288"/>
      <c r="K123" s="288"/>
      <c r="L123" s="288"/>
      <c r="M123" s="288"/>
      <c r="N123" s="288"/>
      <c r="O123" s="288"/>
      <c r="P123" s="288"/>
      <c r="Q123" s="288"/>
      <c r="R123" s="288"/>
      <c r="S123" s="288"/>
      <c r="T123" s="337">
        <f>-T189</f>
        <v>0</v>
      </c>
      <c r="U123" s="337"/>
      <c r="V123" s="338"/>
      <c r="W123" s="291"/>
      <c r="X123" s="5"/>
    </row>
    <row r="124" spans="1:25" ht="15.6" x14ac:dyDescent="0.3">
      <c r="A124" s="340"/>
      <c r="B124" s="288" t="s">
        <v>174</v>
      </c>
      <c r="C124" s="288"/>
      <c r="D124" s="288"/>
      <c r="E124" s="288"/>
      <c r="F124" s="288"/>
      <c r="G124" s="288"/>
      <c r="H124" s="288"/>
      <c r="I124" s="288"/>
      <c r="J124" s="288"/>
      <c r="K124" s="288"/>
      <c r="L124" s="288"/>
      <c r="M124" s="288"/>
      <c r="N124" s="288"/>
      <c r="O124" s="288"/>
      <c r="P124" s="288"/>
      <c r="Q124" s="288"/>
      <c r="R124" s="288"/>
      <c r="S124" s="288"/>
      <c r="T124" s="337">
        <v>-7</v>
      </c>
      <c r="U124" s="337"/>
      <c r="V124" s="338"/>
      <c r="W124" s="291"/>
      <c r="X124" s="5"/>
    </row>
    <row r="125" spans="1:25" ht="15.6" x14ac:dyDescent="0.3">
      <c r="A125" s="340"/>
      <c r="B125" s="288" t="s">
        <v>38</v>
      </c>
      <c r="C125" s="288"/>
      <c r="D125" s="288"/>
      <c r="E125" s="288"/>
      <c r="F125" s="288"/>
      <c r="G125" s="288"/>
      <c r="H125" s="288"/>
      <c r="I125" s="288"/>
      <c r="J125" s="288"/>
      <c r="K125" s="288"/>
      <c r="L125" s="288"/>
      <c r="M125" s="288"/>
      <c r="N125" s="288"/>
      <c r="O125" s="288"/>
      <c r="P125" s="288"/>
      <c r="Q125" s="288"/>
      <c r="R125" s="288"/>
      <c r="S125" s="288"/>
      <c r="T125" s="337">
        <f>-S189</f>
        <v>-51</v>
      </c>
      <c r="U125" s="337"/>
      <c r="V125" s="338"/>
      <c r="W125" s="291"/>
      <c r="X125" s="5"/>
    </row>
    <row r="126" spans="1:25" ht="15.6" x14ac:dyDescent="0.3">
      <c r="A126" s="340"/>
      <c r="B126" s="288" t="s">
        <v>197</v>
      </c>
      <c r="C126" s="288"/>
      <c r="D126" s="288"/>
      <c r="E126" s="288"/>
      <c r="F126" s="288"/>
      <c r="G126" s="288"/>
      <c r="H126" s="288"/>
      <c r="I126" s="288"/>
      <c r="J126" s="288"/>
      <c r="K126" s="288"/>
      <c r="L126" s="288"/>
      <c r="M126" s="288"/>
      <c r="N126" s="288"/>
      <c r="O126" s="288"/>
      <c r="P126" s="288"/>
      <c r="Q126" s="288"/>
      <c r="R126" s="288"/>
      <c r="S126" s="288"/>
      <c r="T126" s="337">
        <v>-3742</v>
      </c>
      <c r="U126" s="337"/>
      <c r="V126" s="338"/>
      <c r="W126" s="291"/>
      <c r="X126" s="5"/>
    </row>
    <row r="127" spans="1:25" ht="15.6" x14ac:dyDescent="0.3">
      <c r="A127" s="340"/>
      <c r="B127" s="288" t="s">
        <v>195</v>
      </c>
      <c r="C127" s="288"/>
      <c r="D127" s="288"/>
      <c r="E127" s="288"/>
      <c r="F127" s="288"/>
      <c r="G127" s="288"/>
      <c r="H127" s="288"/>
      <c r="I127" s="288"/>
      <c r="J127" s="288"/>
      <c r="K127" s="288"/>
      <c r="L127" s="288"/>
      <c r="M127" s="288"/>
      <c r="N127" s="288"/>
      <c r="O127" s="288"/>
      <c r="P127" s="288"/>
      <c r="Q127" s="288"/>
      <c r="R127" s="288"/>
      <c r="S127" s="288"/>
      <c r="T127" s="337">
        <v>-603</v>
      </c>
      <c r="U127" s="337"/>
      <c r="V127" s="338"/>
      <c r="W127" s="291"/>
      <c r="X127" s="5"/>
    </row>
    <row r="128" spans="1:25" ht="15.6" x14ac:dyDescent="0.3">
      <c r="A128" s="340"/>
      <c r="B128" s="288" t="s">
        <v>194</v>
      </c>
      <c r="C128" s="288"/>
      <c r="D128" s="288"/>
      <c r="E128" s="288"/>
      <c r="F128" s="288"/>
      <c r="G128" s="288"/>
      <c r="H128" s="288"/>
      <c r="I128" s="288"/>
      <c r="J128" s="288"/>
      <c r="K128" s="288"/>
      <c r="L128" s="288"/>
      <c r="M128" s="288"/>
      <c r="N128" s="288"/>
      <c r="O128" s="288"/>
      <c r="P128" s="288"/>
      <c r="Q128" s="288"/>
      <c r="R128" s="288"/>
      <c r="S128" s="288"/>
      <c r="T128" s="337">
        <v>-812</v>
      </c>
      <c r="U128" s="337"/>
      <c r="V128" s="338"/>
      <c r="W128" s="291"/>
      <c r="X128" s="5"/>
    </row>
    <row r="129" spans="1:24" ht="15.6" x14ac:dyDescent="0.3">
      <c r="A129" s="340"/>
      <c r="B129" s="288" t="s">
        <v>226</v>
      </c>
      <c r="C129" s="288"/>
      <c r="D129" s="288"/>
      <c r="E129" s="288"/>
      <c r="F129" s="288"/>
      <c r="G129" s="288"/>
      <c r="H129" s="288"/>
      <c r="I129" s="288"/>
      <c r="J129" s="288"/>
      <c r="K129" s="288"/>
      <c r="L129" s="288"/>
      <c r="M129" s="288"/>
      <c r="N129" s="288"/>
      <c r="O129" s="288"/>
      <c r="P129" s="288"/>
      <c r="Q129" s="288"/>
      <c r="R129" s="288"/>
      <c r="S129" s="288"/>
      <c r="T129" s="337">
        <v>-998</v>
      </c>
      <c r="U129" s="337"/>
      <c r="V129" s="338"/>
      <c r="W129" s="291"/>
      <c r="X129" s="5"/>
    </row>
    <row r="130" spans="1:24" ht="15.6" x14ac:dyDescent="0.3">
      <c r="A130" s="340"/>
      <c r="B130" s="288" t="s">
        <v>189</v>
      </c>
      <c r="C130" s="288"/>
      <c r="D130" s="288"/>
      <c r="E130" s="288"/>
      <c r="F130" s="288"/>
      <c r="G130" s="288"/>
      <c r="H130" s="288"/>
      <c r="I130" s="288"/>
      <c r="J130" s="288"/>
      <c r="K130" s="288"/>
      <c r="L130" s="288"/>
      <c r="M130" s="288"/>
      <c r="N130" s="288"/>
      <c r="O130" s="288"/>
      <c r="P130" s="288"/>
      <c r="Q130" s="288"/>
      <c r="R130" s="288"/>
      <c r="S130" s="288"/>
      <c r="T130" s="337">
        <v>0</v>
      </c>
      <c r="U130" s="337"/>
      <c r="V130" s="338"/>
      <c r="W130" s="291"/>
      <c r="X130" s="5"/>
    </row>
    <row r="131" spans="1:24" ht="15.6" x14ac:dyDescent="0.3">
      <c r="A131" s="340"/>
      <c r="B131" s="288" t="s">
        <v>188</v>
      </c>
      <c r="C131" s="288"/>
      <c r="D131" s="288"/>
      <c r="E131" s="288"/>
      <c r="F131" s="288"/>
      <c r="G131" s="288"/>
      <c r="H131" s="288"/>
      <c r="I131" s="288"/>
      <c r="J131" s="288"/>
      <c r="K131" s="288"/>
      <c r="L131" s="288"/>
      <c r="M131" s="288"/>
      <c r="N131" s="288"/>
      <c r="O131" s="288"/>
      <c r="P131" s="288"/>
      <c r="Q131" s="288"/>
      <c r="R131" s="288"/>
      <c r="S131" s="288"/>
      <c r="T131" s="337">
        <v>0</v>
      </c>
      <c r="U131" s="337"/>
      <c r="V131" s="338"/>
      <c r="W131" s="291"/>
      <c r="X131" s="5"/>
    </row>
    <row r="132" spans="1:24" ht="15.6" x14ac:dyDescent="0.3">
      <c r="A132" s="340"/>
      <c r="B132" s="288" t="s">
        <v>227</v>
      </c>
      <c r="C132" s="288"/>
      <c r="D132" s="288"/>
      <c r="E132" s="288"/>
      <c r="F132" s="288"/>
      <c r="G132" s="288"/>
      <c r="H132" s="288"/>
      <c r="I132" s="288"/>
      <c r="J132" s="288"/>
      <c r="K132" s="288"/>
      <c r="L132" s="288"/>
      <c r="M132" s="288"/>
      <c r="N132" s="288"/>
      <c r="O132" s="288"/>
      <c r="P132" s="288"/>
      <c r="Q132" s="288"/>
      <c r="R132" s="288"/>
      <c r="S132" s="288"/>
      <c r="T132" s="337">
        <v>0</v>
      </c>
      <c r="U132" s="337"/>
      <c r="V132" s="338"/>
      <c r="W132" s="291"/>
      <c r="X132" s="5"/>
    </row>
    <row r="133" spans="1:24" ht="15.6" x14ac:dyDescent="0.3">
      <c r="A133" s="340"/>
      <c r="B133" s="288" t="s">
        <v>187</v>
      </c>
      <c r="C133" s="288"/>
      <c r="D133" s="288"/>
      <c r="E133" s="288"/>
      <c r="F133" s="288"/>
      <c r="G133" s="288"/>
      <c r="H133" s="288"/>
      <c r="I133" s="288"/>
      <c r="J133" s="288"/>
      <c r="K133" s="288"/>
      <c r="L133" s="288"/>
      <c r="M133" s="288"/>
      <c r="N133" s="288"/>
      <c r="O133" s="288"/>
      <c r="P133" s="288"/>
      <c r="Q133" s="288"/>
      <c r="R133" s="288"/>
      <c r="S133" s="288"/>
      <c r="T133" s="337">
        <v>0</v>
      </c>
      <c r="U133" s="337"/>
      <c r="V133" s="338"/>
      <c r="W133" s="291"/>
      <c r="X133" s="5"/>
    </row>
    <row r="134" spans="1:24" ht="15.6" x14ac:dyDescent="0.3">
      <c r="A134" s="340"/>
      <c r="B134" s="288" t="s">
        <v>39</v>
      </c>
      <c r="C134" s="288"/>
      <c r="D134" s="288"/>
      <c r="E134" s="288"/>
      <c r="F134" s="288"/>
      <c r="G134" s="288"/>
      <c r="H134" s="288"/>
      <c r="I134" s="288"/>
      <c r="J134" s="288"/>
      <c r="K134" s="288"/>
      <c r="L134" s="288"/>
      <c r="M134" s="288"/>
      <c r="N134" s="288"/>
      <c r="O134" s="288"/>
      <c r="P134" s="288"/>
      <c r="Q134" s="288"/>
      <c r="R134" s="288"/>
      <c r="S134" s="288"/>
      <c r="T134" s="337">
        <f>SUM(T123:T133)</f>
        <v>-6213</v>
      </c>
      <c r="U134" s="337"/>
      <c r="V134" s="337">
        <f>SUM(V102:V131)</f>
        <v>-7620</v>
      </c>
      <c r="W134" s="291"/>
      <c r="X134" s="5"/>
    </row>
    <row r="135" spans="1:24" ht="15.6" x14ac:dyDescent="0.3">
      <c r="A135" s="340"/>
      <c r="B135" s="288" t="s">
        <v>40</v>
      </c>
      <c r="C135" s="288"/>
      <c r="D135" s="288"/>
      <c r="E135" s="288"/>
      <c r="F135" s="288"/>
      <c r="G135" s="288"/>
      <c r="H135" s="288"/>
      <c r="I135" s="288"/>
      <c r="J135" s="288"/>
      <c r="K135" s="288"/>
      <c r="L135" s="288"/>
      <c r="M135" s="288"/>
      <c r="N135" s="288"/>
      <c r="O135" s="288"/>
      <c r="P135" s="288"/>
      <c r="Q135" s="288"/>
      <c r="R135" s="288"/>
      <c r="S135" s="288"/>
      <c r="T135" s="337">
        <f>T101+T134+T115</f>
        <v>0</v>
      </c>
      <c r="U135" s="337"/>
      <c r="V135" s="337">
        <f>V101+V134</f>
        <v>0</v>
      </c>
      <c r="W135" s="291"/>
      <c r="X135" s="5"/>
    </row>
    <row r="136" spans="1:24" ht="15.6" x14ac:dyDescent="0.3">
      <c r="A136" s="243"/>
      <c r="B136" s="284"/>
      <c r="C136" s="284"/>
      <c r="D136" s="284"/>
      <c r="E136" s="284"/>
      <c r="F136" s="284"/>
      <c r="G136" s="284"/>
      <c r="H136" s="284"/>
      <c r="I136" s="284"/>
      <c r="J136" s="284"/>
      <c r="K136" s="284"/>
      <c r="L136" s="284"/>
      <c r="M136" s="284"/>
      <c r="N136" s="284"/>
      <c r="O136" s="284"/>
      <c r="P136" s="284"/>
      <c r="Q136" s="284"/>
      <c r="R136" s="284"/>
      <c r="S136" s="284"/>
      <c r="T136" s="339"/>
      <c r="U136" s="339"/>
      <c r="V136" s="339"/>
      <c r="W136" s="284"/>
      <c r="X136" s="5"/>
    </row>
    <row r="137" spans="1:24" ht="15.6" x14ac:dyDescent="0.3">
      <c r="A137" s="243"/>
      <c r="B137" s="224"/>
      <c r="C137" s="224"/>
      <c r="D137" s="224"/>
      <c r="E137" s="224"/>
      <c r="F137" s="224"/>
      <c r="G137" s="224"/>
      <c r="H137" s="224"/>
      <c r="I137" s="224"/>
      <c r="J137" s="224"/>
      <c r="K137" s="224"/>
      <c r="L137" s="224"/>
      <c r="M137" s="224"/>
      <c r="N137" s="224"/>
      <c r="O137" s="224"/>
      <c r="P137" s="224"/>
      <c r="Q137" s="224"/>
      <c r="R137" s="224"/>
      <c r="S137" s="224"/>
      <c r="T137" s="224"/>
      <c r="U137" s="224"/>
      <c r="V137" s="244"/>
      <c r="W137" s="224"/>
      <c r="X137" s="5"/>
    </row>
    <row r="138" spans="1:24" ht="18" thickBot="1" x14ac:dyDescent="0.35">
      <c r="A138" s="245"/>
      <c r="B138" s="237" t="str">
        <f>B64</f>
        <v>PM14 INVESTOR REPORT QUARTER ENDING NOVEMBER 2011</v>
      </c>
      <c r="C138" s="238"/>
      <c r="D138" s="238"/>
      <c r="E138" s="238"/>
      <c r="F138" s="238"/>
      <c r="G138" s="238"/>
      <c r="H138" s="238"/>
      <c r="I138" s="238"/>
      <c r="J138" s="238"/>
      <c r="K138" s="238"/>
      <c r="L138" s="238"/>
      <c r="M138" s="238"/>
      <c r="N138" s="238"/>
      <c r="O138" s="238"/>
      <c r="P138" s="238"/>
      <c r="Q138" s="238"/>
      <c r="R138" s="238"/>
      <c r="S138" s="238"/>
      <c r="T138" s="238"/>
      <c r="U138" s="238"/>
      <c r="V138" s="246"/>
      <c r="W138" s="240"/>
      <c r="X138" s="5"/>
    </row>
    <row r="139" spans="1:24" ht="15.6" x14ac:dyDescent="0.3">
      <c r="A139" s="273"/>
      <c r="B139" s="403" t="s">
        <v>41</v>
      </c>
      <c r="C139" s="274"/>
      <c r="D139" s="274"/>
      <c r="E139" s="274"/>
      <c r="F139" s="274"/>
      <c r="G139" s="274"/>
      <c r="H139" s="274"/>
      <c r="I139" s="274"/>
      <c r="J139" s="274"/>
      <c r="K139" s="274"/>
      <c r="L139" s="274"/>
      <c r="M139" s="274"/>
      <c r="N139" s="274"/>
      <c r="O139" s="274"/>
      <c r="P139" s="274"/>
      <c r="Q139" s="274"/>
      <c r="R139" s="274"/>
      <c r="S139" s="274"/>
      <c r="T139" s="274"/>
      <c r="U139" s="274"/>
      <c r="V139" s="275"/>
      <c r="W139" s="274"/>
      <c r="X139" s="5"/>
    </row>
    <row r="140" spans="1:24" ht="15.6" x14ac:dyDescent="0.3">
      <c r="A140" s="183"/>
      <c r="B140" s="195"/>
      <c r="C140" s="185"/>
      <c r="D140" s="185"/>
      <c r="E140" s="185"/>
      <c r="F140" s="185"/>
      <c r="G140" s="185"/>
      <c r="H140" s="185"/>
      <c r="I140" s="185"/>
      <c r="J140" s="185"/>
      <c r="K140" s="185"/>
      <c r="L140" s="185"/>
      <c r="M140" s="185"/>
      <c r="N140" s="185"/>
      <c r="O140" s="185"/>
      <c r="P140" s="185"/>
      <c r="Q140" s="185"/>
      <c r="R140" s="185"/>
      <c r="S140" s="185"/>
      <c r="T140" s="185"/>
      <c r="U140" s="185"/>
      <c r="V140" s="201"/>
      <c r="W140" s="185"/>
      <c r="X140" s="5"/>
    </row>
    <row r="141" spans="1:24" ht="15.6" x14ac:dyDescent="0.3">
      <c r="A141" s="183"/>
      <c r="B141" s="208" t="s">
        <v>42</v>
      </c>
      <c r="C141" s="185"/>
      <c r="D141" s="185"/>
      <c r="E141" s="185"/>
      <c r="F141" s="185"/>
      <c r="G141" s="185"/>
      <c r="H141" s="185"/>
      <c r="I141" s="185"/>
      <c r="J141" s="185"/>
      <c r="K141" s="185"/>
      <c r="L141" s="185"/>
      <c r="M141" s="185"/>
      <c r="N141" s="185"/>
      <c r="O141" s="185"/>
      <c r="P141" s="185"/>
      <c r="Q141" s="185"/>
      <c r="R141" s="185"/>
      <c r="S141" s="185"/>
      <c r="T141" s="185"/>
      <c r="U141" s="185"/>
      <c r="V141" s="201"/>
      <c r="W141" s="185"/>
      <c r="X141" s="5"/>
    </row>
    <row r="142" spans="1:24" ht="15.6" x14ac:dyDescent="0.3">
      <c r="A142" s="287"/>
      <c r="B142" s="288" t="s">
        <v>43</v>
      </c>
      <c r="C142" s="288"/>
      <c r="D142" s="288"/>
      <c r="E142" s="288"/>
      <c r="F142" s="288"/>
      <c r="G142" s="288"/>
      <c r="H142" s="288"/>
      <c r="I142" s="288"/>
      <c r="J142" s="288"/>
      <c r="K142" s="288"/>
      <c r="L142" s="288"/>
      <c r="M142" s="288"/>
      <c r="N142" s="288"/>
      <c r="O142" s="288"/>
      <c r="P142" s="288"/>
      <c r="Q142" s="288"/>
      <c r="R142" s="288"/>
      <c r="S142" s="288"/>
      <c r="T142" s="288"/>
      <c r="U142" s="288"/>
      <c r="V142" s="338">
        <f>+V34*0.019</f>
        <v>28505.224999999999</v>
      </c>
      <c r="W142" s="291"/>
      <c r="X142" s="5"/>
    </row>
    <row r="143" spans="1:24" ht="15.6" x14ac:dyDescent="0.3">
      <c r="A143" s="287"/>
      <c r="B143" s="288" t="s">
        <v>44</v>
      </c>
      <c r="C143" s="288"/>
      <c r="D143" s="288"/>
      <c r="E143" s="288"/>
      <c r="F143" s="288"/>
      <c r="G143" s="288"/>
      <c r="H143" s="288"/>
      <c r="I143" s="288"/>
      <c r="J143" s="288"/>
      <c r="K143" s="288"/>
      <c r="L143" s="288"/>
      <c r="M143" s="288"/>
      <c r="N143" s="288"/>
      <c r="O143" s="288"/>
      <c r="P143" s="288"/>
      <c r="Q143" s="288"/>
      <c r="R143" s="288"/>
      <c r="S143" s="288"/>
      <c r="T143" s="288"/>
      <c r="U143" s="288"/>
      <c r="V143" s="338">
        <v>28505</v>
      </c>
      <c r="W143" s="291"/>
      <c r="X143" s="5"/>
    </row>
    <row r="144" spans="1:24" ht="15.6" x14ac:dyDescent="0.3">
      <c r="A144" s="287"/>
      <c r="B144" s="288" t="s">
        <v>136</v>
      </c>
      <c r="C144" s="288"/>
      <c r="D144" s="288"/>
      <c r="E144" s="288"/>
      <c r="F144" s="288"/>
      <c r="G144" s="288"/>
      <c r="H144" s="288"/>
      <c r="I144" s="288"/>
      <c r="J144" s="288"/>
      <c r="K144" s="288"/>
      <c r="L144" s="288"/>
      <c r="M144" s="288"/>
      <c r="N144" s="288"/>
      <c r="O144" s="288"/>
      <c r="P144" s="288"/>
      <c r="Q144" s="288"/>
      <c r="R144" s="288"/>
      <c r="S144" s="288"/>
      <c r="T144" s="288"/>
      <c r="U144" s="288"/>
      <c r="V144" s="338"/>
      <c r="W144" s="291"/>
      <c r="X144" s="5"/>
    </row>
    <row r="145" spans="1:25" ht="15.6" x14ac:dyDescent="0.3">
      <c r="A145" s="287"/>
      <c r="B145" s="288" t="s">
        <v>123</v>
      </c>
      <c r="C145" s="288"/>
      <c r="D145" s="288"/>
      <c r="E145" s="288"/>
      <c r="F145" s="288"/>
      <c r="G145" s="288"/>
      <c r="H145" s="288"/>
      <c r="I145" s="288"/>
      <c r="J145" s="288"/>
      <c r="K145" s="288"/>
      <c r="L145" s="288"/>
      <c r="M145" s="288"/>
      <c r="N145" s="288"/>
      <c r="O145" s="288"/>
      <c r="P145" s="288"/>
      <c r="Q145" s="288"/>
      <c r="R145" s="288"/>
      <c r="S145" s="288"/>
      <c r="T145" s="288"/>
      <c r="U145" s="288"/>
      <c r="V145" s="338">
        <v>0</v>
      </c>
      <c r="W145" s="291"/>
      <c r="X145" s="5"/>
    </row>
    <row r="146" spans="1:25" ht="15.6" x14ac:dyDescent="0.3">
      <c r="A146" s="287"/>
      <c r="B146" s="288" t="s">
        <v>124</v>
      </c>
      <c r="C146" s="288"/>
      <c r="D146" s="288"/>
      <c r="E146" s="288"/>
      <c r="F146" s="288"/>
      <c r="G146" s="288"/>
      <c r="H146" s="288"/>
      <c r="I146" s="288"/>
      <c r="J146" s="288"/>
      <c r="K146" s="288"/>
      <c r="L146" s="288"/>
      <c r="M146" s="288"/>
      <c r="N146" s="288"/>
      <c r="O146" s="288"/>
      <c r="P146" s="288"/>
      <c r="Q146" s="288"/>
      <c r="R146" s="288"/>
      <c r="S146" s="288"/>
      <c r="T146" s="288"/>
      <c r="U146" s="288"/>
      <c r="V146" s="338">
        <v>0</v>
      </c>
      <c r="W146" s="291"/>
      <c r="X146" s="5"/>
    </row>
    <row r="147" spans="1:25" ht="15.6" x14ac:dyDescent="0.3">
      <c r="A147" s="287"/>
      <c r="B147" s="288" t="s">
        <v>175</v>
      </c>
      <c r="C147" s="288"/>
      <c r="D147" s="288"/>
      <c r="E147" s="288"/>
      <c r="F147" s="288"/>
      <c r="G147" s="288"/>
      <c r="H147" s="288"/>
      <c r="I147" s="288"/>
      <c r="J147" s="288"/>
      <c r="K147" s="288"/>
      <c r="L147" s="288"/>
      <c r="M147" s="288"/>
      <c r="N147" s="288"/>
      <c r="O147" s="288"/>
      <c r="P147" s="288"/>
      <c r="Q147" s="288"/>
      <c r="R147" s="288"/>
      <c r="S147" s="288"/>
      <c r="T147" s="288"/>
      <c r="U147" s="288"/>
      <c r="V147" s="338">
        <v>0</v>
      </c>
      <c r="W147" s="291"/>
      <c r="X147" s="5"/>
    </row>
    <row r="148" spans="1:25" ht="15.6" x14ac:dyDescent="0.3">
      <c r="A148" s="287"/>
      <c r="B148" s="288" t="s">
        <v>45</v>
      </c>
      <c r="C148" s="288"/>
      <c r="D148" s="288"/>
      <c r="E148" s="288"/>
      <c r="F148" s="288"/>
      <c r="G148" s="288"/>
      <c r="H148" s="288"/>
      <c r="I148" s="288"/>
      <c r="J148" s="288"/>
      <c r="K148" s="288"/>
      <c r="L148" s="288"/>
      <c r="M148" s="288"/>
      <c r="N148" s="288"/>
      <c r="O148" s="288"/>
      <c r="P148" s="288"/>
      <c r="Q148" s="288"/>
      <c r="R148" s="288"/>
      <c r="S148" s="288"/>
      <c r="T148" s="288"/>
      <c r="U148" s="288"/>
      <c r="V148" s="338">
        <v>0</v>
      </c>
      <c r="W148" s="291"/>
      <c r="X148" s="5"/>
    </row>
    <row r="149" spans="1:25" ht="15.6" x14ac:dyDescent="0.3">
      <c r="A149" s="287"/>
      <c r="B149" s="288" t="s">
        <v>129</v>
      </c>
      <c r="C149" s="288"/>
      <c r="D149" s="288"/>
      <c r="E149" s="288"/>
      <c r="F149" s="288"/>
      <c r="G149" s="288"/>
      <c r="H149" s="288"/>
      <c r="I149" s="288"/>
      <c r="J149" s="288"/>
      <c r="K149" s="288"/>
      <c r="L149" s="288"/>
      <c r="M149" s="288"/>
      <c r="N149" s="288"/>
      <c r="O149" s="288"/>
      <c r="P149" s="288"/>
      <c r="Q149" s="288"/>
      <c r="R149" s="288"/>
      <c r="S149" s="288"/>
      <c r="T149" s="288"/>
      <c r="U149" s="288"/>
      <c r="V149" s="338">
        <v>0</v>
      </c>
      <c r="W149" s="291"/>
      <c r="X149" s="5"/>
    </row>
    <row r="150" spans="1:25" ht="15.6" x14ac:dyDescent="0.3">
      <c r="A150" s="287"/>
      <c r="B150" s="288" t="s">
        <v>267</v>
      </c>
      <c r="C150" s="288"/>
      <c r="D150" s="288"/>
      <c r="E150" s="288"/>
      <c r="F150" s="288"/>
      <c r="G150" s="288"/>
      <c r="H150" s="288"/>
      <c r="I150" s="288"/>
      <c r="J150" s="288"/>
      <c r="K150" s="288"/>
      <c r="L150" s="288"/>
      <c r="M150" s="288"/>
      <c r="N150" s="288"/>
      <c r="O150" s="288"/>
      <c r="P150" s="288"/>
      <c r="Q150" s="288"/>
      <c r="R150" s="288"/>
      <c r="S150" s="288"/>
      <c r="T150" s="288"/>
      <c r="U150" s="288"/>
      <c r="V150" s="338">
        <v>0</v>
      </c>
      <c r="W150" s="291"/>
      <c r="X150" s="5"/>
      <c r="Y150" s="109"/>
    </row>
    <row r="151" spans="1:25" ht="15.6" x14ac:dyDescent="0.3">
      <c r="A151" s="287"/>
      <c r="B151" s="288" t="s">
        <v>46</v>
      </c>
      <c r="C151" s="288"/>
      <c r="D151" s="288"/>
      <c r="E151" s="288"/>
      <c r="F151" s="288"/>
      <c r="G151" s="288"/>
      <c r="H151" s="288"/>
      <c r="I151" s="288"/>
      <c r="J151" s="288"/>
      <c r="K151" s="288"/>
      <c r="L151" s="288"/>
      <c r="M151" s="288"/>
      <c r="N151" s="288"/>
      <c r="O151" s="288"/>
      <c r="P151" s="288"/>
      <c r="Q151" s="288"/>
      <c r="R151" s="288"/>
      <c r="S151" s="288"/>
      <c r="T151" s="288"/>
      <c r="U151" s="288"/>
      <c r="V151" s="338">
        <f>SUM(V143:V150)</f>
        <v>28505</v>
      </c>
      <c r="W151" s="291"/>
      <c r="X151" s="5"/>
    </row>
    <row r="152" spans="1:25" ht="15.6" x14ac:dyDescent="0.3">
      <c r="A152" s="287"/>
      <c r="B152" s="314"/>
      <c r="C152" s="314"/>
      <c r="D152" s="314"/>
      <c r="E152" s="314"/>
      <c r="F152" s="314"/>
      <c r="G152" s="314"/>
      <c r="H152" s="314"/>
      <c r="I152" s="314"/>
      <c r="J152" s="314"/>
      <c r="K152" s="314"/>
      <c r="L152" s="314"/>
      <c r="M152" s="314"/>
      <c r="N152" s="314"/>
      <c r="O152" s="314"/>
      <c r="P152" s="314"/>
      <c r="Q152" s="314"/>
      <c r="R152" s="314"/>
      <c r="S152" s="314"/>
      <c r="T152" s="314"/>
      <c r="U152" s="314"/>
      <c r="V152" s="345"/>
      <c r="W152" s="318"/>
      <c r="X152" s="5"/>
    </row>
    <row r="153" spans="1:25" ht="15.6" x14ac:dyDescent="0.3">
      <c r="A153" s="287"/>
      <c r="B153" s="343" t="s">
        <v>237</v>
      </c>
      <c r="C153" s="314"/>
      <c r="D153" s="314"/>
      <c r="E153" s="314"/>
      <c r="F153" s="314"/>
      <c r="G153" s="314"/>
      <c r="H153" s="314"/>
      <c r="I153" s="314"/>
      <c r="J153" s="314"/>
      <c r="K153" s="314"/>
      <c r="L153" s="314"/>
      <c r="M153" s="314"/>
      <c r="N153" s="314"/>
      <c r="O153" s="314"/>
      <c r="P153" s="314"/>
      <c r="Q153" s="314"/>
      <c r="R153" s="314"/>
      <c r="S153" s="314"/>
      <c r="T153" s="314"/>
      <c r="U153" s="314"/>
      <c r="V153" s="345"/>
      <c r="W153" s="318"/>
      <c r="X153" s="5"/>
    </row>
    <row r="154" spans="1:25" ht="15.6" x14ac:dyDescent="0.3">
      <c r="A154" s="287"/>
      <c r="B154" s="288" t="s">
        <v>155</v>
      </c>
      <c r="C154" s="288"/>
      <c r="D154" s="288"/>
      <c r="E154" s="288"/>
      <c r="F154" s="288"/>
      <c r="G154" s="288"/>
      <c r="H154" s="288"/>
      <c r="I154" s="288"/>
      <c r="J154" s="288"/>
      <c r="K154" s="288"/>
      <c r="L154" s="288"/>
      <c r="M154" s="288"/>
      <c r="N154" s="288"/>
      <c r="O154" s="288"/>
      <c r="P154" s="288"/>
      <c r="Q154" s="288"/>
      <c r="R154" s="288"/>
      <c r="S154" s="288"/>
      <c r="T154" s="288"/>
      <c r="U154" s="288"/>
      <c r="V154" s="338">
        <v>7500</v>
      </c>
      <c r="W154" s="291"/>
      <c r="X154" s="5"/>
    </row>
    <row r="155" spans="1:25" ht="15.6" x14ac:dyDescent="0.3">
      <c r="A155" s="287"/>
      <c r="B155" s="288" t="s">
        <v>172</v>
      </c>
      <c r="C155" s="288"/>
      <c r="D155" s="288"/>
      <c r="E155" s="288"/>
      <c r="F155" s="288"/>
      <c r="G155" s="288"/>
      <c r="H155" s="288"/>
      <c r="I155" s="288"/>
      <c r="J155" s="288"/>
      <c r="K155" s="288"/>
      <c r="L155" s="288"/>
      <c r="M155" s="288"/>
      <c r="N155" s="288"/>
      <c r="O155" s="288"/>
      <c r="P155" s="288"/>
      <c r="Q155" s="288"/>
      <c r="R155" s="288"/>
      <c r="S155" s="288"/>
      <c r="T155" s="288"/>
      <c r="U155" s="288"/>
      <c r="V155" s="338">
        <v>0</v>
      </c>
      <c r="W155" s="291"/>
      <c r="X155" s="5"/>
    </row>
    <row r="156" spans="1:25" ht="15.6" x14ac:dyDescent="0.3">
      <c r="A156" s="287"/>
      <c r="B156" s="288" t="s">
        <v>305</v>
      </c>
      <c r="C156" s="288"/>
      <c r="D156" s="288"/>
      <c r="E156" s="288"/>
      <c r="F156" s="288"/>
      <c r="G156" s="288"/>
      <c r="H156" s="288"/>
      <c r="I156" s="288"/>
      <c r="J156" s="288"/>
      <c r="K156" s="288"/>
      <c r="L156" s="288"/>
      <c r="M156" s="288"/>
      <c r="N156" s="288"/>
      <c r="O156" s="288"/>
      <c r="P156" s="288"/>
      <c r="Q156" s="288"/>
      <c r="R156" s="288"/>
      <c r="S156" s="288"/>
      <c r="T156" s="288"/>
      <c r="U156" s="288"/>
      <c r="V156" s="338">
        <v>2101</v>
      </c>
      <c r="W156" s="291"/>
      <c r="X156" s="5"/>
    </row>
    <row r="157" spans="1:25" ht="15.6" x14ac:dyDescent="0.3">
      <c r="A157" s="287"/>
      <c r="B157" s="288"/>
      <c r="C157" s="288"/>
      <c r="D157" s="288"/>
      <c r="E157" s="288"/>
      <c r="F157" s="288"/>
      <c r="G157" s="288"/>
      <c r="H157" s="288"/>
      <c r="I157" s="288"/>
      <c r="J157" s="288"/>
      <c r="K157" s="288"/>
      <c r="L157" s="288"/>
      <c r="M157" s="288"/>
      <c r="N157" s="288"/>
      <c r="O157" s="288"/>
      <c r="P157" s="288"/>
      <c r="Q157" s="288"/>
      <c r="R157" s="288"/>
      <c r="S157" s="288"/>
      <c r="T157" s="288"/>
      <c r="U157" s="288"/>
      <c r="V157" s="338"/>
      <c r="W157" s="291"/>
      <c r="X157" s="5"/>
    </row>
    <row r="158" spans="1:25" ht="15.6" x14ac:dyDescent="0.3">
      <c r="A158" s="183"/>
      <c r="B158" s="198"/>
      <c r="C158" s="198"/>
      <c r="D158" s="198"/>
      <c r="E158" s="198"/>
      <c r="F158" s="198"/>
      <c r="G158" s="198"/>
      <c r="H158" s="198"/>
      <c r="I158" s="198"/>
      <c r="J158" s="198"/>
      <c r="K158" s="198"/>
      <c r="L158" s="198"/>
      <c r="M158" s="198"/>
      <c r="N158" s="198"/>
      <c r="O158" s="198"/>
      <c r="P158" s="198"/>
      <c r="Q158" s="198"/>
      <c r="R158" s="198"/>
      <c r="S158" s="198"/>
      <c r="T158" s="198"/>
      <c r="U158" s="198"/>
      <c r="V158" s="347"/>
      <c r="W158" s="198"/>
      <c r="X158" s="5"/>
    </row>
    <row r="159" spans="1:25" ht="15.6" x14ac:dyDescent="0.3">
      <c r="A159" s="183"/>
      <c r="B159" s="208" t="s">
        <v>24</v>
      </c>
      <c r="C159" s="185"/>
      <c r="D159" s="185"/>
      <c r="E159" s="185"/>
      <c r="F159" s="185"/>
      <c r="G159" s="185"/>
      <c r="H159" s="185"/>
      <c r="I159" s="185"/>
      <c r="J159" s="185"/>
      <c r="K159" s="185"/>
      <c r="L159" s="185"/>
      <c r="M159" s="185"/>
      <c r="N159" s="185"/>
      <c r="O159" s="185"/>
      <c r="P159" s="185"/>
      <c r="Q159" s="185"/>
      <c r="R159" s="185"/>
      <c r="S159" s="185"/>
      <c r="T159" s="185"/>
      <c r="U159" s="185"/>
      <c r="V159" s="201"/>
      <c r="W159" s="185"/>
      <c r="X159" s="5"/>
    </row>
    <row r="160" spans="1:25" ht="15.6" x14ac:dyDescent="0.3">
      <c r="A160" s="287"/>
      <c r="B160" s="288" t="s">
        <v>47</v>
      </c>
      <c r="C160" s="288"/>
      <c r="D160" s="288"/>
      <c r="E160" s="288"/>
      <c r="F160" s="288"/>
      <c r="G160" s="288"/>
      <c r="H160" s="288"/>
      <c r="I160" s="288"/>
      <c r="J160" s="288"/>
      <c r="K160" s="288"/>
      <c r="L160" s="288"/>
      <c r="M160" s="288"/>
      <c r="N160" s="288"/>
      <c r="O160" s="288"/>
      <c r="P160" s="288"/>
      <c r="Q160" s="288"/>
      <c r="R160" s="288"/>
      <c r="S160" s="288"/>
      <c r="T160" s="288"/>
      <c r="U160" s="288"/>
      <c r="V160" s="348" t="s">
        <v>118</v>
      </c>
      <c r="W160" s="291"/>
      <c r="X160" s="5"/>
    </row>
    <row r="161" spans="1:256" ht="15.6" x14ac:dyDescent="0.3">
      <c r="A161" s="287"/>
      <c r="B161" s="288" t="s">
        <v>48</v>
      </c>
      <c r="C161" s="290"/>
      <c r="D161" s="290"/>
      <c r="E161" s="290"/>
      <c r="F161" s="290"/>
      <c r="G161" s="290"/>
      <c r="H161" s="290"/>
      <c r="I161" s="290"/>
      <c r="J161" s="290"/>
      <c r="K161" s="290"/>
      <c r="L161" s="290"/>
      <c r="M161" s="290"/>
      <c r="N161" s="290"/>
      <c r="O161" s="290"/>
      <c r="P161" s="290"/>
      <c r="Q161" s="290"/>
      <c r="R161" s="290"/>
      <c r="S161" s="290"/>
      <c r="T161" s="290"/>
      <c r="U161" s="290"/>
      <c r="V161" s="348" t="s">
        <v>118</v>
      </c>
      <c r="W161" s="291"/>
      <c r="X161" s="5"/>
    </row>
    <row r="162" spans="1:256" ht="15.6" x14ac:dyDescent="0.3">
      <c r="A162" s="287"/>
      <c r="B162" s="288" t="s">
        <v>49</v>
      </c>
      <c r="C162" s="288"/>
      <c r="D162" s="288"/>
      <c r="E162" s="288"/>
      <c r="F162" s="288"/>
      <c r="G162" s="288"/>
      <c r="H162" s="288"/>
      <c r="I162" s="288"/>
      <c r="J162" s="288"/>
      <c r="K162" s="288"/>
      <c r="L162" s="288"/>
      <c r="M162" s="288"/>
      <c r="N162" s="288"/>
      <c r="O162" s="288"/>
      <c r="P162" s="288"/>
      <c r="Q162" s="288"/>
      <c r="R162" s="288"/>
      <c r="S162" s="288"/>
      <c r="T162" s="288"/>
      <c r="U162" s="288"/>
      <c r="V162" s="348" t="s">
        <v>118</v>
      </c>
      <c r="W162" s="291"/>
      <c r="X162" s="5"/>
    </row>
    <row r="163" spans="1:256" ht="15.6" x14ac:dyDescent="0.3">
      <c r="A163" s="287"/>
      <c r="B163" s="288" t="s">
        <v>50</v>
      </c>
      <c r="C163" s="288"/>
      <c r="D163" s="288"/>
      <c r="E163" s="288"/>
      <c r="F163" s="288"/>
      <c r="G163" s="288"/>
      <c r="H163" s="288"/>
      <c r="I163" s="288"/>
      <c r="J163" s="288"/>
      <c r="K163" s="288"/>
      <c r="L163" s="288"/>
      <c r="M163" s="288"/>
      <c r="N163" s="288"/>
      <c r="O163" s="288"/>
      <c r="P163" s="288"/>
      <c r="Q163" s="288"/>
      <c r="R163" s="288"/>
      <c r="S163" s="288"/>
      <c r="T163" s="288"/>
      <c r="U163" s="288"/>
      <c r="V163" s="348" t="s">
        <v>118</v>
      </c>
      <c r="W163" s="291"/>
      <c r="X163" s="5"/>
    </row>
    <row r="164" spans="1:256" ht="15.6" x14ac:dyDescent="0.3">
      <c r="A164" s="183"/>
      <c r="B164" s="198"/>
      <c r="C164" s="198"/>
      <c r="D164" s="198"/>
      <c r="E164" s="198"/>
      <c r="F164" s="198"/>
      <c r="G164" s="198"/>
      <c r="H164" s="198"/>
      <c r="I164" s="198"/>
      <c r="J164" s="198"/>
      <c r="K164" s="198"/>
      <c r="L164" s="198"/>
      <c r="M164" s="198"/>
      <c r="N164" s="198"/>
      <c r="O164" s="198"/>
      <c r="P164" s="198"/>
      <c r="Q164" s="198"/>
      <c r="R164" s="198"/>
      <c r="S164" s="198"/>
      <c r="T164" s="198"/>
      <c r="U164" s="198"/>
      <c r="V164" s="347"/>
      <c r="W164" s="198"/>
      <c r="X164" s="5"/>
    </row>
    <row r="165" spans="1:256" ht="15.6" x14ac:dyDescent="0.3">
      <c r="A165" s="183"/>
      <c r="B165" s="208" t="s">
        <v>51</v>
      </c>
      <c r="C165" s="185"/>
      <c r="D165" s="185"/>
      <c r="E165" s="185"/>
      <c r="F165" s="185"/>
      <c r="G165" s="185"/>
      <c r="H165" s="185"/>
      <c r="I165" s="185"/>
      <c r="J165" s="185"/>
      <c r="K165" s="185"/>
      <c r="L165" s="185"/>
      <c r="M165" s="185"/>
      <c r="N165" s="185"/>
      <c r="O165" s="185"/>
      <c r="P165" s="185"/>
      <c r="Q165" s="185"/>
      <c r="R165" s="185"/>
      <c r="S165" s="185"/>
      <c r="T165" s="185"/>
      <c r="U165" s="185"/>
      <c r="V165" s="209"/>
      <c r="W165" s="185"/>
      <c r="X165" s="5"/>
    </row>
    <row r="166" spans="1:256" ht="15.6" x14ac:dyDescent="0.3">
      <c r="A166" s="287"/>
      <c r="B166" s="288" t="s">
        <v>52</v>
      </c>
      <c r="C166" s="288"/>
      <c r="D166" s="288"/>
      <c r="E166" s="288"/>
      <c r="F166" s="288"/>
      <c r="G166" s="288"/>
      <c r="H166" s="288"/>
      <c r="I166" s="288"/>
      <c r="J166" s="288"/>
      <c r="K166" s="288"/>
      <c r="L166" s="288"/>
      <c r="M166" s="288"/>
      <c r="N166" s="288"/>
      <c r="O166" s="288"/>
      <c r="P166" s="288"/>
      <c r="Q166" s="288"/>
      <c r="R166" s="288"/>
      <c r="S166" s="288"/>
      <c r="T166" s="288"/>
      <c r="U166" s="288"/>
      <c r="V166" s="338">
        <v>0</v>
      </c>
      <c r="W166" s="291"/>
      <c r="X166" s="5"/>
    </row>
    <row r="167" spans="1:256" ht="15.6" x14ac:dyDescent="0.3">
      <c r="A167" s="287"/>
      <c r="B167" s="288" t="s">
        <v>53</v>
      </c>
      <c r="C167" s="288"/>
      <c r="D167" s="288"/>
      <c r="E167" s="288"/>
      <c r="F167" s="288"/>
      <c r="G167" s="288"/>
      <c r="H167" s="288"/>
      <c r="I167" s="288"/>
      <c r="J167" s="288"/>
      <c r="K167" s="288"/>
      <c r="L167" s="288"/>
      <c r="M167" s="288"/>
      <c r="N167" s="288"/>
      <c r="O167" s="288"/>
      <c r="P167" s="288"/>
      <c r="Q167" s="288"/>
      <c r="R167" s="288"/>
      <c r="S167" s="288"/>
      <c r="T167" s="288"/>
      <c r="U167" s="288"/>
      <c r="V167" s="338">
        <v>47</v>
      </c>
      <c r="W167" s="291"/>
      <c r="X167" s="5"/>
    </row>
    <row r="168" spans="1:256" ht="15.6" x14ac:dyDescent="0.3">
      <c r="A168" s="287"/>
      <c r="B168" s="288" t="s">
        <v>54</v>
      </c>
      <c r="C168" s="288"/>
      <c r="D168" s="288"/>
      <c r="E168" s="288"/>
      <c r="F168" s="288"/>
      <c r="G168" s="288"/>
      <c r="H168" s="288"/>
      <c r="I168" s="288"/>
      <c r="J168" s="288"/>
      <c r="K168" s="288"/>
      <c r="L168" s="288"/>
      <c r="M168" s="288"/>
      <c r="N168" s="288"/>
      <c r="O168" s="288"/>
      <c r="P168" s="288"/>
      <c r="Q168" s="288"/>
      <c r="R168" s="288"/>
      <c r="S168" s="288"/>
      <c r="T168" s="288"/>
      <c r="U168" s="288"/>
      <c r="V168" s="338">
        <f>V167+V166</f>
        <v>47</v>
      </c>
      <c r="W168" s="291"/>
      <c r="X168" s="5"/>
    </row>
    <row r="169" spans="1:256" ht="15.6" x14ac:dyDescent="0.3">
      <c r="A169" s="287"/>
      <c r="B169" s="288" t="s">
        <v>315</v>
      </c>
      <c r="C169" s="288"/>
      <c r="D169" s="288"/>
      <c r="E169" s="288"/>
      <c r="F169" s="288"/>
      <c r="G169" s="288"/>
      <c r="H169" s="288"/>
      <c r="I169" s="288"/>
      <c r="J169" s="288"/>
      <c r="K169" s="288"/>
      <c r="L169" s="288"/>
      <c r="M169" s="288"/>
      <c r="N169" s="288"/>
      <c r="O169" s="288"/>
      <c r="P169" s="288"/>
      <c r="Q169" s="288"/>
      <c r="R169" s="288"/>
      <c r="S169" s="288"/>
      <c r="T169" s="288"/>
      <c r="U169" s="288"/>
      <c r="V169" s="338">
        <f>V115</f>
        <v>-47</v>
      </c>
      <c r="W169" s="291"/>
      <c r="X169" s="5"/>
    </row>
    <row r="170" spans="1:256" ht="15.6" x14ac:dyDescent="0.3">
      <c r="A170" s="287"/>
      <c r="B170" s="288" t="s">
        <v>55</v>
      </c>
      <c r="C170" s="288"/>
      <c r="D170" s="288"/>
      <c r="E170" s="288"/>
      <c r="F170" s="288"/>
      <c r="G170" s="288"/>
      <c r="H170" s="288"/>
      <c r="I170" s="288"/>
      <c r="J170" s="288"/>
      <c r="K170" s="288"/>
      <c r="L170" s="288"/>
      <c r="M170" s="288"/>
      <c r="N170" s="288"/>
      <c r="O170" s="288"/>
      <c r="P170" s="288"/>
      <c r="Q170" s="288"/>
      <c r="R170" s="288"/>
      <c r="S170" s="288"/>
      <c r="T170" s="288"/>
      <c r="U170" s="288"/>
      <c r="V170" s="338">
        <f>V168+V169</f>
        <v>0</v>
      </c>
      <c r="W170" s="291"/>
      <c r="X170" s="5"/>
    </row>
    <row r="171" spans="1:256" ht="15.6" x14ac:dyDescent="0.3">
      <c r="A171" s="287"/>
      <c r="B171" s="288" t="s">
        <v>283</v>
      </c>
      <c r="C171" s="288"/>
      <c r="D171" s="288"/>
      <c r="E171" s="288"/>
      <c r="F171" s="288"/>
      <c r="G171" s="288"/>
      <c r="H171" s="288"/>
      <c r="I171" s="288"/>
      <c r="J171" s="288"/>
      <c r="K171" s="288"/>
      <c r="L171" s="288"/>
      <c r="M171" s="288"/>
      <c r="N171" s="288"/>
      <c r="O171" s="288"/>
      <c r="P171" s="288"/>
      <c r="Q171" s="288"/>
      <c r="R171" s="288"/>
      <c r="S171" s="288"/>
      <c r="T171" s="288"/>
      <c r="U171" s="288"/>
      <c r="V171" s="338">
        <v>0</v>
      </c>
      <c r="W171" s="291"/>
      <c r="X171" s="5"/>
    </row>
    <row r="172" spans="1:256" ht="16.2" thickBot="1" x14ac:dyDescent="0.35">
      <c r="A172" s="183"/>
      <c r="B172" s="284"/>
      <c r="C172" s="284"/>
      <c r="D172" s="284"/>
      <c r="E172" s="284"/>
      <c r="F172" s="284"/>
      <c r="G172" s="284"/>
      <c r="H172" s="284"/>
      <c r="I172" s="284"/>
      <c r="J172" s="284"/>
      <c r="K172" s="284"/>
      <c r="L172" s="284"/>
      <c r="M172" s="284"/>
      <c r="N172" s="284"/>
      <c r="O172" s="284"/>
      <c r="P172" s="284"/>
      <c r="Q172" s="284"/>
      <c r="R172" s="284"/>
      <c r="S172" s="284"/>
      <c r="T172" s="284"/>
      <c r="U172" s="284"/>
      <c r="V172" s="349"/>
      <c r="W172" s="284"/>
      <c r="X172" s="5"/>
    </row>
    <row r="173" spans="1:256" ht="15.6" x14ac:dyDescent="0.3">
      <c r="A173" s="180"/>
      <c r="B173" s="247"/>
      <c r="C173" s="247"/>
      <c r="D173" s="247"/>
      <c r="E173" s="247"/>
      <c r="F173" s="247"/>
      <c r="G173" s="247"/>
      <c r="H173" s="247"/>
      <c r="I173" s="247"/>
      <c r="J173" s="247"/>
      <c r="K173" s="247"/>
      <c r="L173" s="247"/>
      <c r="M173" s="247"/>
      <c r="N173" s="247"/>
      <c r="O173" s="247"/>
      <c r="P173" s="247"/>
      <c r="Q173" s="247"/>
      <c r="R173" s="247"/>
      <c r="S173" s="247"/>
      <c r="T173" s="247"/>
      <c r="U173" s="247"/>
      <c r="V173" s="248"/>
      <c r="W173" s="247"/>
      <c r="X173" s="5"/>
    </row>
    <row r="174" spans="1:256" s="161" customFormat="1" ht="15.6" x14ac:dyDescent="0.3">
      <c r="A174" s="183"/>
      <c r="B174" s="208" t="s">
        <v>269</v>
      </c>
      <c r="C174" s="198"/>
      <c r="D174" s="198"/>
      <c r="E174" s="198"/>
      <c r="F174" s="198"/>
      <c r="G174" s="198"/>
      <c r="H174" s="198"/>
      <c r="I174" s="198"/>
      <c r="J174" s="198"/>
      <c r="K174" s="198"/>
      <c r="L174" s="198"/>
      <c r="M174" s="198"/>
      <c r="N174" s="198"/>
      <c r="O174" s="198"/>
      <c r="P174" s="198"/>
      <c r="Q174" s="198"/>
      <c r="R174" s="198"/>
      <c r="S174" s="198"/>
      <c r="T174" s="198"/>
      <c r="U174" s="198"/>
      <c r="V174" s="210"/>
      <c r="W174" s="198"/>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5.6" x14ac:dyDescent="0.3">
      <c r="A175" s="287"/>
      <c r="B175" s="288" t="s">
        <v>270</v>
      </c>
      <c r="C175" s="288"/>
      <c r="D175" s="288"/>
      <c r="E175" s="288"/>
      <c r="F175" s="288"/>
      <c r="G175" s="288"/>
      <c r="H175" s="288"/>
      <c r="I175" s="288"/>
      <c r="J175" s="288"/>
      <c r="K175" s="288"/>
      <c r="L175" s="288"/>
      <c r="M175" s="288"/>
      <c r="N175" s="288"/>
      <c r="O175" s="288"/>
      <c r="P175" s="288"/>
      <c r="Q175" s="288"/>
      <c r="R175" s="288"/>
      <c r="S175" s="288"/>
      <c r="T175" s="288"/>
      <c r="U175" s="288"/>
      <c r="V175" s="338">
        <f>+'Aug 08'!V177</f>
        <v>0</v>
      </c>
      <c r="W175" s="291"/>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3" customFormat="1" ht="15.6" x14ac:dyDescent="0.3">
      <c r="A176" s="287"/>
      <c r="B176" s="288" t="s">
        <v>273</v>
      </c>
      <c r="C176" s="288"/>
      <c r="D176" s="288"/>
      <c r="E176" s="288"/>
      <c r="F176" s="288"/>
      <c r="G176" s="288"/>
      <c r="H176" s="288"/>
      <c r="I176" s="288"/>
      <c r="J176" s="288"/>
      <c r="K176" s="288"/>
      <c r="L176" s="288"/>
      <c r="M176" s="288"/>
      <c r="N176" s="288"/>
      <c r="O176" s="288"/>
      <c r="P176" s="288"/>
      <c r="Q176" s="288"/>
      <c r="R176" s="288"/>
      <c r="S176" s="288"/>
      <c r="T176" s="288"/>
      <c r="U176" s="288"/>
      <c r="V176" s="338">
        <f>+V94</f>
        <v>0</v>
      </c>
      <c r="W176" s="291"/>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s="163" customFormat="1" ht="15.6" x14ac:dyDescent="0.3">
      <c r="A177" s="287"/>
      <c r="B177" s="288" t="s">
        <v>271</v>
      </c>
      <c r="C177" s="288"/>
      <c r="D177" s="288"/>
      <c r="E177" s="288"/>
      <c r="F177" s="288"/>
      <c r="G177" s="288"/>
      <c r="H177" s="288"/>
      <c r="I177" s="288"/>
      <c r="J177" s="288"/>
      <c r="K177" s="288"/>
      <c r="L177" s="288"/>
      <c r="M177" s="288"/>
      <c r="N177" s="288"/>
      <c r="O177" s="288"/>
      <c r="P177" s="288"/>
      <c r="Q177" s="288"/>
      <c r="R177" s="288"/>
      <c r="S177" s="288"/>
      <c r="T177" s="288"/>
      <c r="U177" s="288"/>
      <c r="V177" s="338">
        <f>+V175-V176</f>
        <v>0</v>
      </c>
      <c r="W177" s="291"/>
      <c r="X177" s="5"/>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s="166" customFormat="1" ht="16.2" thickBot="1" x14ac:dyDescent="0.35">
      <c r="A178" s="199"/>
      <c r="B178" s="198"/>
      <c r="C178" s="198"/>
      <c r="D178" s="198"/>
      <c r="E178" s="198"/>
      <c r="F178" s="198"/>
      <c r="G178" s="198"/>
      <c r="H178" s="198"/>
      <c r="I178" s="198"/>
      <c r="J178" s="198"/>
      <c r="K178" s="198"/>
      <c r="L178" s="198"/>
      <c r="M178" s="198"/>
      <c r="N178" s="198"/>
      <c r="O178" s="198"/>
      <c r="P178" s="198"/>
      <c r="Q178" s="198"/>
      <c r="R178" s="198"/>
      <c r="S178" s="198"/>
      <c r="T178" s="198"/>
      <c r="U178" s="198"/>
      <c r="V178" s="347"/>
      <c r="W178" s="198"/>
      <c r="X178" s="5"/>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s="167" customFormat="1" ht="15.6" x14ac:dyDescent="0.3">
      <c r="A179" s="180"/>
      <c r="B179" s="181"/>
      <c r="C179" s="181"/>
      <c r="D179" s="181"/>
      <c r="E179" s="181"/>
      <c r="F179" s="181"/>
      <c r="G179" s="181"/>
      <c r="H179" s="181"/>
      <c r="I179" s="181"/>
      <c r="J179" s="181"/>
      <c r="K179" s="181"/>
      <c r="L179" s="181"/>
      <c r="M179" s="181"/>
      <c r="N179" s="181"/>
      <c r="O179" s="181"/>
      <c r="P179" s="181"/>
      <c r="Q179" s="181"/>
      <c r="R179" s="181"/>
      <c r="S179" s="181"/>
      <c r="T179" s="181"/>
      <c r="U179" s="181"/>
      <c r="V179" s="200"/>
      <c r="W179" s="181"/>
      <c r="X179" s="5"/>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ht="15.6" x14ac:dyDescent="0.3">
      <c r="A180" s="183"/>
      <c r="B180" s="208" t="s">
        <v>56</v>
      </c>
      <c r="C180" s="185"/>
      <c r="D180" s="185"/>
      <c r="E180" s="185"/>
      <c r="F180" s="185"/>
      <c r="G180" s="185"/>
      <c r="H180" s="185"/>
      <c r="I180" s="185"/>
      <c r="J180" s="185"/>
      <c r="K180" s="185"/>
      <c r="L180" s="185"/>
      <c r="M180" s="185"/>
      <c r="N180" s="185"/>
      <c r="O180" s="185"/>
      <c r="P180" s="185"/>
      <c r="Q180" s="185"/>
      <c r="R180" s="185"/>
      <c r="S180" s="185"/>
      <c r="T180" s="185"/>
      <c r="U180" s="185"/>
      <c r="V180" s="201"/>
      <c r="W180" s="185"/>
      <c r="X180" s="5"/>
    </row>
    <row r="181" spans="1:256" ht="15.6" x14ac:dyDescent="0.3">
      <c r="A181" s="183"/>
      <c r="B181" s="195"/>
      <c r="C181" s="185"/>
      <c r="D181" s="185"/>
      <c r="E181" s="185"/>
      <c r="F181" s="185"/>
      <c r="G181" s="185"/>
      <c r="H181" s="185"/>
      <c r="I181" s="185"/>
      <c r="J181" s="185"/>
      <c r="K181" s="185"/>
      <c r="L181" s="185"/>
      <c r="M181" s="185"/>
      <c r="N181" s="185"/>
      <c r="O181" s="185"/>
      <c r="P181" s="185"/>
      <c r="Q181" s="185"/>
      <c r="R181" s="185"/>
      <c r="S181" s="185"/>
      <c r="T181" s="185"/>
      <c r="U181" s="185"/>
      <c r="V181" s="201"/>
      <c r="W181" s="185"/>
      <c r="X181" s="5"/>
    </row>
    <row r="182" spans="1:256" ht="15.6" x14ac:dyDescent="0.3">
      <c r="A182" s="287"/>
      <c r="B182" s="288" t="s">
        <v>57</v>
      </c>
      <c r="C182" s="288"/>
      <c r="D182" s="288"/>
      <c r="E182" s="288"/>
      <c r="F182" s="288"/>
      <c r="G182" s="288"/>
      <c r="H182" s="288"/>
      <c r="I182" s="288"/>
      <c r="J182" s="288"/>
      <c r="K182" s="288"/>
      <c r="L182" s="288"/>
      <c r="M182" s="288"/>
      <c r="N182" s="288"/>
      <c r="O182" s="288"/>
      <c r="P182" s="288"/>
      <c r="Q182" s="288"/>
      <c r="R182" s="288"/>
      <c r="S182" s="288"/>
      <c r="T182" s="288"/>
      <c r="U182" s="288"/>
      <c r="V182" s="338">
        <f>V71</f>
        <v>1133737</v>
      </c>
      <c r="W182" s="291"/>
      <c r="X182" s="5"/>
    </row>
    <row r="183" spans="1:256" ht="15.6" x14ac:dyDescent="0.3">
      <c r="A183" s="287"/>
      <c r="B183" s="288" t="s">
        <v>58</v>
      </c>
      <c r="C183" s="288"/>
      <c r="D183" s="288"/>
      <c r="E183" s="288"/>
      <c r="F183" s="288"/>
      <c r="G183" s="288"/>
      <c r="H183" s="288"/>
      <c r="I183" s="288"/>
      <c r="J183" s="288"/>
      <c r="K183" s="288"/>
      <c r="L183" s="288"/>
      <c r="M183" s="288"/>
      <c r="N183" s="288"/>
      <c r="O183" s="288"/>
      <c r="P183" s="288"/>
      <c r="Q183" s="288"/>
      <c r="R183" s="288"/>
      <c r="S183" s="288"/>
      <c r="T183" s="288"/>
      <c r="U183" s="288"/>
      <c r="V183" s="338">
        <f>V84</f>
        <v>1133737</v>
      </c>
      <c r="W183" s="291"/>
      <c r="X183" s="5"/>
    </row>
    <row r="184" spans="1:256" ht="16.2" thickBot="1" x14ac:dyDescent="0.35">
      <c r="A184" s="183"/>
      <c r="B184" s="198"/>
      <c r="C184" s="198"/>
      <c r="D184" s="198"/>
      <c r="E184" s="198"/>
      <c r="F184" s="198"/>
      <c r="G184" s="198"/>
      <c r="H184" s="198"/>
      <c r="I184" s="198"/>
      <c r="J184" s="198"/>
      <c r="K184" s="198"/>
      <c r="L184" s="198"/>
      <c r="M184" s="198"/>
      <c r="N184" s="198"/>
      <c r="O184" s="198"/>
      <c r="P184" s="198"/>
      <c r="Q184" s="198"/>
      <c r="R184" s="198"/>
      <c r="S184" s="198"/>
      <c r="T184" s="198"/>
      <c r="U184" s="198"/>
      <c r="V184" s="347"/>
      <c r="W184" s="198"/>
      <c r="X184" s="5"/>
    </row>
    <row r="185" spans="1:256" ht="15.6" x14ac:dyDescent="0.3">
      <c r="A185" s="180"/>
      <c r="B185" s="181"/>
      <c r="C185" s="181"/>
      <c r="D185" s="181"/>
      <c r="E185" s="181"/>
      <c r="F185" s="181"/>
      <c r="G185" s="181"/>
      <c r="H185" s="181"/>
      <c r="I185" s="181"/>
      <c r="J185" s="181"/>
      <c r="K185" s="181"/>
      <c r="L185" s="181"/>
      <c r="M185" s="181"/>
      <c r="N185" s="181"/>
      <c r="O185" s="181"/>
      <c r="P185" s="181"/>
      <c r="Q185" s="181"/>
      <c r="R185" s="181"/>
      <c r="S185" s="181"/>
      <c r="T185" s="181"/>
      <c r="U185" s="181"/>
      <c r="V185" s="200"/>
      <c r="W185" s="181"/>
      <c r="X185" s="5"/>
    </row>
    <row r="186" spans="1:256" ht="15.6" x14ac:dyDescent="0.3">
      <c r="A186" s="183"/>
      <c r="B186" s="208" t="s">
        <v>59</v>
      </c>
      <c r="C186" s="205"/>
      <c r="D186" s="205"/>
      <c r="E186" s="205"/>
      <c r="F186" s="205"/>
      <c r="G186" s="205"/>
      <c r="H186" s="211"/>
      <c r="I186" s="211"/>
      <c r="J186" s="211"/>
      <c r="K186" s="211"/>
      <c r="L186" s="211"/>
      <c r="M186" s="211"/>
      <c r="N186" s="211"/>
      <c r="O186" s="211"/>
      <c r="P186" s="211"/>
      <c r="Q186" s="211"/>
      <c r="R186" s="211"/>
      <c r="S186" s="211" t="s">
        <v>101</v>
      </c>
      <c r="T186" s="211" t="s">
        <v>176</v>
      </c>
      <c r="U186" s="187"/>
      <c r="V186" s="212" t="s">
        <v>114</v>
      </c>
      <c r="W186" s="213"/>
      <c r="X186" s="5"/>
    </row>
    <row r="187" spans="1:256" ht="15.6" x14ac:dyDescent="0.3">
      <c r="A187" s="287"/>
      <c r="B187" s="288" t="s">
        <v>60</v>
      </c>
      <c r="C187" s="288"/>
      <c r="D187" s="288"/>
      <c r="E187" s="288"/>
      <c r="F187" s="288"/>
      <c r="G187" s="288"/>
      <c r="H187" s="288"/>
      <c r="I187" s="288"/>
      <c r="J187" s="288"/>
      <c r="K187" s="288"/>
      <c r="L187" s="288"/>
      <c r="M187" s="288"/>
      <c r="N187" s="288"/>
      <c r="O187" s="288"/>
      <c r="P187" s="288"/>
      <c r="Q187" s="288"/>
      <c r="R187" s="288"/>
      <c r="S187" s="338">
        <f>+V34*0.16</f>
        <v>240044</v>
      </c>
      <c r="T187" s="325"/>
      <c r="U187" s="288"/>
      <c r="V187" s="338"/>
      <c r="W187" s="291"/>
      <c r="X187" s="5"/>
    </row>
    <row r="188" spans="1:256" ht="15.6" x14ac:dyDescent="0.3">
      <c r="A188" s="287"/>
      <c r="B188" s="288" t="s">
        <v>61</v>
      </c>
      <c r="C188" s="288"/>
      <c r="D188" s="288"/>
      <c r="E188" s="288"/>
      <c r="F188" s="288"/>
      <c r="G188" s="288"/>
      <c r="H188" s="288"/>
      <c r="I188" s="288"/>
      <c r="J188" s="288"/>
      <c r="K188" s="288"/>
      <c r="L188" s="288"/>
      <c r="M188" s="288"/>
      <c r="N188" s="288"/>
      <c r="O188" s="288"/>
      <c r="P188" s="288"/>
      <c r="Q188" s="288"/>
      <c r="R188" s="288"/>
      <c r="S188" s="338">
        <f>+'Aug 11'!S190</f>
        <v>24123</v>
      </c>
      <c r="T188" s="338">
        <f>+'Aug 11'!T190</f>
        <v>6013</v>
      </c>
      <c r="U188" s="288"/>
      <c r="V188" s="338">
        <f>S188+T188</f>
        <v>30136</v>
      </c>
      <c r="W188" s="291"/>
      <c r="X188" s="5"/>
    </row>
    <row r="189" spans="1:256" ht="15.6" x14ac:dyDescent="0.3">
      <c r="A189" s="287"/>
      <c r="B189" s="288" t="s">
        <v>62</v>
      </c>
      <c r="C189" s="288"/>
      <c r="D189" s="288"/>
      <c r="E189" s="288"/>
      <c r="F189" s="288"/>
      <c r="G189" s="288"/>
      <c r="H189" s="288"/>
      <c r="I189" s="288"/>
      <c r="J189" s="288"/>
      <c r="K189" s="288"/>
      <c r="L189" s="288"/>
      <c r="M189" s="288"/>
      <c r="N189" s="288"/>
      <c r="O189" s="288"/>
      <c r="P189" s="288"/>
      <c r="Q189" s="288"/>
      <c r="R189" s="288"/>
      <c r="S189" s="337">
        <v>51</v>
      </c>
      <c r="T189" s="337">
        <v>0</v>
      </c>
      <c r="U189" s="288"/>
      <c r="V189" s="338">
        <f>S189+T189</f>
        <v>51</v>
      </c>
      <c r="W189" s="291"/>
      <c r="X189" s="5"/>
    </row>
    <row r="190" spans="1:256" ht="15.6" x14ac:dyDescent="0.3">
      <c r="A190" s="287"/>
      <c r="B190" s="288" t="s">
        <v>63</v>
      </c>
      <c r="C190" s="288"/>
      <c r="D190" s="288"/>
      <c r="E190" s="288"/>
      <c r="F190" s="288"/>
      <c r="G190" s="288"/>
      <c r="H190" s="288"/>
      <c r="I190" s="288"/>
      <c r="J190" s="288"/>
      <c r="K190" s="288"/>
      <c r="L190" s="288"/>
      <c r="M190" s="288"/>
      <c r="N190" s="288"/>
      <c r="O190" s="288"/>
      <c r="P190" s="288"/>
      <c r="Q190" s="288"/>
      <c r="R190" s="288"/>
      <c r="S190" s="338">
        <f>S188+S189</f>
        <v>24174</v>
      </c>
      <c r="T190" s="338">
        <f>T189+T188</f>
        <v>6013</v>
      </c>
      <c r="U190" s="288"/>
      <c r="V190" s="338">
        <f>S190+T190</f>
        <v>30187</v>
      </c>
      <c r="W190" s="291"/>
      <c r="X190" s="5"/>
    </row>
    <row r="191" spans="1:256" ht="15.6" x14ac:dyDescent="0.3">
      <c r="A191" s="287"/>
      <c r="B191" s="288" t="s">
        <v>64</v>
      </c>
      <c r="C191" s="288"/>
      <c r="D191" s="288"/>
      <c r="E191" s="288"/>
      <c r="F191" s="288"/>
      <c r="G191" s="288"/>
      <c r="H191" s="288"/>
      <c r="I191" s="288"/>
      <c r="J191" s="288"/>
      <c r="K191" s="288"/>
      <c r="L191" s="288"/>
      <c r="M191" s="288"/>
      <c r="N191" s="288"/>
      <c r="O191" s="288"/>
      <c r="P191" s="288"/>
      <c r="Q191" s="288"/>
      <c r="R191" s="288"/>
      <c r="S191" s="338">
        <f>S187-S190-T190</f>
        <v>209857</v>
      </c>
      <c r="T191" s="325"/>
      <c r="U191" s="288"/>
      <c r="V191" s="338"/>
      <c r="W191" s="291"/>
      <c r="X191" s="5"/>
    </row>
    <row r="192" spans="1:256" ht="16.2" thickBot="1" x14ac:dyDescent="0.35">
      <c r="A192" s="183"/>
      <c r="B192" s="198"/>
      <c r="C192" s="198"/>
      <c r="D192" s="198"/>
      <c r="E192" s="198"/>
      <c r="F192" s="198"/>
      <c r="G192" s="198"/>
      <c r="H192" s="198"/>
      <c r="I192" s="198"/>
      <c r="J192" s="198"/>
      <c r="K192" s="198"/>
      <c r="L192" s="198"/>
      <c r="M192" s="198"/>
      <c r="N192" s="198"/>
      <c r="O192" s="198"/>
      <c r="P192" s="198"/>
      <c r="Q192" s="198"/>
      <c r="R192" s="198"/>
      <c r="S192" s="198"/>
      <c r="T192" s="198"/>
      <c r="U192" s="198"/>
      <c r="V192" s="347"/>
      <c r="W192" s="198"/>
      <c r="X192" s="5"/>
    </row>
    <row r="193" spans="1:24" ht="15.6" x14ac:dyDescent="0.3">
      <c r="A193" s="180"/>
      <c r="B193" s="181"/>
      <c r="C193" s="181"/>
      <c r="D193" s="181"/>
      <c r="E193" s="181"/>
      <c r="F193" s="181"/>
      <c r="G193" s="181"/>
      <c r="H193" s="181"/>
      <c r="I193" s="181"/>
      <c r="J193" s="181"/>
      <c r="K193" s="181"/>
      <c r="L193" s="181"/>
      <c r="M193" s="181"/>
      <c r="N193" s="181"/>
      <c r="O193" s="181"/>
      <c r="P193" s="181"/>
      <c r="Q193" s="181"/>
      <c r="R193" s="181"/>
      <c r="S193" s="181"/>
      <c r="T193" s="181"/>
      <c r="U193" s="181"/>
      <c r="V193" s="200"/>
      <c r="W193" s="181"/>
      <c r="X193" s="5"/>
    </row>
    <row r="194" spans="1:24" ht="15.6" x14ac:dyDescent="0.3">
      <c r="A194" s="183"/>
      <c r="B194" s="208" t="s">
        <v>65</v>
      </c>
      <c r="C194" s="185"/>
      <c r="D194" s="185"/>
      <c r="E194" s="185"/>
      <c r="F194" s="185"/>
      <c r="G194" s="185"/>
      <c r="H194" s="185"/>
      <c r="I194" s="185"/>
      <c r="J194" s="185"/>
      <c r="K194" s="185"/>
      <c r="L194" s="185"/>
      <c r="M194" s="185"/>
      <c r="N194" s="185"/>
      <c r="O194" s="185"/>
      <c r="P194" s="185"/>
      <c r="Q194" s="185"/>
      <c r="R194" s="185"/>
      <c r="S194" s="185"/>
      <c r="T194" s="185"/>
      <c r="U194" s="185"/>
      <c r="V194" s="214"/>
      <c r="W194" s="185"/>
      <c r="X194" s="5"/>
    </row>
    <row r="195" spans="1:24" ht="15.6" x14ac:dyDescent="0.3">
      <c r="A195" s="287"/>
      <c r="B195" s="288" t="s">
        <v>66</v>
      </c>
      <c r="C195" s="288"/>
      <c r="D195" s="288"/>
      <c r="E195" s="288"/>
      <c r="F195" s="288"/>
      <c r="G195" s="288"/>
      <c r="H195" s="288"/>
      <c r="I195" s="288"/>
      <c r="J195" s="288"/>
      <c r="K195" s="288"/>
      <c r="L195" s="288"/>
      <c r="M195" s="288"/>
      <c r="N195" s="288"/>
      <c r="O195" s="288"/>
      <c r="P195" s="288"/>
      <c r="Q195" s="288"/>
      <c r="R195" s="288"/>
      <c r="S195" s="288"/>
      <c r="T195" s="288"/>
      <c r="U195" s="288"/>
      <c r="V195" s="348">
        <f>(V101+V103+V104+V105+V106)/-(V107+V108)</f>
        <v>3.0544844928751047</v>
      </c>
      <c r="W195" s="291" t="s">
        <v>115</v>
      </c>
      <c r="X195" s="5"/>
    </row>
    <row r="196" spans="1:24" ht="15.6" x14ac:dyDescent="0.3">
      <c r="A196" s="287"/>
      <c r="B196" s="288" t="s">
        <v>67</v>
      </c>
      <c r="C196" s="288"/>
      <c r="D196" s="288"/>
      <c r="E196" s="288"/>
      <c r="F196" s="288"/>
      <c r="G196" s="288"/>
      <c r="H196" s="288"/>
      <c r="I196" s="288"/>
      <c r="J196" s="288"/>
      <c r="K196" s="288"/>
      <c r="L196" s="288"/>
      <c r="M196" s="288"/>
      <c r="N196" s="288"/>
      <c r="O196" s="288"/>
      <c r="P196" s="288"/>
      <c r="Q196" s="288"/>
      <c r="R196" s="288"/>
      <c r="S196" s="288"/>
      <c r="T196" s="288"/>
      <c r="U196" s="288"/>
      <c r="V196" s="350">
        <v>1.66</v>
      </c>
      <c r="W196" s="291" t="s">
        <v>115</v>
      </c>
      <c r="X196" s="5"/>
    </row>
    <row r="197" spans="1:24" ht="15.6" x14ac:dyDescent="0.3">
      <c r="A197" s="287"/>
      <c r="B197" s="288" t="s">
        <v>68</v>
      </c>
      <c r="C197" s="288"/>
      <c r="D197" s="288"/>
      <c r="E197" s="288"/>
      <c r="F197" s="288"/>
      <c r="G197" s="288"/>
      <c r="H197" s="288"/>
      <c r="I197" s="288"/>
      <c r="J197" s="288"/>
      <c r="K197" s="288"/>
      <c r="L197" s="288"/>
      <c r="M197" s="288"/>
      <c r="N197" s="288"/>
      <c r="O197" s="288"/>
      <c r="P197" s="288"/>
      <c r="Q197" s="288"/>
      <c r="R197" s="288"/>
      <c r="S197" s="288"/>
      <c r="T197" s="288"/>
      <c r="U197" s="288"/>
      <c r="V197" s="348">
        <f>(V101+V103+V104+V105+V106+V107+V108)/-(V110+V111)</f>
        <v>15.661341853035143</v>
      </c>
      <c r="W197" s="291" t="s">
        <v>115</v>
      </c>
      <c r="X197" s="5"/>
    </row>
    <row r="198" spans="1:24" ht="15.6" x14ac:dyDescent="0.3">
      <c r="A198" s="287"/>
      <c r="B198" s="288" t="s">
        <v>69</v>
      </c>
      <c r="C198" s="288"/>
      <c r="D198" s="288"/>
      <c r="E198" s="288"/>
      <c r="F198" s="288"/>
      <c r="G198" s="288"/>
      <c r="H198" s="288"/>
      <c r="I198" s="288"/>
      <c r="J198" s="288"/>
      <c r="K198" s="288"/>
      <c r="L198" s="288"/>
      <c r="M198" s="288"/>
      <c r="N198" s="288"/>
      <c r="O198" s="288"/>
      <c r="P198" s="288"/>
      <c r="Q198" s="288"/>
      <c r="R198" s="288"/>
      <c r="S198" s="288"/>
      <c r="T198" s="288"/>
      <c r="U198" s="288"/>
      <c r="V198" s="350">
        <v>6.53</v>
      </c>
      <c r="W198" s="291" t="s">
        <v>115</v>
      </c>
      <c r="X198" s="5"/>
    </row>
    <row r="199" spans="1:24" ht="15.6" x14ac:dyDescent="0.3">
      <c r="A199" s="287"/>
      <c r="B199" s="288" t="s">
        <v>198</v>
      </c>
      <c r="C199" s="288"/>
      <c r="D199" s="288"/>
      <c r="E199" s="288"/>
      <c r="F199" s="288"/>
      <c r="G199" s="288"/>
      <c r="H199" s="288"/>
      <c r="I199" s="288"/>
      <c r="J199" s="288"/>
      <c r="K199" s="288"/>
      <c r="L199" s="288"/>
      <c r="M199" s="288"/>
      <c r="N199" s="288"/>
      <c r="O199" s="288"/>
      <c r="P199" s="288"/>
      <c r="Q199" s="288"/>
      <c r="R199" s="288"/>
      <c r="S199" s="288"/>
      <c r="T199" s="288"/>
      <c r="U199" s="288"/>
      <c r="V199" s="348">
        <f>(V101+V103+V104+V105+V106+V107+V108+V110+V111)/-(V112+V113)</f>
        <v>12.172413793103448</v>
      </c>
      <c r="W199" s="291" t="s">
        <v>115</v>
      </c>
      <c r="X199" s="5"/>
    </row>
    <row r="200" spans="1:24" ht="15.6" x14ac:dyDescent="0.3">
      <c r="A200" s="287"/>
      <c r="B200" s="288" t="s">
        <v>199</v>
      </c>
      <c r="C200" s="288"/>
      <c r="D200" s="288"/>
      <c r="E200" s="288"/>
      <c r="F200" s="288"/>
      <c r="G200" s="288"/>
      <c r="H200" s="288"/>
      <c r="I200" s="288"/>
      <c r="J200" s="288"/>
      <c r="K200" s="288"/>
      <c r="L200" s="288"/>
      <c r="M200" s="288"/>
      <c r="N200" s="288"/>
      <c r="O200" s="288"/>
      <c r="P200" s="288"/>
      <c r="Q200" s="288"/>
      <c r="R200" s="288"/>
      <c r="S200" s="288"/>
      <c r="T200" s="288"/>
      <c r="U200" s="288"/>
      <c r="V200" s="350">
        <v>5.15</v>
      </c>
      <c r="W200" s="291" t="s">
        <v>115</v>
      </c>
      <c r="X200" s="5"/>
    </row>
    <row r="201" spans="1:24" ht="15.6" x14ac:dyDescent="0.3">
      <c r="A201" s="287"/>
      <c r="B201" s="314"/>
      <c r="C201" s="314"/>
      <c r="D201" s="314"/>
      <c r="E201" s="314"/>
      <c r="F201" s="314"/>
      <c r="G201" s="314"/>
      <c r="H201" s="314"/>
      <c r="I201" s="314"/>
      <c r="J201" s="314"/>
      <c r="K201" s="314"/>
      <c r="L201" s="314"/>
      <c r="M201" s="314"/>
      <c r="N201" s="314"/>
      <c r="O201" s="314"/>
      <c r="P201" s="314"/>
      <c r="Q201" s="314"/>
      <c r="R201" s="314"/>
      <c r="S201" s="314"/>
      <c r="T201" s="314"/>
      <c r="U201" s="314"/>
      <c r="V201" s="314"/>
      <c r="W201" s="318"/>
      <c r="X201" s="5"/>
    </row>
    <row r="202" spans="1:24" ht="15.6" x14ac:dyDescent="0.3">
      <c r="A202" s="183"/>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5"/>
    </row>
    <row r="203" spans="1:24" ht="15.6" x14ac:dyDescent="0.3">
      <c r="A203" s="183"/>
      <c r="B203" s="185"/>
      <c r="C203" s="185"/>
      <c r="D203" s="185"/>
      <c r="E203" s="185"/>
      <c r="F203" s="185"/>
      <c r="G203" s="185"/>
      <c r="H203" s="185"/>
      <c r="I203" s="185"/>
      <c r="J203" s="185"/>
      <c r="K203" s="185"/>
      <c r="L203" s="185"/>
      <c r="M203" s="185"/>
      <c r="N203" s="185"/>
      <c r="O203" s="185"/>
      <c r="P203" s="185"/>
      <c r="Q203" s="185"/>
      <c r="R203" s="185"/>
      <c r="S203" s="185"/>
      <c r="T203" s="185"/>
      <c r="U203" s="185"/>
      <c r="V203" s="185"/>
      <c r="W203" s="185"/>
      <c r="X203" s="5"/>
    </row>
    <row r="204" spans="1:24" ht="18" thickBot="1" x14ac:dyDescent="0.35">
      <c r="A204" s="199"/>
      <c r="B204" s="237" t="str">
        <f>B138</f>
        <v>PM14 INVESTOR REPORT QUARTER ENDING NOVEMBER 2011</v>
      </c>
      <c r="C204" s="215"/>
      <c r="D204" s="215"/>
      <c r="E204" s="215"/>
      <c r="F204" s="215"/>
      <c r="G204" s="215"/>
      <c r="H204" s="215"/>
      <c r="I204" s="215"/>
      <c r="J204" s="215"/>
      <c r="K204" s="215"/>
      <c r="L204" s="215"/>
      <c r="M204" s="215"/>
      <c r="N204" s="215"/>
      <c r="O204" s="215"/>
      <c r="P204" s="215"/>
      <c r="Q204" s="215"/>
      <c r="R204" s="215"/>
      <c r="S204" s="215"/>
      <c r="T204" s="215"/>
      <c r="U204" s="215"/>
      <c r="V204" s="215"/>
      <c r="W204" s="216"/>
      <c r="X204" s="5"/>
    </row>
    <row r="205" spans="1:24" ht="15.6" x14ac:dyDescent="0.3">
      <c r="A205" s="273"/>
      <c r="B205" s="403" t="s">
        <v>70</v>
      </c>
      <c r="C205" s="404"/>
      <c r="D205" s="404"/>
      <c r="E205" s="404"/>
      <c r="F205" s="404"/>
      <c r="G205" s="405"/>
      <c r="H205" s="405"/>
      <c r="I205" s="405"/>
      <c r="J205" s="405"/>
      <c r="K205" s="405"/>
      <c r="L205" s="405"/>
      <c r="M205" s="405"/>
      <c r="N205" s="405"/>
      <c r="O205" s="405"/>
      <c r="P205" s="405"/>
      <c r="Q205" s="405"/>
      <c r="R205" s="405"/>
      <c r="S205" s="405"/>
      <c r="T205" s="405">
        <v>40877</v>
      </c>
      <c r="U205" s="274"/>
      <c r="V205" s="274"/>
      <c r="W205" s="274"/>
      <c r="X205" s="5"/>
    </row>
    <row r="206" spans="1:24" ht="15.6" x14ac:dyDescent="0.3">
      <c r="A206" s="217"/>
      <c r="B206" s="230"/>
      <c r="C206" s="249"/>
      <c r="D206" s="249"/>
      <c r="E206" s="249"/>
      <c r="F206" s="249"/>
      <c r="G206" s="229"/>
      <c r="H206" s="229"/>
      <c r="I206" s="229"/>
      <c r="J206" s="229"/>
      <c r="K206" s="229"/>
      <c r="L206" s="229"/>
      <c r="M206" s="229"/>
      <c r="N206" s="229"/>
      <c r="O206" s="229"/>
      <c r="P206" s="229"/>
      <c r="Q206" s="229"/>
      <c r="R206" s="229"/>
      <c r="S206" s="229"/>
      <c r="T206" s="229"/>
      <c r="U206" s="224"/>
      <c r="V206" s="224"/>
      <c r="W206" s="224"/>
      <c r="X206" s="5"/>
    </row>
    <row r="207" spans="1:24" ht="15.6" x14ac:dyDescent="0.3">
      <c r="A207" s="352"/>
      <c r="B207" s="288" t="s">
        <v>71</v>
      </c>
      <c r="C207" s="353"/>
      <c r="D207" s="353"/>
      <c r="E207" s="353"/>
      <c r="F207" s="353"/>
      <c r="G207" s="330"/>
      <c r="H207" s="330"/>
      <c r="I207" s="330"/>
      <c r="J207" s="330"/>
      <c r="K207" s="330"/>
      <c r="L207" s="330"/>
      <c r="M207" s="330"/>
      <c r="N207" s="330"/>
      <c r="O207" s="330"/>
      <c r="P207" s="330"/>
      <c r="Q207" s="330"/>
      <c r="R207" s="330"/>
      <c r="S207" s="330"/>
      <c r="T207" s="321">
        <v>5.2819999999999999E-2</v>
      </c>
      <c r="U207" s="288"/>
      <c r="V207" s="288"/>
      <c r="W207" s="291"/>
      <c r="X207" s="5"/>
    </row>
    <row r="208" spans="1:24" ht="15.6" x14ac:dyDescent="0.3">
      <c r="A208" s="352"/>
      <c r="B208" s="288" t="s">
        <v>151</v>
      </c>
      <c r="C208" s="353"/>
      <c r="D208" s="353"/>
      <c r="E208" s="353"/>
      <c r="F208" s="353"/>
      <c r="G208" s="330"/>
      <c r="H208" s="330"/>
      <c r="I208" s="330"/>
      <c r="J208" s="330"/>
      <c r="K208" s="330"/>
      <c r="L208" s="330"/>
      <c r="M208" s="330"/>
      <c r="N208" s="330"/>
      <c r="O208" s="330"/>
      <c r="P208" s="330"/>
      <c r="Q208" s="330"/>
      <c r="R208" s="330"/>
      <c r="S208" s="330"/>
      <c r="T208" s="321">
        <v>5.7799999999999997E-2</v>
      </c>
      <c r="U208" s="288"/>
      <c r="V208" s="288"/>
      <c r="W208" s="291"/>
      <c r="X208" s="5"/>
    </row>
    <row r="209" spans="1:24" ht="15.6" x14ac:dyDescent="0.3">
      <c r="A209" s="352"/>
      <c r="B209" s="288" t="s">
        <v>72</v>
      </c>
      <c r="C209" s="353"/>
      <c r="D209" s="353"/>
      <c r="E209" s="353"/>
      <c r="F209" s="353"/>
      <c r="G209" s="330"/>
      <c r="H209" s="330"/>
      <c r="I209" s="330"/>
      <c r="J209" s="330"/>
      <c r="K209" s="330"/>
      <c r="L209" s="330"/>
      <c r="M209" s="330"/>
      <c r="N209" s="330"/>
      <c r="O209" s="330"/>
      <c r="P209" s="330"/>
      <c r="Q209" s="330"/>
      <c r="R209" s="330"/>
      <c r="S209" s="330"/>
      <c r="T209" s="321">
        <f>T207-T208</f>
        <v>-4.9799999999999983E-3</v>
      </c>
      <c r="U209" s="288"/>
      <c r="V209" s="288"/>
      <c r="W209" s="291"/>
      <c r="X209" s="5"/>
    </row>
    <row r="210" spans="1:24" ht="15.6" x14ac:dyDescent="0.3">
      <c r="A210" s="352"/>
      <c r="B210" s="288" t="s">
        <v>73</v>
      </c>
      <c r="C210" s="353"/>
      <c r="D210" s="353"/>
      <c r="E210" s="353"/>
      <c r="F210" s="353"/>
      <c r="G210" s="330"/>
      <c r="H210" s="330"/>
      <c r="I210" s="330"/>
      <c r="J210" s="330"/>
      <c r="K210" s="330"/>
      <c r="L210" s="330"/>
      <c r="M210" s="330"/>
      <c r="N210" s="330"/>
      <c r="O210" s="330"/>
      <c r="P210" s="330"/>
      <c r="Q210" s="330"/>
      <c r="R210" s="330"/>
      <c r="S210" s="330"/>
      <c r="T210" s="321">
        <v>2.6270000000000002E-2</v>
      </c>
      <c r="U210" s="288"/>
      <c r="V210" s="288"/>
      <c r="W210" s="291"/>
      <c r="X210" s="5"/>
    </row>
    <row r="211" spans="1:24" ht="15.6" x14ac:dyDescent="0.3">
      <c r="A211" s="352"/>
      <c r="B211" s="288" t="s">
        <v>219</v>
      </c>
      <c r="C211" s="353"/>
      <c r="D211" s="353"/>
      <c r="E211" s="353"/>
      <c r="F211" s="353"/>
      <c r="G211" s="330"/>
      <c r="H211" s="330"/>
      <c r="I211" s="330"/>
      <c r="J211" s="330"/>
      <c r="K211" s="330"/>
      <c r="L211" s="330"/>
      <c r="M211" s="330"/>
      <c r="N211" s="330"/>
      <c r="O211" s="330"/>
      <c r="P211" s="330"/>
      <c r="Q211" s="330"/>
      <c r="R211" s="330"/>
      <c r="S211" s="330"/>
      <c r="T211" s="321">
        <f>V43</f>
        <v>1.0820241685790004E-2</v>
      </c>
      <c r="U211" s="288"/>
      <c r="V211" s="288"/>
      <c r="W211" s="291"/>
      <c r="X211" s="5"/>
    </row>
    <row r="212" spans="1:24" ht="15.6" x14ac:dyDescent="0.3">
      <c r="A212" s="352"/>
      <c r="B212" s="288" t="s">
        <v>74</v>
      </c>
      <c r="C212" s="353"/>
      <c r="D212" s="353"/>
      <c r="E212" s="353"/>
      <c r="F212" s="353"/>
      <c r="G212" s="330"/>
      <c r="H212" s="330"/>
      <c r="I212" s="330"/>
      <c r="J212" s="330"/>
      <c r="K212" s="330"/>
      <c r="L212" s="330"/>
      <c r="M212" s="330"/>
      <c r="N212" s="330"/>
      <c r="O212" s="330"/>
      <c r="P212" s="330"/>
      <c r="Q212" s="330"/>
      <c r="R212" s="330"/>
      <c r="S212" s="330"/>
      <c r="T212" s="321">
        <f>T210-T211</f>
        <v>1.5449758314209997E-2</v>
      </c>
      <c r="U212" s="288"/>
      <c r="V212" s="288"/>
      <c r="W212" s="291"/>
      <c r="X212" s="5"/>
    </row>
    <row r="213" spans="1:24" ht="15.6" x14ac:dyDescent="0.3">
      <c r="A213" s="352"/>
      <c r="B213" s="288" t="s">
        <v>242</v>
      </c>
      <c r="C213" s="353"/>
      <c r="D213" s="353"/>
      <c r="E213" s="353"/>
      <c r="F213" s="353"/>
      <c r="G213" s="330"/>
      <c r="H213" s="330"/>
      <c r="I213" s="330"/>
      <c r="J213" s="330"/>
      <c r="K213" s="330"/>
      <c r="L213" s="330"/>
      <c r="M213" s="330"/>
      <c r="N213" s="330"/>
      <c r="O213" s="330"/>
      <c r="P213" s="330"/>
      <c r="Q213" s="330"/>
      <c r="R213" s="330"/>
      <c r="S213" s="330"/>
      <c r="T213" s="321">
        <f>V101/N71</f>
        <v>6.684843827309956E-3</v>
      </c>
      <c r="U213" s="288"/>
      <c r="V213" s="288"/>
      <c r="W213" s="291"/>
      <c r="X213" s="5"/>
    </row>
    <row r="214" spans="1:24" ht="15.6" x14ac:dyDescent="0.3">
      <c r="A214" s="352"/>
      <c r="B214" s="288" t="s">
        <v>208</v>
      </c>
      <c r="C214" s="353"/>
      <c r="D214" s="353"/>
      <c r="E214" s="353"/>
      <c r="F214" s="353"/>
      <c r="G214" s="330"/>
      <c r="H214" s="330"/>
      <c r="I214" s="330"/>
      <c r="J214" s="330"/>
      <c r="K214" s="330"/>
      <c r="L214" s="330"/>
      <c r="M214" s="330"/>
      <c r="N214" s="330"/>
      <c r="O214" s="330"/>
      <c r="P214" s="330"/>
      <c r="Q214" s="330"/>
      <c r="R214" s="330"/>
      <c r="S214" s="330"/>
      <c r="T214" s="354">
        <v>51014</v>
      </c>
      <c r="U214" s="288"/>
      <c r="V214" s="288"/>
      <c r="W214" s="291"/>
      <c r="X214" s="5"/>
    </row>
    <row r="215" spans="1:24" ht="15.6" x14ac:dyDescent="0.3">
      <c r="A215" s="352"/>
      <c r="B215" s="288" t="s">
        <v>209</v>
      </c>
      <c r="C215" s="353"/>
      <c r="D215" s="353"/>
      <c r="E215" s="353"/>
      <c r="F215" s="353"/>
      <c r="G215" s="330"/>
      <c r="H215" s="330"/>
      <c r="I215" s="330"/>
      <c r="J215" s="330"/>
      <c r="K215" s="330"/>
      <c r="L215" s="330"/>
      <c r="M215" s="330"/>
      <c r="N215" s="330"/>
      <c r="O215" s="330"/>
      <c r="P215" s="330"/>
      <c r="Q215" s="330"/>
      <c r="R215" s="330"/>
      <c r="S215" s="330"/>
      <c r="T215" s="354">
        <v>51014</v>
      </c>
      <c r="U215" s="288"/>
      <c r="V215" s="288"/>
      <c r="W215" s="291"/>
      <c r="X215" s="5"/>
    </row>
    <row r="216" spans="1:24" ht="15.6" x14ac:dyDescent="0.3">
      <c r="A216" s="352"/>
      <c r="B216" s="288" t="s">
        <v>210</v>
      </c>
      <c r="C216" s="353"/>
      <c r="D216" s="353"/>
      <c r="E216" s="353"/>
      <c r="F216" s="353"/>
      <c r="G216" s="330"/>
      <c r="H216" s="330"/>
      <c r="I216" s="330"/>
      <c r="J216" s="330"/>
      <c r="K216" s="330"/>
      <c r="L216" s="330"/>
      <c r="M216" s="330"/>
      <c r="N216" s="330"/>
      <c r="O216" s="330"/>
      <c r="P216" s="330"/>
      <c r="Q216" s="330"/>
      <c r="R216" s="330"/>
      <c r="S216" s="330"/>
      <c r="T216" s="354">
        <v>51014</v>
      </c>
      <c r="U216" s="288"/>
      <c r="V216" s="288"/>
      <c r="W216" s="291"/>
      <c r="X216" s="5"/>
    </row>
    <row r="217" spans="1:24" ht="15.6" x14ac:dyDescent="0.3">
      <c r="A217" s="352"/>
      <c r="B217" s="288" t="s">
        <v>75</v>
      </c>
      <c r="C217" s="353"/>
      <c r="D217" s="353"/>
      <c r="E217" s="353"/>
      <c r="F217" s="353"/>
      <c r="G217" s="330"/>
      <c r="H217" s="330"/>
      <c r="I217" s="330"/>
      <c r="J217" s="330"/>
      <c r="K217" s="330"/>
      <c r="L217" s="330"/>
      <c r="M217" s="330"/>
      <c r="N217" s="330"/>
      <c r="O217" s="330"/>
      <c r="P217" s="330"/>
      <c r="Q217" s="330"/>
      <c r="R217" s="330"/>
      <c r="S217" s="330"/>
      <c r="T217" s="327">
        <v>20.66</v>
      </c>
      <c r="U217" s="288" t="s">
        <v>110</v>
      </c>
      <c r="V217" s="288"/>
      <c r="W217" s="291"/>
      <c r="X217" s="5"/>
    </row>
    <row r="218" spans="1:24" ht="15.6" x14ac:dyDescent="0.3">
      <c r="A218" s="352"/>
      <c r="B218" s="288" t="s">
        <v>76</v>
      </c>
      <c r="C218" s="353"/>
      <c r="D218" s="353"/>
      <c r="E218" s="353"/>
      <c r="F218" s="353"/>
      <c r="G218" s="330"/>
      <c r="H218" s="330"/>
      <c r="I218" s="330"/>
      <c r="J218" s="330"/>
      <c r="K218" s="330"/>
      <c r="L218" s="330"/>
      <c r="M218" s="330"/>
      <c r="N218" s="330"/>
      <c r="O218" s="330"/>
      <c r="P218" s="330"/>
      <c r="Q218" s="330"/>
      <c r="R218" s="330"/>
      <c r="S218" s="330"/>
      <c r="T218" s="327">
        <v>16.64</v>
      </c>
      <c r="U218" s="288" t="s">
        <v>110</v>
      </c>
      <c r="V218" s="288"/>
      <c r="W218" s="291"/>
      <c r="X218" s="5"/>
    </row>
    <row r="219" spans="1:24" ht="15.6" x14ac:dyDescent="0.3">
      <c r="A219" s="352"/>
      <c r="B219" s="288" t="s">
        <v>77</v>
      </c>
      <c r="C219" s="353"/>
      <c r="D219" s="353"/>
      <c r="E219" s="353"/>
      <c r="F219" s="353"/>
      <c r="G219" s="330"/>
      <c r="H219" s="330"/>
      <c r="I219" s="330"/>
      <c r="J219" s="330"/>
      <c r="K219" s="330"/>
      <c r="L219" s="330"/>
      <c r="M219" s="330"/>
      <c r="N219" s="330"/>
      <c r="O219" s="330"/>
      <c r="P219" s="330"/>
      <c r="Q219" s="330"/>
      <c r="R219" s="330"/>
      <c r="S219" s="330"/>
      <c r="T219" s="321">
        <f>+P68/N68</f>
        <v>5.4575345734508181E-3</v>
      </c>
      <c r="U219" s="288"/>
      <c r="V219" s="288"/>
      <c r="W219" s="291"/>
      <c r="X219" s="5"/>
    </row>
    <row r="220" spans="1:24" ht="15.6" x14ac:dyDescent="0.3">
      <c r="A220" s="352"/>
      <c r="B220" s="288" t="s">
        <v>78</v>
      </c>
      <c r="C220" s="353"/>
      <c r="D220" s="353"/>
      <c r="E220" s="353"/>
      <c r="F220" s="353"/>
      <c r="G220" s="330"/>
      <c r="H220" s="330"/>
      <c r="I220" s="330"/>
      <c r="J220" s="330"/>
      <c r="K220" s="330"/>
      <c r="L220" s="330"/>
      <c r="M220" s="330"/>
      <c r="N220" s="330"/>
      <c r="O220" s="330"/>
      <c r="P220" s="330"/>
      <c r="Q220" s="330"/>
      <c r="R220" s="330"/>
      <c r="S220" s="330"/>
      <c r="T220" s="321">
        <v>6.2300000000000001E-2</v>
      </c>
      <c r="U220" s="288"/>
      <c r="V220" s="288"/>
      <c r="W220" s="291"/>
      <c r="X220" s="5"/>
    </row>
    <row r="221" spans="1:24" ht="15.6" x14ac:dyDescent="0.3">
      <c r="A221" s="217"/>
      <c r="B221" s="284"/>
      <c r="C221" s="284"/>
      <c r="D221" s="284"/>
      <c r="E221" s="284"/>
      <c r="F221" s="284"/>
      <c r="G221" s="284"/>
      <c r="H221" s="284"/>
      <c r="I221" s="284"/>
      <c r="J221" s="284"/>
      <c r="K221" s="284"/>
      <c r="L221" s="284"/>
      <c r="M221" s="284"/>
      <c r="N221" s="284"/>
      <c r="O221" s="284"/>
      <c r="P221" s="284"/>
      <c r="Q221" s="284"/>
      <c r="R221" s="284"/>
      <c r="S221" s="284"/>
      <c r="T221" s="349"/>
      <c r="U221" s="284"/>
      <c r="V221" s="351"/>
      <c r="W221" s="284"/>
      <c r="X221" s="5"/>
    </row>
    <row r="222" spans="1:24" ht="15.6" x14ac:dyDescent="0.3">
      <c r="A222" s="278"/>
      <c r="B222" s="399" t="s">
        <v>79</v>
      </c>
      <c r="C222" s="400"/>
      <c r="D222" s="400"/>
      <c r="E222" s="400"/>
      <c r="F222" s="406"/>
      <c r="G222" s="400"/>
      <c r="H222" s="400"/>
      <c r="I222" s="400"/>
      <c r="J222" s="400"/>
      <c r="K222" s="400"/>
      <c r="L222" s="400"/>
      <c r="M222" s="400"/>
      <c r="N222" s="400"/>
      <c r="O222" s="400"/>
      <c r="P222" s="400"/>
      <c r="Q222" s="400"/>
      <c r="R222" s="400"/>
      <c r="S222" s="400" t="s">
        <v>102</v>
      </c>
      <c r="T222" s="406" t="s">
        <v>108</v>
      </c>
      <c r="U222" s="263"/>
      <c r="V222" s="263"/>
      <c r="W222" s="263"/>
      <c r="X222" s="5"/>
    </row>
    <row r="223" spans="1:24" ht="15.6" x14ac:dyDescent="0.3">
      <c r="A223" s="218"/>
      <c r="B223" s="231" t="s">
        <v>80</v>
      </c>
      <c r="C223" s="234"/>
      <c r="D223" s="234"/>
      <c r="E223" s="234"/>
      <c r="F223" s="231"/>
      <c r="G223" s="231"/>
      <c r="H223" s="233"/>
      <c r="I223" s="233"/>
      <c r="J223" s="233"/>
      <c r="K223" s="233"/>
      <c r="L223" s="233"/>
      <c r="M223" s="233"/>
      <c r="N223" s="233"/>
      <c r="O223" s="233"/>
      <c r="P223" s="233"/>
      <c r="Q223" s="233"/>
      <c r="R223" s="233"/>
      <c r="S223" s="233">
        <v>6</v>
      </c>
      <c r="T223" s="251">
        <v>1180</v>
      </c>
      <c r="U223" s="231"/>
      <c r="V223" s="250"/>
      <c r="W223" s="252"/>
      <c r="X223" s="5"/>
    </row>
    <row r="224" spans="1:24" ht="15.6" x14ac:dyDescent="0.3">
      <c r="A224" s="362"/>
      <c r="B224" s="288" t="s">
        <v>145</v>
      </c>
      <c r="C224" s="337"/>
      <c r="D224" s="337"/>
      <c r="E224" s="337"/>
      <c r="F224" s="288"/>
      <c r="G224" s="288"/>
      <c r="H224" s="296"/>
      <c r="I224" s="296"/>
      <c r="J224" s="296"/>
      <c r="K224" s="296"/>
      <c r="L224" s="296"/>
      <c r="M224" s="296"/>
      <c r="N224" s="296"/>
      <c r="O224" s="296"/>
      <c r="P224" s="296"/>
      <c r="Q224" s="296"/>
      <c r="R224" s="296"/>
      <c r="S224" s="363">
        <f>+R276</f>
        <v>200</v>
      </c>
      <c r="T224" s="364">
        <f>+T276</f>
        <v>27988</v>
      </c>
      <c r="U224" s="288"/>
      <c r="V224" s="365"/>
      <c r="W224" s="366"/>
      <c r="X224" s="5"/>
    </row>
    <row r="225" spans="1:24" ht="15.6" x14ac:dyDescent="0.3">
      <c r="A225" s="362"/>
      <c r="B225" s="288" t="s">
        <v>81</v>
      </c>
      <c r="C225" s="337"/>
      <c r="D225" s="337"/>
      <c r="E225" s="337"/>
      <c r="F225" s="288"/>
      <c r="G225" s="288"/>
      <c r="H225" s="296"/>
      <c r="I225" s="296"/>
      <c r="J225" s="296"/>
      <c r="K225" s="296"/>
      <c r="L225" s="296"/>
      <c r="M225" s="296"/>
      <c r="N225" s="296"/>
      <c r="O225" s="296"/>
      <c r="P225" s="296"/>
      <c r="Q225" s="296"/>
      <c r="R225" s="296"/>
      <c r="S225" s="363">
        <f>+R288</f>
        <v>0</v>
      </c>
      <c r="T225" s="364">
        <f>+T288</f>
        <v>0</v>
      </c>
      <c r="U225" s="288"/>
      <c r="V225" s="365"/>
      <c r="W225" s="366"/>
      <c r="X225" s="5"/>
    </row>
    <row r="226" spans="1:24" ht="15.6" x14ac:dyDescent="0.3">
      <c r="A226" s="362"/>
      <c r="B226" s="313" t="s">
        <v>82</v>
      </c>
      <c r="C226" s="367"/>
      <c r="D226" s="367"/>
      <c r="E226" s="367"/>
      <c r="F226" s="314"/>
      <c r="G226" s="314"/>
      <c r="H226" s="314"/>
      <c r="I226" s="314"/>
      <c r="J226" s="314"/>
      <c r="K226" s="314"/>
      <c r="L226" s="314"/>
      <c r="M226" s="314"/>
      <c r="N226" s="314"/>
      <c r="O226" s="314"/>
      <c r="P226" s="314"/>
      <c r="Q226" s="314"/>
      <c r="R226" s="314"/>
      <c r="S226" s="314"/>
      <c r="T226" s="364">
        <v>0</v>
      </c>
      <c r="U226" s="314"/>
      <c r="V226" s="369"/>
      <c r="W226" s="370"/>
      <c r="X226" s="5"/>
    </row>
    <row r="227" spans="1:24" ht="15.6" x14ac:dyDescent="0.3">
      <c r="A227" s="362"/>
      <c r="B227" s="313" t="s">
        <v>243</v>
      </c>
      <c r="C227" s="367"/>
      <c r="D227" s="367"/>
      <c r="E227" s="367"/>
      <c r="F227" s="314"/>
      <c r="G227" s="314"/>
      <c r="H227" s="314"/>
      <c r="I227" s="314"/>
      <c r="J227" s="314"/>
      <c r="K227" s="314"/>
      <c r="L227" s="314"/>
      <c r="M227" s="314"/>
      <c r="N227" s="314"/>
      <c r="O227" s="314"/>
      <c r="P227" s="314"/>
      <c r="Q227" s="314"/>
      <c r="R227" s="314"/>
      <c r="S227" s="314"/>
      <c r="T227" s="364">
        <f>+N81</f>
        <v>0</v>
      </c>
      <c r="U227" s="314"/>
      <c r="V227" s="369"/>
      <c r="W227" s="370"/>
      <c r="X227" s="5"/>
    </row>
    <row r="228" spans="1:24" ht="15.6" x14ac:dyDescent="0.3">
      <c r="A228" s="371"/>
      <c r="B228" s="313" t="s">
        <v>83</v>
      </c>
      <c r="C228" s="372"/>
      <c r="D228" s="372"/>
      <c r="E228" s="372"/>
      <c r="F228" s="372"/>
      <c r="G228" s="314"/>
      <c r="H228" s="314"/>
      <c r="I228" s="314"/>
      <c r="J228" s="314"/>
      <c r="K228" s="314"/>
      <c r="L228" s="314"/>
      <c r="M228" s="314"/>
      <c r="N228" s="314"/>
      <c r="O228" s="314"/>
      <c r="P228" s="314"/>
      <c r="Q228" s="314"/>
      <c r="R228" s="314"/>
      <c r="S228" s="314"/>
      <c r="T228" s="368"/>
      <c r="U228" s="314"/>
      <c r="V228" s="369"/>
      <c r="W228" s="373"/>
      <c r="X228" s="5"/>
    </row>
    <row r="229" spans="1:24" ht="15.6" x14ac:dyDescent="0.3">
      <c r="A229" s="371"/>
      <c r="B229" s="288" t="s">
        <v>84</v>
      </c>
      <c r="C229" s="288"/>
      <c r="D229" s="288"/>
      <c r="E229" s="288"/>
      <c r="F229" s="288"/>
      <c r="G229" s="288"/>
      <c r="H229" s="288"/>
      <c r="I229" s="288"/>
      <c r="J229" s="288"/>
      <c r="K229" s="288"/>
      <c r="L229" s="288"/>
      <c r="M229" s="288"/>
      <c r="N229" s="288"/>
      <c r="O229" s="288"/>
      <c r="P229" s="288"/>
      <c r="Q229" s="288"/>
      <c r="R229" s="288"/>
      <c r="S229" s="296"/>
      <c r="T229" s="364">
        <f>V167</f>
        <v>47</v>
      </c>
      <c r="U229" s="288"/>
      <c r="V229" s="365"/>
      <c r="W229" s="378"/>
      <c r="X229" s="5"/>
    </row>
    <row r="230" spans="1:24" ht="15.6" x14ac:dyDescent="0.3">
      <c r="A230" s="362"/>
      <c r="B230" s="288" t="s">
        <v>85</v>
      </c>
      <c r="C230" s="337"/>
      <c r="D230" s="337"/>
      <c r="E230" s="337"/>
      <c r="F230" s="337"/>
      <c r="G230" s="288"/>
      <c r="H230" s="288"/>
      <c r="I230" s="288"/>
      <c r="J230" s="288"/>
      <c r="K230" s="288"/>
      <c r="L230" s="288"/>
      <c r="M230" s="288"/>
      <c r="N230" s="288"/>
      <c r="O230" s="288"/>
      <c r="P230" s="288"/>
      <c r="Q230" s="288"/>
      <c r="R230" s="288"/>
      <c r="S230" s="296"/>
      <c r="T230" s="364">
        <f>'Aug 11'!T230+T229</f>
        <v>3340</v>
      </c>
      <c r="U230" s="288"/>
      <c r="V230" s="365"/>
      <c r="W230" s="378"/>
      <c r="X230" s="5"/>
    </row>
    <row r="231" spans="1:24" ht="15.6" x14ac:dyDescent="0.3">
      <c r="A231" s="371"/>
      <c r="B231" s="313" t="s">
        <v>295</v>
      </c>
      <c r="C231" s="372"/>
      <c r="D231" s="372"/>
      <c r="E231" s="372"/>
      <c r="F231" s="372"/>
      <c r="G231" s="314"/>
      <c r="H231" s="314"/>
      <c r="I231" s="314"/>
      <c r="J231" s="314"/>
      <c r="K231" s="314"/>
      <c r="L231" s="314"/>
      <c r="M231" s="314"/>
      <c r="N231" s="314"/>
      <c r="O231" s="314"/>
      <c r="P231" s="314"/>
      <c r="Q231" s="314"/>
      <c r="R231" s="314"/>
      <c r="S231" s="316"/>
      <c r="T231" s="368"/>
      <c r="U231" s="314"/>
      <c r="V231" s="369"/>
      <c r="W231" s="373"/>
      <c r="X231" s="5"/>
    </row>
    <row r="232" spans="1:24" ht="15.6" x14ac:dyDescent="0.3">
      <c r="A232" s="371"/>
      <c r="B232" s="288" t="s">
        <v>291</v>
      </c>
      <c r="C232" s="288"/>
      <c r="D232" s="288"/>
      <c r="E232" s="288"/>
      <c r="F232" s="288"/>
      <c r="G232" s="288"/>
      <c r="H232" s="288"/>
      <c r="I232" s="288"/>
      <c r="J232" s="288"/>
      <c r="K232" s="288"/>
      <c r="L232" s="288"/>
      <c r="M232" s="288"/>
      <c r="N232" s="288"/>
      <c r="O232" s="288"/>
      <c r="P232" s="288"/>
      <c r="Q232" s="288"/>
      <c r="R232" s="288"/>
      <c r="S232" s="296">
        <v>0</v>
      </c>
      <c r="T232" s="364">
        <v>0</v>
      </c>
      <c r="U232" s="288"/>
      <c r="V232" s="365"/>
      <c r="W232" s="378"/>
      <c r="X232" s="5"/>
    </row>
    <row r="233" spans="1:24" ht="15.6" x14ac:dyDescent="0.3">
      <c r="A233" s="362"/>
      <c r="B233" s="288" t="s">
        <v>86</v>
      </c>
      <c r="C233" s="325"/>
      <c r="D233" s="325"/>
      <c r="E233" s="325"/>
      <c r="F233" s="379"/>
      <c r="G233" s="288"/>
      <c r="H233" s="288"/>
      <c r="I233" s="288"/>
      <c r="J233" s="288"/>
      <c r="K233" s="288"/>
      <c r="L233" s="288"/>
      <c r="M233" s="288"/>
      <c r="N233" s="288"/>
      <c r="O233" s="288"/>
      <c r="P233" s="288"/>
      <c r="Q233" s="288"/>
      <c r="R233" s="288"/>
      <c r="S233" s="288"/>
      <c r="T233" s="380">
        <v>0</v>
      </c>
      <c r="U233" s="288"/>
      <c r="V233" s="365"/>
      <c r="W233" s="378"/>
      <c r="X233" s="5"/>
    </row>
    <row r="234" spans="1:24" ht="15.6" x14ac:dyDescent="0.3">
      <c r="A234" s="362"/>
      <c r="B234" s="288" t="s">
        <v>87</v>
      </c>
      <c r="C234" s="325"/>
      <c r="D234" s="325"/>
      <c r="E234" s="325"/>
      <c r="F234" s="379"/>
      <c r="G234" s="288"/>
      <c r="H234" s="288"/>
      <c r="I234" s="288"/>
      <c r="J234" s="288"/>
      <c r="K234" s="288"/>
      <c r="L234" s="288"/>
      <c r="M234" s="288"/>
      <c r="N234" s="288"/>
      <c r="O234" s="288"/>
      <c r="P234" s="288"/>
      <c r="Q234" s="288"/>
      <c r="R234" s="288"/>
      <c r="S234" s="288"/>
      <c r="T234" s="380">
        <v>0</v>
      </c>
      <c r="U234" s="288"/>
      <c r="V234" s="365"/>
      <c r="W234" s="378"/>
      <c r="X234" s="5"/>
    </row>
    <row r="235" spans="1:24" ht="15.6" x14ac:dyDescent="0.3">
      <c r="A235" s="362"/>
      <c r="B235" s="313" t="s">
        <v>217</v>
      </c>
      <c r="C235" s="381"/>
      <c r="D235" s="381"/>
      <c r="E235" s="381"/>
      <c r="F235" s="382"/>
      <c r="G235" s="314"/>
      <c r="H235" s="314"/>
      <c r="I235" s="314"/>
      <c r="J235" s="314"/>
      <c r="K235" s="314"/>
      <c r="L235" s="314"/>
      <c r="M235" s="314"/>
      <c r="N235" s="314"/>
      <c r="O235" s="314"/>
      <c r="P235" s="314"/>
      <c r="Q235" s="314"/>
      <c r="R235" s="314"/>
      <c r="S235" s="314"/>
      <c r="T235" s="383"/>
      <c r="U235" s="314"/>
      <c r="V235" s="369"/>
      <c r="W235" s="373"/>
      <c r="X235" s="5"/>
    </row>
    <row r="236" spans="1:24" ht="15.6" x14ac:dyDescent="0.3">
      <c r="A236" s="362"/>
      <c r="B236" s="288" t="s">
        <v>291</v>
      </c>
      <c r="C236" s="381"/>
      <c r="D236" s="381"/>
      <c r="E236" s="381"/>
      <c r="F236" s="382"/>
      <c r="G236" s="314"/>
      <c r="H236" s="314"/>
      <c r="I236" s="314"/>
      <c r="J236" s="314"/>
      <c r="K236" s="314"/>
      <c r="L236" s="314"/>
      <c r="M236" s="314"/>
      <c r="N236" s="314"/>
      <c r="O236" s="314"/>
      <c r="P236" s="314"/>
      <c r="Q236" s="314"/>
      <c r="R236" s="314"/>
      <c r="S236" s="296">
        <v>1</v>
      </c>
      <c r="T236" s="364">
        <v>57</v>
      </c>
      <c r="U236" s="314"/>
      <c r="V236" s="369"/>
      <c r="W236" s="373"/>
      <c r="X236" s="5"/>
    </row>
    <row r="237" spans="1:24" ht="15.6" x14ac:dyDescent="0.3">
      <c r="A237" s="362"/>
      <c r="B237" s="288" t="s">
        <v>218</v>
      </c>
      <c r="C237" s="381"/>
      <c r="D237" s="381"/>
      <c r="E237" s="381"/>
      <c r="F237" s="382"/>
      <c r="G237" s="314"/>
      <c r="H237" s="314"/>
      <c r="I237" s="314"/>
      <c r="J237" s="314"/>
      <c r="K237" s="314"/>
      <c r="L237" s="314"/>
      <c r="M237" s="314"/>
      <c r="N237" s="314"/>
      <c r="O237" s="314"/>
      <c r="P237" s="314"/>
      <c r="Q237" s="314"/>
      <c r="R237" s="314"/>
      <c r="S237" s="288"/>
      <c r="T237" s="380">
        <v>0</v>
      </c>
      <c r="U237" s="314"/>
      <c r="V237" s="369"/>
      <c r="W237" s="373"/>
      <c r="X237" s="5"/>
    </row>
    <row r="238" spans="1:24" ht="15.6" x14ac:dyDescent="0.3">
      <c r="A238" s="362"/>
      <c r="B238" s="372"/>
      <c r="C238" s="381"/>
      <c r="D238" s="381"/>
      <c r="E238" s="381"/>
      <c r="F238" s="382"/>
      <c r="G238" s="314"/>
      <c r="H238" s="314"/>
      <c r="I238" s="314"/>
      <c r="J238" s="314"/>
      <c r="K238" s="314"/>
      <c r="L238" s="314"/>
      <c r="M238" s="314"/>
      <c r="N238" s="314"/>
      <c r="O238" s="314"/>
      <c r="P238" s="314"/>
      <c r="Q238" s="314"/>
      <c r="R238" s="314"/>
      <c r="S238" s="314"/>
      <c r="T238" s="383"/>
      <c r="U238" s="314"/>
      <c r="V238" s="369"/>
      <c r="W238" s="373"/>
      <c r="X238" s="5"/>
    </row>
    <row r="239" spans="1:24" ht="15.6" x14ac:dyDescent="0.3">
      <c r="A239" s="362"/>
      <c r="B239" s="372"/>
      <c r="C239" s="381"/>
      <c r="D239" s="381"/>
      <c r="E239" s="381"/>
      <c r="F239" s="382"/>
      <c r="G239" s="314"/>
      <c r="H239" s="314"/>
      <c r="I239" s="314"/>
      <c r="J239" s="314"/>
      <c r="K239" s="314"/>
      <c r="L239" s="314"/>
      <c r="M239" s="314"/>
      <c r="N239" s="314"/>
      <c r="O239" s="314"/>
      <c r="P239" s="314"/>
      <c r="Q239" s="314"/>
      <c r="R239" s="314"/>
      <c r="S239" s="314"/>
      <c r="T239" s="383"/>
      <c r="U239" s="314"/>
      <c r="V239" s="369"/>
      <c r="W239" s="373"/>
      <c r="X239" s="5"/>
    </row>
    <row r="240" spans="1:24" ht="17.399999999999999" x14ac:dyDescent="0.3">
      <c r="A240" s="362"/>
      <c r="B240" s="384" t="s">
        <v>168</v>
      </c>
      <c r="C240" s="381"/>
      <c r="D240" s="381"/>
      <c r="E240" s="381"/>
      <c r="F240" s="382"/>
      <c r="G240" s="314"/>
      <c r="H240" s="314"/>
      <c r="I240" s="314"/>
      <c r="J240" s="314"/>
      <c r="K240" s="314"/>
      <c r="L240" s="314"/>
      <c r="M240" s="314"/>
      <c r="N240" s="314"/>
      <c r="O240" s="314"/>
      <c r="P240" s="385" t="s">
        <v>167</v>
      </c>
      <c r="Q240" s="314"/>
      <c r="R240" s="314"/>
      <c r="S240" s="314"/>
      <c r="T240" s="383"/>
      <c r="U240" s="314"/>
      <c r="V240" s="369"/>
      <c r="W240" s="373"/>
      <c r="X240" s="5"/>
    </row>
    <row r="241" spans="1:25" ht="15.6" x14ac:dyDescent="0.3">
      <c r="A241" s="355"/>
      <c r="B241" s="356"/>
      <c r="C241" s="357"/>
      <c r="D241" s="357"/>
      <c r="E241" s="357"/>
      <c r="F241" s="358"/>
      <c r="G241" s="198"/>
      <c r="H241" s="198"/>
      <c r="I241" s="198"/>
      <c r="J241" s="198"/>
      <c r="K241" s="198"/>
      <c r="L241" s="198"/>
      <c r="M241" s="198"/>
      <c r="N241" s="198"/>
      <c r="O241" s="198"/>
      <c r="P241" s="198"/>
      <c r="Q241" s="198"/>
      <c r="R241" s="198"/>
      <c r="S241" s="198"/>
      <c r="T241" s="359"/>
      <c r="U241" s="198"/>
      <c r="V241" s="360"/>
      <c r="W241" s="361"/>
      <c r="X241" s="5"/>
    </row>
    <row r="242" spans="1:25" ht="15.6" x14ac:dyDescent="0.3">
      <c r="A242" s="262"/>
      <c r="B242" s="399" t="s">
        <v>308</v>
      </c>
      <c r="C242" s="400"/>
      <c r="D242" s="400"/>
      <c r="E242" s="400"/>
      <c r="F242" s="406"/>
      <c r="G242" s="400"/>
      <c r="H242" s="400"/>
      <c r="I242" s="400"/>
      <c r="J242" s="400"/>
      <c r="K242" s="400"/>
      <c r="L242" s="400"/>
      <c r="M242" s="400"/>
      <c r="N242" s="400"/>
      <c r="O242" s="400"/>
      <c r="P242" s="400"/>
      <c r="Q242" s="400"/>
      <c r="R242" s="406" t="s">
        <v>102</v>
      </c>
      <c r="S242" s="400" t="s">
        <v>103</v>
      </c>
      <c r="T242" s="406" t="s">
        <v>109</v>
      </c>
      <c r="U242" s="400" t="s">
        <v>103</v>
      </c>
      <c r="V242" s="263"/>
      <c r="W242" s="399"/>
      <c r="X242" s="5"/>
    </row>
    <row r="243" spans="1:25" ht="15.6" x14ac:dyDescent="0.3">
      <c r="A243" s="197"/>
      <c r="B243" s="234" t="s">
        <v>88</v>
      </c>
      <c r="C243" s="253"/>
      <c r="D243" s="253"/>
      <c r="E243" s="253"/>
      <c r="F243" s="231"/>
      <c r="G243" s="253"/>
      <c r="H243" s="253"/>
      <c r="I243" s="253"/>
      <c r="J243" s="253"/>
      <c r="K243" s="253"/>
      <c r="L243" s="253"/>
      <c r="M243" s="253"/>
      <c r="N243" s="253"/>
      <c r="O243" s="253"/>
      <c r="P243" s="253"/>
      <c r="Q243" s="253"/>
      <c r="R243" s="234">
        <f t="shared" ref="R243:R250" si="1">+R255+R267+R279</f>
        <v>7953</v>
      </c>
      <c r="S243" s="254">
        <f t="shared" ref="S243:S250" si="2">R243/$R$252</f>
        <v>0.98795031055900617</v>
      </c>
      <c r="T243" s="241">
        <f t="shared" ref="T243:T250" si="3">+T255+T267+T279</f>
        <v>1118273</v>
      </c>
      <c r="U243" s="254">
        <f t="shared" ref="U243:U250" si="4">T243/$T$252</f>
        <v>0.98636015231045648</v>
      </c>
      <c r="V243" s="250"/>
      <c r="W243" s="232"/>
      <c r="X243" s="5"/>
    </row>
    <row r="244" spans="1:25" ht="15.6" x14ac:dyDescent="0.3">
      <c r="A244" s="287"/>
      <c r="B244" s="337" t="s">
        <v>89</v>
      </c>
      <c r="C244" s="389"/>
      <c r="D244" s="389"/>
      <c r="E244" s="389"/>
      <c r="F244" s="288"/>
      <c r="G244" s="390"/>
      <c r="H244" s="389"/>
      <c r="I244" s="389"/>
      <c r="J244" s="389"/>
      <c r="K244" s="389"/>
      <c r="L244" s="389"/>
      <c r="M244" s="389"/>
      <c r="N244" s="389"/>
      <c r="O244" s="389"/>
      <c r="P244" s="389"/>
      <c r="Q244" s="389"/>
      <c r="R244" s="337">
        <f t="shared" si="1"/>
        <v>35</v>
      </c>
      <c r="S244" s="390">
        <f t="shared" si="2"/>
        <v>4.3478260869565218E-3</v>
      </c>
      <c r="T244" s="338">
        <f t="shared" si="3"/>
        <v>7097</v>
      </c>
      <c r="U244" s="390">
        <f t="shared" si="4"/>
        <v>6.2598292196514712E-3</v>
      </c>
      <c r="V244" s="365"/>
      <c r="W244" s="378"/>
      <c r="X244" s="5"/>
      <c r="Y244" s="109"/>
    </row>
    <row r="245" spans="1:25" ht="15.6" x14ac:dyDescent="0.3">
      <c r="A245" s="287"/>
      <c r="B245" s="337" t="s">
        <v>90</v>
      </c>
      <c r="C245" s="389"/>
      <c r="D245" s="389"/>
      <c r="E245" s="389"/>
      <c r="F245" s="288"/>
      <c r="G245" s="390"/>
      <c r="H245" s="389"/>
      <c r="I245" s="389"/>
      <c r="J245" s="389"/>
      <c r="K245" s="389"/>
      <c r="L245" s="389"/>
      <c r="M245" s="389"/>
      <c r="N245" s="389"/>
      <c r="O245" s="389"/>
      <c r="P245" s="389"/>
      <c r="Q245" s="389"/>
      <c r="R245" s="337">
        <f t="shared" si="1"/>
        <v>15</v>
      </c>
      <c r="S245" s="390">
        <f t="shared" si="2"/>
        <v>1.8633540372670807E-3</v>
      </c>
      <c r="T245" s="338">
        <f t="shared" si="3"/>
        <v>2036</v>
      </c>
      <c r="U245" s="390">
        <f t="shared" si="4"/>
        <v>1.7958309555037896E-3</v>
      </c>
      <c r="V245" s="365"/>
      <c r="W245" s="378"/>
      <c r="X245" s="5"/>
    </row>
    <row r="246" spans="1:25" ht="15.6" x14ac:dyDescent="0.3">
      <c r="A246" s="287"/>
      <c r="B246" s="337" t="s">
        <v>156</v>
      </c>
      <c r="C246" s="389"/>
      <c r="D246" s="389"/>
      <c r="E246" s="389"/>
      <c r="F246" s="288"/>
      <c r="G246" s="390"/>
      <c r="H246" s="389"/>
      <c r="I246" s="389"/>
      <c r="J246" s="389"/>
      <c r="K246" s="389"/>
      <c r="L246" s="389"/>
      <c r="M246" s="389"/>
      <c r="N246" s="389"/>
      <c r="O246" s="389"/>
      <c r="P246" s="389"/>
      <c r="Q246" s="389"/>
      <c r="R246" s="337">
        <f t="shared" si="1"/>
        <v>6</v>
      </c>
      <c r="S246" s="390">
        <f t="shared" si="2"/>
        <v>7.4534161490683233E-4</v>
      </c>
      <c r="T246" s="338">
        <f t="shared" si="3"/>
        <v>605</v>
      </c>
      <c r="U246" s="390">
        <f t="shared" si="4"/>
        <v>5.3363346172877841E-4</v>
      </c>
      <c r="V246" s="365"/>
      <c r="W246" s="378"/>
      <c r="X246" s="5"/>
      <c r="Y246" s="109"/>
    </row>
    <row r="247" spans="1:25" ht="15.6" x14ac:dyDescent="0.3">
      <c r="A247" s="287"/>
      <c r="B247" s="337" t="s">
        <v>157</v>
      </c>
      <c r="C247" s="389"/>
      <c r="D247" s="389"/>
      <c r="E247" s="389"/>
      <c r="F247" s="288"/>
      <c r="G247" s="390"/>
      <c r="H247" s="389"/>
      <c r="I247" s="389"/>
      <c r="J247" s="389"/>
      <c r="K247" s="389"/>
      <c r="L247" s="389"/>
      <c r="M247" s="389"/>
      <c r="N247" s="389"/>
      <c r="O247" s="389"/>
      <c r="P247" s="389"/>
      <c r="Q247" s="389"/>
      <c r="R247" s="337">
        <f t="shared" si="1"/>
        <v>0</v>
      </c>
      <c r="S247" s="390">
        <f t="shared" si="2"/>
        <v>0</v>
      </c>
      <c r="T247" s="338">
        <f t="shared" si="3"/>
        <v>0</v>
      </c>
      <c r="U247" s="390">
        <f t="shared" si="4"/>
        <v>0</v>
      </c>
      <c r="V247" s="365"/>
      <c r="W247" s="378"/>
      <c r="X247" s="5"/>
    </row>
    <row r="248" spans="1:25" ht="15.6" x14ac:dyDescent="0.3">
      <c r="A248" s="287"/>
      <c r="B248" s="337" t="s">
        <v>158</v>
      </c>
      <c r="C248" s="389"/>
      <c r="D248" s="389"/>
      <c r="E248" s="389"/>
      <c r="F248" s="288"/>
      <c r="G248" s="390"/>
      <c r="H248" s="389"/>
      <c r="I248" s="389"/>
      <c r="J248" s="389"/>
      <c r="K248" s="389"/>
      <c r="L248" s="389"/>
      <c r="M248" s="389"/>
      <c r="N248" s="389"/>
      <c r="O248" s="389"/>
      <c r="P248" s="389"/>
      <c r="Q248" s="389"/>
      <c r="R248" s="337">
        <f t="shared" si="1"/>
        <v>0</v>
      </c>
      <c r="S248" s="390">
        <f t="shared" si="2"/>
        <v>0</v>
      </c>
      <c r="T248" s="338">
        <f t="shared" si="3"/>
        <v>0</v>
      </c>
      <c r="U248" s="390">
        <f t="shared" si="4"/>
        <v>0</v>
      </c>
      <c r="V248" s="365"/>
      <c r="W248" s="378"/>
      <c r="X248" s="5"/>
      <c r="Y248" s="109"/>
    </row>
    <row r="249" spans="1:25" ht="15.6" x14ac:dyDescent="0.3">
      <c r="A249" s="287"/>
      <c r="B249" s="337" t="s">
        <v>159</v>
      </c>
      <c r="C249" s="389"/>
      <c r="D249" s="389"/>
      <c r="E249" s="389"/>
      <c r="F249" s="288"/>
      <c r="G249" s="390"/>
      <c r="H249" s="389"/>
      <c r="I249" s="389"/>
      <c r="J249" s="389"/>
      <c r="K249" s="389"/>
      <c r="L249" s="389"/>
      <c r="M249" s="389"/>
      <c r="N249" s="389"/>
      <c r="O249" s="389"/>
      <c r="P249" s="389"/>
      <c r="Q249" s="389"/>
      <c r="R249" s="337">
        <f t="shared" si="1"/>
        <v>21</v>
      </c>
      <c r="S249" s="390">
        <f t="shared" si="2"/>
        <v>2.6086956521739132E-3</v>
      </c>
      <c r="T249" s="338">
        <f t="shared" si="3"/>
        <v>2618</v>
      </c>
      <c r="U249" s="390">
        <f t="shared" si="4"/>
        <v>2.3091775252990772E-3</v>
      </c>
      <c r="V249" s="365"/>
      <c r="W249" s="378"/>
      <c r="X249" s="5"/>
    </row>
    <row r="250" spans="1:25" ht="15.6" x14ac:dyDescent="0.3">
      <c r="A250" s="287"/>
      <c r="B250" s="337" t="s">
        <v>160</v>
      </c>
      <c r="C250" s="389"/>
      <c r="D250" s="389"/>
      <c r="E250" s="389"/>
      <c r="F250" s="288"/>
      <c r="G250" s="390"/>
      <c r="H250" s="389"/>
      <c r="I250" s="389"/>
      <c r="J250" s="389"/>
      <c r="K250" s="389"/>
      <c r="L250" s="389"/>
      <c r="M250" s="389"/>
      <c r="N250" s="389"/>
      <c r="O250" s="389"/>
      <c r="P250" s="389"/>
      <c r="Q250" s="389"/>
      <c r="R250" s="339">
        <f t="shared" si="1"/>
        <v>20</v>
      </c>
      <c r="S250" s="393">
        <f t="shared" si="2"/>
        <v>2.4844720496894411E-3</v>
      </c>
      <c r="T250" s="394">
        <f t="shared" si="3"/>
        <v>3108</v>
      </c>
      <c r="U250" s="393">
        <f t="shared" si="4"/>
        <v>2.7413765273604021E-3</v>
      </c>
      <c r="V250" s="365"/>
      <c r="W250" s="378"/>
      <c r="X250" s="5"/>
      <c r="Y250" s="109"/>
    </row>
    <row r="251" spans="1:25" ht="15.6" x14ac:dyDescent="0.3">
      <c r="A251" s="287"/>
      <c r="B251" s="337"/>
      <c r="C251" s="389"/>
      <c r="D251" s="389"/>
      <c r="E251" s="389"/>
      <c r="F251" s="288"/>
      <c r="G251" s="390"/>
      <c r="H251" s="389"/>
      <c r="I251" s="389"/>
      <c r="J251" s="389"/>
      <c r="K251" s="389"/>
      <c r="L251" s="389"/>
      <c r="M251" s="389"/>
      <c r="N251" s="389"/>
      <c r="O251" s="389"/>
      <c r="P251" s="389"/>
      <c r="Q251" s="389"/>
      <c r="R251" s="337"/>
      <c r="S251" s="390"/>
      <c r="T251" s="338"/>
      <c r="U251" s="390"/>
      <c r="V251" s="365"/>
      <c r="W251" s="378"/>
      <c r="X251" s="5"/>
    </row>
    <row r="252" spans="1:25" ht="15.6" x14ac:dyDescent="0.3">
      <c r="A252" s="287"/>
      <c r="B252" s="288"/>
      <c r="C252" s="288"/>
      <c r="D252" s="288"/>
      <c r="E252" s="288"/>
      <c r="F252" s="288"/>
      <c r="G252" s="288"/>
      <c r="H252" s="391"/>
      <c r="I252" s="391"/>
      <c r="J252" s="391"/>
      <c r="K252" s="391"/>
      <c r="L252" s="391"/>
      <c r="M252" s="391"/>
      <c r="N252" s="391"/>
      <c r="O252" s="391"/>
      <c r="P252" s="391"/>
      <c r="Q252" s="391"/>
      <c r="R252" s="337">
        <f>SUM(R243:R251)</f>
        <v>8050</v>
      </c>
      <c r="S252" s="390">
        <f>SUM(S243:S251)</f>
        <v>1</v>
      </c>
      <c r="T252" s="338">
        <f>SUM(T243:T251)</f>
        <v>1133737</v>
      </c>
      <c r="U252" s="390">
        <f>SUM(U243:U251)</f>
        <v>1</v>
      </c>
      <c r="V252" s="288"/>
      <c r="W252" s="291"/>
      <c r="X252" s="5"/>
    </row>
    <row r="253" spans="1:25" ht="15.6" x14ac:dyDescent="0.3">
      <c r="A253" s="183"/>
      <c r="B253" s="198"/>
      <c r="C253" s="198"/>
      <c r="D253" s="198"/>
      <c r="E253" s="198"/>
      <c r="F253" s="198"/>
      <c r="G253" s="198"/>
      <c r="H253" s="386"/>
      <c r="I253" s="386"/>
      <c r="J253" s="386"/>
      <c r="K253" s="386"/>
      <c r="L253" s="386"/>
      <c r="M253" s="386"/>
      <c r="N253" s="386"/>
      <c r="O253" s="386"/>
      <c r="P253" s="386"/>
      <c r="Q253" s="386"/>
      <c r="R253" s="335"/>
      <c r="S253" s="387"/>
      <c r="T253" s="388"/>
      <c r="U253" s="387"/>
      <c r="V253" s="198"/>
      <c r="W253" s="198"/>
      <c r="X253" s="5"/>
    </row>
    <row r="254" spans="1:25" ht="15.6" x14ac:dyDescent="0.3">
      <c r="A254" s="262"/>
      <c r="B254" s="399" t="s">
        <v>162</v>
      </c>
      <c r="C254" s="400"/>
      <c r="D254" s="400"/>
      <c r="E254" s="400"/>
      <c r="F254" s="406"/>
      <c r="G254" s="400"/>
      <c r="H254" s="400"/>
      <c r="I254" s="400"/>
      <c r="J254" s="400"/>
      <c r="K254" s="400"/>
      <c r="L254" s="400"/>
      <c r="M254" s="400"/>
      <c r="N254" s="400"/>
      <c r="O254" s="400"/>
      <c r="P254" s="400"/>
      <c r="Q254" s="400"/>
      <c r="R254" s="406" t="s">
        <v>102</v>
      </c>
      <c r="S254" s="400" t="s">
        <v>103</v>
      </c>
      <c r="T254" s="406" t="s">
        <v>109</v>
      </c>
      <c r="U254" s="400" t="s">
        <v>103</v>
      </c>
      <c r="V254" s="263"/>
      <c r="W254" s="399"/>
      <c r="X254" s="5"/>
    </row>
    <row r="255" spans="1:25" ht="15.6" x14ac:dyDescent="0.3">
      <c r="A255" s="197"/>
      <c r="B255" s="234" t="s">
        <v>88</v>
      </c>
      <c r="C255" s="253"/>
      <c r="D255" s="253"/>
      <c r="E255" s="253"/>
      <c r="F255" s="231"/>
      <c r="G255" s="253"/>
      <c r="H255" s="253"/>
      <c r="I255" s="253"/>
      <c r="J255" s="253"/>
      <c r="K255" s="253"/>
      <c r="L255" s="253"/>
      <c r="M255" s="253"/>
      <c r="N255" s="253"/>
      <c r="O255" s="253"/>
      <c r="P255" s="253"/>
      <c r="Q255" s="253"/>
      <c r="R255" s="234">
        <v>7809</v>
      </c>
      <c r="S255" s="254">
        <f t="shared" ref="S255:S262" si="5">R255/$R$264</f>
        <v>0.99477707006369431</v>
      </c>
      <c r="T255" s="241">
        <v>1098082</v>
      </c>
      <c r="U255" s="254">
        <f t="shared" ref="U255:U262" si="6">T255/$T$264</f>
        <v>0.99306623835970009</v>
      </c>
      <c r="V255" s="250"/>
      <c r="W255" s="232"/>
      <c r="X255" s="5"/>
    </row>
    <row r="256" spans="1:25" ht="15.6" x14ac:dyDescent="0.3">
      <c r="A256" s="287"/>
      <c r="B256" s="337" t="s">
        <v>89</v>
      </c>
      <c r="C256" s="389"/>
      <c r="D256" s="389"/>
      <c r="E256" s="389"/>
      <c r="F256" s="288"/>
      <c r="G256" s="390"/>
      <c r="H256" s="389"/>
      <c r="I256" s="389"/>
      <c r="J256" s="389"/>
      <c r="K256" s="389"/>
      <c r="L256" s="389"/>
      <c r="M256" s="389"/>
      <c r="N256" s="389"/>
      <c r="O256" s="389"/>
      <c r="P256" s="389"/>
      <c r="Q256" s="389"/>
      <c r="R256" s="337">
        <v>28</v>
      </c>
      <c r="S256" s="390">
        <f t="shared" si="5"/>
        <v>3.5668789808917197E-3</v>
      </c>
      <c r="T256" s="338">
        <v>6087</v>
      </c>
      <c r="U256" s="390">
        <f t="shared" si="6"/>
        <v>5.5048659325036692E-3</v>
      </c>
      <c r="V256" s="365"/>
      <c r="W256" s="378"/>
      <c r="X256" s="5"/>
      <c r="Y256" s="109"/>
    </row>
    <row r="257" spans="1:25" ht="15.6" x14ac:dyDescent="0.3">
      <c r="A257" s="287"/>
      <c r="B257" s="337" t="s">
        <v>90</v>
      </c>
      <c r="C257" s="389"/>
      <c r="D257" s="389"/>
      <c r="E257" s="389"/>
      <c r="F257" s="288"/>
      <c r="G257" s="390"/>
      <c r="H257" s="389"/>
      <c r="I257" s="389"/>
      <c r="J257" s="389"/>
      <c r="K257" s="389"/>
      <c r="L257" s="389"/>
      <c r="M257" s="389"/>
      <c r="N257" s="389"/>
      <c r="O257" s="389"/>
      <c r="P257" s="389"/>
      <c r="Q257" s="389"/>
      <c r="R257" s="337">
        <v>4</v>
      </c>
      <c r="S257" s="390">
        <f t="shared" si="5"/>
        <v>5.0955414012738849E-4</v>
      </c>
      <c r="T257" s="338">
        <v>749</v>
      </c>
      <c r="U257" s="390">
        <f t="shared" si="6"/>
        <v>6.7736891464518622E-4</v>
      </c>
      <c r="V257" s="365"/>
      <c r="W257" s="378"/>
      <c r="X257" s="5"/>
    </row>
    <row r="258" spans="1:25" ht="15.6" x14ac:dyDescent="0.3">
      <c r="A258" s="287"/>
      <c r="B258" s="337" t="s">
        <v>156</v>
      </c>
      <c r="C258" s="389"/>
      <c r="D258" s="389"/>
      <c r="E258" s="389"/>
      <c r="F258" s="288"/>
      <c r="G258" s="390"/>
      <c r="H258" s="389"/>
      <c r="I258" s="389"/>
      <c r="J258" s="389"/>
      <c r="K258" s="389"/>
      <c r="L258" s="389"/>
      <c r="M258" s="389"/>
      <c r="N258" s="389"/>
      <c r="O258" s="389"/>
      <c r="P258" s="389"/>
      <c r="Q258" s="389"/>
      <c r="R258" s="337">
        <v>1</v>
      </c>
      <c r="S258" s="390">
        <f t="shared" si="5"/>
        <v>1.2738853503184712E-4</v>
      </c>
      <c r="T258" s="338">
        <v>69</v>
      </c>
      <c r="U258" s="390">
        <f t="shared" si="6"/>
        <v>6.2401141669583238E-5</v>
      </c>
      <c r="V258" s="365"/>
      <c r="W258" s="378"/>
      <c r="X258" s="5"/>
      <c r="Y258" s="109"/>
    </row>
    <row r="259" spans="1:25" ht="15.6" x14ac:dyDescent="0.3">
      <c r="A259" s="287"/>
      <c r="B259" s="337" t="s">
        <v>157</v>
      </c>
      <c r="C259" s="389"/>
      <c r="D259" s="389"/>
      <c r="E259" s="389"/>
      <c r="F259" s="288"/>
      <c r="G259" s="390"/>
      <c r="H259" s="389"/>
      <c r="I259" s="389"/>
      <c r="J259" s="389"/>
      <c r="K259" s="389"/>
      <c r="L259" s="389"/>
      <c r="M259" s="389"/>
      <c r="N259" s="389"/>
      <c r="O259" s="389"/>
      <c r="P259" s="389"/>
      <c r="Q259" s="389"/>
      <c r="R259" s="337">
        <v>0</v>
      </c>
      <c r="S259" s="390">
        <f t="shared" si="5"/>
        <v>0</v>
      </c>
      <c r="T259" s="338">
        <v>0</v>
      </c>
      <c r="U259" s="390">
        <f t="shared" si="6"/>
        <v>0</v>
      </c>
      <c r="V259" s="365"/>
      <c r="W259" s="378"/>
      <c r="X259" s="5"/>
    </row>
    <row r="260" spans="1:25" ht="15.6" x14ac:dyDescent="0.3">
      <c r="A260" s="287"/>
      <c r="B260" s="337" t="s">
        <v>158</v>
      </c>
      <c r="C260" s="389"/>
      <c r="D260" s="389"/>
      <c r="E260" s="389"/>
      <c r="F260" s="288"/>
      <c r="G260" s="390"/>
      <c r="H260" s="389"/>
      <c r="I260" s="389"/>
      <c r="J260" s="389"/>
      <c r="K260" s="389"/>
      <c r="L260" s="389"/>
      <c r="M260" s="389"/>
      <c r="N260" s="389"/>
      <c r="O260" s="389"/>
      <c r="P260" s="389"/>
      <c r="Q260" s="389"/>
      <c r="R260" s="337">
        <v>0</v>
      </c>
      <c r="S260" s="390">
        <f t="shared" si="5"/>
        <v>0</v>
      </c>
      <c r="T260" s="338">
        <v>0</v>
      </c>
      <c r="U260" s="390">
        <f t="shared" si="6"/>
        <v>0</v>
      </c>
      <c r="V260" s="365"/>
      <c r="W260" s="378"/>
      <c r="X260" s="5"/>
      <c r="Y260" s="109"/>
    </row>
    <row r="261" spans="1:25" ht="15.6" x14ac:dyDescent="0.3">
      <c r="A261" s="287"/>
      <c r="B261" s="337" t="s">
        <v>159</v>
      </c>
      <c r="C261" s="389"/>
      <c r="D261" s="389"/>
      <c r="E261" s="389"/>
      <c r="F261" s="288"/>
      <c r="G261" s="390"/>
      <c r="H261" s="389"/>
      <c r="I261" s="389"/>
      <c r="J261" s="389"/>
      <c r="K261" s="389"/>
      <c r="L261" s="389"/>
      <c r="M261" s="389"/>
      <c r="N261" s="389"/>
      <c r="O261" s="389"/>
      <c r="P261" s="389"/>
      <c r="Q261" s="389"/>
      <c r="R261" s="337">
        <v>7</v>
      </c>
      <c r="S261" s="390">
        <f t="shared" si="5"/>
        <v>8.9171974522292993E-4</v>
      </c>
      <c r="T261" s="338">
        <v>620</v>
      </c>
      <c r="U261" s="390">
        <f t="shared" si="6"/>
        <v>5.6070591065422628E-4</v>
      </c>
      <c r="V261" s="365"/>
      <c r="W261" s="378"/>
      <c r="X261" s="5"/>
    </row>
    <row r="262" spans="1:25" ht="15.6" x14ac:dyDescent="0.3">
      <c r="A262" s="287"/>
      <c r="B262" s="337" t="s">
        <v>160</v>
      </c>
      <c r="C262" s="389"/>
      <c r="D262" s="389"/>
      <c r="E262" s="389"/>
      <c r="F262" s="288"/>
      <c r="G262" s="390"/>
      <c r="H262" s="389"/>
      <c r="I262" s="389"/>
      <c r="J262" s="389"/>
      <c r="K262" s="389"/>
      <c r="L262" s="389"/>
      <c r="M262" s="389"/>
      <c r="N262" s="389"/>
      <c r="O262" s="389"/>
      <c r="P262" s="389"/>
      <c r="Q262" s="389"/>
      <c r="R262" s="337">
        <v>1</v>
      </c>
      <c r="S262" s="390">
        <f t="shared" si="5"/>
        <v>1.2738853503184712E-4</v>
      </c>
      <c r="T262" s="338">
        <v>142</v>
      </c>
      <c r="U262" s="390">
        <f t="shared" si="6"/>
        <v>1.2841974082725827E-4</v>
      </c>
      <c r="V262" s="365"/>
      <c r="W262" s="378"/>
      <c r="X262" s="5"/>
      <c r="Y262" s="109"/>
    </row>
    <row r="263" spans="1:25" ht="15.6" x14ac:dyDescent="0.3">
      <c r="A263" s="287"/>
      <c r="B263" s="337"/>
      <c r="C263" s="389"/>
      <c r="D263" s="389"/>
      <c r="E263" s="389"/>
      <c r="F263" s="288"/>
      <c r="G263" s="390"/>
      <c r="H263" s="389"/>
      <c r="I263" s="389"/>
      <c r="J263" s="389"/>
      <c r="K263" s="389"/>
      <c r="L263" s="389"/>
      <c r="M263" s="389"/>
      <c r="N263" s="389"/>
      <c r="O263" s="389"/>
      <c r="P263" s="389"/>
      <c r="Q263" s="389"/>
      <c r="R263" s="337"/>
      <c r="S263" s="390"/>
      <c r="T263" s="338"/>
      <c r="U263" s="390"/>
      <c r="V263" s="365"/>
      <c r="W263" s="378"/>
      <c r="X263" s="5"/>
    </row>
    <row r="264" spans="1:25" ht="15.6" x14ac:dyDescent="0.3">
      <c r="A264" s="287"/>
      <c r="B264" s="288"/>
      <c r="C264" s="288"/>
      <c r="D264" s="288"/>
      <c r="E264" s="288"/>
      <c r="F264" s="288"/>
      <c r="G264" s="288"/>
      <c r="H264" s="391"/>
      <c r="I264" s="391"/>
      <c r="J264" s="391"/>
      <c r="K264" s="391"/>
      <c r="L264" s="391"/>
      <c r="M264" s="391"/>
      <c r="N264" s="391"/>
      <c r="O264" s="391"/>
      <c r="P264" s="391"/>
      <c r="Q264" s="391"/>
      <c r="R264" s="337">
        <f>SUM(R255:R263)</f>
        <v>7850</v>
      </c>
      <c r="S264" s="390">
        <f>SUM(S255:S263)</f>
        <v>1</v>
      </c>
      <c r="T264" s="338">
        <f>SUM(T255:T263)</f>
        <v>1105749</v>
      </c>
      <c r="U264" s="390">
        <f>SUM(U255:U263)</f>
        <v>1</v>
      </c>
      <c r="V264" s="288"/>
      <c r="W264" s="291"/>
      <c r="X264" s="5"/>
    </row>
    <row r="265" spans="1:25" ht="15.6" x14ac:dyDescent="0.3">
      <c r="A265" s="183"/>
      <c r="B265" s="198"/>
      <c r="C265" s="198"/>
      <c r="D265" s="198"/>
      <c r="E265" s="198"/>
      <c r="F265" s="198"/>
      <c r="G265" s="198"/>
      <c r="H265" s="386"/>
      <c r="I265" s="386"/>
      <c r="J265" s="386"/>
      <c r="K265" s="386"/>
      <c r="L265" s="386"/>
      <c r="M265" s="386"/>
      <c r="N265" s="386"/>
      <c r="O265" s="386"/>
      <c r="P265" s="386"/>
      <c r="Q265" s="386"/>
      <c r="R265" s="335"/>
      <c r="S265" s="387"/>
      <c r="T265" s="388"/>
      <c r="U265" s="387"/>
      <c r="V265" s="198"/>
      <c r="W265" s="198"/>
      <c r="X265" s="5"/>
    </row>
    <row r="266" spans="1:25" ht="15.6" x14ac:dyDescent="0.3">
      <c r="A266" s="280"/>
      <c r="B266" s="399" t="s">
        <v>275</v>
      </c>
      <c r="C266" s="400"/>
      <c r="D266" s="400"/>
      <c r="E266" s="400"/>
      <c r="F266" s="406"/>
      <c r="G266" s="400"/>
      <c r="H266" s="400"/>
      <c r="I266" s="400"/>
      <c r="J266" s="400"/>
      <c r="K266" s="400"/>
      <c r="L266" s="400"/>
      <c r="M266" s="400"/>
      <c r="N266" s="400"/>
      <c r="O266" s="400"/>
      <c r="P266" s="400"/>
      <c r="Q266" s="400"/>
      <c r="R266" s="406" t="s">
        <v>102</v>
      </c>
      <c r="S266" s="400" t="s">
        <v>103</v>
      </c>
      <c r="T266" s="406" t="s">
        <v>109</v>
      </c>
      <c r="U266" s="400" t="s">
        <v>103</v>
      </c>
      <c r="V266" s="281"/>
      <c r="W266" s="282"/>
      <c r="X266" s="5"/>
    </row>
    <row r="267" spans="1:25" ht="15.6" x14ac:dyDescent="0.3">
      <c r="A267" s="197"/>
      <c r="B267" s="234" t="s">
        <v>88</v>
      </c>
      <c r="C267" s="253"/>
      <c r="D267" s="253"/>
      <c r="E267" s="253"/>
      <c r="F267" s="231"/>
      <c r="G267" s="253"/>
      <c r="H267" s="253"/>
      <c r="I267" s="253"/>
      <c r="J267" s="253"/>
      <c r="K267" s="253"/>
      <c r="L267" s="253"/>
      <c r="M267" s="253"/>
      <c r="N267" s="253"/>
      <c r="O267" s="253"/>
      <c r="P267" s="253"/>
      <c r="Q267" s="253"/>
      <c r="R267" s="234">
        <v>144</v>
      </c>
      <c r="S267" s="254">
        <f t="shared" ref="S267:S274" si="7">R267/$R$276</f>
        <v>0.72</v>
      </c>
      <c r="T267" s="241">
        <v>20191</v>
      </c>
      <c r="U267" s="254">
        <f t="shared" ref="U267:U274" si="8">T267/$T$276</f>
        <v>0.72141632128054878</v>
      </c>
      <c r="V267" s="231"/>
      <c r="W267" s="231"/>
      <c r="X267" s="5"/>
    </row>
    <row r="268" spans="1:25" ht="15.6" x14ac:dyDescent="0.3">
      <c r="A268" s="287"/>
      <c r="B268" s="337" t="s">
        <v>89</v>
      </c>
      <c r="C268" s="389"/>
      <c r="D268" s="389"/>
      <c r="E268" s="389"/>
      <c r="F268" s="288"/>
      <c r="G268" s="390"/>
      <c r="H268" s="389"/>
      <c r="I268" s="389"/>
      <c r="J268" s="389"/>
      <c r="K268" s="389"/>
      <c r="L268" s="389"/>
      <c r="M268" s="389"/>
      <c r="N268" s="389"/>
      <c r="O268" s="389"/>
      <c r="P268" s="389"/>
      <c r="Q268" s="389"/>
      <c r="R268" s="337">
        <v>7</v>
      </c>
      <c r="S268" s="390">
        <f t="shared" si="7"/>
        <v>3.5000000000000003E-2</v>
      </c>
      <c r="T268" s="338">
        <v>1010</v>
      </c>
      <c r="U268" s="390">
        <f t="shared" si="8"/>
        <v>3.608689438330713E-2</v>
      </c>
      <c r="V268" s="288"/>
      <c r="W268" s="291"/>
      <c r="X268" s="5"/>
    </row>
    <row r="269" spans="1:25" ht="15.6" x14ac:dyDescent="0.3">
      <c r="A269" s="287"/>
      <c r="B269" s="337" t="s">
        <v>90</v>
      </c>
      <c r="C269" s="389"/>
      <c r="D269" s="389"/>
      <c r="E269" s="389"/>
      <c r="F269" s="288"/>
      <c r="G269" s="390"/>
      <c r="H269" s="389"/>
      <c r="I269" s="389"/>
      <c r="J269" s="389"/>
      <c r="K269" s="389"/>
      <c r="L269" s="389"/>
      <c r="M269" s="389"/>
      <c r="N269" s="389"/>
      <c r="O269" s="389"/>
      <c r="P269" s="389"/>
      <c r="Q269" s="389"/>
      <c r="R269" s="337">
        <v>11</v>
      </c>
      <c r="S269" s="390">
        <f t="shared" si="7"/>
        <v>5.5E-2</v>
      </c>
      <c r="T269" s="338">
        <v>1287</v>
      </c>
      <c r="U269" s="390">
        <f t="shared" si="8"/>
        <v>4.5983993139917106E-2</v>
      </c>
      <c r="V269" s="288"/>
      <c r="W269" s="291"/>
      <c r="X269" s="5"/>
    </row>
    <row r="270" spans="1:25" ht="15.6" x14ac:dyDescent="0.3">
      <c r="A270" s="287"/>
      <c r="B270" s="337" t="s">
        <v>156</v>
      </c>
      <c r="C270" s="389"/>
      <c r="D270" s="389"/>
      <c r="E270" s="389"/>
      <c r="F270" s="288"/>
      <c r="G270" s="390"/>
      <c r="H270" s="389"/>
      <c r="I270" s="389"/>
      <c r="J270" s="389"/>
      <c r="K270" s="389"/>
      <c r="L270" s="389"/>
      <c r="M270" s="389"/>
      <c r="N270" s="389"/>
      <c r="O270" s="389"/>
      <c r="P270" s="389"/>
      <c r="Q270" s="389"/>
      <c r="R270" s="337">
        <v>5</v>
      </c>
      <c r="S270" s="390">
        <f t="shared" si="7"/>
        <v>2.5000000000000001E-2</v>
      </c>
      <c r="T270" s="338">
        <v>536</v>
      </c>
      <c r="U270" s="390">
        <f t="shared" si="8"/>
        <v>1.9151064742032299E-2</v>
      </c>
      <c r="V270" s="288"/>
      <c r="W270" s="291"/>
      <c r="X270" s="5"/>
    </row>
    <row r="271" spans="1:25" ht="15.6" x14ac:dyDescent="0.3">
      <c r="A271" s="287"/>
      <c r="B271" s="337" t="s">
        <v>157</v>
      </c>
      <c r="C271" s="389"/>
      <c r="D271" s="389"/>
      <c r="E271" s="389"/>
      <c r="F271" s="288"/>
      <c r="G271" s="390"/>
      <c r="H271" s="389"/>
      <c r="I271" s="389"/>
      <c r="J271" s="389"/>
      <c r="K271" s="389"/>
      <c r="L271" s="389"/>
      <c r="M271" s="389"/>
      <c r="N271" s="389"/>
      <c r="O271" s="389"/>
      <c r="P271" s="389"/>
      <c r="Q271" s="389"/>
      <c r="R271" s="337">
        <v>0</v>
      </c>
      <c r="S271" s="390">
        <f t="shared" si="7"/>
        <v>0</v>
      </c>
      <c r="T271" s="338">
        <v>0</v>
      </c>
      <c r="U271" s="390">
        <f t="shared" si="8"/>
        <v>0</v>
      </c>
      <c r="V271" s="288"/>
      <c r="W271" s="291"/>
      <c r="X271" s="5"/>
    </row>
    <row r="272" spans="1:25" ht="15.6" x14ac:dyDescent="0.3">
      <c r="A272" s="287"/>
      <c r="B272" s="337" t="s">
        <v>158</v>
      </c>
      <c r="C272" s="389"/>
      <c r="D272" s="389"/>
      <c r="E272" s="389"/>
      <c r="F272" s="288"/>
      <c r="G272" s="390"/>
      <c r="H272" s="389"/>
      <c r="I272" s="389"/>
      <c r="J272" s="389"/>
      <c r="K272" s="389"/>
      <c r="L272" s="389"/>
      <c r="M272" s="389"/>
      <c r="N272" s="389"/>
      <c r="O272" s="389"/>
      <c r="P272" s="389"/>
      <c r="Q272" s="389"/>
      <c r="R272" s="337">
        <v>0</v>
      </c>
      <c r="S272" s="390">
        <f t="shared" si="7"/>
        <v>0</v>
      </c>
      <c r="T272" s="338">
        <v>0</v>
      </c>
      <c r="U272" s="390">
        <f t="shared" si="8"/>
        <v>0</v>
      </c>
      <c r="V272" s="288"/>
      <c r="W272" s="291"/>
      <c r="X272" s="5"/>
    </row>
    <row r="273" spans="1:24" ht="15.6" x14ac:dyDescent="0.3">
      <c r="A273" s="287"/>
      <c r="B273" s="337" t="s">
        <v>159</v>
      </c>
      <c r="C273" s="389"/>
      <c r="D273" s="389"/>
      <c r="E273" s="389"/>
      <c r="F273" s="288"/>
      <c r="G273" s="390"/>
      <c r="H273" s="389"/>
      <c r="I273" s="389"/>
      <c r="J273" s="389"/>
      <c r="K273" s="389"/>
      <c r="L273" s="389"/>
      <c r="M273" s="389"/>
      <c r="N273" s="389"/>
      <c r="O273" s="389"/>
      <c r="P273" s="389"/>
      <c r="Q273" s="389"/>
      <c r="R273" s="337">
        <v>14</v>
      </c>
      <c r="S273" s="390">
        <f t="shared" si="7"/>
        <v>7.0000000000000007E-2</v>
      </c>
      <c r="T273" s="338">
        <v>1998</v>
      </c>
      <c r="U273" s="390">
        <f t="shared" si="8"/>
        <v>7.1387737601829357E-2</v>
      </c>
      <c r="V273" s="288"/>
      <c r="W273" s="291"/>
      <c r="X273" s="5"/>
    </row>
    <row r="274" spans="1:24" ht="15.6" x14ac:dyDescent="0.3">
      <c r="A274" s="287"/>
      <c r="B274" s="337" t="s">
        <v>160</v>
      </c>
      <c r="C274" s="389"/>
      <c r="D274" s="389"/>
      <c r="E274" s="389"/>
      <c r="F274" s="288"/>
      <c r="G274" s="390"/>
      <c r="H274" s="389"/>
      <c r="I274" s="389"/>
      <c r="J274" s="389"/>
      <c r="K274" s="389"/>
      <c r="L274" s="389"/>
      <c r="M274" s="389"/>
      <c r="N274" s="389"/>
      <c r="O274" s="389"/>
      <c r="P274" s="389"/>
      <c r="Q274" s="389"/>
      <c r="R274" s="337">
        <v>19</v>
      </c>
      <c r="S274" s="390">
        <f t="shared" si="7"/>
        <v>9.5000000000000001E-2</v>
      </c>
      <c r="T274" s="338">
        <v>2966</v>
      </c>
      <c r="U274" s="390">
        <f t="shared" si="8"/>
        <v>0.10597398885236529</v>
      </c>
      <c r="V274" s="288"/>
      <c r="W274" s="291"/>
      <c r="X274" s="5"/>
    </row>
    <row r="275" spans="1:24" ht="15.6" x14ac:dyDescent="0.3">
      <c r="A275" s="287"/>
      <c r="B275" s="337"/>
      <c r="C275" s="389"/>
      <c r="D275" s="389"/>
      <c r="E275" s="389"/>
      <c r="F275" s="288"/>
      <c r="G275" s="390"/>
      <c r="H275" s="389"/>
      <c r="I275" s="389"/>
      <c r="J275" s="389"/>
      <c r="K275" s="389"/>
      <c r="L275" s="389"/>
      <c r="M275" s="389"/>
      <c r="N275" s="389"/>
      <c r="O275" s="389"/>
      <c r="P275" s="389"/>
      <c r="Q275" s="389"/>
      <c r="R275" s="337"/>
      <c r="S275" s="390"/>
      <c r="T275" s="338"/>
      <c r="U275" s="390"/>
      <c r="V275" s="288"/>
      <c r="W275" s="291"/>
      <c r="X275" s="5"/>
    </row>
    <row r="276" spans="1:24" ht="15.6" x14ac:dyDescent="0.3">
      <c r="A276" s="287"/>
      <c r="B276" s="288"/>
      <c r="C276" s="288"/>
      <c r="D276" s="288"/>
      <c r="E276" s="288"/>
      <c r="F276" s="288"/>
      <c r="G276" s="288"/>
      <c r="H276" s="391"/>
      <c r="I276" s="391"/>
      <c r="J276" s="391"/>
      <c r="K276" s="391"/>
      <c r="L276" s="391"/>
      <c r="M276" s="391"/>
      <c r="N276" s="391"/>
      <c r="O276" s="391"/>
      <c r="P276" s="391"/>
      <c r="Q276" s="391"/>
      <c r="R276" s="337">
        <f>SUM(R267:R275)</f>
        <v>200</v>
      </c>
      <c r="S276" s="390">
        <f>SUM(S267:S275)</f>
        <v>1</v>
      </c>
      <c r="T276" s="338">
        <f>SUM(T267:T275)</f>
        <v>27988</v>
      </c>
      <c r="U276" s="390">
        <f>SUM(U267:U275)</f>
        <v>1</v>
      </c>
      <c r="V276" s="288"/>
      <c r="W276" s="291"/>
      <c r="X276" s="5"/>
    </row>
    <row r="277" spans="1:24" ht="15.6" x14ac:dyDescent="0.3">
      <c r="A277" s="183"/>
      <c r="B277" s="284"/>
      <c r="C277" s="284"/>
      <c r="D277" s="284"/>
      <c r="E277" s="284"/>
      <c r="F277" s="284"/>
      <c r="G277" s="284"/>
      <c r="H277" s="392"/>
      <c r="I277" s="392"/>
      <c r="J277" s="392"/>
      <c r="K277" s="392"/>
      <c r="L277" s="392"/>
      <c r="M277" s="392"/>
      <c r="N277" s="392"/>
      <c r="O277" s="392"/>
      <c r="P277" s="392"/>
      <c r="Q277" s="392"/>
      <c r="R277" s="339"/>
      <c r="S277" s="393"/>
      <c r="T277" s="394"/>
      <c r="U277" s="393"/>
      <c r="V277" s="284"/>
      <c r="W277" s="284"/>
      <c r="X277" s="5"/>
    </row>
    <row r="278" spans="1:24" ht="15.6" x14ac:dyDescent="0.3">
      <c r="A278" s="280"/>
      <c r="B278" s="399" t="s">
        <v>163</v>
      </c>
      <c r="C278" s="281"/>
      <c r="D278" s="281"/>
      <c r="E278" s="281"/>
      <c r="F278" s="281"/>
      <c r="G278" s="281"/>
      <c r="H278" s="283"/>
      <c r="I278" s="283"/>
      <c r="J278" s="283"/>
      <c r="K278" s="283"/>
      <c r="L278" s="283"/>
      <c r="M278" s="283"/>
      <c r="N278" s="283"/>
      <c r="O278" s="283"/>
      <c r="P278" s="283"/>
      <c r="Q278" s="283"/>
      <c r="R278" s="406" t="s">
        <v>102</v>
      </c>
      <c r="S278" s="400" t="s">
        <v>103</v>
      </c>
      <c r="T278" s="406" t="s">
        <v>109</v>
      </c>
      <c r="U278" s="400" t="s">
        <v>103</v>
      </c>
      <c r="V278" s="281"/>
      <c r="W278" s="282"/>
      <c r="X278" s="5"/>
    </row>
    <row r="279" spans="1:24" ht="15.6" x14ac:dyDescent="0.3">
      <c r="A279" s="197"/>
      <c r="B279" s="234" t="s">
        <v>88</v>
      </c>
      <c r="C279" s="231"/>
      <c r="D279" s="231"/>
      <c r="E279" s="231"/>
      <c r="F279" s="231"/>
      <c r="G279" s="231"/>
      <c r="H279" s="255"/>
      <c r="I279" s="255"/>
      <c r="J279" s="255"/>
      <c r="K279" s="255"/>
      <c r="L279" s="255"/>
      <c r="M279" s="255"/>
      <c r="N279" s="255"/>
      <c r="O279" s="255"/>
      <c r="P279" s="255"/>
      <c r="Q279" s="255"/>
      <c r="R279" s="234">
        <v>0</v>
      </c>
      <c r="S279" s="254">
        <v>0</v>
      </c>
      <c r="T279" s="241">
        <v>0</v>
      </c>
      <c r="U279" s="254">
        <v>0</v>
      </c>
      <c r="V279" s="231"/>
      <c r="W279" s="231"/>
      <c r="X279" s="5"/>
    </row>
    <row r="280" spans="1:24" ht="15.6" x14ac:dyDescent="0.3">
      <c r="A280" s="287"/>
      <c r="B280" s="337" t="s">
        <v>89</v>
      </c>
      <c r="C280" s="288"/>
      <c r="D280" s="288"/>
      <c r="E280" s="288"/>
      <c r="F280" s="288"/>
      <c r="G280" s="288"/>
      <c r="H280" s="391"/>
      <c r="I280" s="391"/>
      <c r="J280" s="391"/>
      <c r="K280" s="391"/>
      <c r="L280" s="391"/>
      <c r="M280" s="391"/>
      <c r="N280" s="391"/>
      <c r="O280" s="391"/>
      <c r="P280" s="391"/>
      <c r="Q280" s="391"/>
      <c r="R280" s="337">
        <v>0</v>
      </c>
      <c r="S280" s="390">
        <v>0</v>
      </c>
      <c r="T280" s="338">
        <v>0</v>
      </c>
      <c r="U280" s="390">
        <v>0</v>
      </c>
      <c r="V280" s="288"/>
      <c r="W280" s="291"/>
      <c r="X280" s="5"/>
    </row>
    <row r="281" spans="1:24" ht="15.6" x14ac:dyDescent="0.3">
      <c r="A281" s="287"/>
      <c r="B281" s="337" t="s">
        <v>90</v>
      </c>
      <c r="C281" s="288"/>
      <c r="D281" s="288"/>
      <c r="E281" s="288"/>
      <c r="F281" s="288"/>
      <c r="G281" s="288"/>
      <c r="H281" s="391"/>
      <c r="I281" s="391"/>
      <c r="J281" s="391"/>
      <c r="K281" s="391"/>
      <c r="L281" s="391"/>
      <c r="M281" s="391"/>
      <c r="N281" s="391"/>
      <c r="O281" s="391"/>
      <c r="P281" s="391"/>
      <c r="Q281" s="391"/>
      <c r="R281" s="337">
        <v>0</v>
      </c>
      <c r="S281" s="390">
        <v>0</v>
      </c>
      <c r="T281" s="338">
        <v>0</v>
      </c>
      <c r="U281" s="390">
        <v>0</v>
      </c>
      <c r="V281" s="288"/>
      <c r="W281" s="291"/>
      <c r="X281" s="5"/>
    </row>
    <row r="282" spans="1:24" ht="15.6" x14ac:dyDescent="0.3">
      <c r="A282" s="287"/>
      <c r="B282" s="337" t="s">
        <v>156</v>
      </c>
      <c r="C282" s="288"/>
      <c r="D282" s="288"/>
      <c r="E282" s="288"/>
      <c r="F282" s="288"/>
      <c r="G282" s="288"/>
      <c r="H282" s="391"/>
      <c r="I282" s="391"/>
      <c r="J282" s="391"/>
      <c r="K282" s="391"/>
      <c r="L282" s="391"/>
      <c r="M282" s="391"/>
      <c r="N282" s="391"/>
      <c r="O282" s="391"/>
      <c r="P282" s="391"/>
      <c r="Q282" s="391"/>
      <c r="R282" s="337">
        <v>0</v>
      </c>
      <c r="S282" s="390">
        <v>0</v>
      </c>
      <c r="T282" s="338">
        <v>0</v>
      </c>
      <c r="U282" s="390">
        <v>0</v>
      </c>
      <c r="V282" s="288"/>
      <c r="W282" s="291"/>
      <c r="X282" s="5"/>
    </row>
    <row r="283" spans="1:24" ht="15.6" x14ac:dyDescent="0.3">
      <c r="A283" s="287"/>
      <c r="B283" s="337" t="s">
        <v>157</v>
      </c>
      <c r="C283" s="288"/>
      <c r="D283" s="288"/>
      <c r="E283" s="288"/>
      <c r="F283" s="288"/>
      <c r="G283" s="288"/>
      <c r="H283" s="391"/>
      <c r="I283" s="391"/>
      <c r="J283" s="391"/>
      <c r="K283" s="391"/>
      <c r="L283" s="391"/>
      <c r="M283" s="391"/>
      <c r="N283" s="391"/>
      <c r="O283" s="391"/>
      <c r="P283" s="391"/>
      <c r="Q283" s="391"/>
      <c r="R283" s="337">
        <v>0</v>
      </c>
      <c r="S283" s="390">
        <v>0</v>
      </c>
      <c r="T283" s="338">
        <v>0</v>
      </c>
      <c r="U283" s="390">
        <v>0</v>
      </c>
      <c r="V283" s="288"/>
      <c r="W283" s="291"/>
      <c r="X283" s="5"/>
    </row>
    <row r="284" spans="1:24" ht="15.6" x14ac:dyDescent="0.3">
      <c r="A284" s="287"/>
      <c r="B284" s="337" t="s">
        <v>158</v>
      </c>
      <c r="C284" s="288"/>
      <c r="D284" s="288"/>
      <c r="E284" s="288"/>
      <c r="F284" s="288"/>
      <c r="G284" s="288"/>
      <c r="H284" s="391"/>
      <c r="I284" s="391"/>
      <c r="J284" s="391"/>
      <c r="K284" s="391"/>
      <c r="L284" s="391"/>
      <c r="M284" s="391"/>
      <c r="N284" s="391"/>
      <c r="O284" s="391"/>
      <c r="P284" s="391"/>
      <c r="Q284" s="391"/>
      <c r="R284" s="337">
        <v>0</v>
      </c>
      <c r="S284" s="390">
        <v>0</v>
      </c>
      <c r="T284" s="338">
        <v>0</v>
      </c>
      <c r="U284" s="390">
        <v>0</v>
      </c>
      <c r="V284" s="288"/>
      <c r="W284" s="291"/>
      <c r="X284" s="5"/>
    </row>
    <row r="285" spans="1:24" ht="15.6" x14ac:dyDescent="0.3">
      <c r="A285" s="287"/>
      <c r="B285" s="337" t="s">
        <v>159</v>
      </c>
      <c r="C285" s="288"/>
      <c r="D285" s="288"/>
      <c r="E285" s="288"/>
      <c r="F285" s="288"/>
      <c r="G285" s="288"/>
      <c r="H285" s="391"/>
      <c r="I285" s="391"/>
      <c r="J285" s="391"/>
      <c r="K285" s="391"/>
      <c r="L285" s="391"/>
      <c r="M285" s="391"/>
      <c r="N285" s="391"/>
      <c r="O285" s="391"/>
      <c r="P285" s="391"/>
      <c r="Q285" s="391"/>
      <c r="R285" s="337">
        <v>0</v>
      </c>
      <c r="S285" s="390">
        <v>0</v>
      </c>
      <c r="T285" s="338">
        <v>0</v>
      </c>
      <c r="U285" s="390">
        <v>0</v>
      </c>
      <c r="V285" s="288"/>
      <c r="W285" s="291"/>
      <c r="X285" s="5"/>
    </row>
    <row r="286" spans="1:24" ht="15.6" x14ac:dyDescent="0.3">
      <c r="A286" s="287"/>
      <c r="B286" s="337" t="s">
        <v>160</v>
      </c>
      <c r="C286" s="288"/>
      <c r="D286" s="288"/>
      <c r="E286" s="288"/>
      <c r="F286" s="288"/>
      <c r="G286" s="288"/>
      <c r="H286" s="391"/>
      <c r="I286" s="391"/>
      <c r="J286" s="391"/>
      <c r="K286" s="391"/>
      <c r="L286" s="391"/>
      <c r="M286" s="391"/>
      <c r="N286" s="391"/>
      <c r="O286" s="391"/>
      <c r="P286" s="391"/>
      <c r="Q286" s="391"/>
      <c r="R286" s="337">
        <v>0</v>
      </c>
      <c r="S286" s="390">
        <v>0</v>
      </c>
      <c r="T286" s="338">
        <v>0</v>
      </c>
      <c r="U286" s="390">
        <v>0</v>
      </c>
      <c r="V286" s="288"/>
      <c r="W286" s="291"/>
      <c r="X286" s="5"/>
    </row>
    <row r="287" spans="1:24" ht="15.6" x14ac:dyDescent="0.3">
      <c r="A287" s="287"/>
      <c r="B287" s="337"/>
      <c r="C287" s="288"/>
      <c r="D287" s="288"/>
      <c r="E287" s="288"/>
      <c r="F287" s="288"/>
      <c r="G287" s="288"/>
      <c r="H287" s="391"/>
      <c r="I287" s="391"/>
      <c r="J287" s="391"/>
      <c r="K287" s="391"/>
      <c r="L287" s="391"/>
      <c r="M287" s="391"/>
      <c r="N287" s="391"/>
      <c r="O287" s="391"/>
      <c r="P287" s="391"/>
      <c r="Q287" s="391"/>
      <c r="R287" s="337"/>
      <c r="S287" s="390"/>
      <c r="T287" s="338"/>
      <c r="U287" s="390"/>
      <c r="V287" s="288"/>
      <c r="W287" s="291"/>
      <c r="X287" s="5"/>
    </row>
    <row r="288" spans="1:24" ht="15.6" x14ac:dyDescent="0.3">
      <c r="A288" s="287"/>
      <c r="B288" s="288" t="s">
        <v>114</v>
      </c>
      <c r="C288" s="288"/>
      <c r="D288" s="288"/>
      <c r="E288" s="288"/>
      <c r="F288" s="288"/>
      <c r="G288" s="288"/>
      <c r="H288" s="391"/>
      <c r="I288" s="391"/>
      <c r="J288" s="391"/>
      <c r="K288" s="391"/>
      <c r="L288" s="391"/>
      <c r="M288" s="391"/>
      <c r="N288" s="391"/>
      <c r="O288" s="391"/>
      <c r="P288" s="391"/>
      <c r="Q288" s="391"/>
      <c r="R288" s="337">
        <f>SUM(R279:R286)</f>
        <v>0</v>
      </c>
      <c r="S288" s="390">
        <f>SUM(S279:S287)</f>
        <v>0</v>
      </c>
      <c r="T288" s="338">
        <f>SUM(T279:T286)</f>
        <v>0</v>
      </c>
      <c r="U288" s="390">
        <f>SUM(U279:U287)</f>
        <v>0</v>
      </c>
      <c r="V288" s="288"/>
      <c r="W288" s="291"/>
      <c r="X288" s="5"/>
    </row>
    <row r="289" spans="1:24" ht="15.6" x14ac:dyDescent="0.3">
      <c r="A289" s="287"/>
      <c r="B289" s="288"/>
      <c r="C289" s="288"/>
      <c r="D289" s="288"/>
      <c r="E289" s="288"/>
      <c r="F289" s="288"/>
      <c r="G289" s="288"/>
      <c r="H289" s="391"/>
      <c r="I289" s="391"/>
      <c r="J289" s="391"/>
      <c r="K289" s="391"/>
      <c r="L289" s="391"/>
      <c r="M289" s="391"/>
      <c r="N289" s="391"/>
      <c r="O289" s="391"/>
      <c r="P289" s="391"/>
      <c r="Q289" s="391"/>
      <c r="R289" s="337"/>
      <c r="S289" s="390"/>
      <c r="T289" s="338"/>
      <c r="U289" s="390"/>
      <c r="V289" s="288"/>
      <c r="W289" s="291"/>
      <c r="X289" s="5"/>
    </row>
    <row r="290" spans="1:24" ht="15.6" x14ac:dyDescent="0.3">
      <c r="A290" s="287"/>
      <c r="B290" s="295" t="s">
        <v>164</v>
      </c>
      <c r="C290" s="288"/>
      <c r="D290" s="288"/>
      <c r="E290" s="288"/>
      <c r="F290" s="288"/>
      <c r="G290" s="288"/>
      <c r="H290" s="391"/>
      <c r="I290" s="391"/>
      <c r="J290" s="391"/>
      <c r="K290" s="391"/>
      <c r="L290" s="391"/>
      <c r="M290" s="391"/>
      <c r="N290" s="391"/>
      <c r="O290" s="391"/>
      <c r="P290" s="391"/>
      <c r="Q290" s="391"/>
      <c r="R290" s="407">
        <f>R288+R276+R264</f>
        <v>8050</v>
      </c>
      <c r="S290" s="390"/>
      <c r="T290" s="396">
        <f>+T288+T276+T264</f>
        <v>1133737</v>
      </c>
      <c r="U290" s="390"/>
      <c r="V290" s="288"/>
      <c r="W290" s="291"/>
      <c r="X290" s="5"/>
    </row>
    <row r="291" spans="1:24" ht="15.6" x14ac:dyDescent="0.3">
      <c r="A291" s="183"/>
      <c r="B291" s="284"/>
      <c r="C291" s="284"/>
      <c r="D291" s="284"/>
      <c r="E291" s="284"/>
      <c r="F291" s="284"/>
      <c r="G291" s="284"/>
      <c r="H291" s="392"/>
      <c r="I291" s="392"/>
      <c r="J291" s="392"/>
      <c r="K291" s="392"/>
      <c r="L291" s="392"/>
      <c r="M291" s="392"/>
      <c r="N291" s="392"/>
      <c r="O291" s="392"/>
      <c r="P291" s="392"/>
      <c r="Q291" s="392"/>
      <c r="R291" s="392"/>
      <c r="S291" s="392"/>
      <c r="T291" s="394"/>
      <c r="U291" s="392"/>
      <c r="V291" s="284"/>
      <c r="W291" s="284"/>
      <c r="X291" s="5"/>
    </row>
    <row r="292" spans="1:24" ht="15.6" x14ac:dyDescent="0.3">
      <c r="A292" s="183"/>
      <c r="B292" s="224"/>
      <c r="C292" s="224"/>
      <c r="D292" s="224"/>
      <c r="E292" s="224"/>
      <c r="F292" s="224"/>
      <c r="G292" s="224"/>
      <c r="H292" s="256"/>
      <c r="I292" s="256"/>
      <c r="J292" s="256"/>
      <c r="K292" s="256"/>
      <c r="L292" s="256"/>
      <c r="M292" s="256"/>
      <c r="N292" s="256"/>
      <c r="O292" s="256"/>
      <c r="P292" s="256"/>
      <c r="Q292" s="256"/>
      <c r="R292" s="256"/>
      <c r="S292" s="256"/>
      <c r="T292" s="257"/>
      <c r="U292" s="256"/>
      <c r="V292" s="224"/>
      <c r="W292" s="224"/>
      <c r="X292" s="5"/>
    </row>
    <row r="293" spans="1:24" ht="15.6" x14ac:dyDescent="0.3">
      <c r="A293" s="219"/>
      <c r="B293" s="222" t="s">
        <v>91</v>
      </c>
      <c r="C293" s="224"/>
      <c r="D293" s="224"/>
      <c r="E293" s="224"/>
      <c r="F293" s="228" t="s">
        <v>97</v>
      </c>
      <c r="G293" s="224"/>
      <c r="H293" s="222" t="s">
        <v>99</v>
      </c>
      <c r="I293" s="222"/>
      <c r="J293" s="222"/>
      <c r="K293" s="258"/>
      <c r="L293" s="258"/>
      <c r="M293" s="258"/>
      <c r="N293" s="258"/>
      <c r="O293" s="258"/>
      <c r="P293" s="258"/>
      <c r="Q293" s="258"/>
      <c r="R293" s="258"/>
      <c r="S293" s="258"/>
      <c r="T293" s="258"/>
      <c r="U293" s="258"/>
      <c r="V293" s="258"/>
      <c r="W293" s="258"/>
      <c r="X293" s="5"/>
    </row>
    <row r="294" spans="1:24" ht="15.6" x14ac:dyDescent="0.3">
      <c r="A294" s="219"/>
      <c r="B294" s="258"/>
      <c r="C294" s="224"/>
      <c r="D294" s="224"/>
      <c r="E294" s="224"/>
      <c r="F294" s="224"/>
      <c r="G294" s="224"/>
      <c r="H294" s="224"/>
      <c r="I294" s="224"/>
      <c r="J294" s="224"/>
      <c r="K294" s="258"/>
      <c r="L294" s="258"/>
      <c r="M294" s="258"/>
      <c r="N294" s="258"/>
      <c r="O294" s="258"/>
      <c r="P294" s="258"/>
      <c r="Q294" s="258"/>
      <c r="R294" s="258"/>
      <c r="S294" s="258"/>
      <c r="T294" s="258"/>
      <c r="U294" s="258"/>
      <c r="V294" s="258"/>
      <c r="W294" s="258"/>
      <c r="X294" s="5"/>
    </row>
    <row r="295" spans="1:24" ht="15.6" x14ac:dyDescent="0.3">
      <c r="A295" s="219"/>
      <c r="B295" s="222" t="s">
        <v>92</v>
      </c>
      <c r="C295" s="222"/>
      <c r="D295" s="222"/>
      <c r="E295" s="222"/>
      <c r="F295" s="259" t="s">
        <v>148</v>
      </c>
      <c r="G295" s="222"/>
      <c r="H295" s="222" t="s">
        <v>152</v>
      </c>
      <c r="I295" s="222"/>
      <c r="J295" s="222"/>
      <c r="K295" s="258"/>
      <c r="L295" s="258"/>
      <c r="M295" s="258"/>
      <c r="N295" s="258"/>
      <c r="O295" s="258"/>
      <c r="P295" s="258"/>
      <c r="Q295" s="258"/>
      <c r="R295" s="258"/>
      <c r="S295" s="258"/>
      <c r="T295" s="258"/>
      <c r="U295" s="258"/>
      <c r="V295" s="258"/>
      <c r="W295" s="258"/>
      <c r="X295" s="5"/>
    </row>
    <row r="296" spans="1:24" ht="15.6" x14ac:dyDescent="0.3">
      <c r="A296" s="219"/>
      <c r="B296" s="222" t="s">
        <v>277</v>
      </c>
      <c r="C296" s="222"/>
      <c r="D296" s="222"/>
      <c r="E296" s="222"/>
      <c r="F296" s="259" t="s">
        <v>278</v>
      </c>
      <c r="G296" s="222"/>
      <c r="H296" s="222" t="s">
        <v>279</v>
      </c>
      <c r="I296" s="258"/>
      <c r="J296" s="222"/>
      <c r="K296" s="258"/>
      <c r="L296" s="258"/>
      <c r="M296" s="258"/>
      <c r="N296" s="258"/>
      <c r="O296" s="258"/>
      <c r="P296" s="258"/>
      <c r="Q296" s="258"/>
      <c r="R296" s="258"/>
      <c r="S296" s="258"/>
      <c r="T296" s="258"/>
      <c r="U296" s="258"/>
      <c r="V296" s="258"/>
      <c r="W296" s="258"/>
      <c r="X296" s="5"/>
    </row>
    <row r="297" spans="1:24" ht="15.6" x14ac:dyDescent="0.3">
      <c r="A297" s="219"/>
      <c r="B297" s="222" t="s">
        <v>93</v>
      </c>
      <c r="C297" s="222"/>
      <c r="D297" s="222"/>
      <c r="E297" s="222"/>
      <c r="F297" s="259" t="s">
        <v>147</v>
      </c>
      <c r="G297" s="222"/>
      <c r="H297" s="222" t="s">
        <v>153</v>
      </c>
      <c r="I297" s="222"/>
      <c r="J297" s="222"/>
      <c r="K297" s="258"/>
      <c r="L297" s="258"/>
      <c r="M297" s="258"/>
      <c r="N297" s="258"/>
      <c r="O297" s="258"/>
      <c r="P297" s="258"/>
      <c r="Q297" s="258"/>
      <c r="R297" s="258"/>
      <c r="S297" s="258"/>
      <c r="T297" s="258"/>
      <c r="U297" s="258"/>
      <c r="V297" s="258"/>
      <c r="W297" s="258"/>
      <c r="X297" s="5"/>
    </row>
    <row r="298" spans="1:24" ht="15.6" x14ac:dyDescent="0.3">
      <c r="A298" s="219"/>
      <c r="B298" s="222"/>
      <c r="C298" s="222"/>
      <c r="D298" s="222"/>
      <c r="E298" s="222"/>
      <c r="F298" s="222"/>
      <c r="G298" s="260"/>
      <c r="H298" s="258"/>
      <c r="I298" s="258"/>
      <c r="J298" s="258"/>
      <c r="K298" s="258"/>
      <c r="L298" s="258"/>
      <c r="M298" s="258"/>
      <c r="N298" s="258"/>
      <c r="O298" s="258"/>
      <c r="P298" s="258"/>
      <c r="Q298" s="258"/>
      <c r="R298" s="258"/>
      <c r="S298" s="258"/>
      <c r="T298" s="258"/>
      <c r="U298" s="258"/>
      <c r="V298" s="258"/>
      <c r="W298" s="258"/>
      <c r="X298" s="5"/>
    </row>
    <row r="299" spans="1:24" ht="15.6" x14ac:dyDescent="0.3">
      <c r="A299" s="219"/>
      <c r="B299" s="222"/>
      <c r="C299" s="222"/>
      <c r="D299" s="222"/>
      <c r="E299" s="222"/>
      <c r="F299" s="222"/>
      <c r="G299" s="260"/>
      <c r="H299" s="258"/>
      <c r="I299" s="258"/>
      <c r="J299" s="258"/>
      <c r="K299" s="258"/>
      <c r="L299" s="258"/>
      <c r="M299" s="258"/>
      <c r="N299" s="258"/>
      <c r="O299" s="258"/>
      <c r="P299" s="258"/>
      <c r="Q299" s="258"/>
      <c r="R299" s="258"/>
      <c r="S299" s="258"/>
      <c r="T299" s="258"/>
      <c r="U299" s="258"/>
      <c r="V299" s="258"/>
      <c r="W299" s="258"/>
      <c r="X299" s="5"/>
    </row>
    <row r="300" spans="1:24" ht="18" thickBot="1" x14ac:dyDescent="0.35">
      <c r="A300" s="219"/>
      <c r="B300" s="261" t="str">
        <f>B204</f>
        <v>PM14 INVESTOR REPORT QUARTER ENDING NOVEMBER 2011</v>
      </c>
      <c r="C300" s="222"/>
      <c r="D300" s="222"/>
      <c r="E300" s="222"/>
      <c r="F300" s="222"/>
      <c r="G300" s="260"/>
      <c r="H300" s="258"/>
      <c r="I300" s="258"/>
      <c r="J300" s="258"/>
      <c r="K300" s="258"/>
      <c r="L300" s="258"/>
      <c r="M300" s="258"/>
      <c r="N300" s="258"/>
      <c r="O300" s="258"/>
      <c r="P300" s="258"/>
      <c r="Q300" s="258"/>
      <c r="R300" s="258"/>
      <c r="S300" s="258"/>
      <c r="T300" s="258"/>
      <c r="U300" s="258"/>
      <c r="V300" s="258"/>
      <c r="W300" s="258"/>
      <c r="X300" s="5"/>
    </row>
    <row r="301" spans="1:24" x14ac:dyDescent="0.25">
      <c r="A301" s="100"/>
      <c r="B301" s="100"/>
      <c r="C301" s="100"/>
      <c r="D301" s="100"/>
      <c r="E301" s="100"/>
      <c r="F301" s="100"/>
      <c r="G301" s="100"/>
      <c r="H301" s="100"/>
      <c r="I301" s="100"/>
      <c r="J301" s="100"/>
      <c r="K301" s="100"/>
      <c r="L301" s="100"/>
      <c r="M301" s="100"/>
      <c r="N301" s="100"/>
      <c r="O301" s="100"/>
      <c r="P301" s="100"/>
      <c r="Q301" s="100"/>
      <c r="R301" s="100"/>
      <c r="S301" s="100"/>
      <c r="T301" s="100"/>
      <c r="U301" s="100"/>
      <c r="V301" s="100"/>
      <c r="W301" s="100"/>
    </row>
  </sheetData>
  <phoneticPr fontId="0" type="noConversion"/>
  <hyperlinks>
    <hyperlink ref="P240" r:id="rId1" xr:uid="{00000000-0004-0000-1100-000000000000}"/>
    <hyperlink ref="I9" r:id="rId2" xr:uid="{00000000-0004-0000-11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8" max="14" man="1"/>
    <brk id="204" max="14" man="1"/>
  </rowBreaks>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6"/>
  </sheetPr>
  <dimension ref="A1:IV301"/>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80"/>
      <c r="B1" s="220" t="s">
        <v>244</v>
      </c>
      <c r="C1" s="181"/>
      <c r="D1" s="181"/>
      <c r="E1" s="181"/>
      <c r="F1" s="181"/>
      <c r="G1" s="181"/>
      <c r="H1" s="181"/>
      <c r="I1" s="181"/>
      <c r="J1" s="181"/>
      <c r="K1" s="181"/>
      <c r="L1" s="181"/>
      <c r="M1" s="181"/>
      <c r="N1" s="181"/>
      <c r="O1" s="181"/>
      <c r="P1" s="181"/>
      <c r="Q1" s="181"/>
      <c r="R1" s="181"/>
      <c r="S1" s="181"/>
      <c r="T1" s="181"/>
      <c r="U1" s="181"/>
      <c r="V1" s="181"/>
      <c r="W1" s="181"/>
      <c r="X1" s="5"/>
    </row>
    <row r="2" spans="1:24" ht="15.6" x14ac:dyDescent="0.3">
      <c r="A2" s="183"/>
      <c r="B2" s="184"/>
      <c r="C2" s="185"/>
      <c r="D2" s="185"/>
      <c r="E2" s="185"/>
      <c r="F2" s="185"/>
      <c r="G2" s="185"/>
      <c r="H2" s="185"/>
      <c r="I2" s="185"/>
      <c r="J2" s="185"/>
      <c r="K2" s="185"/>
      <c r="L2" s="185"/>
      <c r="M2" s="185"/>
      <c r="N2" s="185"/>
      <c r="O2" s="185"/>
      <c r="P2" s="185"/>
      <c r="Q2" s="185"/>
      <c r="R2" s="185"/>
      <c r="S2" s="185"/>
      <c r="T2" s="185"/>
      <c r="U2" s="185"/>
      <c r="V2" s="185"/>
      <c r="W2" s="185"/>
      <c r="X2" s="5"/>
    </row>
    <row r="3" spans="1:24" ht="15.6" x14ac:dyDescent="0.3">
      <c r="A3" s="186"/>
      <c r="B3" s="187" t="s">
        <v>245</v>
      </c>
      <c r="C3" s="185"/>
      <c r="D3" s="185"/>
      <c r="E3" s="185"/>
      <c r="F3" s="185"/>
      <c r="G3" s="185"/>
      <c r="H3" s="185"/>
      <c r="I3" s="185"/>
      <c r="J3" s="185"/>
      <c r="K3" s="185"/>
      <c r="L3" s="185"/>
      <c r="M3" s="185"/>
      <c r="N3" s="185"/>
      <c r="O3" s="185"/>
      <c r="P3" s="185"/>
      <c r="Q3" s="185"/>
      <c r="R3" s="185"/>
      <c r="S3" s="185"/>
      <c r="T3" s="185"/>
      <c r="U3" s="185"/>
      <c r="V3" s="185"/>
      <c r="W3" s="185"/>
      <c r="X3" s="5"/>
    </row>
    <row r="4" spans="1:24" ht="15.6" x14ac:dyDescent="0.3">
      <c r="A4" s="183"/>
      <c r="B4" s="184"/>
      <c r="C4" s="185"/>
      <c r="D4" s="185"/>
      <c r="E4" s="185"/>
      <c r="F4" s="185"/>
      <c r="G4" s="185"/>
      <c r="H4" s="185"/>
      <c r="I4" s="185"/>
      <c r="J4" s="185"/>
      <c r="K4" s="185"/>
      <c r="L4" s="185"/>
      <c r="M4" s="185"/>
      <c r="N4" s="185"/>
      <c r="O4" s="185"/>
      <c r="P4" s="185"/>
      <c r="Q4" s="185"/>
      <c r="R4" s="185"/>
      <c r="S4" s="185"/>
      <c r="T4" s="185"/>
      <c r="U4" s="185"/>
      <c r="V4" s="185"/>
      <c r="W4" s="185"/>
      <c r="X4" s="5"/>
    </row>
    <row r="5" spans="1:24" ht="15.6" x14ac:dyDescent="0.3">
      <c r="A5" s="183"/>
      <c r="B5" s="221" t="s">
        <v>137</v>
      </c>
      <c r="C5" s="185"/>
      <c r="D5" s="185"/>
      <c r="E5" s="185"/>
      <c r="F5" s="185"/>
      <c r="G5" s="185"/>
      <c r="H5" s="185"/>
      <c r="I5" s="185"/>
      <c r="J5" s="185"/>
      <c r="K5" s="185"/>
      <c r="L5" s="185"/>
      <c r="M5" s="185"/>
      <c r="N5" s="185"/>
      <c r="O5" s="185"/>
      <c r="P5" s="185"/>
      <c r="Q5" s="185"/>
      <c r="R5" s="185"/>
      <c r="S5" s="185"/>
      <c r="T5" s="185"/>
      <c r="U5" s="185"/>
      <c r="V5" s="185"/>
      <c r="W5" s="185"/>
      <c r="X5" s="5"/>
    </row>
    <row r="6" spans="1:24" ht="15.6" x14ac:dyDescent="0.3">
      <c r="A6" s="183"/>
      <c r="B6" s="221" t="s">
        <v>139</v>
      </c>
      <c r="C6" s="185"/>
      <c r="D6" s="185"/>
      <c r="E6" s="185"/>
      <c r="F6" s="185"/>
      <c r="G6" s="185"/>
      <c r="H6" s="185"/>
      <c r="I6" s="185"/>
      <c r="J6" s="185"/>
      <c r="K6" s="185"/>
      <c r="L6" s="185"/>
      <c r="M6" s="185"/>
      <c r="N6" s="185"/>
      <c r="O6" s="185"/>
      <c r="P6" s="185"/>
      <c r="Q6" s="185"/>
      <c r="R6" s="185"/>
      <c r="S6" s="185"/>
      <c r="T6" s="185"/>
      <c r="U6" s="185"/>
      <c r="V6" s="185"/>
      <c r="W6" s="185"/>
      <c r="X6" s="5"/>
    </row>
    <row r="7" spans="1:24" ht="15.6" x14ac:dyDescent="0.3">
      <c r="A7" s="183"/>
      <c r="B7" s="221" t="s">
        <v>138</v>
      </c>
      <c r="C7" s="185"/>
      <c r="D7" s="185"/>
      <c r="E7" s="185"/>
      <c r="F7" s="185"/>
      <c r="G7" s="185"/>
      <c r="H7" s="185"/>
      <c r="I7" s="185"/>
      <c r="J7" s="185"/>
      <c r="K7" s="185"/>
      <c r="L7" s="185"/>
      <c r="M7" s="185"/>
      <c r="N7" s="185"/>
      <c r="O7" s="185"/>
      <c r="P7" s="185"/>
      <c r="Q7" s="185"/>
      <c r="R7" s="185"/>
      <c r="S7" s="185"/>
      <c r="T7" s="185"/>
      <c r="U7" s="185"/>
      <c r="V7" s="185"/>
      <c r="W7" s="185"/>
      <c r="X7" s="5"/>
    </row>
    <row r="8" spans="1:24" ht="15.6" x14ac:dyDescent="0.3">
      <c r="A8" s="183"/>
      <c r="B8" s="188"/>
      <c r="C8" s="185"/>
      <c r="D8" s="185"/>
      <c r="E8" s="185"/>
      <c r="F8" s="185"/>
      <c r="G8" s="185"/>
      <c r="H8" s="185"/>
      <c r="I8" s="185"/>
      <c r="J8" s="185"/>
      <c r="K8" s="185"/>
      <c r="L8" s="185"/>
      <c r="M8" s="185"/>
      <c r="N8" s="185"/>
      <c r="O8" s="185"/>
      <c r="P8" s="185"/>
      <c r="Q8" s="185"/>
      <c r="R8" s="185"/>
      <c r="S8" s="185"/>
      <c r="T8" s="185"/>
      <c r="U8" s="185"/>
      <c r="V8" s="185"/>
      <c r="W8" s="185"/>
      <c r="X8" s="5"/>
    </row>
    <row r="9" spans="1:24" ht="17.399999999999999" x14ac:dyDescent="0.3">
      <c r="A9" s="183"/>
      <c r="B9" s="189" t="s">
        <v>166</v>
      </c>
      <c r="C9" s="185"/>
      <c r="D9" s="185"/>
      <c r="E9" s="185"/>
      <c r="F9" s="185"/>
      <c r="G9" s="185"/>
      <c r="H9" s="185"/>
      <c r="I9" s="190" t="s">
        <v>167</v>
      </c>
      <c r="J9" s="185"/>
      <c r="K9" s="185"/>
      <c r="L9" s="190"/>
      <c r="M9" s="185"/>
      <c r="N9" s="190"/>
      <c r="O9" s="185"/>
      <c r="P9" s="185"/>
      <c r="Q9" s="185"/>
      <c r="R9" s="185"/>
      <c r="S9" s="185"/>
      <c r="T9" s="185"/>
      <c r="U9" s="185"/>
      <c r="V9" s="185"/>
      <c r="W9" s="185"/>
      <c r="X9" s="5"/>
    </row>
    <row r="10" spans="1:24" ht="15.6" x14ac:dyDescent="0.3">
      <c r="A10" s="183"/>
      <c r="B10" s="188"/>
      <c r="C10" s="191"/>
      <c r="D10" s="191"/>
      <c r="E10" s="191"/>
      <c r="F10" s="185"/>
      <c r="G10" s="185"/>
      <c r="H10" s="185"/>
      <c r="I10" s="185"/>
      <c r="J10" s="185"/>
      <c r="K10" s="185"/>
      <c r="L10" s="185"/>
      <c r="M10" s="185"/>
      <c r="N10" s="185"/>
      <c r="O10" s="185"/>
      <c r="P10" s="185"/>
      <c r="Q10" s="185"/>
      <c r="R10" s="185"/>
      <c r="S10" s="185"/>
      <c r="T10" s="185"/>
      <c r="U10" s="185"/>
      <c r="V10" s="185"/>
      <c r="W10" s="185"/>
      <c r="X10" s="5"/>
    </row>
    <row r="11" spans="1:24" ht="15.6" x14ac:dyDescent="0.3">
      <c r="A11" s="183"/>
      <c r="B11" s="222" t="s">
        <v>0</v>
      </c>
      <c r="C11" s="185"/>
      <c r="D11" s="185"/>
      <c r="E11" s="185"/>
      <c r="F11" s="185"/>
      <c r="G11" s="185"/>
      <c r="H11" s="185"/>
      <c r="I11" s="185"/>
      <c r="J11" s="185"/>
      <c r="K11" s="185"/>
      <c r="L11" s="185"/>
      <c r="M11" s="185"/>
      <c r="N11" s="185"/>
      <c r="O11" s="185"/>
      <c r="P11" s="185"/>
      <c r="Q11" s="185"/>
      <c r="R11" s="185"/>
      <c r="S11" s="185"/>
      <c r="T11" s="185"/>
      <c r="U11" s="185"/>
      <c r="V11" s="185"/>
      <c r="W11" s="185"/>
      <c r="X11" s="5"/>
    </row>
    <row r="12" spans="1:24" ht="16.2" thickBot="1" x14ac:dyDescent="0.35">
      <c r="A12" s="183"/>
      <c r="B12" s="191"/>
      <c r="C12" s="185"/>
      <c r="D12" s="185"/>
      <c r="E12" s="185"/>
      <c r="F12" s="185"/>
      <c r="G12" s="185"/>
      <c r="H12" s="185"/>
      <c r="I12" s="185"/>
      <c r="J12" s="185"/>
      <c r="K12" s="185"/>
      <c r="L12" s="185"/>
      <c r="M12" s="185"/>
      <c r="N12" s="185"/>
      <c r="O12" s="185"/>
      <c r="P12" s="185"/>
      <c r="Q12" s="185"/>
      <c r="R12" s="185"/>
      <c r="S12" s="185"/>
      <c r="T12" s="185"/>
      <c r="U12" s="185"/>
      <c r="V12" s="185"/>
      <c r="W12" s="185"/>
      <c r="X12" s="5"/>
    </row>
    <row r="13" spans="1:24" ht="15.6" x14ac:dyDescent="0.3">
      <c r="A13" s="180"/>
      <c r="B13" s="181"/>
      <c r="C13" s="181"/>
      <c r="D13" s="181"/>
      <c r="E13" s="181"/>
      <c r="F13" s="181"/>
      <c r="G13" s="181"/>
      <c r="H13" s="181"/>
      <c r="I13" s="181"/>
      <c r="J13" s="181"/>
      <c r="K13" s="181"/>
      <c r="L13" s="181"/>
      <c r="M13" s="181"/>
      <c r="N13" s="181"/>
      <c r="O13" s="181"/>
      <c r="P13" s="181"/>
      <c r="Q13" s="181"/>
      <c r="R13" s="181"/>
      <c r="S13" s="181"/>
      <c r="T13" s="181"/>
      <c r="U13" s="181"/>
      <c r="V13" s="181"/>
      <c r="W13" s="181"/>
      <c r="X13" s="5"/>
    </row>
    <row r="14" spans="1:24" ht="15.6" x14ac:dyDescent="0.3">
      <c r="A14" s="183"/>
      <c r="B14" s="222" t="s">
        <v>1</v>
      </c>
      <c r="C14" s="192"/>
      <c r="D14" s="192"/>
      <c r="E14" s="192"/>
      <c r="F14" s="192"/>
      <c r="G14" s="192"/>
      <c r="H14" s="192"/>
      <c r="I14" s="192"/>
      <c r="J14" s="192"/>
      <c r="K14" s="192"/>
      <c r="L14" s="192"/>
      <c r="M14" s="192"/>
      <c r="N14" s="192"/>
      <c r="O14" s="192"/>
      <c r="P14" s="192"/>
      <c r="Q14" s="192"/>
      <c r="R14" s="224"/>
      <c r="S14" s="224"/>
      <c r="T14" s="224"/>
      <c r="U14" s="224"/>
      <c r="V14" s="225" t="s">
        <v>246</v>
      </c>
      <c r="W14" s="192"/>
      <c r="X14" s="5"/>
    </row>
    <row r="15" spans="1:24" ht="15.6" x14ac:dyDescent="0.3">
      <c r="A15" s="183"/>
      <c r="B15" s="222" t="s">
        <v>2</v>
      </c>
      <c r="C15" s="192"/>
      <c r="D15" s="192"/>
      <c r="E15" s="192"/>
      <c r="F15" s="192"/>
      <c r="G15" s="192"/>
      <c r="H15" s="193"/>
      <c r="I15" s="193"/>
      <c r="J15" s="193"/>
      <c r="K15" s="193"/>
      <c r="L15" s="193"/>
      <c r="M15" s="193"/>
      <c r="N15" s="193"/>
      <c r="O15" s="193"/>
      <c r="P15" s="193"/>
      <c r="Q15" s="193"/>
      <c r="R15" s="226" t="s">
        <v>104</v>
      </c>
      <c r="S15" s="227">
        <v>0.38300000000000001</v>
      </c>
      <c r="T15" s="228" t="s">
        <v>140</v>
      </c>
      <c r="U15" s="227">
        <v>0.61699999999999999</v>
      </c>
      <c r="V15" s="225"/>
      <c r="W15" s="192"/>
      <c r="X15" s="5"/>
    </row>
    <row r="16" spans="1:24" ht="15.6" x14ac:dyDescent="0.3">
      <c r="A16" s="183"/>
      <c r="B16" s="222" t="s">
        <v>3</v>
      </c>
      <c r="C16" s="192"/>
      <c r="D16" s="192"/>
      <c r="E16" s="192"/>
      <c r="F16" s="192"/>
      <c r="G16" s="192"/>
      <c r="H16" s="193"/>
      <c r="I16" s="193"/>
      <c r="J16" s="193"/>
      <c r="K16" s="193"/>
      <c r="L16" s="193"/>
      <c r="M16" s="193"/>
      <c r="N16" s="193"/>
      <c r="O16" s="193"/>
      <c r="P16" s="193"/>
      <c r="Q16" s="193"/>
      <c r="R16" s="226" t="s">
        <v>104</v>
      </c>
      <c r="S16" s="227">
        <v>0.45500000000000002</v>
      </c>
      <c r="T16" s="228" t="s">
        <v>140</v>
      </c>
      <c r="U16" s="227">
        <v>0.54500000000000004</v>
      </c>
      <c r="V16" s="225"/>
      <c r="W16" s="192"/>
      <c r="X16" s="5"/>
    </row>
    <row r="17" spans="1:24" ht="15.6" x14ac:dyDescent="0.3">
      <c r="A17" s="183"/>
      <c r="B17" s="222" t="s">
        <v>4</v>
      </c>
      <c r="C17" s="192"/>
      <c r="D17" s="192"/>
      <c r="E17" s="192"/>
      <c r="F17" s="192"/>
      <c r="G17" s="192"/>
      <c r="H17" s="192"/>
      <c r="I17" s="192"/>
      <c r="J17" s="192"/>
      <c r="K17" s="192"/>
      <c r="L17" s="192"/>
      <c r="M17" s="192"/>
      <c r="N17" s="192"/>
      <c r="O17" s="192"/>
      <c r="P17" s="192"/>
      <c r="Q17" s="192"/>
      <c r="R17" s="224"/>
      <c r="S17" s="224"/>
      <c r="T17" s="224"/>
      <c r="U17" s="224"/>
      <c r="V17" s="229">
        <v>39163</v>
      </c>
      <c r="W17" s="192"/>
      <c r="X17" s="5"/>
    </row>
    <row r="18" spans="1:24" ht="15.6" x14ac:dyDescent="0.3">
      <c r="A18" s="183"/>
      <c r="B18" s="222" t="s">
        <v>5</v>
      </c>
      <c r="C18" s="192"/>
      <c r="D18" s="192"/>
      <c r="E18" s="192"/>
      <c r="F18" s="192"/>
      <c r="G18" s="192"/>
      <c r="H18" s="192"/>
      <c r="I18" s="192"/>
      <c r="J18" s="192"/>
      <c r="K18" s="192"/>
      <c r="L18" s="192"/>
      <c r="M18" s="192"/>
      <c r="N18" s="192"/>
      <c r="O18" s="192"/>
      <c r="P18" s="192"/>
      <c r="Q18" s="192"/>
      <c r="R18" s="224"/>
      <c r="S18" s="224"/>
      <c r="T18" s="224"/>
      <c r="U18" s="224"/>
      <c r="V18" s="229">
        <v>40987</v>
      </c>
      <c r="W18" s="192"/>
      <c r="X18" s="5"/>
    </row>
    <row r="19" spans="1:24" ht="15.6" x14ac:dyDescent="0.3">
      <c r="A19" s="183"/>
      <c r="B19" s="185"/>
      <c r="C19" s="185"/>
      <c r="D19" s="185"/>
      <c r="E19" s="185"/>
      <c r="F19" s="185"/>
      <c r="G19" s="185"/>
      <c r="H19" s="185"/>
      <c r="I19" s="185"/>
      <c r="J19" s="185"/>
      <c r="K19" s="185"/>
      <c r="L19" s="185"/>
      <c r="M19" s="185"/>
      <c r="N19" s="185"/>
      <c r="O19" s="185"/>
      <c r="P19" s="185"/>
      <c r="Q19" s="185"/>
      <c r="R19" s="185"/>
      <c r="S19" s="185"/>
      <c r="T19" s="185"/>
      <c r="U19" s="185"/>
      <c r="V19" s="194"/>
      <c r="W19" s="185"/>
      <c r="X19" s="5"/>
    </row>
    <row r="20" spans="1:24" ht="15.6" x14ac:dyDescent="0.3">
      <c r="A20" s="183"/>
      <c r="B20" s="230" t="s">
        <v>6</v>
      </c>
      <c r="C20" s="185"/>
      <c r="D20" s="185"/>
      <c r="E20" s="185"/>
      <c r="F20" s="185"/>
      <c r="G20" s="185"/>
      <c r="H20" s="185"/>
      <c r="I20" s="185"/>
      <c r="J20" s="185"/>
      <c r="K20" s="185"/>
      <c r="L20" s="185"/>
      <c r="M20" s="185"/>
      <c r="N20" s="185"/>
      <c r="O20" s="185"/>
      <c r="P20" s="185"/>
      <c r="Q20" s="185"/>
      <c r="R20" s="185"/>
      <c r="S20" s="185"/>
      <c r="T20" s="223" t="s">
        <v>105</v>
      </c>
      <c r="U20" s="185"/>
      <c r="V20" s="182"/>
      <c r="W20" s="185"/>
      <c r="X20" s="5"/>
    </row>
    <row r="21" spans="1:24" ht="15.6" x14ac:dyDescent="0.3">
      <c r="A21" s="183"/>
      <c r="B21" s="185"/>
      <c r="C21" s="185"/>
      <c r="D21" s="185"/>
      <c r="E21" s="185"/>
      <c r="F21" s="185"/>
      <c r="G21" s="185"/>
      <c r="H21" s="185"/>
      <c r="I21" s="185"/>
      <c r="J21" s="185"/>
      <c r="K21" s="185"/>
      <c r="L21" s="185"/>
      <c r="M21" s="185"/>
      <c r="N21" s="185"/>
      <c r="O21" s="185"/>
      <c r="P21" s="185"/>
      <c r="Q21" s="185"/>
      <c r="R21" s="185"/>
      <c r="S21" s="185"/>
      <c r="T21" s="185"/>
      <c r="U21" s="185"/>
      <c r="V21" s="196"/>
      <c r="W21" s="185"/>
      <c r="X21" s="5"/>
    </row>
    <row r="22" spans="1:24" ht="15.6" x14ac:dyDescent="0.3">
      <c r="A22" s="262"/>
      <c r="B22" s="263"/>
      <c r="C22" s="264"/>
      <c r="D22" s="264" t="s">
        <v>177</v>
      </c>
      <c r="E22" s="264"/>
      <c r="F22" s="264" t="s">
        <v>178</v>
      </c>
      <c r="G22" s="264"/>
      <c r="H22" s="264" t="s">
        <v>179</v>
      </c>
      <c r="I22" s="264"/>
      <c r="J22" s="264" t="s">
        <v>220</v>
      </c>
      <c r="K22" s="264"/>
      <c r="L22" s="264" t="s">
        <v>180</v>
      </c>
      <c r="M22" s="264"/>
      <c r="N22" s="264" t="s">
        <v>181</v>
      </c>
      <c r="O22" s="264"/>
      <c r="P22" s="264" t="s">
        <v>221</v>
      </c>
      <c r="Q22" s="264"/>
      <c r="R22" s="264" t="s">
        <v>182</v>
      </c>
      <c r="S22" s="266"/>
      <c r="T22" s="266"/>
      <c r="U22" s="267"/>
      <c r="V22" s="267"/>
      <c r="W22" s="263"/>
      <c r="X22" s="5"/>
    </row>
    <row r="23" spans="1:24" ht="15.6" x14ac:dyDescent="0.3">
      <c r="A23" s="287"/>
      <c r="B23" s="288" t="s">
        <v>7</v>
      </c>
      <c r="C23" s="289"/>
      <c r="D23" s="289" t="s">
        <v>213</v>
      </c>
      <c r="E23" s="289"/>
      <c r="F23" s="289" t="s">
        <v>141</v>
      </c>
      <c r="G23" s="289"/>
      <c r="H23" s="289" t="s">
        <v>141</v>
      </c>
      <c r="I23" s="289"/>
      <c r="J23" s="289" t="s">
        <v>141</v>
      </c>
      <c r="K23" s="289"/>
      <c r="L23" s="289" t="s">
        <v>183</v>
      </c>
      <c r="M23" s="289"/>
      <c r="N23" s="289" t="s">
        <v>183</v>
      </c>
      <c r="O23" s="289"/>
      <c r="P23" s="289" t="s">
        <v>142</v>
      </c>
      <c r="Q23" s="289"/>
      <c r="R23" s="289" t="s">
        <v>142</v>
      </c>
      <c r="S23" s="289"/>
      <c r="T23" s="289"/>
      <c r="U23" s="290"/>
      <c r="V23" s="290"/>
      <c r="W23" s="291"/>
      <c r="X23" s="5"/>
    </row>
    <row r="24" spans="1:24" ht="15.6" x14ac:dyDescent="0.3">
      <c r="A24" s="287"/>
      <c r="B24" s="288" t="s">
        <v>8</v>
      </c>
      <c r="C24" s="289"/>
      <c r="D24" s="289" t="s">
        <v>214</v>
      </c>
      <c r="E24" s="289"/>
      <c r="F24" s="289" t="s">
        <v>143</v>
      </c>
      <c r="G24" s="289"/>
      <c r="H24" s="289" t="s">
        <v>143</v>
      </c>
      <c r="I24" s="289"/>
      <c r="J24" s="289" t="s">
        <v>143</v>
      </c>
      <c r="K24" s="289"/>
      <c r="L24" s="289" t="s">
        <v>165</v>
      </c>
      <c r="M24" s="289"/>
      <c r="N24" s="289" t="s">
        <v>165</v>
      </c>
      <c r="O24" s="289"/>
      <c r="P24" s="289" t="s">
        <v>144</v>
      </c>
      <c r="Q24" s="289"/>
      <c r="R24" s="289" t="s">
        <v>144</v>
      </c>
      <c r="S24" s="289"/>
      <c r="T24" s="289"/>
      <c r="U24" s="290"/>
      <c r="V24" s="290"/>
      <c r="W24" s="291"/>
      <c r="X24" s="5"/>
    </row>
    <row r="25" spans="1:24" ht="15.6" x14ac:dyDescent="0.3">
      <c r="A25" s="292"/>
      <c r="B25" s="288" t="s">
        <v>190</v>
      </c>
      <c r="C25" s="398"/>
      <c r="D25" s="289" t="s">
        <v>215</v>
      </c>
      <c r="E25" s="289"/>
      <c r="F25" s="289" t="s">
        <v>143</v>
      </c>
      <c r="G25" s="289"/>
      <c r="H25" s="289" t="s">
        <v>143</v>
      </c>
      <c r="I25" s="289"/>
      <c r="J25" s="289" t="s">
        <v>143</v>
      </c>
      <c r="K25" s="289"/>
      <c r="L25" s="289" t="s">
        <v>293</v>
      </c>
      <c r="M25" s="289"/>
      <c r="N25" s="289" t="s">
        <v>293</v>
      </c>
      <c r="O25" s="289"/>
      <c r="P25" s="289" t="s">
        <v>144</v>
      </c>
      <c r="Q25" s="289"/>
      <c r="R25" s="289" t="s">
        <v>144</v>
      </c>
      <c r="S25" s="398"/>
      <c r="T25" s="289"/>
      <c r="U25" s="290"/>
      <c r="V25" s="290"/>
      <c r="W25" s="291"/>
      <c r="X25" s="5"/>
    </row>
    <row r="26" spans="1:24" ht="15.6" x14ac:dyDescent="0.3">
      <c r="A26" s="292"/>
      <c r="B26" s="295" t="s">
        <v>9</v>
      </c>
      <c r="C26" s="398"/>
      <c r="D26" s="398" t="s">
        <v>213</v>
      </c>
      <c r="E26" s="398"/>
      <c r="F26" s="398" t="s">
        <v>141</v>
      </c>
      <c r="G26" s="398"/>
      <c r="H26" s="398" t="s">
        <v>141</v>
      </c>
      <c r="I26" s="398"/>
      <c r="J26" s="398" t="s">
        <v>141</v>
      </c>
      <c r="K26" s="398"/>
      <c r="L26" s="398" t="s">
        <v>183</v>
      </c>
      <c r="M26" s="398"/>
      <c r="N26" s="398" t="s">
        <v>183</v>
      </c>
      <c r="O26" s="398"/>
      <c r="P26" s="398" t="s">
        <v>142</v>
      </c>
      <c r="Q26" s="398"/>
      <c r="R26" s="398" t="s">
        <v>142</v>
      </c>
      <c r="S26" s="398"/>
      <c r="T26" s="289"/>
      <c r="U26" s="290"/>
      <c r="V26" s="290"/>
      <c r="W26" s="291"/>
      <c r="X26" s="5"/>
    </row>
    <row r="27" spans="1:24" ht="15.6" x14ac:dyDescent="0.3">
      <c r="A27" s="287"/>
      <c r="B27" s="295" t="s">
        <v>191</v>
      </c>
      <c r="C27" s="289"/>
      <c r="D27" s="398" t="s">
        <v>317</v>
      </c>
      <c r="E27" s="398"/>
      <c r="F27" s="398" t="s">
        <v>143</v>
      </c>
      <c r="G27" s="398"/>
      <c r="H27" s="398" t="s">
        <v>143</v>
      </c>
      <c r="I27" s="398"/>
      <c r="J27" s="398" t="s">
        <v>143</v>
      </c>
      <c r="K27" s="398"/>
      <c r="L27" s="398" t="s">
        <v>165</v>
      </c>
      <c r="M27" s="398"/>
      <c r="N27" s="398" t="s">
        <v>165</v>
      </c>
      <c r="O27" s="398"/>
      <c r="P27" s="398" t="s">
        <v>144</v>
      </c>
      <c r="Q27" s="398"/>
      <c r="R27" s="398" t="s">
        <v>144</v>
      </c>
      <c r="S27" s="289"/>
      <c r="T27" s="296"/>
      <c r="U27" s="290"/>
      <c r="V27" s="290"/>
      <c r="W27" s="291"/>
      <c r="X27" s="5"/>
    </row>
    <row r="28" spans="1:24" ht="15.6" x14ac:dyDescent="0.3">
      <c r="A28" s="287"/>
      <c r="B28" s="295" t="s">
        <v>192</v>
      </c>
      <c r="C28" s="289"/>
      <c r="D28" s="398" t="s">
        <v>314</v>
      </c>
      <c r="E28" s="398"/>
      <c r="F28" s="398" t="s">
        <v>143</v>
      </c>
      <c r="G28" s="398"/>
      <c r="H28" s="398" t="s">
        <v>143</v>
      </c>
      <c r="I28" s="398"/>
      <c r="J28" s="398" t="s">
        <v>143</v>
      </c>
      <c r="K28" s="398"/>
      <c r="L28" s="398" t="s">
        <v>293</v>
      </c>
      <c r="M28" s="398"/>
      <c r="N28" s="398" t="s">
        <v>293</v>
      </c>
      <c r="O28" s="398"/>
      <c r="P28" s="398" t="s">
        <v>144</v>
      </c>
      <c r="Q28" s="398"/>
      <c r="R28" s="398" t="s">
        <v>144</v>
      </c>
      <c r="S28" s="289"/>
      <c r="T28" s="296"/>
      <c r="U28" s="290"/>
      <c r="V28" s="290"/>
      <c r="W28" s="291"/>
      <c r="X28" s="5"/>
    </row>
    <row r="29" spans="1:24" ht="15.6" x14ac:dyDescent="0.3">
      <c r="A29" s="287"/>
      <c r="B29" s="288" t="s">
        <v>10</v>
      </c>
      <c r="C29" s="298"/>
      <c r="D29" s="289" t="s">
        <v>249</v>
      </c>
      <c r="E29" s="289"/>
      <c r="F29" s="296" t="s">
        <v>250</v>
      </c>
      <c r="G29" s="289"/>
      <c r="H29" s="289" t="s">
        <v>251</v>
      </c>
      <c r="I29" s="289"/>
      <c r="J29" s="289" t="s">
        <v>253</v>
      </c>
      <c r="K29" s="289"/>
      <c r="L29" s="289" t="s">
        <v>254</v>
      </c>
      <c r="M29" s="289"/>
      <c r="N29" s="289" t="s">
        <v>255</v>
      </c>
      <c r="O29" s="289"/>
      <c r="P29" s="289" t="s">
        <v>256</v>
      </c>
      <c r="Q29" s="289"/>
      <c r="R29" s="289" t="s">
        <v>257</v>
      </c>
      <c r="S29" s="299"/>
      <c r="T29" s="299"/>
      <c r="U29" s="300"/>
      <c r="V29" s="299"/>
      <c r="W29" s="301"/>
      <c r="X29" s="5"/>
    </row>
    <row r="30" spans="1:24" ht="15.6" x14ac:dyDescent="0.3">
      <c r="A30" s="287"/>
      <c r="B30" s="288" t="s">
        <v>10</v>
      </c>
      <c r="C30" s="298"/>
      <c r="D30" s="289" t="s">
        <v>248</v>
      </c>
      <c r="E30" s="289"/>
      <c r="F30" s="296" t="s">
        <v>118</v>
      </c>
      <c r="G30" s="289"/>
      <c r="H30" s="289" t="s">
        <v>118</v>
      </c>
      <c r="I30" s="289"/>
      <c r="J30" s="289" t="s">
        <v>252</v>
      </c>
      <c r="K30" s="289"/>
      <c r="L30" s="289" t="s">
        <v>118</v>
      </c>
      <c r="M30" s="289"/>
      <c r="N30" s="289" t="s">
        <v>118</v>
      </c>
      <c r="O30" s="289"/>
      <c r="P30" s="289" t="s">
        <v>118</v>
      </c>
      <c r="Q30" s="289"/>
      <c r="R30" s="289" t="s">
        <v>118</v>
      </c>
      <c r="S30" s="299"/>
      <c r="T30" s="299"/>
      <c r="U30" s="300"/>
      <c r="V30" s="299"/>
      <c r="W30" s="301"/>
      <c r="X30" s="5"/>
    </row>
    <row r="31" spans="1:24" ht="15.6" x14ac:dyDescent="0.3">
      <c r="A31" s="292"/>
      <c r="B31" s="288" t="s">
        <v>133</v>
      </c>
      <c r="C31" s="302"/>
      <c r="D31" s="303">
        <v>1500000</v>
      </c>
      <c r="E31" s="298"/>
      <c r="F31" s="299">
        <v>125000</v>
      </c>
      <c r="G31" s="299"/>
      <c r="H31" s="304">
        <v>246000</v>
      </c>
      <c r="I31" s="304"/>
      <c r="J31" s="303">
        <v>400000</v>
      </c>
      <c r="K31" s="299"/>
      <c r="L31" s="299">
        <v>51900</v>
      </c>
      <c r="M31" s="299"/>
      <c r="N31" s="304">
        <v>88800</v>
      </c>
      <c r="O31" s="299"/>
      <c r="P31" s="299">
        <v>20000</v>
      </c>
      <c r="Q31" s="299"/>
      <c r="R31" s="304">
        <v>135500</v>
      </c>
      <c r="S31" s="305"/>
      <c r="T31" s="305"/>
      <c r="U31" s="306"/>
      <c r="V31" s="305"/>
      <c r="W31" s="301"/>
      <c r="X31" s="5"/>
    </row>
    <row r="32" spans="1:24" ht="15.6" x14ac:dyDescent="0.3">
      <c r="A32" s="287"/>
      <c r="B32" s="288" t="s">
        <v>132</v>
      </c>
      <c r="C32" s="298"/>
      <c r="D32" s="303">
        <f>D31*D38</f>
        <v>1068798.45</v>
      </c>
      <c r="E32" s="298"/>
      <c r="F32" s="299">
        <f>F31*F38</f>
        <v>89066.625</v>
      </c>
      <c r="G32" s="299"/>
      <c r="H32" s="304">
        <f>H31*H38</f>
        <v>175283.11799999999</v>
      </c>
      <c r="I32" s="304"/>
      <c r="J32" s="303">
        <f>J31*J38</f>
        <v>285012.92</v>
      </c>
      <c r="K32" s="299"/>
      <c r="L32" s="299">
        <f>+L31</f>
        <v>51900</v>
      </c>
      <c r="M32" s="299"/>
      <c r="N32" s="304">
        <f>+N31</f>
        <v>88800</v>
      </c>
      <c r="O32" s="299"/>
      <c r="P32" s="299">
        <f>+P31</f>
        <v>20000</v>
      </c>
      <c r="Q32" s="299"/>
      <c r="R32" s="304">
        <f>+R31</f>
        <v>135500</v>
      </c>
      <c r="S32" s="299"/>
      <c r="T32" s="299"/>
      <c r="U32" s="300"/>
      <c r="V32" s="299"/>
      <c r="W32" s="301"/>
      <c r="X32" s="5"/>
    </row>
    <row r="33" spans="1:24" ht="15.6" x14ac:dyDescent="0.3">
      <c r="A33" s="287"/>
      <c r="B33" s="295" t="s">
        <v>134</v>
      </c>
      <c r="C33" s="298"/>
      <c r="D33" s="307">
        <f>D37*D31</f>
        <v>1061758.3500000001</v>
      </c>
      <c r="E33" s="302"/>
      <c r="F33" s="305">
        <f>F37*F31</f>
        <v>88479.95</v>
      </c>
      <c r="G33" s="305"/>
      <c r="H33" s="308">
        <f>H31*H37</f>
        <v>174128.5416</v>
      </c>
      <c r="I33" s="308"/>
      <c r="J33" s="307">
        <f>J37*J31</f>
        <v>283135.56</v>
      </c>
      <c r="K33" s="305"/>
      <c r="L33" s="305">
        <f>L31*L37</f>
        <v>51900</v>
      </c>
      <c r="M33" s="305"/>
      <c r="N33" s="308">
        <f>N31*N37</f>
        <v>88800</v>
      </c>
      <c r="O33" s="305"/>
      <c r="P33" s="305">
        <f>P31*P37</f>
        <v>20000</v>
      </c>
      <c r="Q33" s="305"/>
      <c r="R33" s="308">
        <f>R31*R37</f>
        <v>135500</v>
      </c>
      <c r="S33" s="299"/>
      <c r="T33" s="299"/>
      <c r="U33" s="300"/>
      <c r="V33" s="299"/>
      <c r="W33" s="301"/>
      <c r="X33" s="5"/>
    </row>
    <row r="34" spans="1:24" ht="15.6" x14ac:dyDescent="0.3">
      <c r="A34" s="292"/>
      <c r="B34" s="288" t="s">
        <v>296</v>
      </c>
      <c r="C34" s="302"/>
      <c r="D34" s="299">
        <v>775194</v>
      </c>
      <c r="E34" s="298"/>
      <c r="F34" s="299">
        <v>125000</v>
      </c>
      <c r="G34" s="299"/>
      <c r="H34" s="299">
        <v>168148</v>
      </c>
      <c r="I34" s="299"/>
      <c r="J34" s="299">
        <v>206718</v>
      </c>
      <c r="K34" s="299"/>
      <c r="L34" s="299">
        <v>51900</v>
      </c>
      <c r="M34" s="299"/>
      <c r="N34" s="299">
        <v>60697</v>
      </c>
      <c r="O34" s="299"/>
      <c r="P34" s="299">
        <v>20000</v>
      </c>
      <c r="Q34" s="299"/>
      <c r="R34" s="299">
        <v>92618</v>
      </c>
      <c r="S34" s="305"/>
      <c r="T34" s="305"/>
      <c r="U34" s="306"/>
      <c r="V34" s="299">
        <f>SUM(C34:R34)</f>
        <v>1500275</v>
      </c>
      <c r="W34" s="301"/>
      <c r="X34" s="5"/>
    </row>
    <row r="35" spans="1:24" ht="15.6" x14ac:dyDescent="0.3">
      <c r="A35" s="292"/>
      <c r="B35" s="288" t="s">
        <v>297</v>
      </c>
      <c r="C35" s="302"/>
      <c r="D35" s="299">
        <f>D34*D38</f>
        <v>552350.76376620005</v>
      </c>
      <c r="E35" s="298"/>
      <c r="F35" s="299">
        <f>F34*F38</f>
        <v>89066.625</v>
      </c>
      <c r="G35" s="299"/>
      <c r="H35" s="299">
        <f>H34*H38</f>
        <v>119810.998884</v>
      </c>
      <c r="I35" s="299"/>
      <c r="J35" s="299">
        <f>J34*J38</f>
        <v>147293.2519914</v>
      </c>
      <c r="K35" s="299"/>
      <c r="L35" s="299">
        <f>+L34</f>
        <v>51900</v>
      </c>
      <c r="M35" s="299"/>
      <c r="N35" s="299">
        <f>+N34</f>
        <v>60697</v>
      </c>
      <c r="O35" s="299"/>
      <c r="P35" s="299">
        <f>+P34</f>
        <v>20000</v>
      </c>
      <c r="Q35" s="299"/>
      <c r="R35" s="299">
        <f>+R34</f>
        <v>92618</v>
      </c>
      <c r="S35" s="299"/>
      <c r="T35" s="299"/>
      <c r="U35" s="300"/>
      <c r="V35" s="299">
        <f>SUM(C35:R35)</f>
        <v>1133736.6396416002</v>
      </c>
      <c r="W35" s="301"/>
      <c r="X35" s="5"/>
    </row>
    <row r="36" spans="1:24" ht="15.6" x14ac:dyDescent="0.3">
      <c r="A36" s="292"/>
      <c r="B36" s="295" t="s">
        <v>298</v>
      </c>
      <c r="C36" s="302"/>
      <c r="D36" s="305">
        <f>D34*D37</f>
        <v>548712.46824660001</v>
      </c>
      <c r="E36" s="302"/>
      <c r="F36" s="305">
        <f>F34*F37</f>
        <v>88479.95</v>
      </c>
      <c r="G36" s="305"/>
      <c r="H36" s="305">
        <f>H34*H37</f>
        <v>119021.81306080001</v>
      </c>
      <c r="I36" s="305"/>
      <c r="J36" s="305">
        <f>J34*J37</f>
        <v>146323.0417302</v>
      </c>
      <c r="K36" s="305"/>
      <c r="L36" s="305">
        <f>L34*L37</f>
        <v>51900</v>
      </c>
      <c r="M36" s="305"/>
      <c r="N36" s="305">
        <f>N34*N37</f>
        <v>60697</v>
      </c>
      <c r="O36" s="305"/>
      <c r="P36" s="305">
        <f>P34*P37</f>
        <v>20000</v>
      </c>
      <c r="Q36" s="305"/>
      <c r="R36" s="305">
        <f>R34*R37</f>
        <v>92618</v>
      </c>
      <c r="S36" s="328"/>
      <c r="T36" s="328"/>
      <c r="U36" s="300"/>
      <c r="V36" s="305">
        <f>SUM(C36:R36)</f>
        <v>1127752.2730375999</v>
      </c>
      <c r="W36" s="301"/>
      <c r="X36" s="5"/>
    </row>
    <row r="37" spans="1:24" ht="15.6" x14ac:dyDescent="0.3">
      <c r="A37" s="287"/>
      <c r="B37" s="313" t="s">
        <v>130</v>
      </c>
      <c r="C37" s="314"/>
      <c r="D37" s="315">
        <v>0.70783890000000005</v>
      </c>
      <c r="E37" s="315"/>
      <c r="F37" s="315">
        <v>0.70783960000000001</v>
      </c>
      <c r="G37" s="315"/>
      <c r="H37" s="315">
        <v>0.70783960000000001</v>
      </c>
      <c r="I37" s="315"/>
      <c r="J37" s="315">
        <v>0.70783890000000005</v>
      </c>
      <c r="K37" s="315"/>
      <c r="L37" s="315">
        <v>1</v>
      </c>
      <c r="M37" s="315"/>
      <c r="N37" s="315">
        <v>1</v>
      </c>
      <c r="O37" s="315"/>
      <c r="P37" s="315">
        <v>1</v>
      </c>
      <c r="Q37" s="315"/>
      <c r="R37" s="315">
        <v>1</v>
      </c>
      <c r="S37" s="316"/>
      <c r="T37" s="316"/>
      <c r="U37" s="317"/>
      <c r="V37" s="317"/>
      <c r="W37" s="318"/>
      <c r="X37" s="5"/>
    </row>
    <row r="38" spans="1:24" ht="15.6" x14ac:dyDescent="0.3">
      <c r="A38" s="287"/>
      <c r="B38" s="313" t="s">
        <v>131</v>
      </c>
      <c r="C38" s="314"/>
      <c r="D38" s="315">
        <v>0.71253230000000001</v>
      </c>
      <c r="E38" s="315"/>
      <c r="F38" s="315">
        <v>0.71253299999999997</v>
      </c>
      <c r="G38" s="315"/>
      <c r="H38" s="315">
        <v>0.71253299999999997</v>
      </c>
      <c r="I38" s="315"/>
      <c r="J38" s="315">
        <v>0.71253230000000001</v>
      </c>
      <c r="K38" s="315"/>
      <c r="L38" s="315">
        <v>1</v>
      </c>
      <c r="M38" s="315"/>
      <c r="N38" s="315">
        <v>1</v>
      </c>
      <c r="O38" s="315"/>
      <c r="P38" s="315">
        <v>1</v>
      </c>
      <c r="Q38" s="315"/>
      <c r="R38" s="315">
        <v>1</v>
      </c>
      <c r="S38" s="319"/>
      <c r="T38" s="320"/>
      <c r="U38" s="317"/>
      <c r="V38" s="319"/>
      <c r="W38" s="318"/>
      <c r="X38" s="5"/>
    </row>
    <row r="39" spans="1:24" ht="15.6" x14ac:dyDescent="0.3">
      <c r="A39" s="287"/>
      <c r="B39" s="288" t="s">
        <v>11</v>
      </c>
      <c r="C39" s="288"/>
      <c r="D39" s="296" t="s">
        <v>285</v>
      </c>
      <c r="E39" s="288"/>
      <c r="F39" s="296" t="s">
        <v>258</v>
      </c>
      <c r="G39" s="296"/>
      <c r="H39" s="296" t="s">
        <v>258</v>
      </c>
      <c r="I39" s="296"/>
      <c r="J39" s="296" t="s">
        <v>258</v>
      </c>
      <c r="K39" s="296"/>
      <c r="L39" s="296" t="s">
        <v>232</v>
      </c>
      <c r="M39" s="296"/>
      <c r="N39" s="296" t="s">
        <v>232</v>
      </c>
      <c r="O39" s="296"/>
      <c r="P39" s="296" t="s">
        <v>233</v>
      </c>
      <c r="Q39" s="296"/>
      <c r="R39" s="296" t="s">
        <v>233</v>
      </c>
      <c r="S39" s="321"/>
      <c r="T39" s="322"/>
      <c r="U39" s="290"/>
      <c r="V39" s="290"/>
      <c r="W39" s="291"/>
      <c r="X39" s="5"/>
    </row>
    <row r="40" spans="1:24" ht="15.6" x14ac:dyDescent="0.3">
      <c r="A40" s="287"/>
      <c r="B40" s="288" t="s">
        <v>12</v>
      </c>
      <c r="C40" s="288"/>
      <c r="D40" s="322">
        <v>3.4849999999999998E-3</v>
      </c>
      <c r="E40" s="288"/>
      <c r="F40" s="322">
        <v>1.1613099999999999E-2</v>
      </c>
      <c r="G40" s="321"/>
      <c r="H40" s="322">
        <v>1.5259999999999999E-2</v>
      </c>
      <c r="I40" s="322"/>
      <c r="J40" s="322">
        <v>6.4625000000000004E-3</v>
      </c>
      <c r="K40" s="321"/>
      <c r="L40" s="322">
        <v>1.24131E-2</v>
      </c>
      <c r="M40" s="321"/>
      <c r="N40" s="322">
        <v>1.6060000000000001E-2</v>
      </c>
      <c r="O40" s="321"/>
      <c r="P40" s="322">
        <v>1.44131E-2</v>
      </c>
      <c r="Q40" s="321"/>
      <c r="R40" s="322">
        <v>1.806E-2</v>
      </c>
      <c r="S40" s="321"/>
      <c r="T40" s="322"/>
      <c r="U40" s="290"/>
      <c r="V40" s="296"/>
      <c r="W40" s="291"/>
      <c r="X40" s="5"/>
    </row>
    <row r="41" spans="1:24" ht="15.6" x14ac:dyDescent="0.3">
      <c r="A41" s="287"/>
      <c r="B41" s="288" t="s">
        <v>13</v>
      </c>
      <c r="C41" s="288"/>
      <c r="D41" s="322">
        <v>3.49E-3</v>
      </c>
      <c r="E41" s="288"/>
      <c r="F41" s="322">
        <v>1.0178100000000001E-2</v>
      </c>
      <c r="G41" s="321"/>
      <c r="H41" s="322">
        <v>1.6279999999999999E-2</v>
      </c>
      <c r="I41" s="322"/>
      <c r="J41" s="322">
        <v>4.4711000000000004E-3</v>
      </c>
      <c r="K41" s="321"/>
      <c r="L41" s="322">
        <v>1.0978099999999999E-2</v>
      </c>
      <c r="M41" s="321"/>
      <c r="N41" s="322">
        <v>1.7080000000000001E-2</v>
      </c>
      <c r="O41" s="321"/>
      <c r="P41" s="322">
        <v>1.2978099999999999E-2</v>
      </c>
      <c r="Q41" s="321"/>
      <c r="R41" s="322">
        <v>1.908E-2</v>
      </c>
      <c r="S41" s="321"/>
      <c r="T41" s="322"/>
      <c r="U41" s="290"/>
      <c r="V41" s="321" t="s">
        <v>193</v>
      </c>
      <c r="W41" s="291"/>
      <c r="X41" s="5"/>
    </row>
    <row r="42" spans="1:24" ht="15.6" x14ac:dyDescent="0.3">
      <c r="A42" s="287"/>
      <c r="B42" s="288" t="s">
        <v>299</v>
      </c>
      <c r="C42" s="288"/>
      <c r="D42" s="296" t="s">
        <v>286</v>
      </c>
      <c r="E42" s="288"/>
      <c r="F42" s="296" t="s">
        <v>258</v>
      </c>
      <c r="G42" s="296"/>
      <c r="H42" s="296" t="s">
        <v>259</v>
      </c>
      <c r="I42" s="296"/>
      <c r="J42" s="296" t="s">
        <v>260</v>
      </c>
      <c r="K42" s="296"/>
      <c r="L42" s="296" t="s">
        <v>232</v>
      </c>
      <c r="M42" s="296"/>
      <c r="N42" s="296" t="s">
        <v>235</v>
      </c>
      <c r="O42" s="296"/>
      <c r="P42" s="296" t="s">
        <v>233</v>
      </c>
      <c r="Q42" s="296"/>
      <c r="R42" s="296" t="s">
        <v>261</v>
      </c>
      <c r="S42" s="321"/>
      <c r="T42" s="322"/>
      <c r="U42" s="290"/>
      <c r="V42" s="290"/>
      <c r="W42" s="291"/>
      <c r="X42" s="5"/>
    </row>
    <row r="43" spans="1:24" ht="15.6" x14ac:dyDescent="0.3">
      <c r="A43" s="287"/>
      <c r="B43" s="288" t="s">
        <v>300</v>
      </c>
      <c r="C43" s="323"/>
      <c r="D43" s="322">
        <v>1.19521E-2</v>
      </c>
      <c r="E43" s="322"/>
      <c r="F43" s="322">
        <f>+F40</f>
        <v>1.1613099999999999E-2</v>
      </c>
      <c r="G43" s="322"/>
      <c r="H43" s="322">
        <v>1.1753100000000001E-2</v>
      </c>
      <c r="I43" s="322"/>
      <c r="J43" s="322">
        <v>1.19761E-2</v>
      </c>
      <c r="K43" s="322"/>
      <c r="L43" s="322">
        <f>+L40</f>
        <v>1.24131E-2</v>
      </c>
      <c r="M43" s="322"/>
      <c r="N43" s="322">
        <v>1.2709099999999999E-2</v>
      </c>
      <c r="O43" s="322"/>
      <c r="P43" s="322">
        <f>+P40</f>
        <v>1.44131E-2</v>
      </c>
      <c r="Q43" s="321"/>
      <c r="R43" s="322">
        <v>1.49461E-2</v>
      </c>
      <c r="S43" s="296"/>
      <c r="T43" s="296"/>
      <c r="U43" s="290"/>
      <c r="V43" s="321">
        <f>SUMPRODUCT(D43:R43,D35:R35)/V35</f>
        <v>1.2257189270559538E-2</v>
      </c>
      <c r="W43" s="291"/>
      <c r="X43" s="5"/>
    </row>
    <row r="44" spans="1:24" ht="15.6" x14ac:dyDescent="0.3">
      <c r="A44" s="287"/>
      <c r="B44" s="288" t="s">
        <v>301</v>
      </c>
      <c r="C44" s="323"/>
      <c r="D44" s="322">
        <v>1.05171E-2</v>
      </c>
      <c r="E44" s="322"/>
      <c r="F44" s="322">
        <f>+F41</f>
        <v>1.0178100000000001E-2</v>
      </c>
      <c r="G44" s="322"/>
      <c r="H44" s="322">
        <v>1.03181E-2</v>
      </c>
      <c r="I44" s="322"/>
      <c r="J44" s="322">
        <v>1.0541099999999999E-2</v>
      </c>
      <c r="K44" s="322"/>
      <c r="L44" s="322">
        <f>+L41</f>
        <v>1.0978099999999999E-2</v>
      </c>
      <c r="M44" s="322"/>
      <c r="N44" s="322">
        <v>1.12741E-2</v>
      </c>
      <c r="O44" s="322"/>
      <c r="P44" s="322">
        <f>+P41</f>
        <v>1.2978099999999999E-2</v>
      </c>
      <c r="Q44" s="321"/>
      <c r="R44" s="322">
        <v>1.35111E-2</v>
      </c>
      <c r="S44" s="296"/>
      <c r="T44" s="296"/>
      <c r="U44" s="290"/>
      <c r="V44" s="290"/>
      <c r="W44" s="291"/>
      <c r="X44" s="5"/>
    </row>
    <row r="45" spans="1:24" ht="15.6" x14ac:dyDescent="0.3">
      <c r="A45" s="287"/>
      <c r="B45" s="288" t="s">
        <v>14</v>
      </c>
      <c r="C45" s="288"/>
      <c r="D45" s="323">
        <v>40617</v>
      </c>
      <c r="E45" s="323"/>
      <c r="F45" s="323">
        <v>40617</v>
      </c>
      <c r="G45" s="323"/>
      <c r="H45" s="323">
        <v>40617</v>
      </c>
      <c r="I45" s="323"/>
      <c r="J45" s="323">
        <v>40617</v>
      </c>
      <c r="K45" s="323"/>
      <c r="L45" s="323">
        <v>40617</v>
      </c>
      <c r="M45" s="323"/>
      <c r="N45" s="323">
        <v>40617</v>
      </c>
      <c r="O45" s="323"/>
      <c r="P45" s="323">
        <v>40617</v>
      </c>
      <c r="Q45" s="323"/>
      <c r="R45" s="323">
        <v>40617</v>
      </c>
      <c r="S45" s="296"/>
      <c r="T45" s="296"/>
      <c r="U45" s="290"/>
      <c r="V45" s="290"/>
      <c r="W45" s="291"/>
      <c r="X45" s="5"/>
    </row>
    <row r="46" spans="1:24" ht="15.6" x14ac:dyDescent="0.3">
      <c r="A46" s="287"/>
      <c r="B46" s="288" t="s">
        <v>15</v>
      </c>
      <c r="C46" s="288"/>
      <c r="D46" s="323">
        <v>40983</v>
      </c>
      <c r="E46" s="323"/>
      <c r="F46" s="323">
        <v>40983</v>
      </c>
      <c r="G46" s="323"/>
      <c r="H46" s="323">
        <v>40983</v>
      </c>
      <c r="I46" s="323"/>
      <c r="J46" s="323">
        <v>40983</v>
      </c>
      <c r="K46" s="296"/>
      <c r="L46" s="323">
        <v>40983</v>
      </c>
      <c r="M46" s="296"/>
      <c r="N46" s="323">
        <v>40983</v>
      </c>
      <c r="O46" s="296"/>
      <c r="P46" s="323">
        <v>40983</v>
      </c>
      <c r="Q46" s="296"/>
      <c r="R46" s="323">
        <v>40983</v>
      </c>
      <c r="S46" s="296"/>
      <c r="T46" s="296"/>
      <c r="U46" s="290"/>
      <c r="V46" s="290"/>
      <c r="W46" s="291"/>
      <c r="X46" s="5"/>
    </row>
    <row r="47" spans="1:24" ht="15.6" x14ac:dyDescent="0.3">
      <c r="A47" s="287"/>
      <c r="B47" s="288" t="s">
        <v>119</v>
      </c>
      <c r="C47" s="288"/>
      <c r="D47" s="296" t="s">
        <v>231</v>
      </c>
      <c r="E47" s="288"/>
      <c r="F47" s="296" t="s">
        <v>231</v>
      </c>
      <c r="G47" s="296"/>
      <c r="H47" s="296" t="s">
        <v>231</v>
      </c>
      <c r="I47" s="296"/>
      <c r="J47" s="296" t="s">
        <v>231</v>
      </c>
      <c r="K47" s="296"/>
      <c r="L47" s="296" t="s">
        <v>265</v>
      </c>
      <c r="M47" s="296"/>
      <c r="N47" s="296" t="s">
        <v>265</v>
      </c>
      <c r="O47" s="296"/>
      <c r="P47" s="296" t="s">
        <v>266</v>
      </c>
      <c r="Q47" s="296"/>
      <c r="R47" s="296" t="s">
        <v>266</v>
      </c>
      <c r="S47" s="325"/>
      <c r="T47" s="325"/>
      <c r="U47" s="325"/>
      <c r="V47" s="325"/>
      <c r="W47" s="291"/>
      <c r="X47" s="5"/>
    </row>
    <row r="48" spans="1:24" ht="15.6" x14ac:dyDescent="0.3">
      <c r="A48" s="287"/>
      <c r="B48" s="288" t="s">
        <v>302</v>
      </c>
      <c r="C48" s="288"/>
      <c r="D48" s="296" t="s">
        <v>200</v>
      </c>
      <c r="E48" s="288"/>
      <c r="F48" s="296" t="s">
        <v>231</v>
      </c>
      <c r="G48" s="296"/>
      <c r="H48" s="296" t="s">
        <v>262</v>
      </c>
      <c r="I48" s="296"/>
      <c r="J48" s="296" t="s">
        <v>263</v>
      </c>
      <c r="K48" s="296"/>
      <c r="L48" s="296" t="s">
        <v>265</v>
      </c>
      <c r="M48" s="296"/>
      <c r="N48" s="296" t="s">
        <v>234</v>
      </c>
      <c r="O48" s="296"/>
      <c r="P48" s="296" t="s">
        <v>266</v>
      </c>
      <c r="Q48" s="296"/>
      <c r="R48" s="296" t="s">
        <v>264</v>
      </c>
      <c r="S48" s="288"/>
      <c r="T48" s="288"/>
      <c r="U48" s="288"/>
      <c r="V48" s="321"/>
      <c r="W48" s="291"/>
      <c r="X48" s="5"/>
    </row>
    <row r="49" spans="1:25" ht="15.6" x14ac:dyDescent="0.3">
      <c r="A49" s="287"/>
      <c r="B49" s="288"/>
      <c r="C49" s="288"/>
      <c r="D49" s="296"/>
      <c r="E49" s="288"/>
      <c r="F49" s="296"/>
      <c r="G49" s="296"/>
      <c r="H49" s="296"/>
      <c r="I49" s="296"/>
      <c r="J49" s="296"/>
      <c r="K49" s="296"/>
      <c r="L49" s="296"/>
      <c r="M49" s="296"/>
      <c r="N49" s="296"/>
      <c r="O49" s="296"/>
      <c r="P49" s="296"/>
      <c r="Q49" s="296"/>
      <c r="R49" s="296"/>
      <c r="S49" s="288"/>
      <c r="T49" s="288"/>
      <c r="U49" s="288"/>
      <c r="V49" s="321" t="s">
        <v>193</v>
      </c>
      <c r="W49" s="291"/>
      <c r="X49" s="5"/>
    </row>
    <row r="50" spans="1:25" ht="15.6" x14ac:dyDescent="0.3">
      <c r="A50" s="287"/>
      <c r="B50" s="288" t="s">
        <v>169</v>
      </c>
      <c r="C50" s="288"/>
      <c r="D50" s="296"/>
      <c r="E50" s="288"/>
      <c r="F50" s="296"/>
      <c r="G50" s="296"/>
      <c r="H50" s="296"/>
      <c r="I50" s="296"/>
      <c r="J50" s="296"/>
      <c r="K50" s="296"/>
      <c r="L50" s="296"/>
      <c r="M50" s="296"/>
      <c r="N50" s="296"/>
      <c r="O50" s="296"/>
      <c r="P50" s="296"/>
      <c r="Q50" s="296"/>
      <c r="R50" s="296"/>
      <c r="S50" s="288"/>
      <c r="T50" s="288"/>
      <c r="U50" s="288"/>
      <c r="V50" s="321">
        <f>SUM(L34:R34)/SUM(D34:J34)</f>
        <v>0.17663090364375009</v>
      </c>
      <c r="W50" s="291"/>
      <c r="X50" s="5"/>
    </row>
    <row r="51" spans="1:25" ht="15.6" x14ac:dyDescent="0.3">
      <c r="A51" s="287"/>
      <c r="B51" s="288" t="s">
        <v>170</v>
      </c>
      <c r="C51" s="288"/>
      <c r="D51" s="288"/>
      <c r="E51" s="288"/>
      <c r="F51" s="326"/>
      <c r="G51" s="288"/>
      <c r="H51" s="288"/>
      <c r="I51" s="288"/>
      <c r="J51" s="288"/>
      <c r="K51" s="288"/>
      <c r="L51" s="288"/>
      <c r="M51" s="288"/>
      <c r="N51" s="288"/>
      <c r="O51" s="288"/>
      <c r="P51" s="288"/>
      <c r="Q51" s="288"/>
      <c r="R51" s="288"/>
      <c r="S51" s="288"/>
      <c r="T51" s="288"/>
      <c r="U51" s="288"/>
      <c r="V51" s="321">
        <f>SUM(L36:R36)/SUM(D36:J36)</f>
        <v>0.24953540061787288</v>
      </c>
      <c r="W51" s="291"/>
      <c r="X51" s="5"/>
    </row>
    <row r="52" spans="1:25" ht="15.6" x14ac:dyDescent="0.3">
      <c r="A52" s="287"/>
      <c r="B52" s="288" t="s">
        <v>171</v>
      </c>
      <c r="C52" s="288"/>
      <c r="D52" s="288"/>
      <c r="E52" s="288"/>
      <c r="F52" s="288"/>
      <c r="G52" s="288"/>
      <c r="H52" s="288"/>
      <c r="I52" s="288"/>
      <c r="J52" s="288"/>
      <c r="K52" s="288"/>
      <c r="L52" s="288"/>
      <c r="M52" s="288"/>
      <c r="N52" s="288"/>
      <c r="O52" s="288"/>
      <c r="P52" s="288"/>
      <c r="Q52" s="288"/>
      <c r="R52" s="288"/>
      <c r="S52" s="288"/>
      <c r="T52" s="296"/>
      <c r="U52" s="296"/>
      <c r="V52" s="299" t="s">
        <v>276</v>
      </c>
      <c r="W52" s="291"/>
      <c r="X52" s="5"/>
    </row>
    <row r="53" spans="1:25" ht="15.6" x14ac:dyDescent="0.3">
      <c r="A53" s="287"/>
      <c r="B53" s="288"/>
      <c r="C53" s="288"/>
      <c r="D53" s="288"/>
      <c r="E53" s="288"/>
      <c r="F53" s="288"/>
      <c r="G53" s="288"/>
      <c r="H53" s="288"/>
      <c r="I53" s="288"/>
      <c r="J53" s="288"/>
      <c r="K53" s="288"/>
      <c r="L53" s="288"/>
      <c r="M53" s="288"/>
      <c r="N53" s="288"/>
      <c r="O53" s="288"/>
      <c r="P53" s="288"/>
      <c r="Q53" s="288"/>
      <c r="R53" s="288"/>
      <c r="S53" s="288"/>
      <c r="T53" s="288"/>
      <c r="U53" s="288"/>
      <c r="V53" s="327"/>
      <c r="W53" s="291"/>
      <c r="X53" s="5"/>
    </row>
    <row r="54" spans="1:25" ht="15.6" x14ac:dyDescent="0.3">
      <c r="A54" s="287"/>
      <c r="B54" s="288" t="s">
        <v>202</v>
      </c>
      <c r="C54" s="288"/>
      <c r="D54" s="288"/>
      <c r="E54" s="288"/>
      <c r="F54" s="288"/>
      <c r="G54" s="288"/>
      <c r="H54" s="288"/>
      <c r="I54" s="288"/>
      <c r="J54" s="288"/>
      <c r="K54" s="288"/>
      <c r="L54" s="288"/>
      <c r="M54" s="288"/>
      <c r="N54" s="288"/>
      <c r="O54" s="288"/>
      <c r="P54" s="288"/>
      <c r="Q54" s="288"/>
      <c r="R54" s="288"/>
      <c r="S54" s="288"/>
      <c r="T54" s="288"/>
      <c r="U54" s="288"/>
      <c r="V54" s="328" t="s">
        <v>203</v>
      </c>
      <c r="W54" s="291"/>
      <c r="X54" s="5"/>
    </row>
    <row r="55" spans="1:25" ht="15.6" x14ac:dyDescent="0.3">
      <c r="A55" s="287"/>
      <c r="B55" s="288" t="s">
        <v>280</v>
      </c>
      <c r="C55" s="288"/>
      <c r="D55" s="288"/>
      <c r="E55" s="288"/>
      <c r="F55" s="288"/>
      <c r="G55" s="288"/>
      <c r="H55" s="288"/>
      <c r="I55" s="288"/>
      <c r="J55" s="288"/>
      <c r="K55" s="288"/>
      <c r="L55" s="288"/>
      <c r="M55" s="288"/>
      <c r="N55" s="288"/>
      <c r="O55" s="288"/>
      <c r="P55" s="288"/>
      <c r="Q55" s="288"/>
      <c r="R55" s="288"/>
      <c r="S55" s="288"/>
      <c r="T55" s="296"/>
      <c r="U55" s="296"/>
      <c r="V55" s="329" t="s">
        <v>111</v>
      </c>
      <c r="W55" s="291"/>
      <c r="X55" s="5"/>
    </row>
    <row r="56" spans="1:25" ht="15.6" x14ac:dyDescent="0.3">
      <c r="A56" s="287"/>
      <c r="B56" s="295" t="s">
        <v>201</v>
      </c>
      <c r="C56" s="295"/>
      <c r="D56" s="295"/>
      <c r="E56" s="295"/>
      <c r="F56" s="295"/>
      <c r="G56" s="295"/>
      <c r="H56" s="295"/>
      <c r="I56" s="295"/>
      <c r="J56" s="295"/>
      <c r="K56" s="295"/>
      <c r="L56" s="295"/>
      <c r="M56" s="295"/>
      <c r="N56" s="295"/>
      <c r="O56" s="295"/>
      <c r="P56" s="295"/>
      <c r="Q56" s="295"/>
      <c r="R56" s="295"/>
      <c r="S56" s="295"/>
      <c r="T56" s="330"/>
      <c r="U56" s="330"/>
      <c r="V56" s="331">
        <v>40983</v>
      </c>
      <c r="W56" s="291"/>
      <c r="X56" s="5"/>
    </row>
    <row r="57" spans="1:25" ht="15.6" x14ac:dyDescent="0.3">
      <c r="A57" s="287"/>
      <c r="B57" s="288" t="s">
        <v>121</v>
      </c>
      <c r="C57" s="288"/>
      <c r="D57" s="288"/>
      <c r="E57" s="288"/>
      <c r="F57" s="288"/>
      <c r="G57" s="288"/>
      <c r="H57" s="332"/>
      <c r="I57" s="332"/>
      <c r="J57" s="332"/>
      <c r="K57" s="332"/>
      <c r="L57" s="332"/>
      <c r="M57" s="332"/>
      <c r="N57" s="332"/>
      <c r="O57" s="332"/>
      <c r="P57" s="332"/>
      <c r="Q57" s="332"/>
      <c r="R57" s="288">
        <f>+V57-T57+1</f>
        <v>91</v>
      </c>
      <c r="S57" s="332"/>
      <c r="T57" s="333">
        <v>40801</v>
      </c>
      <c r="U57" s="334"/>
      <c r="V57" s="333">
        <v>40891</v>
      </c>
      <c r="W57" s="291"/>
      <c r="X57" s="5"/>
    </row>
    <row r="58" spans="1:25" ht="15.6" x14ac:dyDescent="0.3">
      <c r="A58" s="287"/>
      <c r="B58" s="288" t="s">
        <v>122</v>
      </c>
      <c r="C58" s="288"/>
      <c r="D58" s="288"/>
      <c r="E58" s="288"/>
      <c r="F58" s="288"/>
      <c r="G58" s="288"/>
      <c r="H58" s="288"/>
      <c r="I58" s="288"/>
      <c r="J58" s="288"/>
      <c r="K58" s="288"/>
      <c r="L58" s="288"/>
      <c r="M58" s="288"/>
      <c r="N58" s="288"/>
      <c r="O58" s="288"/>
      <c r="P58" s="288"/>
      <c r="Q58" s="288"/>
      <c r="R58" s="288">
        <f>+V58-T58+1</f>
        <v>91</v>
      </c>
      <c r="S58" s="288"/>
      <c r="T58" s="333">
        <v>40892</v>
      </c>
      <c r="U58" s="334"/>
      <c r="V58" s="333">
        <v>40982</v>
      </c>
      <c r="W58" s="291"/>
      <c r="X58" s="5"/>
    </row>
    <row r="59" spans="1:25" ht="15.6" x14ac:dyDescent="0.3">
      <c r="A59" s="287"/>
      <c r="B59" s="288" t="s">
        <v>229</v>
      </c>
      <c r="C59" s="288"/>
      <c r="D59" s="288"/>
      <c r="E59" s="288"/>
      <c r="F59" s="288"/>
      <c r="G59" s="288"/>
      <c r="H59" s="288"/>
      <c r="I59" s="288"/>
      <c r="J59" s="288"/>
      <c r="K59" s="288"/>
      <c r="L59" s="288"/>
      <c r="M59" s="288"/>
      <c r="N59" s="288"/>
      <c r="O59" s="288"/>
      <c r="P59" s="288"/>
      <c r="Q59" s="288"/>
      <c r="R59" s="288"/>
      <c r="S59" s="288"/>
      <c r="T59" s="333"/>
      <c r="U59" s="334"/>
      <c r="V59" s="333" t="s">
        <v>120</v>
      </c>
      <c r="W59" s="291"/>
      <c r="X59" s="5"/>
    </row>
    <row r="60" spans="1:25" ht="15.6" x14ac:dyDescent="0.3">
      <c r="A60" s="287"/>
      <c r="B60" s="288" t="s">
        <v>228</v>
      </c>
      <c r="C60" s="288"/>
      <c r="D60" s="288"/>
      <c r="E60" s="288"/>
      <c r="F60" s="288"/>
      <c r="G60" s="288"/>
      <c r="H60" s="288"/>
      <c r="I60" s="288"/>
      <c r="J60" s="288"/>
      <c r="K60" s="288"/>
      <c r="L60" s="288"/>
      <c r="M60" s="288"/>
      <c r="N60" s="288"/>
      <c r="O60" s="288"/>
      <c r="P60" s="288"/>
      <c r="Q60" s="288"/>
      <c r="R60" s="288"/>
      <c r="S60" s="288"/>
      <c r="T60" s="333"/>
      <c r="U60" s="334"/>
      <c r="V60" s="333" t="s">
        <v>154</v>
      </c>
      <c r="W60" s="291"/>
      <c r="X60" s="5"/>
      <c r="Y60" s="134"/>
    </row>
    <row r="61" spans="1:25" ht="15.6" x14ac:dyDescent="0.3">
      <c r="A61" s="287"/>
      <c r="B61" s="288" t="s">
        <v>16</v>
      </c>
      <c r="C61" s="288"/>
      <c r="D61" s="288"/>
      <c r="E61" s="288"/>
      <c r="F61" s="288"/>
      <c r="G61" s="288"/>
      <c r="H61" s="288"/>
      <c r="I61" s="288"/>
      <c r="J61" s="288"/>
      <c r="K61" s="288"/>
      <c r="L61" s="288"/>
      <c r="M61" s="288"/>
      <c r="N61" s="288"/>
      <c r="O61" s="288"/>
      <c r="P61" s="288"/>
      <c r="Q61" s="288"/>
      <c r="R61" s="288"/>
      <c r="S61" s="288"/>
      <c r="T61" s="333"/>
      <c r="U61" s="334"/>
      <c r="V61" s="333">
        <v>40969</v>
      </c>
      <c r="W61" s="291"/>
      <c r="X61" s="5"/>
    </row>
    <row r="62" spans="1:25" ht="15.6" x14ac:dyDescent="0.3">
      <c r="A62" s="183"/>
      <c r="B62" s="284"/>
      <c r="C62" s="284"/>
      <c r="D62" s="284"/>
      <c r="E62" s="284"/>
      <c r="F62" s="284"/>
      <c r="G62" s="284"/>
      <c r="H62" s="284"/>
      <c r="I62" s="284"/>
      <c r="J62" s="284"/>
      <c r="K62" s="284"/>
      <c r="L62" s="284"/>
      <c r="M62" s="284"/>
      <c r="N62" s="284"/>
      <c r="O62" s="284"/>
      <c r="P62" s="284"/>
      <c r="Q62" s="284"/>
      <c r="R62" s="284"/>
      <c r="S62" s="284"/>
      <c r="T62" s="285"/>
      <c r="U62" s="286"/>
      <c r="V62" s="285"/>
      <c r="W62" s="284"/>
      <c r="X62" s="5"/>
    </row>
    <row r="63" spans="1:25" ht="15.6" x14ac:dyDescent="0.3">
      <c r="A63" s="183"/>
      <c r="B63" s="224"/>
      <c r="C63" s="224"/>
      <c r="D63" s="224"/>
      <c r="E63" s="224"/>
      <c r="F63" s="224"/>
      <c r="G63" s="224"/>
      <c r="H63" s="224"/>
      <c r="I63" s="224"/>
      <c r="J63" s="224"/>
      <c r="K63" s="224"/>
      <c r="L63" s="224"/>
      <c r="M63" s="224"/>
      <c r="N63" s="224"/>
      <c r="O63" s="224"/>
      <c r="P63" s="224"/>
      <c r="Q63" s="224"/>
      <c r="R63" s="224"/>
      <c r="S63" s="224"/>
      <c r="T63" s="235"/>
      <c r="U63" s="236"/>
      <c r="V63" s="235"/>
      <c r="W63" s="224"/>
      <c r="X63" s="5"/>
    </row>
    <row r="64" spans="1:25" ht="18" thickBot="1" x14ac:dyDescent="0.35">
      <c r="A64" s="199"/>
      <c r="B64" s="237" t="s">
        <v>316</v>
      </c>
      <c r="C64" s="238"/>
      <c r="D64" s="238"/>
      <c r="E64" s="238"/>
      <c r="F64" s="238"/>
      <c r="G64" s="238"/>
      <c r="H64" s="238"/>
      <c r="I64" s="238"/>
      <c r="J64" s="238"/>
      <c r="K64" s="238"/>
      <c r="L64" s="238"/>
      <c r="M64" s="238"/>
      <c r="N64" s="238"/>
      <c r="O64" s="238"/>
      <c r="P64" s="238"/>
      <c r="Q64" s="238"/>
      <c r="R64" s="238"/>
      <c r="S64" s="238"/>
      <c r="T64" s="238"/>
      <c r="U64" s="238"/>
      <c r="V64" s="239"/>
      <c r="W64" s="240"/>
      <c r="X64" s="5"/>
    </row>
    <row r="65" spans="1:24" ht="15.6" x14ac:dyDescent="0.3">
      <c r="A65" s="262"/>
      <c r="B65" s="399" t="s">
        <v>17</v>
      </c>
      <c r="C65" s="263"/>
      <c r="D65" s="263"/>
      <c r="E65" s="263"/>
      <c r="F65" s="263"/>
      <c r="G65" s="263"/>
      <c r="H65" s="263"/>
      <c r="I65" s="263"/>
      <c r="J65" s="263"/>
      <c r="K65" s="263"/>
      <c r="L65" s="263"/>
      <c r="M65" s="263"/>
      <c r="N65" s="263"/>
      <c r="O65" s="263"/>
      <c r="P65" s="263"/>
      <c r="Q65" s="263"/>
      <c r="R65" s="263"/>
      <c r="S65" s="263"/>
      <c r="T65" s="263"/>
      <c r="U65" s="263"/>
      <c r="V65" s="268"/>
      <c r="W65" s="263"/>
      <c r="X65" s="5"/>
    </row>
    <row r="66" spans="1:24" ht="15.6" x14ac:dyDescent="0.3">
      <c r="A66" s="183"/>
      <c r="B66" s="191"/>
      <c r="C66" s="185"/>
      <c r="D66" s="185"/>
      <c r="E66" s="185"/>
      <c r="F66" s="185"/>
      <c r="G66" s="185"/>
      <c r="H66" s="185"/>
      <c r="I66" s="185"/>
      <c r="J66" s="185"/>
      <c r="K66" s="185"/>
      <c r="L66" s="185"/>
      <c r="M66" s="185"/>
      <c r="N66" s="185"/>
      <c r="O66" s="185"/>
      <c r="P66" s="185"/>
      <c r="Q66" s="185"/>
      <c r="R66" s="185"/>
      <c r="S66" s="185"/>
      <c r="T66" s="185"/>
      <c r="U66" s="185"/>
      <c r="V66" s="201"/>
      <c r="W66" s="185"/>
      <c r="X66" s="5"/>
    </row>
    <row r="67" spans="1:24" ht="46.8" x14ac:dyDescent="0.3">
      <c r="A67" s="183"/>
      <c r="B67" s="202" t="s">
        <v>18</v>
      </c>
      <c r="C67" s="203"/>
      <c r="D67" s="203"/>
      <c r="E67" s="203"/>
      <c r="F67" s="203"/>
      <c r="G67" s="203"/>
      <c r="H67" s="203"/>
      <c r="I67" s="203"/>
      <c r="J67" s="203"/>
      <c r="K67" s="203"/>
      <c r="L67" s="203" t="s">
        <v>94</v>
      </c>
      <c r="M67" s="203"/>
      <c r="N67" s="203" t="s">
        <v>96</v>
      </c>
      <c r="O67" s="203"/>
      <c r="P67" s="203" t="s">
        <v>98</v>
      </c>
      <c r="Q67" s="203"/>
      <c r="R67" s="203" t="s">
        <v>100</v>
      </c>
      <c r="S67" s="203"/>
      <c r="T67" s="203" t="s">
        <v>106</v>
      </c>
      <c r="U67" s="203"/>
      <c r="V67" s="204" t="s">
        <v>112</v>
      </c>
      <c r="W67" s="205"/>
      <c r="X67" s="5"/>
    </row>
    <row r="68" spans="1:24" ht="15.6" x14ac:dyDescent="0.3">
      <c r="A68" s="287"/>
      <c r="B68" s="288" t="s">
        <v>19</v>
      </c>
      <c r="C68" s="337"/>
      <c r="D68" s="337"/>
      <c r="E68" s="337"/>
      <c r="F68" s="337"/>
      <c r="G68" s="337"/>
      <c r="H68" s="337"/>
      <c r="I68" s="337"/>
      <c r="J68" s="337"/>
      <c r="K68" s="337"/>
      <c r="L68" s="337">
        <v>1158015</v>
      </c>
      <c r="M68" s="337"/>
      <c r="N68" s="338">
        <v>1133737</v>
      </c>
      <c r="O68" s="337"/>
      <c r="P68" s="337">
        <f>5984+53+1</f>
        <v>6038</v>
      </c>
      <c r="Q68" s="337"/>
      <c r="R68" s="337">
        <v>53</v>
      </c>
      <c r="S68" s="337"/>
      <c r="T68" s="337">
        <v>0</v>
      </c>
      <c r="U68" s="337"/>
      <c r="V68" s="338">
        <f>+N68-P68+R68-T68</f>
        <v>1127752</v>
      </c>
      <c r="W68" s="291"/>
      <c r="X68" s="5"/>
    </row>
    <row r="69" spans="1:24" ht="15.6" x14ac:dyDescent="0.3">
      <c r="A69" s="287"/>
      <c r="B69" s="288" t="s">
        <v>20</v>
      </c>
      <c r="C69" s="337"/>
      <c r="D69" s="337"/>
      <c r="E69" s="337"/>
      <c r="F69" s="337"/>
      <c r="G69" s="337"/>
      <c r="H69" s="337"/>
      <c r="I69" s="337"/>
      <c r="J69" s="337"/>
      <c r="K69" s="337"/>
      <c r="L69" s="337">
        <v>15</v>
      </c>
      <c r="M69" s="337"/>
      <c r="N69" s="338">
        <v>0</v>
      </c>
      <c r="O69" s="337"/>
      <c r="P69" s="337">
        <v>0</v>
      </c>
      <c r="Q69" s="337"/>
      <c r="R69" s="337">
        <v>0</v>
      </c>
      <c r="S69" s="337"/>
      <c r="T69" s="337">
        <v>0</v>
      </c>
      <c r="U69" s="337"/>
      <c r="V69" s="338">
        <v>0</v>
      </c>
      <c r="W69" s="291"/>
      <c r="X69" s="5"/>
    </row>
    <row r="70" spans="1:24" ht="15.6" x14ac:dyDescent="0.3">
      <c r="A70" s="287"/>
      <c r="B70" s="288"/>
      <c r="C70" s="337"/>
      <c r="D70" s="337"/>
      <c r="E70" s="337"/>
      <c r="F70" s="337"/>
      <c r="G70" s="337"/>
      <c r="H70" s="337"/>
      <c r="I70" s="337"/>
      <c r="J70" s="337"/>
      <c r="K70" s="337"/>
      <c r="L70" s="337"/>
      <c r="M70" s="337"/>
      <c r="N70" s="338"/>
      <c r="O70" s="337"/>
      <c r="P70" s="337"/>
      <c r="Q70" s="337"/>
      <c r="R70" s="337"/>
      <c r="S70" s="337"/>
      <c r="T70" s="337"/>
      <c r="U70" s="337"/>
      <c r="V70" s="338"/>
      <c r="W70" s="291"/>
      <c r="X70" s="5"/>
    </row>
    <row r="71" spans="1:24" ht="15.6" x14ac:dyDescent="0.3">
      <c r="A71" s="287"/>
      <c r="B71" s="288" t="s">
        <v>21</v>
      </c>
      <c r="C71" s="337"/>
      <c r="D71" s="337"/>
      <c r="E71" s="337"/>
      <c r="F71" s="337"/>
      <c r="G71" s="337"/>
      <c r="H71" s="337"/>
      <c r="I71" s="337"/>
      <c r="J71" s="337"/>
      <c r="K71" s="337"/>
      <c r="L71" s="337">
        <f>SUM(L68:L70)</f>
        <v>1158030</v>
      </c>
      <c r="M71" s="337"/>
      <c r="N71" s="337">
        <f>N68+N69</f>
        <v>1133737</v>
      </c>
      <c r="O71" s="337"/>
      <c r="P71" s="337">
        <f>SUM(P68:P70)</f>
        <v>6038</v>
      </c>
      <c r="Q71" s="337"/>
      <c r="R71" s="337">
        <f>SUM(R68:R70)</f>
        <v>53</v>
      </c>
      <c r="S71" s="337"/>
      <c r="T71" s="337">
        <f>SUM(T68:T70)</f>
        <v>0</v>
      </c>
      <c r="U71" s="337"/>
      <c r="V71" s="337">
        <f>SUM(V68:V70)</f>
        <v>1127752</v>
      </c>
      <c r="W71" s="291"/>
      <c r="X71" s="5"/>
    </row>
    <row r="72" spans="1:24" ht="15.6" x14ac:dyDescent="0.3">
      <c r="A72" s="183"/>
      <c r="B72" s="198"/>
      <c r="C72" s="335"/>
      <c r="D72" s="335"/>
      <c r="E72" s="335"/>
      <c r="F72" s="335"/>
      <c r="G72" s="335"/>
      <c r="H72" s="335"/>
      <c r="I72" s="335"/>
      <c r="J72" s="335"/>
      <c r="K72" s="335"/>
      <c r="L72" s="335"/>
      <c r="M72" s="335"/>
      <c r="N72" s="335"/>
      <c r="O72" s="335"/>
      <c r="P72" s="335"/>
      <c r="Q72" s="335"/>
      <c r="R72" s="335"/>
      <c r="S72" s="335"/>
      <c r="T72" s="335"/>
      <c r="U72" s="335"/>
      <c r="V72" s="336"/>
      <c r="W72" s="198"/>
      <c r="X72" s="5"/>
    </row>
    <row r="73" spans="1:24" ht="15.6" x14ac:dyDescent="0.3">
      <c r="A73" s="183"/>
      <c r="B73" s="187" t="s">
        <v>22</v>
      </c>
      <c r="C73" s="206"/>
      <c r="D73" s="206"/>
      <c r="E73" s="206"/>
      <c r="F73" s="206"/>
      <c r="G73" s="206"/>
      <c r="H73" s="206"/>
      <c r="I73" s="206"/>
      <c r="J73" s="206"/>
      <c r="K73" s="206"/>
      <c r="L73" s="206"/>
      <c r="M73" s="206"/>
      <c r="N73" s="206"/>
      <c r="O73" s="206"/>
      <c r="P73" s="206"/>
      <c r="Q73" s="206"/>
      <c r="R73" s="206"/>
      <c r="S73" s="206"/>
      <c r="T73" s="206"/>
      <c r="U73" s="206"/>
      <c r="V73" s="207"/>
      <c r="W73" s="185"/>
      <c r="X73" s="5"/>
    </row>
    <row r="74" spans="1:24" ht="15.6" x14ac:dyDescent="0.3">
      <c r="A74" s="183"/>
      <c r="B74" s="185"/>
      <c r="C74" s="206"/>
      <c r="D74" s="206"/>
      <c r="E74" s="206"/>
      <c r="F74" s="206"/>
      <c r="G74" s="206"/>
      <c r="H74" s="206"/>
      <c r="I74" s="206"/>
      <c r="J74" s="206"/>
      <c r="K74" s="206"/>
      <c r="L74" s="206"/>
      <c r="M74" s="206"/>
      <c r="N74" s="206"/>
      <c r="O74" s="206"/>
      <c r="P74" s="206"/>
      <c r="Q74" s="206"/>
      <c r="R74" s="206"/>
      <c r="S74" s="206"/>
      <c r="T74" s="206"/>
      <c r="U74" s="206"/>
      <c r="V74" s="207"/>
      <c r="W74" s="185"/>
      <c r="X74" s="5"/>
    </row>
    <row r="75" spans="1:24" ht="15.6" x14ac:dyDescent="0.3">
      <c r="A75" s="340"/>
      <c r="B75" s="288" t="s">
        <v>19</v>
      </c>
      <c r="C75" s="337"/>
      <c r="D75" s="337"/>
      <c r="E75" s="337"/>
      <c r="F75" s="337"/>
      <c r="G75" s="337"/>
      <c r="H75" s="337"/>
      <c r="I75" s="337"/>
      <c r="J75" s="337"/>
      <c r="K75" s="337"/>
      <c r="L75" s="337"/>
      <c r="M75" s="337"/>
      <c r="N75" s="337"/>
      <c r="O75" s="337"/>
      <c r="P75" s="337"/>
      <c r="Q75" s="337"/>
      <c r="R75" s="337"/>
      <c r="S75" s="337"/>
      <c r="T75" s="337"/>
      <c r="U75" s="337"/>
      <c r="V75" s="337"/>
      <c r="W75" s="291"/>
      <c r="X75" s="5"/>
    </row>
    <row r="76" spans="1:24" ht="15.6" x14ac:dyDescent="0.3">
      <c r="A76" s="340"/>
      <c r="B76" s="288" t="s">
        <v>20</v>
      </c>
      <c r="C76" s="337"/>
      <c r="D76" s="337"/>
      <c r="E76" s="337"/>
      <c r="F76" s="337"/>
      <c r="G76" s="337"/>
      <c r="H76" s="337"/>
      <c r="I76" s="337"/>
      <c r="J76" s="337"/>
      <c r="K76" s="337"/>
      <c r="L76" s="337"/>
      <c r="M76" s="337"/>
      <c r="N76" s="337"/>
      <c r="O76" s="337"/>
      <c r="P76" s="337"/>
      <c r="Q76" s="337"/>
      <c r="R76" s="337"/>
      <c r="S76" s="337"/>
      <c r="T76" s="337"/>
      <c r="U76" s="337"/>
      <c r="V76" s="337"/>
      <c r="W76" s="291"/>
      <c r="X76" s="5"/>
    </row>
    <row r="77" spans="1:24" ht="15.6" x14ac:dyDescent="0.3">
      <c r="A77" s="340"/>
      <c r="B77" s="288"/>
      <c r="C77" s="337"/>
      <c r="D77" s="337"/>
      <c r="E77" s="337"/>
      <c r="F77" s="337"/>
      <c r="G77" s="337"/>
      <c r="H77" s="337"/>
      <c r="I77" s="337"/>
      <c r="J77" s="337"/>
      <c r="K77" s="337"/>
      <c r="L77" s="337"/>
      <c r="M77" s="337"/>
      <c r="N77" s="337"/>
      <c r="O77" s="337"/>
      <c r="P77" s="337"/>
      <c r="Q77" s="337"/>
      <c r="R77" s="337"/>
      <c r="S77" s="337"/>
      <c r="T77" s="337"/>
      <c r="U77" s="337"/>
      <c r="V77" s="337"/>
      <c r="W77" s="291"/>
      <c r="X77" s="5"/>
    </row>
    <row r="78" spans="1:24" ht="15.6" x14ac:dyDescent="0.3">
      <c r="A78" s="340"/>
      <c r="B78" s="288" t="s">
        <v>21</v>
      </c>
      <c r="C78" s="337"/>
      <c r="D78" s="337"/>
      <c r="E78" s="337"/>
      <c r="F78" s="337"/>
      <c r="G78" s="337"/>
      <c r="H78" s="337"/>
      <c r="I78" s="337"/>
      <c r="J78" s="337"/>
      <c r="K78" s="337"/>
      <c r="L78" s="337"/>
      <c r="M78" s="337"/>
      <c r="N78" s="337"/>
      <c r="O78" s="337"/>
      <c r="P78" s="337"/>
      <c r="Q78" s="337"/>
      <c r="R78" s="337"/>
      <c r="S78" s="337"/>
      <c r="T78" s="337"/>
      <c r="U78" s="337"/>
      <c r="V78" s="337"/>
      <c r="W78" s="291"/>
      <c r="X78" s="5"/>
    </row>
    <row r="79" spans="1:24" ht="15.6" x14ac:dyDescent="0.3">
      <c r="A79" s="340"/>
      <c r="B79" s="288"/>
      <c r="C79" s="337"/>
      <c r="D79" s="337"/>
      <c r="E79" s="337"/>
      <c r="F79" s="337"/>
      <c r="G79" s="337"/>
      <c r="H79" s="337"/>
      <c r="I79" s="337"/>
      <c r="J79" s="337"/>
      <c r="K79" s="337"/>
      <c r="L79" s="337"/>
      <c r="M79" s="337"/>
      <c r="N79" s="337"/>
      <c r="O79" s="337"/>
      <c r="P79" s="337"/>
      <c r="Q79" s="337"/>
      <c r="R79" s="337"/>
      <c r="S79" s="337"/>
      <c r="T79" s="337"/>
      <c r="U79" s="337"/>
      <c r="V79" s="337"/>
      <c r="W79" s="291"/>
      <c r="X79" s="5"/>
    </row>
    <row r="80" spans="1:24" ht="15.6" x14ac:dyDescent="0.3">
      <c r="A80" s="340"/>
      <c r="B80" s="288" t="s">
        <v>23</v>
      </c>
      <c r="C80" s="337"/>
      <c r="D80" s="337"/>
      <c r="E80" s="337"/>
      <c r="F80" s="337"/>
      <c r="G80" s="337"/>
      <c r="H80" s="337"/>
      <c r="I80" s="337"/>
      <c r="J80" s="337"/>
      <c r="K80" s="337"/>
      <c r="L80" s="337">
        <v>0</v>
      </c>
      <c r="M80" s="337"/>
      <c r="N80" s="337">
        <v>0</v>
      </c>
      <c r="O80" s="337"/>
      <c r="P80" s="337"/>
      <c r="Q80" s="337"/>
      <c r="R80" s="337"/>
      <c r="S80" s="337"/>
      <c r="T80" s="337"/>
      <c r="U80" s="337"/>
      <c r="V80" s="338">
        <v>0</v>
      </c>
      <c r="W80" s="291"/>
      <c r="X80" s="5"/>
    </row>
    <row r="81" spans="1:24" ht="15.6" x14ac:dyDescent="0.3">
      <c r="A81" s="340"/>
      <c r="B81" s="288" t="s">
        <v>117</v>
      </c>
      <c r="C81" s="337"/>
      <c r="D81" s="337"/>
      <c r="E81" s="337"/>
      <c r="F81" s="337"/>
      <c r="G81" s="337"/>
      <c r="H81" s="337"/>
      <c r="I81" s="337"/>
      <c r="J81" s="337"/>
      <c r="K81" s="337"/>
      <c r="L81" s="337">
        <v>342245</v>
      </c>
      <c r="M81" s="337"/>
      <c r="N81" s="337">
        <v>0</v>
      </c>
      <c r="O81" s="337"/>
      <c r="P81" s="337">
        <v>0</v>
      </c>
      <c r="Q81" s="337"/>
      <c r="R81" s="337"/>
      <c r="S81" s="337"/>
      <c r="T81" s="337"/>
      <c r="U81" s="337"/>
      <c r="V81" s="337">
        <f>SUM(N81:R81)</f>
        <v>0</v>
      </c>
      <c r="W81" s="291"/>
      <c r="X81" s="5"/>
    </row>
    <row r="82" spans="1:24" ht="15.6" x14ac:dyDescent="0.3">
      <c r="A82" s="340"/>
      <c r="B82" s="288"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91"/>
      <c r="X82" s="5"/>
    </row>
    <row r="83" spans="1:24" ht="15.6" x14ac:dyDescent="0.3">
      <c r="A83" s="340"/>
      <c r="B83" s="288" t="s">
        <v>25</v>
      </c>
      <c r="C83" s="337"/>
      <c r="D83" s="337"/>
      <c r="E83" s="337"/>
      <c r="F83" s="337"/>
      <c r="G83" s="337"/>
      <c r="H83" s="337"/>
      <c r="I83" s="337"/>
      <c r="J83" s="337"/>
      <c r="K83" s="337"/>
      <c r="L83" s="337">
        <v>0</v>
      </c>
      <c r="M83" s="337"/>
      <c r="N83" s="337">
        <v>0</v>
      </c>
      <c r="O83" s="337"/>
      <c r="P83" s="337"/>
      <c r="Q83" s="337"/>
      <c r="R83" s="337"/>
      <c r="S83" s="337"/>
      <c r="T83" s="337"/>
      <c r="U83" s="337"/>
      <c r="V83" s="337">
        <v>0</v>
      </c>
      <c r="W83" s="291"/>
      <c r="X83" s="5"/>
    </row>
    <row r="84" spans="1:24" ht="15.6" x14ac:dyDescent="0.3">
      <c r="A84" s="340"/>
      <c r="B84" s="288" t="s">
        <v>26</v>
      </c>
      <c r="C84" s="337"/>
      <c r="D84" s="337"/>
      <c r="E84" s="337"/>
      <c r="F84" s="337"/>
      <c r="G84" s="337"/>
      <c r="H84" s="337"/>
      <c r="I84" s="337"/>
      <c r="J84" s="337"/>
      <c r="K84" s="337"/>
      <c r="L84" s="337">
        <f>SUM(L71:L83)</f>
        <v>1500275</v>
      </c>
      <c r="M84" s="337"/>
      <c r="N84" s="337">
        <f>SUM(N71:N83)</f>
        <v>1133737</v>
      </c>
      <c r="O84" s="337"/>
      <c r="P84" s="337"/>
      <c r="Q84" s="337"/>
      <c r="R84" s="337"/>
      <c r="S84" s="337"/>
      <c r="T84" s="337"/>
      <c r="U84" s="337"/>
      <c r="V84" s="337">
        <f>SUM(V71:V83)</f>
        <v>1127752</v>
      </c>
      <c r="W84" s="291"/>
      <c r="X84" s="5"/>
    </row>
    <row r="85" spans="1:24" ht="15.6" x14ac:dyDescent="0.3">
      <c r="A85" s="243"/>
      <c r="B85" s="284"/>
      <c r="C85" s="339"/>
      <c r="D85" s="339"/>
      <c r="E85" s="339"/>
      <c r="F85" s="339"/>
      <c r="G85" s="339"/>
      <c r="H85" s="339"/>
      <c r="I85" s="339"/>
      <c r="J85" s="339"/>
      <c r="K85" s="339"/>
      <c r="L85" s="339"/>
      <c r="M85" s="339"/>
      <c r="N85" s="339"/>
      <c r="O85" s="339"/>
      <c r="P85" s="339"/>
      <c r="Q85" s="339"/>
      <c r="R85" s="339"/>
      <c r="S85" s="339"/>
      <c r="T85" s="339"/>
      <c r="U85" s="339"/>
      <c r="V85" s="339"/>
      <c r="W85" s="284"/>
      <c r="X85" s="5"/>
    </row>
    <row r="86" spans="1:24" ht="15.6" x14ac:dyDescent="0.3">
      <c r="A86" s="243"/>
      <c r="B86" s="224"/>
      <c r="C86" s="224"/>
      <c r="D86" s="224"/>
      <c r="E86" s="224"/>
      <c r="F86" s="224"/>
      <c r="G86" s="224"/>
      <c r="H86" s="224"/>
      <c r="I86" s="224"/>
      <c r="J86" s="224"/>
      <c r="K86" s="224"/>
      <c r="L86" s="224"/>
      <c r="M86" s="224"/>
      <c r="N86" s="224"/>
      <c r="O86" s="224"/>
      <c r="P86" s="224"/>
      <c r="Q86" s="224"/>
      <c r="R86" s="224"/>
      <c r="S86" s="224"/>
      <c r="T86" s="224"/>
      <c r="U86" s="224"/>
      <c r="V86" s="224"/>
      <c r="W86" s="224"/>
      <c r="X86" s="5"/>
    </row>
    <row r="87" spans="1:24" ht="15.6" x14ac:dyDescent="0.3">
      <c r="A87" s="262"/>
      <c r="B87" s="399" t="s">
        <v>27</v>
      </c>
      <c r="C87" s="399"/>
      <c r="D87" s="399"/>
      <c r="E87" s="399"/>
      <c r="F87" s="399"/>
      <c r="G87" s="399"/>
      <c r="H87" s="400"/>
      <c r="I87" s="400"/>
      <c r="J87" s="400"/>
      <c r="K87" s="400"/>
      <c r="L87" s="401" t="s">
        <v>95</v>
      </c>
      <c r="M87" s="400"/>
      <c r="N87" s="402">
        <f>+T205</f>
        <v>40968</v>
      </c>
      <c r="O87" s="400"/>
      <c r="P87" s="400"/>
      <c r="Q87" s="400"/>
      <c r="R87" s="400"/>
      <c r="S87" s="400"/>
      <c r="T87" s="400" t="s">
        <v>107</v>
      </c>
      <c r="U87" s="400"/>
      <c r="V87" s="400" t="s">
        <v>113</v>
      </c>
      <c r="W87" s="263"/>
      <c r="X87" s="5"/>
    </row>
    <row r="88" spans="1:24" ht="15.6" x14ac:dyDescent="0.3">
      <c r="A88" s="242"/>
      <c r="B88" s="231" t="s">
        <v>28</v>
      </c>
      <c r="C88" s="231"/>
      <c r="D88" s="231"/>
      <c r="E88" s="231"/>
      <c r="F88" s="231"/>
      <c r="G88" s="231"/>
      <c r="H88" s="231"/>
      <c r="I88" s="231"/>
      <c r="J88" s="231"/>
      <c r="K88" s="231"/>
      <c r="L88" s="231"/>
      <c r="M88" s="231"/>
      <c r="N88" s="231"/>
      <c r="O88" s="231"/>
      <c r="P88" s="231"/>
      <c r="Q88" s="231"/>
      <c r="R88" s="231"/>
      <c r="S88" s="231"/>
      <c r="T88" s="234">
        <v>0</v>
      </c>
      <c r="U88" s="231"/>
      <c r="V88" s="241">
        <v>0</v>
      </c>
      <c r="W88" s="231"/>
      <c r="X88" s="5"/>
    </row>
    <row r="89" spans="1:24" ht="15.6" x14ac:dyDescent="0.3">
      <c r="A89" s="340"/>
      <c r="B89" s="288" t="s">
        <v>29</v>
      </c>
      <c r="C89" s="288"/>
      <c r="D89" s="288"/>
      <c r="E89" s="288"/>
      <c r="F89" s="288"/>
      <c r="G89" s="288"/>
      <c r="H89" s="325"/>
      <c r="I89" s="325"/>
      <c r="J89" s="325"/>
      <c r="K89" s="341"/>
      <c r="L89" s="325"/>
      <c r="M89" s="288"/>
      <c r="N89" s="342"/>
      <c r="O89" s="288"/>
      <c r="P89" s="288"/>
      <c r="Q89" s="288"/>
      <c r="R89" s="288"/>
      <c r="S89" s="288"/>
      <c r="T89" s="337">
        <f>6038-266</f>
        <v>5772</v>
      </c>
      <c r="U89" s="288"/>
      <c r="V89" s="338"/>
      <c r="W89" s="291"/>
      <c r="X89" s="5"/>
    </row>
    <row r="90" spans="1:24" ht="15.6" x14ac:dyDescent="0.3">
      <c r="A90" s="340"/>
      <c r="B90" s="288" t="s">
        <v>216</v>
      </c>
      <c r="C90" s="288"/>
      <c r="D90" s="288"/>
      <c r="E90" s="288"/>
      <c r="F90" s="288"/>
      <c r="G90" s="288"/>
      <c r="H90" s="325"/>
      <c r="I90" s="325"/>
      <c r="J90" s="325"/>
      <c r="K90" s="341"/>
      <c r="L90" s="325"/>
      <c r="M90" s="288"/>
      <c r="N90" s="342"/>
      <c r="O90" s="288"/>
      <c r="P90" s="288"/>
      <c r="Q90" s="288"/>
      <c r="R90" s="288"/>
      <c r="S90" s="288"/>
      <c r="T90" s="337"/>
      <c r="U90" s="288"/>
      <c r="V90" s="338">
        <f>3731+4948-326-553</f>
        <v>7800</v>
      </c>
      <c r="W90" s="291"/>
      <c r="X90" s="5"/>
    </row>
    <row r="91" spans="1:24" ht="15.6" x14ac:dyDescent="0.3">
      <c r="A91" s="340"/>
      <c r="B91" s="288" t="s">
        <v>211</v>
      </c>
      <c r="C91" s="288"/>
      <c r="D91" s="288"/>
      <c r="E91" s="288"/>
      <c r="F91" s="288"/>
      <c r="G91" s="288"/>
      <c r="H91" s="325"/>
      <c r="I91" s="325"/>
      <c r="J91" s="325"/>
      <c r="K91" s="341"/>
      <c r="L91" s="325"/>
      <c r="M91" s="288"/>
      <c r="N91" s="342"/>
      <c r="O91" s="288"/>
      <c r="P91" s="288"/>
      <c r="Q91" s="288"/>
      <c r="R91" s="288"/>
      <c r="S91" s="288"/>
      <c r="T91" s="337"/>
      <c r="U91" s="288"/>
      <c r="V91" s="338">
        <f>50+14</f>
        <v>64</v>
      </c>
      <c r="W91" s="291"/>
      <c r="X91" s="5"/>
    </row>
    <row r="92" spans="1:24" ht="15.6" x14ac:dyDescent="0.3">
      <c r="A92" s="340"/>
      <c r="B92" s="288" t="s">
        <v>212</v>
      </c>
      <c r="C92" s="288"/>
      <c r="D92" s="288"/>
      <c r="E92" s="288"/>
      <c r="F92" s="288"/>
      <c r="G92" s="288"/>
      <c r="H92" s="325"/>
      <c r="I92" s="325"/>
      <c r="J92" s="325"/>
      <c r="K92" s="341"/>
      <c r="L92" s="325"/>
      <c r="M92" s="288"/>
      <c r="N92" s="342"/>
      <c r="O92" s="288"/>
      <c r="P92" s="288"/>
      <c r="Q92" s="288"/>
      <c r="R92" s="288"/>
      <c r="S92" s="288"/>
      <c r="T92" s="337"/>
      <c r="U92" s="288"/>
      <c r="V92" s="338">
        <v>101</v>
      </c>
      <c r="W92" s="291"/>
      <c r="X92" s="5"/>
    </row>
    <row r="93" spans="1:24" ht="15.6" x14ac:dyDescent="0.3">
      <c r="A93" s="340"/>
      <c r="B93" s="288" t="s">
        <v>272</v>
      </c>
      <c r="C93" s="288"/>
      <c r="D93" s="288"/>
      <c r="E93" s="288"/>
      <c r="F93" s="288"/>
      <c r="G93" s="288"/>
      <c r="H93" s="325"/>
      <c r="I93" s="325"/>
      <c r="J93" s="325"/>
      <c r="K93" s="341"/>
      <c r="L93" s="325"/>
      <c r="M93" s="288"/>
      <c r="N93" s="342"/>
      <c r="O93" s="288"/>
      <c r="P93" s="288"/>
      <c r="Q93" s="288"/>
      <c r="R93" s="288"/>
      <c r="S93" s="288"/>
      <c r="T93" s="337"/>
      <c r="U93" s="288"/>
      <c r="V93" s="338">
        <v>0</v>
      </c>
      <c r="W93" s="291"/>
      <c r="X93" s="5"/>
    </row>
    <row r="94" spans="1:24" ht="15.6" x14ac:dyDescent="0.3">
      <c r="A94" s="340"/>
      <c r="B94" s="288" t="s">
        <v>274</v>
      </c>
      <c r="C94" s="288"/>
      <c r="D94" s="288"/>
      <c r="E94" s="288"/>
      <c r="F94" s="288"/>
      <c r="G94" s="288"/>
      <c r="H94" s="325"/>
      <c r="I94" s="325"/>
      <c r="J94" s="325"/>
      <c r="K94" s="341"/>
      <c r="L94" s="325"/>
      <c r="M94" s="288"/>
      <c r="N94" s="342"/>
      <c r="O94" s="288"/>
      <c r="P94" s="288"/>
      <c r="Q94" s="288"/>
      <c r="R94" s="288"/>
      <c r="S94" s="288"/>
      <c r="T94" s="337"/>
      <c r="U94" s="288"/>
      <c r="V94" s="338">
        <v>0</v>
      </c>
      <c r="W94" s="291"/>
      <c r="X94" s="5"/>
    </row>
    <row r="95" spans="1:24" ht="15.6" x14ac:dyDescent="0.3">
      <c r="A95" s="340"/>
      <c r="B95" s="288" t="s">
        <v>135</v>
      </c>
      <c r="C95" s="288"/>
      <c r="D95" s="288"/>
      <c r="E95" s="288"/>
      <c r="F95" s="288"/>
      <c r="G95" s="288"/>
      <c r="H95" s="288"/>
      <c r="I95" s="288"/>
      <c r="J95" s="288"/>
      <c r="K95" s="288"/>
      <c r="L95" s="288"/>
      <c r="M95" s="288"/>
      <c r="N95" s="288"/>
      <c r="O95" s="288"/>
      <c r="P95" s="288"/>
      <c r="Q95" s="288"/>
      <c r="R95" s="288"/>
      <c r="S95" s="288"/>
      <c r="T95" s="337"/>
      <c r="U95" s="288"/>
      <c r="V95" s="338">
        <v>0</v>
      </c>
      <c r="W95" s="291"/>
      <c r="X95" s="5"/>
    </row>
    <row r="96" spans="1:24" ht="15.6" x14ac:dyDescent="0.3">
      <c r="A96" s="340"/>
      <c r="B96" s="288" t="s">
        <v>268</v>
      </c>
      <c r="C96" s="288"/>
      <c r="D96" s="288"/>
      <c r="E96" s="288"/>
      <c r="F96" s="288"/>
      <c r="G96" s="288"/>
      <c r="H96" s="288"/>
      <c r="I96" s="288"/>
      <c r="J96" s="288"/>
      <c r="K96" s="288"/>
      <c r="L96" s="288"/>
      <c r="M96" s="288"/>
      <c r="N96" s="288"/>
      <c r="O96" s="288"/>
      <c r="P96" s="288"/>
      <c r="Q96" s="288"/>
      <c r="R96" s="288"/>
      <c r="S96" s="288"/>
      <c r="T96" s="337"/>
      <c r="U96" s="288"/>
      <c r="V96" s="338">
        <v>0</v>
      </c>
      <c r="W96" s="291"/>
      <c r="X96" s="5"/>
    </row>
    <row r="97" spans="1:25" ht="15.6" x14ac:dyDescent="0.3">
      <c r="A97" s="340"/>
      <c r="B97" s="288" t="s">
        <v>30</v>
      </c>
      <c r="C97" s="288"/>
      <c r="D97" s="288"/>
      <c r="E97" s="288"/>
      <c r="F97" s="288"/>
      <c r="G97" s="288"/>
      <c r="H97" s="288"/>
      <c r="I97" s="288"/>
      <c r="J97" s="288"/>
      <c r="K97" s="288"/>
      <c r="L97" s="288"/>
      <c r="M97" s="288"/>
      <c r="N97" s="288"/>
      <c r="O97" s="288"/>
      <c r="P97" s="288"/>
      <c r="Q97" s="288"/>
      <c r="R97" s="288"/>
      <c r="S97" s="288"/>
      <c r="T97" s="337">
        <f>SUM(T88:T96)</f>
        <v>5772</v>
      </c>
      <c r="U97" s="288"/>
      <c r="V97" s="337">
        <f>SUM(V88:V96)</f>
        <v>7965</v>
      </c>
      <c r="W97" s="291"/>
      <c r="X97" s="5"/>
    </row>
    <row r="98" spans="1:25" ht="15.6" x14ac:dyDescent="0.3">
      <c r="A98" s="340"/>
      <c r="B98" s="288" t="s">
        <v>161</v>
      </c>
      <c r="C98" s="288"/>
      <c r="D98" s="288"/>
      <c r="E98" s="288"/>
      <c r="F98" s="288"/>
      <c r="G98" s="288"/>
      <c r="H98" s="288"/>
      <c r="I98" s="288"/>
      <c r="J98" s="288"/>
      <c r="K98" s="288"/>
      <c r="L98" s="288"/>
      <c r="M98" s="288"/>
      <c r="N98" s="288"/>
      <c r="O98" s="288"/>
      <c r="P98" s="288"/>
      <c r="Q98" s="288"/>
      <c r="R98" s="288"/>
      <c r="S98" s="288"/>
      <c r="T98" s="337">
        <f>-V98</f>
        <v>-2</v>
      </c>
      <c r="U98" s="288"/>
      <c r="V98" s="337">
        <v>2</v>
      </c>
      <c r="W98" s="291"/>
      <c r="X98" s="5"/>
    </row>
    <row r="99" spans="1:25" ht="15.6" x14ac:dyDescent="0.3">
      <c r="A99" s="340"/>
      <c r="B99" s="288" t="s">
        <v>31</v>
      </c>
      <c r="C99" s="288"/>
      <c r="D99" s="288"/>
      <c r="E99" s="288"/>
      <c r="F99" s="288"/>
      <c r="G99" s="288"/>
      <c r="H99" s="288"/>
      <c r="I99" s="288"/>
      <c r="J99" s="288"/>
      <c r="K99" s="288"/>
      <c r="L99" s="288"/>
      <c r="M99" s="288"/>
      <c r="N99" s="288"/>
      <c r="O99" s="288"/>
      <c r="P99" s="288"/>
      <c r="Q99" s="288"/>
      <c r="R99" s="288"/>
      <c r="S99" s="288"/>
      <c r="T99" s="337">
        <f>-V99</f>
        <v>0</v>
      </c>
      <c r="U99" s="288"/>
      <c r="V99" s="338">
        <v>0</v>
      </c>
      <c r="W99" s="291"/>
      <c r="X99" s="5"/>
    </row>
    <row r="100" spans="1:25" ht="15.6" x14ac:dyDescent="0.3">
      <c r="A100" s="340"/>
      <c r="B100" s="288" t="s">
        <v>283</v>
      </c>
      <c r="C100" s="288"/>
      <c r="D100" s="288"/>
      <c r="E100" s="288"/>
      <c r="F100" s="288"/>
      <c r="G100" s="288"/>
      <c r="H100" s="288"/>
      <c r="I100" s="288"/>
      <c r="J100" s="288"/>
      <c r="K100" s="288"/>
      <c r="L100" s="288"/>
      <c r="M100" s="288"/>
      <c r="N100" s="288"/>
      <c r="O100" s="288"/>
      <c r="P100" s="288"/>
      <c r="Q100" s="288"/>
      <c r="R100" s="288"/>
      <c r="S100" s="288"/>
      <c r="T100" s="337"/>
      <c r="U100" s="288"/>
      <c r="V100" s="338">
        <v>133</v>
      </c>
      <c r="W100" s="291"/>
      <c r="X100" s="5"/>
    </row>
    <row r="101" spans="1:25" ht="15.6" x14ac:dyDescent="0.3">
      <c r="A101" s="340"/>
      <c r="B101" s="288" t="s">
        <v>32</v>
      </c>
      <c r="C101" s="288"/>
      <c r="D101" s="288"/>
      <c r="E101" s="288"/>
      <c r="F101" s="288"/>
      <c r="G101" s="288"/>
      <c r="H101" s="288"/>
      <c r="I101" s="288"/>
      <c r="J101" s="288"/>
      <c r="K101" s="288"/>
      <c r="L101" s="288"/>
      <c r="M101" s="288"/>
      <c r="N101" s="288"/>
      <c r="O101" s="288"/>
      <c r="P101" s="288"/>
      <c r="Q101" s="288"/>
      <c r="R101" s="288"/>
      <c r="S101" s="288"/>
      <c r="T101" s="337">
        <f>T97+T99+T98</f>
        <v>5770</v>
      </c>
      <c r="U101" s="288"/>
      <c r="V101" s="337">
        <f>V97+V99+V98+V100</f>
        <v>8100</v>
      </c>
      <c r="W101" s="291"/>
      <c r="X101" s="5"/>
    </row>
    <row r="102" spans="1:25" ht="15.6" x14ac:dyDescent="0.3">
      <c r="A102" s="287"/>
      <c r="B102" s="343" t="s">
        <v>33</v>
      </c>
      <c r="C102" s="314"/>
      <c r="D102" s="314"/>
      <c r="E102" s="314"/>
      <c r="F102" s="314"/>
      <c r="G102" s="314"/>
      <c r="H102" s="314"/>
      <c r="I102" s="314"/>
      <c r="J102" s="314"/>
      <c r="K102" s="314"/>
      <c r="L102" s="314"/>
      <c r="M102" s="314"/>
      <c r="N102" s="314"/>
      <c r="O102" s="314"/>
      <c r="P102" s="314"/>
      <c r="Q102" s="314"/>
      <c r="R102" s="314"/>
      <c r="S102" s="314"/>
      <c r="T102" s="344"/>
      <c r="U102" s="314"/>
      <c r="V102" s="345"/>
      <c r="W102" s="318"/>
      <c r="X102" s="5"/>
    </row>
    <row r="103" spans="1:25" ht="15.6" x14ac:dyDescent="0.3">
      <c r="A103" s="340">
        <v>1</v>
      </c>
      <c r="B103" s="288" t="s">
        <v>34</v>
      </c>
      <c r="C103" s="288"/>
      <c r="D103" s="288"/>
      <c r="E103" s="288"/>
      <c r="F103" s="288"/>
      <c r="G103" s="288"/>
      <c r="H103" s="288"/>
      <c r="I103" s="288"/>
      <c r="J103" s="288"/>
      <c r="K103" s="288"/>
      <c r="L103" s="288"/>
      <c r="M103" s="288"/>
      <c r="N103" s="288"/>
      <c r="O103" s="288"/>
      <c r="P103" s="288"/>
      <c r="Q103" s="288"/>
      <c r="R103" s="288"/>
      <c r="S103" s="288"/>
      <c r="T103" s="288"/>
      <c r="U103" s="288"/>
      <c r="V103" s="338">
        <v>0</v>
      </c>
      <c r="W103" s="291"/>
      <c r="X103" s="5"/>
    </row>
    <row r="104" spans="1:25" ht="15.6" x14ac:dyDescent="0.3">
      <c r="A104" s="340">
        <f>+A103+1</f>
        <v>2</v>
      </c>
      <c r="B104" s="288" t="s">
        <v>225</v>
      </c>
      <c r="C104" s="288"/>
      <c r="D104" s="288"/>
      <c r="E104" s="288"/>
      <c r="F104" s="288"/>
      <c r="G104" s="288"/>
      <c r="H104" s="288"/>
      <c r="I104" s="288"/>
      <c r="J104" s="288"/>
      <c r="K104" s="288"/>
      <c r="L104" s="288"/>
      <c r="M104" s="288"/>
      <c r="N104" s="288"/>
      <c r="O104" s="288"/>
      <c r="P104" s="288"/>
      <c r="Q104" s="288"/>
      <c r="R104" s="288"/>
      <c r="S104" s="288"/>
      <c r="T104" s="288"/>
      <c r="U104" s="288"/>
      <c r="V104" s="338">
        <v>-2</v>
      </c>
      <c r="W104" s="291"/>
      <c r="X104" s="5"/>
    </row>
    <row r="105" spans="1:25" ht="15.6" x14ac:dyDescent="0.3">
      <c r="A105" s="340">
        <f>+A104+1</f>
        <v>3</v>
      </c>
      <c r="B105" s="288" t="s">
        <v>204</v>
      </c>
      <c r="C105" s="288"/>
      <c r="D105" s="288"/>
      <c r="E105" s="288"/>
      <c r="F105" s="288"/>
      <c r="G105" s="288"/>
      <c r="H105" s="288"/>
      <c r="I105" s="288"/>
      <c r="J105" s="288"/>
      <c r="K105" s="288"/>
      <c r="L105" s="288"/>
      <c r="M105" s="288"/>
      <c r="N105" s="288"/>
      <c r="O105" s="288"/>
      <c r="P105" s="288"/>
      <c r="Q105" s="288"/>
      <c r="R105" s="288"/>
      <c r="S105" s="288"/>
      <c r="T105" s="288"/>
      <c r="U105" s="288"/>
      <c r="V105" s="338">
        <f>-142-314-14</f>
        <v>-470</v>
      </c>
      <c r="W105" s="291"/>
      <c r="X105" s="5"/>
    </row>
    <row r="106" spans="1:25" ht="15.6" x14ac:dyDescent="0.3">
      <c r="A106" s="340" t="s">
        <v>127</v>
      </c>
      <c r="B106" s="288" t="s">
        <v>116</v>
      </c>
      <c r="C106" s="288"/>
      <c r="D106" s="288"/>
      <c r="E106" s="288"/>
      <c r="F106" s="288"/>
      <c r="G106" s="288"/>
      <c r="H106" s="288"/>
      <c r="I106" s="288"/>
      <c r="J106" s="288"/>
      <c r="K106" s="288"/>
      <c r="L106" s="288"/>
      <c r="M106" s="288"/>
      <c r="N106" s="288"/>
      <c r="O106" s="288"/>
      <c r="P106" s="288"/>
      <c r="Q106" s="288"/>
      <c r="R106" s="288"/>
      <c r="S106" s="288"/>
      <c r="T106" s="288"/>
      <c r="U106" s="288"/>
      <c r="V106" s="338">
        <v>0</v>
      </c>
      <c r="W106" s="291"/>
      <c r="X106" s="5"/>
    </row>
    <row r="107" spans="1:25" ht="15.6" x14ac:dyDescent="0.3">
      <c r="A107" s="340" t="s">
        <v>128</v>
      </c>
      <c r="B107" s="288" t="s">
        <v>222</v>
      </c>
      <c r="C107" s="288"/>
      <c r="D107" s="288"/>
      <c r="E107" s="288"/>
      <c r="F107" s="288"/>
      <c r="G107" s="288"/>
      <c r="H107" s="288"/>
      <c r="I107" s="288"/>
      <c r="J107" s="288"/>
      <c r="K107" s="288"/>
      <c r="L107" s="288"/>
      <c r="M107" s="288"/>
      <c r="N107" s="288"/>
      <c r="O107" s="288"/>
      <c r="P107" s="288"/>
      <c r="Q107" s="288"/>
      <c r="R107" s="288"/>
      <c r="S107" s="288"/>
      <c r="T107" s="288"/>
      <c r="U107" s="288"/>
      <c r="V107" s="338">
        <f>-2695+258</f>
        <v>-2437</v>
      </c>
      <c r="W107" s="291"/>
      <c r="X107" s="5"/>
      <c r="Y107" s="109"/>
    </row>
    <row r="108" spans="1:25" ht="15.6" x14ac:dyDescent="0.3">
      <c r="A108" s="340" t="s">
        <v>150</v>
      </c>
      <c r="B108" s="288" t="s">
        <v>184</v>
      </c>
      <c r="C108" s="288"/>
      <c r="D108" s="288"/>
      <c r="E108" s="288"/>
      <c r="F108" s="288"/>
      <c r="G108" s="288"/>
      <c r="H108" s="288"/>
      <c r="I108" s="288"/>
      <c r="J108" s="288"/>
      <c r="K108" s="288"/>
      <c r="L108" s="288"/>
      <c r="M108" s="288"/>
      <c r="N108" s="288"/>
      <c r="O108" s="288"/>
      <c r="P108" s="288"/>
      <c r="Q108" s="288"/>
      <c r="R108" s="288"/>
      <c r="S108" s="288"/>
      <c r="T108" s="288"/>
      <c r="U108" s="288"/>
      <c r="V108" s="338">
        <f>-258</f>
        <v>-258</v>
      </c>
      <c r="W108" s="291"/>
      <c r="X108" s="5"/>
      <c r="Y108" s="109"/>
    </row>
    <row r="109" spans="1:25" ht="15.6" x14ac:dyDescent="0.3">
      <c r="A109" s="340" t="s">
        <v>236</v>
      </c>
      <c r="B109" s="288" t="s">
        <v>238</v>
      </c>
      <c r="C109" s="288"/>
      <c r="D109" s="288"/>
      <c r="E109" s="288"/>
      <c r="F109" s="288"/>
      <c r="G109" s="288"/>
      <c r="H109" s="288"/>
      <c r="I109" s="288"/>
      <c r="J109" s="288"/>
      <c r="K109" s="288"/>
      <c r="L109" s="288"/>
      <c r="M109" s="288"/>
      <c r="N109" s="288"/>
      <c r="O109" s="288"/>
      <c r="P109" s="288"/>
      <c r="Q109" s="288"/>
      <c r="R109" s="288"/>
      <c r="S109" s="288"/>
      <c r="T109" s="288"/>
      <c r="U109" s="288"/>
      <c r="V109" s="338">
        <v>-1</v>
      </c>
      <c r="W109" s="291"/>
      <c r="X109" s="5"/>
    </row>
    <row r="110" spans="1:25" ht="15.6" x14ac:dyDescent="0.3">
      <c r="A110" s="340" t="s">
        <v>205</v>
      </c>
      <c r="B110" s="288" t="s">
        <v>185</v>
      </c>
      <c r="C110" s="288"/>
      <c r="D110" s="288"/>
      <c r="E110" s="288"/>
      <c r="F110" s="288"/>
      <c r="G110" s="288"/>
      <c r="H110" s="288"/>
      <c r="I110" s="288"/>
      <c r="J110" s="288"/>
      <c r="K110" s="288"/>
      <c r="L110" s="288"/>
      <c r="M110" s="288"/>
      <c r="N110" s="288"/>
      <c r="O110" s="288"/>
      <c r="P110" s="288"/>
      <c r="Q110" s="288"/>
      <c r="R110" s="288"/>
      <c r="S110" s="288"/>
      <c r="T110" s="288"/>
      <c r="U110" s="288"/>
      <c r="V110" s="338">
        <v>-192</v>
      </c>
      <c r="W110" s="291"/>
      <c r="X110" s="5"/>
      <c r="Y110" s="109"/>
    </row>
    <row r="111" spans="1:25" ht="15.6" x14ac:dyDescent="0.3">
      <c r="A111" s="340" t="s">
        <v>206</v>
      </c>
      <c r="B111" s="288" t="s">
        <v>186</v>
      </c>
      <c r="C111" s="288"/>
      <c r="D111" s="288"/>
      <c r="E111" s="288"/>
      <c r="F111" s="288"/>
      <c r="G111" s="288"/>
      <c r="H111" s="288"/>
      <c r="I111" s="288"/>
      <c r="J111" s="288"/>
      <c r="K111" s="288"/>
      <c r="L111" s="288"/>
      <c r="M111" s="288"/>
      <c r="N111" s="288"/>
      <c r="O111" s="288"/>
      <c r="P111" s="288"/>
      <c r="Q111" s="288"/>
      <c r="R111" s="288"/>
      <c r="S111" s="288"/>
      <c r="T111" s="288"/>
      <c r="U111" s="288"/>
      <c r="V111" s="338">
        <v>-161</v>
      </c>
      <c r="W111" s="291"/>
      <c r="X111" s="179"/>
      <c r="Y111" s="109"/>
    </row>
    <row r="112" spans="1:25" ht="15.6" x14ac:dyDescent="0.3">
      <c r="A112" s="340" t="s">
        <v>207</v>
      </c>
      <c r="B112" s="288" t="s">
        <v>196</v>
      </c>
      <c r="C112" s="288"/>
      <c r="D112" s="288"/>
      <c r="E112" s="288"/>
      <c r="F112" s="288"/>
      <c r="G112" s="288"/>
      <c r="H112" s="288"/>
      <c r="I112" s="288"/>
      <c r="J112" s="288"/>
      <c r="K112" s="288"/>
      <c r="L112" s="288"/>
      <c r="M112" s="288"/>
      <c r="N112" s="288"/>
      <c r="O112" s="288"/>
      <c r="P112" s="288"/>
      <c r="Q112" s="288"/>
      <c r="R112" s="288"/>
      <c r="S112" s="288"/>
      <c r="T112" s="288"/>
      <c r="U112" s="288"/>
      <c r="V112" s="338">
        <v>-345</v>
      </c>
      <c r="W112" s="291"/>
      <c r="X112" s="5"/>
      <c r="Y112" s="109"/>
    </row>
    <row r="113" spans="1:25" ht="15.6" x14ac:dyDescent="0.3">
      <c r="A113" s="340" t="s">
        <v>224</v>
      </c>
      <c r="B113" s="288" t="s">
        <v>223</v>
      </c>
      <c r="C113" s="288"/>
      <c r="D113" s="288"/>
      <c r="E113" s="288"/>
      <c r="F113" s="288"/>
      <c r="G113" s="288"/>
      <c r="H113" s="288"/>
      <c r="I113" s="288"/>
      <c r="J113" s="288"/>
      <c r="K113" s="288"/>
      <c r="L113" s="288"/>
      <c r="M113" s="288"/>
      <c r="N113" s="288"/>
      <c r="O113" s="288"/>
      <c r="P113" s="288"/>
      <c r="Q113" s="288"/>
      <c r="R113" s="288"/>
      <c r="S113" s="288"/>
      <c r="T113" s="288"/>
      <c r="U113" s="288"/>
      <c r="V113" s="338">
        <v>-72</v>
      </c>
      <c r="W113" s="291"/>
      <c r="X113" s="5"/>
      <c r="Y113" s="109"/>
    </row>
    <row r="114" spans="1:25" ht="15.6" x14ac:dyDescent="0.3">
      <c r="A114" s="340">
        <v>7</v>
      </c>
      <c r="B114" s="288" t="s">
        <v>35</v>
      </c>
      <c r="C114" s="288"/>
      <c r="D114" s="288"/>
      <c r="E114" s="288"/>
      <c r="F114" s="288"/>
      <c r="G114" s="288"/>
      <c r="H114" s="288"/>
      <c r="I114" s="288"/>
      <c r="J114" s="288"/>
      <c r="K114" s="288"/>
      <c r="L114" s="288"/>
      <c r="M114" s="288"/>
      <c r="N114" s="288"/>
      <c r="O114" s="288"/>
      <c r="P114" s="288"/>
      <c r="Q114" s="288"/>
      <c r="R114" s="288"/>
      <c r="S114" s="288"/>
      <c r="T114" s="288"/>
      <c r="U114" s="288"/>
      <c r="V114" s="338">
        <v>-10</v>
      </c>
      <c r="W114" s="291"/>
      <c r="X114" s="5"/>
    </row>
    <row r="115" spans="1:25" ht="15.6" x14ac:dyDescent="0.3">
      <c r="A115" s="340">
        <f t="shared" ref="A115:A121" si="0">+A114+1</f>
        <v>8</v>
      </c>
      <c r="B115" s="288" t="s">
        <v>45</v>
      </c>
      <c r="C115" s="288"/>
      <c r="D115" s="288"/>
      <c r="E115" s="288"/>
      <c r="F115" s="288"/>
      <c r="G115" s="288"/>
      <c r="H115" s="288"/>
      <c r="I115" s="288"/>
      <c r="J115" s="288"/>
      <c r="K115" s="288"/>
      <c r="L115" s="288"/>
      <c r="M115" s="288"/>
      <c r="N115" s="288"/>
      <c r="O115" s="288"/>
      <c r="P115" s="288"/>
      <c r="Q115" s="288"/>
      <c r="R115" s="288"/>
      <c r="S115" s="288"/>
      <c r="T115" s="337">
        <f>-V115</f>
        <v>266</v>
      </c>
      <c r="U115" s="288"/>
      <c r="V115" s="338">
        <v>-266</v>
      </c>
      <c r="W115" s="291"/>
      <c r="X115" s="5"/>
    </row>
    <row r="116" spans="1:25" ht="15.6" x14ac:dyDescent="0.3">
      <c r="A116" s="340">
        <f t="shared" si="0"/>
        <v>9</v>
      </c>
      <c r="B116" s="288" t="s">
        <v>125</v>
      </c>
      <c r="C116" s="288"/>
      <c r="D116" s="288"/>
      <c r="E116" s="288"/>
      <c r="F116" s="288"/>
      <c r="G116" s="288"/>
      <c r="H116" s="288"/>
      <c r="I116" s="288"/>
      <c r="J116" s="288"/>
      <c r="K116" s="288"/>
      <c r="L116" s="288"/>
      <c r="M116" s="288"/>
      <c r="N116" s="288"/>
      <c r="O116" s="288"/>
      <c r="P116" s="288"/>
      <c r="Q116" s="288"/>
      <c r="R116" s="288"/>
      <c r="S116" s="288"/>
      <c r="T116" s="288"/>
      <c r="U116" s="288"/>
      <c r="V116" s="338">
        <v>0</v>
      </c>
      <c r="W116" s="291"/>
      <c r="X116" s="5"/>
    </row>
    <row r="117" spans="1:25" ht="15.6" x14ac:dyDescent="0.3">
      <c r="A117" s="340">
        <f t="shared" si="0"/>
        <v>10</v>
      </c>
      <c r="B117" s="288" t="s">
        <v>240</v>
      </c>
      <c r="C117" s="288"/>
      <c r="D117" s="288"/>
      <c r="E117" s="288"/>
      <c r="F117" s="288"/>
      <c r="G117" s="288"/>
      <c r="H117" s="288"/>
      <c r="I117" s="288"/>
      <c r="J117" s="288"/>
      <c r="K117" s="288"/>
      <c r="L117" s="288"/>
      <c r="M117" s="288"/>
      <c r="N117" s="288"/>
      <c r="O117" s="288"/>
      <c r="P117" s="288"/>
      <c r="Q117" s="288"/>
      <c r="R117" s="288"/>
      <c r="S117" s="288"/>
      <c r="T117" s="288"/>
      <c r="U117" s="288"/>
      <c r="V117" s="338">
        <v>0</v>
      </c>
      <c r="W117" s="291"/>
      <c r="X117" s="5"/>
    </row>
    <row r="118" spans="1:25" ht="15.6" x14ac:dyDescent="0.3">
      <c r="A118" s="340">
        <f t="shared" si="0"/>
        <v>11</v>
      </c>
      <c r="B118" s="288" t="s">
        <v>36</v>
      </c>
      <c r="C118" s="288"/>
      <c r="D118" s="288"/>
      <c r="E118" s="288"/>
      <c r="F118" s="288"/>
      <c r="G118" s="288"/>
      <c r="H118" s="288"/>
      <c r="I118" s="288"/>
      <c r="J118" s="288"/>
      <c r="K118" s="288"/>
      <c r="L118" s="288"/>
      <c r="M118" s="288"/>
      <c r="N118" s="288"/>
      <c r="O118" s="288"/>
      <c r="P118" s="288"/>
      <c r="Q118" s="288"/>
      <c r="R118" s="288"/>
      <c r="S118" s="288"/>
      <c r="T118" s="288"/>
      <c r="U118" s="288"/>
      <c r="V118" s="338">
        <v>0</v>
      </c>
      <c r="W118" s="291"/>
      <c r="X118" s="5"/>
    </row>
    <row r="119" spans="1:25" ht="15.6" x14ac:dyDescent="0.3">
      <c r="A119" s="340">
        <f t="shared" si="0"/>
        <v>12</v>
      </c>
      <c r="B119" s="288" t="s">
        <v>239</v>
      </c>
      <c r="C119" s="288"/>
      <c r="D119" s="288"/>
      <c r="E119" s="288"/>
      <c r="F119" s="288"/>
      <c r="G119" s="288"/>
      <c r="H119" s="288"/>
      <c r="I119" s="288"/>
      <c r="J119" s="288"/>
      <c r="K119" s="288"/>
      <c r="L119" s="288"/>
      <c r="M119" s="288"/>
      <c r="N119" s="288"/>
      <c r="O119" s="288"/>
      <c r="P119" s="288"/>
      <c r="Q119" s="288"/>
      <c r="R119" s="288"/>
      <c r="S119" s="288"/>
      <c r="T119" s="288"/>
      <c r="U119" s="288"/>
      <c r="V119" s="338">
        <v>0</v>
      </c>
      <c r="W119" s="291"/>
      <c r="X119" s="5"/>
    </row>
    <row r="120" spans="1:25" ht="15.6" x14ac:dyDescent="0.3">
      <c r="A120" s="340">
        <f t="shared" si="0"/>
        <v>13</v>
      </c>
      <c r="B120" s="288" t="s">
        <v>149</v>
      </c>
      <c r="C120" s="288"/>
      <c r="D120" s="288"/>
      <c r="E120" s="288"/>
      <c r="F120" s="288"/>
      <c r="G120" s="288"/>
      <c r="H120" s="288"/>
      <c r="I120" s="288"/>
      <c r="J120" s="288"/>
      <c r="K120" s="288"/>
      <c r="L120" s="288"/>
      <c r="M120" s="288"/>
      <c r="N120" s="288"/>
      <c r="O120" s="288"/>
      <c r="P120" s="288"/>
      <c r="Q120" s="288"/>
      <c r="R120" s="288"/>
      <c r="S120" s="288"/>
      <c r="T120" s="288"/>
      <c r="U120" s="288"/>
      <c r="V120" s="338">
        <v>-710</v>
      </c>
      <c r="W120" s="291"/>
      <c r="X120" s="5"/>
    </row>
    <row r="121" spans="1:25" ht="15.6" x14ac:dyDescent="0.3">
      <c r="A121" s="340">
        <f t="shared" si="0"/>
        <v>14</v>
      </c>
      <c r="B121" s="288" t="s">
        <v>126</v>
      </c>
      <c r="C121" s="288"/>
      <c r="D121" s="288"/>
      <c r="E121" s="288"/>
      <c r="F121" s="288"/>
      <c r="G121" s="288"/>
      <c r="H121" s="288"/>
      <c r="I121" s="288"/>
      <c r="J121" s="288"/>
      <c r="K121" s="288"/>
      <c r="L121" s="288"/>
      <c r="M121" s="288"/>
      <c r="N121" s="288"/>
      <c r="O121" s="288"/>
      <c r="P121" s="288"/>
      <c r="Q121" s="288"/>
      <c r="R121" s="288"/>
      <c r="S121" s="288"/>
      <c r="T121" s="288"/>
      <c r="U121" s="288"/>
      <c r="V121" s="338">
        <f>-V101-SUM(V103:V120)</f>
        <v>-3176</v>
      </c>
      <c r="W121" s="291"/>
      <c r="X121" s="5"/>
    </row>
    <row r="122" spans="1:25" ht="15.6" x14ac:dyDescent="0.3">
      <c r="A122" s="287"/>
      <c r="B122" s="343" t="s">
        <v>37</v>
      </c>
      <c r="C122" s="314"/>
      <c r="D122" s="314"/>
      <c r="E122" s="314"/>
      <c r="F122" s="314"/>
      <c r="G122" s="314"/>
      <c r="H122" s="314"/>
      <c r="I122" s="314"/>
      <c r="J122" s="314"/>
      <c r="K122" s="314"/>
      <c r="L122" s="314"/>
      <c r="M122" s="314"/>
      <c r="N122" s="314"/>
      <c r="O122" s="314"/>
      <c r="P122" s="314"/>
      <c r="Q122" s="314"/>
      <c r="R122" s="314"/>
      <c r="S122" s="314"/>
      <c r="T122" s="314"/>
      <c r="U122" s="314"/>
      <c r="V122" s="346"/>
      <c r="W122" s="318"/>
      <c r="X122" s="5"/>
    </row>
    <row r="123" spans="1:25" ht="15.6" x14ac:dyDescent="0.3">
      <c r="A123" s="340"/>
      <c r="B123" s="288" t="s">
        <v>173</v>
      </c>
      <c r="C123" s="288"/>
      <c r="D123" s="288"/>
      <c r="E123" s="288"/>
      <c r="F123" s="288"/>
      <c r="G123" s="288"/>
      <c r="H123" s="288"/>
      <c r="I123" s="288"/>
      <c r="J123" s="288"/>
      <c r="K123" s="288"/>
      <c r="L123" s="288"/>
      <c r="M123" s="288"/>
      <c r="N123" s="288"/>
      <c r="O123" s="288"/>
      <c r="P123" s="288"/>
      <c r="Q123" s="288"/>
      <c r="R123" s="288"/>
      <c r="S123" s="288"/>
      <c r="T123" s="337">
        <f>-T189</f>
        <v>0</v>
      </c>
      <c r="U123" s="337"/>
      <c r="V123" s="338"/>
      <c r="W123" s="291"/>
      <c r="X123" s="5"/>
    </row>
    <row r="124" spans="1:25" ht="15.6" x14ac:dyDescent="0.3">
      <c r="A124" s="340"/>
      <c r="B124" s="288" t="s">
        <v>174</v>
      </c>
      <c r="C124" s="288"/>
      <c r="D124" s="288"/>
      <c r="E124" s="288"/>
      <c r="F124" s="288"/>
      <c r="G124" s="288"/>
      <c r="H124" s="288"/>
      <c r="I124" s="288"/>
      <c r="J124" s="288"/>
      <c r="K124" s="288"/>
      <c r="L124" s="288"/>
      <c r="M124" s="288"/>
      <c r="N124" s="288"/>
      <c r="O124" s="288"/>
      <c r="P124" s="288"/>
      <c r="Q124" s="288"/>
      <c r="R124" s="288"/>
      <c r="S124" s="288"/>
      <c r="T124" s="337">
        <v>-51</v>
      </c>
      <c r="U124" s="337"/>
      <c r="V124" s="338"/>
      <c r="W124" s="291"/>
      <c r="X124" s="5"/>
    </row>
    <row r="125" spans="1:25" ht="15.6" x14ac:dyDescent="0.3">
      <c r="A125" s="340"/>
      <c r="B125" s="288" t="s">
        <v>38</v>
      </c>
      <c r="C125" s="288"/>
      <c r="D125" s="288"/>
      <c r="E125" s="288"/>
      <c r="F125" s="288"/>
      <c r="G125" s="288"/>
      <c r="H125" s="288"/>
      <c r="I125" s="288"/>
      <c r="J125" s="288"/>
      <c r="K125" s="288"/>
      <c r="L125" s="288"/>
      <c r="M125" s="288"/>
      <c r="N125" s="288"/>
      <c r="O125" s="288"/>
      <c r="P125" s="288"/>
      <c r="Q125" s="288"/>
      <c r="R125" s="288"/>
      <c r="S125" s="288"/>
      <c r="T125" s="337">
        <f>-S189</f>
        <v>0</v>
      </c>
      <c r="U125" s="337"/>
      <c r="V125" s="338"/>
      <c r="W125" s="291"/>
      <c r="X125" s="5"/>
    </row>
    <row r="126" spans="1:25" ht="15.6" x14ac:dyDescent="0.3">
      <c r="A126" s="340"/>
      <c r="B126" s="288" t="s">
        <v>197</v>
      </c>
      <c r="C126" s="288"/>
      <c r="D126" s="288"/>
      <c r="E126" s="288"/>
      <c r="F126" s="288"/>
      <c r="G126" s="288"/>
      <c r="H126" s="288"/>
      <c r="I126" s="288"/>
      <c r="J126" s="288"/>
      <c r="K126" s="288"/>
      <c r="L126" s="288"/>
      <c r="M126" s="288"/>
      <c r="N126" s="288"/>
      <c r="O126" s="288"/>
      <c r="P126" s="288"/>
      <c r="Q126" s="288"/>
      <c r="R126" s="288"/>
      <c r="S126" s="288"/>
      <c r="T126" s="337">
        <v>-3639</v>
      </c>
      <c r="U126" s="337"/>
      <c r="V126" s="338"/>
      <c r="W126" s="291"/>
      <c r="X126" s="5"/>
    </row>
    <row r="127" spans="1:25" ht="15.6" x14ac:dyDescent="0.3">
      <c r="A127" s="340"/>
      <c r="B127" s="288" t="s">
        <v>195</v>
      </c>
      <c r="C127" s="288"/>
      <c r="D127" s="288"/>
      <c r="E127" s="288"/>
      <c r="F127" s="288"/>
      <c r="G127" s="288"/>
      <c r="H127" s="288"/>
      <c r="I127" s="288"/>
      <c r="J127" s="288"/>
      <c r="K127" s="288"/>
      <c r="L127" s="288"/>
      <c r="M127" s="288"/>
      <c r="N127" s="288"/>
      <c r="O127" s="288"/>
      <c r="P127" s="288"/>
      <c r="Q127" s="288"/>
      <c r="R127" s="288"/>
      <c r="S127" s="288"/>
      <c r="T127" s="337">
        <v>-587</v>
      </c>
      <c r="U127" s="337"/>
      <c r="V127" s="338"/>
      <c r="W127" s="291"/>
      <c r="X127" s="5"/>
    </row>
    <row r="128" spans="1:25" ht="15.6" x14ac:dyDescent="0.3">
      <c r="A128" s="340"/>
      <c r="B128" s="288" t="s">
        <v>194</v>
      </c>
      <c r="C128" s="288"/>
      <c r="D128" s="288"/>
      <c r="E128" s="288"/>
      <c r="F128" s="288"/>
      <c r="G128" s="288"/>
      <c r="H128" s="288"/>
      <c r="I128" s="288"/>
      <c r="J128" s="288"/>
      <c r="K128" s="288"/>
      <c r="L128" s="288"/>
      <c r="M128" s="288"/>
      <c r="N128" s="288"/>
      <c r="O128" s="288"/>
      <c r="P128" s="288"/>
      <c r="Q128" s="288"/>
      <c r="R128" s="288"/>
      <c r="S128" s="288"/>
      <c r="T128" s="337">
        <v>-789</v>
      </c>
      <c r="U128" s="337"/>
      <c r="V128" s="338"/>
      <c r="W128" s="291"/>
      <c r="X128" s="5"/>
    </row>
    <row r="129" spans="1:24" ht="15.6" x14ac:dyDescent="0.3">
      <c r="A129" s="340"/>
      <c r="B129" s="288" t="s">
        <v>226</v>
      </c>
      <c r="C129" s="288"/>
      <c r="D129" s="288"/>
      <c r="E129" s="288"/>
      <c r="F129" s="288"/>
      <c r="G129" s="288"/>
      <c r="H129" s="288"/>
      <c r="I129" s="288"/>
      <c r="J129" s="288"/>
      <c r="K129" s="288"/>
      <c r="L129" s="288"/>
      <c r="M129" s="288"/>
      <c r="N129" s="288"/>
      <c r="O129" s="288"/>
      <c r="P129" s="288"/>
      <c r="Q129" s="288"/>
      <c r="R129" s="288"/>
      <c r="S129" s="288"/>
      <c r="T129" s="337">
        <v>-970</v>
      </c>
      <c r="U129" s="337"/>
      <c r="V129" s="338"/>
      <c r="W129" s="291"/>
      <c r="X129" s="5"/>
    </row>
    <row r="130" spans="1:24" ht="15.6" x14ac:dyDescent="0.3">
      <c r="A130" s="340"/>
      <c r="B130" s="288" t="s">
        <v>189</v>
      </c>
      <c r="C130" s="288"/>
      <c r="D130" s="288"/>
      <c r="E130" s="288"/>
      <c r="F130" s="288"/>
      <c r="G130" s="288"/>
      <c r="H130" s="288"/>
      <c r="I130" s="288"/>
      <c r="J130" s="288"/>
      <c r="K130" s="288"/>
      <c r="L130" s="288"/>
      <c r="M130" s="288"/>
      <c r="N130" s="288"/>
      <c r="O130" s="288"/>
      <c r="P130" s="288"/>
      <c r="Q130" s="288"/>
      <c r="R130" s="288"/>
      <c r="S130" s="288"/>
      <c r="T130" s="337">
        <v>0</v>
      </c>
      <c r="U130" s="337"/>
      <c r="V130" s="338"/>
      <c r="W130" s="291"/>
      <c r="X130" s="5"/>
    </row>
    <row r="131" spans="1:24" ht="15.6" x14ac:dyDescent="0.3">
      <c r="A131" s="340"/>
      <c r="B131" s="288" t="s">
        <v>188</v>
      </c>
      <c r="C131" s="288"/>
      <c r="D131" s="288"/>
      <c r="E131" s="288"/>
      <c r="F131" s="288"/>
      <c r="G131" s="288"/>
      <c r="H131" s="288"/>
      <c r="I131" s="288"/>
      <c r="J131" s="288"/>
      <c r="K131" s="288"/>
      <c r="L131" s="288"/>
      <c r="M131" s="288"/>
      <c r="N131" s="288"/>
      <c r="O131" s="288"/>
      <c r="P131" s="288"/>
      <c r="Q131" s="288"/>
      <c r="R131" s="288"/>
      <c r="S131" s="288"/>
      <c r="T131" s="337">
        <v>0</v>
      </c>
      <c r="U131" s="337"/>
      <c r="V131" s="338"/>
      <c r="W131" s="291"/>
      <c r="X131" s="5"/>
    </row>
    <row r="132" spans="1:24" ht="15.6" x14ac:dyDescent="0.3">
      <c r="A132" s="340"/>
      <c r="B132" s="288" t="s">
        <v>227</v>
      </c>
      <c r="C132" s="288"/>
      <c r="D132" s="288"/>
      <c r="E132" s="288"/>
      <c r="F132" s="288"/>
      <c r="G132" s="288"/>
      <c r="H132" s="288"/>
      <c r="I132" s="288"/>
      <c r="J132" s="288"/>
      <c r="K132" s="288"/>
      <c r="L132" s="288"/>
      <c r="M132" s="288"/>
      <c r="N132" s="288"/>
      <c r="O132" s="288"/>
      <c r="P132" s="288"/>
      <c r="Q132" s="288"/>
      <c r="R132" s="288"/>
      <c r="S132" s="288"/>
      <c r="T132" s="337">
        <v>0</v>
      </c>
      <c r="U132" s="337"/>
      <c r="V132" s="338"/>
      <c r="W132" s="291"/>
      <c r="X132" s="5"/>
    </row>
    <row r="133" spans="1:24" ht="15.6" x14ac:dyDescent="0.3">
      <c r="A133" s="340"/>
      <c r="B133" s="288" t="s">
        <v>187</v>
      </c>
      <c r="C133" s="288"/>
      <c r="D133" s="288"/>
      <c r="E133" s="288"/>
      <c r="F133" s="288"/>
      <c r="G133" s="288"/>
      <c r="H133" s="288"/>
      <c r="I133" s="288"/>
      <c r="J133" s="288"/>
      <c r="K133" s="288"/>
      <c r="L133" s="288"/>
      <c r="M133" s="288"/>
      <c r="N133" s="288"/>
      <c r="O133" s="288"/>
      <c r="P133" s="288"/>
      <c r="Q133" s="288"/>
      <c r="R133" s="288"/>
      <c r="S133" s="288"/>
      <c r="T133" s="337">
        <v>0</v>
      </c>
      <c r="U133" s="337"/>
      <c r="V133" s="338"/>
      <c r="W133" s="291"/>
      <c r="X133" s="5"/>
    </row>
    <row r="134" spans="1:24" ht="15.6" x14ac:dyDescent="0.3">
      <c r="A134" s="340"/>
      <c r="B134" s="288" t="s">
        <v>39</v>
      </c>
      <c r="C134" s="288"/>
      <c r="D134" s="288"/>
      <c r="E134" s="288"/>
      <c r="F134" s="288"/>
      <c r="G134" s="288"/>
      <c r="H134" s="288"/>
      <c r="I134" s="288"/>
      <c r="J134" s="288"/>
      <c r="K134" s="288"/>
      <c r="L134" s="288"/>
      <c r="M134" s="288"/>
      <c r="N134" s="288"/>
      <c r="O134" s="288"/>
      <c r="P134" s="288"/>
      <c r="Q134" s="288"/>
      <c r="R134" s="288"/>
      <c r="S134" s="288"/>
      <c r="T134" s="337">
        <f>SUM(T123:T133)</f>
        <v>-6036</v>
      </c>
      <c r="U134" s="337"/>
      <c r="V134" s="337">
        <f>SUM(V102:V131)</f>
        <v>-8100</v>
      </c>
      <c r="W134" s="291"/>
      <c r="X134" s="5"/>
    </row>
    <row r="135" spans="1:24" ht="15.6" x14ac:dyDescent="0.3">
      <c r="A135" s="340"/>
      <c r="B135" s="288" t="s">
        <v>40</v>
      </c>
      <c r="C135" s="288"/>
      <c r="D135" s="288"/>
      <c r="E135" s="288"/>
      <c r="F135" s="288"/>
      <c r="G135" s="288"/>
      <c r="H135" s="288"/>
      <c r="I135" s="288"/>
      <c r="J135" s="288"/>
      <c r="K135" s="288"/>
      <c r="L135" s="288"/>
      <c r="M135" s="288"/>
      <c r="N135" s="288"/>
      <c r="O135" s="288"/>
      <c r="P135" s="288"/>
      <c r="Q135" s="288"/>
      <c r="R135" s="288"/>
      <c r="S135" s="288"/>
      <c r="T135" s="337">
        <f>T101+T134+T115</f>
        <v>0</v>
      </c>
      <c r="U135" s="337"/>
      <c r="V135" s="337">
        <f>V101+V134</f>
        <v>0</v>
      </c>
      <c r="W135" s="291"/>
      <c r="X135" s="5"/>
    </row>
    <row r="136" spans="1:24" ht="15.6" x14ac:dyDescent="0.3">
      <c r="A136" s="243"/>
      <c r="B136" s="284"/>
      <c r="C136" s="284"/>
      <c r="D136" s="284"/>
      <c r="E136" s="284"/>
      <c r="F136" s="284"/>
      <c r="G136" s="284"/>
      <c r="H136" s="284"/>
      <c r="I136" s="284"/>
      <c r="J136" s="284"/>
      <c r="K136" s="284"/>
      <c r="L136" s="284"/>
      <c r="M136" s="284"/>
      <c r="N136" s="284"/>
      <c r="O136" s="284"/>
      <c r="P136" s="284"/>
      <c r="Q136" s="284"/>
      <c r="R136" s="284"/>
      <c r="S136" s="284"/>
      <c r="T136" s="339"/>
      <c r="U136" s="339"/>
      <c r="V136" s="339"/>
      <c r="W136" s="284"/>
      <c r="X136" s="5"/>
    </row>
    <row r="137" spans="1:24" ht="15.6" x14ac:dyDescent="0.3">
      <c r="A137" s="243"/>
      <c r="B137" s="224"/>
      <c r="C137" s="224"/>
      <c r="D137" s="224"/>
      <c r="E137" s="224"/>
      <c r="F137" s="224"/>
      <c r="G137" s="224"/>
      <c r="H137" s="224"/>
      <c r="I137" s="224"/>
      <c r="J137" s="224"/>
      <c r="K137" s="224"/>
      <c r="L137" s="224"/>
      <c r="M137" s="224"/>
      <c r="N137" s="224"/>
      <c r="O137" s="224"/>
      <c r="P137" s="224"/>
      <c r="Q137" s="224"/>
      <c r="R137" s="224"/>
      <c r="S137" s="224"/>
      <c r="T137" s="224"/>
      <c r="U137" s="224"/>
      <c r="V137" s="244"/>
      <c r="W137" s="224"/>
      <c r="X137" s="5"/>
    </row>
    <row r="138" spans="1:24" ht="18" thickBot="1" x14ac:dyDescent="0.35">
      <c r="A138" s="245"/>
      <c r="B138" s="237" t="str">
        <f>B64</f>
        <v>PM14 INVESTOR REPORT QUARTER ENDING FEBRUARY 2012</v>
      </c>
      <c r="C138" s="238"/>
      <c r="D138" s="238"/>
      <c r="E138" s="238"/>
      <c r="F138" s="238"/>
      <c r="G138" s="238"/>
      <c r="H138" s="238"/>
      <c r="I138" s="238"/>
      <c r="J138" s="238"/>
      <c r="K138" s="238"/>
      <c r="L138" s="238"/>
      <c r="M138" s="238"/>
      <c r="N138" s="238"/>
      <c r="O138" s="238"/>
      <c r="P138" s="238"/>
      <c r="Q138" s="238"/>
      <c r="R138" s="238"/>
      <c r="S138" s="238"/>
      <c r="T138" s="238"/>
      <c r="U138" s="238"/>
      <c r="V138" s="246"/>
      <c r="W138" s="240"/>
      <c r="X138" s="5"/>
    </row>
    <row r="139" spans="1:24" ht="15.6" x14ac:dyDescent="0.3">
      <c r="A139" s="273"/>
      <c r="B139" s="403" t="s">
        <v>41</v>
      </c>
      <c r="C139" s="274"/>
      <c r="D139" s="274"/>
      <c r="E139" s="274"/>
      <c r="F139" s="274"/>
      <c r="G139" s="274"/>
      <c r="H139" s="274"/>
      <c r="I139" s="274"/>
      <c r="J139" s="274"/>
      <c r="K139" s="274"/>
      <c r="L139" s="274"/>
      <c r="M139" s="274"/>
      <c r="N139" s="274"/>
      <c r="O139" s="274"/>
      <c r="P139" s="274"/>
      <c r="Q139" s="274"/>
      <c r="R139" s="274"/>
      <c r="S139" s="274"/>
      <c r="T139" s="274"/>
      <c r="U139" s="274"/>
      <c r="V139" s="275"/>
      <c r="W139" s="274"/>
      <c r="X139" s="5"/>
    </row>
    <row r="140" spans="1:24" ht="15.6" x14ac:dyDescent="0.3">
      <c r="A140" s="183"/>
      <c r="B140" s="195"/>
      <c r="C140" s="185"/>
      <c r="D140" s="185"/>
      <c r="E140" s="185"/>
      <c r="F140" s="185"/>
      <c r="G140" s="185"/>
      <c r="H140" s="185"/>
      <c r="I140" s="185"/>
      <c r="J140" s="185"/>
      <c r="K140" s="185"/>
      <c r="L140" s="185"/>
      <c r="M140" s="185"/>
      <c r="N140" s="185"/>
      <c r="O140" s="185"/>
      <c r="P140" s="185"/>
      <c r="Q140" s="185"/>
      <c r="R140" s="185"/>
      <c r="S140" s="185"/>
      <c r="T140" s="185"/>
      <c r="U140" s="185"/>
      <c r="V140" s="201"/>
      <c r="W140" s="185"/>
      <c r="X140" s="5"/>
    </row>
    <row r="141" spans="1:24" ht="15.6" x14ac:dyDescent="0.3">
      <c r="A141" s="183"/>
      <c r="B141" s="208" t="s">
        <v>42</v>
      </c>
      <c r="C141" s="185"/>
      <c r="D141" s="185"/>
      <c r="E141" s="185"/>
      <c r="F141" s="185"/>
      <c r="G141" s="185"/>
      <c r="H141" s="185"/>
      <c r="I141" s="185"/>
      <c r="J141" s="185"/>
      <c r="K141" s="185"/>
      <c r="L141" s="185"/>
      <c r="M141" s="185"/>
      <c r="N141" s="185"/>
      <c r="O141" s="185"/>
      <c r="P141" s="185"/>
      <c r="Q141" s="185"/>
      <c r="R141" s="185"/>
      <c r="S141" s="185"/>
      <c r="T141" s="185"/>
      <c r="U141" s="185"/>
      <c r="V141" s="201"/>
      <c r="W141" s="185"/>
      <c r="X141" s="5"/>
    </row>
    <row r="142" spans="1:24" ht="15.6" x14ac:dyDescent="0.3">
      <c r="A142" s="287"/>
      <c r="B142" s="288" t="s">
        <v>43</v>
      </c>
      <c r="C142" s="288"/>
      <c r="D142" s="288"/>
      <c r="E142" s="288"/>
      <c r="F142" s="288"/>
      <c r="G142" s="288"/>
      <c r="H142" s="288"/>
      <c r="I142" s="288"/>
      <c r="J142" s="288"/>
      <c r="K142" s="288"/>
      <c r="L142" s="288"/>
      <c r="M142" s="288"/>
      <c r="N142" s="288"/>
      <c r="O142" s="288"/>
      <c r="P142" s="288"/>
      <c r="Q142" s="288"/>
      <c r="R142" s="288"/>
      <c r="S142" s="288"/>
      <c r="T142" s="288"/>
      <c r="U142" s="288"/>
      <c r="V142" s="338">
        <f>+V34*0.019</f>
        <v>28505.224999999999</v>
      </c>
      <c r="W142" s="291"/>
      <c r="X142" s="5"/>
    </row>
    <row r="143" spans="1:24" ht="15.6" x14ac:dyDescent="0.3">
      <c r="A143" s="287"/>
      <c r="B143" s="288" t="s">
        <v>44</v>
      </c>
      <c r="C143" s="288"/>
      <c r="D143" s="288"/>
      <c r="E143" s="288"/>
      <c r="F143" s="288"/>
      <c r="G143" s="288"/>
      <c r="H143" s="288"/>
      <c r="I143" s="288"/>
      <c r="J143" s="288"/>
      <c r="K143" s="288"/>
      <c r="L143" s="288"/>
      <c r="M143" s="288"/>
      <c r="N143" s="288"/>
      <c r="O143" s="288"/>
      <c r="P143" s="288"/>
      <c r="Q143" s="288"/>
      <c r="R143" s="288"/>
      <c r="S143" s="288"/>
      <c r="T143" s="288"/>
      <c r="U143" s="288"/>
      <c r="V143" s="338">
        <v>28505</v>
      </c>
      <c r="W143" s="291"/>
      <c r="X143" s="5"/>
    </row>
    <row r="144" spans="1:24" ht="15.6" x14ac:dyDescent="0.3">
      <c r="A144" s="287"/>
      <c r="B144" s="288" t="s">
        <v>136</v>
      </c>
      <c r="C144" s="288"/>
      <c r="D144" s="288"/>
      <c r="E144" s="288"/>
      <c r="F144" s="288"/>
      <c r="G144" s="288"/>
      <c r="H144" s="288"/>
      <c r="I144" s="288"/>
      <c r="J144" s="288"/>
      <c r="K144" s="288"/>
      <c r="L144" s="288"/>
      <c r="M144" s="288"/>
      <c r="N144" s="288"/>
      <c r="O144" s="288"/>
      <c r="P144" s="288"/>
      <c r="Q144" s="288"/>
      <c r="R144" s="288"/>
      <c r="S144" s="288"/>
      <c r="T144" s="288"/>
      <c r="U144" s="288"/>
      <c r="V144" s="338"/>
      <c r="W144" s="291"/>
      <c r="X144" s="5"/>
    </row>
    <row r="145" spans="1:25" ht="15.6" x14ac:dyDescent="0.3">
      <c r="A145" s="287"/>
      <c r="B145" s="288" t="s">
        <v>123</v>
      </c>
      <c r="C145" s="288"/>
      <c r="D145" s="288"/>
      <c r="E145" s="288"/>
      <c r="F145" s="288"/>
      <c r="G145" s="288"/>
      <c r="H145" s="288"/>
      <c r="I145" s="288"/>
      <c r="J145" s="288"/>
      <c r="K145" s="288"/>
      <c r="L145" s="288"/>
      <c r="M145" s="288"/>
      <c r="N145" s="288"/>
      <c r="O145" s="288"/>
      <c r="P145" s="288"/>
      <c r="Q145" s="288"/>
      <c r="R145" s="288"/>
      <c r="S145" s="288"/>
      <c r="T145" s="288"/>
      <c r="U145" s="288"/>
      <c r="V145" s="338">
        <v>0</v>
      </c>
      <c r="W145" s="291"/>
      <c r="X145" s="5"/>
    </row>
    <row r="146" spans="1:25" ht="15.6" x14ac:dyDescent="0.3">
      <c r="A146" s="287"/>
      <c r="B146" s="288" t="s">
        <v>124</v>
      </c>
      <c r="C146" s="288"/>
      <c r="D146" s="288"/>
      <c r="E146" s="288"/>
      <c r="F146" s="288"/>
      <c r="G146" s="288"/>
      <c r="H146" s="288"/>
      <c r="I146" s="288"/>
      <c r="J146" s="288"/>
      <c r="K146" s="288"/>
      <c r="L146" s="288"/>
      <c r="M146" s="288"/>
      <c r="N146" s="288"/>
      <c r="O146" s="288"/>
      <c r="P146" s="288"/>
      <c r="Q146" s="288"/>
      <c r="R146" s="288"/>
      <c r="S146" s="288"/>
      <c r="T146" s="288"/>
      <c r="U146" s="288"/>
      <c r="V146" s="338">
        <v>0</v>
      </c>
      <c r="W146" s="291"/>
      <c r="X146" s="5"/>
    </row>
    <row r="147" spans="1:25" ht="15.6" x14ac:dyDescent="0.3">
      <c r="A147" s="287"/>
      <c r="B147" s="288" t="s">
        <v>175</v>
      </c>
      <c r="C147" s="288"/>
      <c r="D147" s="288"/>
      <c r="E147" s="288"/>
      <c r="F147" s="288"/>
      <c r="G147" s="288"/>
      <c r="H147" s="288"/>
      <c r="I147" s="288"/>
      <c r="J147" s="288"/>
      <c r="K147" s="288"/>
      <c r="L147" s="288"/>
      <c r="M147" s="288"/>
      <c r="N147" s="288"/>
      <c r="O147" s="288"/>
      <c r="P147" s="288"/>
      <c r="Q147" s="288"/>
      <c r="R147" s="288"/>
      <c r="S147" s="288"/>
      <c r="T147" s="288"/>
      <c r="U147" s="288"/>
      <c r="V147" s="338">
        <v>0</v>
      </c>
      <c r="W147" s="291"/>
      <c r="X147" s="5"/>
    </row>
    <row r="148" spans="1:25" ht="15.6" x14ac:dyDescent="0.3">
      <c r="A148" s="287"/>
      <c r="B148" s="288" t="s">
        <v>45</v>
      </c>
      <c r="C148" s="288"/>
      <c r="D148" s="288"/>
      <c r="E148" s="288"/>
      <c r="F148" s="288"/>
      <c r="G148" s="288"/>
      <c r="H148" s="288"/>
      <c r="I148" s="288"/>
      <c r="J148" s="288"/>
      <c r="K148" s="288"/>
      <c r="L148" s="288"/>
      <c r="M148" s="288"/>
      <c r="N148" s="288"/>
      <c r="O148" s="288"/>
      <c r="P148" s="288"/>
      <c r="Q148" s="288"/>
      <c r="R148" s="288"/>
      <c r="S148" s="288"/>
      <c r="T148" s="288"/>
      <c r="U148" s="288"/>
      <c r="V148" s="338">
        <v>0</v>
      </c>
      <c r="W148" s="291"/>
      <c r="X148" s="5"/>
    </row>
    <row r="149" spans="1:25" ht="15.6" x14ac:dyDescent="0.3">
      <c r="A149" s="287"/>
      <c r="B149" s="288" t="s">
        <v>129</v>
      </c>
      <c r="C149" s="288"/>
      <c r="D149" s="288"/>
      <c r="E149" s="288"/>
      <c r="F149" s="288"/>
      <c r="G149" s="288"/>
      <c r="H149" s="288"/>
      <c r="I149" s="288"/>
      <c r="J149" s="288"/>
      <c r="K149" s="288"/>
      <c r="L149" s="288"/>
      <c r="M149" s="288"/>
      <c r="N149" s="288"/>
      <c r="O149" s="288"/>
      <c r="P149" s="288"/>
      <c r="Q149" s="288"/>
      <c r="R149" s="288"/>
      <c r="S149" s="288"/>
      <c r="T149" s="288"/>
      <c r="U149" s="288"/>
      <c r="V149" s="338">
        <v>0</v>
      </c>
      <c r="W149" s="291"/>
      <c r="X149" s="5"/>
    </row>
    <row r="150" spans="1:25" ht="15.6" x14ac:dyDescent="0.3">
      <c r="A150" s="287"/>
      <c r="B150" s="288" t="s">
        <v>267</v>
      </c>
      <c r="C150" s="288"/>
      <c r="D150" s="288"/>
      <c r="E150" s="288"/>
      <c r="F150" s="288"/>
      <c r="G150" s="288"/>
      <c r="H150" s="288"/>
      <c r="I150" s="288"/>
      <c r="J150" s="288"/>
      <c r="K150" s="288"/>
      <c r="L150" s="288"/>
      <c r="M150" s="288"/>
      <c r="N150" s="288"/>
      <c r="O150" s="288"/>
      <c r="P150" s="288"/>
      <c r="Q150" s="288"/>
      <c r="R150" s="288"/>
      <c r="S150" s="288"/>
      <c r="T150" s="288"/>
      <c r="U150" s="288"/>
      <c r="V150" s="338">
        <v>0</v>
      </c>
      <c r="W150" s="291"/>
      <c r="X150" s="5"/>
      <c r="Y150" s="109"/>
    </row>
    <row r="151" spans="1:25" ht="15.6" x14ac:dyDescent="0.3">
      <c r="A151" s="287"/>
      <c r="B151" s="288" t="s">
        <v>46</v>
      </c>
      <c r="C151" s="288"/>
      <c r="D151" s="288"/>
      <c r="E151" s="288"/>
      <c r="F151" s="288"/>
      <c r="G151" s="288"/>
      <c r="H151" s="288"/>
      <c r="I151" s="288"/>
      <c r="J151" s="288"/>
      <c r="K151" s="288"/>
      <c r="L151" s="288"/>
      <c r="M151" s="288"/>
      <c r="N151" s="288"/>
      <c r="O151" s="288"/>
      <c r="P151" s="288"/>
      <c r="Q151" s="288"/>
      <c r="R151" s="288"/>
      <c r="S151" s="288"/>
      <c r="T151" s="288"/>
      <c r="U151" s="288"/>
      <c r="V151" s="338">
        <f>SUM(V143:V150)</f>
        <v>28505</v>
      </c>
      <c r="W151" s="291"/>
      <c r="X151" s="5"/>
    </row>
    <row r="152" spans="1:25" ht="15.6" x14ac:dyDescent="0.3">
      <c r="A152" s="287"/>
      <c r="B152" s="314"/>
      <c r="C152" s="314"/>
      <c r="D152" s="314"/>
      <c r="E152" s="314"/>
      <c r="F152" s="314"/>
      <c r="G152" s="314"/>
      <c r="H152" s="314"/>
      <c r="I152" s="314"/>
      <c r="J152" s="314"/>
      <c r="K152" s="314"/>
      <c r="L152" s="314"/>
      <c r="M152" s="314"/>
      <c r="N152" s="314"/>
      <c r="O152" s="314"/>
      <c r="P152" s="314"/>
      <c r="Q152" s="314"/>
      <c r="R152" s="314"/>
      <c r="S152" s="314"/>
      <c r="T152" s="314"/>
      <c r="U152" s="314"/>
      <c r="V152" s="345"/>
      <c r="W152" s="318"/>
      <c r="X152" s="5"/>
    </row>
    <row r="153" spans="1:25" ht="15.6" x14ac:dyDescent="0.3">
      <c r="A153" s="287"/>
      <c r="B153" s="343" t="s">
        <v>237</v>
      </c>
      <c r="C153" s="314"/>
      <c r="D153" s="314"/>
      <c r="E153" s="314"/>
      <c r="F153" s="314"/>
      <c r="G153" s="314"/>
      <c r="H153" s="314"/>
      <c r="I153" s="314"/>
      <c r="J153" s="314"/>
      <c r="K153" s="314"/>
      <c r="L153" s="314"/>
      <c r="M153" s="314"/>
      <c r="N153" s="314"/>
      <c r="O153" s="314"/>
      <c r="P153" s="314"/>
      <c r="Q153" s="314"/>
      <c r="R153" s="314"/>
      <c r="S153" s="314"/>
      <c r="T153" s="314"/>
      <c r="U153" s="314"/>
      <c r="V153" s="345"/>
      <c r="W153" s="318"/>
      <c r="X153" s="5"/>
    </row>
    <row r="154" spans="1:25" ht="15.6" x14ac:dyDescent="0.3">
      <c r="A154" s="287"/>
      <c r="B154" s="288" t="s">
        <v>155</v>
      </c>
      <c r="C154" s="288"/>
      <c r="D154" s="288"/>
      <c r="E154" s="288"/>
      <c r="F154" s="288"/>
      <c r="G154" s="288"/>
      <c r="H154" s="288"/>
      <c r="I154" s="288"/>
      <c r="J154" s="288"/>
      <c r="K154" s="288"/>
      <c r="L154" s="288"/>
      <c r="M154" s="288"/>
      <c r="N154" s="288"/>
      <c r="O154" s="288"/>
      <c r="P154" s="288"/>
      <c r="Q154" s="288"/>
      <c r="R154" s="288"/>
      <c r="S154" s="288"/>
      <c r="T154" s="288"/>
      <c r="U154" s="288"/>
      <c r="V154" s="338">
        <v>7500</v>
      </c>
      <c r="W154" s="291"/>
      <c r="X154" s="5"/>
    </row>
    <row r="155" spans="1:25" ht="15.6" x14ac:dyDescent="0.3">
      <c r="A155" s="287"/>
      <c r="B155" s="288" t="s">
        <v>172</v>
      </c>
      <c r="C155" s="288"/>
      <c r="D155" s="288"/>
      <c r="E155" s="288"/>
      <c r="F155" s="288"/>
      <c r="G155" s="288"/>
      <c r="H155" s="288"/>
      <c r="I155" s="288"/>
      <c r="J155" s="288"/>
      <c r="K155" s="288"/>
      <c r="L155" s="288"/>
      <c r="M155" s="288"/>
      <c r="N155" s="288"/>
      <c r="O155" s="288"/>
      <c r="P155" s="288"/>
      <c r="Q155" s="288"/>
      <c r="R155" s="288"/>
      <c r="S155" s="288"/>
      <c r="T155" s="288"/>
      <c r="U155" s="288"/>
      <c r="V155" s="338">
        <v>0</v>
      </c>
      <c r="W155" s="291"/>
      <c r="X155" s="5"/>
    </row>
    <row r="156" spans="1:25" ht="15.6" x14ac:dyDescent="0.3">
      <c r="A156" s="287"/>
      <c r="B156" s="288" t="s">
        <v>305</v>
      </c>
      <c r="C156" s="288"/>
      <c r="D156" s="288"/>
      <c r="E156" s="288"/>
      <c r="F156" s="288"/>
      <c r="G156" s="288"/>
      <c r="H156" s="288"/>
      <c r="I156" s="288"/>
      <c r="J156" s="288"/>
      <c r="K156" s="288"/>
      <c r="L156" s="288"/>
      <c r="M156" s="288"/>
      <c r="N156" s="288"/>
      <c r="O156" s="288"/>
      <c r="P156" s="288"/>
      <c r="Q156" s="288"/>
      <c r="R156" s="288"/>
      <c r="S156" s="288"/>
      <c r="T156" s="288"/>
      <c r="U156" s="288"/>
      <c r="V156" s="338">
        <v>2101</v>
      </c>
      <c r="W156" s="291"/>
      <c r="X156" s="5"/>
    </row>
    <row r="157" spans="1:25" ht="15.6" x14ac:dyDescent="0.3">
      <c r="A157" s="287"/>
      <c r="B157" s="288"/>
      <c r="C157" s="288"/>
      <c r="D157" s="288"/>
      <c r="E157" s="288"/>
      <c r="F157" s="288"/>
      <c r="G157" s="288"/>
      <c r="H157" s="288"/>
      <c r="I157" s="288"/>
      <c r="J157" s="288"/>
      <c r="K157" s="288"/>
      <c r="L157" s="288"/>
      <c r="M157" s="288"/>
      <c r="N157" s="288"/>
      <c r="O157" s="288"/>
      <c r="P157" s="288"/>
      <c r="Q157" s="288"/>
      <c r="R157" s="288"/>
      <c r="S157" s="288"/>
      <c r="T157" s="288"/>
      <c r="U157" s="288"/>
      <c r="V157" s="338"/>
      <c r="W157" s="291"/>
      <c r="X157" s="5"/>
    </row>
    <row r="158" spans="1:25" ht="15.6" x14ac:dyDescent="0.3">
      <c r="A158" s="183"/>
      <c r="B158" s="198"/>
      <c r="C158" s="198"/>
      <c r="D158" s="198"/>
      <c r="E158" s="198"/>
      <c r="F158" s="198"/>
      <c r="G158" s="198"/>
      <c r="H158" s="198"/>
      <c r="I158" s="198"/>
      <c r="J158" s="198"/>
      <c r="K158" s="198"/>
      <c r="L158" s="198"/>
      <c r="M158" s="198"/>
      <c r="N158" s="198"/>
      <c r="O158" s="198"/>
      <c r="P158" s="198"/>
      <c r="Q158" s="198"/>
      <c r="R158" s="198"/>
      <c r="S158" s="198"/>
      <c r="T158" s="198"/>
      <c r="U158" s="198"/>
      <c r="V158" s="347"/>
      <c r="W158" s="198"/>
      <c r="X158" s="5"/>
    </row>
    <row r="159" spans="1:25" ht="15.6" x14ac:dyDescent="0.3">
      <c r="A159" s="183"/>
      <c r="B159" s="208" t="s">
        <v>24</v>
      </c>
      <c r="C159" s="185"/>
      <c r="D159" s="185"/>
      <c r="E159" s="185"/>
      <c r="F159" s="185"/>
      <c r="G159" s="185"/>
      <c r="H159" s="185"/>
      <c r="I159" s="185"/>
      <c r="J159" s="185"/>
      <c r="K159" s="185"/>
      <c r="L159" s="185"/>
      <c r="M159" s="185"/>
      <c r="N159" s="185"/>
      <c r="O159" s="185"/>
      <c r="P159" s="185"/>
      <c r="Q159" s="185"/>
      <c r="R159" s="185"/>
      <c r="S159" s="185"/>
      <c r="T159" s="185"/>
      <c r="U159" s="185"/>
      <c r="V159" s="201"/>
      <c r="W159" s="185"/>
      <c r="X159" s="5"/>
    </row>
    <row r="160" spans="1:25" ht="15.6" x14ac:dyDescent="0.3">
      <c r="A160" s="287"/>
      <c r="B160" s="288" t="s">
        <v>47</v>
      </c>
      <c r="C160" s="288"/>
      <c r="D160" s="288"/>
      <c r="E160" s="288"/>
      <c r="F160" s="288"/>
      <c r="G160" s="288"/>
      <c r="H160" s="288"/>
      <c r="I160" s="288"/>
      <c r="J160" s="288"/>
      <c r="K160" s="288"/>
      <c r="L160" s="288"/>
      <c r="M160" s="288"/>
      <c r="N160" s="288"/>
      <c r="O160" s="288"/>
      <c r="P160" s="288"/>
      <c r="Q160" s="288"/>
      <c r="R160" s="288"/>
      <c r="S160" s="288"/>
      <c r="T160" s="288"/>
      <c r="U160" s="288"/>
      <c r="V160" s="348" t="s">
        <v>118</v>
      </c>
      <c r="W160" s="291"/>
      <c r="X160" s="5"/>
    </row>
    <row r="161" spans="1:256" ht="15.6" x14ac:dyDescent="0.3">
      <c r="A161" s="287"/>
      <c r="B161" s="288" t="s">
        <v>48</v>
      </c>
      <c r="C161" s="290"/>
      <c r="D161" s="290"/>
      <c r="E161" s="290"/>
      <c r="F161" s="290"/>
      <c r="G161" s="290"/>
      <c r="H161" s="290"/>
      <c r="I161" s="290"/>
      <c r="J161" s="290"/>
      <c r="K161" s="290"/>
      <c r="L161" s="290"/>
      <c r="M161" s="290"/>
      <c r="N161" s="290"/>
      <c r="O161" s="290"/>
      <c r="P161" s="290"/>
      <c r="Q161" s="290"/>
      <c r="R161" s="290"/>
      <c r="S161" s="290"/>
      <c r="T161" s="290"/>
      <c r="U161" s="290"/>
      <c r="V161" s="348" t="s">
        <v>118</v>
      </c>
      <c r="W161" s="291"/>
      <c r="X161" s="5"/>
    </row>
    <row r="162" spans="1:256" ht="15.6" x14ac:dyDescent="0.3">
      <c r="A162" s="287"/>
      <c r="B162" s="288" t="s">
        <v>49</v>
      </c>
      <c r="C162" s="288"/>
      <c r="D162" s="288"/>
      <c r="E162" s="288"/>
      <c r="F162" s="288"/>
      <c r="G162" s="288"/>
      <c r="H162" s="288"/>
      <c r="I162" s="288"/>
      <c r="J162" s="288"/>
      <c r="K162" s="288"/>
      <c r="L162" s="288"/>
      <c r="M162" s="288"/>
      <c r="N162" s="288"/>
      <c r="O162" s="288"/>
      <c r="P162" s="288"/>
      <c r="Q162" s="288"/>
      <c r="R162" s="288"/>
      <c r="S162" s="288"/>
      <c r="T162" s="288"/>
      <c r="U162" s="288"/>
      <c r="V162" s="348" t="s">
        <v>118</v>
      </c>
      <c r="W162" s="291"/>
      <c r="X162" s="5"/>
    </row>
    <row r="163" spans="1:256" ht="15.6" x14ac:dyDescent="0.3">
      <c r="A163" s="287"/>
      <c r="B163" s="288" t="s">
        <v>50</v>
      </c>
      <c r="C163" s="288"/>
      <c r="D163" s="288"/>
      <c r="E163" s="288"/>
      <c r="F163" s="288"/>
      <c r="G163" s="288"/>
      <c r="H163" s="288"/>
      <c r="I163" s="288"/>
      <c r="J163" s="288"/>
      <c r="K163" s="288"/>
      <c r="L163" s="288"/>
      <c r="M163" s="288"/>
      <c r="N163" s="288"/>
      <c r="O163" s="288"/>
      <c r="P163" s="288"/>
      <c r="Q163" s="288"/>
      <c r="R163" s="288"/>
      <c r="S163" s="288"/>
      <c r="T163" s="288"/>
      <c r="U163" s="288"/>
      <c r="V163" s="348" t="s">
        <v>118</v>
      </c>
      <c r="W163" s="291"/>
      <c r="X163" s="5"/>
    </row>
    <row r="164" spans="1:256" ht="15.6" x14ac:dyDescent="0.3">
      <c r="A164" s="183"/>
      <c r="B164" s="198"/>
      <c r="C164" s="198"/>
      <c r="D164" s="198"/>
      <c r="E164" s="198"/>
      <c r="F164" s="198"/>
      <c r="G164" s="198"/>
      <c r="H164" s="198"/>
      <c r="I164" s="198"/>
      <c r="J164" s="198"/>
      <c r="K164" s="198"/>
      <c r="L164" s="198"/>
      <c r="M164" s="198"/>
      <c r="N164" s="198"/>
      <c r="O164" s="198"/>
      <c r="P164" s="198"/>
      <c r="Q164" s="198"/>
      <c r="R164" s="198"/>
      <c r="S164" s="198"/>
      <c r="T164" s="198"/>
      <c r="U164" s="198"/>
      <c r="V164" s="347"/>
      <c r="W164" s="198"/>
      <c r="X164" s="5"/>
    </row>
    <row r="165" spans="1:256" ht="15.6" x14ac:dyDescent="0.3">
      <c r="A165" s="183"/>
      <c r="B165" s="208" t="s">
        <v>51</v>
      </c>
      <c r="C165" s="185"/>
      <c r="D165" s="185"/>
      <c r="E165" s="185"/>
      <c r="F165" s="185"/>
      <c r="G165" s="185"/>
      <c r="H165" s="185"/>
      <c r="I165" s="185"/>
      <c r="J165" s="185"/>
      <c r="K165" s="185"/>
      <c r="L165" s="185"/>
      <c r="M165" s="185"/>
      <c r="N165" s="185"/>
      <c r="O165" s="185"/>
      <c r="P165" s="185"/>
      <c r="Q165" s="185"/>
      <c r="R165" s="185"/>
      <c r="S165" s="185"/>
      <c r="T165" s="185"/>
      <c r="U165" s="185"/>
      <c r="V165" s="209"/>
      <c r="W165" s="185"/>
      <c r="X165" s="5"/>
    </row>
    <row r="166" spans="1:256" ht="15.6" x14ac:dyDescent="0.3">
      <c r="A166" s="287"/>
      <c r="B166" s="288" t="s">
        <v>52</v>
      </c>
      <c r="C166" s="288"/>
      <c r="D166" s="288"/>
      <c r="E166" s="288"/>
      <c r="F166" s="288"/>
      <c r="G166" s="288"/>
      <c r="H166" s="288"/>
      <c r="I166" s="288"/>
      <c r="J166" s="288"/>
      <c r="K166" s="288"/>
      <c r="L166" s="288"/>
      <c r="M166" s="288"/>
      <c r="N166" s="288"/>
      <c r="O166" s="288"/>
      <c r="P166" s="288"/>
      <c r="Q166" s="288"/>
      <c r="R166" s="288"/>
      <c r="S166" s="288"/>
      <c r="T166" s="288"/>
      <c r="U166" s="288"/>
      <c r="V166" s="338">
        <v>0</v>
      </c>
      <c r="W166" s="291"/>
      <c r="X166" s="5"/>
    </row>
    <row r="167" spans="1:256" ht="15.6" x14ac:dyDescent="0.3">
      <c r="A167" s="287"/>
      <c r="B167" s="288" t="s">
        <v>53</v>
      </c>
      <c r="C167" s="288"/>
      <c r="D167" s="288"/>
      <c r="E167" s="288"/>
      <c r="F167" s="288"/>
      <c r="G167" s="288"/>
      <c r="H167" s="288"/>
      <c r="I167" s="288"/>
      <c r="J167" s="288"/>
      <c r="K167" s="288"/>
      <c r="L167" s="288"/>
      <c r="M167" s="288"/>
      <c r="N167" s="288"/>
      <c r="O167" s="288"/>
      <c r="P167" s="288"/>
      <c r="Q167" s="288"/>
      <c r="R167" s="288"/>
      <c r="S167" s="288"/>
      <c r="T167" s="288"/>
      <c r="U167" s="288"/>
      <c r="V167" s="338">
        <v>266</v>
      </c>
      <c r="W167" s="291"/>
      <c r="X167" s="5"/>
    </row>
    <row r="168" spans="1:256" ht="15.6" x14ac:dyDescent="0.3">
      <c r="A168" s="287"/>
      <c r="B168" s="288" t="s">
        <v>54</v>
      </c>
      <c r="C168" s="288"/>
      <c r="D168" s="288"/>
      <c r="E168" s="288"/>
      <c r="F168" s="288"/>
      <c r="G168" s="288"/>
      <c r="H168" s="288"/>
      <c r="I168" s="288"/>
      <c r="J168" s="288"/>
      <c r="K168" s="288"/>
      <c r="L168" s="288"/>
      <c r="M168" s="288"/>
      <c r="N168" s="288"/>
      <c r="O168" s="288"/>
      <c r="P168" s="288"/>
      <c r="Q168" s="288"/>
      <c r="R168" s="288"/>
      <c r="S168" s="288"/>
      <c r="T168" s="288"/>
      <c r="U168" s="288"/>
      <c r="V168" s="338">
        <f>V167+V166</f>
        <v>266</v>
      </c>
      <c r="W168" s="291"/>
      <c r="X168" s="5"/>
    </row>
    <row r="169" spans="1:256" ht="15.6" x14ac:dyDescent="0.3">
      <c r="A169" s="287"/>
      <c r="B169" s="288" t="s">
        <v>315</v>
      </c>
      <c r="C169" s="288"/>
      <c r="D169" s="288"/>
      <c r="E169" s="288"/>
      <c r="F169" s="288"/>
      <c r="G169" s="288"/>
      <c r="H169" s="288"/>
      <c r="I169" s="288"/>
      <c r="J169" s="288"/>
      <c r="K169" s="288"/>
      <c r="L169" s="288"/>
      <c r="M169" s="288"/>
      <c r="N169" s="288"/>
      <c r="O169" s="288"/>
      <c r="P169" s="288"/>
      <c r="Q169" s="288"/>
      <c r="R169" s="288"/>
      <c r="S169" s="288"/>
      <c r="T169" s="288"/>
      <c r="U169" s="288"/>
      <c r="V169" s="338">
        <f>V115</f>
        <v>-266</v>
      </c>
      <c r="W169" s="291"/>
      <c r="X169" s="5"/>
    </row>
    <row r="170" spans="1:256" ht="15.6" x14ac:dyDescent="0.3">
      <c r="A170" s="287"/>
      <c r="B170" s="288" t="s">
        <v>55</v>
      </c>
      <c r="C170" s="288"/>
      <c r="D170" s="288"/>
      <c r="E170" s="288"/>
      <c r="F170" s="288"/>
      <c r="G170" s="288"/>
      <c r="H170" s="288"/>
      <c r="I170" s="288"/>
      <c r="J170" s="288"/>
      <c r="K170" s="288"/>
      <c r="L170" s="288"/>
      <c r="M170" s="288"/>
      <c r="N170" s="288"/>
      <c r="O170" s="288"/>
      <c r="P170" s="288"/>
      <c r="Q170" s="288"/>
      <c r="R170" s="288"/>
      <c r="S170" s="288"/>
      <c r="T170" s="288"/>
      <c r="U170" s="288"/>
      <c r="V170" s="338">
        <f>V168+V169</f>
        <v>0</v>
      </c>
      <c r="W170" s="291"/>
      <c r="X170" s="5"/>
    </row>
    <row r="171" spans="1:256" ht="15.6" x14ac:dyDescent="0.3">
      <c r="A171" s="287"/>
      <c r="B171" s="288" t="s">
        <v>283</v>
      </c>
      <c r="C171" s="288"/>
      <c r="D171" s="288"/>
      <c r="E171" s="288"/>
      <c r="F171" s="288"/>
      <c r="G171" s="288"/>
      <c r="H171" s="288"/>
      <c r="I171" s="288"/>
      <c r="J171" s="288"/>
      <c r="K171" s="288"/>
      <c r="L171" s="288"/>
      <c r="M171" s="288"/>
      <c r="N171" s="288"/>
      <c r="O171" s="288"/>
      <c r="P171" s="288"/>
      <c r="Q171" s="288"/>
      <c r="R171" s="288"/>
      <c r="S171" s="288"/>
      <c r="T171" s="288"/>
      <c r="U171" s="288"/>
      <c r="V171" s="338">
        <v>0</v>
      </c>
      <c r="W171" s="291"/>
      <c r="X171" s="5"/>
    </row>
    <row r="172" spans="1:256" ht="16.2" thickBot="1" x14ac:dyDescent="0.35">
      <c r="A172" s="183"/>
      <c r="B172" s="284"/>
      <c r="C172" s="284"/>
      <c r="D172" s="284"/>
      <c r="E172" s="284"/>
      <c r="F172" s="284"/>
      <c r="G172" s="284"/>
      <c r="H172" s="284"/>
      <c r="I172" s="284"/>
      <c r="J172" s="284"/>
      <c r="K172" s="284"/>
      <c r="L172" s="284"/>
      <c r="M172" s="284"/>
      <c r="N172" s="284"/>
      <c r="O172" s="284"/>
      <c r="P172" s="284"/>
      <c r="Q172" s="284"/>
      <c r="R172" s="284"/>
      <c r="S172" s="284"/>
      <c r="T172" s="284"/>
      <c r="U172" s="284"/>
      <c r="V172" s="349"/>
      <c r="W172" s="284"/>
      <c r="X172" s="5"/>
    </row>
    <row r="173" spans="1:256" ht="15.6" x14ac:dyDescent="0.3">
      <c r="A173" s="180"/>
      <c r="B173" s="247"/>
      <c r="C173" s="247"/>
      <c r="D173" s="247"/>
      <c r="E173" s="247"/>
      <c r="F173" s="247"/>
      <c r="G173" s="247"/>
      <c r="H173" s="247"/>
      <c r="I173" s="247"/>
      <c r="J173" s="247"/>
      <c r="K173" s="247"/>
      <c r="L173" s="247"/>
      <c r="M173" s="247"/>
      <c r="N173" s="247"/>
      <c r="O173" s="247"/>
      <c r="P173" s="247"/>
      <c r="Q173" s="247"/>
      <c r="R173" s="247"/>
      <c r="S173" s="247"/>
      <c r="T173" s="247"/>
      <c r="U173" s="247"/>
      <c r="V173" s="248"/>
      <c r="W173" s="247"/>
      <c r="X173" s="5"/>
    </row>
    <row r="174" spans="1:256" s="161" customFormat="1" ht="15.6" x14ac:dyDescent="0.3">
      <c r="A174" s="183"/>
      <c r="B174" s="208" t="s">
        <v>269</v>
      </c>
      <c r="C174" s="198"/>
      <c r="D174" s="198"/>
      <c r="E174" s="198"/>
      <c r="F174" s="198"/>
      <c r="G174" s="198"/>
      <c r="H174" s="198"/>
      <c r="I174" s="198"/>
      <c r="J174" s="198"/>
      <c r="K174" s="198"/>
      <c r="L174" s="198"/>
      <c r="M174" s="198"/>
      <c r="N174" s="198"/>
      <c r="O174" s="198"/>
      <c r="P174" s="198"/>
      <c r="Q174" s="198"/>
      <c r="R174" s="198"/>
      <c r="S174" s="198"/>
      <c r="T174" s="198"/>
      <c r="U174" s="198"/>
      <c r="V174" s="210"/>
      <c r="W174" s="198"/>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5.6" x14ac:dyDescent="0.3">
      <c r="A175" s="287"/>
      <c r="B175" s="288" t="s">
        <v>270</v>
      </c>
      <c r="C175" s="288"/>
      <c r="D175" s="288"/>
      <c r="E175" s="288"/>
      <c r="F175" s="288"/>
      <c r="G175" s="288"/>
      <c r="H175" s="288"/>
      <c r="I175" s="288"/>
      <c r="J175" s="288"/>
      <c r="K175" s="288"/>
      <c r="L175" s="288"/>
      <c r="M175" s="288"/>
      <c r="N175" s="288"/>
      <c r="O175" s="288"/>
      <c r="P175" s="288"/>
      <c r="Q175" s="288"/>
      <c r="R175" s="288"/>
      <c r="S175" s="288"/>
      <c r="T175" s="288"/>
      <c r="U175" s="288"/>
      <c r="V175" s="338">
        <f>+'Aug 08'!V177</f>
        <v>0</v>
      </c>
      <c r="W175" s="291"/>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3" customFormat="1" ht="15.6" x14ac:dyDescent="0.3">
      <c r="A176" s="287"/>
      <c r="B176" s="288" t="s">
        <v>273</v>
      </c>
      <c r="C176" s="288"/>
      <c r="D176" s="288"/>
      <c r="E176" s="288"/>
      <c r="F176" s="288"/>
      <c r="G176" s="288"/>
      <c r="H176" s="288"/>
      <c r="I176" s="288"/>
      <c r="J176" s="288"/>
      <c r="K176" s="288"/>
      <c r="L176" s="288"/>
      <c r="M176" s="288"/>
      <c r="N176" s="288"/>
      <c r="O176" s="288"/>
      <c r="P176" s="288"/>
      <c r="Q176" s="288"/>
      <c r="R176" s="288"/>
      <c r="S176" s="288"/>
      <c r="T176" s="288"/>
      <c r="U176" s="288"/>
      <c r="V176" s="338">
        <f>+V94</f>
        <v>0</v>
      </c>
      <c r="W176" s="291"/>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s="163" customFormat="1" ht="15.6" x14ac:dyDescent="0.3">
      <c r="A177" s="287"/>
      <c r="B177" s="288" t="s">
        <v>271</v>
      </c>
      <c r="C177" s="288"/>
      <c r="D177" s="288"/>
      <c r="E177" s="288"/>
      <c r="F177" s="288"/>
      <c r="G177" s="288"/>
      <c r="H177" s="288"/>
      <c r="I177" s="288"/>
      <c r="J177" s="288"/>
      <c r="K177" s="288"/>
      <c r="L177" s="288"/>
      <c r="M177" s="288"/>
      <c r="N177" s="288"/>
      <c r="O177" s="288"/>
      <c r="P177" s="288"/>
      <c r="Q177" s="288"/>
      <c r="R177" s="288"/>
      <c r="S177" s="288"/>
      <c r="T177" s="288"/>
      <c r="U177" s="288"/>
      <c r="V177" s="338">
        <f>+V175-V176</f>
        <v>0</v>
      </c>
      <c r="W177" s="291"/>
      <c r="X177" s="5"/>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s="166" customFormat="1" ht="16.2" thickBot="1" x14ac:dyDescent="0.35">
      <c r="A178" s="199"/>
      <c r="B178" s="198"/>
      <c r="C178" s="198"/>
      <c r="D178" s="198"/>
      <c r="E178" s="198"/>
      <c r="F178" s="198"/>
      <c r="G178" s="198"/>
      <c r="H178" s="198"/>
      <c r="I178" s="198"/>
      <c r="J178" s="198"/>
      <c r="K178" s="198"/>
      <c r="L178" s="198"/>
      <c r="M178" s="198"/>
      <c r="N178" s="198"/>
      <c r="O178" s="198"/>
      <c r="P178" s="198"/>
      <c r="Q178" s="198"/>
      <c r="R178" s="198"/>
      <c r="S178" s="198"/>
      <c r="T178" s="198"/>
      <c r="U178" s="198"/>
      <c r="V178" s="347"/>
      <c r="W178" s="198"/>
      <c r="X178" s="5"/>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s="167" customFormat="1" ht="15.6" x14ac:dyDescent="0.3">
      <c r="A179" s="180"/>
      <c r="B179" s="181"/>
      <c r="C179" s="181"/>
      <c r="D179" s="181"/>
      <c r="E179" s="181"/>
      <c r="F179" s="181"/>
      <c r="G179" s="181"/>
      <c r="H179" s="181"/>
      <c r="I179" s="181"/>
      <c r="J179" s="181"/>
      <c r="K179" s="181"/>
      <c r="L179" s="181"/>
      <c r="M179" s="181"/>
      <c r="N179" s="181"/>
      <c r="O179" s="181"/>
      <c r="P179" s="181"/>
      <c r="Q179" s="181"/>
      <c r="R179" s="181"/>
      <c r="S179" s="181"/>
      <c r="T179" s="181"/>
      <c r="U179" s="181"/>
      <c r="V179" s="200"/>
      <c r="W179" s="181"/>
      <c r="X179" s="5"/>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ht="15.6" x14ac:dyDescent="0.3">
      <c r="A180" s="183"/>
      <c r="B180" s="208" t="s">
        <v>56</v>
      </c>
      <c r="C180" s="185"/>
      <c r="D180" s="185"/>
      <c r="E180" s="185"/>
      <c r="F180" s="185"/>
      <c r="G180" s="185"/>
      <c r="H180" s="185"/>
      <c r="I180" s="185"/>
      <c r="J180" s="185"/>
      <c r="K180" s="185"/>
      <c r="L180" s="185"/>
      <c r="M180" s="185"/>
      <c r="N180" s="185"/>
      <c r="O180" s="185"/>
      <c r="P180" s="185"/>
      <c r="Q180" s="185"/>
      <c r="R180" s="185"/>
      <c r="S180" s="185"/>
      <c r="T180" s="185"/>
      <c r="U180" s="185"/>
      <c r="V180" s="201"/>
      <c r="W180" s="185"/>
      <c r="X180" s="5"/>
    </row>
    <row r="181" spans="1:256" ht="15.6" x14ac:dyDescent="0.3">
      <c r="A181" s="183"/>
      <c r="B181" s="195"/>
      <c r="C181" s="185"/>
      <c r="D181" s="185"/>
      <c r="E181" s="185"/>
      <c r="F181" s="185"/>
      <c r="G181" s="185"/>
      <c r="H181" s="185"/>
      <c r="I181" s="185"/>
      <c r="J181" s="185"/>
      <c r="K181" s="185"/>
      <c r="L181" s="185"/>
      <c r="M181" s="185"/>
      <c r="N181" s="185"/>
      <c r="O181" s="185"/>
      <c r="P181" s="185"/>
      <c r="Q181" s="185"/>
      <c r="R181" s="185"/>
      <c r="S181" s="185"/>
      <c r="T181" s="185"/>
      <c r="U181" s="185"/>
      <c r="V181" s="201"/>
      <c r="W181" s="185"/>
      <c r="X181" s="5"/>
    </row>
    <row r="182" spans="1:256" ht="15.6" x14ac:dyDescent="0.3">
      <c r="A182" s="287"/>
      <c r="B182" s="288" t="s">
        <v>57</v>
      </c>
      <c r="C182" s="288"/>
      <c r="D182" s="288"/>
      <c r="E182" s="288"/>
      <c r="F182" s="288"/>
      <c r="G182" s="288"/>
      <c r="H182" s="288"/>
      <c r="I182" s="288"/>
      <c r="J182" s="288"/>
      <c r="K182" s="288"/>
      <c r="L182" s="288"/>
      <c r="M182" s="288"/>
      <c r="N182" s="288"/>
      <c r="O182" s="288"/>
      <c r="P182" s="288"/>
      <c r="Q182" s="288"/>
      <c r="R182" s="288"/>
      <c r="S182" s="288"/>
      <c r="T182" s="288"/>
      <c r="U182" s="288"/>
      <c r="V182" s="338">
        <f>V71</f>
        <v>1127752</v>
      </c>
      <c r="W182" s="291"/>
      <c r="X182" s="5"/>
    </row>
    <row r="183" spans="1:256" ht="15.6" x14ac:dyDescent="0.3">
      <c r="A183" s="287"/>
      <c r="B183" s="288" t="s">
        <v>58</v>
      </c>
      <c r="C183" s="288"/>
      <c r="D183" s="288"/>
      <c r="E183" s="288"/>
      <c r="F183" s="288"/>
      <c r="G183" s="288"/>
      <c r="H183" s="288"/>
      <c r="I183" s="288"/>
      <c r="J183" s="288"/>
      <c r="K183" s="288"/>
      <c r="L183" s="288"/>
      <c r="M183" s="288"/>
      <c r="N183" s="288"/>
      <c r="O183" s="288"/>
      <c r="P183" s="288"/>
      <c r="Q183" s="288"/>
      <c r="R183" s="288"/>
      <c r="S183" s="288"/>
      <c r="T183" s="288"/>
      <c r="U183" s="288"/>
      <c r="V183" s="338">
        <f>V84</f>
        <v>1127752</v>
      </c>
      <c r="W183" s="291"/>
      <c r="X183" s="5"/>
    </row>
    <row r="184" spans="1:256" ht="16.2" thickBot="1" x14ac:dyDescent="0.35">
      <c r="A184" s="183"/>
      <c r="B184" s="198"/>
      <c r="C184" s="198"/>
      <c r="D184" s="198"/>
      <c r="E184" s="198"/>
      <c r="F184" s="198"/>
      <c r="G184" s="198"/>
      <c r="H184" s="198"/>
      <c r="I184" s="198"/>
      <c r="J184" s="198"/>
      <c r="K184" s="198"/>
      <c r="L184" s="198"/>
      <c r="M184" s="198"/>
      <c r="N184" s="198"/>
      <c r="O184" s="198"/>
      <c r="P184" s="198"/>
      <c r="Q184" s="198"/>
      <c r="R184" s="198"/>
      <c r="S184" s="198"/>
      <c r="T184" s="198"/>
      <c r="U184" s="198"/>
      <c r="V184" s="347"/>
      <c r="W184" s="198"/>
      <c r="X184" s="5"/>
    </row>
    <row r="185" spans="1:256" ht="15.6" x14ac:dyDescent="0.3">
      <c r="A185" s="180"/>
      <c r="B185" s="181"/>
      <c r="C185" s="181"/>
      <c r="D185" s="181"/>
      <c r="E185" s="181"/>
      <c r="F185" s="181"/>
      <c r="G185" s="181"/>
      <c r="H185" s="181"/>
      <c r="I185" s="181"/>
      <c r="J185" s="181"/>
      <c r="K185" s="181"/>
      <c r="L185" s="181"/>
      <c r="M185" s="181"/>
      <c r="N185" s="181"/>
      <c r="O185" s="181"/>
      <c r="P185" s="181"/>
      <c r="Q185" s="181"/>
      <c r="R185" s="181"/>
      <c r="S185" s="181"/>
      <c r="T185" s="181"/>
      <c r="U185" s="181"/>
      <c r="V185" s="200"/>
      <c r="W185" s="181"/>
      <c r="X185" s="5"/>
    </row>
    <row r="186" spans="1:256" ht="15.6" x14ac:dyDescent="0.3">
      <c r="A186" s="183"/>
      <c r="B186" s="208" t="s">
        <v>59</v>
      </c>
      <c r="C186" s="205"/>
      <c r="D186" s="205"/>
      <c r="E186" s="205"/>
      <c r="F186" s="205"/>
      <c r="G186" s="205"/>
      <c r="H186" s="211"/>
      <c r="I186" s="211"/>
      <c r="J186" s="211"/>
      <c r="K186" s="211"/>
      <c r="L186" s="211"/>
      <c r="M186" s="211"/>
      <c r="N186" s="211"/>
      <c r="O186" s="211"/>
      <c r="P186" s="211"/>
      <c r="Q186" s="211"/>
      <c r="R186" s="211"/>
      <c r="S186" s="211" t="s">
        <v>101</v>
      </c>
      <c r="T186" s="211" t="s">
        <v>176</v>
      </c>
      <c r="U186" s="187"/>
      <c r="V186" s="212" t="s">
        <v>114</v>
      </c>
      <c r="W186" s="213"/>
      <c r="X186" s="5"/>
    </row>
    <row r="187" spans="1:256" ht="15.6" x14ac:dyDescent="0.3">
      <c r="A187" s="287"/>
      <c r="B187" s="288" t="s">
        <v>60</v>
      </c>
      <c r="C187" s="288"/>
      <c r="D187" s="288"/>
      <c r="E187" s="288"/>
      <c r="F187" s="288"/>
      <c r="G187" s="288"/>
      <c r="H187" s="288"/>
      <c r="I187" s="288"/>
      <c r="J187" s="288"/>
      <c r="K187" s="288"/>
      <c r="L187" s="288"/>
      <c r="M187" s="288"/>
      <c r="N187" s="288"/>
      <c r="O187" s="288"/>
      <c r="P187" s="288"/>
      <c r="Q187" s="288"/>
      <c r="R187" s="288"/>
      <c r="S187" s="338">
        <f>+V34*0.16</f>
        <v>240044</v>
      </c>
      <c r="T187" s="325"/>
      <c r="U187" s="288"/>
      <c r="V187" s="338"/>
      <c r="W187" s="291"/>
      <c r="X187" s="5"/>
    </row>
    <row r="188" spans="1:256" ht="15.6" x14ac:dyDescent="0.3">
      <c r="A188" s="287"/>
      <c r="B188" s="288" t="s">
        <v>61</v>
      </c>
      <c r="C188" s="288"/>
      <c r="D188" s="288"/>
      <c r="E188" s="288"/>
      <c r="F188" s="288"/>
      <c r="G188" s="288"/>
      <c r="H188" s="288"/>
      <c r="I188" s="288"/>
      <c r="J188" s="288"/>
      <c r="K188" s="288"/>
      <c r="L188" s="288"/>
      <c r="M188" s="288"/>
      <c r="N188" s="288"/>
      <c r="O188" s="288"/>
      <c r="P188" s="288"/>
      <c r="Q188" s="288"/>
      <c r="R188" s="288"/>
      <c r="S188" s="338">
        <f>+'Nov 11'!S190</f>
        <v>24174</v>
      </c>
      <c r="T188" s="338">
        <f>+'Nov 11'!T190</f>
        <v>6013</v>
      </c>
      <c r="U188" s="288"/>
      <c r="V188" s="338">
        <f>S188+T188</f>
        <v>30187</v>
      </c>
      <c r="W188" s="291"/>
      <c r="X188" s="5"/>
    </row>
    <row r="189" spans="1:256" ht="15.6" x14ac:dyDescent="0.3">
      <c r="A189" s="287"/>
      <c r="B189" s="288" t="s">
        <v>62</v>
      </c>
      <c r="C189" s="288"/>
      <c r="D189" s="288"/>
      <c r="E189" s="288"/>
      <c r="F189" s="288"/>
      <c r="G189" s="288"/>
      <c r="H189" s="288"/>
      <c r="I189" s="288"/>
      <c r="J189" s="288"/>
      <c r="K189" s="288"/>
      <c r="L189" s="288"/>
      <c r="M189" s="288"/>
      <c r="N189" s="288"/>
      <c r="O189" s="288"/>
      <c r="P189" s="288"/>
      <c r="Q189" s="288"/>
      <c r="R189" s="288"/>
      <c r="S189" s="337">
        <v>0</v>
      </c>
      <c r="T189" s="337">
        <v>0</v>
      </c>
      <c r="U189" s="288"/>
      <c r="V189" s="338">
        <f>S189+T189</f>
        <v>0</v>
      </c>
      <c r="W189" s="291"/>
      <c r="X189" s="5"/>
    </row>
    <row r="190" spans="1:256" ht="15.6" x14ac:dyDescent="0.3">
      <c r="A190" s="287"/>
      <c r="B190" s="288" t="s">
        <v>63</v>
      </c>
      <c r="C190" s="288"/>
      <c r="D190" s="288"/>
      <c r="E190" s="288"/>
      <c r="F190" s="288"/>
      <c r="G190" s="288"/>
      <c r="H190" s="288"/>
      <c r="I190" s="288"/>
      <c r="J190" s="288"/>
      <c r="K190" s="288"/>
      <c r="L190" s="288"/>
      <c r="M190" s="288"/>
      <c r="N190" s="288"/>
      <c r="O190" s="288"/>
      <c r="P190" s="288"/>
      <c r="Q190" s="288"/>
      <c r="R190" s="288"/>
      <c r="S190" s="338">
        <f>S188+S189</f>
        <v>24174</v>
      </c>
      <c r="T190" s="338">
        <f>T189+T188</f>
        <v>6013</v>
      </c>
      <c r="U190" s="288"/>
      <c r="V190" s="338">
        <f>S190+T190</f>
        <v>30187</v>
      </c>
      <c r="W190" s="291"/>
      <c r="X190" s="5"/>
    </row>
    <row r="191" spans="1:256" ht="15.6" x14ac:dyDescent="0.3">
      <c r="A191" s="287"/>
      <c r="B191" s="288" t="s">
        <v>64</v>
      </c>
      <c r="C191" s="288"/>
      <c r="D191" s="288"/>
      <c r="E191" s="288"/>
      <c r="F191" s="288"/>
      <c r="G191" s="288"/>
      <c r="H191" s="288"/>
      <c r="I191" s="288"/>
      <c r="J191" s="288"/>
      <c r="K191" s="288"/>
      <c r="L191" s="288"/>
      <c r="M191" s="288"/>
      <c r="N191" s="288"/>
      <c r="O191" s="288"/>
      <c r="P191" s="288"/>
      <c r="Q191" s="288"/>
      <c r="R191" s="288"/>
      <c r="S191" s="338">
        <f>S187-S190-T190</f>
        <v>209857</v>
      </c>
      <c r="T191" s="325"/>
      <c r="U191" s="288"/>
      <c r="V191" s="338"/>
      <c r="W191" s="291"/>
      <c r="X191" s="5"/>
    </row>
    <row r="192" spans="1:256" ht="16.2" thickBot="1" x14ac:dyDescent="0.35">
      <c r="A192" s="183"/>
      <c r="B192" s="198"/>
      <c r="C192" s="198"/>
      <c r="D192" s="198"/>
      <c r="E192" s="198"/>
      <c r="F192" s="198"/>
      <c r="G192" s="198"/>
      <c r="H192" s="198"/>
      <c r="I192" s="198"/>
      <c r="J192" s="198"/>
      <c r="K192" s="198"/>
      <c r="L192" s="198"/>
      <c r="M192" s="198"/>
      <c r="N192" s="198"/>
      <c r="O192" s="198"/>
      <c r="P192" s="198"/>
      <c r="Q192" s="198"/>
      <c r="R192" s="198"/>
      <c r="S192" s="198"/>
      <c r="T192" s="198"/>
      <c r="U192" s="198"/>
      <c r="V192" s="347"/>
      <c r="W192" s="198"/>
      <c r="X192" s="5"/>
    </row>
    <row r="193" spans="1:24" ht="15.6" x14ac:dyDescent="0.3">
      <c r="A193" s="180"/>
      <c r="B193" s="181"/>
      <c r="C193" s="181"/>
      <c r="D193" s="181"/>
      <c r="E193" s="181"/>
      <c r="F193" s="181"/>
      <c r="G193" s="181"/>
      <c r="H193" s="181"/>
      <c r="I193" s="181"/>
      <c r="J193" s="181"/>
      <c r="K193" s="181"/>
      <c r="L193" s="181"/>
      <c r="M193" s="181"/>
      <c r="N193" s="181"/>
      <c r="O193" s="181"/>
      <c r="P193" s="181"/>
      <c r="Q193" s="181"/>
      <c r="R193" s="181"/>
      <c r="S193" s="181"/>
      <c r="T193" s="181"/>
      <c r="U193" s="181"/>
      <c r="V193" s="200"/>
      <c r="W193" s="181"/>
      <c r="X193" s="5"/>
    </row>
    <row r="194" spans="1:24" ht="15.6" x14ac:dyDescent="0.3">
      <c r="A194" s="183"/>
      <c r="B194" s="208" t="s">
        <v>65</v>
      </c>
      <c r="C194" s="185"/>
      <c r="D194" s="185"/>
      <c r="E194" s="185"/>
      <c r="F194" s="185"/>
      <c r="G194" s="185"/>
      <c r="H194" s="185"/>
      <c r="I194" s="185"/>
      <c r="J194" s="185"/>
      <c r="K194" s="185"/>
      <c r="L194" s="185"/>
      <c r="M194" s="185"/>
      <c r="N194" s="185"/>
      <c r="O194" s="185"/>
      <c r="P194" s="185"/>
      <c r="Q194" s="185"/>
      <c r="R194" s="185"/>
      <c r="S194" s="185"/>
      <c r="T194" s="185"/>
      <c r="U194" s="185"/>
      <c r="V194" s="214"/>
      <c r="W194" s="185"/>
      <c r="X194" s="5"/>
    </row>
    <row r="195" spans="1:24" ht="15.6" x14ac:dyDescent="0.3">
      <c r="A195" s="287"/>
      <c r="B195" s="288" t="s">
        <v>66</v>
      </c>
      <c r="C195" s="288"/>
      <c r="D195" s="288"/>
      <c r="E195" s="288"/>
      <c r="F195" s="288"/>
      <c r="G195" s="288"/>
      <c r="H195" s="288"/>
      <c r="I195" s="288"/>
      <c r="J195" s="288"/>
      <c r="K195" s="288"/>
      <c r="L195" s="288"/>
      <c r="M195" s="288"/>
      <c r="N195" s="288"/>
      <c r="O195" s="288"/>
      <c r="P195" s="288"/>
      <c r="Q195" s="288"/>
      <c r="R195" s="288"/>
      <c r="S195" s="288"/>
      <c r="T195" s="288"/>
      <c r="U195" s="288"/>
      <c r="V195" s="348">
        <f>(V101+V103+V104+V105+V106)/-(V107+V108)</f>
        <v>2.8304267161410017</v>
      </c>
      <c r="W195" s="291" t="s">
        <v>115</v>
      </c>
      <c r="X195" s="5"/>
    </row>
    <row r="196" spans="1:24" ht="15.6" x14ac:dyDescent="0.3">
      <c r="A196" s="287"/>
      <c r="B196" s="288" t="s">
        <v>67</v>
      </c>
      <c r="C196" s="288"/>
      <c r="D196" s="288"/>
      <c r="E196" s="288"/>
      <c r="F196" s="288"/>
      <c r="G196" s="288"/>
      <c r="H196" s="288"/>
      <c r="I196" s="288"/>
      <c r="J196" s="288"/>
      <c r="K196" s="288"/>
      <c r="L196" s="288"/>
      <c r="M196" s="288"/>
      <c r="N196" s="288"/>
      <c r="O196" s="288"/>
      <c r="P196" s="288"/>
      <c r="Q196" s="288"/>
      <c r="R196" s="288"/>
      <c r="S196" s="288"/>
      <c r="T196" s="288"/>
      <c r="U196" s="288"/>
      <c r="V196" s="350">
        <v>1.68</v>
      </c>
      <c r="W196" s="291" t="s">
        <v>115</v>
      </c>
      <c r="X196" s="5"/>
    </row>
    <row r="197" spans="1:24" ht="15.6" x14ac:dyDescent="0.3">
      <c r="A197" s="287"/>
      <c r="B197" s="288" t="s">
        <v>68</v>
      </c>
      <c r="C197" s="288"/>
      <c r="D197" s="288"/>
      <c r="E197" s="288"/>
      <c r="F197" s="288"/>
      <c r="G197" s="288"/>
      <c r="H197" s="288"/>
      <c r="I197" s="288"/>
      <c r="J197" s="288"/>
      <c r="K197" s="288"/>
      <c r="L197" s="288"/>
      <c r="M197" s="288"/>
      <c r="N197" s="288"/>
      <c r="O197" s="288"/>
      <c r="P197" s="288"/>
      <c r="Q197" s="288"/>
      <c r="R197" s="288"/>
      <c r="S197" s="288"/>
      <c r="T197" s="288"/>
      <c r="U197" s="288"/>
      <c r="V197" s="348">
        <f>(V101+V103+V104+V105+V106+V107+V108)/-(V110+V111)</f>
        <v>13.974504249291785</v>
      </c>
      <c r="W197" s="291" t="s">
        <v>115</v>
      </c>
      <c r="X197" s="5"/>
    </row>
    <row r="198" spans="1:24" ht="15.6" x14ac:dyDescent="0.3">
      <c r="A198" s="287"/>
      <c r="B198" s="288" t="s">
        <v>69</v>
      </c>
      <c r="C198" s="288"/>
      <c r="D198" s="288"/>
      <c r="E198" s="288"/>
      <c r="F198" s="288"/>
      <c r="G198" s="288"/>
      <c r="H198" s="288"/>
      <c r="I198" s="288"/>
      <c r="J198" s="288"/>
      <c r="K198" s="288"/>
      <c r="L198" s="288"/>
      <c r="M198" s="288"/>
      <c r="N198" s="288"/>
      <c r="O198" s="288"/>
      <c r="P198" s="288"/>
      <c r="Q198" s="288"/>
      <c r="R198" s="288"/>
      <c r="S198" s="288"/>
      <c r="T198" s="288"/>
      <c r="U198" s="288"/>
      <c r="V198" s="350">
        <v>6.68</v>
      </c>
      <c r="W198" s="291" t="s">
        <v>115</v>
      </c>
      <c r="X198" s="5"/>
    </row>
    <row r="199" spans="1:24" ht="15.6" x14ac:dyDescent="0.3">
      <c r="A199" s="287"/>
      <c r="B199" s="288" t="s">
        <v>198</v>
      </c>
      <c r="C199" s="288"/>
      <c r="D199" s="288"/>
      <c r="E199" s="288"/>
      <c r="F199" s="288"/>
      <c r="G199" s="288"/>
      <c r="H199" s="288"/>
      <c r="I199" s="288"/>
      <c r="J199" s="288"/>
      <c r="K199" s="288"/>
      <c r="L199" s="288"/>
      <c r="M199" s="288"/>
      <c r="N199" s="288"/>
      <c r="O199" s="288"/>
      <c r="P199" s="288"/>
      <c r="Q199" s="288"/>
      <c r="R199" s="288"/>
      <c r="S199" s="288"/>
      <c r="T199" s="288"/>
      <c r="U199" s="288"/>
      <c r="V199" s="348">
        <f>(V101+V103+V104+V105+V106+V107+V108+V110+V111)/-(V112+V113)</f>
        <v>10.983213429256594</v>
      </c>
      <c r="W199" s="291" t="s">
        <v>115</v>
      </c>
      <c r="X199" s="5"/>
    </row>
    <row r="200" spans="1:24" ht="15.6" x14ac:dyDescent="0.3">
      <c r="A200" s="287"/>
      <c r="B200" s="288" t="s">
        <v>199</v>
      </c>
      <c r="C200" s="288"/>
      <c r="D200" s="288"/>
      <c r="E200" s="288"/>
      <c r="F200" s="288"/>
      <c r="G200" s="288"/>
      <c r="H200" s="288"/>
      <c r="I200" s="288"/>
      <c r="J200" s="288"/>
      <c r="K200" s="288"/>
      <c r="L200" s="288"/>
      <c r="M200" s="288"/>
      <c r="N200" s="288"/>
      <c r="O200" s="288"/>
      <c r="P200" s="288"/>
      <c r="Q200" s="288"/>
      <c r="R200" s="288"/>
      <c r="S200" s="288"/>
      <c r="T200" s="288"/>
      <c r="U200" s="288"/>
      <c r="V200" s="350">
        <v>5.28</v>
      </c>
      <c r="W200" s="291" t="s">
        <v>115</v>
      </c>
      <c r="X200" s="5"/>
    </row>
    <row r="201" spans="1:24" ht="15.6" x14ac:dyDescent="0.3">
      <c r="A201" s="287"/>
      <c r="B201" s="314"/>
      <c r="C201" s="314"/>
      <c r="D201" s="314"/>
      <c r="E201" s="314"/>
      <c r="F201" s="314"/>
      <c r="G201" s="314"/>
      <c r="H201" s="314"/>
      <c r="I201" s="314"/>
      <c r="J201" s="314"/>
      <c r="K201" s="314"/>
      <c r="L201" s="314"/>
      <c r="M201" s="314"/>
      <c r="N201" s="314"/>
      <c r="O201" s="314"/>
      <c r="P201" s="314"/>
      <c r="Q201" s="314"/>
      <c r="R201" s="314"/>
      <c r="S201" s="314"/>
      <c r="T201" s="314"/>
      <c r="U201" s="314"/>
      <c r="V201" s="314"/>
      <c r="W201" s="318"/>
      <c r="X201" s="5"/>
    </row>
    <row r="202" spans="1:24" ht="15.6" x14ac:dyDescent="0.3">
      <c r="A202" s="183"/>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5"/>
    </row>
    <row r="203" spans="1:24" ht="15.6" x14ac:dyDescent="0.3">
      <c r="A203" s="183"/>
      <c r="B203" s="185"/>
      <c r="C203" s="185"/>
      <c r="D203" s="185"/>
      <c r="E203" s="185"/>
      <c r="F203" s="185"/>
      <c r="G203" s="185"/>
      <c r="H203" s="185"/>
      <c r="I203" s="185"/>
      <c r="J203" s="185"/>
      <c r="K203" s="185"/>
      <c r="L203" s="185"/>
      <c r="M203" s="185"/>
      <c r="N203" s="185"/>
      <c r="O203" s="185"/>
      <c r="P203" s="185"/>
      <c r="Q203" s="185"/>
      <c r="R203" s="185"/>
      <c r="S203" s="185"/>
      <c r="T203" s="185"/>
      <c r="U203" s="185"/>
      <c r="V203" s="185"/>
      <c r="W203" s="185"/>
      <c r="X203" s="5"/>
    </row>
    <row r="204" spans="1:24" ht="18" thickBot="1" x14ac:dyDescent="0.35">
      <c r="A204" s="199"/>
      <c r="B204" s="237" t="str">
        <f>B138</f>
        <v>PM14 INVESTOR REPORT QUARTER ENDING FEBRUARY 2012</v>
      </c>
      <c r="C204" s="215"/>
      <c r="D204" s="215"/>
      <c r="E204" s="215"/>
      <c r="F204" s="215"/>
      <c r="G204" s="215"/>
      <c r="H204" s="215"/>
      <c r="I204" s="215"/>
      <c r="J204" s="215"/>
      <c r="K204" s="215"/>
      <c r="L204" s="215"/>
      <c r="M204" s="215"/>
      <c r="N204" s="215"/>
      <c r="O204" s="215"/>
      <c r="P204" s="215"/>
      <c r="Q204" s="215"/>
      <c r="R204" s="215"/>
      <c r="S204" s="215"/>
      <c r="T204" s="215"/>
      <c r="U204" s="215"/>
      <c r="V204" s="215"/>
      <c r="W204" s="216"/>
      <c r="X204" s="5"/>
    </row>
    <row r="205" spans="1:24" ht="15.6" x14ac:dyDescent="0.3">
      <c r="A205" s="273"/>
      <c r="B205" s="403" t="s">
        <v>70</v>
      </c>
      <c r="C205" s="404"/>
      <c r="D205" s="404"/>
      <c r="E205" s="404"/>
      <c r="F205" s="404"/>
      <c r="G205" s="405"/>
      <c r="H205" s="405"/>
      <c r="I205" s="405"/>
      <c r="J205" s="405"/>
      <c r="K205" s="405"/>
      <c r="L205" s="405"/>
      <c r="M205" s="405"/>
      <c r="N205" s="405"/>
      <c r="O205" s="405"/>
      <c r="P205" s="405"/>
      <c r="Q205" s="405"/>
      <c r="R205" s="405"/>
      <c r="S205" s="405"/>
      <c r="T205" s="405">
        <v>40968</v>
      </c>
      <c r="U205" s="274"/>
      <c r="V205" s="274"/>
      <c r="W205" s="274"/>
      <c r="X205" s="5"/>
    </row>
    <row r="206" spans="1:24" ht="15.6" x14ac:dyDescent="0.3">
      <c r="A206" s="217"/>
      <c r="B206" s="230"/>
      <c r="C206" s="249"/>
      <c r="D206" s="249"/>
      <c r="E206" s="249"/>
      <c r="F206" s="249"/>
      <c r="G206" s="229"/>
      <c r="H206" s="229"/>
      <c r="I206" s="229"/>
      <c r="J206" s="229"/>
      <c r="K206" s="229"/>
      <c r="L206" s="229"/>
      <c r="M206" s="229"/>
      <c r="N206" s="229"/>
      <c r="O206" s="229"/>
      <c r="P206" s="229"/>
      <c r="Q206" s="229"/>
      <c r="R206" s="229"/>
      <c r="S206" s="229"/>
      <c r="T206" s="229"/>
      <c r="U206" s="224"/>
      <c r="V206" s="224"/>
      <c r="W206" s="224"/>
      <c r="X206" s="5"/>
    </row>
    <row r="207" spans="1:24" ht="15.6" x14ac:dyDescent="0.3">
      <c r="A207" s="352"/>
      <c r="B207" s="288" t="s">
        <v>71</v>
      </c>
      <c r="C207" s="353"/>
      <c r="D207" s="353"/>
      <c r="E207" s="353"/>
      <c r="F207" s="353"/>
      <c r="G207" s="330"/>
      <c r="H207" s="330"/>
      <c r="I207" s="330"/>
      <c r="J207" s="330"/>
      <c r="K207" s="330"/>
      <c r="L207" s="330"/>
      <c r="M207" s="330"/>
      <c r="N207" s="330"/>
      <c r="O207" s="330"/>
      <c r="P207" s="330"/>
      <c r="Q207" s="330"/>
      <c r="R207" s="330"/>
      <c r="S207" s="330"/>
      <c r="T207" s="321">
        <v>5.2819999999999999E-2</v>
      </c>
      <c r="U207" s="288"/>
      <c r="V207" s="288"/>
      <c r="W207" s="291"/>
      <c r="X207" s="5"/>
    </row>
    <row r="208" spans="1:24" ht="15.6" x14ac:dyDescent="0.3">
      <c r="A208" s="352"/>
      <c r="B208" s="288" t="s">
        <v>151</v>
      </c>
      <c r="C208" s="353"/>
      <c r="D208" s="353"/>
      <c r="E208" s="353"/>
      <c r="F208" s="353"/>
      <c r="G208" s="330"/>
      <c r="H208" s="330"/>
      <c r="I208" s="330"/>
      <c r="J208" s="330"/>
      <c r="K208" s="330"/>
      <c r="L208" s="330"/>
      <c r="M208" s="330"/>
      <c r="N208" s="330"/>
      <c r="O208" s="330"/>
      <c r="P208" s="330"/>
      <c r="Q208" s="330"/>
      <c r="R208" s="330"/>
      <c r="S208" s="330"/>
      <c r="T208" s="321">
        <v>5.7799999999999997E-2</v>
      </c>
      <c r="U208" s="288"/>
      <c r="V208" s="288"/>
      <c r="W208" s="291"/>
      <c r="X208" s="5"/>
    </row>
    <row r="209" spans="1:24" ht="15.6" x14ac:dyDescent="0.3">
      <c r="A209" s="352"/>
      <c r="B209" s="288" t="s">
        <v>72</v>
      </c>
      <c r="C209" s="353"/>
      <c r="D209" s="353"/>
      <c r="E209" s="353"/>
      <c r="F209" s="353"/>
      <c r="G209" s="330"/>
      <c r="H209" s="330"/>
      <c r="I209" s="330"/>
      <c r="J209" s="330"/>
      <c r="K209" s="330"/>
      <c r="L209" s="330"/>
      <c r="M209" s="330"/>
      <c r="N209" s="330"/>
      <c r="O209" s="330"/>
      <c r="P209" s="330"/>
      <c r="Q209" s="330"/>
      <c r="R209" s="330"/>
      <c r="S209" s="330"/>
      <c r="T209" s="321">
        <f>T207-T208</f>
        <v>-4.9799999999999983E-3</v>
      </c>
      <c r="U209" s="288"/>
      <c r="V209" s="288"/>
      <c r="W209" s="291"/>
      <c r="X209" s="5"/>
    </row>
    <row r="210" spans="1:24" ht="15.6" x14ac:dyDescent="0.3">
      <c r="A210" s="352"/>
      <c r="B210" s="288" t="s">
        <v>73</v>
      </c>
      <c r="C210" s="353"/>
      <c r="D210" s="353"/>
      <c r="E210" s="353"/>
      <c r="F210" s="353"/>
      <c r="G210" s="330"/>
      <c r="H210" s="330"/>
      <c r="I210" s="330"/>
      <c r="J210" s="330"/>
      <c r="K210" s="330"/>
      <c r="L210" s="330"/>
      <c r="M210" s="330"/>
      <c r="N210" s="330"/>
      <c r="O210" s="330"/>
      <c r="P210" s="330"/>
      <c r="Q210" s="330"/>
      <c r="R210" s="330"/>
      <c r="S210" s="330"/>
      <c r="T210" s="321">
        <v>2.7189999999999999E-2</v>
      </c>
      <c r="U210" s="288"/>
      <c r="V210" s="288"/>
      <c r="W210" s="291"/>
      <c r="X210" s="5"/>
    </row>
    <row r="211" spans="1:24" ht="15.6" x14ac:dyDescent="0.3">
      <c r="A211" s="352"/>
      <c r="B211" s="288" t="s">
        <v>219</v>
      </c>
      <c r="C211" s="353"/>
      <c r="D211" s="353"/>
      <c r="E211" s="353"/>
      <c r="F211" s="353"/>
      <c r="G211" s="330"/>
      <c r="H211" s="330"/>
      <c r="I211" s="330"/>
      <c r="J211" s="330"/>
      <c r="K211" s="330"/>
      <c r="L211" s="330"/>
      <c r="M211" s="330"/>
      <c r="N211" s="330"/>
      <c r="O211" s="330"/>
      <c r="P211" s="330"/>
      <c r="Q211" s="330"/>
      <c r="R211" s="330"/>
      <c r="S211" s="330"/>
      <c r="T211" s="321">
        <f>V43</f>
        <v>1.2257189270559538E-2</v>
      </c>
      <c r="U211" s="288"/>
      <c r="V211" s="288"/>
      <c r="W211" s="291"/>
      <c r="X211" s="5"/>
    </row>
    <row r="212" spans="1:24" ht="15.6" x14ac:dyDescent="0.3">
      <c r="A212" s="352"/>
      <c r="B212" s="288" t="s">
        <v>74</v>
      </c>
      <c r="C212" s="353"/>
      <c r="D212" s="353"/>
      <c r="E212" s="353"/>
      <c r="F212" s="353"/>
      <c r="G212" s="330"/>
      <c r="H212" s="330"/>
      <c r="I212" s="330"/>
      <c r="J212" s="330"/>
      <c r="K212" s="330"/>
      <c r="L212" s="330"/>
      <c r="M212" s="330"/>
      <c r="N212" s="330"/>
      <c r="O212" s="330"/>
      <c r="P212" s="330"/>
      <c r="Q212" s="330"/>
      <c r="R212" s="330"/>
      <c r="S212" s="330"/>
      <c r="T212" s="321">
        <f>T210-T211</f>
        <v>1.4932810729440461E-2</v>
      </c>
      <c r="U212" s="288"/>
      <c r="V212" s="288"/>
      <c r="W212" s="291"/>
      <c r="X212" s="5"/>
    </row>
    <row r="213" spans="1:24" ht="15.6" x14ac:dyDescent="0.3">
      <c r="A213" s="352"/>
      <c r="B213" s="288" t="s">
        <v>242</v>
      </c>
      <c r="C213" s="353"/>
      <c r="D213" s="353"/>
      <c r="E213" s="353"/>
      <c r="F213" s="353"/>
      <c r="G213" s="330"/>
      <c r="H213" s="330"/>
      <c r="I213" s="330"/>
      <c r="J213" s="330"/>
      <c r="K213" s="330"/>
      <c r="L213" s="330"/>
      <c r="M213" s="330"/>
      <c r="N213" s="330"/>
      <c r="O213" s="330"/>
      <c r="P213" s="330"/>
      <c r="Q213" s="330"/>
      <c r="R213" s="330"/>
      <c r="S213" s="330"/>
      <c r="T213" s="321">
        <f>V101/N71</f>
        <v>7.1445141157076113E-3</v>
      </c>
      <c r="U213" s="288"/>
      <c r="V213" s="288"/>
      <c r="W213" s="291"/>
      <c r="X213" s="5"/>
    </row>
    <row r="214" spans="1:24" ht="15.6" x14ac:dyDescent="0.3">
      <c r="A214" s="352"/>
      <c r="B214" s="288" t="s">
        <v>208</v>
      </c>
      <c r="C214" s="353"/>
      <c r="D214" s="353"/>
      <c r="E214" s="353"/>
      <c r="F214" s="353"/>
      <c r="G214" s="330"/>
      <c r="H214" s="330"/>
      <c r="I214" s="330"/>
      <c r="J214" s="330"/>
      <c r="K214" s="330"/>
      <c r="L214" s="330"/>
      <c r="M214" s="330"/>
      <c r="N214" s="330"/>
      <c r="O214" s="330"/>
      <c r="P214" s="330"/>
      <c r="Q214" s="330"/>
      <c r="R214" s="330"/>
      <c r="S214" s="330"/>
      <c r="T214" s="354">
        <v>51014</v>
      </c>
      <c r="U214" s="288"/>
      <c r="V214" s="288"/>
      <c r="W214" s="291"/>
      <c r="X214" s="5"/>
    </row>
    <row r="215" spans="1:24" ht="15.6" x14ac:dyDescent="0.3">
      <c r="A215" s="352"/>
      <c r="B215" s="288" t="s">
        <v>209</v>
      </c>
      <c r="C215" s="353"/>
      <c r="D215" s="353"/>
      <c r="E215" s="353"/>
      <c r="F215" s="353"/>
      <c r="G215" s="330"/>
      <c r="H215" s="330"/>
      <c r="I215" s="330"/>
      <c r="J215" s="330"/>
      <c r="K215" s="330"/>
      <c r="L215" s="330"/>
      <c r="M215" s="330"/>
      <c r="N215" s="330"/>
      <c r="O215" s="330"/>
      <c r="P215" s="330"/>
      <c r="Q215" s="330"/>
      <c r="R215" s="330"/>
      <c r="S215" s="330"/>
      <c r="T215" s="354">
        <v>51014</v>
      </c>
      <c r="U215" s="288"/>
      <c r="V215" s="288"/>
      <c r="W215" s="291"/>
      <c r="X215" s="5"/>
    </row>
    <row r="216" spans="1:24" ht="15.6" x14ac:dyDescent="0.3">
      <c r="A216" s="352"/>
      <c r="B216" s="288" t="s">
        <v>210</v>
      </c>
      <c r="C216" s="353"/>
      <c r="D216" s="353"/>
      <c r="E216" s="353"/>
      <c r="F216" s="353"/>
      <c r="G216" s="330"/>
      <c r="H216" s="330"/>
      <c r="I216" s="330"/>
      <c r="J216" s="330"/>
      <c r="K216" s="330"/>
      <c r="L216" s="330"/>
      <c r="M216" s="330"/>
      <c r="N216" s="330"/>
      <c r="O216" s="330"/>
      <c r="P216" s="330"/>
      <c r="Q216" s="330"/>
      <c r="R216" s="330"/>
      <c r="S216" s="330"/>
      <c r="T216" s="354">
        <v>51014</v>
      </c>
      <c r="U216" s="288"/>
      <c r="V216" s="288"/>
      <c r="W216" s="291"/>
      <c r="X216" s="5"/>
    </row>
    <row r="217" spans="1:24" ht="15.6" x14ac:dyDescent="0.3">
      <c r="A217" s="352"/>
      <c r="B217" s="288" t="s">
        <v>75</v>
      </c>
      <c r="C217" s="353"/>
      <c r="D217" s="353"/>
      <c r="E217" s="353"/>
      <c r="F217" s="353"/>
      <c r="G217" s="330"/>
      <c r="H217" s="330"/>
      <c r="I217" s="330"/>
      <c r="J217" s="330"/>
      <c r="K217" s="330"/>
      <c r="L217" s="330"/>
      <c r="M217" s="330"/>
      <c r="N217" s="330"/>
      <c r="O217" s="330"/>
      <c r="P217" s="330"/>
      <c r="Q217" s="330"/>
      <c r="R217" s="330"/>
      <c r="S217" s="330"/>
      <c r="T217" s="327">
        <v>20.66</v>
      </c>
      <c r="U217" s="288" t="s">
        <v>110</v>
      </c>
      <c r="V217" s="288"/>
      <c r="W217" s="291"/>
      <c r="X217" s="5"/>
    </row>
    <row r="218" spans="1:24" ht="15.6" x14ac:dyDescent="0.3">
      <c r="A218" s="352"/>
      <c r="B218" s="288" t="s">
        <v>76</v>
      </c>
      <c r="C218" s="353"/>
      <c r="D218" s="353"/>
      <c r="E218" s="353"/>
      <c r="F218" s="353"/>
      <c r="G218" s="330"/>
      <c r="H218" s="330"/>
      <c r="I218" s="330"/>
      <c r="J218" s="330"/>
      <c r="K218" s="330"/>
      <c r="L218" s="330"/>
      <c r="M218" s="330"/>
      <c r="N218" s="330"/>
      <c r="O218" s="330"/>
      <c r="P218" s="330"/>
      <c r="Q218" s="330"/>
      <c r="R218" s="330"/>
      <c r="S218" s="330"/>
      <c r="T218" s="327">
        <v>16.399999999999999</v>
      </c>
      <c r="U218" s="288" t="s">
        <v>110</v>
      </c>
      <c r="V218" s="288"/>
      <c r="W218" s="291"/>
      <c r="X218" s="5"/>
    </row>
    <row r="219" spans="1:24" ht="15.6" x14ac:dyDescent="0.3">
      <c r="A219" s="352"/>
      <c r="B219" s="288" t="s">
        <v>77</v>
      </c>
      <c r="C219" s="353"/>
      <c r="D219" s="353"/>
      <c r="E219" s="353"/>
      <c r="F219" s="353"/>
      <c r="G219" s="330"/>
      <c r="H219" s="330"/>
      <c r="I219" s="330"/>
      <c r="J219" s="330"/>
      <c r="K219" s="330"/>
      <c r="L219" s="330"/>
      <c r="M219" s="330"/>
      <c r="N219" s="330"/>
      <c r="O219" s="330"/>
      <c r="P219" s="330"/>
      <c r="Q219" s="330"/>
      <c r="R219" s="330"/>
      <c r="S219" s="330"/>
      <c r="T219" s="321">
        <f>+P68/N68</f>
        <v>5.3257501519311801E-3</v>
      </c>
      <c r="U219" s="288"/>
      <c r="V219" s="288"/>
      <c r="W219" s="291"/>
      <c r="X219" s="5"/>
    </row>
    <row r="220" spans="1:24" ht="15.6" x14ac:dyDescent="0.3">
      <c r="A220" s="352"/>
      <c r="B220" s="288" t="s">
        <v>78</v>
      </c>
      <c r="C220" s="353"/>
      <c r="D220" s="353"/>
      <c r="E220" s="353"/>
      <c r="F220" s="353"/>
      <c r="G220" s="330"/>
      <c r="H220" s="330"/>
      <c r="I220" s="330"/>
      <c r="J220" s="330"/>
      <c r="K220" s="330"/>
      <c r="L220" s="330"/>
      <c r="M220" s="330"/>
      <c r="N220" s="330"/>
      <c r="O220" s="330"/>
      <c r="P220" s="330"/>
      <c r="Q220" s="330"/>
      <c r="R220" s="330"/>
      <c r="S220" s="330"/>
      <c r="T220" s="321">
        <v>6.0199999999999997E-2</v>
      </c>
      <c r="U220" s="288"/>
      <c r="V220" s="288"/>
      <c r="W220" s="291"/>
      <c r="X220" s="5"/>
    </row>
    <row r="221" spans="1:24" ht="15.6" x14ac:dyDescent="0.3">
      <c r="A221" s="217"/>
      <c r="B221" s="284"/>
      <c r="C221" s="284"/>
      <c r="D221" s="284"/>
      <c r="E221" s="284"/>
      <c r="F221" s="284"/>
      <c r="G221" s="284"/>
      <c r="H221" s="284"/>
      <c r="I221" s="284"/>
      <c r="J221" s="284"/>
      <c r="K221" s="284"/>
      <c r="L221" s="284"/>
      <c r="M221" s="284"/>
      <c r="N221" s="284"/>
      <c r="O221" s="284"/>
      <c r="P221" s="284"/>
      <c r="Q221" s="284"/>
      <c r="R221" s="284"/>
      <c r="S221" s="284"/>
      <c r="T221" s="349"/>
      <c r="U221" s="284"/>
      <c r="V221" s="351"/>
      <c r="W221" s="284"/>
      <c r="X221" s="5"/>
    </row>
    <row r="222" spans="1:24" ht="15.6" x14ac:dyDescent="0.3">
      <c r="A222" s="278"/>
      <c r="B222" s="399" t="s">
        <v>79</v>
      </c>
      <c r="C222" s="400"/>
      <c r="D222" s="400"/>
      <c r="E222" s="400"/>
      <c r="F222" s="406"/>
      <c r="G222" s="400"/>
      <c r="H222" s="400"/>
      <c r="I222" s="400"/>
      <c r="J222" s="400"/>
      <c r="K222" s="400"/>
      <c r="L222" s="400"/>
      <c r="M222" s="400"/>
      <c r="N222" s="400"/>
      <c r="O222" s="400"/>
      <c r="P222" s="400"/>
      <c r="Q222" s="400"/>
      <c r="R222" s="400"/>
      <c r="S222" s="400" t="s">
        <v>102</v>
      </c>
      <c r="T222" s="406" t="s">
        <v>108</v>
      </c>
      <c r="U222" s="263"/>
      <c r="V222" s="263"/>
      <c r="W222" s="263"/>
      <c r="X222" s="5"/>
    </row>
    <row r="223" spans="1:24" ht="15.6" x14ac:dyDescent="0.3">
      <c r="A223" s="218"/>
      <c r="B223" s="231" t="s">
        <v>80</v>
      </c>
      <c r="C223" s="234"/>
      <c r="D223" s="234"/>
      <c r="E223" s="234"/>
      <c r="F223" s="231"/>
      <c r="G223" s="231"/>
      <c r="H223" s="233"/>
      <c r="I223" s="233"/>
      <c r="J223" s="233"/>
      <c r="K223" s="233"/>
      <c r="L223" s="233"/>
      <c r="M223" s="233"/>
      <c r="N223" s="233"/>
      <c r="O223" s="233"/>
      <c r="P223" s="233"/>
      <c r="Q223" s="233"/>
      <c r="R223" s="233"/>
      <c r="S223" s="233">
        <v>4</v>
      </c>
      <c r="T223" s="251">
        <v>867</v>
      </c>
      <c r="U223" s="231"/>
      <c r="V223" s="250"/>
      <c r="W223" s="252"/>
      <c r="X223" s="5"/>
    </row>
    <row r="224" spans="1:24" ht="15.6" x14ac:dyDescent="0.3">
      <c r="A224" s="362"/>
      <c r="B224" s="288" t="s">
        <v>145</v>
      </c>
      <c r="C224" s="337"/>
      <c r="D224" s="337"/>
      <c r="E224" s="337"/>
      <c r="F224" s="288"/>
      <c r="G224" s="288"/>
      <c r="H224" s="296"/>
      <c r="I224" s="296"/>
      <c r="J224" s="296"/>
      <c r="K224" s="296"/>
      <c r="L224" s="296"/>
      <c r="M224" s="296"/>
      <c r="N224" s="296"/>
      <c r="O224" s="296"/>
      <c r="P224" s="296"/>
      <c r="Q224" s="296"/>
      <c r="R224" s="296"/>
      <c r="S224" s="363">
        <f>+R276</f>
        <v>195</v>
      </c>
      <c r="T224" s="364">
        <f>+T276</f>
        <v>27110</v>
      </c>
      <c r="U224" s="288"/>
      <c r="V224" s="365"/>
      <c r="W224" s="366"/>
      <c r="X224" s="5"/>
    </row>
    <row r="225" spans="1:24" ht="15.6" x14ac:dyDescent="0.3">
      <c r="A225" s="362"/>
      <c r="B225" s="288" t="s">
        <v>81</v>
      </c>
      <c r="C225" s="337"/>
      <c r="D225" s="337"/>
      <c r="E225" s="337"/>
      <c r="F225" s="288"/>
      <c r="G225" s="288"/>
      <c r="H225" s="296"/>
      <c r="I225" s="296"/>
      <c r="J225" s="296"/>
      <c r="K225" s="296"/>
      <c r="L225" s="296"/>
      <c r="M225" s="296"/>
      <c r="N225" s="296"/>
      <c r="O225" s="296"/>
      <c r="P225" s="296"/>
      <c r="Q225" s="296"/>
      <c r="R225" s="296"/>
      <c r="S225" s="363">
        <f>+R288</f>
        <v>0</v>
      </c>
      <c r="T225" s="364">
        <f>+T288</f>
        <v>0</v>
      </c>
      <c r="U225" s="288"/>
      <c r="V225" s="365"/>
      <c r="W225" s="366"/>
      <c r="X225" s="5"/>
    </row>
    <row r="226" spans="1:24" ht="15.6" x14ac:dyDescent="0.3">
      <c r="A226" s="362"/>
      <c r="B226" s="313" t="s">
        <v>82</v>
      </c>
      <c r="C226" s="367"/>
      <c r="D226" s="367"/>
      <c r="E226" s="367"/>
      <c r="F226" s="314"/>
      <c r="G226" s="314"/>
      <c r="H226" s="314"/>
      <c r="I226" s="314"/>
      <c r="J226" s="314"/>
      <c r="K226" s="314"/>
      <c r="L226" s="314"/>
      <c r="M226" s="314"/>
      <c r="N226" s="314"/>
      <c r="O226" s="314"/>
      <c r="P226" s="314"/>
      <c r="Q226" s="314"/>
      <c r="R226" s="314"/>
      <c r="S226" s="314"/>
      <c r="T226" s="364">
        <v>0</v>
      </c>
      <c r="U226" s="314"/>
      <c r="V226" s="369"/>
      <c r="W226" s="370"/>
      <c r="X226" s="5"/>
    </row>
    <row r="227" spans="1:24" ht="15.6" x14ac:dyDescent="0.3">
      <c r="A227" s="362"/>
      <c r="B227" s="313" t="s">
        <v>243</v>
      </c>
      <c r="C227" s="367"/>
      <c r="D227" s="367"/>
      <c r="E227" s="367"/>
      <c r="F227" s="314"/>
      <c r="G227" s="314"/>
      <c r="H227" s="314"/>
      <c r="I227" s="314"/>
      <c r="J227" s="314"/>
      <c r="K227" s="314"/>
      <c r="L227" s="314"/>
      <c r="M227" s="314"/>
      <c r="N227" s="314"/>
      <c r="O227" s="314"/>
      <c r="P227" s="314"/>
      <c r="Q227" s="314"/>
      <c r="R227" s="314"/>
      <c r="S227" s="314"/>
      <c r="T227" s="364">
        <f>+N81</f>
        <v>0</v>
      </c>
      <c r="U227" s="314"/>
      <c r="V227" s="369"/>
      <c r="W227" s="370"/>
      <c r="X227" s="5"/>
    </row>
    <row r="228" spans="1:24" ht="15.6" x14ac:dyDescent="0.3">
      <c r="A228" s="371"/>
      <c r="B228" s="313" t="s">
        <v>83</v>
      </c>
      <c r="C228" s="372"/>
      <c r="D228" s="372"/>
      <c r="E228" s="372"/>
      <c r="F228" s="372"/>
      <c r="G228" s="314"/>
      <c r="H228" s="314"/>
      <c r="I228" s="314"/>
      <c r="J228" s="314"/>
      <c r="K228" s="314"/>
      <c r="L228" s="314"/>
      <c r="M228" s="314"/>
      <c r="N228" s="314"/>
      <c r="O228" s="314"/>
      <c r="P228" s="314"/>
      <c r="Q228" s="314"/>
      <c r="R228" s="314"/>
      <c r="S228" s="314"/>
      <c r="T228" s="368"/>
      <c r="U228" s="314"/>
      <c r="V228" s="369"/>
      <c r="W228" s="373"/>
      <c r="X228" s="5"/>
    </row>
    <row r="229" spans="1:24" ht="15.6" x14ac:dyDescent="0.3">
      <c r="A229" s="371"/>
      <c r="B229" s="288" t="s">
        <v>84</v>
      </c>
      <c r="C229" s="288"/>
      <c r="D229" s="288"/>
      <c r="E229" s="288"/>
      <c r="F229" s="288"/>
      <c r="G229" s="288"/>
      <c r="H229" s="288"/>
      <c r="I229" s="288"/>
      <c r="J229" s="288"/>
      <c r="K229" s="288"/>
      <c r="L229" s="288"/>
      <c r="M229" s="288"/>
      <c r="N229" s="288"/>
      <c r="O229" s="288"/>
      <c r="P229" s="288"/>
      <c r="Q229" s="288"/>
      <c r="R229" s="288"/>
      <c r="S229" s="296"/>
      <c r="T229" s="364">
        <f>V167</f>
        <v>266</v>
      </c>
      <c r="U229" s="288"/>
      <c r="V229" s="365"/>
      <c r="W229" s="378"/>
      <c r="X229" s="5"/>
    </row>
    <row r="230" spans="1:24" ht="15.6" x14ac:dyDescent="0.3">
      <c r="A230" s="362"/>
      <c r="B230" s="288" t="s">
        <v>85</v>
      </c>
      <c r="C230" s="337"/>
      <c r="D230" s="337"/>
      <c r="E230" s="337"/>
      <c r="F230" s="337"/>
      <c r="G230" s="288"/>
      <c r="H230" s="288"/>
      <c r="I230" s="288"/>
      <c r="J230" s="288"/>
      <c r="K230" s="288"/>
      <c r="L230" s="288"/>
      <c r="M230" s="288"/>
      <c r="N230" s="288"/>
      <c r="O230" s="288"/>
      <c r="P230" s="288"/>
      <c r="Q230" s="288"/>
      <c r="R230" s="288"/>
      <c r="S230" s="296"/>
      <c r="T230" s="364">
        <f>'Nov 11'!T230+T229</f>
        <v>3606</v>
      </c>
      <c r="U230" s="288"/>
      <c r="V230" s="365"/>
      <c r="W230" s="378"/>
      <c r="X230" s="5"/>
    </row>
    <row r="231" spans="1:24" ht="15.6" x14ac:dyDescent="0.3">
      <c r="A231" s="371"/>
      <c r="B231" s="313" t="s">
        <v>295</v>
      </c>
      <c r="C231" s="372"/>
      <c r="D231" s="372"/>
      <c r="E231" s="372"/>
      <c r="F231" s="372"/>
      <c r="G231" s="314"/>
      <c r="H231" s="314"/>
      <c r="I231" s="314"/>
      <c r="J231" s="314"/>
      <c r="K231" s="314"/>
      <c r="L231" s="314"/>
      <c r="M231" s="314"/>
      <c r="N231" s="314"/>
      <c r="O231" s="314"/>
      <c r="P231" s="314"/>
      <c r="Q231" s="314"/>
      <c r="R231" s="314"/>
      <c r="S231" s="316"/>
      <c r="T231" s="368"/>
      <c r="U231" s="314"/>
      <c r="V231" s="369"/>
      <c r="W231" s="373"/>
      <c r="X231" s="5"/>
    </row>
    <row r="232" spans="1:24" ht="15.6" x14ac:dyDescent="0.3">
      <c r="A232" s="371"/>
      <c r="B232" s="288" t="s">
        <v>291</v>
      </c>
      <c r="C232" s="288"/>
      <c r="D232" s="288"/>
      <c r="E232" s="288"/>
      <c r="F232" s="288"/>
      <c r="G232" s="288"/>
      <c r="H232" s="288"/>
      <c r="I232" s="288"/>
      <c r="J232" s="288"/>
      <c r="K232" s="288"/>
      <c r="L232" s="288"/>
      <c r="M232" s="288"/>
      <c r="N232" s="288"/>
      <c r="O232" s="288"/>
      <c r="P232" s="288"/>
      <c r="Q232" s="288"/>
      <c r="R232" s="288"/>
      <c r="S232" s="296">
        <v>0</v>
      </c>
      <c r="T232" s="364">
        <v>0</v>
      </c>
      <c r="U232" s="288"/>
      <c r="V232" s="365"/>
      <c r="W232" s="378"/>
      <c r="X232" s="5"/>
    </row>
    <row r="233" spans="1:24" ht="15.6" x14ac:dyDescent="0.3">
      <c r="A233" s="362"/>
      <c r="B233" s="288" t="s">
        <v>86</v>
      </c>
      <c r="C233" s="325"/>
      <c r="D233" s="325"/>
      <c r="E233" s="325"/>
      <c r="F233" s="379"/>
      <c r="G233" s="288"/>
      <c r="H233" s="288"/>
      <c r="I233" s="288"/>
      <c r="J233" s="288"/>
      <c r="K233" s="288"/>
      <c r="L233" s="288"/>
      <c r="M233" s="288"/>
      <c r="N233" s="288"/>
      <c r="O233" s="288"/>
      <c r="P233" s="288"/>
      <c r="Q233" s="288"/>
      <c r="R233" s="288"/>
      <c r="S233" s="288"/>
      <c r="T233" s="380">
        <v>0</v>
      </c>
      <c r="U233" s="288"/>
      <c r="V233" s="365"/>
      <c r="W233" s="378"/>
      <c r="X233" s="5"/>
    </row>
    <row r="234" spans="1:24" ht="15.6" x14ac:dyDescent="0.3">
      <c r="A234" s="362"/>
      <c r="B234" s="288" t="s">
        <v>87</v>
      </c>
      <c r="C234" s="325"/>
      <c r="D234" s="325"/>
      <c r="E234" s="325"/>
      <c r="F234" s="379"/>
      <c r="G234" s="288"/>
      <c r="H234" s="288"/>
      <c r="I234" s="288"/>
      <c r="J234" s="288"/>
      <c r="K234" s="288"/>
      <c r="L234" s="288"/>
      <c r="M234" s="288"/>
      <c r="N234" s="288"/>
      <c r="O234" s="288"/>
      <c r="P234" s="288"/>
      <c r="Q234" s="288"/>
      <c r="R234" s="288"/>
      <c r="S234" s="288"/>
      <c r="T234" s="380">
        <v>0</v>
      </c>
      <c r="U234" s="288"/>
      <c r="V234" s="365"/>
      <c r="W234" s="378"/>
      <c r="X234" s="5"/>
    </row>
    <row r="235" spans="1:24" ht="15.6" x14ac:dyDescent="0.3">
      <c r="A235" s="362"/>
      <c r="B235" s="313" t="s">
        <v>217</v>
      </c>
      <c r="C235" s="381"/>
      <c r="D235" s="381"/>
      <c r="E235" s="381"/>
      <c r="F235" s="382"/>
      <c r="G235" s="314"/>
      <c r="H235" s="314"/>
      <c r="I235" s="314"/>
      <c r="J235" s="314"/>
      <c r="K235" s="314"/>
      <c r="L235" s="314"/>
      <c r="M235" s="314"/>
      <c r="N235" s="314"/>
      <c r="O235" s="314"/>
      <c r="P235" s="314"/>
      <c r="Q235" s="314"/>
      <c r="R235" s="314"/>
      <c r="S235" s="314"/>
      <c r="T235" s="383"/>
      <c r="U235" s="314"/>
      <c r="V235" s="369"/>
      <c r="W235" s="373"/>
      <c r="X235" s="5"/>
    </row>
    <row r="236" spans="1:24" ht="15.6" x14ac:dyDescent="0.3">
      <c r="A236" s="362"/>
      <c r="B236" s="288" t="s">
        <v>291</v>
      </c>
      <c r="C236" s="381"/>
      <c r="D236" s="381"/>
      <c r="E236" s="381"/>
      <c r="F236" s="382"/>
      <c r="G236" s="314"/>
      <c r="H236" s="314"/>
      <c r="I236" s="314"/>
      <c r="J236" s="314"/>
      <c r="K236" s="314"/>
      <c r="L236" s="314"/>
      <c r="M236" s="314"/>
      <c r="N236" s="314"/>
      <c r="O236" s="314"/>
      <c r="P236" s="314"/>
      <c r="Q236" s="314"/>
      <c r="R236" s="314"/>
      <c r="S236" s="296">
        <v>5</v>
      </c>
      <c r="T236" s="364">
        <v>448</v>
      </c>
      <c r="U236" s="314"/>
      <c r="V236" s="369"/>
      <c r="W236" s="373"/>
      <c r="X236" s="5"/>
    </row>
    <row r="237" spans="1:24" ht="15.6" x14ac:dyDescent="0.3">
      <c r="A237" s="362"/>
      <c r="B237" s="288" t="s">
        <v>218</v>
      </c>
      <c r="C237" s="381"/>
      <c r="D237" s="381"/>
      <c r="E237" s="381"/>
      <c r="F237" s="382"/>
      <c r="G237" s="314"/>
      <c r="H237" s="314"/>
      <c r="I237" s="314"/>
      <c r="J237" s="314"/>
      <c r="K237" s="314"/>
      <c r="L237" s="314"/>
      <c r="M237" s="314"/>
      <c r="N237" s="314"/>
      <c r="O237" s="314"/>
      <c r="P237" s="314"/>
      <c r="Q237" s="314"/>
      <c r="R237" s="314"/>
      <c r="S237" s="288"/>
      <c r="T237" s="380">
        <v>9.44</v>
      </c>
      <c r="U237" s="314"/>
      <c r="V237" s="369"/>
      <c r="W237" s="373"/>
      <c r="X237" s="5"/>
    </row>
    <row r="238" spans="1:24" ht="15.6" x14ac:dyDescent="0.3">
      <c r="A238" s="362"/>
      <c r="B238" s="372"/>
      <c r="C238" s="381"/>
      <c r="D238" s="381"/>
      <c r="E238" s="381"/>
      <c r="F238" s="382"/>
      <c r="G238" s="314"/>
      <c r="H238" s="314"/>
      <c r="I238" s="314"/>
      <c r="J238" s="314"/>
      <c r="K238" s="314"/>
      <c r="L238" s="314"/>
      <c r="M238" s="314"/>
      <c r="N238" s="314"/>
      <c r="O238" s="314"/>
      <c r="P238" s="314"/>
      <c r="Q238" s="314"/>
      <c r="R238" s="314"/>
      <c r="S238" s="314"/>
      <c r="T238" s="383"/>
      <c r="U238" s="314"/>
      <c r="V238" s="369"/>
      <c r="W238" s="373"/>
      <c r="X238" s="5"/>
    </row>
    <row r="239" spans="1:24" ht="15.6" x14ac:dyDescent="0.3">
      <c r="A239" s="362"/>
      <c r="B239" s="372"/>
      <c r="C239" s="381"/>
      <c r="D239" s="381"/>
      <c r="E239" s="381"/>
      <c r="F239" s="382"/>
      <c r="G239" s="314"/>
      <c r="H239" s="314"/>
      <c r="I239" s="314"/>
      <c r="J239" s="314"/>
      <c r="K239" s="314"/>
      <c r="L239" s="314"/>
      <c r="M239" s="314"/>
      <c r="N239" s="314"/>
      <c r="O239" s="314"/>
      <c r="P239" s="314"/>
      <c r="Q239" s="314"/>
      <c r="R239" s="314"/>
      <c r="S239" s="314"/>
      <c r="T239" s="383"/>
      <c r="U239" s="314"/>
      <c r="V239" s="369"/>
      <c r="W239" s="373"/>
      <c r="X239" s="5"/>
    </row>
    <row r="240" spans="1:24" ht="17.399999999999999" x14ac:dyDescent="0.3">
      <c r="A240" s="362"/>
      <c r="B240" s="384" t="s">
        <v>168</v>
      </c>
      <c r="C240" s="381"/>
      <c r="D240" s="381"/>
      <c r="E240" s="381"/>
      <c r="F240" s="382"/>
      <c r="G240" s="314"/>
      <c r="H240" s="314"/>
      <c r="I240" s="314"/>
      <c r="J240" s="314"/>
      <c r="K240" s="314"/>
      <c r="L240" s="314"/>
      <c r="M240" s="314"/>
      <c r="N240" s="314"/>
      <c r="O240" s="314"/>
      <c r="P240" s="385" t="s">
        <v>167</v>
      </c>
      <c r="Q240" s="314"/>
      <c r="R240" s="314"/>
      <c r="S240" s="314"/>
      <c r="T240" s="383"/>
      <c r="U240" s="314"/>
      <c r="V240" s="369"/>
      <c r="W240" s="373"/>
      <c r="X240" s="5"/>
    </row>
    <row r="241" spans="1:25" ht="15.6" x14ac:dyDescent="0.3">
      <c r="A241" s="355"/>
      <c r="B241" s="356"/>
      <c r="C241" s="357"/>
      <c r="D241" s="357"/>
      <c r="E241" s="357"/>
      <c r="F241" s="358"/>
      <c r="G241" s="198"/>
      <c r="H241" s="198"/>
      <c r="I241" s="198"/>
      <c r="J241" s="198"/>
      <c r="K241" s="198"/>
      <c r="L241" s="198"/>
      <c r="M241" s="198"/>
      <c r="N241" s="198"/>
      <c r="O241" s="198"/>
      <c r="P241" s="198"/>
      <c r="Q241" s="198"/>
      <c r="R241" s="198"/>
      <c r="S241" s="198"/>
      <c r="T241" s="359"/>
      <c r="U241" s="198"/>
      <c r="V241" s="360"/>
      <c r="W241" s="361"/>
      <c r="X241" s="5"/>
    </row>
    <row r="242" spans="1:25" ht="15.6" x14ac:dyDescent="0.3">
      <c r="A242" s="262"/>
      <c r="B242" s="399" t="s">
        <v>308</v>
      </c>
      <c r="C242" s="400"/>
      <c r="D242" s="400"/>
      <c r="E242" s="400"/>
      <c r="F242" s="406"/>
      <c r="G242" s="400"/>
      <c r="H242" s="400"/>
      <c r="I242" s="400"/>
      <c r="J242" s="400"/>
      <c r="K242" s="400"/>
      <c r="L242" s="400"/>
      <c r="M242" s="400"/>
      <c r="N242" s="400"/>
      <c r="O242" s="400"/>
      <c r="P242" s="400"/>
      <c r="Q242" s="400"/>
      <c r="R242" s="406" t="s">
        <v>102</v>
      </c>
      <c r="S242" s="400" t="s">
        <v>103</v>
      </c>
      <c r="T242" s="406" t="s">
        <v>109</v>
      </c>
      <c r="U242" s="400" t="s">
        <v>103</v>
      </c>
      <c r="V242" s="263"/>
      <c r="W242" s="399"/>
      <c r="X242" s="5"/>
    </row>
    <row r="243" spans="1:25" ht="15.6" x14ac:dyDescent="0.3">
      <c r="A243" s="197"/>
      <c r="B243" s="234" t="s">
        <v>88</v>
      </c>
      <c r="C243" s="253"/>
      <c r="D243" s="253"/>
      <c r="E243" s="253"/>
      <c r="F243" s="231"/>
      <c r="G243" s="253"/>
      <c r="H243" s="253"/>
      <c r="I243" s="253"/>
      <c r="J243" s="253"/>
      <c r="K243" s="253"/>
      <c r="L243" s="253"/>
      <c r="M243" s="253"/>
      <c r="N243" s="253"/>
      <c r="O243" s="253"/>
      <c r="P243" s="253"/>
      <c r="Q243" s="253"/>
      <c r="R243" s="234">
        <f t="shared" ref="R243:R250" si="1">+R255+R267+R279</f>
        <v>7905</v>
      </c>
      <c r="S243" s="254">
        <f t="shared" ref="S243:S250" si="2">R243/$R$252</f>
        <v>0.98652190190939726</v>
      </c>
      <c r="T243" s="241">
        <f t="shared" ref="T243:T250" si="3">+T255+T267+T279</f>
        <v>1109818</v>
      </c>
      <c r="U243" s="254">
        <f t="shared" ref="U243:U250" si="4">T243/$T$252</f>
        <v>0.98409756755031252</v>
      </c>
      <c r="V243" s="250"/>
      <c r="W243" s="232"/>
      <c r="X243" s="5"/>
    </row>
    <row r="244" spans="1:25" ht="15.6" x14ac:dyDescent="0.3">
      <c r="A244" s="287"/>
      <c r="B244" s="337" t="s">
        <v>89</v>
      </c>
      <c r="C244" s="389"/>
      <c r="D244" s="389"/>
      <c r="E244" s="389"/>
      <c r="F244" s="288"/>
      <c r="G244" s="390"/>
      <c r="H244" s="389"/>
      <c r="I244" s="389"/>
      <c r="J244" s="389"/>
      <c r="K244" s="389"/>
      <c r="L244" s="389"/>
      <c r="M244" s="389"/>
      <c r="N244" s="389"/>
      <c r="O244" s="389"/>
      <c r="P244" s="389"/>
      <c r="Q244" s="389"/>
      <c r="R244" s="337">
        <f t="shared" si="1"/>
        <v>54</v>
      </c>
      <c r="S244" s="390">
        <f t="shared" si="2"/>
        <v>6.7390490453013855E-3</v>
      </c>
      <c r="T244" s="338">
        <f t="shared" si="3"/>
        <v>9834</v>
      </c>
      <c r="U244" s="390">
        <f t="shared" si="4"/>
        <v>8.7200022700026254E-3</v>
      </c>
      <c r="V244" s="365"/>
      <c r="W244" s="378"/>
      <c r="X244" s="5"/>
      <c r="Y244" s="109"/>
    </row>
    <row r="245" spans="1:25" ht="15.6" x14ac:dyDescent="0.3">
      <c r="A245" s="287"/>
      <c r="B245" s="337" t="s">
        <v>90</v>
      </c>
      <c r="C245" s="389"/>
      <c r="D245" s="389"/>
      <c r="E245" s="389"/>
      <c r="F245" s="288"/>
      <c r="G245" s="390"/>
      <c r="H245" s="389"/>
      <c r="I245" s="389"/>
      <c r="J245" s="389"/>
      <c r="K245" s="389"/>
      <c r="L245" s="389"/>
      <c r="M245" s="389"/>
      <c r="N245" s="389"/>
      <c r="O245" s="389"/>
      <c r="P245" s="389"/>
      <c r="Q245" s="389"/>
      <c r="R245" s="337">
        <f t="shared" si="1"/>
        <v>13</v>
      </c>
      <c r="S245" s="390">
        <f t="shared" si="2"/>
        <v>1.6223636590540372E-3</v>
      </c>
      <c r="T245" s="338">
        <f t="shared" si="3"/>
        <v>2118</v>
      </c>
      <c r="U245" s="390">
        <f t="shared" si="4"/>
        <v>1.8780724840213097E-3</v>
      </c>
      <c r="V245" s="365"/>
      <c r="W245" s="378"/>
      <c r="X245" s="5"/>
    </row>
    <row r="246" spans="1:25" ht="15.6" x14ac:dyDescent="0.3">
      <c r="A246" s="287"/>
      <c r="B246" s="337" t="s">
        <v>156</v>
      </c>
      <c r="C246" s="389"/>
      <c r="D246" s="389"/>
      <c r="E246" s="389"/>
      <c r="F246" s="288"/>
      <c r="G246" s="390"/>
      <c r="H246" s="389"/>
      <c r="I246" s="389"/>
      <c r="J246" s="389"/>
      <c r="K246" s="389"/>
      <c r="L246" s="389"/>
      <c r="M246" s="389"/>
      <c r="N246" s="389"/>
      <c r="O246" s="389"/>
      <c r="P246" s="389"/>
      <c r="Q246" s="389"/>
      <c r="R246" s="337">
        <f t="shared" si="1"/>
        <v>2</v>
      </c>
      <c r="S246" s="390">
        <f t="shared" si="2"/>
        <v>2.4959440908523651E-4</v>
      </c>
      <c r="T246" s="338">
        <f t="shared" si="3"/>
        <v>213</v>
      </c>
      <c r="U246" s="390">
        <f t="shared" si="4"/>
        <v>1.8887131213245466E-4</v>
      </c>
      <c r="V246" s="365"/>
      <c r="W246" s="378"/>
      <c r="X246" s="5"/>
      <c r="Y246" s="109"/>
    </row>
    <row r="247" spans="1:25" ht="15.6" x14ac:dyDescent="0.3">
      <c r="A247" s="287"/>
      <c r="B247" s="337" t="s">
        <v>157</v>
      </c>
      <c r="C247" s="389"/>
      <c r="D247" s="389"/>
      <c r="E247" s="389"/>
      <c r="F247" s="288"/>
      <c r="G247" s="390"/>
      <c r="H247" s="389"/>
      <c r="I247" s="389"/>
      <c r="J247" s="389"/>
      <c r="K247" s="389"/>
      <c r="L247" s="389"/>
      <c r="M247" s="389"/>
      <c r="N247" s="389"/>
      <c r="O247" s="389"/>
      <c r="P247" s="389"/>
      <c r="Q247" s="389"/>
      <c r="R247" s="337">
        <f t="shared" si="1"/>
        <v>3</v>
      </c>
      <c r="S247" s="390">
        <f t="shared" si="2"/>
        <v>3.7439161362785476E-4</v>
      </c>
      <c r="T247" s="338">
        <f t="shared" si="3"/>
        <v>385</v>
      </c>
      <c r="U247" s="390">
        <f t="shared" si="4"/>
        <v>3.4138711347884998E-4</v>
      </c>
      <c r="V247" s="365"/>
      <c r="W247" s="378"/>
      <c r="X247" s="5"/>
    </row>
    <row r="248" spans="1:25" ht="15.6" x14ac:dyDescent="0.3">
      <c r="A248" s="287"/>
      <c r="B248" s="337" t="s">
        <v>158</v>
      </c>
      <c r="C248" s="389"/>
      <c r="D248" s="389"/>
      <c r="E248" s="389"/>
      <c r="F248" s="288"/>
      <c r="G248" s="390"/>
      <c r="H248" s="389"/>
      <c r="I248" s="389"/>
      <c r="J248" s="389"/>
      <c r="K248" s="389"/>
      <c r="L248" s="389"/>
      <c r="M248" s="389"/>
      <c r="N248" s="389"/>
      <c r="O248" s="389"/>
      <c r="P248" s="389"/>
      <c r="Q248" s="389"/>
      <c r="R248" s="337">
        <f t="shared" si="1"/>
        <v>5</v>
      </c>
      <c r="S248" s="390">
        <f t="shared" si="2"/>
        <v>6.2398602271309127E-4</v>
      </c>
      <c r="T248" s="338">
        <f t="shared" si="3"/>
        <v>762</v>
      </c>
      <c r="U248" s="390">
        <f t="shared" si="4"/>
        <v>6.7568046875554199E-4</v>
      </c>
      <c r="V248" s="365"/>
      <c r="W248" s="378"/>
      <c r="X248" s="5"/>
      <c r="Y248" s="109"/>
    </row>
    <row r="249" spans="1:25" ht="15.6" x14ac:dyDescent="0.3">
      <c r="A249" s="287"/>
      <c r="B249" s="337" t="s">
        <v>159</v>
      </c>
      <c r="C249" s="389"/>
      <c r="D249" s="389"/>
      <c r="E249" s="389"/>
      <c r="F249" s="288"/>
      <c r="G249" s="390"/>
      <c r="H249" s="389"/>
      <c r="I249" s="389"/>
      <c r="J249" s="389"/>
      <c r="K249" s="389"/>
      <c r="L249" s="389"/>
      <c r="M249" s="389"/>
      <c r="N249" s="389"/>
      <c r="O249" s="389"/>
      <c r="P249" s="389"/>
      <c r="Q249" s="389"/>
      <c r="R249" s="337">
        <f t="shared" si="1"/>
        <v>13</v>
      </c>
      <c r="S249" s="390">
        <f t="shared" si="2"/>
        <v>1.6223636590540372E-3</v>
      </c>
      <c r="T249" s="338">
        <f t="shared" si="3"/>
        <v>1573</v>
      </c>
      <c r="U249" s="390">
        <f t="shared" si="4"/>
        <v>1.3948102064993012E-3</v>
      </c>
      <c r="V249" s="365"/>
      <c r="W249" s="378"/>
      <c r="X249" s="5"/>
    </row>
    <row r="250" spans="1:25" ht="15.6" x14ac:dyDescent="0.3">
      <c r="A250" s="287"/>
      <c r="B250" s="337" t="s">
        <v>160</v>
      </c>
      <c r="C250" s="389"/>
      <c r="D250" s="389"/>
      <c r="E250" s="389"/>
      <c r="F250" s="288"/>
      <c r="G250" s="390"/>
      <c r="H250" s="389"/>
      <c r="I250" s="389"/>
      <c r="J250" s="389"/>
      <c r="K250" s="389"/>
      <c r="L250" s="389"/>
      <c r="M250" s="389"/>
      <c r="N250" s="389"/>
      <c r="O250" s="389"/>
      <c r="P250" s="389"/>
      <c r="Q250" s="389"/>
      <c r="R250" s="339">
        <f t="shared" si="1"/>
        <v>18</v>
      </c>
      <c r="S250" s="393">
        <f t="shared" si="2"/>
        <v>2.2463496817671283E-3</v>
      </c>
      <c r="T250" s="394">
        <f t="shared" si="3"/>
        <v>3049</v>
      </c>
      <c r="U250" s="393">
        <f t="shared" si="4"/>
        <v>2.7036085947974376E-3</v>
      </c>
      <c r="V250" s="365"/>
      <c r="W250" s="378"/>
      <c r="X250" s="5"/>
      <c r="Y250" s="109"/>
    </row>
    <row r="251" spans="1:25" ht="15.6" x14ac:dyDescent="0.3">
      <c r="A251" s="287"/>
      <c r="B251" s="337"/>
      <c r="C251" s="389"/>
      <c r="D251" s="389"/>
      <c r="E251" s="389"/>
      <c r="F251" s="288"/>
      <c r="G251" s="390"/>
      <c r="H251" s="389"/>
      <c r="I251" s="389"/>
      <c r="J251" s="389"/>
      <c r="K251" s="389"/>
      <c r="L251" s="389"/>
      <c r="M251" s="389"/>
      <c r="N251" s="389"/>
      <c r="O251" s="389"/>
      <c r="P251" s="389"/>
      <c r="Q251" s="389"/>
      <c r="R251" s="337"/>
      <c r="S251" s="390"/>
      <c r="T251" s="338"/>
      <c r="U251" s="390"/>
      <c r="V251" s="365"/>
      <c r="W251" s="378"/>
      <c r="X251" s="5"/>
    </row>
    <row r="252" spans="1:25" ht="15.6" x14ac:dyDescent="0.3">
      <c r="A252" s="287"/>
      <c r="B252" s="288"/>
      <c r="C252" s="288"/>
      <c r="D252" s="288"/>
      <c r="E252" s="288"/>
      <c r="F252" s="288"/>
      <c r="G252" s="288"/>
      <c r="H252" s="391"/>
      <c r="I252" s="391"/>
      <c r="J252" s="391"/>
      <c r="K252" s="391"/>
      <c r="L252" s="391"/>
      <c r="M252" s="391"/>
      <c r="N252" s="391"/>
      <c r="O252" s="391"/>
      <c r="P252" s="391"/>
      <c r="Q252" s="391"/>
      <c r="R252" s="337">
        <f>SUM(R243:R251)</f>
        <v>8013</v>
      </c>
      <c r="S252" s="390">
        <f>SUM(S243:S251)</f>
        <v>1</v>
      </c>
      <c r="T252" s="338">
        <f>SUM(T243:T251)</f>
        <v>1127752</v>
      </c>
      <c r="U252" s="390">
        <f>SUM(U243:U251)</f>
        <v>1</v>
      </c>
      <c r="V252" s="288"/>
      <c r="W252" s="291"/>
      <c r="X252" s="5"/>
    </row>
    <row r="253" spans="1:25" ht="15.6" x14ac:dyDescent="0.3">
      <c r="A253" s="183"/>
      <c r="B253" s="198"/>
      <c r="C253" s="198"/>
      <c r="D253" s="198"/>
      <c r="E253" s="198"/>
      <c r="F253" s="198"/>
      <c r="G253" s="198"/>
      <c r="H253" s="386"/>
      <c r="I253" s="386"/>
      <c r="J253" s="386"/>
      <c r="K253" s="386"/>
      <c r="L253" s="386"/>
      <c r="M253" s="386"/>
      <c r="N253" s="386"/>
      <c r="O253" s="386"/>
      <c r="P253" s="386"/>
      <c r="Q253" s="386"/>
      <c r="R253" s="335"/>
      <c r="S253" s="387"/>
      <c r="T253" s="388"/>
      <c r="U253" s="387"/>
      <c r="V253" s="198"/>
      <c r="W253" s="198"/>
      <c r="X253" s="5"/>
    </row>
    <row r="254" spans="1:25" ht="15.6" x14ac:dyDescent="0.3">
      <c r="A254" s="262"/>
      <c r="B254" s="399" t="s">
        <v>162</v>
      </c>
      <c r="C254" s="400"/>
      <c r="D254" s="400"/>
      <c r="E254" s="400"/>
      <c r="F254" s="406"/>
      <c r="G254" s="400"/>
      <c r="H254" s="400"/>
      <c r="I254" s="400"/>
      <c r="J254" s="400"/>
      <c r="K254" s="400"/>
      <c r="L254" s="400"/>
      <c r="M254" s="400"/>
      <c r="N254" s="400"/>
      <c r="O254" s="400"/>
      <c r="P254" s="400"/>
      <c r="Q254" s="400"/>
      <c r="R254" s="406" t="s">
        <v>102</v>
      </c>
      <c r="S254" s="400" t="s">
        <v>103</v>
      </c>
      <c r="T254" s="406" t="s">
        <v>109</v>
      </c>
      <c r="U254" s="400" t="s">
        <v>103</v>
      </c>
      <c r="V254" s="263"/>
      <c r="W254" s="399"/>
      <c r="X254" s="5"/>
    </row>
    <row r="255" spans="1:25" ht="15.6" x14ac:dyDescent="0.3">
      <c r="A255" s="197"/>
      <c r="B255" s="234" t="s">
        <v>88</v>
      </c>
      <c r="C255" s="253"/>
      <c r="D255" s="253"/>
      <c r="E255" s="253"/>
      <c r="F255" s="231"/>
      <c r="G255" s="253"/>
      <c r="H255" s="253"/>
      <c r="I255" s="253"/>
      <c r="J255" s="253"/>
      <c r="K255" s="253"/>
      <c r="L255" s="253"/>
      <c r="M255" s="253"/>
      <c r="N255" s="253"/>
      <c r="O255" s="253"/>
      <c r="P255" s="253"/>
      <c r="Q255" s="253"/>
      <c r="R255" s="234">
        <v>7762</v>
      </c>
      <c r="S255" s="254">
        <f t="shared" ref="S255:S262" si="5">R255/$R$264</f>
        <v>0.99283704272192375</v>
      </c>
      <c r="T255" s="241">
        <v>1089763</v>
      </c>
      <c r="U255" s="254">
        <f t="shared" ref="U255:U262" si="6">T255/$T$264</f>
        <v>0.99011576879675678</v>
      </c>
      <c r="V255" s="250"/>
      <c r="W255" s="232"/>
      <c r="X255" s="5"/>
    </row>
    <row r="256" spans="1:25" ht="15.6" x14ac:dyDescent="0.3">
      <c r="A256" s="287"/>
      <c r="B256" s="337" t="s">
        <v>89</v>
      </c>
      <c r="C256" s="389"/>
      <c r="D256" s="389"/>
      <c r="E256" s="389"/>
      <c r="F256" s="288"/>
      <c r="G256" s="390"/>
      <c r="H256" s="389"/>
      <c r="I256" s="389"/>
      <c r="J256" s="389"/>
      <c r="K256" s="389"/>
      <c r="L256" s="389"/>
      <c r="M256" s="389"/>
      <c r="N256" s="389"/>
      <c r="O256" s="389"/>
      <c r="P256" s="389"/>
      <c r="Q256" s="389"/>
      <c r="R256" s="337">
        <v>47</v>
      </c>
      <c r="S256" s="390">
        <f t="shared" si="5"/>
        <v>6.011767715528268E-3</v>
      </c>
      <c r="T256" s="338">
        <v>9104</v>
      </c>
      <c r="U256" s="390">
        <f t="shared" si="6"/>
        <v>8.2715360671317285E-3</v>
      </c>
      <c r="V256" s="365"/>
      <c r="W256" s="378"/>
      <c r="X256" s="5"/>
      <c r="Y256" s="109"/>
    </row>
    <row r="257" spans="1:25" ht="15.6" x14ac:dyDescent="0.3">
      <c r="A257" s="287"/>
      <c r="B257" s="337" t="s">
        <v>90</v>
      </c>
      <c r="C257" s="389"/>
      <c r="D257" s="389"/>
      <c r="E257" s="389"/>
      <c r="F257" s="288"/>
      <c r="G257" s="390"/>
      <c r="H257" s="389"/>
      <c r="I257" s="389"/>
      <c r="J257" s="389"/>
      <c r="K257" s="389"/>
      <c r="L257" s="389"/>
      <c r="M257" s="389"/>
      <c r="N257" s="389"/>
      <c r="O257" s="389"/>
      <c r="P257" s="389"/>
      <c r="Q257" s="389"/>
      <c r="R257" s="337">
        <v>4</v>
      </c>
      <c r="S257" s="390">
        <f t="shared" si="5"/>
        <v>5.1163980557687391E-4</v>
      </c>
      <c r="T257" s="338">
        <v>1165</v>
      </c>
      <c r="U257" s="390">
        <f t="shared" si="6"/>
        <v>1.0584731456731616E-3</v>
      </c>
      <c r="V257" s="365"/>
      <c r="W257" s="378"/>
      <c r="X257" s="5"/>
    </row>
    <row r="258" spans="1:25" ht="15.6" x14ac:dyDescent="0.3">
      <c r="A258" s="287"/>
      <c r="B258" s="337" t="s">
        <v>156</v>
      </c>
      <c r="C258" s="389"/>
      <c r="D258" s="389"/>
      <c r="E258" s="389"/>
      <c r="F258" s="288"/>
      <c r="G258" s="390"/>
      <c r="H258" s="389"/>
      <c r="I258" s="389"/>
      <c r="J258" s="389"/>
      <c r="K258" s="389"/>
      <c r="L258" s="389"/>
      <c r="M258" s="389"/>
      <c r="N258" s="389"/>
      <c r="O258" s="389"/>
      <c r="P258" s="389"/>
      <c r="Q258" s="389"/>
      <c r="R258" s="337">
        <v>0</v>
      </c>
      <c r="S258" s="390">
        <f t="shared" si="5"/>
        <v>0</v>
      </c>
      <c r="T258" s="338">
        <v>0</v>
      </c>
      <c r="U258" s="390">
        <f t="shared" si="6"/>
        <v>0</v>
      </c>
      <c r="V258" s="365"/>
      <c r="W258" s="378"/>
      <c r="X258" s="5"/>
      <c r="Y258" s="109"/>
    </row>
    <row r="259" spans="1:25" ht="15.6" x14ac:dyDescent="0.3">
      <c r="A259" s="287"/>
      <c r="B259" s="337" t="s">
        <v>157</v>
      </c>
      <c r="C259" s="389"/>
      <c r="D259" s="389"/>
      <c r="E259" s="389"/>
      <c r="F259" s="288"/>
      <c r="G259" s="390"/>
      <c r="H259" s="389"/>
      <c r="I259" s="389"/>
      <c r="J259" s="389"/>
      <c r="K259" s="389"/>
      <c r="L259" s="389"/>
      <c r="M259" s="389"/>
      <c r="N259" s="389"/>
      <c r="O259" s="389"/>
      <c r="P259" s="389"/>
      <c r="Q259" s="389"/>
      <c r="R259" s="337">
        <v>0</v>
      </c>
      <c r="S259" s="390">
        <f t="shared" si="5"/>
        <v>0</v>
      </c>
      <c r="T259" s="338">
        <v>0</v>
      </c>
      <c r="U259" s="390">
        <f t="shared" si="6"/>
        <v>0</v>
      </c>
      <c r="V259" s="365"/>
      <c r="W259" s="378"/>
      <c r="X259" s="5"/>
    </row>
    <row r="260" spans="1:25" ht="15.6" x14ac:dyDescent="0.3">
      <c r="A260" s="287"/>
      <c r="B260" s="337" t="s">
        <v>158</v>
      </c>
      <c r="C260" s="389"/>
      <c r="D260" s="389"/>
      <c r="E260" s="389"/>
      <c r="F260" s="288"/>
      <c r="G260" s="390"/>
      <c r="H260" s="389"/>
      <c r="I260" s="389"/>
      <c r="J260" s="389"/>
      <c r="K260" s="389"/>
      <c r="L260" s="389"/>
      <c r="M260" s="389"/>
      <c r="N260" s="389"/>
      <c r="O260" s="389"/>
      <c r="P260" s="389"/>
      <c r="Q260" s="389"/>
      <c r="R260" s="337">
        <v>1</v>
      </c>
      <c r="S260" s="390">
        <f t="shared" si="5"/>
        <v>1.2790995139421848E-4</v>
      </c>
      <c r="T260" s="338">
        <v>160</v>
      </c>
      <c r="U260" s="390">
        <f t="shared" si="6"/>
        <v>1.4536970241004794E-4</v>
      </c>
      <c r="V260" s="365"/>
      <c r="W260" s="378"/>
      <c r="X260" s="5"/>
      <c r="Y260" s="109"/>
    </row>
    <row r="261" spans="1:25" ht="15.6" x14ac:dyDescent="0.3">
      <c r="A261" s="287"/>
      <c r="B261" s="337" t="s">
        <v>159</v>
      </c>
      <c r="C261" s="389"/>
      <c r="D261" s="389"/>
      <c r="E261" s="389"/>
      <c r="F261" s="288"/>
      <c r="G261" s="390"/>
      <c r="H261" s="389"/>
      <c r="I261" s="389"/>
      <c r="J261" s="389"/>
      <c r="K261" s="389"/>
      <c r="L261" s="389"/>
      <c r="M261" s="389"/>
      <c r="N261" s="389"/>
      <c r="O261" s="389"/>
      <c r="P261" s="389"/>
      <c r="Q261" s="389"/>
      <c r="R261" s="337">
        <v>3</v>
      </c>
      <c r="S261" s="390">
        <f t="shared" si="5"/>
        <v>3.8372985418265541E-4</v>
      </c>
      <c r="T261" s="338">
        <v>308</v>
      </c>
      <c r="U261" s="390">
        <f t="shared" si="6"/>
        <v>2.7983667713934231E-4</v>
      </c>
      <c r="V261" s="365"/>
      <c r="W261" s="378"/>
      <c r="X261" s="5"/>
    </row>
    <row r="262" spans="1:25" ht="15.6" x14ac:dyDescent="0.3">
      <c r="A262" s="287"/>
      <c r="B262" s="337" t="s">
        <v>160</v>
      </c>
      <c r="C262" s="389"/>
      <c r="D262" s="389"/>
      <c r="E262" s="389"/>
      <c r="F262" s="288"/>
      <c r="G262" s="390"/>
      <c r="H262" s="389"/>
      <c r="I262" s="389"/>
      <c r="J262" s="389"/>
      <c r="K262" s="389"/>
      <c r="L262" s="389"/>
      <c r="M262" s="389"/>
      <c r="N262" s="389"/>
      <c r="O262" s="389"/>
      <c r="P262" s="389"/>
      <c r="Q262" s="389"/>
      <c r="R262" s="337">
        <v>1</v>
      </c>
      <c r="S262" s="390">
        <f t="shared" si="5"/>
        <v>1.2790995139421848E-4</v>
      </c>
      <c r="T262" s="338">
        <v>142</v>
      </c>
      <c r="U262" s="390">
        <f t="shared" si="6"/>
        <v>1.2901561088891756E-4</v>
      </c>
      <c r="V262" s="365"/>
      <c r="W262" s="378"/>
      <c r="X262" s="5"/>
      <c r="Y262" s="109"/>
    </row>
    <row r="263" spans="1:25" ht="15.6" x14ac:dyDescent="0.3">
      <c r="A263" s="287"/>
      <c r="B263" s="337"/>
      <c r="C263" s="389"/>
      <c r="D263" s="389"/>
      <c r="E263" s="389"/>
      <c r="F263" s="288"/>
      <c r="G263" s="390"/>
      <c r="H263" s="389"/>
      <c r="I263" s="389"/>
      <c r="J263" s="389"/>
      <c r="K263" s="389"/>
      <c r="L263" s="389"/>
      <c r="M263" s="389"/>
      <c r="N263" s="389"/>
      <c r="O263" s="389"/>
      <c r="P263" s="389"/>
      <c r="Q263" s="389"/>
      <c r="R263" s="337"/>
      <c r="S263" s="390"/>
      <c r="T263" s="338"/>
      <c r="U263" s="390"/>
      <c r="V263" s="365"/>
      <c r="W263" s="378"/>
      <c r="X263" s="5"/>
    </row>
    <row r="264" spans="1:25" ht="15.6" x14ac:dyDescent="0.3">
      <c r="A264" s="287"/>
      <c r="B264" s="288"/>
      <c r="C264" s="288"/>
      <c r="D264" s="288"/>
      <c r="E264" s="288"/>
      <c r="F264" s="288"/>
      <c r="G264" s="288"/>
      <c r="H264" s="391"/>
      <c r="I264" s="391"/>
      <c r="J264" s="391"/>
      <c r="K264" s="391"/>
      <c r="L264" s="391"/>
      <c r="M264" s="391"/>
      <c r="N264" s="391"/>
      <c r="O264" s="391"/>
      <c r="P264" s="391"/>
      <c r="Q264" s="391"/>
      <c r="R264" s="337">
        <f>SUM(R255:R263)</f>
        <v>7818</v>
      </c>
      <c r="S264" s="390">
        <f>SUM(S255:S263)</f>
        <v>1</v>
      </c>
      <c r="T264" s="338">
        <f>SUM(T255:T263)</f>
        <v>1100642</v>
      </c>
      <c r="U264" s="390">
        <f>SUM(U255:U263)</f>
        <v>1</v>
      </c>
      <c r="V264" s="288"/>
      <c r="W264" s="291"/>
      <c r="X264" s="5"/>
    </row>
    <row r="265" spans="1:25" ht="15.6" x14ac:dyDescent="0.3">
      <c r="A265" s="183"/>
      <c r="B265" s="198"/>
      <c r="C265" s="198"/>
      <c r="D265" s="198"/>
      <c r="E265" s="198"/>
      <c r="F265" s="198"/>
      <c r="G265" s="198"/>
      <c r="H265" s="386"/>
      <c r="I265" s="386"/>
      <c r="J265" s="386"/>
      <c r="K265" s="386"/>
      <c r="L265" s="386"/>
      <c r="M265" s="386"/>
      <c r="N265" s="386"/>
      <c r="O265" s="386"/>
      <c r="P265" s="386"/>
      <c r="Q265" s="386"/>
      <c r="R265" s="335"/>
      <c r="S265" s="387"/>
      <c r="T265" s="388"/>
      <c r="U265" s="387"/>
      <c r="V265" s="198"/>
      <c r="W265" s="198"/>
      <c r="X265" s="5"/>
    </row>
    <row r="266" spans="1:25" ht="15.6" x14ac:dyDescent="0.3">
      <c r="A266" s="280"/>
      <c r="B266" s="399" t="s">
        <v>275</v>
      </c>
      <c r="C266" s="400"/>
      <c r="D266" s="400"/>
      <c r="E266" s="400"/>
      <c r="F266" s="406"/>
      <c r="G266" s="400"/>
      <c r="H266" s="400"/>
      <c r="I266" s="400"/>
      <c r="J266" s="400"/>
      <c r="K266" s="400"/>
      <c r="L266" s="400"/>
      <c r="M266" s="400"/>
      <c r="N266" s="400"/>
      <c r="O266" s="400"/>
      <c r="P266" s="400"/>
      <c r="Q266" s="400"/>
      <c r="R266" s="406" t="s">
        <v>102</v>
      </c>
      <c r="S266" s="400" t="s">
        <v>103</v>
      </c>
      <c r="T266" s="406" t="s">
        <v>109</v>
      </c>
      <c r="U266" s="400" t="s">
        <v>103</v>
      </c>
      <c r="V266" s="281"/>
      <c r="W266" s="282"/>
      <c r="X266" s="5"/>
    </row>
    <row r="267" spans="1:25" ht="15.6" x14ac:dyDescent="0.3">
      <c r="A267" s="197"/>
      <c r="B267" s="234" t="s">
        <v>88</v>
      </c>
      <c r="C267" s="253"/>
      <c r="D267" s="253"/>
      <c r="E267" s="253"/>
      <c r="F267" s="231"/>
      <c r="G267" s="253"/>
      <c r="H267" s="253"/>
      <c r="I267" s="253"/>
      <c r="J267" s="253"/>
      <c r="K267" s="253"/>
      <c r="L267" s="253"/>
      <c r="M267" s="253"/>
      <c r="N267" s="253"/>
      <c r="O267" s="253"/>
      <c r="P267" s="253"/>
      <c r="Q267" s="253"/>
      <c r="R267" s="234">
        <v>143</v>
      </c>
      <c r="S267" s="254">
        <f t="shared" ref="S267:S274" si="7">R267/$R$276</f>
        <v>0.73333333333333328</v>
      </c>
      <c r="T267" s="241">
        <v>20055</v>
      </c>
      <c r="U267" s="254">
        <f t="shared" ref="U267:U274" si="8">T267/$T$276</f>
        <v>0.73976392475101438</v>
      </c>
      <c r="V267" s="231"/>
      <c r="W267" s="231"/>
      <c r="X267" s="5"/>
    </row>
    <row r="268" spans="1:25" ht="15.6" x14ac:dyDescent="0.3">
      <c r="A268" s="287"/>
      <c r="B268" s="337" t="s">
        <v>89</v>
      </c>
      <c r="C268" s="389"/>
      <c r="D268" s="389"/>
      <c r="E268" s="389"/>
      <c r="F268" s="288"/>
      <c r="G268" s="390"/>
      <c r="H268" s="389"/>
      <c r="I268" s="389"/>
      <c r="J268" s="389"/>
      <c r="K268" s="389"/>
      <c r="L268" s="389"/>
      <c r="M268" s="389"/>
      <c r="N268" s="389"/>
      <c r="O268" s="389"/>
      <c r="P268" s="389"/>
      <c r="Q268" s="389"/>
      <c r="R268" s="337">
        <v>7</v>
      </c>
      <c r="S268" s="390">
        <f t="shared" si="7"/>
        <v>3.5897435897435895E-2</v>
      </c>
      <c r="T268" s="338">
        <v>730</v>
      </c>
      <c r="U268" s="390">
        <f t="shared" si="8"/>
        <v>2.6927333087421616E-2</v>
      </c>
      <c r="V268" s="288"/>
      <c r="W268" s="291"/>
      <c r="X268" s="5"/>
    </row>
    <row r="269" spans="1:25" ht="15.6" x14ac:dyDescent="0.3">
      <c r="A269" s="287"/>
      <c r="B269" s="337" t="s">
        <v>90</v>
      </c>
      <c r="C269" s="389"/>
      <c r="D269" s="389"/>
      <c r="E269" s="389"/>
      <c r="F269" s="288"/>
      <c r="G269" s="390"/>
      <c r="H269" s="389"/>
      <c r="I269" s="389"/>
      <c r="J269" s="389"/>
      <c r="K269" s="389"/>
      <c r="L269" s="389"/>
      <c r="M269" s="389"/>
      <c r="N269" s="389"/>
      <c r="O269" s="389"/>
      <c r="P269" s="389"/>
      <c r="Q269" s="389"/>
      <c r="R269" s="337">
        <v>9</v>
      </c>
      <c r="S269" s="390">
        <f t="shared" si="7"/>
        <v>4.6153846153846156E-2</v>
      </c>
      <c r="T269" s="338">
        <v>953</v>
      </c>
      <c r="U269" s="390">
        <f t="shared" si="8"/>
        <v>3.5153080044264109E-2</v>
      </c>
      <c r="V269" s="288"/>
      <c r="W269" s="291"/>
      <c r="X269" s="5"/>
    </row>
    <row r="270" spans="1:25" ht="15.6" x14ac:dyDescent="0.3">
      <c r="A270" s="287"/>
      <c r="B270" s="337" t="s">
        <v>156</v>
      </c>
      <c r="C270" s="389"/>
      <c r="D270" s="389"/>
      <c r="E270" s="389"/>
      <c r="F270" s="288"/>
      <c r="G270" s="390"/>
      <c r="H270" s="389"/>
      <c r="I270" s="389"/>
      <c r="J270" s="389"/>
      <c r="K270" s="389"/>
      <c r="L270" s="389"/>
      <c r="M270" s="389"/>
      <c r="N270" s="389"/>
      <c r="O270" s="389"/>
      <c r="P270" s="389"/>
      <c r="Q270" s="389"/>
      <c r="R270" s="337">
        <v>2</v>
      </c>
      <c r="S270" s="390">
        <f t="shared" si="7"/>
        <v>1.0256410256410256E-2</v>
      </c>
      <c r="T270" s="338">
        <v>213</v>
      </c>
      <c r="U270" s="390">
        <f t="shared" si="8"/>
        <v>7.8568793803024707E-3</v>
      </c>
      <c r="V270" s="288"/>
      <c r="W270" s="291"/>
      <c r="X270" s="5"/>
    </row>
    <row r="271" spans="1:25" ht="15.6" x14ac:dyDescent="0.3">
      <c r="A271" s="287"/>
      <c r="B271" s="337" t="s">
        <v>157</v>
      </c>
      <c r="C271" s="389"/>
      <c r="D271" s="389"/>
      <c r="E271" s="389"/>
      <c r="F271" s="288"/>
      <c r="G271" s="390"/>
      <c r="H271" s="389"/>
      <c r="I271" s="389"/>
      <c r="J271" s="389"/>
      <c r="K271" s="389"/>
      <c r="L271" s="389"/>
      <c r="M271" s="389"/>
      <c r="N271" s="389"/>
      <c r="O271" s="389"/>
      <c r="P271" s="389"/>
      <c r="Q271" s="389"/>
      <c r="R271" s="337">
        <v>3</v>
      </c>
      <c r="S271" s="390">
        <f t="shared" si="7"/>
        <v>1.5384615384615385E-2</v>
      </c>
      <c r="T271" s="338">
        <v>385</v>
      </c>
      <c r="U271" s="390">
        <f t="shared" si="8"/>
        <v>1.4201401696790851E-2</v>
      </c>
      <c r="V271" s="288"/>
      <c r="W271" s="291"/>
      <c r="X271" s="5"/>
    </row>
    <row r="272" spans="1:25" ht="15.6" x14ac:dyDescent="0.3">
      <c r="A272" s="287"/>
      <c r="B272" s="337" t="s">
        <v>158</v>
      </c>
      <c r="C272" s="389"/>
      <c r="D272" s="389"/>
      <c r="E272" s="389"/>
      <c r="F272" s="288"/>
      <c r="G272" s="390"/>
      <c r="H272" s="389"/>
      <c r="I272" s="389"/>
      <c r="J272" s="389"/>
      <c r="K272" s="389"/>
      <c r="L272" s="389"/>
      <c r="M272" s="389"/>
      <c r="N272" s="389"/>
      <c r="O272" s="389"/>
      <c r="P272" s="389"/>
      <c r="Q272" s="389"/>
      <c r="R272" s="337">
        <v>4</v>
      </c>
      <c r="S272" s="390">
        <f t="shared" si="7"/>
        <v>2.0512820512820513E-2</v>
      </c>
      <c r="T272" s="338">
        <v>602</v>
      </c>
      <c r="U272" s="390">
        <f t="shared" si="8"/>
        <v>2.2205828107709331E-2</v>
      </c>
      <c r="V272" s="288"/>
      <c r="W272" s="291"/>
      <c r="X272" s="5"/>
    </row>
    <row r="273" spans="1:24" ht="15.6" x14ac:dyDescent="0.3">
      <c r="A273" s="287"/>
      <c r="B273" s="337" t="s">
        <v>159</v>
      </c>
      <c r="C273" s="389"/>
      <c r="D273" s="389"/>
      <c r="E273" s="389"/>
      <c r="F273" s="288"/>
      <c r="G273" s="390"/>
      <c r="H273" s="389"/>
      <c r="I273" s="389"/>
      <c r="J273" s="389"/>
      <c r="K273" s="389"/>
      <c r="L273" s="389"/>
      <c r="M273" s="389"/>
      <c r="N273" s="389"/>
      <c r="O273" s="389"/>
      <c r="P273" s="389"/>
      <c r="Q273" s="389"/>
      <c r="R273" s="337">
        <v>10</v>
      </c>
      <c r="S273" s="390">
        <f t="shared" si="7"/>
        <v>5.128205128205128E-2</v>
      </c>
      <c r="T273" s="338">
        <v>1265</v>
      </c>
      <c r="U273" s="390">
        <f t="shared" si="8"/>
        <v>4.66617484323128E-2</v>
      </c>
      <c r="V273" s="288"/>
      <c r="W273" s="291"/>
      <c r="X273" s="5"/>
    </row>
    <row r="274" spans="1:24" ht="15.6" x14ac:dyDescent="0.3">
      <c r="A274" s="287"/>
      <c r="B274" s="337" t="s">
        <v>160</v>
      </c>
      <c r="C274" s="389"/>
      <c r="D274" s="389"/>
      <c r="E274" s="389"/>
      <c r="F274" s="288"/>
      <c r="G274" s="390"/>
      <c r="H274" s="389"/>
      <c r="I274" s="389"/>
      <c r="J274" s="389"/>
      <c r="K274" s="389"/>
      <c r="L274" s="389"/>
      <c r="M274" s="389"/>
      <c r="N274" s="389"/>
      <c r="O274" s="389"/>
      <c r="P274" s="389"/>
      <c r="Q274" s="389"/>
      <c r="R274" s="337">
        <v>17</v>
      </c>
      <c r="S274" s="390">
        <f t="shared" si="7"/>
        <v>8.7179487179487175E-2</v>
      </c>
      <c r="T274" s="338">
        <v>2907</v>
      </c>
      <c r="U274" s="390">
        <f t="shared" si="8"/>
        <v>0.10722980450018443</v>
      </c>
      <c r="V274" s="288"/>
      <c r="W274" s="291"/>
      <c r="X274" s="5"/>
    </row>
    <row r="275" spans="1:24" ht="15.6" x14ac:dyDescent="0.3">
      <c r="A275" s="287"/>
      <c r="B275" s="337"/>
      <c r="C275" s="389"/>
      <c r="D275" s="389"/>
      <c r="E275" s="389"/>
      <c r="F275" s="288"/>
      <c r="G275" s="390"/>
      <c r="H275" s="389"/>
      <c r="I275" s="389"/>
      <c r="J275" s="389"/>
      <c r="K275" s="389"/>
      <c r="L275" s="389"/>
      <c r="M275" s="389"/>
      <c r="N275" s="389"/>
      <c r="O275" s="389"/>
      <c r="P275" s="389"/>
      <c r="Q275" s="389"/>
      <c r="R275" s="337"/>
      <c r="S275" s="390"/>
      <c r="T275" s="338"/>
      <c r="U275" s="390"/>
      <c r="V275" s="288"/>
      <c r="W275" s="291"/>
      <c r="X275" s="5"/>
    </row>
    <row r="276" spans="1:24" ht="15.6" x14ac:dyDescent="0.3">
      <c r="A276" s="287"/>
      <c r="B276" s="288"/>
      <c r="C276" s="288"/>
      <c r="D276" s="288"/>
      <c r="E276" s="288"/>
      <c r="F276" s="288"/>
      <c r="G276" s="288"/>
      <c r="H276" s="391"/>
      <c r="I276" s="391"/>
      <c r="J276" s="391"/>
      <c r="K276" s="391"/>
      <c r="L276" s="391"/>
      <c r="M276" s="391"/>
      <c r="N276" s="391"/>
      <c r="O276" s="391"/>
      <c r="P276" s="391"/>
      <c r="Q276" s="391"/>
      <c r="R276" s="337">
        <f>SUM(R267:R275)</f>
        <v>195</v>
      </c>
      <c r="S276" s="390">
        <f>SUM(S267:S275)</f>
        <v>1</v>
      </c>
      <c r="T276" s="338">
        <f>SUM(T267:T275)</f>
        <v>27110</v>
      </c>
      <c r="U276" s="390">
        <f>SUM(U267:U275)</f>
        <v>1</v>
      </c>
      <c r="V276" s="288"/>
      <c r="W276" s="291"/>
      <c r="X276" s="5"/>
    </row>
    <row r="277" spans="1:24" ht="15.6" x14ac:dyDescent="0.3">
      <c r="A277" s="183"/>
      <c r="B277" s="284"/>
      <c r="C277" s="284"/>
      <c r="D277" s="284"/>
      <c r="E277" s="284"/>
      <c r="F277" s="284"/>
      <c r="G277" s="284"/>
      <c r="H277" s="392"/>
      <c r="I277" s="392"/>
      <c r="J277" s="392"/>
      <c r="K277" s="392"/>
      <c r="L277" s="392"/>
      <c r="M277" s="392"/>
      <c r="N277" s="392"/>
      <c r="O277" s="392"/>
      <c r="P277" s="392"/>
      <c r="Q277" s="392"/>
      <c r="R277" s="339"/>
      <c r="S277" s="393"/>
      <c r="T277" s="394"/>
      <c r="U277" s="393"/>
      <c r="V277" s="284"/>
      <c r="W277" s="284"/>
      <c r="X277" s="5"/>
    </row>
    <row r="278" spans="1:24" ht="15.6" x14ac:dyDescent="0.3">
      <c r="A278" s="280"/>
      <c r="B278" s="399" t="s">
        <v>163</v>
      </c>
      <c r="C278" s="281"/>
      <c r="D278" s="281"/>
      <c r="E278" s="281"/>
      <c r="F278" s="281"/>
      <c r="G278" s="281"/>
      <c r="H278" s="283"/>
      <c r="I278" s="283"/>
      <c r="J278" s="283"/>
      <c r="K278" s="283"/>
      <c r="L278" s="283"/>
      <c r="M278" s="283"/>
      <c r="N278" s="283"/>
      <c r="O278" s="283"/>
      <c r="P278" s="283"/>
      <c r="Q278" s="283"/>
      <c r="R278" s="406" t="s">
        <v>102</v>
      </c>
      <c r="S278" s="400" t="s">
        <v>103</v>
      </c>
      <c r="T278" s="406" t="s">
        <v>109</v>
      </c>
      <c r="U278" s="400" t="s">
        <v>103</v>
      </c>
      <c r="V278" s="281"/>
      <c r="W278" s="282"/>
      <c r="X278" s="5"/>
    </row>
    <row r="279" spans="1:24" ht="15.6" x14ac:dyDescent="0.3">
      <c r="A279" s="197"/>
      <c r="B279" s="234" t="s">
        <v>88</v>
      </c>
      <c r="C279" s="231"/>
      <c r="D279" s="231"/>
      <c r="E279" s="231"/>
      <c r="F279" s="231"/>
      <c r="G279" s="231"/>
      <c r="H279" s="255"/>
      <c r="I279" s="255"/>
      <c r="J279" s="255"/>
      <c r="K279" s="255"/>
      <c r="L279" s="255"/>
      <c r="M279" s="255"/>
      <c r="N279" s="255"/>
      <c r="O279" s="255"/>
      <c r="P279" s="255"/>
      <c r="Q279" s="255"/>
      <c r="R279" s="234">
        <v>0</v>
      </c>
      <c r="S279" s="254">
        <v>0</v>
      </c>
      <c r="T279" s="241">
        <v>0</v>
      </c>
      <c r="U279" s="254">
        <v>0</v>
      </c>
      <c r="V279" s="231"/>
      <c r="W279" s="231"/>
      <c r="X279" s="5"/>
    </row>
    <row r="280" spans="1:24" ht="15.6" x14ac:dyDescent="0.3">
      <c r="A280" s="287"/>
      <c r="B280" s="337" t="s">
        <v>89</v>
      </c>
      <c r="C280" s="288"/>
      <c r="D280" s="288"/>
      <c r="E280" s="288"/>
      <c r="F280" s="288"/>
      <c r="G280" s="288"/>
      <c r="H280" s="391"/>
      <c r="I280" s="391"/>
      <c r="J280" s="391"/>
      <c r="K280" s="391"/>
      <c r="L280" s="391"/>
      <c r="M280" s="391"/>
      <c r="N280" s="391"/>
      <c r="O280" s="391"/>
      <c r="P280" s="391"/>
      <c r="Q280" s="391"/>
      <c r="R280" s="337">
        <v>0</v>
      </c>
      <c r="S280" s="390">
        <v>0</v>
      </c>
      <c r="T280" s="338">
        <v>0</v>
      </c>
      <c r="U280" s="390">
        <v>0</v>
      </c>
      <c r="V280" s="288"/>
      <c r="W280" s="291"/>
      <c r="X280" s="5"/>
    </row>
    <row r="281" spans="1:24" ht="15.6" x14ac:dyDescent="0.3">
      <c r="A281" s="287"/>
      <c r="B281" s="337" t="s">
        <v>90</v>
      </c>
      <c r="C281" s="288"/>
      <c r="D281" s="288"/>
      <c r="E281" s="288"/>
      <c r="F281" s="288"/>
      <c r="G281" s="288"/>
      <c r="H281" s="391"/>
      <c r="I281" s="391"/>
      <c r="J281" s="391"/>
      <c r="K281" s="391"/>
      <c r="L281" s="391"/>
      <c r="M281" s="391"/>
      <c r="N281" s="391"/>
      <c r="O281" s="391"/>
      <c r="P281" s="391"/>
      <c r="Q281" s="391"/>
      <c r="R281" s="337">
        <v>0</v>
      </c>
      <c r="S281" s="390">
        <v>0</v>
      </c>
      <c r="T281" s="338">
        <v>0</v>
      </c>
      <c r="U281" s="390">
        <v>0</v>
      </c>
      <c r="V281" s="288"/>
      <c r="W281" s="291"/>
      <c r="X281" s="5"/>
    </row>
    <row r="282" spans="1:24" ht="15.6" x14ac:dyDescent="0.3">
      <c r="A282" s="287"/>
      <c r="B282" s="337" t="s">
        <v>156</v>
      </c>
      <c r="C282" s="288"/>
      <c r="D282" s="288"/>
      <c r="E282" s="288"/>
      <c r="F282" s="288"/>
      <c r="G282" s="288"/>
      <c r="H282" s="391"/>
      <c r="I282" s="391"/>
      <c r="J282" s="391"/>
      <c r="K282" s="391"/>
      <c r="L282" s="391"/>
      <c r="M282" s="391"/>
      <c r="N282" s="391"/>
      <c r="O282" s="391"/>
      <c r="P282" s="391"/>
      <c r="Q282" s="391"/>
      <c r="R282" s="337">
        <v>0</v>
      </c>
      <c r="S282" s="390">
        <v>0</v>
      </c>
      <c r="T282" s="338">
        <v>0</v>
      </c>
      <c r="U282" s="390">
        <v>0</v>
      </c>
      <c r="V282" s="288"/>
      <c r="W282" s="291"/>
      <c r="X282" s="5"/>
    </row>
    <row r="283" spans="1:24" ht="15.6" x14ac:dyDescent="0.3">
      <c r="A283" s="287"/>
      <c r="B283" s="337" t="s">
        <v>157</v>
      </c>
      <c r="C283" s="288"/>
      <c r="D283" s="288"/>
      <c r="E283" s="288"/>
      <c r="F283" s="288"/>
      <c r="G283" s="288"/>
      <c r="H283" s="391"/>
      <c r="I283" s="391"/>
      <c r="J283" s="391"/>
      <c r="K283" s="391"/>
      <c r="L283" s="391"/>
      <c r="M283" s="391"/>
      <c r="N283" s="391"/>
      <c r="O283" s="391"/>
      <c r="P283" s="391"/>
      <c r="Q283" s="391"/>
      <c r="R283" s="337">
        <v>0</v>
      </c>
      <c r="S283" s="390">
        <v>0</v>
      </c>
      <c r="T283" s="338">
        <v>0</v>
      </c>
      <c r="U283" s="390">
        <v>0</v>
      </c>
      <c r="V283" s="288"/>
      <c r="W283" s="291"/>
      <c r="X283" s="5"/>
    </row>
    <row r="284" spans="1:24" ht="15.6" x14ac:dyDescent="0.3">
      <c r="A284" s="287"/>
      <c r="B284" s="337" t="s">
        <v>158</v>
      </c>
      <c r="C284" s="288"/>
      <c r="D284" s="288"/>
      <c r="E284" s="288"/>
      <c r="F284" s="288"/>
      <c r="G284" s="288"/>
      <c r="H284" s="391"/>
      <c r="I284" s="391"/>
      <c r="J284" s="391"/>
      <c r="K284" s="391"/>
      <c r="L284" s="391"/>
      <c r="M284" s="391"/>
      <c r="N284" s="391"/>
      <c r="O284" s="391"/>
      <c r="P284" s="391"/>
      <c r="Q284" s="391"/>
      <c r="R284" s="337">
        <v>0</v>
      </c>
      <c r="S284" s="390">
        <v>0</v>
      </c>
      <c r="T284" s="338">
        <v>0</v>
      </c>
      <c r="U284" s="390">
        <v>0</v>
      </c>
      <c r="V284" s="288"/>
      <c r="W284" s="291"/>
      <c r="X284" s="5"/>
    </row>
    <row r="285" spans="1:24" ht="15.6" x14ac:dyDescent="0.3">
      <c r="A285" s="287"/>
      <c r="B285" s="337" t="s">
        <v>159</v>
      </c>
      <c r="C285" s="288"/>
      <c r="D285" s="288"/>
      <c r="E285" s="288"/>
      <c r="F285" s="288"/>
      <c r="G285" s="288"/>
      <c r="H285" s="391"/>
      <c r="I285" s="391"/>
      <c r="J285" s="391"/>
      <c r="K285" s="391"/>
      <c r="L285" s="391"/>
      <c r="M285" s="391"/>
      <c r="N285" s="391"/>
      <c r="O285" s="391"/>
      <c r="P285" s="391"/>
      <c r="Q285" s="391"/>
      <c r="R285" s="337">
        <v>0</v>
      </c>
      <c r="S285" s="390">
        <v>0</v>
      </c>
      <c r="T285" s="338">
        <v>0</v>
      </c>
      <c r="U285" s="390">
        <v>0</v>
      </c>
      <c r="V285" s="288"/>
      <c r="W285" s="291"/>
      <c r="X285" s="5"/>
    </row>
    <row r="286" spans="1:24" ht="15.6" x14ac:dyDescent="0.3">
      <c r="A286" s="287"/>
      <c r="B286" s="337" t="s">
        <v>160</v>
      </c>
      <c r="C286" s="288"/>
      <c r="D286" s="288"/>
      <c r="E286" s="288"/>
      <c r="F286" s="288"/>
      <c r="G286" s="288"/>
      <c r="H286" s="391"/>
      <c r="I286" s="391"/>
      <c r="J286" s="391"/>
      <c r="K286" s="391"/>
      <c r="L286" s="391"/>
      <c r="M286" s="391"/>
      <c r="N286" s="391"/>
      <c r="O286" s="391"/>
      <c r="P286" s="391"/>
      <c r="Q286" s="391"/>
      <c r="R286" s="337">
        <v>0</v>
      </c>
      <c r="S286" s="390">
        <v>0</v>
      </c>
      <c r="T286" s="338">
        <v>0</v>
      </c>
      <c r="U286" s="390">
        <v>0</v>
      </c>
      <c r="V286" s="288"/>
      <c r="W286" s="291"/>
      <c r="X286" s="5"/>
    </row>
    <row r="287" spans="1:24" ht="15.6" x14ac:dyDescent="0.3">
      <c r="A287" s="287"/>
      <c r="B287" s="337"/>
      <c r="C287" s="288"/>
      <c r="D287" s="288"/>
      <c r="E287" s="288"/>
      <c r="F287" s="288"/>
      <c r="G287" s="288"/>
      <c r="H287" s="391"/>
      <c r="I287" s="391"/>
      <c r="J287" s="391"/>
      <c r="K287" s="391"/>
      <c r="L287" s="391"/>
      <c r="M287" s="391"/>
      <c r="N287" s="391"/>
      <c r="O287" s="391"/>
      <c r="P287" s="391"/>
      <c r="Q287" s="391"/>
      <c r="R287" s="337"/>
      <c r="S287" s="390"/>
      <c r="T287" s="338"/>
      <c r="U287" s="390"/>
      <c r="V287" s="288"/>
      <c r="W287" s="291"/>
      <c r="X287" s="5"/>
    </row>
    <row r="288" spans="1:24" ht="15.6" x14ac:dyDescent="0.3">
      <c r="A288" s="287"/>
      <c r="B288" s="288" t="s">
        <v>114</v>
      </c>
      <c r="C288" s="288"/>
      <c r="D288" s="288"/>
      <c r="E288" s="288"/>
      <c r="F288" s="288"/>
      <c r="G288" s="288"/>
      <c r="H288" s="391"/>
      <c r="I288" s="391"/>
      <c r="J288" s="391"/>
      <c r="K288" s="391"/>
      <c r="L288" s="391"/>
      <c r="M288" s="391"/>
      <c r="N288" s="391"/>
      <c r="O288" s="391"/>
      <c r="P288" s="391"/>
      <c r="Q288" s="391"/>
      <c r="R288" s="337">
        <f>SUM(R279:R286)</f>
        <v>0</v>
      </c>
      <c r="S288" s="390">
        <f>SUM(S279:S287)</f>
        <v>0</v>
      </c>
      <c r="T288" s="338">
        <f>SUM(T279:T286)</f>
        <v>0</v>
      </c>
      <c r="U288" s="390">
        <f>SUM(U279:U287)</f>
        <v>0</v>
      </c>
      <c r="V288" s="288"/>
      <c r="W288" s="291"/>
      <c r="X288" s="5"/>
    </row>
    <row r="289" spans="1:24" ht="15.6" x14ac:dyDescent="0.3">
      <c r="A289" s="287"/>
      <c r="B289" s="288"/>
      <c r="C289" s="288"/>
      <c r="D289" s="288"/>
      <c r="E289" s="288"/>
      <c r="F289" s="288"/>
      <c r="G289" s="288"/>
      <c r="H289" s="391"/>
      <c r="I289" s="391"/>
      <c r="J289" s="391"/>
      <c r="K289" s="391"/>
      <c r="L289" s="391"/>
      <c r="M289" s="391"/>
      <c r="N289" s="391"/>
      <c r="O289" s="391"/>
      <c r="P289" s="391"/>
      <c r="Q289" s="391"/>
      <c r="R289" s="337"/>
      <c r="S289" s="390"/>
      <c r="T289" s="338"/>
      <c r="U289" s="390"/>
      <c r="V289" s="288"/>
      <c r="W289" s="291"/>
      <c r="X289" s="5"/>
    </row>
    <row r="290" spans="1:24" ht="15.6" x14ac:dyDescent="0.3">
      <c r="A290" s="287"/>
      <c r="B290" s="295" t="s">
        <v>164</v>
      </c>
      <c r="C290" s="288"/>
      <c r="D290" s="288"/>
      <c r="E290" s="288"/>
      <c r="F290" s="288"/>
      <c r="G290" s="288"/>
      <c r="H290" s="391"/>
      <c r="I290" s="391"/>
      <c r="J290" s="391"/>
      <c r="K290" s="391"/>
      <c r="L290" s="391"/>
      <c r="M290" s="391"/>
      <c r="N290" s="391"/>
      <c r="O290" s="391"/>
      <c r="P290" s="391"/>
      <c r="Q290" s="391"/>
      <c r="R290" s="407">
        <f>R288+R276+R264</f>
        <v>8013</v>
      </c>
      <c r="S290" s="390"/>
      <c r="T290" s="396">
        <f>+T288+T276+T264</f>
        <v>1127752</v>
      </c>
      <c r="U290" s="390"/>
      <c r="V290" s="288"/>
      <c r="W290" s="291"/>
      <c r="X290" s="5"/>
    </row>
    <row r="291" spans="1:24" ht="15.6" x14ac:dyDescent="0.3">
      <c r="A291" s="183"/>
      <c r="B291" s="284"/>
      <c r="C291" s="284"/>
      <c r="D291" s="284"/>
      <c r="E291" s="284"/>
      <c r="F291" s="284"/>
      <c r="G291" s="284"/>
      <c r="H291" s="392"/>
      <c r="I291" s="392"/>
      <c r="J291" s="392"/>
      <c r="K291" s="392"/>
      <c r="L291" s="392"/>
      <c r="M291" s="392"/>
      <c r="N291" s="392"/>
      <c r="O291" s="392"/>
      <c r="P291" s="392"/>
      <c r="Q291" s="392"/>
      <c r="R291" s="392"/>
      <c r="S291" s="392"/>
      <c r="T291" s="394"/>
      <c r="U291" s="392"/>
      <c r="V291" s="284"/>
      <c r="W291" s="284"/>
      <c r="X291" s="5"/>
    </row>
    <row r="292" spans="1:24" ht="15.6" x14ac:dyDescent="0.3">
      <c r="A292" s="183"/>
      <c r="B292" s="224"/>
      <c r="C292" s="224"/>
      <c r="D292" s="224"/>
      <c r="E292" s="224"/>
      <c r="F292" s="224"/>
      <c r="G292" s="224"/>
      <c r="H292" s="256"/>
      <c r="I292" s="256"/>
      <c r="J292" s="256"/>
      <c r="K292" s="256"/>
      <c r="L292" s="256"/>
      <c r="M292" s="256"/>
      <c r="N292" s="256"/>
      <c r="O292" s="256"/>
      <c r="P292" s="256"/>
      <c r="Q292" s="256"/>
      <c r="R292" s="256"/>
      <c r="S292" s="256"/>
      <c r="T292" s="257"/>
      <c r="U292" s="256"/>
      <c r="V292" s="224"/>
      <c r="W292" s="224"/>
      <c r="X292" s="5"/>
    </row>
    <row r="293" spans="1:24" ht="15.6" x14ac:dyDescent="0.3">
      <c r="A293" s="219"/>
      <c r="B293" s="222" t="s">
        <v>91</v>
      </c>
      <c r="C293" s="224"/>
      <c r="D293" s="224"/>
      <c r="E293" s="224"/>
      <c r="F293" s="228" t="s">
        <v>97</v>
      </c>
      <c r="G293" s="224"/>
      <c r="H293" s="222" t="s">
        <v>99</v>
      </c>
      <c r="I293" s="222"/>
      <c r="J293" s="222"/>
      <c r="K293" s="258"/>
      <c r="L293" s="258"/>
      <c r="M293" s="258"/>
      <c r="N293" s="258"/>
      <c r="O293" s="258"/>
      <c r="P293" s="258"/>
      <c r="Q293" s="258"/>
      <c r="R293" s="258"/>
      <c r="S293" s="258"/>
      <c r="T293" s="258"/>
      <c r="U293" s="258"/>
      <c r="V293" s="258"/>
      <c r="W293" s="258"/>
      <c r="X293" s="5"/>
    </row>
    <row r="294" spans="1:24" ht="15.6" x14ac:dyDescent="0.3">
      <c r="A294" s="219"/>
      <c r="B294" s="258"/>
      <c r="C294" s="224"/>
      <c r="D294" s="224"/>
      <c r="E294" s="224"/>
      <c r="F294" s="224"/>
      <c r="G294" s="224"/>
      <c r="H294" s="224"/>
      <c r="I294" s="224"/>
      <c r="J294" s="224"/>
      <c r="K294" s="258"/>
      <c r="L294" s="258"/>
      <c r="M294" s="258"/>
      <c r="N294" s="258"/>
      <c r="O294" s="258"/>
      <c r="P294" s="258"/>
      <c r="Q294" s="258"/>
      <c r="R294" s="258"/>
      <c r="S294" s="258"/>
      <c r="T294" s="258"/>
      <c r="U294" s="258"/>
      <c r="V294" s="258"/>
      <c r="W294" s="258"/>
      <c r="X294" s="5"/>
    </row>
    <row r="295" spans="1:24" ht="15.6" x14ac:dyDescent="0.3">
      <c r="A295" s="219"/>
      <c r="B295" s="222" t="s">
        <v>92</v>
      </c>
      <c r="C295" s="222"/>
      <c r="D295" s="222"/>
      <c r="E295" s="222"/>
      <c r="F295" s="259" t="s">
        <v>148</v>
      </c>
      <c r="G295" s="222"/>
      <c r="H295" s="222" t="s">
        <v>152</v>
      </c>
      <c r="I295" s="222"/>
      <c r="J295" s="222"/>
      <c r="K295" s="258"/>
      <c r="L295" s="258"/>
      <c r="M295" s="258"/>
      <c r="N295" s="258"/>
      <c r="O295" s="258"/>
      <c r="P295" s="258"/>
      <c r="Q295" s="258"/>
      <c r="R295" s="258"/>
      <c r="S295" s="258"/>
      <c r="T295" s="258"/>
      <c r="U295" s="258"/>
      <c r="V295" s="258"/>
      <c r="W295" s="258"/>
      <c r="X295" s="5"/>
    </row>
    <row r="296" spans="1:24" ht="15.6" x14ac:dyDescent="0.3">
      <c r="A296" s="219"/>
      <c r="B296" s="222" t="s">
        <v>277</v>
      </c>
      <c r="C296" s="222"/>
      <c r="D296" s="222"/>
      <c r="E296" s="222"/>
      <c r="F296" s="259" t="s">
        <v>278</v>
      </c>
      <c r="G296" s="222"/>
      <c r="H296" s="222" t="s">
        <v>279</v>
      </c>
      <c r="I296" s="258"/>
      <c r="J296" s="222"/>
      <c r="K296" s="258"/>
      <c r="L296" s="258"/>
      <c r="M296" s="258"/>
      <c r="N296" s="258"/>
      <c r="O296" s="258"/>
      <c r="P296" s="258"/>
      <c r="Q296" s="258"/>
      <c r="R296" s="258"/>
      <c r="S296" s="258"/>
      <c r="T296" s="258"/>
      <c r="U296" s="258"/>
      <c r="V296" s="258"/>
      <c r="W296" s="258"/>
      <c r="X296" s="5"/>
    </row>
    <row r="297" spans="1:24" ht="15.6" x14ac:dyDescent="0.3">
      <c r="A297" s="219"/>
      <c r="B297" s="222" t="s">
        <v>93</v>
      </c>
      <c r="C297" s="222"/>
      <c r="D297" s="222"/>
      <c r="E297" s="222"/>
      <c r="F297" s="259" t="s">
        <v>147</v>
      </c>
      <c r="G297" s="222"/>
      <c r="H297" s="222" t="s">
        <v>153</v>
      </c>
      <c r="I297" s="222"/>
      <c r="J297" s="222"/>
      <c r="K297" s="258"/>
      <c r="L297" s="258"/>
      <c r="M297" s="258"/>
      <c r="N297" s="258"/>
      <c r="O297" s="258"/>
      <c r="P297" s="258"/>
      <c r="Q297" s="258"/>
      <c r="R297" s="258"/>
      <c r="S297" s="258"/>
      <c r="T297" s="258"/>
      <c r="U297" s="258"/>
      <c r="V297" s="258"/>
      <c r="W297" s="258"/>
      <c r="X297" s="5"/>
    </row>
    <row r="298" spans="1:24" ht="15.6" x14ac:dyDescent="0.3">
      <c r="A298" s="219"/>
      <c r="B298" s="222"/>
      <c r="C298" s="222"/>
      <c r="D298" s="222"/>
      <c r="E298" s="222"/>
      <c r="F298" s="222"/>
      <c r="G298" s="260"/>
      <c r="H298" s="258"/>
      <c r="I298" s="258"/>
      <c r="J298" s="258"/>
      <c r="K298" s="258"/>
      <c r="L298" s="258"/>
      <c r="M298" s="258"/>
      <c r="N298" s="258"/>
      <c r="O298" s="258"/>
      <c r="P298" s="258"/>
      <c r="Q298" s="258"/>
      <c r="R298" s="258"/>
      <c r="S298" s="258"/>
      <c r="T298" s="258"/>
      <c r="U298" s="258"/>
      <c r="V298" s="258"/>
      <c r="W298" s="258"/>
      <c r="X298" s="5"/>
    </row>
    <row r="299" spans="1:24" ht="15.6" x14ac:dyDescent="0.3">
      <c r="A299" s="219"/>
      <c r="B299" s="222"/>
      <c r="C299" s="222"/>
      <c r="D299" s="222"/>
      <c r="E299" s="222"/>
      <c r="F299" s="222"/>
      <c r="G299" s="260"/>
      <c r="H299" s="258"/>
      <c r="I299" s="258"/>
      <c r="J299" s="258"/>
      <c r="K299" s="258"/>
      <c r="L299" s="258"/>
      <c r="M299" s="258"/>
      <c r="N299" s="258"/>
      <c r="O299" s="258"/>
      <c r="P299" s="258"/>
      <c r="Q299" s="258"/>
      <c r="R299" s="258"/>
      <c r="S299" s="258"/>
      <c r="T299" s="258"/>
      <c r="U299" s="258"/>
      <c r="V299" s="258"/>
      <c r="W299" s="258"/>
      <c r="X299" s="5"/>
    </row>
    <row r="300" spans="1:24" ht="18" thickBot="1" x14ac:dyDescent="0.35">
      <c r="A300" s="219"/>
      <c r="B300" s="261" t="str">
        <f>B204</f>
        <v>PM14 INVESTOR REPORT QUARTER ENDING FEBRUARY 2012</v>
      </c>
      <c r="C300" s="222"/>
      <c r="D300" s="222"/>
      <c r="E300" s="222"/>
      <c r="F300" s="222"/>
      <c r="G300" s="260"/>
      <c r="H300" s="258"/>
      <c r="I300" s="258"/>
      <c r="J300" s="258"/>
      <c r="K300" s="258"/>
      <c r="L300" s="258"/>
      <c r="M300" s="258"/>
      <c r="N300" s="258"/>
      <c r="O300" s="258"/>
      <c r="P300" s="258"/>
      <c r="Q300" s="258"/>
      <c r="R300" s="258"/>
      <c r="S300" s="258"/>
      <c r="T300" s="258"/>
      <c r="U300" s="258"/>
      <c r="V300" s="258"/>
      <c r="W300" s="258"/>
      <c r="X300" s="5"/>
    </row>
    <row r="301" spans="1:24" x14ac:dyDescent="0.25">
      <c r="A301" s="100"/>
      <c r="B301" s="100"/>
      <c r="C301" s="100"/>
      <c r="D301" s="100"/>
      <c r="E301" s="100"/>
      <c r="F301" s="100"/>
      <c r="G301" s="100"/>
      <c r="H301" s="100"/>
      <c r="I301" s="100"/>
      <c r="J301" s="100"/>
      <c r="K301" s="100"/>
      <c r="L301" s="100"/>
      <c r="M301" s="100"/>
      <c r="N301" s="100"/>
      <c r="O301" s="100"/>
      <c r="P301" s="100"/>
      <c r="Q301" s="100"/>
      <c r="R301" s="100"/>
      <c r="S301" s="100"/>
      <c r="T301" s="100"/>
      <c r="U301" s="100"/>
      <c r="V301" s="100"/>
      <c r="W301" s="100"/>
    </row>
  </sheetData>
  <hyperlinks>
    <hyperlink ref="P240" r:id="rId1" xr:uid="{00000000-0004-0000-1200-000000000000}"/>
    <hyperlink ref="I9" r:id="rId2" xr:uid="{00000000-0004-0000-12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8" max="14" man="1"/>
    <brk id="204" max="14"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sheetPr>
  <dimension ref="A1:IV289"/>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2"/>
      <c r="B1" s="3" t="s">
        <v>244</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245</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137</v>
      </c>
      <c r="C5" s="8"/>
      <c r="D5" s="8"/>
      <c r="E5" s="8"/>
      <c r="F5" s="8"/>
      <c r="G5" s="8"/>
      <c r="H5" s="8"/>
      <c r="I5" s="8"/>
      <c r="J5" s="8"/>
      <c r="K5" s="8"/>
      <c r="L5" s="8"/>
      <c r="M5" s="8"/>
      <c r="N5" s="8"/>
      <c r="O5" s="8"/>
      <c r="P5" s="8"/>
      <c r="Q5" s="8"/>
      <c r="R5" s="8"/>
      <c r="S5" s="8"/>
      <c r="T5" s="8"/>
      <c r="U5" s="8"/>
      <c r="V5" s="8"/>
      <c r="W5" s="8"/>
      <c r="X5" s="5"/>
    </row>
    <row r="6" spans="1:24" ht="15.6" x14ac:dyDescent="0.3">
      <c r="A6" s="6"/>
      <c r="B6" s="11" t="s">
        <v>139</v>
      </c>
      <c r="C6" s="8"/>
      <c r="D6" s="8"/>
      <c r="E6" s="8"/>
      <c r="F6" s="8"/>
      <c r="G6" s="8"/>
      <c r="H6" s="8"/>
      <c r="I6" s="8"/>
      <c r="J6" s="8"/>
      <c r="K6" s="8"/>
      <c r="L6" s="8"/>
      <c r="M6" s="8"/>
      <c r="N6" s="8"/>
      <c r="O6" s="8"/>
      <c r="P6" s="8"/>
      <c r="Q6" s="8"/>
      <c r="R6" s="8"/>
      <c r="S6" s="8"/>
      <c r="T6" s="8"/>
      <c r="U6" s="8"/>
      <c r="V6" s="8"/>
      <c r="W6" s="8"/>
      <c r="X6" s="5"/>
    </row>
    <row r="7" spans="1:24" ht="15.6" x14ac:dyDescent="0.3">
      <c r="A7" s="6"/>
      <c r="B7" s="11" t="s">
        <v>138</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5" t="s">
        <v>166</v>
      </c>
      <c r="C9" s="8"/>
      <c r="D9" s="8"/>
      <c r="E9" s="8"/>
      <c r="F9" s="8"/>
      <c r="G9" s="8"/>
      <c r="H9" s="8"/>
      <c r="I9" s="146" t="s">
        <v>167</v>
      </c>
      <c r="J9" s="8"/>
      <c r="K9" s="8"/>
      <c r="L9" s="146"/>
      <c r="M9" s="8"/>
      <c r="N9" s="146"/>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246</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104</v>
      </c>
      <c r="S15" s="135">
        <v>0.38300000000000001</v>
      </c>
      <c r="T15" s="17" t="s">
        <v>140</v>
      </c>
      <c r="U15" s="135">
        <v>0.61699999999999999</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104</v>
      </c>
      <c r="S16" s="135">
        <v>0.40010000000000001</v>
      </c>
      <c r="T16" s="17" t="s">
        <v>140</v>
      </c>
      <c r="U16" s="135">
        <v>0.59989999999999999</v>
      </c>
      <c r="V16" s="16"/>
      <c r="W16" s="15"/>
      <c r="X16" s="5"/>
    </row>
    <row r="17" spans="1:24" ht="15.6" x14ac:dyDescent="0.3">
      <c r="A17" s="6"/>
      <c r="B17" s="14" t="s">
        <v>4</v>
      </c>
      <c r="C17" s="15"/>
      <c r="D17" s="15"/>
      <c r="E17" s="15"/>
      <c r="F17" s="15"/>
      <c r="G17" s="15"/>
      <c r="H17" s="15"/>
      <c r="I17" s="15"/>
      <c r="J17" s="15"/>
      <c r="K17" s="15"/>
      <c r="L17" s="15"/>
      <c r="M17" s="15"/>
      <c r="N17" s="15"/>
      <c r="O17" s="15"/>
      <c r="P17" s="15"/>
      <c r="Q17" s="15"/>
      <c r="R17" s="15"/>
      <c r="S17" s="15"/>
      <c r="T17" s="15"/>
      <c r="U17" s="15"/>
      <c r="V17" s="19">
        <v>39163</v>
      </c>
      <c r="W17" s="15"/>
      <c r="X17" s="5"/>
    </row>
    <row r="18" spans="1:24" ht="15.6" x14ac:dyDescent="0.3">
      <c r="A18" s="6"/>
      <c r="B18" s="14" t="s">
        <v>5</v>
      </c>
      <c r="C18" s="15"/>
      <c r="D18" s="15"/>
      <c r="E18" s="15"/>
      <c r="F18" s="15"/>
      <c r="G18" s="15"/>
      <c r="H18" s="15"/>
      <c r="I18" s="15"/>
      <c r="J18" s="15"/>
      <c r="K18" s="15"/>
      <c r="L18" s="15"/>
      <c r="M18" s="15"/>
      <c r="N18" s="15"/>
      <c r="O18" s="15"/>
      <c r="P18" s="15"/>
      <c r="Q18" s="15"/>
      <c r="R18" s="15"/>
      <c r="S18" s="15"/>
      <c r="T18" s="15"/>
      <c r="U18" s="15"/>
      <c r="V18" s="19">
        <v>39437</v>
      </c>
      <c r="W18" s="15"/>
      <c r="X18" s="5"/>
    </row>
    <row r="19" spans="1:24"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4" ht="15.6" x14ac:dyDescent="0.3">
      <c r="A20" s="6"/>
      <c r="B20" s="21" t="s">
        <v>6</v>
      </c>
      <c r="C20" s="8"/>
      <c r="D20" s="8"/>
      <c r="E20" s="8"/>
      <c r="F20" s="8"/>
      <c r="G20" s="8"/>
      <c r="H20" s="8"/>
      <c r="I20" s="8"/>
      <c r="J20" s="8"/>
      <c r="K20" s="8"/>
      <c r="L20" s="8"/>
      <c r="M20" s="8"/>
      <c r="N20" s="8"/>
      <c r="O20" s="8"/>
      <c r="P20" s="8"/>
      <c r="Q20" s="8"/>
      <c r="R20" s="8"/>
      <c r="S20" s="8"/>
      <c r="T20" s="20" t="s">
        <v>105</v>
      </c>
      <c r="U20" s="8"/>
      <c r="V20" s="173"/>
      <c r="W20" s="8"/>
      <c r="X20" s="5"/>
    </row>
    <row r="21" spans="1:24"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4" ht="15.6" x14ac:dyDescent="0.3">
      <c r="A22" s="6"/>
      <c r="B22" s="8"/>
      <c r="C22" s="112"/>
      <c r="D22" s="112" t="s">
        <v>177</v>
      </c>
      <c r="E22" s="112"/>
      <c r="F22" s="112" t="s">
        <v>178</v>
      </c>
      <c r="G22" s="112"/>
      <c r="H22" s="112" t="s">
        <v>179</v>
      </c>
      <c r="I22" s="112"/>
      <c r="J22" s="112" t="s">
        <v>220</v>
      </c>
      <c r="K22" s="112"/>
      <c r="L22" s="112" t="s">
        <v>180</v>
      </c>
      <c r="M22" s="112"/>
      <c r="N22" s="112" t="s">
        <v>181</v>
      </c>
      <c r="O22" s="112"/>
      <c r="P22" s="112" t="s">
        <v>221</v>
      </c>
      <c r="Q22" s="112"/>
      <c r="R22" s="112" t="s">
        <v>182</v>
      </c>
      <c r="S22" s="113"/>
      <c r="T22" s="23"/>
      <c r="U22" s="173"/>
      <c r="V22" s="173"/>
      <c r="W22" s="8"/>
      <c r="X22" s="5"/>
    </row>
    <row r="23" spans="1:24" ht="15.6" x14ac:dyDescent="0.3">
      <c r="A23" s="24"/>
      <c r="B23" s="25" t="s">
        <v>7</v>
      </c>
      <c r="C23" s="26"/>
      <c r="D23" s="26" t="s">
        <v>213</v>
      </c>
      <c r="E23" s="26"/>
      <c r="F23" s="26" t="s">
        <v>141</v>
      </c>
      <c r="G23" s="26"/>
      <c r="H23" s="26" t="s">
        <v>141</v>
      </c>
      <c r="I23" s="26"/>
      <c r="J23" s="26" t="s">
        <v>141</v>
      </c>
      <c r="K23" s="26"/>
      <c r="L23" s="26" t="s">
        <v>183</v>
      </c>
      <c r="M23" s="26"/>
      <c r="N23" s="26" t="s">
        <v>183</v>
      </c>
      <c r="O23" s="26"/>
      <c r="P23" s="26" t="s">
        <v>142</v>
      </c>
      <c r="Q23" s="26"/>
      <c r="R23" s="26" t="s">
        <v>142</v>
      </c>
      <c r="S23" s="26"/>
      <c r="T23" s="26"/>
      <c r="U23" s="174"/>
      <c r="V23" s="174"/>
      <c r="W23" s="25"/>
      <c r="X23" s="5"/>
    </row>
    <row r="24" spans="1:24" ht="15.6" x14ac:dyDescent="0.3">
      <c r="A24" s="24"/>
      <c r="B24" s="25" t="s">
        <v>8</v>
      </c>
      <c r="C24" s="26"/>
      <c r="D24" s="26" t="s">
        <v>214</v>
      </c>
      <c r="E24" s="26"/>
      <c r="F24" s="26" t="s">
        <v>143</v>
      </c>
      <c r="G24" s="26"/>
      <c r="H24" s="26" t="s">
        <v>143</v>
      </c>
      <c r="I24" s="26"/>
      <c r="J24" s="26" t="s">
        <v>143</v>
      </c>
      <c r="K24" s="26"/>
      <c r="L24" s="26" t="s">
        <v>165</v>
      </c>
      <c r="M24" s="26"/>
      <c r="N24" s="26" t="s">
        <v>165</v>
      </c>
      <c r="O24" s="26"/>
      <c r="P24" s="26" t="s">
        <v>144</v>
      </c>
      <c r="Q24" s="26"/>
      <c r="R24" s="26" t="s">
        <v>144</v>
      </c>
      <c r="S24" s="26"/>
      <c r="T24" s="26"/>
      <c r="U24" s="174"/>
      <c r="V24" s="174"/>
      <c r="W24" s="25"/>
      <c r="X24" s="5"/>
    </row>
    <row r="25" spans="1:24" ht="15.6" x14ac:dyDescent="0.3">
      <c r="A25" s="28"/>
      <c r="B25" s="131" t="s">
        <v>190</v>
      </c>
      <c r="C25" s="123"/>
      <c r="D25" s="26" t="s">
        <v>215</v>
      </c>
      <c r="E25" s="26"/>
      <c r="F25" s="26" t="s">
        <v>143</v>
      </c>
      <c r="G25" s="26"/>
      <c r="H25" s="26" t="s">
        <v>143</v>
      </c>
      <c r="I25" s="26"/>
      <c r="J25" s="26" t="s">
        <v>143</v>
      </c>
      <c r="K25" s="26"/>
      <c r="L25" s="26" t="s">
        <v>293</v>
      </c>
      <c r="M25" s="26"/>
      <c r="N25" s="26" t="s">
        <v>293</v>
      </c>
      <c r="O25" s="26"/>
      <c r="P25" s="26" t="s">
        <v>144</v>
      </c>
      <c r="Q25" s="26"/>
      <c r="R25" s="26" t="s">
        <v>144</v>
      </c>
      <c r="S25" s="123"/>
      <c r="T25" s="26"/>
      <c r="U25" s="174"/>
      <c r="V25" s="174"/>
      <c r="W25" s="25"/>
      <c r="X25" s="5"/>
    </row>
    <row r="26" spans="1:24" ht="15.6" x14ac:dyDescent="0.3">
      <c r="A26" s="28"/>
      <c r="B26" s="29" t="s">
        <v>9</v>
      </c>
      <c r="C26" s="123"/>
      <c r="D26" s="123" t="s">
        <v>213</v>
      </c>
      <c r="E26" s="123"/>
      <c r="F26" s="123" t="s">
        <v>141</v>
      </c>
      <c r="G26" s="123"/>
      <c r="H26" s="123" t="s">
        <v>141</v>
      </c>
      <c r="I26" s="123"/>
      <c r="J26" s="123" t="s">
        <v>141</v>
      </c>
      <c r="K26" s="123"/>
      <c r="L26" s="123" t="s">
        <v>183</v>
      </c>
      <c r="M26" s="123"/>
      <c r="N26" s="123" t="s">
        <v>183</v>
      </c>
      <c r="O26" s="123"/>
      <c r="P26" s="123" t="s">
        <v>142</v>
      </c>
      <c r="Q26" s="123"/>
      <c r="R26" s="123" t="s">
        <v>142</v>
      </c>
      <c r="S26" s="123"/>
      <c r="T26" s="26"/>
      <c r="U26" s="174"/>
      <c r="V26" s="174"/>
      <c r="W26" s="25"/>
      <c r="X26" s="5"/>
    </row>
    <row r="27" spans="1:24" ht="15.6" x14ac:dyDescent="0.3">
      <c r="A27" s="24"/>
      <c r="B27" s="29" t="s">
        <v>191</v>
      </c>
      <c r="C27" s="26"/>
      <c r="D27" s="123" t="s">
        <v>214</v>
      </c>
      <c r="E27" s="123"/>
      <c r="F27" s="123" t="s">
        <v>143</v>
      </c>
      <c r="G27" s="123"/>
      <c r="H27" s="123" t="s">
        <v>143</v>
      </c>
      <c r="I27" s="123"/>
      <c r="J27" s="123" t="s">
        <v>143</v>
      </c>
      <c r="K27" s="123"/>
      <c r="L27" s="123" t="s">
        <v>165</v>
      </c>
      <c r="M27" s="123"/>
      <c r="N27" s="123" t="s">
        <v>165</v>
      </c>
      <c r="O27" s="123"/>
      <c r="P27" s="123" t="s">
        <v>144</v>
      </c>
      <c r="Q27" s="123"/>
      <c r="R27" s="123" t="s">
        <v>144</v>
      </c>
      <c r="S27" s="26"/>
      <c r="T27" s="30"/>
      <c r="U27" s="174"/>
      <c r="V27" s="174"/>
      <c r="W27" s="25"/>
      <c r="X27" s="5"/>
    </row>
    <row r="28" spans="1:24" ht="15.6" x14ac:dyDescent="0.3">
      <c r="A28" s="24"/>
      <c r="B28" s="151" t="s">
        <v>192</v>
      </c>
      <c r="C28" s="26"/>
      <c r="D28" s="123" t="s">
        <v>215</v>
      </c>
      <c r="E28" s="123"/>
      <c r="F28" s="123" t="s">
        <v>143</v>
      </c>
      <c r="G28" s="123"/>
      <c r="H28" s="123" t="s">
        <v>143</v>
      </c>
      <c r="I28" s="123"/>
      <c r="J28" s="123" t="s">
        <v>143</v>
      </c>
      <c r="K28" s="123"/>
      <c r="L28" s="123" t="s">
        <v>293</v>
      </c>
      <c r="M28" s="123"/>
      <c r="N28" s="123" t="s">
        <v>293</v>
      </c>
      <c r="O28" s="123"/>
      <c r="P28" s="123" t="s">
        <v>144</v>
      </c>
      <c r="Q28" s="123"/>
      <c r="R28" s="123" t="s">
        <v>144</v>
      </c>
      <c r="S28" s="26"/>
      <c r="T28" s="30"/>
      <c r="U28" s="174"/>
      <c r="V28" s="174"/>
      <c r="W28" s="25"/>
      <c r="X28" s="5"/>
    </row>
    <row r="29" spans="1:24" ht="15.6" x14ac:dyDescent="0.3">
      <c r="A29" s="24"/>
      <c r="B29" s="25" t="s">
        <v>10</v>
      </c>
      <c r="C29" s="32"/>
      <c r="D29" s="26" t="s">
        <v>249</v>
      </c>
      <c r="E29" s="26"/>
      <c r="F29" s="30" t="s">
        <v>250</v>
      </c>
      <c r="G29" s="26"/>
      <c r="H29" s="26" t="s">
        <v>251</v>
      </c>
      <c r="I29" s="26"/>
      <c r="J29" s="26" t="s">
        <v>253</v>
      </c>
      <c r="K29" s="26"/>
      <c r="L29" s="26" t="s">
        <v>254</v>
      </c>
      <c r="M29" s="26"/>
      <c r="N29" s="26" t="s">
        <v>255</v>
      </c>
      <c r="O29" s="26"/>
      <c r="P29" s="26" t="s">
        <v>256</v>
      </c>
      <c r="Q29" s="26"/>
      <c r="R29" s="26" t="s">
        <v>257</v>
      </c>
      <c r="S29" s="31"/>
      <c r="T29" s="31"/>
      <c r="U29" s="175"/>
      <c r="V29" s="31"/>
      <c r="W29" s="34"/>
      <c r="X29" s="5"/>
    </row>
    <row r="30" spans="1:24" ht="15.6" x14ac:dyDescent="0.3">
      <c r="A30" s="24"/>
      <c r="B30" s="25" t="s">
        <v>10</v>
      </c>
      <c r="C30" s="32"/>
      <c r="D30" s="26" t="s">
        <v>248</v>
      </c>
      <c r="E30" s="26"/>
      <c r="F30" s="30" t="s">
        <v>118</v>
      </c>
      <c r="G30" s="26"/>
      <c r="H30" s="26" t="s">
        <v>118</v>
      </c>
      <c r="I30" s="26"/>
      <c r="J30" s="26" t="s">
        <v>252</v>
      </c>
      <c r="K30" s="26"/>
      <c r="L30" s="26" t="s">
        <v>118</v>
      </c>
      <c r="M30" s="26"/>
      <c r="N30" s="26" t="s">
        <v>118</v>
      </c>
      <c r="O30" s="26"/>
      <c r="P30" s="26" t="s">
        <v>118</v>
      </c>
      <c r="Q30" s="26"/>
      <c r="R30" s="26" t="s">
        <v>118</v>
      </c>
      <c r="S30" s="31"/>
      <c r="T30" s="31"/>
      <c r="U30" s="175"/>
      <c r="V30" s="31"/>
      <c r="W30" s="34"/>
      <c r="X30" s="5"/>
    </row>
    <row r="31" spans="1:24" ht="15.6" x14ac:dyDescent="0.3">
      <c r="A31" s="28"/>
      <c r="B31" s="25" t="s">
        <v>133</v>
      </c>
      <c r="C31" s="36"/>
      <c r="D31" s="144">
        <v>1500000</v>
      </c>
      <c r="E31" s="32"/>
      <c r="F31" s="31">
        <v>125000</v>
      </c>
      <c r="G31" s="31"/>
      <c r="H31" s="124">
        <v>246000</v>
      </c>
      <c r="I31" s="124"/>
      <c r="J31" s="144">
        <v>400000</v>
      </c>
      <c r="K31" s="31"/>
      <c r="L31" s="31">
        <v>51900</v>
      </c>
      <c r="M31" s="31"/>
      <c r="N31" s="124">
        <v>88800</v>
      </c>
      <c r="O31" s="31"/>
      <c r="P31" s="31">
        <v>20000</v>
      </c>
      <c r="Q31" s="31"/>
      <c r="R31" s="124">
        <v>135500</v>
      </c>
      <c r="S31" s="35"/>
      <c r="T31" s="35"/>
      <c r="U31" s="37"/>
      <c r="V31" s="35"/>
      <c r="W31" s="34"/>
      <c r="X31" s="5"/>
    </row>
    <row r="32" spans="1:24" ht="15.6" x14ac:dyDescent="0.3">
      <c r="A32" s="24"/>
      <c r="B32" s="25" t="s">
        <v>132</v>
      </c>
      <c r="C32" s="32"/>
      <c r="D32" s="144">
        <f>D31*D38</f>
        <v>1465846.5</v>
      </c>
      <c r="E32" s="32"/>
      <c r="F32" s="31">
        <f>F31*F38</f>
        <v>122153.875</v>
      </c>
      <c r="G32" s="31"/>
      <c r="H32" s="124">
        <f>H31*H38</f>
        <v>240398.826</v>
      </c>
      <c r="I32" s="124"/>
      <c r="J32" s="144">
        <f>J31*J38</f>
        <v>390892.39999999997</v>
      </c>
      <c r="K32" s="31"/>
      <c r="L32" s="31">
        <f>+L31</f>
        <v>51900</v>
      </c>
      <c r="M32" s="31"/>
      <c r="N32" s="124">
        <f>+N31</f>
        <v>88800</v>
      </c>
      <c r="O32" s="31"/>
      <c r="P32" s="31">
        <f>+P31</f>
        <v>20000</v>
      </c>
      <c r="Q32" s="31"/>
      <c r="R32" s="124">
        <f>+R31</f>
        <v>135500</v>
      </c>
      <c r="S32" s="31"/>
      <c r="T32" s="31"/>
      <c r="U32" s="175"/>
      <c r="V32" s="31"/>
      <c r="W32" s="34"/>
      <c r="X32" s="5"/>
    </row>
    <row r="33" spans="1:24" ht="15.6" x14ac:dyDescent="0.3">
      <c r="A33" s="24"/>
      <c r="B33" s="29" t="s">
        <v>134</v>
      </c>
      <c r="C33" s="32"/>
      <c r="D33" s="149">
        <f>D37*D31</f>
        <v>1432893.15</v>
      </c>
      <c r="E33" s="36"/>
      <c r="F33" s="35">
        <f>F37*F31</f>
        <v>119407.77499999999</v>
      </c>
      <c r="G33" s="35"/>
      <c r="H33" s="125">
        <f>H31*H37</f>
        <v>234994.5012</v>
      </c>
      <c r="I33" s="125"/>
      <c r="J33" s="149">
        <f>J37*J31</f>
        <v>382104.84</v>
      </c>
      <c r="K33" s="35"/>
      <c r="L33" s="35">
        <f>L31*L37</f>
        <v>51900</v>
      </c>
      <c r="M33" s="35"/>
      <c r="N33" s="125">
        <f>N31*N37</f>
        <v>88800</v>
      </c>
      <c r="O33" s="35"/>
      <c r="P33" s="35">
        <f>P31*P37</f>
        <v>20000</v>
      </c>
      <c r="Q33" s="35"/>
      <c r="R33" s="125">
        <f>R31*R37</f>
        <v>135500</v>
      </c>
      <c r="S33" s="31"/>
      <c r="T33" s="31"/>
      <c r="U33" s="175"/>
      <c r="V33" s="31"/>
      <c r="W33" s="34"/>
      <c r="X33" s="5"/>
    </row>
    <row r="34" spans="1:24" ht="15.6" x14ac:dyDescent="0.3">
      <c r="A34" s="28"/>
      <c r="B34" s="25" t="s">
        <v>296</v>
      </c>
      <c r="C34" s="36"/>
      <c r="D34" s="31">
        <v>775194</v>
      </c>
      <c r="E34" s="32"/>
      <c r="F34" s="31">
        <v>125000</v>
      </c>
      <c r="G34" s="31"/>
      <c r="H34" s="31">
        <v>168148</v>
      </c>
      <c r="I34" s="31"/>
      <c r="J34" s="31">
        <v>206718</v>
      </c>
      <c r="K34" s="31"/>
      <c r="L34" s="31">
        <v>51900</v>
      </c>
      <c r="M34" s="31"/>
      <c r="N34" s="31">
        <v>60697</v>
      </c>
      <c r="O34" s="31"/>
      <c r="P34" s="31">
        <v>20000</v>
      </c>
      <c r="Q34" s="31"/>
      <c r="R34" s="31">
        <v>92618</v>
      </c>
      <c r="S34" s="35"/>
      <c r="T34" s="35"/>
      <c r="U34" s="37"/>
      <c r="V34" s="152">
        <f>SUM(C34:R34)</f>
        <v>1500275</v>
      </c>
      <c r="W34" s="34"/>
      <c r="X34" s="5"/>
    </row>
    <row r="35" spans="1:24" ht="15.6" x14ac:dyDescent="0.3">
      <c r="A35" s="28"/>
      <c r="B35" s="25" t="s">
        <v>297</v>
      </c>
      <c r="C35" s="126"/>
      <c r="D35" s="31">
        <f>D34*D38</f>
        <v>757543.60781399999</v>
      </c>
      <c r="E35" s="32"/>
      <c r="F35" s="31">
        <f>F34*F38</f>
        <v>122153.875</v>
      </c>
      <c r="G35" s="31"/>
      <c r="H35" s="31">
        <f>H34*H38</f>
        <v>164319.438188</v>
      </c>
      <c r="I35" s="31"/>
      <c r="J35" s="31">
        <f>J34*J38</f>
        <v>202011.23785799998</v>
      </c>
      <c r="K35" s="31"/>
      <c r="L35" s="31">
        <f>+L34</f>
        <v>51900</v>
      </c>
      <c r="M35" s="31"/>
      <c r="N35" s="31">
        <f>+N34</f>
        <v>60697</v>
      </c>
      <c r="O35" s="31"/>
      <c r="P35" s="31">
        <f>+P34</f>
        <v>20000</v>
      </c>
      <c r="Q35" s="31"/>
      <c r="R35" s="31">
        <f>+R34</f>
        <v>92618</v>
      </c>
      <c r="S35" s="31"/>
      <c r="T35" s="31"/>
      <c r="U35" s="175"/>
      <c r="V35" s="152">
        <f>SUM(C35:R35)</f>
        <v>1471243.1588599999</v>
      </c>
      <c r="W35" s="34"/>
      <c r="X35" s="5"/>
    </row>
    <row r="36" spans="1:24" ht="15.6" x14ac:dyDescent="0.3">
      <c r="A36" s="28"/>
      <c r="B36" s="29" t="s">
        <v>298</v>
      </c>
      <c r="C36" s="126"/>
      <c r="D36" s="35">
        <f>D34*D37</f>
        <v>740513.44834740006</v>
      </c>
      <c r="E36" s="36"/>
      <c r="F36" s="35">
        <f>F34*F37</f>
        <v>119407.77499999999</v>
      </c>
      <c r="G36" s="35"/>
      <c r="H36" s="35">
        <f>H34*H37</f>
        <v>160625.42840559999</v>
      </c>
      <c r="I36" s="35"/>
      <c r="J36" s="35">
        <f>J34*J37</f>
        <v>197469.8707878</v>
      </c>
      <c r="K36" s="35"/>
      <c r="L36" s="35">
        <f>L34*L37</f>
        <v>51900</v>
      </c>
      <c r="M36" s="35"/>
      <c r="N36" s="35">
        <f>N34*N37</f>
        <v>60697</v>
      </c>
      <c r="O36" s="35"/>
      <c r="P36" s="35">
        <f>P34*P37</f>
        <v>20000</v>
      </c>
      <c r="Q36" s="35"/>
      <c r="R36" s="35">
        <f>R34*R37</f>
        <v>92618</v>
      </c>
      <c r="S36" s="128"/>
      <c r="T36" s="128"/>
      <c r="U36" s="175"/>
      <c r="V36" s="153">
        <f>SUM(C36:R36)-1</f>
        <v>1443230.5225408</v>
      </c>
      <c r="W36" s="34"/>
      <c r="X36" s="5"/>
    </row>
    <row r="37" spans="1:24" ht="15.6" x14ac:dyDescent="0.3">
      <c r="A37" s="24"/>
      <c r="B37" s="122" t="s">
        <v>130</v>
      </c>
      <c r="C37" s="25"/>
      <c r="D37" s="171">
        <v>0.9552621</v>
      </c>
      <c r="E37" s="171"/>
      <c r="F37" s="171">
        <v>0.95526219999999995</v>
      </c>
      <c r="G37" s="171"/>
      <c r="H37" s="171">
        <v>0.95526219999999995</v>
      </c>
      <c r="I37" s="171"/>
      <c r="J37" s="171">
        <v>0.9552621</v>
      </c>
      <c r="K37" s="171"/>
      <c r="L37" s="171">
        <v>1</v>
      </c>
      <c r="M37" s="171"/>
      <c r="N37" s="171">
        <v>1</v>
      </c>
      <c r="O37" s="171"/>
      <c r="P37" s="171">
        <v>1</v>
      </c>
      <c r="Q37" s="171"/>
      <c r="R37" s="171">
        <v>1</v>
      </c>
      <c r="S37" s="30"/>
      <c r="T37" s="30"/>
      <c r="U37" s="174"/>
      <c r="V37" s="174"/>
      <c r="W37" s="25"/>
      <c r="X37" s="5"/>
    </row>
    <row r="38" spans="1:24" ht="15.6" x14ac:dyDescent="0.3">
      <c r="A38" s="24"/>
      <c r="B38" s="122" t="s">
        <v>131</v>
      </c>
      <c r="C38" s="25"/>
      <c r="D38" s="171">
        <v>0.97723099999999996</v>
      </c>
      <c r="E38" s="171"/>
      <c r="F38" s="171">
        <v>0.97723099999999996</v>
      </c>
      <c r="G38" s="171"/>
      <c r="H38" s="171">
        <v>0.97723099999999996</v>
      </c>
      <c r="I38" s="171"/>
      <c r="J38" s="171">
        <v>0.97723099999999996</v>
      </c>
      <c r="K38" s="171"/>
      <c r="L38" s="171">
        <v>1</v>
      </c>
      <c r="M38" s="171"/>
      <c r="N38" s="171">
        <v>1</v>
      </c>
      <c r="O38" s="171"/>
      <c r="P38" s="171">
        <v>1</v>
      </c>
      <c r="Q38" s="171"/>
      <c r="R38" s="171">
        <v>1</v>
      </c>
      <c r="S38" s="39"/>
      <c r="T38" s="38"/>
      <c r="U38" s="174"/>
      <c r="V38" s="39"/>
      <c r="W38" s="25"/>
      <c r="X38" s="5"/>
    </row>
    <row r="39" spans="1:24" ht="15.6" x14ac:dyDescent="0.3">
      <c r="A39" s="24"/>
      <c r="B39" s="25" t="s">
        <v>11</v>
      </c>
      <c r="C39" s="25"/>
      <c r="D39" s="30" t="s">
        <v>230</v>
      </c>
      <c r="E39" s="25"/>
      <c r="F39" s="30" t="s">
        <v>258</v>
      </c>
      <c r="G39" s="30"/>
      <c r="H39" s="30" t="s">
        <v>258</v>
      </c>
      <c r="I39" s="30"/>
      <c r="J39" s="30" t="s">
        <v>258</v>
      </c>
      <c r="K39" s="30"/>
      <c r="L39" s="30" t="s">
        <v>232</v>
      </c>
      <c r="M39" s="30"/>
      <c r="N39" s="30" t="s">
        <v>232</v>
      </c>
      <c r="O39" s="30"/>
      <c r="P39" s="30" t="s">
        <v>233</v>
      </c>
      <c r="Q39" s="30"/>
      <c r="R39" s="30" t="s">
        <v>233</v>
      </c>
      <c r="S39" s="39"/>
      <c r="T39" s="38"/>
      <c r="U39" s="174"/>
      <c r="V39" s="174"/>
      <c r="W39" s="25"/>
      <c r="X39" s="5"/>
    </row>
    <row r="40" spans="1:24" ht="15.6" x14ac:dyDescent="0.3">
      <c r="A40" s="24"/>
      <c r="B40" s="25" t="s">
        <v>12</v>
      </c>
      <c r="C40" s="25"/>
      <c r="D40" s="38">
        <v>4.6518799999999999E-2</v>
      </c>
      <c r="E40" s="25"/>
      <c r="F40" s="38">
        <v>6.8512500000000004E-2</v>
      </c>
      <c r="G40" s="39"/>
      <c r="H40" s="38">
        <v>4.8300000000000003E-2</v>
      </c>
      <c r="I40" s="38"/>
      <c r="J40" s="38">
        <v>5.7943799999999997E-2</v>
      </c>
      <c r="K40" s="39"/>
      <c r="L40" s="38">
        <v>6.9312499999999999E-2</v>
      </c>
      <c r="M40" s="39"/>
      <c r="N40" s="38">
        <v>4.9099999999999998E-2</v>
      </c>
      <c r="O40" s="39"/>
      <c r="P40" s="38">
        <v>7.1312500000000001E-2</v>
      </c>
      <c r="Q40" s="39"/>
      <c r="R40" s="38">
        <v>5.11E-2</v>
      </c>
      <c r="S40" s="39"/>
      <c r="T40" s="38"/>
      <c r="U40" s="174"/>
      <c r="V40" s="30"/>
      <c r="W40" s="25"/>
      <c r="X40" s="5"/>
    </row>
    <row r="41" spans="1:24" ht="15.6" x14ac:dyDescent="0.3">
      <c r="A41" s="24"/>
      <c r="B41" s="25" t="s">
        <v>13</v>
      </c>
      <c r="C41" s="25"/>
      <c r="D41" s="38">
        <v>5.6112500000000003E-2</v>
      </c>
      <c r="E41" s="25"/>
      <c r="F41" s="38">
        <v>5.7806299999999998E-2</v>
      </c>
      <c r="G41" s="39"/>
      <c r="H41" s="38">
        <v>4.1059999999999999E-2</v>
      </c>
      <c r="I41" s="38"/>
      <c r="J41" s="38">
        <v>5.4406099999999999E-2</v>
      </c>
      <c r="K41" s="39"/>
      <c r="L41" s="38">
        <v>5.86063E-2</v>
      </c>
      <c r="M41" s="39"/>
      <c r="N41" s="38">
        <v>4.1860000000000001E-2</v>
      </c>
      <c r="O41" s="39"/>
      <c r="P41" s="38">
        <v>6.0606300000000002E-2</v>
      </c>
      <c r="Q41" s="39"/>
      <c r="R41" s="38">
        <v>4.3860000000000003E-2</v>
      </c>
      <c r="S41" s="39"/>
      <c r="T41" s="38"/>
      <c r="U41" s="174"/>
      <c r="V41" s="39" t="s">
        <v>193</v>
      </c>
      <c r="W41" s="25"/>
      <c r="X41" s="5"/>
    </row>
    <row r="42" spans="1:24" ht="15.6" x14ac:dyDescent="0.3">
      <c r="A42" s="24"/>
      <c r="B42" s="25" t="s">
        <v>299</v>
      </c>
      <c r="C42" s="25"/>
      <c r="D42" s="30" t="s">
        <v>281</v>
      </c>
      <c r="E42" s="25"/>
      <c r="F42" s="30" t="s">
        <v>258</v>
      </c>
      <c r="G42" s="30"/>
      <c r="H42" s="30" t="s">
        <v>259</v>
      </c>
      <c r="I42" s="30"/>
      <c r="J42" s="30" t="s">
        <v>260</v>
      </c>
      <c r="K42" s="30"/>
      <c r="L42" s="30" t="s">
        <v>232</v>
      </c>
      <c r="M42" s="30"/>
      <c r="N42" s="30" t="s">
        <v>235</v>
      </c>
      <c r="O42" s="30"/>
      <c r="P42" s="30" t="s">
        <v>233</v>
      </c>
      <c r="Q42" s="30"/>
      <c r="R42" s="30" t="s">
        <v>261</v>
      </c>
      <c r="S42" s="39"/>
      <c r="T42" s="38"/>
      <c r="U42" s="174"/>
      <c r="V42" s="174"/>
      <c r="W42" s="25"/>
      <c r="X42" s="5"/>
    </row>
    <row r="43" spans="1:24" ht="15.6" x14ac:dyDescent="0.3">
      <c r="A43" s="24"/>
      <c r="B43" s="25" t="s">
        <v>300</v>
      </c>
      <c r="C43" s="110"/>
      <c r="D43" s="38">
        <v>6.7816500000000002E-2</v>
      </c>
      <c r="E43" s="38"/>
      <c r="F43" s="38">
        <f>+F40</f>
        <v>6.8512500000000004E-2</v>
      </c>
      <c r="G43" s="38"/>
      <c r="H43" s="38">
        <v>6.8652500000000005E-2</v>
      </c>
      <c r="I43" s="38"/>
      <c r="J43" s="38">
        <v>6.8875500000000006E-2</v>
      </c>
      <c r="K43" s="38"/>
      <c r="L43" s="38">
        <f>+L40</f>
        <v>6.9312499999999999E-2</v>
      </c>
      <c r="M43" s="38"/>
      <c r="N43" s="38">
        <v>6.9608500000000004E-2</v>
      </c>
      <c r="O43" s="38"/>
      <c r="P43" s="38">
        <f>+P40</f>
        <v>7.1312500000000001E-2</v>
      </c>
      <c r="Q43" s="39"/>
      <c r="R43" s="38">
        <v>7.1845500000000007E-2</v>
      </c>
      <c r="S43" s="30"/>
      <c r="T43" s="30"/>
      <c r="U43" s="174"/>
      <c r="V43" s="39">
        <f>SUMPRODUCT(D43:R43,D35:R35)/V35</f>
        <v>6.854092776559291E-2</v>
      </c>
      <c r="W43" s="25"/>
      <c r="X43" s="5"/>
    </row>
    <row r="44" spans="1:24" ht="15.6" x14ac:dyDescent="0.3">
      <c r="A44" s="24"/>
      <c r="B44" s="25" t="s">
        <v>301</v>
      </c>
      <c r="C44" s="110"/>
      <c r="D44" s="38">
        <v>5.7110300000000003E-2</v>
      </c>
      <c r="E44" s="38"/>
      <c r="F44" s="38">
        <f>+F41</f>
        <v>5.7806299999999998E-2</v>
      </c>
      <c r="G44" s="38"/>
      <c r="H44" s="38">
        <v>5.7946299999999999E-2</v>
      </c>
      <c r="I44" s="38"/>
      <c r="J44" s="38">
        <v>5.81693E-2</v>
      </c>
      <c r="K44" s="38"/>
      <c r="L44" s="38">
        <f>+L41</f>
        <v>5.86063E-2</v>
      </c>
      <c r="M44" s="38"/>
      <c r="N44" s="38">
        <v>5.8902299999999998E-2</v>
      </c>
      <c r="O44" s="38"/>
      <c r="P44" s="38">
        <f>+P41</f>
        <v>6.0606300000000002E-2</v>
      </c>
      <c r="Q44" s="39"/>
      <c r="R44" s="38">
        <v>6.1139300000000001E-2</v>
      </c>
      <c r="S44" s="30"/>
      <c r="T44" s="30"/>
      <c r="U44" s="174"/>
      <c r="V44" s="174"/>
      <c r="W44" s="25"/>
      <c r="X44" s="5"/>
    </row>
    <row r="45" spans="1:24" ht="15.6" x14ac:dyDescent="0.3">
      <c r="A45" s="24"/>
      <c r="B45" s="25" t="s">
        <v>14</v>
      </c>
      <c r="C45" s="25"/>
      <c r="D45" s="110">
        <v>40617</v>
      </c>
      <c r="E45" s="110"/>
      <c r="F45" s="110">
        <v>40617</v>
      </c>
      <c r="G45" s="110"/>
      <c r="H45" s="110">
        <v>40617</v>
      </c>
      <c r="I45" s="110"/>
      <c r="J45" s="110">
        <v>40617</v>
      </c>
      <c r="K45" s="110"/>
      <c r="L45" s="110">
        <v>40617</v>
      </c>
      <c r="M45" s="110"/>
      <c r="N45" s="110">
        <v>40617</v>
      </c>
      <c r="O45" s="110"/>
      <c r="P45" s="110">
        <v>40617</v>
      </c>
      <c r="Q45" s="110"/>
      <c r="R45" s="110">
        <v>40617</v>
      </c>
      <c r="S45" s="30"/>
      <c r="T45" s="30"/>
      <c r="U45" s="174"/>
      <c r="V45" s="174"/>
      <c r="W45" s="25"/>
      <c r="X45" s="5"/>
    </row>
    <row r="46" spans="1:24" ht="15.6" x14ac:dyDescent="0.3">
      <c r="A46" s="24"/>
      <c r="B46" s="25" t="s">
        <v>15</v>
      </c>
      <c r="C46" s="25"/>
      <c r="D46" s="110" t="s">
        <v>118</v>
      </c>
      <c r="E46" s="110"/>
      <c r="F46" s="110">
        <v>40983</v>
      </c>
      <c r="G46" s="110"/>
      <c r="H46" s="110">
        <v>40983</v>
      </c>
      <c r="I46" s="110"/>
      <c r="J46" s="110">
        <v>40983</v>
      </c>
      <c r="K46" s="30"/>
      <c r="L46" s="110">
        <v>40983</v>
      </c>
      <c r="M46" s="30"/>
      <c r="N46" s="110">
        <v>40983</v>
      </c>
      <c r="O46" s="30"/>
      <c r="P46" s="110">
        <v>40983</v>
      </c>
      <c r="Q46" s="30"/>
      <c r="R46" s="110">
        <v>40983</v>
      </c>
      <c r="S46" s="30"/>
      <c r="T46" s="30"/>
      <c r="U46" s="174"/>
      <c r="V46" s="174"/>
      <c r="W46" s="25"/>
      <c r="X46" s="5"/>
    </row>
    <row r="47" spans="1:24" ht="15.6" x14ac:dyDescent="0.3">
      <c r="A47" s="24"/>
      <c r="B47" s="25" t="s">
        <v>119</v>
      </c>
      <c r="C47" s="25"/>
      <c r="D47" s="158" t="s">
        <v>118</v>
      </c>
      <c r="E47" s="25"/>
      <c r="F47" s="30" t="s">
        <v>231</v>
      </c>
      <c r="G47" s="30"/>
      <c r="H47" s="30" t="s">
        <v>231</v>
      </c>
      <c r="I47" s="30"/>
      <c r="J47" s="30" t="s">
        <v>231</v>
      </c>
      <c r="K47" s="30"/>
      <c r="L47" s="30" t="s">
        <v>265</v>
      </c>
      <c r="M47" s="30"/>
      <c r="N47" s="30" t="s">
        <v>265</v>
      </c>
      <c r="O47" s="30"/>
      <c r="P47" s="30" t="s">
        <v>266</v>
      </c>
      <c r="Q47" s="30"/>
      <c r="R47" s="30" t="s">
        <v>266</v>
      </c>
      <c r="S47" s="40"/>
      <c r="T47" s="40"/>
      <c r="U47" s="40"/>
      <c r="V47" s="40"/>
      <c r="W47" s="25"/>
      <c r="X47" s="5"/>
    </row>
    <row r="48" spans="1:24" ht="15.6" x14ac:dyDescent="0.3">
      <c r="A48" s="24"/>
      <c r="B48" s="25" t="s">
        <v>302</v>
      </c>
      <c r="C48" s="25"/>
      <c r="D48" s="30" t="s">
        <v>200</v>
      </c>
      <c r="E48" s="25"/>
      <c r="F48" s="30" t="s">
        <v>231</v>
      </c>
      <c r="G48" s="30"/>
      <c r="H48" s="30" t="s">
        <v>262</v>
      </c>
      <c r="I48" s="30"/>
      <c r="J48" s="30" t="s">
        <v>263</v>
      </c>
      <c r="K48" s="30"/>
      <c r="L48" s="30" t="s">
        <v>265</v>
      </c>
      <c r="M48" s="30"/>
      <c r="N48" s="30" t="s">
        <v>234</v>
      </c>
      <c r="O48" s="30"/>
      <c r="P48" s="30" t="s">
        <v>266</v>
      </c>
      <c r="Q48" s="30"/>
      <c r="R48" s="30" t="s">
        <v>264</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193</v>
      </c>
      <c r="W49" s="25"/>
      <c r="X49" s="5"/>
    </row>
    <row r="50" spans="1:25" ht="15.6" x14ac:dyDescent="0.3">
      <c r="A50" s="24"/>
      <c r="B50" s="25" t="s">
        <v>169</v>
      </c>
      <c r="C50" s="25"/>
      <c r="D50" s="30"/>
      <c r="E50" s="25"/>
      <c r="F50" s="30"/>
      <c r="G50" s="30"/>
      <c r="H50" s="30"/>
      <c r="I50" s="30"/>
      <c r="J50" s="30"/>
      <c r="K50" s="30"/>
      <c r="L50" s="30"/>
      <c r="M50" s="30"/>
      <c r="N50" s="30"/>
      <c r="O50" s="30"/>
      <c r="P50" s="30"/>
      <c r="Q50" s="30"/>
      <c r="R50" s="30"/>
      <c r="S50" s="25"/>
      <c r="T50" s="25"/>
      <c r="U50" s="25"/>
      <c r="V50" s="39">
        <f>SUM(L34:R34)/SUM(D34:J34)</f>
        <v>0.17663090364375009</v>
      </c>
      <c r="W50" s="25"/>
      <c r="X50" s="5"/>
    </row>
    <row r="51" spans="1:25" ht="15.6" x14ac:dyDescent="0.3">
      <c r="A51" s="24"/>
      <c r="B51" s="25" t="s">
        <v>170</v>
      </c>
      <c r="C51" s="25"/>
      <c r="D51" s="25"/>
      <c r="E51" s="25"/>
      <c r="F51" s="41"/>
      <c r="G51" s="25"/>
      <c r="H51" s="25"/>
      <c r="I51" s="25"/>
      <c r="J51" s="25"/>
      <c r="K51" s="25"/>
      <c r="L51" s="25"/>
      <c r="M51" s="25"/>
      <c r="N51" s="25"/>
      <c r="O51" s="25"/>
      <c r="P51" s="25"/>
      <c r="Q51" s="25"/>
      <c r="R51" s="25"/>
      <c r="S51" s="25"/>
      <c r="T51" s="25"/>
      <c r="U51" s="25"/>
      <c r="V51" s="39">
        <f>SUM(L36:R36)/SUM(D36:J36)</f>
        <v>0.18490307465632588</v>
      </c>
      <c r="W51" s="25"/>
      <c r="X51" s="5"/>
    </row>
    <row r="52" spans="1:25" ht="15.6" x14ac:dyDescent="0.3">
      <c r="A52" s="24"/>
      <c r="B52" s="25" t="s">
        <v>171</v>
      </c>
      <c r="C52" s="25"/>
      <c r="D52" s="25"/>
      <c r="E52" s="25"/>
      <c r="F52" s="25"/>
      <c r="G52" s="25"/>
      <c r="H52" s="25"/>
      <c r="I52" s="25"/>
      <c r="J52" s="25"/>
      <c r="K52" s="25"/>
      <c r="L52" s="25"/>
      <c r="M52" s="25"/>
      <c r="N52" s="25"/>
      <c r="O52" s="25"/>
      <c r="P52" s="25"/>
      <c r="Q52" s="25"/>
      <c r="R52" s="25"/>
      <c r="S52" s="25"/>
      <c r="T52" s="30"/>
      <c r="U52" s="30"/>
      <c r="V52" s="31" t="s">
        <v>276</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202</v>
      </c>
      <c r="C54" s="25"/>
      <c r="D54" s="25"/>
      <c r="E54" s="25"/>
      <c r="F54" s="25"/>
      <c r="G54" s="25"/>
      <c r="H54" s="25"/>
      <c r="I54" s="25"/>
      <c r="J54" s="25"/>
      <c r="K54" s="25"/>
      <c r="L54" s="25"/>
      <c r="M54" s="25"/>
      <c r="N54" s="25"/>
      <c r="O54" s="25"/>
      <c r="P54" s="25"/>
      <c r="Q54" s="25"/>
      <c r="R54" s="25"/>
      <c r="S54" s="25"/>
      <c r="T54" s="25"/>
      <c r="U54" s="25"/>
      <c r="V54" s="154" t="s">
        <v>203</v>
      </c>
      <c r="W54" s="25"/>
      <c r="X54" s="5"/>
    </row>
    <row r="55" spans="1:25" ht="15.6" x14ac:dyDescent="0.3">
      <c r="A55" s="24"/>
      <c r="B55" s="25" t="s">
        <v>280</v>
      </c>
      <c r="C55" s="25"/>
      <c r="D55" s="25"/>
      <c r="E55" s="25"/>
      <c r="F55" s="25"/>
      <c r="G55" s="25"/>
      <c r="H55" s="25"/>
      <c r="I55" s="25"/>
      <c r="J55" s="25"/>
      <c r="K55" s="25"/>
      <c r="L55" s="25"/>
      <c r="M55" s="25"/>
      <c r="N55" s="25"/>
      <c r="O55" s="25"/>
      <c r="P55" s="25"/>
      <c r="Q55" s="25"/>
      <c r="R55" s="25"/>
      <c r="S55" s="25"/>
      <c r="T55" s="30"/>
      <c r="U55" s="30"/>
      <c r="V55" s="155" t="s">
        <v>111</v>
      </c>
      <c r="W55" s="25"/>
      <c r="X55" s="5"/>
    </row>
    <row r="56" spans="1:25" ht="15.6" x14ac:dyDescent="0.3">
      <c r="A56" s="24"/>
      <c r="B56" s="29" t="s">
        <v>201</v>
      </c>
      <c r="C56" s="29"/>
      <c r="D56" s="29"/>
      <c r="E56" s="29"/>
      <c r="F56" s="29"/>
      <c r="G56" s="29"/>
      <c r="H56" s="29"/>
      <c r="I56" s="29"/>
      <c r="J56" s="29"/>
      <c r="K56" s="29"/>
      <c r="L56" s="29"/>
      <c r="M56" s="29"/>
      <c r="N56" s="29"/>
      <c r="O56" s="29"/>
      <c r="P56" s="29"/>
      <c r="Q56" s="29"/>
      <c r="R56" s="29"/>
      <c r="S56" s="29"/>
      <c r="T56" s="43"/>
      <c r="U56" s="43"/>
      <c r="V56" s="44">
        <v>39342</v>
      </c>
      <c r="W56" s="25"/>
      <c r="X56" s="5"/>
    </row>
    <row r="57" spans="1:25" ht="15.6" x14ac:dyDescent="0.3">
      <c r="A57" s="24"/>
      <c r="B57" s="25" t="s">
        <v>121</v>
      </c>
      <c r="C57" s="25"/>
      <c r="D57" s="25"/>
      <c r="E57" s="25"/>
      <c r="F57" s="25"/>
      <c r="G57" s="25"/>
      <c r="H57" s="58"/>
      <c r="I57" s="58"/>
      <c r="J57" s="58"/>
      <c r="K57" s="58"/>
      <c r="L57" s="58"/>
      <c r="M57" s="58"/>
      <c r="N57" s="58"/>
      <c r="O57" s="58"/>
      <c r="P57" s="58"/>
      <c r="Q57" s="58"/>
      <c r="R57" s="25">
        <f>+V57-T57+1</f>
        <v>179</v>
      </c>
      <c r="S57" s="58"/>
      <c r="T57" s="45">
        <v>39163</v>
      </c>
      <c r="U57" s="46"/>
      <c r="V57" s="45">
        <v>39341</v>
      </c>
      <c r="W57" s="25"/>
      <c r="X57" s="5"/>
    </row>
    <row r="58" spans="1:25" ht="15.6" x14ac:dyDescent="0.3">
      <c r="A58" s="24"/>
      <c r="B58" s="25" t="s">
        <v>122</v>
      </c>
      <c r="C58" s="25"/>
      <c r="D58" s="25"/>
      <c r="E58" s="25"/>
      <c r="F58" s="25"/>
      <c r="G58" s="25"/>
      <c r="H58" s="25"/>
      <c r="I58" s="25"/>
      <c r="J58" s="25"/>
      <c r="K58" s="25"/>
      <c r="L58" s="25"/>
      <c r="M58" s="25"/>
      <c r="N58" s="25"/>
      <c r="O58" s="25"/>
      <c r="P58" s="25"/>
      <c r="Q58" s="25"/>
      <c r="R58" s="25">
        <f>+V58-T58+1</f>
        <v>91</v>
      </c>
      <c r="S58" s="25"/>
      <c r="T58" s="45">
        <v>39342</v>
      </c>
      <c r="U58" s="46"/>
      <c r="V58" s="45">
        <v>39432</v>
      </c>
      <c r="W58" s="25"/>
      <c r="X58" s="5"/>
    </row>
    <row r="59" spans="1:25" ht="15.6" x14ac:dyDescent="0.3">
      <c r="A59" s="24"/>
      <c r="B59" s="25" t="s">
        <v>229</v>
      </c>
      <c r="C59" s="25"/>
      <c r="D59" s="25"/>
      <c r="E59" s="25"/>
      <c r="F59" s="25"/>
      <c r="G59" s="25"/>
      <c r="H59" s="25"/>
      <c r="I59" s="25"/>
      <c r="J59" s="25"/>
      <c r="K59" s="25"/>
      <c r="L59" s="25"/>
      <c r="M59" s="25"/>
      <c r="N59" s="25"/>
      <c r="O59" s="25"/>
      <c r="P59" s="25"/>
      <c r="Q59" s="25"/>
      <c r="R59" s="25"/>
      <c r="S59" s="25"/>
      <c r="T59" s="45"/>
      <c r="U59" s="46"/>
      <c r="V59" s="45" t="s">
        <v>120</v>
      </c>
      <c r="W59" s="25"/>
      <c r="X59" s="5"/>
    </row>
    <row r="60" spans="1:25" ht="15.6" x14ac:dyDescent="0.3">
      <c r="A60" s="24"/>
      <c r="B60" s="25" t="s">
        <v>228</v>
      </c>
      <c r="C60" s="25"/>
      <c r="D60" s="25"/>
      <c r="E60" s="25"/>
      <c r="F60" s="25"/>
      <c r="G60" s="25"/>
      <c r="H60" s="25"/>
      <c r="I60" s="25"/>
      <c r="J60" s="25"/>
      <c r="K60" s="25"/>
      <c r="L60" s="25"/>
      <c r="M60" s="25"/>
      <c r="N60" s="25"/>
      <c r="O60" s="25"/>
      <c r="P60" s="25"/>
      <c r="Q60" s="25"/>
      <c r="R60" s="25"/>
      <c r="S60" s="25"/>
      <c r="T60" s="45"/>
      <c r="U60" s="46"/>
      <c r="V60" s="45" t="s">
        <v>154</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39419</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282</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94</v>
      </c>
      <c r="M68" s="115"/>
      <c r="N68" s="115" t="s">
        <v>96</v>
      </c>
      <c r="O68" s="115"/>
      <c r="P68" s="115" t="s">
        <v>98</v>
      </c>
      <c r="Q68" s="115"/>
      <c r="R68" s="115" t="s">
        <v>100</v>
      </c>
      <c r="S68" s="115"/>
      <c r="T68" s="115" t="s">
        <v>106</v>
      </c>
      <c r="U68" s="115"/>
      <c r="V68" s="116" t="s">
        <v>112</v>
      </c>
      <c r="W68" s="117"/>
      <c r="X68" s="5"/>
    </row>
    <row r="69" spans="1:24" ht="15.6" x14ac:dyDescent="0.3">
      <c r="A69" s="24"/>
      <c r="B69" s="25" t="s">
        <v>19</v>
      </c>
      <c r="C69" s="34"/>
      <c r="D69" s="34"/>
      <c r="E69" s="34"/>
      <c r="F69" s="34"/>
      <c r="G69" s="34"/>
      <c r="H69" s="34"/>
      <c r="I69" s="34"/>
      <c r="J69" s="34"/>
      <c r="K69" s="34"/>
      <c r="L69" s="34">
        <v>1158015</v>
      </c>
      <c r="M69" s="34"/>
      <c r="N69" s="53">
        <v>1471243</v>
      </c>
      <c r="O69" s="34"/>
      <c r="P69" s="34">
        <f>28012+4384+1337</f>
        <v>33733</v>
      </c>
      <c r="Q69" s="34"/>
      <c r="R69" s="34">
        <f>4384+1337</f>
        <v>5721</v>
      </c>
      <c r="S69" s="34"/>
      <c r="T69" s="34">
        <v>0</v>
      </c>
      <c r="U69" s="34"/>
      <c r="V69" s="53">
        <f>+N69-P69+R69-T69</f>
        <v>1443231</v>
      </c>
      <c r="W69" s="25"/>
      <c r="X69" s="5"/>
    </row>
    <row r="70" spans="1:24" ht="15.6" x14ac:dyDescent="0.3">
      <c r="A70" s="24"/>
      <c r="B70" s="25" t="s">
        <v>20</v>
      </c>
      <c r="C70" s="34"/>
      <c r="D70" s="34"/>
      <c r="E70" s="34"/>
      <c r="F70" s="34"/>
      <c r="G70" s="34"/>
      <c r="H70" s="34"/>
      <c r="I70" s="34"/>
      <c r="J70" s="34"/>
      <c r="K70" s="34"/>
      <c r="L70" s="34">
        <v>15</v>
      </c>
      <c r="M70" s="34"/>
      <c r="N70" s="53">
        <v>0</v>
      </c>
      <c r="O70" s="34"/>
      <c r="P70" s="34">
        <v>0</v>
      </c>
      <c r="Q70" s="34"/>
      <c r="R70" s="34">
        <v>0</v>
      </c>
      <c r="S70" s="34"/>
      <c r="T70" s="34">
        <v>0</v>
      </c>
      <c r="U70" s="34"/>
      <c r="V70" s="53">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1158030</v>
      </c>
      <c r="M72" s="34"/>
      <c r="N72" s="54">
        <f>N69+N70</f>
        <v>1471243</v>
      </c>
      <c r="O72" s="34"/>
      <c r="P72" s="34">
        <f>SUM(P69:P71)</f>
        <v>33733</v>
      </c>
      <c r="Q72" s="34"/>
      <c r="R72" s="34">
        <f>SUM(R69:R71)</f>
        <v>5721</v>
      </c>
      <c r="S72" s="34"/>
      <c r="T72" s="34">
        <f>SUM(T69:T71)</f>
        <v>0</v>
      </c>
      <c r="U72" s="34"/>
      <c r="V72" s="54">
        <f>SUM(V69:V71)</f>
        <v>1443231</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117</v>
      </c>
      <c r="C82" s="34"/>
      <c r="D82" s="34"/>
      <c r="E82" s="34"/>
      <c r="F82" s="34"/>
      <c r="G82" s="34"/>
      <c r="H82" s="34"/>
      <c r="I82" s="34"/>
      <c r="J82" s="34"/>
      <c r="K82" s="34"/>
      <c r="L82" s="34">
        <v>342245</v>
      </c>
      <c r="M82" s="34"/>
      <c r="N82" s="34">
        <v>0</v>
      </c>
      <c r="O82" s="34"/>
      <c r="P82" s="34">
        <v>0</v>
      </c>
      <c r="Q82" s="34"/>
      <c r="R82" s="34"/>
      <c r="S82" s="34"/>
      <c r="T82" s="34"/>
      <c r="U82" s="34"/>
      <c r="V82" s="54">
        <f>SUM(N82:R82)</f>
        <v>0</v>
      </c>
      <c r="W82" s="25"/>
      <c r="X82" s="5"/>
    </row>
    <row r="83" spans="1:24" ht="15.6" x14ac:dyDescent="0.3">
      <c r="A83" s="24"/>
      <c r="B83" s="25" t="s">
        <v>146</v>
      </c>
      <c r="C83" s="34"/>
      <c r="D83" s="34"/>
      <c r="E83" s="34"/>
      <c r="F83" s="34"/>
      <c r="G83" s="34"/>
      <c r="H83" s="34"/>
      <c r="I83" s="34"/>
      <c r="J83" s="34"/>
      <c r="K83" s="34"/>
      <c r="L83" s="34">
        <v>0</v>
      </c>
      <c r="M83" s="34"/>
      <c r="N83" s="34">
        <v>0</v>
      </c>
      <c r="O83" s="34"/>
      <c r="P83" s="34">
        <v>0</v>
      </c>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1500275</v>
      </c>
      <c r="M85" s="34"/>
      <c r="N85" s="54">
        <f>SUM(N72:N84)</f>
        <v>1471243</v>
      </c>
      <c r="O85" s="34"/>
      <c r="P85" s="34"/>
      <c r="Q85" s="34"/>
      <c r="R85" s="34"/>
      <c r="S85" s="34"/>
      <c r="T85" s="54"/>
      <c r="U85" s="34"/>
      <c r="V85" s="54">
        <f>SUM(V72:V84)</f>
        <v>1443231</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7" t="s">
        <v>95</v>
      </c>
      <c r="M88" s="17"/>
      <c r="N88" s="156">
        <f>+T205</f>
        <v>39416</v>
      </c>
      <c r="O88" s="17"/>
      <c r="P88" s="17"/>
      <c r="Q88" s="17"/>
      <c r="R88" s="17"/>
      <c r="S88" s="17"/>
      <c r="T88" s="17" t="s">
        <v>107</v>
      </c>
      <c r="U88" s="17"/>
      <c r="V88" s="17" t="s">
        <v>113</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f>33733+5</f>
        <v>33738</v>
      </c>
      <c r="U90" s="25"/>
      <c r="V90" s="53"/>
      <c r="W90" s="25"/>
      <c r="X90" s="5"/>
    </row>
    <row r="91" spans="1:24" ht="15.6" x14ac:dyDescent="0.3">
      <c r="A91" s="24"/>
      <c r="B91" s="25" t="s">
        <v>216</v>
      </c>
      <c r="C91" s="25"/>
      <c r="D91" s="25"/>
      <c r="E91" s="25"/>
      <c r="F91" s="25"/>
      <c r="G91" s="25"/>
      <c r="H91" s="40"/>
      <c r="I91" s="40"/>
      <c r="J91" s="40"/>
      <c r="K91" s="57"/>
      <c r="L91" s="40"/>
      <c r="M91" s="25"/>
      <c r="N91" s="127"/>
      <c r="O91" s="25"/>
      <c r="P91" s="25"/>
      <c r="Q91" s="25"/>
      <c r="R91" s="25"/>
      <c r="S91" s="25"/>
      <c r="T91" s="34"/>
      <c r="U91" s="25"/>
      <c r="V91" s="53">
        <f>8101+12741-275-1028-5</f>
        <v>19534</v>
      </c>
      <c r="W91" s="25"/>
      <c r="X91" s="5"/>
    </row>
    <row r="92" spans="1:24" ht="15.6" x14ac:dyDescent="0.3">
      <c r="A92" s="24"/>
      <c r="B92" s="25" t="s">
        <v>211</v>
      </c>
      <c r="C92" s="25"/>
      <c r="D92" s="25"/>
      <c r="E92" s="25"/>
      <c r="F92" s="25"/>
      <c r="G92" s="25"/>
      <c r="H92" s="40"/>
      <c r="I92" s="40"/>
      <c r="J92" s="40"/>
      <c r="K92" s="57"/>
      <c r="L92" s="40"/>
      <c r="M92" s="25"/>
      <c r="N92" s="127"/>
      <c r="O92" s="25"/>
      <c r="P92" s="25"/>
      <c r="Q92" s="25"/>
      <c r="R92" s="25"/>
      <c r="S92" s="25"/>
      <c r="T92" s="34"/>
      <c r="U92" s="25"/>
      <c r="V92" s="53">
        <f>176+318</f>
        <v>494</v>
      </c>
      <c r="W92" s="25"/>
      <c r="X92" s="5"/>
    </row>
    <row r="93" spans="1:24" ht="15.6" x14ac:dyDescent="0.3">
      <c r="A93" s="24"/>
      <c r="B93" s="25" t="s">
        <v>212</v>
      </c>
      <c r="C93" s="25"/>
      <c r="D93" s="25"/>
      <c r="E93" s="25"/>
      <c r="F93" s="25"/>
      <c r="G93" s="25"/>
      <c r="H93" s="40"/>
      <c r="I93" s="40"/>
      <c r="J93" s="40"/>
      <c r="K93" s="57"/>
      <c r="L93" s="40"/>
      <c r="M93" s="25"/>
      <c r="N93" s="127"/>
      <c r="O93" s="25"/>
      <c r="P93" s="25"/>
      <c r="Q93" s="25"/>
      <c r="R93" s="25"/>
      <c r="S93" s="25"/>
      <c r="T93" s="34"/>
      <c r="U93" s="25"/>
      <c r="V93" s="53">
        <v>693</v>
      </c>
      <c r="W93" s="25"/>
      <c r="X93" s="5"/>
    </row>
    <row r="94" spans="1:24" ht="15.6" x14ac:dyDescent="0.3">
      <c r="A94" s="24"/>
      <c r="B94" s="25" t="s">
        <v>272</v>
      </c>
      <c r="C94" s="25"/>
      <c r="D94" s="25"/>
      <c r="E94" s="25"/>
      <c r="F94" s="25"/>
      <c r="G94" s="25"/>
      <c r="H94" s="40"/>
      <c r="I94" s="40"/>
      <c r="J94" s="40"/>
      <c r="K94" s="57"/>
      <c r="L94" s="40"/>
      <c r="M94" s="25"/>
      <c r="N94" s="127"/>
      <c r="O94" s="25"/>
      <c r="P94" s="25"/>
      <c r="Q94" s="25"/>
      <c r="R94" s="25"/>
      <c r="S94" s="25"/>
      <c r="T94" s="34"/>
      <c r="U94" s="25"/>
      <c r="V94" s="53">
        <f>9+2493</f>
        <v>2502</v>
      </c>
      <c r="W94" s="25"/>
      <c r="X94" s="5"/>
    </row>
    <row r="95" spans="1:24" ht="15.6" x14ac:dyDescent="0.3">
      <c r="A95" s="24"/>
      <c r="B95" s="25" t="s">
        <v>274</v>
      </c>
      <c r="C95" s="25"/>
      <c r="D95" s="25"/>
      <c r="E95" s="25"/>
      <c r="F95" s="25"/>
      <c r="G95" s="25"/>
      <c r="H95" s="40"/>
      <c r="I95" s="40"/>
      <c r="J95" s="40"/>
      <c r="K95" s="57"/>
      <c r="L95" s="40"/>
      <c r="M95" s="25"/>
      <c r="N95" s="127"/>
      <c r="O95" s="25"/>
      <c r="P95" s="25"/>
      <c r="Q95" s="25"/>
      <c r="R95" s="25"/>
      <c r="S95" s="25"/>
      <c r="T95" s="34"/>
      <c r="U95" s="25"/>
      <c r="V95" s="53">
        <v>2122</v>
      </c>
      <c r="W95" s="25"/>
      <c r="X95" s="5"/>
    </row>
    <row r="96" spans="1:24" ht="15.6" x14ac:dyDescent="0.3">
      <c r="A96" s="24"/>
      <c r="B96" s="25" t="s">
        <v>135</v>
      </c>
      <c r="C96" s="25"/>
      <c r="D96" s="25"/>
      <c r="E96" s="25"/>
      <c r="F96" s="25"/>
      <c r="G96" s="25"/>
      <c r="H96" s="25"/>
      <c r="I96" s="25"/>
      <c r="J96" s="25"/>
      <c r="K96" s="25"/>
      <c r="L96" s="25"/>
      <c r="M96" s="25"/>
      <c r="N96" s="25"/>
      <c r="O96" s="25"/>
      <c r="P96" s="25"/>
      <c r="Q96" s="25"/>
      <c r="R96" s="25"/>
      <c r="S96" s="25"/>
      <c r="T96" s="34"/>
      <c r="U96" s="25"/>
      <c r="V96" s="53">
        <v>0</v>
      </c>
      <c r="W96" s="25"/>
      <c r="X96" s="5"/>
    </row>
    <row r="97" spans="1:25" ht="15.6" x14ac:dyDescent="0.3">
      <c r="A97" s="24"/>
      <c r="B97" s="25" t="s">
        <v>268</v>
      </c>
      <c r="C97" s="25"/>
      <c r="D97" s="25"/>
      <c r="E97" s="25"/>
      <c r="F97" s="25"/>
      <c r="G97" s="25"/>
      <c r="H97" s="25"/>
      <c r="I97" s="25"/>
      <c r="J97" s="25"/>
      <c r="K97" s="25"/>
      <c r="L97" s="25"/>
      <c r="M97" s="25"/>
      <c r="N97" s="25"/>
      <c r="O97" s="25"/>
      <c r="P97" s="25"/>
      <c r="Q97" s="25"/>
      <c r="R97" s="25"/>
      <c r="S97" s="25"/>
      <c r="T97" s="34"/>
      <c r="U97" s="25"/>
      <c r="V97" s="53">
        <v>5248</v>
      </c>
      <c r="W97" s="25"/>
      <c r="X97" s="5"/>
    </row>
    <row r="98" spans="1:25" ht="15.6" x14ac:dyDescent="0.3">
      <c r="A98" s="24"/>
      <c r="B98" s="25" t="s">
        <v>30</v>
      </c>
      <c r="C98" s="25"/>
      <c r="D98" s="25"/>
      <c r="E98" s="25"/>
      <c r="F98" s="25"/>
      <c r="G98" s="25"/>
      <c r="H98" s="25"/>
      <c r="I98" s="25"/>
      <c r="J98" s="25"/>
      <c r="K98" s="25"/>
      <c r="L98" s="25"/>
      <c r="M98" s="25"/>
      <c r="N98" s="25"/>
      <c r="O98" s="25"/>
      <c r="P98" s="25"/>
      <c r="Q98" s="25"/>
      <c r="R98" s="25"/>
      <c r="S98" s="25"/>
      <c r="T98" s="34">
        <f>SUM(T89:T97)</f>
        <v>33738</v>
      </c>
      <c r="U98" s="25"/>
      <c r="V98" s="54">
        <f>SUM(V89:V97)</f>
        <v>30593</v>
      </c>
      <c r="W98" s="25"/>
      <c r="X98" s="5"/>
    </row>
    <row r="99" spans="1:25" ht="15.6" x14ac:dyDescent="0.3">
      <c r="A99" s="24"/>
      <c r="B99" s="25" t="s">
        <v>161</v>
      </c>
      <c r="C99" s="25"/>
      <c r="D99" s="25"/>
      <c r="E99" s="25"/>
      <c r="F99" s="25"/>
      <c r="G99" s="25"/>
      <c r="H99" s="25"/>
      <c r="I99" s="25"/>
      <c r="J99" s="25"/>
      <c r="K99" s="25"/>
      <c r="L99" s="25"/>
      <c r="M99" s="25"/>
      <c r="N99" s="25"/>
      <c r="O99" s="25"/>
      <c r="P99" s="25"/>
      <c r="Q99" s="25"/>
      <c r="R99" s="25"/>
      <c r="S99" s="25"/>
      <c r="T99" s="34">
        <f>-V99</f>
        <v>-90</v>
      </c>
      <c r="U99" s="25"/>
      <c r="V99" s="54">
        <v>90</v>
      </c>
      <c r="W99" s="25"/>
      <c r="X99" s="5"/>
    </row>
    <row r="100" spans="1:25" ht="15.6" x14ac:dyDescent="0.3">
      <c r="A100" s="24"/>
      <c r="B100" s="25" t="s">
        <v>31</v>
      </c>
      <c r="C100" s="25"/>
      <c r="D100" s="25"/>
      <c r="E100" s="25"/>
      <c r="F100" s="25"/>
      <c r="G100" s="25"/>
      <c r="H100" s="25"/>
      <c r="I100" s="25"/>
      <c r="J100" s="25"/>
      <c r="K100" s="25"/>
      <c r="L100" s="25"/>
      <c r="M100" s="25"/>
      <c r="N100" s="25"/>
      <c r="O100" s="25"/>
      <c r="P100" s="25"/>
      <c r="Q100" s="25"/>
      <c r="R100" s="25"/>
      <c r="S100" s="25"/>
      <c r="T100" s="34">
        <f>-V100</f>
        <v>0</v>
      </c>
      <c r="U100" s="25"/>
      <c r="V100" s="53">
        <v>0</v>
      </c>
      <c r="W100" s="25"/>
      <c r="X100" s="5"/>
    </row>
    <row r="101" spans="1:25" ht="15.6" x14ac:dyDescent="0.3">
      <c r="A101" s="24"/>
      <c r="B101" s="25" t="s">
        <v>283</v>
      </c>
      <c r="C101" s="25"/>
      <c r="D101" s="25"/>
      <c r="E101" s="25"/>
      <c r="F101" s="25"/>
      <c r="G101" s="25"/>
      <c r="H101" s="25"/>
      <c r="I101" s="25"/>
      <c r="J101" s="25"/>
      <c r="K101" s="25"/>
      <c r="L101" s="25"/>
      <c r="M101" s="25"/>
      <c r="N101" s="25"/>
      <c r="O101" s="25"/>
      <c r="P101" s="25"/>
      <c r="Q101" s="25"/>
      <c r="R101" s="25"/>
      <c r="S101" s="25"/>
      <c r="T101" s="34"/>
      <c r="U101" s="25"/>
      <c r="V101" s="53">
        <v>0</v>
      </c>
      <c r="W101" s="25"/>
      <c r="X101" s="5"/>
    </row>
    <row r="102" spans="1:25" ht="15.6" x14ac:dyDescent="0.3">
      <c r="A102" s="24"/>
      <c r="B102" s="25" t="s">
        <v>32</v>
      </c>
      <c r="C102" s="25"/>
      <c r="D102" s="25"/>
      <c r="E102" s="25"/>
      <c r="F102" s="25"/>
      <c r="G102" s="25"/>
      <c r="H102" s="25"/>
      <c r="I102" s="25"/>
      <c r="J102" s="25"/>
      <c r="K102" s="25"/>
      <c r="L102" s="25"/>
      <c r="M102" s="25"/>
      <c r="N102" s="25"/>
      <c r="O102" s="25"/>
      <c r="P102" s="25"/>
      <c r="Q102" s="25"/>
      <c r="R102" s="25"/>
      <c r="S102" s="25"/>
      <c r="T102" s="34">
        <f>T98+T100+T99</f>
        <v>33648</v>
      </c>
      <c r="U102" s="25"/>
      <c r="V102" s="54">
        <f>V98+V100+V99+V101</f>
        <v>30683</v>
      </c>
      <c r="W102" s="25"/>
      <c r="X102" s="5"/>
    </row>
    <row r="103" spans="1:25" ht="15.6" x14ac:dyDescent="0.3">
      <c r="A103" s="24"/>
      <c r="B103" s="118" t="s">
        <v>33</v>
      </c>
      <c r="C103" s="25"/>
      <c r="D103" s="25"/>
      <c r="E103" s="25"/>
      <c r="F103" s="25"/>
      <c r="G103" s="25"/>
      <c r="H103" s="25"/>
      <c r="I103" s="25"/>
      <c r="J103" s="25"/>
      <c r="K103" s="25"/>
      <c r="L103" s="25"/>
      <c r="M103" s="25"/>
      <c r="N103" s="25"/>
      <c r="O103" s="25"/>
      <c r="P103" s="25"/>
      <c r="Q103" s="25"/>
      <c r="R103" s="25"/>
      <c r="S103" s="25"/>
      <c r="T103" s="34"/>
      <c r="U103" s="25"/>
      <c r="V103" s="53"/>
      <c r="W103" s="25"/>
      <c r="X103" s="5"/>
    </row>
    <row r="104" spans="1:25" ht="15.6" x14ac:dyDescent="0.3">
      <c r="A104" s="24">
        <v>1</v>
      </c>
      <c r="B104" s="25" t="s">
        <v>34</v>
      </c>
      <c r="C104" s="25"/>
      <c r="D104" s="25"/>
      <c r="E104" s="25"/>
      <c r="F104" s="25"/>
      <c r="G104" s="25"/>
      <c r="H104" s="25"/>
      <c r="I104" s="25"/>
      <c r="J104" s="25"/>
      <c r="K104" s="25"/>
      <c r="L104" s="25"/>
      <c r="M104" s="25"/>
      <c r="N104" s="25"/>
      <c r="O104" s="25"/>
      <c r="P104" s="25"/>
      <c r="Q104" s="25"/>
      <c r="R104" s="25"/>
      <c r="S104" s="25"/>
      <c r="T104" s="25"/>
      <c r="U104" s="25"/>
      <c r="V104" s="53">
        <v>0</v>
      </c>
      <c r="W104" s="25"/>
      <c r="X104" s="5"/>
    </row>
    <row r="105" spans="1:25" ht="15.6" x14ac:dyDescent="0.3">
      <c r="A105" s="24">
        <f>+A104+1</f>
        <v>2</v>
      </c>
      <c r="B105" s="25" t="s">
        <v>225</v>
      </c>
      <c r="C105" s="25"/>
      <c r="D105" s="25"/>
      <c r="E105" s="25"/>
      <c r="F105" s="25"/>
      <c r="G105" s="25"/>
      <c r="H105" s="25"/>
      <c r="I105" s="25"/>
      <c r="J105" s="25"/>
      <c r="K105" s="25"/>
      <c r="L105" s="25"/>
      <c r="M105" s="25"/>
      <c r="N105" s="25"/>
      <c r="O105" s="25"/>
      <c r="P105" s="25"/>
      <c r="Q105" s="25"/>
      <c r="R105" s="25"/>
      <c r="S105" s="25"/>
      <c r="T105" s="25"/>
      <c r="U105" s="25"/>
      <c r="V105" s="53">
        <v>-2</v>
      </c>
      <c r="W105" s="25"/>
      <c r="X105" s="5"/>
    </row>
    <row r="106" spans="1:25" ht="15.6" x14ac:dyDescent="0.3">
      <c r="A106" s="24">
        <f>+A105+1</f>
        <v>3</v>
      </c>
      <c r="B106" s="25" t="s">
        <v>204</v>
      </c>
      <c r="C106" s="25"/>
      <c r="D106" s="25"/>
      <c r="E106" s="25"/>
      <c r="F106" s="25"/>
      <c r="G106" s="25"/>
      <c r="H106" s="25"/>
      <c r="I106" s="25"/>
      <c r="J106" s="25"/>
      <c r="K106" s="25"/>
      <c r="L106" s="25"/>
      <c r="M106" s="25"/>
      <c r="N106" s="25"/>
      <c r="O106" s="25"/>
      <c r="P106" s="25"/>
      <c r="Q106" s="25"/>
      <c r="R106" s="25"/>
      <c r="S106" s="25"/>
      <c r="T106" s="25"/>
      <c r="U106" s="25"/>
      <c r="V106" s="53">
        <f>-184-9-18</f>
        <v>-211</v>
      </c>
      <c r="W106" s="25"/>
      <c r="X106" s="5"/>
    </row>
    <row r="107" spans="1:25" ht="15.6" x14ac:dyDescent="0.3">
      <c r="A107" s="24" t="s">
        <v>127</v>
      </c>
      <c r="B107" s="25" t="s">
        <v>116</v>
      </c>
      <c r="C107" s="25"/>
      <c r="D107" s="25"/>
      <c r="E107" s="25"/>
      <c r="F107" s="25"/>
      <c r="G107" s="25"/>
      <c r="H107" s="25"/>
      <c r="I107" s="25"/>
      <c r="J107" s="25"/>
      <c r="K107" s="25"/>
      <c r="L107" s="25"/>
      <c r="M107" s="25"/>
      <c r="N107" s="25"/>
      <c r="O107" s="25"/>
      <c r="P107" s="25"/>
      <c r="Q107" s="25"/>
      <c r="R107" s="25"/>
      <c r="S107" s="25"/>
      <c r="T107" s="25"/>
      <c r="U107" s="25"/>
      <c r="V107" s="53">
        <v>0</v>
      </c>
      <c r="W107" s="25"/>
      <c r="X107" s="5"/>
    </row>
    <row r="108" spans="1:25" ht="15.6" x14ac:dyDescent="0.3">
      <c r="A108" s="24" t="s">
        <v>128</v>
      </c>
      <c r="B108" s="25" t="s">
        <v>222</v>
      </c>
      <c r="C108" s="25"/>
      <c r="D108" s="25"/>
      <c r="E108" s="25"/>
      <c r="F108" s="25"/>
      <c r="G108" s="25"/>
      <c r="H108" s="25"/>
      <c r="I108" s="25"/>
      <c r="J108" s="25"/>
      <c r="K108" s="25"/>
      <c r="L108" s="25"/>
      <c r="M108" s="25"/>
      <c r="N108" s="25"/>
      <c r="O108" s="25"/>
      <c r="P108" s="25"/>
      <c r="Q108" s="25"/>
      <c r="R108" s="25"/>
      <c r="S108" s="25"/>
      <c r="T108" s="25"/>
      <c r="U108" s="25"/>
      <c r="V108" s="53">
        <v>-19091</v>
      </c>
      <c r="W108" s="25"/>
      <c r="X108" s="5"/>
      <c r="Y108" s="109"/>
    </row>
    <row r="109" spans="1:25" ht="15.6" x14ac:dyDescent="0.3">
      <c r="A109" s="24" t="s">
        <v>150</v>
      </c>
      <c r="B109" s="25" t="s">
        <v>184</v>
      </c>
      <c r="C109" s="25"/>
      <c r="D109" s="25"/>
      <c r="E109" s="25"/>
      <c r="F109" s="25"/>
      <c r="G109" s="25"/>
      <c r="H109" s="25"/>
      <c r="I109" s="25"/>
      <c r="J109" s="25"/>
      <c r="K109" s="25"/>
      <c r="L109" s="25"/>
      <c r="M109" s="25"/>
      <c r="N109" s="25"/>
      <c r="O109" s="25"/>
      <c r="P109" s="25"/>
      <c r="Q109" s="25"/>
      <c r="R109" s="25"/>
      <c r="S109" s="25"/>
      <c r="T109" s="25"/>
      <c r="U109" s="25"/>
      <c r="V109" s="53">
        <v>-2086</v>
      </c>
      <c r="W109" s="25"/>
      <c r="X109" s="5"/>
      <c r="Y109" s="109"/>
    </row>
    <row r="110" spans="1:25" ht="15.6" x14ac:dyDescent="0.3">
      <c r="A110" s="24" t="s">
        <v>236</v>
      </c>
      <c r="B110" s="25" t="s">
        <v>238</v>
      </c>
      <c r="C110" s="25"/>
      <c r="D110" s="25"/>
      <c r="E110" s="25"/>
      <c r="F110" s="25"/>
      <c r="G110" s="25"/>
      <c r="H110" s="25"/>
      <c r="I110" s="25"/>
      <c r="J110" s="25"/>
      <c r="K110" s="25"/>
      <c r="L110" s="25"/>
      <c r="M110" s="25"/>
      <c r="N110" s="25"/>
      <c r="O110" s="25"/>
      <c r="P110" s="25"/>
      <c r="Q110" s="25"/>
      <c r="R110" s="25"/>
      <c r="S110" s="25"/>
      <c r="T110" s="25"/>
      <c r="U110" s="25"/>
      <c r="V110" s="53">
        <v>-2</v>
      </c>
      <c r="W110" s="25"/>
      <c r="X110" s="5"/>
    </row>
    <row r="111" spans="1:25" ht="15.6" x14ac:dyDescent="0.3">
      <c r="A111" s="24" t="s">
        <v>205</v>
      </c>
      <c r="B111" s="25" t="s">
        <v>185</v>
      </c>
      <c r="C111" s="25"/>
      <c r="D111" s="25"/>
      <c r="E111" s="25"/>
      <c r="F111" s="25"/>
      <c r="G111" s="25"/>
      <c r="H111" s="25"/>
      <c r="I111" s="25"/>
      <c r="J111" s="25"/>
      <c r="K111" s="25"/>
      <c r="L111" s="25"/>
      <c r="M111" s="25"/>
      <c r="N111" s="25"/>
      <c r="O111" s="25"/>
      <c r="P111" s="25"/>
      <c r="Q111" s="25"/>
      <c r="R111" s="25"/>
      <c r="S111" s="25"/>
      <c r="T111" s="25"/>
      <c r="U111" s="25"/>
      <c r="V111" s="53">
        <v>-1053</v>
      </c>
      <c r="W111" s="25"/>
      <c r="X111" s="5"/>
      <c r="Y111" s="109"/>
    </row>
    <row r="112" spans="1:25" ht="15.6" x14ac:dyDescent="0.3">
      <c r="A112" s="24" t="s">
        <v>206</v>
      </c>
      <c r="B112" s="25" t="s">
        <v>186</v>
      </c>
      <c r="C112" s="25"/>
      <c r="D112" s="25"/>
      <c r="E112" s="25"/>
      <c r="F112" s="25"/>
      <c r="G112" s="25"/>
      <c r="H112" s="25"/>
      <c r="I112" s="25"/>
      <c r="J112" s="25"/>
      <c r="K112" s="25"/>
      <c r="L112" s="25"/>
      <c r="M112" s="25"/>
      <c r="N112" s="25"/>
      <c r="O112" s="25"/>
      <c r="P112" s="25"/>
      <c r="Q112" s="25"/>
      <c r="R112" s="25"/>
      <c r="S112" s="25"/>
      <c r="T112" s="25"/>
      <c r="U112" s="25"/>
      <c r="V112" s="53">
        <v>-897</v>
      </c>
      <c r="W112" s="25"/>
      <c r="X112" s="179"/>
      <c r="Y112" s="109"/>
    </row>
    <row r="113" spans="1:25" ht="15.6" x14ac:dyDescent="0.3">
      <c r="A113" s="24" t="s">
        <v>207</v>
      </c>
      <c r="B113" s="25" t="s">
        <v>196</v>
      </c>
      <c r="C113" s="25"/>
      <c r="D113" s="25"/>
      <c r="E113" s="25"/>
      <c r="F113" s="25"/>
      <c r="G113" s="25"/>
      <c r="H113" s="25"/>
      <c r="I113" s="25"/>
      <c r="J113" s="25"/>
      <c r="K113" s="25"/>
      <c r="L113" s="25"/>
      <c r="M113" s="25"/>
      <c r="N113" s="25"/>
      <c r="O113" s="25"/>
      <c r="P113" s="25"/>
      <c r="Q113" s="25"/>
      <c r="R113" s="25"/>
      <c r="S113" s="25"/>
      <c r="T113" s="25"/>
      <c r="U113" s="25"/>
      <c r="V113" s="53">
        <v>-1659</v>
      </c>
      <c r="W113" s="25"/>
      <c r="X113" s="5"/>
      <c r="Y113" s="109"/>
    </row>
    <row r="114" spans="1:25" ht="15.6" x14ac:dyDescent="0.3">
      <c r="A114" s="24" t="s">
        <v>224</v>
      </c>
      <c r="B114" s="25" t="s">
        <v>223</v>
      </c>
      <c r="C114" s="25"/>
      <c r="D114" s="25"/>
      <c r="E114" s="25"/>
      <c r="F114" s="25"/>
      <c r="G114" s="25"/>
      <c r="H114" s="25"/>
      <c r="I114" s="25"/>
      <c r="J114" s="25"/>
      <c r="K114" s="25"/>
      <c r="L114" s="25"/>
      <c r="M114" s="25"/>
      <c r="N114" s="25"/>
      <c r="O114" s="25"/>
      <c r="P114" s="25"/>
      <c r="Q114" s="25"/>
      <c r="R114" s="25"/>
      <c r="S114" s="25"/>
      <c r="T114" s="25"/>
      <c r="U114" s="25"/>
      <c r="V114" s="53">
        <v>-355</v>
      </c>
      <c r="W114" s="25"/>
      <c r="X114" s="5"/>
      <c r="Y114" s="109"/>
    </row>
    <row r="115" spans="1:25" ht="15.6" x14ac:dyDescent="0.3">
      <c r="A115" s="24">
        <v>7</v>
      </c>
      <c r="B115" s="25" t="s">
        <v>35</v>
      </c>
      <c r="C115" s="25"/>
      <c r="D115" s="25"/>
      <c r="E115" s="25"/>
      <c r="F115" s="25"/>
      <c r="G115" s="25"/>
      <c r="H115" s="25"/>
      <c r="I115" s="25"/>
      <c r="J115" s="25"/>
      <c r="K115" s="25"/>
      <c r="L115" s="25"/>
      <c r="M115" s="25"/>
      <c r="N115" s="25"/>
      <c r="O115" s="25"/>
      <c r="P115" s="25"/>
      <c r="Q115" s="25"/>
      <c r="R115" s="25"/>
      <c r="S115" s="25"/>
      <c r="T115" s="25"/>
      <c r="U115" s="25"/>
      <c r="V115" s="53">
        <v>-12</v>
      </c>
      <c r="W115" s="25"/>
      <c r="X115" s="5"/>
    </row>
    <row r="116" spans="1:25" ht="15.6" x14ac:dyDescent="0.3">
      <c r="A116" s="24">
        <f t="shared" ref="A116:A122" si="0">+A115+1</f>
        <v>8</v>
      </c>
      <c r="B116" s="25" t="s">
        <v>45</v>
      </c>
      <c r="C116" s="25"/>
      <c r="D116" s="25"/>
      <c r="E116" s="25"/>
      <c r="F116" s="25"/>
      <c r="G116" s="25"/>
      <c r="H116" s="25"/>
      <c r="I116" s="25"/>
      <c r="J116" s="25"/>
      <c r="K116" s="25"/>
      <c r="L116" s="25"/>
      <c r="M116" s="25"/>
      <c r="N116" s="25"/>
      <c r="O116" s="25"/>
      <c r="P116" s="25"/>
      <c r="Q116" s="25"/>
      <c r="R116" s="25"/>
      <c r="S116" s="25"/>
      <c r="T116" s="34">
        <f>-V116</f>
        <v>-5</v>
      </c>
      <c r="U116" s="25"/>
      <c r="V116" s="53">
        <v>5</v>
      </c>
      <c r="W116" s="25"/>
      <c r="X116" s="5"/>
    </row>
    <row r="117" spans="1:25" ht="15.6" x14ac:dyDescent="0.3">
      <c r="A117" s="24">
        <f t="shared" si="0"/>
        <v>9</v>
      </c>
      <c r="B117" s="25" t="s">
        <v>125</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5" ht="15.6" x14ac:dyDescent="0.3">
      <c r="A118" s="24">
        <f t="shared" si="0"/>
        <v>10</v>
      </c>
      <c r="B118" s="25" t="s">
        <v>240</v>
      </c>
      <c r="C118" s="25"/>
      <c r="D118" s="25"/>
      <c r="E118" s="25"/>
      <c r="F118" s="25"/>
      <c r="G118" s="25"/>
      <c r="H118" s="25"/>
      <c r="I118" s="25"/>
      <c r="J118" s="25"/>
      <c r="K118" s="25"/>
      <c r="L118" s="25"/>
      <c r="M118" s="25"/>
      <c r="N118" s="25"/>
      <c r="O118" s="25"/>
      <c r="P118" s="25"/>
      <c r="Q118" s="25"/>
      <c r="R118" s="25"/>
      <c r="S118" s="25"/>
      <c r="T118" s="25"/>
      <c r="U118" s="25"/>
      <c r="V118" s="53">
        <v>0</v>
      </c>
      <c r="W118" s="25"/>
      <c r="X118" s="5"/>
    </row>
    <row r="119" spans="1:25" ht="15.6" x14ac:dyDescent="0.3">
      <c r="A119" s="24">
        <f t="shared" si="0"/>
        <v>11</v>
      </c>
      <c r="B119" s="25" t="s">
        <v>36</v>
      </c>
      <c r="C119" s="25"/>
      <c r="D119" s="25"/>
      <c r="E119" s="25"/>
      <c r="F119" s="25"/>
      <c r="G119" s="25"/>
      <c r="H119" s="25"/>
      <c r="I119" s="25"/>
      <c r="J119" s="25"/>
      <c r="K119" s="25"/>
      <c r="L119" s="25"/>
      <c r="M119" s="25"/>
      <c r="N119" s="25"/>
      <c r="O119" s="25"/>
      <c r="P119" s="25"/>
      <c r="Q119" s="25"/>
      <c r="R119" s="25"/>
      <c r="S119" s="25"/>
      <c r="T119" s="25"/>
      <c r="U119" s="25"/>
      <c r="V119" s="53">
        <v>0</v>
      </c>
      <c r="W119" s="25"/>
      <c r="X119" s="5"/>
    </row>
    <row r="120" spans="1:25" ht="15.6" x14ac:dyDescent="0.3">
      <c r="A120" s="24">
        <f t="shared" si="0"/>
        <v>12</v>
      </c>
      <c r="B120" s="25" t="s">
        <v>239</v>
      </c>
      <c r="C120" s="25"/>
      <c r="D120" s="25"/>
      <c r="E120" s="25"/>
      <c r="F120" s="25"/>
      <c r="G120" s="25"/>
      <c r="H120" s="25"/>
      <c r="I120" s="25"/>
      <c r="J120" s="25"/>
      <c r="K120" s="25"/>
      <c r="L120" s="25"/>
      <c r="M120" s="25"/>
      <c r="N120" s="25"/>
      <c r="O120" s="25"/>
      <c r="P120" s="25"/>
      <c r="Q120" s="25"/>
      <c r="R120" s="25"/>
      <c r="S120" s="25"/>
      <c r="T120" s="25"/>
      <c r="U120" s="25"/>
      <c r="V120" s="53">
        <v>0</v>
      </c>
      <c r="W120" s="25"/>
      <c r="X120" s="5"/>
    </row>
    <row r="121" spans="1:25" ht="15.6" x14ac:dyDescent="0.3">
      <c r="A121" s="24">
        <f t="shared" si="0"/>
        <v>13</v>
      </c>
      <c r="B121" s="25" t="s">
        <v>149</v>
      </c>
      <c r="C121" s="25"/>
      <c r="D121" s="25"/>
      <c r="E121" s="25"/>
      <c r="F121" s="25"/>
      <c r="G121" s="25"/>
      <c r="H121" s="25"/>
      <c r="I121" s="25"/>
      <c r="J121" s="25"/>
      <c r="K121" s="25"/>
      <c r="L121" s="25"/>
      <c r="M121" s="25"/>
      <c r="N121" s="25"/>
      <c r="O121" s="25"/>
      <c r="P121" s="25"/>
      <c r="Q121" s="25"/>
      <c r="R121" s="25"/>
      <c r="S121" s="25"/>
      <c r="T121" s="25"/>
      <c r="U121" s="25"/>
      <c r="V121" s="53">
        <v>-2210</v>
      </c>
      <c r="W121" s="25"/>
      <c r="X121" s="5"/>
    </row>
    <row r="122" spans="1:25" ht="15.6" x14ac:dyDescent="0.3">
      <c r="A122" s="24">
        <f t="shared" si="0"/>
        <v>14</v>
      </c>
      <c r="B122" s="25" t="s">
        <v>126</v>
      </c>
      <c r="C122" s="25"/>
      <c r="D122" s="25"/>
      <c r="E122" s="25"/>
      <c r="F122" s="25"/>
      <c r="G122" s="25"/>
      <c r="H122" s="25"/>
      <c r="I122" s="25"/>
      <c r="J122" s="25"/>
      <c r="K122" s="25"/>
      <c r="L122" s="25"/>
      <c r="M122" s="25"/>
      <c r="N122" s="25"/>
      <c r="O122" s="25"/>
      <c r="P122" s="25"/>
      <c r="Q122" s="25"/>
      <c r="R122" s="25"/>
      <c r="S122" s="25"/>
      <c r="T122" s="25"/>
      <c r="U122" s="25"/>
      <c r="V122" s="53">
        <f>-V102-SUM(V104:V121)</f>
        <v>-3110</v>
      </c>
      <c r="W122" s="25"/>
      <c r="X122" s="5"/>
    </row>
    <row r="123" spans="1:25" ht="15.6" x14ac:dyDescent="0.3">
      <c r="A123" s="24"/>
      <c r="B123" s="118" t="s">
        <v>37</v>
      </c>
      <c r="C123" s="25"/>
      <c r="D123" s="25"/>
      <c r="E123" s="25"/>
      <c r="F123" s="25"/>
      <c r="G123" s="25"/>
      <c r="H123" s="25"/>
      <c r="I123" s="25"/>
      <c r="J123" s="25"/>
      <c r="K123" s="25"/>
      <c r="L123" s="25"/>
      <c r="M123" s="25"/>
      <c r="N123" s="25"/>
      <c r="O123" s="25"/>
      <c r="P123" s="25"/>
      <c r="Q123" s="25"/>
      <c r="R123" s="25"/>
      <c r="S123" s="25"/>
      <c r="T123" s="25"/>
      <c r="U123" s="25"/>
      <c r="V123" s="59"/>
      <c r="W123" s="25"/>
      <c r="X123" s="5"/>
    </row>
    <row r="124" spans="1:25" ht="15.6" x14ac:dyDescent="0.3">
      <c r="A124" s="24"/>
      <c r="B124" s="25" t="s">
        <v>173</v>
      </c>
      <c r="C124" s="25"/>
      <c r="D124" s="25"/>
      <c r="E124" s="25"/>
      <c r="F124" s="25"/>
      <c r="G124" s="25"/>
      <c r="H124" s="25"/>
      <c r="I124" s="25"/>
      <c r="J124" s="25"/>
      <c r="K124" s="25"/>
      <c r="L124" s="25"/>
      <c r="M124" s="25"/>
      <c r="N124" s="25"/>
      <c r="O124" s="25"/>
      <c r="P124" s="25"/>
      <c r="Q124" s="25"/>
      <c r="R124" s="25"/>
      <c r="S124" s="25"/>
      <c r="T124" s="34">
        <f>-T189</f>
        <v>-1409</v>
      </c>
      <c r="U124" s="34"/>
      <c r="V124" s="53"/>
      <c r="W124" s="25"/>
      <c r="X124" s="5"/>
    </row>
    <row r="125" spans="1:25" ht="15.6" x14ac:dyDescent="0.3">
      <c r="A125" s="24"/>
      <c r="B125" s="25" t="s">
        <v>174</v>
      </c>
      <c r="C125" s="25"/>
      <c r="D125" s="25"/>
      <c r="E125" s="25"/>
      <c r="F125" s="25"/>
      <c r="G125" s="25"/>
      <c r="H125" s="25"/>
      <c r="I125" s="25"/>
      <c r="J125" s="25"/>
      <c r="K125" s="25"/>
      <c r="L125" s="25"/>
      <c r="M125" s="25"/>
      <c r="N125" s="25"/>
      <c r="O125" s="25"/>
      <c r="P125" s="25"/>
      <c r="Q125" s="25"/>
      <c r="R125" s="25"/>
      <c r="S125" s="25"/>
      <c r="T125" s="34">
        <v>-100</v>
      </c>
      <c r="U125" s="34"/>
      <c r="V125" s="53"/>
      <c r="W125" s="25"/>
      <c r="X125" s="5"/>
    </row>
    <row r="126" spans="1:25" ht="15.6" x14ac:dyDescent="0.3">
      <c r="A126" s="24"/>
      <c r="B126" s="25" t="s">
        <v>38</v>
      </c>
      <c r="C126" s="25"/>
      <c r="D126" s="25"/>
      <c r="E126" s="25"/>
      <c r="F126" s="25"/>
      <c r="G126" s="25"/>
      <c r="H126" s="25"/>
      <c r="I126" s="25"/>
      <c r="J126" s="25"/>
      <c r="K126" s="25"/>
      <c r="L126" s="25"/>
      <c r="M126" s="25"/>
      <c r="N126" s="25"/>
      <c r="O126" s="25"/>
      <c r="P126" s="25"/>
      <c r="Q126" s="25"/>
      <c r="R126" s="25"/>
      <c r="S126" s="25"/>
      <c r="T126" s="34">
        <f>-S189</f>
        <v>-4122</v>
      </c>
      <c r="U126" s="34"/>
      <c r="V126" s="53"/>
      <c r="W126" s="25"/>
      <c r="X126" s="5"/>
    </row>
    <row r="127" spans="1:25" ht="15.6" x14ac:dyDescent="0.3">
      <c r="A127" s="24"/>
      <c r="B127" s="25" t="s">
        <v>197</v>
      </c>
      <c r="C127" s="25"/>
      <c r="D127" s="25"/>
      <c r="E127" s="25"/>
      <c r="F127" s="25"/>
      <c r="G127" s="25"/>
      <c r="H127" s="25"/>
      <c r="I127" s="25"/>
      <c r="J127" s="25"/>
      <c r="K127" s="25"/>
      <c r="L127" s="25"/>
      <c r="M127" s="25"/>
      <c r="N127" s="25"/>
      <c r="O127" s="25"/>
      <c r="P127" s="25"/>
      <c r="Q127" s="25"/>
      <c r="R127" s="25"/>
      <c r="S127" s="25"/>
      <c r="T127" s="34">
        <v>-17030</v>
      </c>
      <c r="U127" s="34"/>
      <c r="V127" s="53"/>
      <c r="W127" s="25"/>
      <c r="X127" s="5"/>
    </row>
    <row r="128" spans="1:25" ht="15.6" x14ac:dyDescent="0.3">
      <c r="A128" s="24"/>
      <c r="B128" s="25" t="s">
        <v>195</v>
      </c>
      <c r="C128" s="25"/>
      <c r="D128" s="25"/>
      <c r="E128" s="25"/>
      <c r="F128" s="25"/>
      <c r="G128" s="25"/>
      <c r="H128" s="25"/>
      <c r="I128" s="25"/>
      <c r="J128" s="25"/>
      <c r="K128" s="25"/>
      <c r="L128" s="25"/>
      <c r="M128" s="25"/>
      <c r="N128" s="25"/>
      <c r="O128" s="25"/>
      <c r="P128" s="25"/>
      <c r="Q128" s="25"/>
      <c r="R128" s="25"/>
      <c r="S128" s="25"/>
      <c r="T128" s="34">
        <v>-2746</v>
      </c>
      <c r="U128" s="34"/>
      <c r="V128" s="53"/>
      <c r="W128" s="25"/>
      <c r="X128" s="5"/>
    </row>
    <row r="129" spans="1:24" ht="15.6" x14ac:dyDescent="0.3">
      <c r="A129" s="24"/>
      <c r="B129" s="25" t="s">
        <v>194</v>
      </c>
      <c r="C129" s="25"/>
      <c r="D129" s="25"/>
      <c r="E129" s="25"/>
      <c r="F129" s="25"/>
      <c r="G129" s="25"/>
      <c r="H129" s="25"/>
      <c r="I129" s="25"/>
      <c r="J129" s="25"/>
      <c r="K129" s="25"/>
      <c r="L129" s="25"/>
      <c r="M129" s="25"/>
      <c r="N129" s="25"/>
      <c r="O129" s="25"/>
      <c r="P129" s="25"/>
      <c r="Q129" s="25"/>
      <c r="R129" s="25"/>
      <c r="S129" s="25"/>
      <c r="T129" s="34">
        <v>-3694</v>
      </c>
      <c r="U129" s="34"/>
      <c r="V129" s="53"/>
      <c r="W129" s="25"/>
      <c r="X129" s="5"/>
    </row>
    <row r="130" spans="1:24" ht="15.6" x14ac:dyDescent="0.3">
      <c r="A130" s="24"/>
      <c r="B130" s="25" t="s">
        <v>226</v>
      </c>
      <c r="C130" s="25"/>
      <c r="D130" s="25"/>
      <c r="E130" s="25"/>
      <c r="F130" s="25"/>
      <c r="G130" s="25"/>
      <c r="H130" s="25"/>
      <c r="I130" s="25"/>
      <c r="J130" s="25"/>
      <c r="K130" s="25"/>
      <c r="L130" s="25"/>
      <c r="M130" s="25"/>
      <c r="N130" s="25"/>
      <c r="O130" s="25"/>
      <c r="P130" s="25"/>
      <c r="Q130" s="25"/>
      <c r="R130" s="25"/>
      <c r="S130" s="25"/>
      <c r="T130" s="34">
        <v>-4542</v>
      </c>
      <c r="U130" s="34"/>
      <c r="V130" s="53"/>
      <c r="W130" s="25"/>
      <c r="X130" s="5"/>
    </row>
    <row r="131" spans="1:24" ht="15.6" x14ac:dyDescent="0.3">
      <c r="A131" s="24"/>
      <c r="B131" s="25" t="s">
        <v>189</v>
      </c>
      <c r="C131" s="25"/>
      <c r="D131" s="25"/>
      <c r="E131" s="25"/>
      <c r="F131" s="25"/>
      <c r="G131" s="25"/>
      <c r="H131" s="25"/>
      <c r="I131" s="25"/>
      <c r="J131" s="25"/>
      <c r="K131" s="25"/>
      <c r="L131" s="25"/>
      <c r="M131" s="25"/>
      <c r="N131" s="25"/>
      <c r="O131" s="25"/>
      <c r="P131" s="25"/>
      <c r="Q131" s="25"/>
      <c r="R131" s="25"/>
      <c r="S131" s="25"/>
      <c r="T131" s="34">
        <v>0</v>
      </c>
      <c r="U131" s="34"/>
      <c r="V131" s="53"/>
      <c r="W131" s="25"/>
      <c r="X131" s="5"/>
    </row>
    <row r="132" spans="1:24" ht="15.6" x14ac:dyDescent="0.3">
      <c r="A132" s="24"/>
      <c r="B132" s="25" t="s">
        <v>188</v>
      </c>
      <c r="C132" s="25"/>
      <c r="D132" s="25"/>
      <c r="E132" s="25"/>
      <c r="F132" s="25"/>
      <c r="G132" s="25"/>
      <c r="H132" s="25"/>
      <c r="I132" s="25"/>
      <c r="J132" s="25"/>
      <c r="K132" s="25"/>
      <c r="L132" s="25"/>
      <c r="M132" s="25"/>
      <c r="N132" s="25"/>
      <c r="O132" s="25"/>
      <c r="P132" s="25"/>
      <c r="Q132" s="25"/>
      <c r="R132" s="25"/>
      <c r="S132" s="25"/>
      <c r="T132" s="34">
        <v>0</v>
      </c>
      <c r="U132" s="34"/>
      <c r="V132" s="53"/>
      <c r="W132" s="25"/>
      <c r="X132" s="5"/>
    </row>
    <row r="133" spans="1:24" ht="15.6" x14ac:dyDescent="0.3">
      <c r="A133" s="24"/>
      <c r="B133" s="25" t="s">
        <v>227</v>
      </c>
      <c r="C133" s="25"/>
      <c r="D133" s="25"/>
      <c r="E133" s="25"/>
      <c r="F133" s="25"/>
      <c r="G133" s="25"/>
      <c r="H133" s="25"/>
      <c r="I133" s="25"/>
      <c r="J133" s="25"/>
      <c r="K133" s="25"/>
      <c r="L133" s="25"/>
      <c r="M133" s="25"/>
      <c r="N133" s="25"/>
      <c r="O133" s="25"/>
      <c r="P133" s="25"/>
      <c r="Q133" s="25"/>
      <c r="R133" s="25"/>
      <c r="S133" s="25"/>
      <c r="T133" s="34">
        <v>0</v>
      </c>
      <c r="U133" s="34"/>
      <c r="V133" s="53"/>
      <c r="W133" s="25"/>
      <c r="X133" s="5"/>
    </row>
    <row r="134" spans="1:24" ht="15.6" x14ac:dyDescent="0.3">
      <c r="A134" s="24"/>
      <c r="B134" s="25" t="s">
        <v>187</v>
      </c>
      <c r="C134" s="25"/>
      <c r="D134" s="25"/>
      <c r="E134" s="25"/>
      <c r="F134" s="25"/>
      <c r="G134" s="25"/>
      <c r="H134" s="25"/>
      <c r="I134" s="25"/>
      <c r="J134" s="25"/>
      <c r="K134" s="25"/>
      <c r="L134" s="25"/>
      <c r="M134" s="25"/>
      <c r="N134" s="25"/>
      <c r="O134" s="25"/>
      <c r="P134" s="25"/>
      <c r="Q134" s="25"/>
      <c r="R134" s="25"/>
      <c r="S134" s="25"/>
      <c r="T134" s="34">
        <v>0</v>
      </c>
      <c r="U134" s="34"/>
      <c r="V134" s="53"/>
      <c r="W134" s="25"/>
      <c r="X134" s="5"/>
    </row>
    <row r="135" spans="1:24" ht="15.6" x14ac:dyDescent="0.3">
      <c r="A135" s="24"/>
      <c r="B135" s="25" t="s">
        <v>39</v>
      </c>
      <c r="C135" s="25"/>
      <c r="D135" s="25"/>
      <c r="E135" s="25"/>
      <c r="F135" s="25"/>
      <c r="G135" s="25"/>
      <c r="H135" s="25"/>
      <c r="I135" s="25"/>
      <c r="J135" s="25"/>
      <c r="K135" s="25"/>
      <c r="L135" s="25"/>
      <c r="M135" s="25"/>
      <c r="N135" s="25"/>
      <c r="O135" s="25"/>
      <c r="P135" s="25"/>
      <c r="Q135" s="25"/>
      <c r="R135" s="25"/>
      <c r="S135" s="25"/>
      <c r="T135" s="34">
        <f>SUM(T124:T134)</f>
        <v>-33643</v>
      </c>
      <c r="U135" s="34"/>
      <c r="V135" s="34">
        <f>SUM(V103:V132)</f>
        <v>-30683</v>
      </c>
      <c r="W135" s="25"/>
      <c r="X135" s="5"/>
    </row>
    <row r="136" spans="1:24" ht="15.6" x14ac:dyDescent="0.3">
      <c r="A136" s="24"/>
      <c r="B136" s="25" t="s">
        <v>40</v>
      </c>
      <c r="C136" s="25"/>
      <c r="D136" s="25"/>
      <c r="E136" s="25"/>
      <c r="F136" s="25"/>
      <c r="G136" s="25"/>
      <c r="H136" s="25"/>
      <c r="I136" s="25"/>
      <c r="J136" s="25"/>
      <c r="K136" s="25"/>
      <c r="L136" s="25"/>
      <c r="M136" s="25"/>
      <c r="N136" s="25"/>
      <c r="O136" s="25"/>
      <c r="P136" s="25"/>
      <c r="Q136" s="25"/>
      <c r="R136" s="25"/>
      <c r="S136" s="25"/>
      <c r="T136" s="34">
        <f>T102+T135+T116</f>
        <v>0</v>
      </c>
      <c r="U136" s="34"/>
      <c r="V136" s="34">
        <f>V102+V135</f>
        <v>0</v>
      </c>
      <c r="W136" s="25"/>
      <c r="X136" s="5"/>
    </row>
    <row r="137" spans="1:24" ht="15.6" x14ac:dyDescent="0.3">
      <c r="A137" s="24"/>
      <c r="B137" s="25"/>
      <c r="C137" s="25"/>
      <c r="D137" s="25"/>
      <c r="E137" s="25"/>
      <c r="F137" s="25"/>
      <c r="G137" s="25"/>
      <c r="H137" s="25"/>
      <c r="I137" s="25"/>
      <c r="J137" s="25"/>
      <c r="K137" s="25"/>
      <c r="L137" s="25"/>
      <c r="M137" s="25"/>
      <c r="N137" s="25"/>
      <c r="O137" s="25"/>
      <c r="P137" s="25"/>
      <c r="Q137" s="25"/>
      <c r="R137" s="25"/>
      <c r="S137" s="25"/>
      <c r="T137" s="34"/>
      <c r="U137" s="34"/>
      <c r="V137" s="34"/>
      <c r="W137" s="25"/>
      <c r="X137" s="5"/>
    </row>
    <row r="138" spans="1:24" ht="15.6" x14ac:dyDescent="0.3">
      <c r="A138" s="6"/>
      <c r="B138" s="8"/>
      <c r="C138" s="8"/>
      <c r="D138" s="8"/>
      <c r="E138" s="8"/>
      <c r="F138" s="8"/>
      <c r="G138" s="8"/>
      <c r="H138" s="8"/>
      <c r="I138" s="8"/>
      <c r="J138" s="8"/>
      <c r="K138" s="8"/>
      <c r="L138" s="8"/>
      <c r="M138" s="8"/>
      <c r="N138" s="8"/>
      <c r="O138" s="8"/>
      <c r="P138" s="8"/>
      <c r="Q138" s="8"/>
      <c r="R138" s="8"/>
      <c r="S138" s="8"/>
      <c r="T138" s="8"/>
      <c r="U138" s="8"/>
      <c r="V138" s="52"/>
      <c r="W138" s="8"/>
      <c r="X138" s="5"/>
    </row>
    <row r="139" spans="1:24" ht="18" thickBot="1" x14ac:dyDescent="0.35">
      <c r="A139" s="101"/>
      <c r="B139" s="102" t="str">
        <f>B64</f>
        <v>PM14 INVESTOR REPORT QUARTER ENDING NOVEMBER 2007</v>
      </c>
      <c r="C139" s="103"/>
      <c r="D139" s="103"/>
      <c r="E139" s="103"/>
      <c r="F139" s="103"/>
      <c r="G139" s="103"/>
      <c r="H139" s="103"/>
      <c r="I139" s="103"/>
      <c r="J139" s="103"/>
      <c r="K139" s="103"/>
      <c r="L139" s="103"/>
      <c r="M139" s="103"/>
      <c r="N139" s="103"/>
      <c r="O139" s="103"/>
      <c r="P139" s="103"/>
      <c r="Q139" s="103"/>
      <c r="R139" s="103"/>
      <c r="S139" s="103"/>
      <c r="T139" s="103"/>
      <c r="U139" s="103"/>
      <c r="V139" s="106"/>
      <c r="W139" s="105"/>
      <c r="X139" s="5"/>
    </row>
    <row r="140" spans="1:24" ht="15.6" x14ac:dyDescent="0.3">
      <c r="A140" s="2"/>
      <c r="B140" s="60" t="s">
        <v>41</v>
      </c>
      <c r="C140" s="4"/>
      <c r="D140" s="4"/>
      <c r="E140" s="4"/>
      <c r="F140" s="4"/>
      <c r="G140" s="4"/>
      <c r="H140" s="4"/>
      <c r="I140" s="4"/>
      <c r="J140" s="4"/>
      <c r="K140" s="4"/>
      <c r="L140" s="4"/>
      <c r="M140" s="4"/>
      <c r="N140" s="4"/>
      <c r="O140" s="4"/>
      <c r="P140" s="4"/>
      <c r="Q140" s="4"/>
      <c r="R140" s="4"/>
      <c r="S140" s="4"/>
      <c r="T140" s="4"/>
      <c r="U140" s="4"/>
      <c r="V140" s="50"/>
      <c r="W140" s="4"/>
      <c r="X140" s="5"/>
    </row>
    <row r="141" spans="1:24" ht="15.6" x14ac:dyDescent="0.3">
      <c r="A141" s="6"/>
      <c r="B141" s="21"/>
      <c r="C141" s="8"/>
      <c r="D141" s="8"/>
      <c r="E141" s="8"/>
      <c r="F141" s="8"/>
      <c r="G141" s="8"/>
      <c r="H141" s="8"/>
      <c r="I141" s="8"/>
      <c r="J141" s="8"/>
      <c r="K141" s="8"/>
      <c r="L141" s="8"/>
      <c r="M141" s="8"/>
      <c r="N141" s="8"/>
      <c r="O141" s="8"/>
      <c r="P141" s="8"/>
      <c r="Q141" s="8"/>
      <c r="R141" s="8"/>
      <c r="S141" s="8"/>
      <c r="T141" s="8"/>
      <c r="U141" s="8"/>
      <c r="V141" s="52"/>
      <c r="W141" s="8"/>
      <c r="X141" s="5"/>
    </row>
    <row r="142" spans="1:24" ht="15.6" x14ac:dyDescent="0.3">
      <c r="A142" s="6"/>
      <c r="B142" s="119" t="s">
        <v>42</v>
      </c>
      <c r="C142" s="8"/>
      <c r="D142" s="8"/>
      <c r="E142" s="8"/>
      <c r="F142" s="8"/>
      <c r="G142" s="8"/>
      <c r="H142" s="8"/>
      <c r="I142" s="8"/>
      <c r="J142" s="8"/>
      <c r="K142" s="8"/>
      <c r="L142" s="8"/>
      <c r="M142" s="8"/>
      <c r="N142" s="8"/>
      <c r="O142" s="8"/>
      <c r="P142" s="8"/>
      <c r="Q142" s="8"/>
      <c r="R142" s="8"/>
      <c r="S142" s="8"/>
      <c r="T142" s="8"/>
      <c r="U142" s="8"/>
      <c r="V142" s="52"/>
      <c r="W142" s="8"/>
      <c r="X142" s="5"/>
    </row>
    <row r="143" spans="1:24" ht="15.6" x14ac:dyDescent="0.3">
      <c r="A143" s="24"/>
      <c r="B143" s="25" t="s">
        <v>43</v>
      </c>
      <c r="C143" s="25"/>
      <c r="D143" s="25"/>
      <c r="E143" s="25"/>
      <c r="F143" s="25"/>
      <c r="G143" s="25"/>
      <c r="H143" s="25"/>
      <c r="I143" s="25"/>
      <c r="J143" s="25"/>
      <c r="K143" s="25"/>
      <c r="L143" s="25"/>
      <c r="M143" s="25"/>
      <c r="N143" s="25"/>
      <c r="O143" s="25"/>
      <c r="P143" s="25"/>
      <c r="Q143" s="25"/>
      <c r="R143" s="25"/>
      <c r="S143" s="25"/>
      <c r="T143" s="25"/>
      <c r="U143" s="25"/>
      <c r="V143" s="53">
        <f>+V34*0.019</f>
        <v>28505.224999999999</v>
      </c>
      <c r="W143" s="25"/>
      <c r="X143" s="5"/>
    </row>
    <row r="144" spans="1:24" ht="15.6" x14ac:dyDescent="0.3">
      <c r="A144" s="24"/>
      <c r="B144" s="25" t="s">
        <v>44</v>
      </c>
      <c r="C144" s="25"/>
      <c r="D144" s="25"/>
      <c r="E144" s="25"/>
      <c r="F144" s="25"/>
      <c r="G144" s="25"/>
      <c r="H144" s="25"/>
      <c r="I144" s="25"/>
      <c r="J144" s="25"/>
      <c r="K144" s="25"/>
      <c r="L144" s="25"/>
      <c r="M144" s="25"/>
      <c r="N144" s="25"/>
      <c r="O144" s="25"/>
      <c r="P144" s="25"/>
      <c r="Q144" s="25"/>
      <c r="R144" s="25"/>
      <c r="S144" s="25"/>
      <c r="T144" s="25"/>
      <c r="U144" s="25"/>
      <c r="V144" s="53">
        <v>28505</v>
      </c>
      <c r="W144" s="25"/>
      <c r="X144" s="5"/>
    </row>
    <row r="145" spans="1:25" ht="15.6" x14ac:dyDescent="0.3">
      <c r="A145" s="24"/>
      <c r="B145" s="25" t="s">
        <v>136</v>
      </c>
      <c r="C145" s="25"/>
      <c r="D145" s="25"/>
      <c r="E145" s="25"/>
      <c r="F145" s="25"/>
      <c r="G145" s="25"/>
      <c r="H145" s="25"/>
      <c r="I145" s="25"/>
      <c r="J145" s="25"/>
      <c r="K145" s="25"/>
      <c r="L145" s="25"/>
      <c r="M145" s="25"/>
      <c r="N145" s="25"/>
      <c r="O145" s="25"/>
      <c r="P145" s="25"/>
      <c r="Q145" s="25"/>
      <c r="R145" s="25"/>
      <c r="S145" s="25"/>
      <c r="T145" s="25"/>
      <c r="U145" s="25"/>
      <c r="V145" s="53"/>
      <c r="W145" s="25"/>
      <c r="X145" s="5"/>
    </row>
    <row r="146" spans="1:25" ht="15.6" x14ac:dyDescent="0.3">
      <c r="A146" s="24"/>
      <c r="B146" s="25" t="s">
        <v>123</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124</v>
      </c>
      <c r="C147" s="25"/>
      <c r="D147" s="25"/>
      <c r="E147" s="25"/>
      <c r="F147" s="25"/>
      <c r="G147" s="25"/>
      <c r="H147" s="25"/>
      <c r="I147" s="25"/>
      <c r="J147" s="25"/>
      <c r="K147" s="25"/>
      <c r="L147" s="25"/>
      <c r="M147" s="25"/>
      <c r="N147" s="25"/>
      <c r="O147" s="25"/>
      <c r="P147" s="25"/>
      <c r="Q147" s="25"/>
      <c r="R147" s="25"/>
      <c r="S147" s="25"/>
      <c r="T147" s="25"/>
      <c r="U147" s="25"/>
      <c r="V147" s="53">
        <v>0</v>
      </c>
      <c r="W147" s="25"/>
      <c r="X147" s="5"/>
    </row>
    <row r="148" spans="1:25" ht="15.6" x14ac:dyDescent="0.3">
      <c r="A148" s="24"/>
      <c r="B148" s="25" t="s">
        <v>175</v>
      </c>
      <c r="C148" s="25"/>
      <c r="D148" s="25"/>
      <c r="E148" s="25"/>
      <c r="F148" s="25"/>
      <c r="G148" s="25"/>
      <c r="H148" s="25"/>
      <c r="I148" s="25"/>
      <c r="J148" s="25"/>
      <c r="K148" s="25"/>
      <c r="L148" s="25"/>
      <c r="M148" s="25"/>
      <c r="N148" s="25"/>
      <c r="O148" s="25"/>
      <c r="P148" s="25"/>
      <c r="Q148" s="25"/>
      <c r="R148" s="25"/>
      <c r="S148" s="25"/>
      <c r="T148" s="25"/>
      <c r="U148" s="25"/>
      <c r="V148" s="53">
        <v>0</v>
      </c>
      <c r="W148" s="25"/>
      <c r="X148" s="5"/>
    </row>
    <row r="149" spans="1:25" ht="15.6" x14ac:dyDescent="0.3">
      <c r="A149" s="24"/>
      <c r="B149" s="25" t="s">
        <v>45</v>
      </c>
      <c r="C149" s="25"/>
      <c r="D149" s="25"/>
      <c r="E149" s="25"/>
      <c r="F149" s="25"/>
      <c r="G149" s="25"/>
      <c r="H149" s="25"/>
      <c r="I149" s="25"/>
      <c r="J149" s="25"/>
      <c r="K149" s="25"/>
      <c r="L149" s="25"/>
      <c r="M149" s="25"/>
      <c r="N149" s="25"/>
      <c r="O149" s="25"/>
      <c r="P149" s="25"/>
      <c r="Q149" s="25"/>
      <c r="R149" s="25"/>
      <c r="S149" s="25"/>
      <c r="T149" s="25"/>
      <c r="U149" s="25"/>
      <c r="V149" s="53">
        <v>0</v>
      </c>
      <c r="W149" s="25"/>
      <c r="X149" s="5"/>
    </row>
    <row r="150" spans="1:25" ht="15.6" x14ac:dyDescent="0.3">
      <c r="A150" s="24"/>
      <c r="B150" s="25" t="s">
        <v>129</v>
      </c>
      <c r="C150" s="25"/>
      <c r="D150" s="25"/>
      <c r="E150" s="25"/>
      <c r="F150" s="25"/>
      <c r="G150" s="25"/>
      <c r="H150" s="25"/>
      <c r="I150" s="25"/>
      <c r="J150" s="25"/>
      <c r="K150" s="25"/>
      <c r="L150" s="25"/>
      <c r="M150" s="25"/>
      <c r="N150" s="25"/>
      <c r="O150" s="25"/>
      <c r="P150" s="25"/>
      <c r="Q150" s="25"/>
      <c r="R150" s="25"/>
      <c r="S150" s="25"/>
      <c r="T150" s="25"/>
      <c r="U150" s="25"/>
      <c r="V150" s="53">
        <v>0</v>
      </c>
      <c r="W150" s="25"/>
      <c r="X150" s="5"/>
    </row>
    <row r="151" spans="1:25" ht="15.6" x14ac:dyDescent="0.3">
      <c r="A151" s="24"/>
      <c r="B151" s="25" t="s">
        <v>267</v>
      </c>
      <c r="C151" s="25"/>
      <c r="D151" s="25"/>
      <c r="E151" s="25"/>
      <c r="F151" s="25"/>
      <c r="G151" s="25"/>
      <c r="H151" s="25"/>
      <c r="I151" s="25"/>
      <c r="J151" s="25"/>
      <c r="K151" s="25"/>
      <c r="L151" s="25"/>
      <c r="M151" s="25"/>
      <c r="N151" s="25"/>
      <c r="O151" s="25"/>
      <c r="P151" s="25"/>
      <c r="Q151" s="25"/>
      <c r="R151" s="25"/>
      <c r="S151" s="25"/>
      <c r="T151" s="25"/>
      <c r="U151" s="25"/>
      <c r="V151" s="53">
        <v>0</v>
      </c>
      <c r="W151" s="25"/>
      <c r="X151" s="5"/>
      <c r="Y151" s="109"/>
    </row>
    <row r="152" spans="1:25" ht="15.6" x14ac:dyDescent="0.3">
      <c r="A152" s="24"/>
      <c r="B152" s="25" t="s">
        <v>46</v>
      </c>
      <c r="C152" s="25"/>
      <c r="D152" s="25"/>
      <c r="E152" s="25"/>
      <c r="F152" s="25"/>
      <c r="G152" s="25"/>
      <c r="H152" s="25"/>
      <c r="I152" s="25"/>
      <c r="J152" s="25"/>
      <c r="K152" s="25"/>
      <c r="L152" s="25"/>
      <c r="M152" s="25"/>
      <c r="N152" s="25"/>
      <c r="O152" s="25"/>
      <c r="P152" s="25"/>
      <c r="Q152" s="25"/>
      <c r="R152" s="25"/>
      <c r="S152" s="25"/>
      <c r="T152" s="25"/>
      <c r="U152" s="25"/>
      <c r="V152" s="53">
        <f>SUM(V144:V151)</f>
        <v>28505</v>
      </c>
      <c r="W152" s="25"/>
      <c r="X152" s="5"/>
    </row>
    <row r="153" spans="1:25" ht="15.6" x14ac:dyDescent="0.3">
      <c r="A153" s="24"/>
      <c r="B153" s="25"/>
      <c r="C153" s="25"/>
      <c r="D153" s="25"/>
      <c r="E153" s="25"/>
      <c r="F153" s="25"/>
      <c r="G153" s="25"/>
      <c r="H153" s="25"/>
      <c r="I153" s="25"/>
      <c r="J153" s="25"/>
      <c r="K153" s="25"/>
      <c r="L153" s="25"/>
      <c r="M153" s="25"/>
      <c r="N153" s="25"/>
      <c r="O153" s="25"/>
      <c r="P153" s="25"/>
      <c r="Q153" s="25"/>
      <c r="R153" s="25"/>
      <c r="S153" s="25"/>
      <c r="T153" s="25"/>
      <c r="U153" s="25"/>
      <c r="V153" s="53"/>
      <c r="W153" s="25"/>
      <c r="X153" s="5"/>
    </row>
    <row r="154" spans="1:25" ht="15.6" x14ac:dyDescent="0.3">
      <c r="A154" s="24"/>
      <c r="B154" s="136" t="s">
        <v>237</v>
      </c>
      <c r="C154" s="25"/>
      <c r="D154" s="25"/>
      <c r="E154" s="25"/>
      <c r="F154" s="25"/>
      <c r="G154" s="25"/>
      <c r="H154" s="25"/>
      <c r="I154" s="25"/>
      <c r="J154" s="25"/>
      <c r="K154" s="25"/>
      <c r="L154" s="25"/>
      <c r="M154" s="25"/>
      <c r="N154" s="25"/>
      <c r="O154" s="25"/>
      <c r="P154" s="25"/>
      <c r="Q154" s="25"/>
      <c r="R154" s="25"/>
      <c r="S154" s="25"/>
      <c r="T154" s="25"/>
      <c r="U154" s="25"/>
      <c r="V154" s="53"/>
      <c r="W154" s="25"/>
      <c r="X154" s="5"/>
    </row>
    <row r="155" spans="1:25" ht="15.6" x14ac:dyDescent="0.3">
      <c r="A155" s="24"/>
      <c r="B155" s="25" t="s">
        <v>155</v>
      </c>
      <c r="C155" s="25"/>
      <c r="D155" s="25"/>
      <c r="E155" s="25"/>
      <c r="F155" s="25"/>
      <c r="G155" s="25"/>
      <c r="H155" s="25"/>
      <c r="I155" s="25"/>
      <c r="J155" s="25"/>
      <c r="K155" s="25"/>
      <c r="L155" s="25"/>
      <c r="M155" s="25"/>
      <c r="N155" s="25"/>
      <c r="O155" s="25"/>
      <c r="P155" s="25"/>
      <c r="Q155" s="25"/>
      <c r="R155" s="25"/>
      <c r="S155" s="25"/>
      <c r="T155" s="25"/>
      <c r="U155" s="25"/>
      <c r="V155" s="53">
        <v>7500</v>
      </c>
      <c r="W155" s="25"/>
      <c r="X155" s="5"/>
    </row>
    <row r="156" spans="1:25" ht="15.6" x14ac:dyDescent="0.3">
      <c r="A156" s="24"/>
      <c r="B156" s="25" t="s">
        <v>172</v>
      </c>
      <c r="C156" s="25"/>
      <c r="D156" s="25"/>
      <c r="E156" s="25"/>
      <c r="F156" s="25"/>
      <c r="G156" s="25"/>
      <c r="H156" s="25"/>
      <c r="I156" s="25"/>
      <c r="J156" s="25"/>
      <c r="K156" s="25"/>
      <c r="L156" s="25"/>
      <c r="M156" s="25"/>
      <c r="N156" s="25"/>
      <c r="O156" s="25"/>
      <c r="P156" s="25"/>
      <c r="Q156" s="25"/>
      <c r="R156" s="25"/>
      <c r="S156" s="25"/>
      <c r="T156" s="25"/>
      <c r="U156" s="25"/>
      <c r="V156" s="53">
        <v>0</v>
      </c>
      <c r="W156" s="25"/>
      <c r="X156" s="5"/>
    </row>
    <row r="157" spans="1:25" ht="15.6" x14ac:dyDescent="0.3">
      <c r="A157" s="24"/>
      <c r="B157" s="25" t="s">
        <v>241</v>
      </c>
      <c r="C157" s="25"/>
      <c r="D157" s="25"/>
      <c r="E157" s="25"/>
      <c r="F157" s="25"/>
      <c r="G157" s="25"/>
      <c r="H157" s="25"/>
      <c r="I157" s="25"/>
      <c r="J157" s="25"/>
      <c r="K157" s="25"/>
      <c r="L157" s="25"/>
      <c r="M157" s="25"/>
      <c r="N157" s="25"/>
      <c r="O157" s="25"/>
      <c r="P157" s="25"/>
      <c r="Q157" s="25"/>
      <c r="R157" s="25"/>
      <c r="S157" s="25"/>
      <c r="T157" s="25"/>
      <c r="U157" s="25"/>
      <c r="V157" s="53">
        <v>5099</v>
      </c>
      <c r="W157" s="25"/>
      <c r="X157" s="5"/>
    </row>
    <row r="158" spans="1:25" ht="15.6" x14ac:dyDescent="0.3">
      <c r="A158" s="24"/>
      <c r="B158" s="25"/>
      <c r="C158" s="25"/>
      <c r="D158" s="25"/>
      <c r="E158" s="25"/>
      <c r="F158" s="25"/>
      <c r="G158" s="25"/>
      <c r="H158" s="25"/>
      <c r="I158" s="25"/>
      <c r="J158" s="25"/>
      <c r="K158" s="25"/>
      <c r="L158" s="25"/>
      <c r="M158" s="25"/>
      <c r="N158" s="25"/>
      <c r="O158" s="25"/>
      <c r="P158" s="25"/>
      <c r="Q158" s="25"/>
      <c r="R158" s="25"/>
      <c r="S158" s="25"/>
      <c r="T158" s="25"/>
      <c r="U158" s="25"/>
      <c r="V158" s="53"/>
      <c r="W158" s="25"/>
      <c r="X158" s="5"/>
    </row>
    <row r="159" spans="1:25" ht="15.6" x14ac:dyDescent="0.3">
      <c r="A159" s="24"/>
      <c r="B159" s="25"/>
      <c r="C159" s="25"/>
      <c r="D159" s="25"/>
      <c r="E159" s="25"/>
      <c r="F159" s="25"/>
      <c r="G159" s="25"/>
      <c r="H159" s="25"/>
      <c r="I159" s="25"/>
      <c r="J159" s="25"/>
      <c r="K159" s="25"/>
      <c r="L159" s="25"/>
      <c r="M159" s="25"/>
      <c r="N159" s="25"/>
      <c r="O159" s="25"/>
      <c r="P159" s="25"/>
      <c r="Q159" s="25"/>
      <c r="R159" s="25"/>
      <c r="S159" s="25"/>
      <c r="T159" s="25"/>
      <c r="U159" s="25"/>
      <c r="V159" s="61"/>
      <c r="W159" s="25"/>
      <c r="X159" s="5"/>
    </row>
    <row r="160" spans="1:25" ht="15.6" x14ac:dyDescent="0.3">
      <c r="A160" s="6"/>
      <c r="B160" s="119" t="s">
        <v>24</v>
      </c>
      <c r="C160" s="8"/>
      <c r="D160" s="8"/>
      <c r="E160" s="8"/>
      <c r="F160" s="8"/>
      <c r="G160" s="8"/>
      <c r="H160" s="8"/>
      <c r="I160" s="8"/>
      <c r="J160" s="8"/>
      <c r="K160" s="8"/>
      <c r="L160" s="8"/>
      <c r="M160" s="8"/>
      <c r="N160" s="8"/>
      <c r="O160" s="8"/>
      <c r="P160" s="8"/>
      <c r="Q160" s="8"/>
      <c r="R160" s="8"/>
      <c r="S160" s="8"/>
      <c r="T160" s="8"/>
      <c r="U160" s="8"/>
      <c r="V160" s="52"/>
      <c r="W160" s="8"/>
      <c r="X160" s="5"/>
    </row>
    <row r="161" spans="1:256" ht="15.6" x14ac:dyDescent="0.3">
      <c r="A161" s="24"/>
      <c r="B161" s="25" t="s">
        <v>47</v>
      </c>
      <c r="C161" s="25"/>
      <c r="D161" s="25"/>
      <c r="E161" s="25"/>
      <c r="F161" s="25"/>
      <c r="G161" s="25"/>
      <c r="H161" s="25"/>
      <c r="I161" s="25"/>
      <c r="J161" s="25"/>
      <c r="K161" s="25"/>
      <c r="L161" s="25"/>
      <c r="M161" s="25"/>
      <c r="N161" s="25"/>
      <c r="O161" s="25"/>
      <c r="P161" s="25"/>
      <c r="Q161" s="25"/>
      <c r="R161" s="25"/>
      <c r="S161" s="25"/>
      <c r="T161" s="25"/>
      <c r="U161" s="25"/>
      <c r="V161" s="59" t="s">
        <v>118</v>
      </c>
      <c r="W161" s="25"/>
      <c r="X161" s="5"/>
    </row>
    <row r="162" spans="1:256" ht="15.6" x14ac:dyDescent="0.3">
      <c r="A162" s="24"/>
      <c r="B162" s="25" t="s">
        <v>48</v>
      </c>
      <c r="C162" s="174"/>
      <c r="D162" s="174"/>
      <c r="E162" s="174"/>
      <c r="F162" s="174"/>
      <c r="G162" s="174"/>
      <c r="H162" s="174"/>
      <c r="I162" s="174"/>
      <c r="J162" s="174"/>
      <c r="K162" s="174"/>
      <c r="L162" s="174"/>
      <c r="M162" s="174"/>
      <c r="N162" s="174"/>
      <c r="O162" s="174"/>
      <c r="P162" s="174"/>
      <c r="Q162" s="174"/>
      <c r="R162" s="174"/>
      <c r="S162" s="174"/>
      <c r="T162" s="174"/>
      <c r="U162" s="174"/>
      <c r="V162" s="59" t="s">
        <v>118</v>
      </c>
      <c r="W162" s="25"/>
      <c r="X162" s="5"/>
    </row>
    <row r="163" spans="1:256" ht="15.6" x14ac:dyDescent="0.3">
      <c r="A163" s="24"/>
      <c r="B163" s="25" t="s">
        <v>49</v>
      </c>
      <c r="C163" s="25"/>
      <c r="D163" s="25"/>
      <c r="E163" s="25"/>
      <c r="F163" s="25"/>
      <c r="G163" s="25"/>
      <c r="H163" s="25"/>
      <c r="I163" s="25"/>
      <c r="J163" s="25"/>
      <c r="K163" s="25"/>
      <c r="L163" s="25"/>
      <c r="M163" s="25"/>
      <c r="N163" s="25"/>
      <c r="O163" s="25"/>
      <c r="P163" s="25"/>
      <c r="Q163" s="25"/>
      <c r="R163" s="25"/>
      <c r="S163" s="25"/>
      <c r="T163" s="25"/>
      <c r="U163" s="25"/>
      <c r="V163" s="59" t="s">
        <v>118</v>
      </c>
      <c r="W163" s="25"/>
      <c r="X163" s="5"/>
    </row>
    <row r="164" spans="1:256" ht="15.6" x14ac:dyDescent="0.3">
      <c r="A164" s="24"/>
      <c r="B164" s="25" t="s">
        <v>50</v>
      </c>
      <c r="C164" s="25"/>
      <c r="D164" s="25"/>
      <c r="E164" s="25"/>
      <c r="F164" s="25"/>
      <c r="G164" s="25"/>
      <c r="H164" s="25"/>
      <c r="I164" s="25"/>
      <c r="J164" s="25"/>
      <c r="K164" s="25"/>
      <c r="L164" s="25"/>
      <c r="M164" s="25"/>
      <c r="N164" s="25"/>
      <c r="O164" s="25"/>
      <c r="P164" s="25"/>
      <c r="Q164" s="25"/>
      <c r="R164" s="25"/>
      <c r="S164" s="25"/>
      <c r="T164" s="25"/>
      <c r="U164" s="25"/>
      <c r="V164" s="59" t="s">
        <v>118</v>
      </c>
      <c r="W164" s="25"/>
      <c r="X164" s="5"/>
    </row>
    <row r="165" spans="1:256" ht="15.6" x14ac:dyDescent="0.3">
      <c r="A165" s="24"/>
      <c r="B165" s="25"/>
      <c r="C165" s="25"/>
      <c r="D165" s="25"/>
      <c r="E165" s="25"/>
      <c r="F165" s="25"/>
      <c r="G165" s="25"/>
      <c r="H165" s="25"/>
      <c r="I165" s="25"/>
      <c r="J165" s="25"/>
      <c r="K165" s="25"/>
      <c r="L165" s="25"/>
      <c r="M165" s="25"/>
      <c r="N165" s="25"/>
      <c r="O165" s="25"/>
      <c r="P165" s="25"/>
      <c r="Q165" s="25"/>
      <c r="R165" s="25"/>
      <c r="S165" s="25"/>
      <c r="T165" s="25"/>
      <c r="U165" s="25"/>
      <c r="V165" s="61"/>
      <c r="W165" s="25"/>
      <c r="X165" s="5"/>
    </row>
    <row r="166" spans="1:256" ht="15.6" x14ac:dyDescent="0.3">
      <c r="A166" s="6"/>
      <c r="B166" s="119" t="s">
        <v>51</v>
      </c>
      <c r="C166" s="8"/>
      <c r="D166" s="8"/>
      <c r="E166" s="8"/>
      <c r="F166" s="8"/>
      <c r="G166" s="8"/>
      <c r="H166" s="8"/>
      <c r="I166" s="8"/>
      <c r="J166" s="8"/>
      <c r="K166" s="8"/>
      <c r="L166" s="8"/>
      <c r="M166" s="8"/>
      <c r="N166" s="8"/>
      <c r="O166" s="8"/>
      <c r="P166" s="8"/>
      <c r="Q166" s="8"/>
      <c r="R166" s="8"/>
      <c r="S166" s="8"/>
      <c r="T166" s="8"/>
      <c r="U166" s="8"/>
      <c r="V166" s="63"/>
      <c r="W166" s="8"/>
      <c r="X166" s="5"/>
    </row>
    <row r="167" spans="1:256" ht="15.6" x14ac:dyDescent="0.3">
      <c r="A167" s="24"/>
      <c r="B167" s="25" t="s">
        <v>52</v>
      </c>
      <c r="C167" s="25"/>
      <c r="D167" s="25"/>
      <c r="E167" s="25"/>
      <c r="F167" s="25"/>
      <c r="G167" s="25"/>
      <c r="H167" s="25"/>
      <c r="I167" s="25"/>
      <c r="J167" s="25"/>
      <c r="K167" s="25"/>
      <c r="L167" s="25"/>
      <c r="M167" s="25"/>
      <c r="N167" s="25"/>
      <c r="O167" s="25"/>
      <c r="P167" s="25"/>
      <c r="Q167" s="25"/>
      <c r="R167" s="25"/>
      <c r="S167" s="25"/>
      <c r="T167" s="25"/>
      <c r="U167" s="25"/>
      <c r="V167" s="53">
        <v>0</v>
      </c>
      <c r="W167" s="25"/>
      <c r="X167" s="5"/>
    </row>
    <row r="168" spans="1:256" ht="15.6" x14ac:dyDescent="0.3">
      <c r="A168" s="24"/>
      <c r="B168" s="25" t="s">
        <v>53</v>
      </c>
      <c r="C168" s="25"/>
      <c r="D168" s="25"/>
      <c r="E168" s="25"/>
      <c r="F168" s="25"/>
      <c r="G168" s="25"/>
      <c r="H168" s="25"/>
      <c r="I168" s="25"/>
      <c r="J168" s="25"/>
      <c r="K168" s="25"/>
      <c r="L168" s="25"/>
      <c r="M168" s="25"/>
      <c r="N168" s="25"/>
      <c r="O168" s="25"/>
      <c r="P168" s="25"/>
      <c r="Q168" s="25"/>
      <c r="R168" s="25"/>
      <c r="S168" s="25"/>
      <c r="T168" s="25"/>
      <c r="U168" s="25"/>
      <c r="V168" s="53">
        <f>T116</f>
        <v>-5</v>
      </c>
      <c r="W168" s="25"/>
      <c r="X168" s="5"/>
    </row>
    <row r="169" spans="1:256" ht="15.6" x14ac:dyDescent="0.3">
      <c r="A169" s="24"/>
      <c r="B169" s="25" t="s">
        <v>54</v>
      </c>
      <c r="C169" s="25"/>
      <c r="D169" s="25"/>
      <c r="E169" s="25"/>
      <c r="F169" s="25"/>
      <c r="G169" s="25"/>
      <c r="H169" s="25"/>
      <c r="I169" s="25"/>
      <c r="J169" s="25"/>
      <c r="K169" s="25"/>
      <c r="L169" s="25"/>
      <c r="M169" s="25"/>
      <c r="N169" s="25"/>
      <c r="O169" s="25"/>
      <c r="P169" s="25"/>
      <c r="Q169" s="25"/>
      <c r="R169" s="25"/>
      <c r="S169" s="25"/>
      <c r="T169" s="25"/>
      <c r="U169" s="25"/>
      <c r="V169" s="53">
        <f>V168+V167</f>
        <v>-5</v>
      </c>
      <c r="W169" s="25"/>
      <c r="X169" s="5"/>
    </row>
    <row r="170" spans="1:256" ht="15.6" x14ac:dyDescent="0.3">
      <c r="A170" s="24"/>
      <c r="B170" s="25" t="s">
        <v>315</v>
      </c>
      <c r="C170" s="25"/>
      <c r="D170" s="25"/>
      <c r="E170" s="25"/>
      <c r="F170" s="25"/>
      <c r="G170" s="25"/>
      <c r="H170" s="25"/>
      <c r="I170" s="25"/>
      <c r="J170" s="25"/>
      <c r="K170" s="25"/>
      <c r="L170" s="25"/>
      <c r="M170" s="25"/>
      <c r="N170" s="25"/>
      <c r="O170" s="25"/>
      <c r="P170" s="25"/>
      <c r="Q170" s="25"/>
      <c r="R170" s="25"/>
      <c r="S170" s="25"/>
      <c r="T170" s="25"/>
      <c r="U170" s="25"/>
      <c r="V170" s="53">
        <f>V116</f>
        <v>5</v>
      </c>
      <c r="W170" s="25"/>
      <c r="X170" s="5"/>
    </row>
    <row r="171" spans="1:256" ht="15.6" x14ac:dyDescent="0.3">
      <c r="A171" s="24"/>
      <c r="B171" s="25" t="s">
        <v>55</v>
      </c>
      <c r="C171" s="25"/>
      <c r="D171" s="25"/>
      <c r="E171" s="25"/>
      <c r="F171" s="25"/>
      <c r="G171" s="25"/>
      <c r="H171" s="25"/>
      <c r="I171" s="25"/>
      <c r="J171" s="25"/>
      <c r="K171" s="25"/>
      <c r="L171" s="25"/>
      <c r="M171" s="25"/>
      <c r="N171" s="25"/>
      <c r="O171" s="25"/>
      <c r="P171" s="25"/>
      <c r="Q171" s="25"/>
      <c r="R171" s="25"/>
      <c r="S171" s="25"/>
      <c r="T171" s="25"/>
      <c r="U171" s="25"/>
      <c r="V171" s="53">
        <f>V169+V170</f>
        <v>0</v>
      </c>
      <c r="W171" s="25"/>
      <c r="X171" s="5"/>
    </row>
    <row r="172" spans="1:256" ht="16.2" thickBot="1" x14ac:dyDescent="0.35">
      <c r="A172" s="24"/>
      <c r="B172" s="25"/>
      <c r="C172" s="25"/>
      <c r="D172" s="25"/>
      <c r="E172" s="25"/>
      <c r="F172" s="25"/>
      <c r="G172" s="25"/>
      <c r="H172" s="25"/>
      <c r="I172" s="25"/>
      <c r="J172" s="25"/>
      <c r="K172" s="25"/>
      <c r="L172" s="25"/>
      <c r="M172" s="25"/>
      <c r="N172" s="25"/>
      <c r="O172" s="25"/>
      <c r="P172" s="25"/>
      <c r="Q172" s="25"/>
      <c r="R172" s="25"/>
      <c r="S172" s="25"/>
      <c r="T172" s="25"/>
      <c r="U172" s="25"/>
      <c r="V172" s="61"/>
      <c r="W172" s="25"/>
      <c r="X172" s="5"/>
    </row>
    <row r="173" spans="1:256" ht="15.6" x14ac:dyDescent="0.3">
      <c r="A173" s="2"/>
      <c r="B173" s="4"/>
      <c r="C173" s="4"/>
      <c r="D173" s="4"/>
      <c r="E173" s="4"/>
      <c r="F173" s="4"/>
      <c r="G173" s="4"/>
      <c r="H173" s="4"/>
      <c r="I173" s="4"/>
      <c r="J173" s="4"/>
      <c r="K173" s="4"/>
      <c r="L173" s="4"/>
      <c r="M173" s="4"/>
      <c r="N173" s="4"/>
      <c r="O173" s="4"/>
      <c r="P173" s="4"/>
      <c r="Q173" s="4"/>
      <c r="R173" s="4"/>
      <c r="S173" s="4"/>
      <c r="T173" s="4"/>
      <c r="U173" s="4"/>
      <c r="V173" s="50"/>
      <c r="W173" s="4"/>
      <c r="X173" s="5"/>
    </row>
    <row r="174" spans="1:256" s="161" customFormat="1" ht="15.6" x14ac:dyDescent="0.3">
      <c r="A174" s="6"/>
      <c r="B174" s="119" t="s">
        <v>269</v>
      </c>
      <c r="C174" s="160"/>
      <c r="D174" s="160"/>
      <c r="E174" s="160"/>
      <c r="F174" s="160"/>
      <c r="G174" s="160"/>
      <c r="H174" s="160"/>
      <c r="I174" s="160"/>
      <c r="J174" s="160"/>
      <c r="K174" s="160"/>
      <c r="L174" s="160"/>
      <c r="M174" s="160"/>
      <c r="N174" s="160"/>
      <c r="O174" s="160"/>
      <c r="P174" s="160"/>
      <c r="Q174" s="160"/>
      <c r="R174" s="160"/>
      <c r="S174" s="160"/>
      <c r="T174" s="160"/>
      <c r="U174" s="160"/>
      <c r="V174" s="168"/>
      <c r="W174" s="160"/>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5.6" x14ac:dyDescent="0.3">
      <c r="A175" s="24"/>
      <c r="B175" s="162" t="s">
        <v>270</v>
      </c>
      <c r="C175" s="162"/>
      <c r="D175" s="162"/>
      <c r="E175" s="162"/>
      <c r="F175" s="162"/>
      <c r="G175" s="162"/>
      <c r="H175" s="162"/>
      <c r="I175" s="162"/>
      <c r="J175" s="162"/>
      <c r="K175" s="162"/>
      <c r="L175" s="162"/>
      <c r="M175" s="162"/>
      <c r="N175" s="162"/>
      <c r="O175" s="162"/>
      <c r="P175" s="162"/>
      <c r="Q175" s="162"/>
      <c r="R175" s="162"/>
      <c r="S175" s="162"/>
      <c r="T175" s="162"/>
      <c r="U175" s="162"/>
      <c r="V175" s="169">
        <f>+'Aug 07'!V176</f>
        <v>4518</v>
      </c>
      <c r="W175" s="162"/>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3" customFormat="1" ht="15.6" x14ac:dyDescent="0.3">
      <c r="A176" s="24"/>
      <c r="B176" s="162" t="s">
        <v>273</v>
      </c>
      <c r="C176" s="162"/>
      <c r="D176" s="162"/>
      <c r="E176" s="162"/>
      <c r="F176" s="162"/>
      <c r="G176" s="162"/>
      <c r="H176" s="162"/>
      <c r="I176" s="162"/>
      <c r="J176" s="162"/>
      <c r="K176" s="162"/>
      <c r="L176" s="162"/>
      <c r="M176" s="162"/>
      <c r="N176" s="162"/>
      <c r="O176" s="162"/>
      <c r="P176" s="162"/>
      <c r="Q176" s="162"/>
      <c r="R176" s="162"/>
      <c r="S176" s="162"/>
      <c r="T176" s="162"/>
      <c r="U176" s="162"/>
      <c r="V176" s="169">
        <f>+V95</f>
        <v>2122</v>
      </c>
      <c r="W176" s="162"/>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s="163" customFormat="1" ht="15.6" x14ac:dyDescent="0.3">
      <c r="A177" s="24"/>
      <c r="B177" s="162" t="s">
        <v>271</v>
      </c>
      <c r="C177" s="162"/>
      <c r="D177" s="162"/>
      <c r="E177" s="162"/>
      <c r="F177" s="162"/>
      <c r="G177" s="162"/>
      <c r="H177" s="162"/>
      <c r="I177" s="162"/>
      <c r="J177" s="162"/>
      <c r="K177" s="162"/>
      <c r="L177" s="162"/>
      <c r="M177" s="162"/>
      <c r="N177" s="162"/>
      <c r="O177" s="162"/>
      <c r="P177" s="162"/>
      <c r="Q177" s="162"/>
      <c r="R177" s="162"/>
      <c r="S177" s="162"/>
      <c r="T177" s="162"/>
      <c r="U177" s="162"/>
      <c r="V177" s="169">
        <f>+V175-V176</f>
        <v>2396</v>
      </c>
      <c r="W177" s="162"/>
      <c r="X177" s="5"/>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s="166" customFormat="1" ht="16.2" thickBot="1" x14ac:dyDescent="0.35">
      <c r="A178" s="170"/>
      <c r="B178" s="164"/>
      <c r="C178" s="164"/>
      <c r="D178" s="164"/>
      <c r="E178" s="164"/>
      <c r="F178" s="164"/>
      <c r="G178" s="164"/>
      <c r="H178" s="164"/>
      <c r="I178" s="164"/>
      <c r="J178" s="164"/>
      <c r="K178" s="164"/>
      <c r="L178" s="164"/>
      <c r="M178" s="164"/>
      <c r="N178" s="164"/>
      <c r="O178" s="164"/>
      <c r="P178" s="164"/>
      <c r="Q178" s="164"/>
      <c r="R178" s="164"/>
      <c r="S178" s="164"/>
      <c r="T178" s="164"/>
      <c r="U178" s="164"/>
      <c r="V178" s="165"/>
      <c r="W178" s="164"/>
      <c r="X178" s="5"/>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s="167" customFormat="1" ht="15.6" x14ac:dyDescent="0.3">
      <c r="A179" s="2"/>
      <c r="B179" s="4"/>
      <c r="C179" s="4"/>
      <c r="D179" s="4"/>
      <c r="E179" s="4"/>
      <c r="F179" s="4"/>
      <c r="G179" s="4"/>
      <c r="H179" s="4"/>
      <c r="I179" s="4"/>
      <c r="J179" s="4"/>
      <c r="K179" s="4"/>
      <c r="L179" s="4"/>
      <c r="M179" s="4"/>
      <c r="N179" s="4"/>
      <c r="O179" s="4"/>
      <c r="P179" s="4"/>
      <c r="Q179" s="4"/>
      <c r="R179" s="4"/>
      <c r="S179" s="4"/>
      <c r="T179" s="4"/>
      <c r="U179" s="4"/>
      <c r="V179" s="50"/>
      <c r="W179" s="4"/>
      <c r="X179" s="5"/>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ht="15.6" x14ac:dyDescent="0.3">
      <c r="A180" s="6"/>
      <c r="B180" s="119" t="s">
        <v>56</v>
      </c>
      <c r="C180" s="8"/>
      <c r="D180" s="8"/>
      <c r="E180" s="8"/>
      <c r="F180" s="8"/>
      <c r="G180" s="8"/>
      <c r="H180" s="8"/>
      <c r="I180" s="8"/>
      <c r="J180" s="8"/>
      <c r="K180" s="8"/>
      <c r="L180" s="8"/>
      <c r="M180" s="8"/>
      <c r="N180" s="8"/>
      <c r="O180" s="8"/>
      <c r="P180" s="8"/>
      <c r="Q180" s="8"/>
      <c r="R180" s="8"/>
      <c r="S180" s="8"/>
      <c r="T180" s="8"/>
      <c r="U180" s="8"/>
      <c r="V180" s="52"/>
      <c r="W180" s="8"/>
      <c r="X180" s="5"/>
    </row>
    <row r="181" spans="1:256" ht="15.6" x14ac:dyDescent="0.3">
      <c r="A181" s="6"/>
      <c r="B181" s="21"/>
      <c r="C181" s="8"/>
      <c r="D181" s="8"/>
      <c r="E181" s="8"/>
      <c r="F181" s="8"/>
      <c r="G181" s="8"/>
      <c r="H181" s="8"/>
      <c r="I181" s="8"/>
      <c r="J181" s="8"/>
      <c r="K181" s="8"/>
      <c r="L181" s="8"/>
      <c r="M181" s="8"/>
      <c r="N181" s="8"/>
      <c r="O181" s="8"/>
      <c r="P181" s="8"/>
      <c r="Q181" s="8"/>
      <c r="R181" s="8"/>
      <c r="S181" s="8"/>
      <c r="T181" s="8"/>
      <c r="U181" s="8"/>
      <c r="V181" s="52"/>
      <c r="W181" s="8"/>
      <c r="X181" s="5"/>
    </row>
    <row r="182" spans="1:256" ht="15.6" x14ac:dyDescent="0.3">
      <c r="A182" s="24"/>
      <c r="B182" s="25" t="s">
        <v>57</v>
      </c>
      <c r="C182" s="25"/>
      <c r="D182" s="25"/>
      <c r="E182" s="25"/>
      <c r="F182" s="25"/>
      <c r="G182" s="25"/>
      <c r="H182" s="25"/>
      <c r="I182" s="25"/>
      <c r="J182" s="25"/>
      <c r="K182" s="25"/>
      <c r="L182" s="25"/>
      <c r="M182" s="25"/>
      <c r="N182" s="25"/>
      <c r="O182" s="25"/>
      <c r="P182" s="25"/>
      <c r="Q182" s="25"/>
      <c r="R182" s="25"/>
      <c r="S182" s="25"/>
      <c r="T182" s="25"/>
      <c r="U182" s="25"/>
      <c r="V182" s="53">
        <f>V72</f>
        <v>1443231</v>
      </c>
      <c r="W182" s="25"/>
      <c r="X182" s="5"/>
    </row>
    <row r="183" spans="1:256" ht="15.6" x14ac:dyDescent="0.3">
      <c r="A183" s="24"/>
      <c r="B183" s="25" t="s">
        <v>58</v>
      </c>
      <c r="C183" s="25"/>
      <c r="D183" s="25"/>
      <c r="E183" s="25"/>
      <c r="F183" s="25"/>
      <c r="G183" s="25"/>
      <c r="H183" s="25"/>
      <c r="I183" s="25"/>
      <c r="J183" s="25"/>
      <c r="K183" s="25"/>
      <c r="L183" s="25"/>
      <c r="M183" s="25"/>
      <c r="N183" s="25"/>
      <c r="O183" s="25"/>
      <c r="P183" s="25"/>
      <c r="Q183" s="25"/>
      <c r="R183" s="25"/>
      <c r="S183" s="25"/>
      <c r="T183" s="25"/>
      <c r="U183" s="25"/>
      <c r="V183" s="53">
        <f>V85</f>
        <v>1443231</v>
      </c>
      <c r="W183" s="25"/>
      <c r="X183" s="5"/>
    </row>
    <row r="184" spans="1:256" ht="16.2" thickBot="1" x14ac:dyDescent="0.35">
      <c r="A184" s="24"/>
      <c r="B184" s="25"/>
      <c r="C184" s="25"/>
      <c r="D184" s="25"/>
      <c r="E184" s="25"/>
      <c r="F184" s="25"/>
      <c r="G184" s="25"/>
      <c r="H184" s="25"/>
      <c r="I184" s="25"/>
      <c r="J184" s="25"/>
      <c r="K184" s="25"/>
      <c r="L184" s="25"/>
      <c r="M184" s="25"/>
      <c r="N184" s="25"/>
      <c r="O184" s="25"/>
      <c r="P184" s="25"/>
      <c r="Q184" s="25"/>
      <c r="R184" s="25"/>
      <c r="S184" s="25"/>
      <c r="T184" s="25"/>
      <c r="U184" s="25"/>
      <c r="V184" s="61"/>
      <c r="W184" s="25"/>
      <c r="X184" s="5"/>
    </row>
    <row r="185" spans="1:256" ht="15.6" x14ac:dyDescent="0.3">
      <c r="A185" s="2"/>
      <c r="B185" s="4"/>
      <c r="C185" s="4"/>
      <c r="D185" s="4"/>
      <c r="E185" s="4"/>
      <c r="F185" s="4"/>
      <c r="G185" s="4"/>
      <c r="H185" s="4"/>
      <c r="I185" s="4"/>
      <c r="J185" s="4"/>
      <c r="K185" s="4"/>
      <c r="L185" s="4"/>
      <c r="M185" s="4"/>
      <c r="N185" s="4"/>
      <c r="O185" s="4"/>
      <c r="P185" s="4"/>
      <c r="Q185" s="4"/>
      <c r="R185" s="4"/>
      <c r="S185" s="4"/>
      <c r="T185" s="4"/>
      <c r="U185" s="4"/>
      <c r="V185" s="50"/>
      <c r="W185" s="4"/>
      <c r="X185" s="5"/>
    </row>
    <row r="186" spans="1:256" ht="15.6" x14ac:dyDescent="0.3">
      <c r="A186" s="6"/>
      <c r="B186" s="119" t="s">
        <v>59</v>
      </c>
      <c r="C186" s="117"/>
      <c r="D186" s="117"/>
      <c r="E186" s="117"/>
      <c r="F186" s="117"/>
      <c r="G186" s="117"/>
      <c r="H186" s="120"/>
      <c r="I186" s="120"/>
      <c r="J186" s="120"/>
      <c r="K186" s="120"/>
      <c r="L186" s="120"/>
      <c r="M186" s="120"/>
      <c r="N186" s="120"/>
      <c r="O186" s="120"/>
      <c r="P186" s="120"/>
      <c r="Q186" s="120"/>
      <c r="R186" s="120"/>
      <c r="S186" s="120" t="s">
        <v>101</v>
      </c>
      <c r="T186" s="120" t="s">
        <v>176</v>
      </c>
      <c r="U186" s="111"/>
      <c r="V186" s="121" t="s">
        <v>114</v>
      </c>
      <c r="W186" s="10"/>
      <c r="X186" s="5"/>
    </row>
    <row r="187" spans="1:256" ht="15.6" x14ac:dyDescent="0.3">
      <c r="A187" s="24"/>
      <c r="B187" s="25" t="s">
        <v>60</v>
      </c>
      <c r="C187" s="25"/>
      <c r="D187" s="25"/>
      <c r="E187" s="25"/>
      <c r="F187" s="25"/>
      <c r="G187" s="25"/>
      <c r="H187" s="25"/>
      <c r="I187" s="25"/>
      <c r="J187" s="25"/>
      <c r="K187" s="25"/>
      <c r="L187" s="25"/>
      <c r="M187" s="25"/>
      <c r="N187" s="25"/>
      <c r="O187" s="25"/>
      <c r="P187" s="25"/>
      <c r="Q187" s="25"/>
      <c r="R187" s="25"/>
      <c r="S187" s="53">
        <f>+V34*0.16</f>
        <v>240044</v>
      </c>
      <c r="T187" s="40"/>
      <c r="U187" s="25"/>
      <c r="V187" s="53"/>
      <c r="W187" s="25"/>
      <c r="X187" s="5"/>
    </row>
    <row r="188" spans="1:256" ht="15.6" x14ac:dyDescent="0.3">
      <c r="A188" s="24"/>
      <c r="B188" s="25" t="s">
        <v>61</v>
      </c>
      <c r="C188" s="25"/>
      <c r="D188" s="25"/>
      <c r="E188" s="25"/>
      <c r="F188" s="25"/>
      <c r="G188" s="25"/>
      <c r="H188" s="25"/>
      <c r="I188" s="25"/>
      <c r="J188" s="25"/>
      <c r="K188" s="25"/>
      <c r="L188" s="25"/>
      <c r="M188" s="25"/>
      <c r="N188" s="25"/>
      <c r="O188" s="25"/>
      <c r="P188" s="25"/>
      <c r="Q188" s="25"/>
      <c r="R188" s="25"/>
      <c r="S188" s="53">
        <f>+'Aug 07'!S189</f>
        <v>8430</v>
      </c>
      <c r="T188" s="53">
        <f>+'Aug 07'!T189</f>
        <v>3405</v>
      </c>
      <c r="U188" s="25"/>
      <c r="V188" s="53">
        <f>S188+T188</f>
        <v>11835</v>
      </c>
      <c r="W188" s="25"/>
      <c r="X188" s="5"/>
    </row>
    <row r="189" spans="1:256" ht="15.6" x14ac:dyDescent="0.3">
      <c r="A189" s="24"/>
      <c r="B189" s="25" t="s">
        <v>62</v>
      </c>
      <c r="C189" s="25"/>
      <c r="D189" s="25"/>
      <c r="E189" s="25"/>
      <c r="F189" s="25"/>
      <c r="G189" s="25"/>
      <c r="H189" s="25"/>
      <c r="I189" s="25"/>
      <c r="J189" s="25"/>
      <c r="K189" s="25"/>
      <c r="L189" s="25"/>
      <c r="M189" s="25"/>
      <c r="N189" s="25"/>
      <c r="O189" s="25"/>
      <c r="P189" s="25"/>
      <c r="Q189" s="25"/>
      <c r="R189" s="25"/>
      <c r="S189" s="34">
        <v>4122</v>
      </c>
      <c r="T189" s="34">
        <v>1409</v>
      </c>
      <c r="U189" s="25"/>
      <c r="V189" s="53">
        <f>S189+T189</f>
        <v>5531</v>
      </c>
      <c r="W189" s="25"/>
      <c r="X189" s="5"/>
    </row>
    <row r="190" spans="1:256" ht="15.6" x14ac:dyDescent="0.3">
      <c r="A190" s="24"/>
      <c r="B190" s="25" t="s">
        <v>63</v>
      </c>
      <c r="C190" s="25"/>
      <c r="D190" s="25"/>
      <c r="E190" s="25"/>
      <c r="F190" s="25"/>
      <c r="G190" s="25"/>
      <c r="H190" s="25"/>
      <c r="I190" s="25"/>
      <c r="J190" s="25"/>
      <c r="K190" s="25"/>
      <c r="L190" s="25"/>
      <c r="M190" s="25"/>
      <c r="N190" s="25"/>
      <c r="O190" s="25"/>
      <c r="P190" s="25"/>
      <c r="Q190" s="25"/>
      <c r="R190" s="25"/>
      <c r="S190" s="53">
        <f>S188+S189</f>
        <v>12552</v>
      </c>
      <c r="T190" s="53">
        <f>T189+T188</f>
        <v>4814</v>
      </c>
      <c r="U190" s="25"/>
      <c r="V190" s="53">
        <f>S190+T190</f>
        <v>17366</v>
      </c>
      <c r="W190" s="25"/>
      <c r="X190" s="5"/>
    </row>
    <row r="191" spans="1:256" ht="15.6" x14ac:dyDescent="0.3">
      <c r="A191" s="24"/>
      <c r="B191" s="25" t="s">
        <v>64</v>
      </c>
      <c r="C191" s="25"/>
      <c r="D191" s="25"/>
      <c r="E191" s="25"/>
      <c r="F191" s="25"/>
      <c r="G191" s="25"/>
      <c r="H191" s="25"/>
      <c r="I191" s="25"/>
      <c r="J191" s="25"/>
      <c r="K191" s="25"/>
      <c r="L191" s="25"/>
      <c r="M191" s="25"/>
      <c r="N191" s="25"/>
      <c r="O191" s="25"/>
      <c r="P191" s="25"/>
      <c r="Q191" s="25"/>
      <c r="R191" s="25"/>
      <c r="S191" s="53">
        <f>S187-S190-T190</f>
        <v>222678</v>
      </c>
      <c r="T191" s="40"/>
      <c r="U191" s="25"/>
      <c r="V191" s="53"/>
      <c r="W191" s="25"/>
      <c r="X191" s="5"/>
    </row>
    <row r="192" spans="1:256" ht="16.2" thickBot="1" x14ac:dyDescent="0.35">
      <c r="A192" s="24"/>
      <c r="B192" s="25"/>
      <c r="C192" s="25"/>
      <c r="D192" s="25"/>
      <c r="E192" s="25"/>
      <c r="F192" s="25"/>
      <c r="G192" s="25"/>
      <c r="H192" s="25"/>
      <c r="I192" s="25"/>
      <c r="J192" s="25"/>
      <c r="K192" s="25"/>
      <c r="L192" s="25"/>
      <c r="M192" s="25"/>
      <c r="N192" s="25"/>
      <c r="O192" s="25"/>
      <c r="P192" s="25"/>
      <c r="Q192" s="25"/>
      <c r="R192" s="25"/>
      <c r="S192" s="25"/>
      <c r="T192" s="25"/>
      <c r="U192" s="25"/>
      <c r="V192" s="61"/>
      <c r="W192" s="25"/>
      <c r="X192" s="5"/>
    </row>
    <row r="193" spans="1:24" ht="15.6" x14ac:dyDescent="0.3">
      <c r="A193" s="2"/>
      <c r="B193" s="4"/>
      <c r="C193" s="4"/>
      <c r="D193" s="4"/>
      <c r="E193" s="4"/>
      <c r="F193" s="4"/>
      <c r="G193" s="4"/>
      <c r="H193" s="4"/>
      <c r="I193" s="4"/>
      <c r="J193" s="4"/>
      <c r="K193" s="4"/>
      <c r="L193" s="4"/>
      <c r="M193" s="4"/>
      <c r="N193" s="4"/>
      <c r="O193" s="4"/>
      <c r="P193" s="4"/>
      <c r="Q193" s="4"/>
      <c r="R193" s="4"/>
      <c r="S193" s="4"/>
      <c r="T193" s="4"/>
      <c r="U193" s="4"/>
      <c r="V193" s="50"/>
      <c r="W193" s="4"/>
      <c r="X193" s="5"/>
    </row>
    <row r="194" spans="1:24" ht="15.6" x14ac:dyDescent="0.3">
      <c r="A194" s="6"/>
      <c r="B194" s="119" t="s">
        <v>65</v>
      </c>
      <c r="C194" s="8"/>
      <c r="D194" s="8"/>
      <c r="E194" s="8"/>
      <c r="F194" s="8"/>
      <c r="G194" s="8"/>
      <c r="H194" s="8"/>
      <c r="I194" s="8"/>
      <c r="J194" s="8"/>
      <c r="K194" s="8"/>
      <c r="L194" s="8"/>
      <c r="M194" s="8"/>
      <c r="N194" s="8"/>
      <c r="O194" s="8"/>
      <c r="P194" s="8"/>
      <c r="Q194" s="8"/>
      <c r="R194" s="8"/>
      <c r="S194" s="8"/>
      <c r="T194" s="8"/>
      <c r="U194" s="8"/>
      <c r="V194" s="65"/>
      <c r="W194" s="8"/>
      <c r="X194" s="5"/>
    </row>
    <row r="195" spans="1:24" ht="15.6" x14ac:dyDescent="0.3">
      <c r="A195" s="24"/>
      <c r="B195" s="25" t="s">
        <v>66</v>
      </c>
      <c r="C195" s="25"/>
      <c r="D195" s="25"/>
      <c r="E195" s="25"/>
      <c r="F195" s="25"/>
      <c r="G195" s="25"/>
      <c r="H195" s="25"/>
      <c r="I195" s="25"/>
      <c r="J195" s="25"/>
      <c r="K195" s="25"/>
      <c r="L195" s="25"/>
      <c r="M195" s="25"/>
      <c r="N195" s="25"/>
      <c r="O195" s="25"/>
      <c r="P195" s="25"/>
      <c r="Q195" s="25"/>
      <c r="R195" s="25"/>
      <c r="S195" s="25"/>
      <c r="T195" s="25"/>
      <c r="U195" s="25"/>
      <c r="V195" s="59">
        <f>(V102+V104+V105+V106+V107)/-(V108+V109)</f>
        <v>1.4388251404825991</v>
      </c>
      <c r="W195" s="25" t="s">
        <v>115</v>
      </c>
      <c r="X195" s="5"/>
    </row>
    <row r="196" spans="1:24" ht="15.6" x14ac:dyDescent="0.3">
      <c r="A196" s="24"/>
      <c r="B196" s="25" t="s">
        <v>67</v>
      </c>
      <c r="C196" s="25"/>
      <c r="D196" s="25"/>
      <c r="E196" s="25"/>
      <c r="F196" s="25"/>
      <c r="G196" s="25"/>
      <c r="H196" s="25"/>
      <c r="I196" s="25"/>
      <c r="J196" s="25"/>
      <c r="K196" s="25"/>
      <c r="L196" s="25"/>
      <c r="M196" s="25"/>
      <c r="N196" s="25"/>
      <c r="O196" s="25"/>
      <c r="P196" s="25"/>
      <c r="Q196" s="25"/>
      <c r="R196" s="25"/>
      <c r="S196" s="25"/>
      <c r="T196" s="25"/>
      <c r="U196" s="25"/>
      <c r="V196" s="66">
        <v>1.28</v>
      </c>
      <c r="W196" s="25" t="s">
        <v>115</v>
      </c>
      <c r="X196" s="5"/>
    </row>
    <row r="197" spans="1:24" ht="15.6" x14ac:dyDescent="0.3">
      <c r="A197" s="24"/>
      <c r="B197" s="25" t="s">
        <v>68</v>
      </c>
      <c r="C197" s="25"/>
      <c r="D197" s="25"/>
      <c r="E197" s="25"/>
      <c r="F197" s="25"/>
      <c r="G197" s="25"/>
      <c r="H197" s="25"/>
      <c r="I197" s="25"/>
      <c r="J197" s="25"/>
      <c r="K197" s="25"/>
      <c r="L197" s="25"/>
      <c r="M197" s="25"/>
      <c r="N197" s="25"/>
      <c r="O197" s="25"/>
      <c r="P197" s="25"/>
      <c r="Q197" s="25"/>
      <c r="R197" s="25"/>
      <c r="S197" s="25"/>
      <c r="T197" s="25"/>
      <c r="U197" s="25"/>
      <c r="V197" s="59">
        <f>(V102+V104+V105+V106+V107+V108+V109)/-(V111+V112)</f>
        <v>4.7656410256410258</v>
      </c>
      <c r="W197" s="25" t="s">
        <v>115</v>
      </c>
      <c r="X197" s="5"/>
    </row>
    <row r="198" spans="1:24" ht="15.6" x14ac:dyDescent="0.3">
      <c r="A198" s="24"/>
      <c r="B198" s="25" t="s">
        <v>69</v>
      </c>
      <c r="C198" s="25"/>
      <c r="D198" s="25"/>
      <c r="E198" s="25"/>
      <c r="F198" s="25"/>
      <c r="G198" s="25"/>
      <c r="H198" s="25"/>
      <c r="I198" s="25"/>
      <c r="J198" s="25"/>
      <c r="K198" s="25"/>
      <c r="L198" s="25"/>
      <c r="M198" s="25"/>
      <c r="N198" s="25"/>
      <c r="O198" s="25"/>
      <c r="P198" s="25"/>
      <c r="Q198" s="25"/>
      <c r="R198" s="25"/>
      <c r="S198" s="25"/>
      <c r="T198" s="25"/>
      <c r="U198" s="25"/>
      <c r="V198" s="66">
        <v>3.07</v>
      </c>
      <c r="W198" s="25" t="s">
        <v>115</v>
      </c>
      <c r="X198" s="5"/>
    </row>
    <row r="199" spans="1:24" ht="15.6" x14ac:dyDescent="0.3">
      <c r="A199" s="24"/>
      <c r="B199" s="25" t="s">
        <v>198</v>
      </c>
      <c r="C199" s="25"/>
      <c r="D199" s="25"/>
      <c r="E199" s="25"/>
      <c r="F199" s="25"/>
      <c r="G199" s="25"/>
      <c r="H199" s="25"/>
      <c r="I199" s="25"/>
      <c r="J199" s="25"/>
      <c r="K199" s="25"/>
      <c r="L199" s="25"/>
      <c r="M199" s="25"/>
      <c r="N199" s="25"/>
      <c r="O199" s="25"/>
      <c r="P199" s="25"/>
      <c r="Q199" s="25"/>
      <c r="R199" s="25"/>
      <c r="S199" s="25"/>
      <c r="T199" s="25"/>
      <c r="U199" s="25"/>
      <c r="V199" s="59">
        <f>(V102+V104+V105+V106+V107+V108+V109+V111+V112)/-(V113+V114)</f>
        <v>3.6459781529294935</v>
      </c>
      <c r="W199" s="25" t="s">
        <v>115</v>
      </c>
      <c r="X199" s="5"/>
    </row>
    <row r="200" spans="1:24" ht="15.6" x14ac:dyDescent="0.3">
      <c r="A200" s="24"/>
      <c r="B200" s="25" t="s">
        <v>199</v>
      </c>
      <c r="C200" s="25"/>
      <c r="D200" s="25"/>
      <c r="E200" s="25"/>
      <c r="F200" s="25"/>
      <c r="G200" s="25"/>
      <c r="H200" s="25"/>
      <c r="I200" s="25"/>
      <c r="J200" s="25"/>
      <c r="K200" s="25"/>
      <c r="L200" s="25"/>
      <c r="M200" s="25"/>
      <c r="N200" s="25"/>
      <c r="O200" s="25"/>
      <c r="P200" s="25"/>
      <c r="Q200" s="25"/>
      <c r="R200" s="25"/>
      <c r="S200" s="25"/>
      <c r="T200" s="25"/>
      <c r="U200" s="25"/>
      <c r="V200" s="66">
        <v>1.99</v>
      </c>
      <c r="W200" s="25" t="s">
        <v>115</v>
      </c>
      <c r="X200" s="5"/>
    </row>
    <row r="201" spans="1:24" ht="15.6" x14ac:dyDescent="0.3">
      <c r="A201" s="24"/>
      <c r="B201" s="25"/>
      <c r="C201" s="25"/>
      <c r="D201" s="25"/>
      <c r="E201" s="25"/>
      <c r="F201" s="25"/>
      <c r="G201" s="25"/>
      <c r="H201" s="25"/>
      <c r="I201" s="25"/>
      <c r="J201" s="25"/>
      <c r="K201" s="25"/>
      <c r="L201" s="25"/>
      <c r="M201" s="25"/>
      <c r="N201" s="25"/>
      <c r="O201" s="25"/>
      <c r="P201" s="25"/>
      <c r="Q201" s="25"/>
      <c r="R201" s="25"/>
      <c r="S201" s="25"/>
      <c r="T201" s="25"/>
      <c r="U201" s="25"/>
      <c r="V201" s="25"/>
      <c r="W201" s="25"/>
      <c r="X201" s="5"/>
    </row>
    <row r="202" spans="1:24" ht="15.6" x14ac:dyDescent="0.3">
      <c r="A202" s="24"/>
      <c r="B202" s="25"/>
      <c r="C202" s="25"/>
      <c r="D202" s="25"/>
      <c r="E202" s="25"/>
      <c r="F202" s="25"/>
      <c r="G202" s="25"/>
      <c r="H202" s="25"/>
      <c r="I202" s="25"/>
      <c r="J202" s="25"/>
      <c r="K202" s="25"/>
      <c r="L202" s="25"/>
      <c r="M202" s="25"/>
      <c r="N202" s="25"/>
      <c r="O202" s="25"/>
      <c r="P202" s="25"/>
      <c r="Q202" s="25"/>
      <c r="R202" s="25"/>
      <c r="S202" s="25"/>
      <c r="T202" s="25"/>
      <c r="U202" s="25"/>
      <c r="V202" s="25"/>
      <c r="W202" s="25"/>
      <c r="X202" s="5"/>
    </row>
    <row r="203" spans="1:24" ht="15.6" x14ac:dyDescent="0.3">
      <c r="A203" s="6"/>
      <c r="B203" s="8"/>
      <c r="C203" s="8"/>
      <c r="D203" s="8"/>
      <c r="E203" s="8"/>
      <c r="F203" s="8"/>
      <c r="G203" s="8"/>
      <c r="H203" s="8"/>
      <c r="I203" s="8"/>
      <c r="J203" s="8"/>
      <c r="K203" s="8"/>
      <c r="L203" s="8"/>
      <c r="M203" s="8"/>
      <c r="N203" s="8"/>
      <c r="O203" s="8"/>
      <c r="P203" s="8"/>
      <c r="Q203" s="8"/>
      <c r="R203" s="8"/>
      <c r="S203" s="8"/>
      <c r="T203" s="8"/>
      <c r="U203" s="8"/>
      <c r="V203" s="8"/>
      <c r="W203" s="8"/>
      <c r="X203" s="5"/>
    </row>
    <row r="204" spans="1:24" ht="18" thickBot="1" x14ac:dyDescent="0.35">
      <c r="A204" s="101"/>
      <c r="B204" s="102" t="str">
        <f>B139</f>
        <v>PM14 INVESTOR REPORT QUARTER ENDING NOVEMBER 2007</v>
      </c>
      <c r="C204" s="176"/>
      <c r="D204" s="176"/>
      <c r="E204" s="176"/>
      <c r="F204" s="176"/>
      <c r="G204" s="176"/>
      <c r="H204" s="176"/>
      <c r="I204" s="176"/>
      <c r="J204" s="176"/>
      <c r="K204" s="176"/>
      <c r="L204" s="176"/>
      <c r="M204" s="176"/>
      <c r="N204" s="176"/>
      <c r="O204" s="176"/>
      <c r="P204" s="176"/>
      <c r="Q204" s="176"/>
      <c r="R204" s="176"/>
      <c r="S204" s="176"/>
      <c r="T204" s="176"/>
      <c r="U204" s="176"/>
      <c r="V204" s="176"/>
      <c r="W204" s="177"/>
      <c r="X204" s="5"/>
    </row>
    <row r="205" spans="1:24" ht="15.6" x14ac:dyDescent="0.3">
      <c r="A205" s="67"/>
      <c r="B205" s="60" t="s">
        <v>70</v>
      </c>
      <c r="C205" s="68"/>
      <c r="D205" s="68"/>
      <c r="E205" s="68"/>
      <c r="F205" s="68"/>
      <c r="G205" s="69"/>
      <c r="H205" s="69"/>
      <c r="I205" s="69"/>
      <c r="J205" s="69"/>
      <c r="K205" s="69"/>
      <c r="L205" s="69"/>
      <c r="M205" s="69"/>
      <c r="N205" s="69"/>
      <c r="O205" s="69"/>
      <c r="P205" s="69"/>
      <c r="Q205" s="69"/>
      <c r="R205" s="69"/>
      <c r="S205" s="69"/>
      <c r="T205" s="70">
        <v>39416</v>
      </c>
      <c r="U205" s="4"/>
      <c r="V205" s="4"/>
      <c r="W205" s="4"/>
      <c r="X205" s="5"/>
    </row>
    <row r="206" spans="1:24" ht="15.6" x14ac:dyDescent="0.3">
      <c r="A206" s="71"/>
      <c r="B206" s="72"/>
      <c r="C206" s="73"/>
      <c r="D206" s="73"/>
      <c r="E206" s="73"/>
      <c r="F206" s="73"/>
      <c r="G206" s="74"/>
      <c r="H206" s="74"/>
      <c r="I206" s="74"/>
      <c r="J206" s="74"/>
      <c r="K206" s="74"/>
      <c r="L206" s="74"/>
      <c r="M206" s="74"/>
      <c r="N206" s="74"/>
      <c r="O206" s="74"/>
      <c r="P206" s="74"/>
      <c r="Q206" s="74"/>
      <c r="R206" s="74"/>
      <c r="S206" s="74"/>
      <c r="T206" s="74"/>
      <c r="U206" s="8"/>
      <c r="V206" s="8"/>
      <c r="W206" s="8"/>
      <c r="X206" s="5"/>
    </row>
    <row r="207" spans="1:24" ht="15.6" x14ac:dyDescent="0.3">
      <c r="A207" s="75"/>
      <c r="B207" s="76" t="s">
        <v>71</v>
      </c>
      <c r="C207" s="77"/>
      <c r="D207" s="77"/>
      <c r="E207" s="77"/>
      <c r="F207" s="77"/>
      <c r="G207" s="64"/>
      <c r="H207" s="64"/>
      <c r="I207" s="64"/>
      <c r="J207" s="64"/>
      <c r="K207" s="64"/>
      <c r="L207" s="64"/>
      <c r="M207" s="64"/>
      <c r="N207" s="64"/>
      <c r="O207" s="64"/>
      <c r="P207" s="64"/>
      <c r="Q207" s="64"/>
      <c r="R207" s="64"/>
      <c r="S207" s="64"/>
      <c r="T207" s="78">
        <v>5.2819999999999999E-2</v>
      </c>
      <c r="U207" s="25"/>
      <c r="V207" s="25"/>
      <c r="W207" s="25"/>
      <c r="X207" s="5"/>
    </row>
    <row r="208" spans="1:24" ht="15.6" x14ac:dyDescent="0.3">
      <c r="A208" s="75"/>
      <c r="B208" s="76" t="s">
        <v>151</v>
      </c>
      <c r="C208" s="77"/>
      <c r="D208" s="77"/>
      <c r="E208" s="77"/>
      <c r="F208" s="77"/>
      <c r="G208" s="64"/>
      <c r="H208" s="64"/>
      <c r="I208" s="64"/>
      <c r="J208" s="64"/>
      <c r="K208" s="64"/>
      <c r="L208" s="64"/>
      <c r="M208" s="64"/>
      <c r="N208" s="64"/>
      <c r="O208" s="64"/>
      <c r="P208" s="64"/>
      <c r="Q208" s="64"/>
      <c r="R208" s="64"/>
      <c r="S208" s="64"/>
      <c r="T208" s="39">
        <v>5.7799999999999997E-2</v>
      </c>
      <c r="U208" s="25"/>
      <c r="V208" s="25"/>
      <c r="W208" s="25"/>
      <c r="X208" s="5"/>
    </row>
    <row r="209" spans="1:24" ht="15.6" x14ac:dyDescent="0.3">
      <c r="A209" s="75"/>
      <c r="B209" s="76" t="s">
        <v>72</v>
      </c>
      <c r="C209" s="77"/>
      <c r="D209" s="77"/>
      <c r="E209" s="77"/>
      <c r="F209" s="77"/>
      <c r="G209" s="64"/>
      <c r="H209" s="64"/>
      <c r="I209" s="64"/>
      <c r="J209" s="64"/>
      <c r="K209" s="64"/>
      <c r="L209" s="64"/>
      <c r="M209" s="64"/>
      <c r="N209" s="64"/>
      <c r="O209" s="64"/>
      <c r="P209" s="64"/>
      <c r="Q209" s="64"/>
      <c r="R209" s="64"/>
      <c r="S209" s="64"/>
      <c r="T209" s="78">
        <f>T207-T208</f>
        <v>-4.9799999999999983E-3</v>
      </c>
      <c r="U209" s="25"/>
      <c r="V209" s="25"/>
      <c r="W209" s="25"/>
      <c r="X209" s="5"/>
    </row>
    <row r="210" spans="1:24" ht="15.6" x14ac:dyDescent="0.3">
      <c r="A210" s="75"/>
      <c r="B210" s="76" t="s">
        <v>73</v>
      </c>
      <c r="C210" s="77"/>
      <c r="D210" s="77"/>
      <c r="E210" s="77"/>
      <c r="F210" s="77"/>
      <c r="G210" s="64"/>
      <c r="H210" s="64"/>
      <c r="I210" s="64"/>
      <c r="J210" s="64"/>
      <c r="K210" s="64"/>
      <c r="L210" s="64"/>
      <c r="M210" s="64"/>
      <c r="N210" s="64"/>
      <c r="O210" s="64"/>
      <c r="P210" s="64"/>
      <c r="Q210" s="64"/>
      <c r="R210" s="64"/>
      <c r="S210" s="64"/>
      <c r="T210" s="78">
        <v>5.5039999999999999E-2</v>
      </c>
      <c r="U210" s="25"/>
      <c r="V210" s="25"/>
      <c r="W210" s="25"/>
      <c r="X210" s="5"/>
    </row>
    <row r="211" spans="1:24" ht="15.6" x14ac:dyDescent="0.3">
      <c r="A211" s="75"/>
      <c r="B211" s="76" t="s">
        <v>219</v>
      </c>
      <c r="C211" s="77"/>
      <c r="D211" s="77"/>
      <c r="E211" s="77"/>
      <c r="F211" s="77"/>
      <c r="G211" s="64"/>
      <c r="H211" s="64"/>
      <c r="I211" s="64"/>
      <c r="J211" s="64"/>
      <c r="K211" s="64"/>
      <c r="L211" s="64"/>
      <c r="M211" s="64"/>
      <c r="N211" s="64"/>
      <c r="O211" s="64"/>
      <c r="P211" s="64"/>
      <c r="Q211" s="64"/>
      <c r="R211" s="64"/>
      <c r="S211" s="64"/>
      <c r="T211" s="78">
        <f>V43</f>
        <v>6.854092776559291E-2</v>
      </c>
      <c r="U211" s="25"/>
      <c r="V211" s="25"/>
      <c r="W211" s="25"/>
      <c r="X211" s="5"/>
    </row>
    <row r="212" spans="1:24" ht="15.6" x14ac:dyDescent="0.3">
      <c r="A212" s="75"/>
      <c r="B212" s="76" t="s">
        <v>74</v>
      </c>
      <c r="C212" s="77"/>
      <c r="D212" s="77"/>
      <c r="E212" s="77"/>
      <c r="F212" s="77"/>
      <c r="G212" s="64"/>
      <c r="H212" s="64"/>
      <c r="I212" s="64"/>
      <c r="J212" s="64"/>
      <c r="K212" s="64"/>
      <c r="L212" s="64"/>
      <c r="M212" s="64"/>
      <c r="N212" s="64"/>
      <c r="O212" s="64"/>
      <c r="P212" s="64"/>
      <c r="Q212" s="64"/>
      <c r="R212" s="64"/>
      <c r="S212" s="64"/>
      <c r="T212" s="78">
        <f>T210-T211</f>
        <v>-1.3500927765592911E-2</v>
      </c>
      <c r="U212" s="25"/>
      <c r="V212" s="25"/>
      <c r="W212" s="25"/>
      <c r="X212" s="5"/>
    </row>
    <row r="213" spans="1:24" ht="15.6" x14ac:dyDescent="0.3">
      <c r="A213" s="75"/>
      <c r="B213" s="76" t="s">
        <v>242</v>
      </c>
      <c r="C213" s="77"/>
      <c r="D213" s="77"/>
      <c r="E213" s="77"/>
      <c r="F213" s="77"/>
      <c r="G213" s="64"/>
      <c r="H213" s="64"/>
      <c r="I213" s="64"/>
      <c r="J213" s="64"/>
      <c r="K213" s="64"/>
      <c r="L213" s="64"/>
      <c r="M213" s="64"/>
      <c r="N213" s="64"/>
      <c r="O213" s="64"/>
      <c r="P213" s="64"/>
      <c r="Q213" s="64"/>
      <c r="R213" s="64"/>
      <c r="S213" s="64"/>
      <c r="T213" s="78">
        <f>V102/N72</f>
        <v>2.0855154451032223E-2</v>
      </c>
      <c r="U213" s="25"/>
      <c r="V213" s="25"/>
      <c r="W213" s="25"/>
      <c r="X213" s="5"/>
    </row>
    <row r="214" spans="1:24" ht="15.6" x14ac:dyDescent="0.3">
      <c r="A214" s="75"/>
      <c r="B214" s="76" t="s">
        <v>208</v>
      </c>
      <c r="C214" s="77"/>
      <c r="D214" s="77"/>
      <c r="E214" s="77"/>
      <c r="F214" s="77"/>
      <c r="G214" s="64"/>
      <c r="H214" s="64"/>
      <c r="I214" s="64"/>
      <c r="J214" s="64"/>
      <c r="K214" s="64"/>
      <c r="L214" s="64"/>
      <c r="M214" s="64"/>
      <c r="N214" s="64"/>
      <c r="O214" s="64"/>
      <c r="P214" s="64"/>
      <c r="Q214" s="64"/>
      <c r="R214" s="64"/>
      <c r="S214" s="64"/>
      <c r="T214" s="129">
        <v>51014</v>
      </c>
      <c r="U214" s="25"/>
      <c r="V214" s="25"/>
      <c r="W214" s="25"/>
      <c r="X214" s="5"/>
    </row>
    <row r="215" spans="1:24" ht="15.6" x14ac:dyDescent="0.3">
      <c r="A215" s="75"/>
      <c r="B215" s="76" t="s">
        <v>209</v>
      </c>
      <c r="C215" s="77"/>
      <c r="D215" s="77"/>
      <c r="E215" s="77"/>
      <c r="F215" s="77"/>
      <c r="G215" s="64"/>
      <c r="H215" s="64"/>
      <c r="I215" s="64"/>
      <c r="J215" s="64"/>
      <c r="K215" s="64"/>
      <c r="L215" s="64"/>
      <c r="M215" s="64"/>
      <c r="N215" s="64"/>
      <c r="O215" s="64"/>
      <c r="P215" s="64"/>
      <c r="Q215" s="64"/>
      <c r="R215" s="64"/>
      <c r="S215" s="64"/>
      <c r="T215" s="129">
        <v>51014</v>
      </c>
      <c r="U215" s="25"/>
      <c r="V215" s="25"/>
      <c r="W215" s="25"/>
      <c r="X215" s="5"/>
    </row>
    <row r="216" spans="1:24" ht="15.6" x14ac:dyDescent="0.3">
      <c r="A216" s="75"/>
      <c r="B216" s="76" t="s">
        <v>210</v>
      </c>
      <c r="C216" s="77"/>
      <c r="D216" s="77"/>
      <c r="E216" s="77"/>
      <c r="F216" s="77"/>
      <c r="G216" s="64"/>
      <c r="H216" s="64"/>
      <c r="I216" s="64"/>
      <c r="J216" s="64"/>
      <c r="K216" s="64"/>
      <c r="L216" s="64"/>
      <c r="M216" s="64"/>
      <c r="N216" s="64"/>
      <c r="O216" s="64"/>
      <c r="P216" s="64"/>
      <c r="Q216" s="64"/>
      <c r="R216" s="64"/>
      <c r="S216" s="64"/>
      <c r="T216" s="129">
        <v>51014</v>
      </c>
      <c r="U216" s="25"/>
      <c r="V216" s="25"/>
      <c r="W216" s="25"/>
      <c r="X216" s="5"/>
    </row>
    <row r="217" spans="1:24" ht="15.6" x14ac:dyDescent="0.3">
      <c r="A217" s="75"/>
      <c r="B217" s="76" t="s">
        <v>75</v>
      </c>
      <c r="C217" s="77"/>
      <c r="D217" s="77"/>
      <c r="E217" s="77"/>
      <c r="F217" s="77"/>
      <c r="G217" s="64"/>
      <c r="H217" s="64"/>
      <c r="I217" s="64"/>
      <c r="J217" s="64"/>
      <c r="K217" s="64"/>
      <c r="L217" s="64"/>
      <c r="M217" s="64"/>
      <c r="N217" s="64"/>
      <c r="O217" s="64"/>
      <c r="P217" s="64"/>
      <c r="Q217" s="64"/>
      <c r="R217" s="64"/>
      <c r="S217" s="64"/>
      <c r="T217" s="133">
        <v>20.66</v>
      </c>
      <c r="U217" s="25" t="s">
        <v>110</v>
      </c>
      <c r="V217" s="25"/>
      <c r="W217" s="25"/>
      <c r="X217" s="5"/>
    </row>
    <row r="218" spans="1:24" ht="15.6" x14ac:dyDescent="0.3">
      <c r="A218" s="75"/>
      <c r="B218" s="76" t="s">
        <v>76</v>
      </c>
      <c r="C218" s="77"/>
      <c r="D218" s="77"/>
      <c r="E218" s="77"/>
      <c r="F218" s="77"/>
      <c r="G218" s="64"/>
      <c r="H218" s="64"/>
      <c r="I218" s="64"/>
      <c r="J218" s="64"/>
      <c r="K218" s="64"/>
      <c r="L218" s="64"/>
      <c r="M218" s="64"/>
      <c r="N218" s="64"/>
      <c r="O218" s="64"/>
      <c r="P218" s="64"/>
      <c r="Q218" s="64"/>
      <c r="R218" s="64"/>
      <c r="S218" s="64"/>
      <c r="T218" s="133">
        <v>20.58</v>
      </c>
      <c r="U218" s="25" t="s">
        <v>110</v>
      </c>
      <c r="V218" s="25"/>
      <c r="W218" s="25"/>
      <c r="X218" s="5"/>
    </row>
    <row r="219" spans="1:24" ht="15.6" x14ac:dyDescent="0.3">
      <c r="A219" s="75"/>
      <c r="B219" s="76" t="s">
        <v>77</v>
      </c>
      <c r="C219" s="77"/>
      <c r="D219" s="77"/>
      <c r="E219" s="77"/>
      <c r="F219" s="77"/>
      <c r="G219" s="64"/>
      <c r="H219" s="64"/>
      <c r="I219" s="64"/>
      <c r="J219" s="64"/>
      <c r="K219" s="64"/>
      <c r="L219" s="64"/>
      <c r="M219" s="64"/>
      <c r="N219" s="64"/>
      <c r="O219" s="64"/>
      <c r="P219" s="64"/>
      <c r="Q219" s="64"/>
      <c r="R219" s="64"/>
      <c r="S219" s="64"/>
      <c r="T219" s="78">
        <f>+P69/N69</f>
        <v>2.292823143423622E-2</v>
      </c>
      <c r="U219" s="25"/>
      <c r="V219" s="25"/>
      <c r="W219" s="25"/>
      <c r="X219" s="5"/>
    </row>
    <row r="220" spans="1:24" ht="15.6" x14ac:dyDescent="0.3">
      <c r="A220" s="75"/>
      <c r="B220" s="76" t="s">
        <v>78</v>
      </c>
      <c r="C220" s="77"/>
      <c r="D220" s="77"/>
      <c r="E220" s="77"/>
      <c r="F220" s="77"/>
      <c r="G220" s="64"/>
      <c r="H220" s="64"/>
      <c r="I220" s="64"/>
      <c r="J220" s="64"/>
      <c r="K220" s="64"/>
      <c r="L220" s="64"/>
      <c r="M220" s="64"/>
      <c r="N220" s="64"/>
      <c r="O220" s="64"/>
      <c r="P220" s="64"/>
      <c r="Q220" s="64"/>
      <c r="R220" s="64"/>
      <c r="S220" s="64"/>
      <c r="T220" s="78">
        <v>7.0499999999999993E-2</v>
      </c>
      <c r="U220" s="25"/>
      <c r="V220" s="25"/>
      <c r="W220" s="25"/>
      <c r="X220" s="5"/>
    </row>
    <row r="221" spans="1:24" ht="15.6" x14ac:dyDescent="0.3">
      <c r="A221" s="75"/>
      <c r="B221" s="76"/>
      <c r="C221" s="76"/>
      <c r="D221" s="76"/>
      <c r="E221" s="76"/>
      <c r="F221" s="76"/>
      <c r="G221" s="25"/>
      <c r="H221" s="25"/>
      <c r="I221" s="25"/>
      <c r="J221" s="25"/>
      <c r="K221" s="25"/>
      <c r="L221" s="25"/>
      <c r="M221" s="25"/>
      <c r="N221" s="25"/>
      <c r="O221" s="25"/>
      <c r="P221" s="25"/>
      <c r="Q221" s="25"/>
      <c r="R221" s="25"/>
      <c r="S221" s="25"/>
      <c r="T221" s="61"/>
      <c r="U221" s="25"/>
      <c r="V221" s="79"/>
      <c r="W221" s="25"/>
      <c r="X221" s="5"/>
    </row>
    <row r="222" spans="1:24" ht="15.6" x14ac:dyDescent="0.3">
      <c r="A222" s="80"/>
      <c r="B222" s="14" t="s">
        <v>79</v>
      </c>
      <c r="C222" s="81"/>
      <c r="D222" s="81"/>
      <c r="E222" s="81"/>
      <c r="F222" s="82"/>
      <c r="G222" s="81"/>
      <c r="H222" s="17"/>
      <c r="I222" s="17"/>
      <c r="J222" s="17"/>
      <c r="K222" s="17"/>
      <c r="L222" s="17"/>
      <c r="M222" s="17"/>
      <c r="N222" s="17"/>
      <c r="O222" s="17"/>
      <c r="P222" s="17"/>
      <c r="Q222" s="17"/>
      <c r="R222" s="17"/>
      <c r="S222" s="17" t="s">
        <v>102</v>
      </c>
      <c r="T222" s="83" t="s">
        <v>108</v>
      </c>
      <c r="U222" s="8"/>
      <c r="V222" s="8"/>
      <c r="W222" s="8"/>
      <c r="X222" s="5"/>
    </row>
    <row r="223" spans="1:24" ht="15.6" x14ac:dyDescent="0.3">
      <c r="A223" s="84"/>
      <c r="B223" s="76" t="s">
        <v>80</v>
      </c>
      <c r="C223" s="54"/>
      <c r="D223" s="54"/>
      <c r="E223" s="54"/>
      <c r="F223" s="25"/>
      <c r="G223" s="25"/>
      <c r="H223" s="30"/>
      <c r="I223" s="30"/>
      <c r="J223" s="30"/>
      <c r="K223" s="30"/>
      <c r="L223" s="30"/>
      <c r="M223" s="30"/>
      <c r="N223" s="30"/>
      <c r="O223" s="30"/>
      <c r="P223" s="30"/>
      <c r="Q223" s="30"/>
      <c r="R223" s="30"/>
      <c r="S223" s="30">
        <v>0</v>
      </c>
      <c r="T223" s="85">
        <v>0</v>
      </c>
      <c r="U223" s="25"/>
      <c r="V223" s="79"/>
      <c r="W223" s="86"/>
      <c r="X223" s="5"/>
    </row>
    <row r="224" spans="1:24" ht="15.6" x14ac:dyDescent="0.3">
      <c r="A224" s="84"/>
      <c r="B224" s="76" t="s">
        <v>145</v>
      </c>
      <c r="C224" s="54"/>
      <c r="D224" s="54"/>
      <c r="E224" s="54"/>
      <c r="F224" s="25"/>
      <c r="G224" s="25"/>
      <c r="H224" s="30"/>
      <c r="I224" s="30"/>
      <c r="J224" s="30"/>
      <c r="K224" s="30"/>
      <c r="L224" s="30"/>
      <c r="M224" s="30"/>
      <c r="N224" s="30"/>
      <c r="O224" s="30"/>
      <c r="P224" s="30"/>
      <c r="Q224" s="30"/>
      <c r="R224" s="30"/>
      <c r="S224" s="150">
        <f>+R264</f>
        <v>9</v>
      </c>
      <c r="T224" s="85">
        <f>+T264</f>
        <v>1543</v>
      </c>
      <c r="U224" s="25"/>
      <c r="V224" s="79"/>
      <c r="W224" s="86"/>
      <c r="X224" s="5"/>
    </row>
    <row r="225" spans="1:24" ht="15.6" x14ac:dyDescent="0.3">
      <c r="A225" s="84"/>
      <c r="B225" s="76" t="s">
        <v>81</v>
      </c>
      <c r="C225" s="54"/>
      <c r="D225" s="54"/>
      <c r="E225" s="54"/>
      <c r="F225" s="25"/>
      <c r="G225" s="25"/>
      <c r="H225" s="30"/>
      <c r="I225" s="30"/>
      <c r="J225" s="30"/>
      <c r="K225" s="30"/>
      <c r="L225" s="30"/>
      <c r="M225" s="30"/>
      <c r="N225" s="30"/>
      <c r="O225" s="30"/>
      <c r="P225" s="30"/>
      <c r="Q225" s="30"/>
      <c r="R225" s="30"/>
      <c r="S225" s="30">
        <v>2</v>
      </c>
      <c r="T225" s="85">
        <v>238</v>
      </c>
      <c r="U225" s="25"/>
      <c r="V225" s="79"/>
      <c r="W225" s="86"/>
      <c r="X225" s="5"/>
    </row>
    <row r="226" spans="1:24" ht="15.6" x14ac:dyDescent="0.3">
      <c r="A226" s="84"/>
      <c r="B226" s="122" t="s">
        <v>82</v>
      </c>
      <c r="C226" s="54"/>
      <c r="D226" s="54"/>
      <c r="E226" s="54"/>
      <c r="F226" s="25"/>
      <c r="G226" s="25"/>
      <c r="H226" s="25"/>
      <c r="I226" s="25"/>
      <c r="J226" s="25"/>
      <c r="K226" s="25"/>
      <c r="L226" s="25"/>
      <c r="M226" s="25"/>
      <c r="N226" s="25"/>
      <c r="O226" s="25"/>
      <c r="P226" s="25"/>
      <c r="Q226" s="25"/>
      <c r="R226" s="25"/>
      <c r="S226" s="25"/>
      <c r="T226" s="85">
        <v>0</v>
      </c>
      <c r="U226" s="25"/>
      <c r="V226" s="79"/>
      <c r="W226" s="86"/>
      <c r="X226" s="5"/>
    </row>
    <row r="227" spans="1:24" ht="15.6" x14ac:dyDescent="0.3">
      <c r="A227" s="84"/>
      <c r="B227" s="122" t="s">
        <v>243</v>
      </c>
      <c r="C227" s="54"/>
      <c r="D227" s="54"/>
      <c r="E227" s="54"/>
      <c r="F227" s="25"/>
      <c r="G227" s="25"/>
      <c r="H227" s="25"/>
      <c r="I227" s="25"/>
      <c r="J227" s="25"/>
      <c r="K227" s="25"/>
      <c r="L227" s="25"/>
      <c r="M227" s="25"/>
      <c r="N227" s="25"/>
      <c r="O227" s="25"/>
      <c r="P227" s="25"/>
      <c r="Q227" s="25"/>
      <c r="R227" s="25"/>
      <c r="S227" s="25"/>
      <c r="T227" s="85">
        <f>+N82</f>
        <v>0</v>
      </c>
      <c r="U227" s="25"/>
      <c r="V227" s="79"/>
      <c r="W227" s="86"/>
      <c r="X227" s="5"/>
    </row>
    <row r="228" spans="1:24" ht="15.6" x14ac:dyDescent="0.3">
      <c r="A228" s="87"/>
      <c r="B228" s="122" t="s">
        <v>83</v>
      </c>
      <c r="C228" s="76"/>
      <c r="D228" s="76"/>
      <c r="E228" s="76"/>
      <c r="F228" s="76"/>
      <c r="G228" s="25"/>
      <c r="H228" s="25"/>
      <c r="I228" s="25"/>
      <c r="J228" s="25"/>
      <c r="K228" s="25"/>
      <c r="L228" s="25"/>
      <c r="M228" s="25"/>
      <c r="N228" s="25"/>
      <c r="O228" s="25"/>
      <c r="P228" s="25"/>
      <c r="Q228" s="25"/>
      <c r="R228" s="25"/>
      <c r="S228" s="25"/>
      <c r="T228" s="85"/>
      <c r="U228" s="25"/>
      <c r="V228" s="79"/>
      <c r="W228" s="88"/>
      <c r="X228" s="5"/>
    </row>
    <row r="229" spans="1:24" ht="15.6" x14ac:dyDescent="0.3">
      <c r="A229" s="87"/>
      <c r="B229" s="131" t="s">
        <v>84</v>
      </c>
      <c r="C229" s="76"/>
      <c r="D229" s="76"/>
      <c r="E229" s="76"/>
      <c r="F229" s="76"/>
      <c r="G229" s="25"/>
      <c r="H229" s="25"/>
      <c r="I229" s="25"/>
      <c r="J229" s="25"/>
      <c r="K229" s="25"/>
      <c r="L229" s="25"/>
      <c r="M229" s="25"/>
      <c r="N229" s="25"/>
      <c r="O229" s="25"/>
      <c r="P229" s="25"/>
      <c r="Q229" s="25"/>
      <c r="R229" s="25"/>
      <c r="S229" s="30"/>
      <c r="T229" s="85">
        <f>V168</f>
        <v>-5</v>
      </c>
      <c r="U229" s="25"/>
      <c r="V229" s="79"/>
      <c r="W229" s="88"/>
      <c r="X229" s="5"/>
    </row>
    <row r="230" spans="1:24" ht="15.6" x14ac:dyDescent="0.3">
      <c r="A230" s="84"/>
      <c r="B230" s="76" t="s">
        <v>85</v>
      </c>
      <c r="C230" s="54"/>
      <c r="D230" s="54"/>
      <c r="E230" s="54"/>
      <c r="F230" s="54"/>
      <c r="G230" s="25"/>
      <c r="H230" s="25"/>
      <c r="I230" s="25"/>
      <c r="J230" s="25"/>
      <c r="K230" s="25"/>
      <c r="L230" s="25"/>
      <c r="M230" s="25"/>
      <c r="N230" s="25"/>
      <c r="O230" s="25"/>
      <c r="P230" s="25"/>
      <c r="Q230" s="25"/>
      <c r="R230" s="25"/>
      <c r="S230" s="30"/>
      <c r="T230" s="85">
        <f>+'Aug 07'!T229+T229</f>
        <v>0</v>
      </c>
      <c r="U230" s="25"/>
      <c r="V230" s="79"/>
      <c r="W230" s="88"/>
      <c r="X230" s="5"/>
    </row>
    <row r="231" spans="1:24" ht="15.6" x14ac:dyDescent="0.3">
      <c r="A231" s="87"/>
      <c r="B231" s="122" t="s">
        <v>295</v>
      </c>
      <c r="C231" s="76"/>
      <c r="D231" s="76"/>
      <c r="E231" s="76"/>
      <c r="F231" s="76"/>
      <c r="G231" s="25"/>
      <c r="H231" s="25"/>
      <c r="I231" s="25"/>
      <c r="J231" s="25"/>
      <c r="K231" s="25"/>
      <c r="L231" s="25"/>
      <c r="M231" s="25"/>
      <c r="N231" s="25"/>
      <c r="O231" s="25"/>
      <c r="P231" s="25"/>
      <c r="Q231" s="25"/>
      <c r="R231" s="25"/>
      <c r="S231" s="30"/>
      <c r="T231" s="85"/>
      <c r="U231" s="25"/>
      <c r="V231" s="79"/>
      <c r="W231" s="88"/>
      <c r="X231" s="5"/>
    </row>
    <row r="232" spans="1:24" ht="15.6" x14ac:dyDescent="0.3">
      <c r="A232" s="87"/>
      <c r="B232" s="76" t="s">
        <v>291</v>
      </c>
      <c r="C232" s="76"/>
      <c r="D232" s="76"/>
      <c r="E232" s="76"/>
      <c r="F232" s="76"/>
      <c r="G232" s="25"/>
      <c r="H232" s="25"/>
      <c r="I232" s="25"/>
      <c r="J232" s="25"/>
      <c r="K232" s="25"/>
      <c r="L232" s="25"/>
      <c r="M232" s="25"/>
      <c r="N232" s="25"/>
      <c r="O232" s="25"/>
      <c r="P232" s="25"/>
      <c r="Q232" s="25"/>
      <c r="R232" s="25"/>
      <c r="S232" s="30">
        <v>0</v>
      </c>
      <c r="T232" s="85">
        <v>0</v>
      </c>
      <c r="U232" s="25"/>
      <c r="V232" s="79"/>
      <c r="W232" s="88"/>
      <c r="X232" s="5"/>
    </row>
    <row r="233" spans="1:24" ht="15.6" x14ac:dyDescent="0.3">
      <c r="A233" s="84"/>
      <c r="B233" s="76" t="s">
        <v>86</v>
      </c>
      <c r="C233" s="89"/>
      <c r="D233" s="89"/>
      <c r="E233" s="89"/>
      <c r="F233" s="90"/>
      <c r="G233" s="25"/>
      <c r="H233" s="25"/>
      <c r="I233" s="25"/>
      <c r="J233" s="25"/>
      <c r="K233" s="25"/>
      <c r="L233" s="25"/>
      <c r="M233" s="25"/>
      <c r="N233" s="25"/>
      <c r="O233" s="25"/>
      <c r="P233" s="25"/>
      <c r="Q233" s="25"/>
      <c r="R233" s="25"/>
      <c r="S233" s="25"/>
      <c r="T233" s="62">
        <v>0</v>
      </c>
      <c r="U233" s="25"/>
      <c r="V233" s="79"/>
      <c r="W233" s="88"/>
      <c r="X233" s="5"/>
    </row>
    <row r="234" spans="1:24" ht="15.6" x14ac:dyDescent="0.3">
      <c r="A234" s="84"/>
      <c r="B234" s="76" t="s">
        <v>87</v>
      </c>
      <c r="C234" s="89"/>
      <c r="D234" s="89"/>
      <c r="E234" s="89"/>
      <c r="F234" s="90"/>
      <c r="G234" s="25"/>
      <c r="H234" s="25"/>
      <c r="I234" s="25"/>
      <c r="J234" s="25"/>
      <c r="K234" s="25"/>
      <c r="L234" s="25"/>
      <c r="M234" s="25"/>
      <c r="N234" s="25"/>
      <c r="O234" s="25"/>
      <c r="P234" s="25"/>
      <c r="Q234" s="25"/>
      <c r="R234" s="25"/>
      <c r="S234" s="25"/>
      <c r="T234" s="62">
        <v>0</v>
      </c>
      <c r="U234" s="25"/>
      <c r="V234" s="79"/>
      <c r="W234" s="88"/>
      <c r="X234" s="5"/>
    </row>
    <row r="235" spans="1:24" ht="15.6" x14ac:dyDescent="0.3">
      <c r="A235" s="84"/>
      <c r="B235" s="122" t="s">
        <v>217</v>
      </c>
      <c r="C235" s="89"/>
      <c r="D235" s="89"/>
      <c r="E235" s="89"/>
      <c r="F235" s="90"/>
      <c r="G235" s="25"/>
      <c r="H235" s="25"/>
      <c r="I235" s="25"/>
      <c r="J235" s="25"/>
      <c r="K235" s="25"/>
      <c r="L235" s="25"/>
      <c r="M235" s="25"/>
      <c r="N235" s="25"/>
      <c r="O235" s="25"/>
      <c r="P235" s="25"/>
      <c r="Q235" s="25"/>
      <c r="R235" s="25"/>
      <c r="S235" s="25"/>
      <c r="T235" s="91"/>
      <c r="U235" s="25"/>
      <c r="V235" s="79"/>
      <c r="W235" s="88"/>
      <c r="X235" s="5"/>
    </row>
    <row r="236" spans="1:24" ht="15.6" x14ac:dyDescent="0.3">
      <c r="A236" s="84"/>
      <c r="B236" s="76" t="s">
        <v>291</v>
      </c>
      <c r="C236" s="89"/>
      <c r="D236" s="89"/>
      <c r="E236" s="89"/>
      <c r="F236" s="90"/>
      <c r="G236" s="25"/>
      <c r="H236" s="25"/>
      <c r="I236" s="25"/>
      <c r="J236" s="25"/>
      <c r="K236" s="25"/>
      <c r="L236" s="25"/>
      <c r="M236" s="25"/>
      <c r="N236" s="25"/>
      <c r="O236" s="25"/>
      <c r="P236" s="25"/>
      <c r="Q236" s="25"/>
      <c r="R236" s="25"/>
      <c r="S236" s="30">
        <v>0</v>
      </c>
      <c r="T236" s="85">
        <v>0</v>
      </c>
      <c r="U236" s="25"/>
      <c r="V236" s="79"/>
      <c r="W236" s="88"/>
      <c r="X236" s="5"/>
    </row>
    <row r="237" spans="1:24" ht="15.6" x14ac:dyDescent="0.3">
      <c r="A237" s="84"/>
      <c r="B237" s="76" t="s">
        <v>218</v>
      </c>
      <c r="C237" s="89"/>
      <c r="D237" s="89"/>
      <c r="E237" s="89"/>
      <c r="F237" s="90"/>
      <c r="G237" s="25"/>
      <c r="H237" s="25"/>
      <c r="I237" s="25"/>
      <c r="J237" s="25"/>
      <c r="K237" s="25"/>
      <c r="L237" s="25"/>
      <c r="M237" s="25"/>
      <c r="N237" s="25"/>
      <c r="O237" s="25"/>
      <c r="P237" s="25"/>
      <c r="Q237" s="25"/>
      <c r="R237" s="25"/>
      <c r="S237" s="25"/>
      <c r="T237" s="62">
        <v>0</v>
      </c>
      <c r="U237" s="25"/>
      <c r="V237" s="79"/>
      <c r="W237" s="88"/>
      <c r="X237" s="5"/>
    </row>
    <row r="238" spans="1:24" ht="15.6" x14ac:dyDescent="0.3">
      <c r="A238" s="84"/>
      <c r="B238" s="76"/>
      <c r="C238" s="89"/>
      <c r="D238" s="89"/>
      <c r="E238" s="89"/>
      <c r="F238" s="90"/>
      <c r="G238" s="25"/>
      <c r="H238" s="25"/>
      <c r="I238" s="25"/>
      <c r="J238" s="25"/>
      <c r="K238" s="25"/>
      <c r="L238" s="25"/>
      <c r="M238" s="25"/>
      <c r="N238" s="25"/>
      <c r="O238" s="25"/>
      <c r="P238" s="25"/>
      <c r="Q238" s="25"/>
      <c r="R238" s="25"/>
      <c r="S238" s="25"/>
      <c r="T238" s="91"/>
      <c r="U238" s="25"/>
      <c r="V238" s="79"/>
      <c r="W238" s="88"/>
      <c r="X238" s="5"/>
    </row>
    <row r="239" spans="1:24" ht="15.6" x14ac:dyDescent="0.3">
      <c r="A239" s="84"/>
      <c r="B239" s="76"/>
      <c r="C239" s="89"/>
      <c r="D239" s="89"/>
      <c r="E239" s="89"/>
      <c r="F239" s="90"/>
      <c r="G239" s="25"/>
      <c r="H239" s="25"/>
      <c r="I239" s="25"/>
      <c r="J239" s="25"/>
      <c r="K239" s="25"/>
      <c r="L239" s="25"/>
      <c r="M239" s="25"/>
      <c r="N239" s="25"/>
      <c r="O239" s="25"/>
      <c r="P239" s="25"/>
      <c r="Q239" s="25"/>
      <c r="R239" s="25"/>
      <c r="S239" s="25"/>
      <c r="T239" s="91"/>
      <c r="U239" s="25"/>
      <c r="V239" s="79"/>
      <c r="W239" s="88"/>
      <c r="X239" s="5"/>
    </row>
    <row r="240" spans="1:24" ht="17.399999999999999" x14ac:dyDescent="0.3">
      <c r="A240" s="84"/>
      <c r="B240" s="147" t="s">
        <v>168</v>
      </c>
      <c r="C240" s="89"/>
      <c r="D240" s="89"/>
      <c r="E240" s="89"/>
      <c r="F240" s="90"/>
      <c r="G240" s="25"/>
      <c r="H240" s="25"/>
      <c r="I240" s="25"/>
      <c r="J240" s="25"/>
      <c r="K240" s="25"/>
      <c r="L240" s="25"/>
      <c r="M240" s="25"/>
      <c r="N240" s="25"/>
      <c r="O240" s="25"/>
      <c r="P240" s="148" t="s">
        <v>167</v>
      </c>
      <c r="Q240" s="25"/>
      <c r="R240" s="25"/>
      <c r="S240" s="25"/>
      <c r="T240" s="91"/>
      <c r="U240" s="25"/>
      <c r="V240" s="79"/>
      <c r="W240" s="88"/>
      <c r="X240" s="5"/>
    </row>
    <row r="241" spans="1:25" ht="15.6" x14ac:dyDescent="0.3">
      <c r="A241" s="84"/>
      <c r="B241" s="76"/>
      <c r="C241" s="89"/>
      <c r="D241" s="89"/>
      <c r="E241" s="89"/>
      <c r="F241" s="90"/>
      <c r="G241" s="25"/>
      <c r="H241" s="25"/>
      <c r="I241" s="25"/>
      <c r="J241" s="25"/>
      <c r="K241" s="25"/>
      <c r="L241" s="25"/>
      <c r="M241" s="25"/>
      <c r="N241" s="25"/>
      <c r="O241" s="25"/>
      <c r="P241" s="25"/>
      <c r="Q241" s="25"/>
      <c r="R241" s="25"/>
      <c r="S241" s="25"/>
      <c r="T241" s="91"/>
      <c r="U241" s="25"/>
      <c r="V241" s="79"/>
      <c r="W241" s="88"/>
      <c r="X241" s="5"/>
    </row>
    <row r="242" spans="1:25" ht="15.6" x14ac:dyDescent="0.3">
      <c r="A242" s="6"/>
      <c r="B242" s="14" t="s">
        <v>162</v>
      </c>
      <c r="C242" s="81"/>
      <c r="D242" s="81"/>
      <c r="E242" s="81"/>
      <c r="F242" s="82"/>
      <c r="G242" s="81"/>
      <c r="H242" s="17"/>
      <c r="I242" s="17"/>
      <c r="J242" s="17"/>
      <c r="K242" s="17"/>
      <c r="L242" s="17"/>
      <c r="M242" s="17"/>
      <c r="N242" s="17"/>
      <c r="O242" s="17"/>
      <c r="P242" s="17"/>
      <c r="Q242" s="17"/>
      <c r="R242" s="83" t="s">
        <v>102</v>
      </c>
      <c r="S242" s="17" t="s">
        <v>103</v>
      </c>
      <c r="T242" s="83" t="s">
        <v>109</v>
      </c>
      <c r="U242" s="17" t="s">
        <v>103</v>
      </c>
      <c r="V242" s="8"/>
      <c r="W242" s="92"/>
      <c r="X242" s="5"/>
    </row>
    <row r="243" spans="1:25" ht="15.6" x14ac:dyDescent="0.3">
      <c r="A243" s="24"/>
      <c r="B243" s="54" t="s">
        <v>88</v>
      </c>
      <c r="C243" s="93"/>
      <c r="D243" s="93"/>
      <c r="E243" s="93"/>
      <c r="F243" s="25"/>
      <c r="G243" s="93"/>
      <c r="H243" s="93"/>
      <c r="I243" s="93"/>
      <c r="J243" s="93"/>
      <c r="K243" s="93"/>
      <c r="L243" s="93"/>
      <c r="M243" s="93"/>
      <c r="N243" s="93"/>
      <c r="O243" s="93"/>
      <c r="P243" s="93"/>
      <c r="Q243" s="93"/>
      <c r="R243" s="54">
        <v>9906</v>
      </c>
      <c r="S243" s="94">
        <f t="shared" ref="S243:S250" si="1">R243/$R$252</f>
        <v>0.9964792274419072</v>
      </c>
      <c r="T243" s="53">
        <v>1436459</v>
      </c>
      <c r="U243" s="132">
        <f t="shared" ref="U243:U250" si="2">T243/$T$252</f>
        <v>0.99653751430850879</v>
      </c>
      <c r="V243" s="79"/>
      <c r="W243" s="88"/>
      <c r="X243" s="5"/>
    </row>
    <row r="244" spans="1:25" ht="15.6" x14ac:dyDescent="0.3">
      <c r="A244" s="24"/>
      <c r="B244" s="54" t="s">
        <v>89</v>
      </c>
      <c r="C244" s="93"/>
      <c r="D244" s="93"/>
      <c r="E244" s="93"/>
      <c r="F244" s="25"/>
      <c r="G244" s="94"/>
      <c r="H244" s="93"/>
      <c r="I244" s="93"/>
      <c r="J244" s="93"/>
      <c r="K244" s="93"/>
      <c r="L244" s="93"/>
      <c r="M244" s="93"/>
      <c r="N244" s="93"/>
      <c r="O244" s="93"/>
      <c r="P244" s="93"/>
      <c r="Q244" s="93"/>
      <c r="R244" s="54">
        <v>28</v>
      </c>
      <c r="S244" s="94">
        <f t="shared" si="1"/>
        <v>2.8166180464741977E-3</v>
      </c>
      <c r="T244" s="53">
        <v>3893</v>
      </c>
      <c r="U244" s="132">
        <f t="shared" si="2"/>
        <v>2.7007527142807589E-3</v>
      </c>
      <c r="V244" s="79"/>
      <c r="W244" s="88"/>
      <c r="X244" s="5"/>
      <c r="Y244" s="109"/>
    </row>
    <row r="245" spans="1:25" ht="15.6" x14ac:dyDescent="0.3">
      <c r="A245" s="24"/>
      <c r="B245" s="54" t="s">
        <v>90</v>
      </c>
      <c r="C245" s="93"/>
      <c r="D245" s="93"/>
      <c r="E245" s="93"/>
      <c r="F245" s="25"/>
      <c r="G245" s="94"/>
      <c r="H245" s="93"/>
      <c r="I245" s="93"/>
      <c r="J245" s="93"/>
      <c r="K245" s="93"/>
      <c r="L245" s="93"/>
      <c r="M245" s="93"/>
      <c r="N245" s="93"/>
      <c r="O245" s="93"/>
      <c r="P245" s="93"/>
      <c r="Q245" s="93"/>
      <c r="R245" s="54">
        <v>7</v>
      </c>
      <c r="S245" s="94">
        <f t="shared" si="1"/>
        <v>7.0415451161854941E-4</v>
      </c>
      <c r="T245" s="53">
        <v>1098</v>
      </c>
      <c r="U245" s="132">
        <f t="shared" si="2"/>
        <v>7.6173297721044786E-4</v>
      </c>
      <c r="V245" s="79"/>
      <c r="W245" s="88"/>
      <c r="X245" s="5"/>
    </row>
    <row r="246" spans="1:25" ht="15.6" x14ac:dyDescent="0.3">
      <c r="A246" s="24"/>
      <c r="B246" s="54" t="s">
        <v>156</v>
      </c>
      <c r="C246" s="93"/>
      <c r="D246" s="93"/>
      <c r="E246" s="93"/>
      <c r="F246" s="25"/>
      <c r="G246" s="94"/>
      <c r="H246" s="93"/>
      <c r="I246" s="93"/>
      <c r="J246" s="93"/>
      <c r="K246" s="93"/>
      <c r="L246" s="93"/>
      <c r="M246" s="93"/>
      <c r="N246" s="93"/>
      <c r="O246" s="93"/>
      <c r="P246" s="93"/>
      <c r="Q246" s="93"/>
      <c r="R246" s="54">
        <v>0</v>
      </c>
      <c r="S246" s="94">
        <f t="shared" si="1"/>
        <v>0</v>
      </c>
      <c r="T246" s="53">
        <v>0</v>
      </c>
      <c r="U246" s="132">
        <f t="shared" si="2"/>
        <v>0</v>
      </c>
      <c r="V246" s="79"/>
      <c r="W246" s="88"/>
      <c r="X246" s="5"/>
      <c r="Y246" s="109"/>
    </row>
    <row r="247" spans="1:25" ht="15.6" x14ac:dyDescent="0.3">
      <c r="A247" s="24"/>
      <c r="B247" s="54" t="s">
        <v>157</v>
      </c>
      <c r="C247" s="93"/>
      <c r="D247" s="93"/>
      <c r="E247" s="93"/>
      <c r="F247" s="25"/>
      <c r="G247" s="94"/>
      <c r="H247" s="93"/>
      <c r="I247" s="93"/>
      <c r="J247" s="93"/>
      <c r="K247" s="93"/>
      <c r="L247" s="93"/>
      <c r="M247" s="93"/>
      <c r="N247" s="93"/>
      <c r="O247" s="93"/>
      <c r="P247" s="93"/>
      <c r="Q247" s="93"/>
      <c r="R247" s="54">
        <v>0</v>
      </c>
      <c r="S247" s="94">
        <f t="shared" si="1"/>
        <v>0</v>
      </c>
      <c r="T247" s="53">
        <v>0</v>
      </c>
      <c r="U247" s="132">
        <f t="shared" si="2"/>
        <v>0</v>
      </c>
      <c r="V247" s="79"/>
      <c r="W247" s="88"/>
      <c r="X247" s="5"/>
    </row>
    <row r="248" spans="1:25" ht="15.6" x14ac:dyDescent="0.3">
      <c r="A248" s="24"/>
      <c r="B248" s="54" t="s">
        <v>158</v>
      </c>
      <c r="C248" s="93"/>
      <c r="D248" s="93"/>
      <c r="E248" s="93"/>
      <c r="F248" s="25"/>
      <c r="G248" s="94"/>
      <c r="H248" s="93"/>
      <c r="I248" s="93"/>
      <c r="J248" s="93"/>
      <c r="K248" s="93"/>
      <c r="L248" s="93"/>
      <c r="M248" s="93"/>
      <c r="N248" s="93"/>
      <c r="O248" s="93"/>
      <c r="P248" s="93"/>
      <c r="Q248" s="93"/>
      <c r="R248" s="54">
        <v>0</v>
      </c>
      <c r="S248" s="94">
        <f t="shared" si="1"/>
        <v>0</v>
      </c>
      <c r="T248" s="53">
        <v>0</v>
      </c>
      <c r="U248" s="132">
        <f t="shared" si="2"/>
        <v>0</v>
      </c>
      <c r="V248" s="79"/>
      <c r="W248" s="88"/>
      <c r="X248" s="5"/>
      <c r="Y248" s="109"/>
    </row>
    <row r="249" spans="1:25" ht="15.6" x14ac:dyDescent="0.3">
      <c r="A249" s="24"/>
      <c r="B249" s="54" t="s">
        <v>159</v>
      </c>
      <c r="C249" s="93"/>
      <c r="D249" s="93"/>
      <c r="E249" s="93"/>
      <c r="F249" s="25"/>
      <c r="G249" s="94"/>
      <c r="H249" s="93"/>
      <c r="I249" s="93"/>
      <c r="J249" s="93"/>
      <c r="K249" s="93"/>
      <c r="L249" s="93"/>
      <c r="M249" s="93"/>
      <c r="N249" s="93"/>
      <c r="O249" s="93"/>
      <c r="P249" s="93"/>
      <c r="Q249" s="93"/>
      <c r="R249" s="54">
        <v>0</v>
      </c>
      <c r="S249" s="94">
        <f t="shared" si="1"/>
        <v>0</v>
      </c>
      <c r="T249" s="53">
        <v>0</v>
      </c>
      <c r="U249" s="132">
        <f t="shared" si="2"/>
        <v>0</v>
      </c>
      <c r="V249" s="79"/>
      <c r="W249" s="88"/>
      <c r="X249" s="5"/>
    </row>
    <row r="250" spans="1:25" ht="15.6" x14ac:dyDescent="0.3">
      <c r="A250" s="24"/>
      <c r="B250" s="54" t="s">
        <v>160</v>
      </c>
      <c r="C250" s="93"/>
      <c r="D250" s="93"/>
      <c r="E250" s="93"/>
      <c r="F250" s="25"/>
      <c r="G250" s="94"/>
      <c r="H250" s="93"/>
      <c r="I250" s="93"/>
      <c r="J250" s="93"/>
      <c r="K250" s="93"/>
      <c r="L250" s="93"/>
      <c r="M250" s="93"/>
      <c r="N250" s="93"/>
      <c r="O250" s="93"/>
      <c r="P250" s="93"/>
      <c r="Q250" s="93"/>
      <c r="R250" s="54">
        <v>0</v>
      </c>
      <c r="S250" s="94">
        <f t="shared" si="1"/>
        <v>0</v>
      </c>
      <c r="T250" s="53">
        <v>0</v>
      </c>
      <c r="U250" s="132">
        <f t="shared" si="2"/>
        <v>0</v>
      </c>
      <c r="V250" s="79"/>
      <c r="W250" s="88"/>
      <c r="X250" s="5"/>
      <c r="Y250" s="109"/>
    </row>
    <row r="251" spans="1:25" ht="15.6" x14ac:dyDescent="0.3">
      <c r="A251" s="24"/>
      <c r="B251" s="54"/>
      <c r="C251" s="93"/>
      <c r="D251" s="93"/>
      <c r="E251" s="93"/>
      <c r="F251" s="25"/>
      <c r="G251" s="94"/>
      <c r="H251" s="93"/>
      <c r="I251" s="93"/>
      <c r="J251" s="93"/>
      <c r="K251" s="93"/>
      <c r="L251" s="93"/>
      <c r="M251" s="93"/>
      <c r="N251" s="93"/>
      <c r="O251" s="93"/>
      <c r="P251" s="93"/>
      <c r="Q251" s="93"/>
      <c r="R251" s="54"/>
      <c r="S251" s="94"/>
      <c r="T251" s="53"/>
      <c r="U251" s="132"/>
      <c r="V251" s="79"/>
      <c r="W251" s="88"/>
      <c r="X251" s="5"/>
    </row>
    <row r="252" spans="1:25" ht="15.6" x14ac:dyDescent="0.3">
      <c r="A252" s="24"/>
      <c r="B252" s="25"/>
      <c r="C252" s="25"/>
      <c r="D252" s="25"/>
      <c r="E252" s="25"/>
      <c r="F252" s="25"/>
      <c r="G252" s="25"/>
      <c r="H252" s="95"/>
      <c r="I252" s="95"/>
      <c r="J252" s="95"/>
      <c r="K252" s="95"/>
      <c r="L252" s="95"/>
      <c r="M252" s="95"/>
      <c r="N252" s="95"/>
      <c r="O252" s="95"/>
      <c r="P252" s="95"/>
      <c r="Q252" s="95"/>
      <c r="R252" s="34">
        <f>SUM(R243:R251)</f>
        <v>9941</v>
      </c>
      <c r="S252" s="132">
        <f>SUM(S243:S251)</f>
        <v>0.99999999999999989</v>
      </c>
      <c r="T252" s="53">
        <f>SUM(T243:T251)</f>
        <v>1441450</v>
      </c>
      <c r="U252" s="132">
        <f>SUM(U243:U251)</f>
        <v>1</v>
      </c>
      <c r="V252" s="25"/>
      <c r="W252" s="25"/>
      <c r="X252" s="5"/>
    </row>
    <row r="253" spans="1:25" ht="15.6" x14ac:dyDescent="0.3">
      <c r="A253" s="24"/>
      <c r="B253" s="25"/>
      <c r="C253" s="25"/>
      <c r="D253" s="25"/>
      <c r="E253" s="25"/>
      <c r="F253" s="25"/>
      <c r="G253" s="25"/>
      <c r="H253" s="95"/>
      <c r="I253" s="95"/>
      <c r="J253" s="95"/>
      <c r="K253" s="95"/>
      <c r="L253" s="95"/>
      <c r="M253" s="95"/>
      <c r="N253" s="95"/>
      <c r="O253" s="95"/>
      <c r="P253" s="95"/>
      <c r="Q253" s="95"/>
      <c r="R253" s="34"/>
      <c r="S253" s="132"/>
      <c r="T253" s="53"/>
      <c r="U253" s="132"/>
      <c r="V253" s="25"/>
      <c r="W253" s="25"/>
      <c r="X253" s="5"/>
    </row>
    <row r="254" spans="1:25" ht="15.6" x14ac:dyDescent="0.3">
      <c r="A254" s="139"/>
      <c r="B254" s="14" t="s">
        <v>275</v>
      </c>
      <c r="C254" s="81"/>
      <c r="D254" s="81"/>
      <c r="E254" s="81"/>
      <c r="F254" s="82"/>
      <c r="G254" s="81"/>
      <c r="H254" s="17"/>
      <c r="I254" s="17"/>
      <c r="J254" s="17"/>
      <c r="K254" s="17"/>
      <c r="L254" s="17"/>
      <c r="M254" s="17"/>
      <c r="N254" s="17"/>
      <c r="O254" s="17"/>
      <c r="P254" s="17"/>
      <c r="Q254" s="17"/>
      <c r="R254" s="83" t="s">
        <v>102</v>
      </c>
      <c r="S254" s="17" t="s">
        <v>103</v>
      </c>
      <c r="T254" s="83" t="s">
        <v>109</v>
      </c>
      <c r="U254" s="17" t="s">
        <v>103</v>
      </c>
      <c r="V254" s="137"/>
      <c r="W254" s="138"/>
      <c r="X254" s="5"/>
    </row>
    <row r="255" spans="1:25" ht="15.6" x14ac:dyDescent="0.3">
      <c r="A255" s="24"/>
      <c r="B255" s="54" t="s">
        <v>88</v>
      </c>
      <c r="C255" s="93"/>
      <c r="D255" s="93"/>
      <c r="E255" s="93"/>
      <c r="F255" s="25"/>
      <c r="G255" s="93"/>
      <c r="H255" s="93"/>
      <c r="I255" s="93"/>
      <c r="J255" s="93"/>
      <c r="K255" s="93"/>
      <c r="L255" s="93"/>
      <c r="M255" s="93"/>
      <c r="N255" s="93"/>
      <c r="O255" s="93"/>
      <c r="P255" s="93"/>
      <c r="Q255" s="93"/>
      <c r="R255" s="54">
        <v>3</v>
      </c>
      <c r="S255" s="94">
        <f t="shared" ref="S255:S262" si="3">R255/$R$264</f>
        <v>0.33333333333333331</v>
      </c>
      <c r="T255" s="53">
        <v>686</v>
      </c>
      <c r="U255" s="132">
        <f t="shared" ref="U255:U262" si="4">T255/$T$264</f>
        <v>0.44458846403110824</v>
      </c>
      <c r="V255" s="25"/>
      <c r="W255" s="25"/>
      <c r="X255" s="5"/>
    </row>
    <row r="256" spans="1:25" ht="15.6" x14ac:dyDescent="0.3">
      <c r="A256" s="24"/>
      <c r="B256" s="54" t="s">
        <v>89</v>
      </c>
      <c r="C256" s="93"/>
      <c r="D256" s="93"/>
      <c r="E256" s="93"/>
      <c r="F256" s="25"/>
      <c r="G256" s="94"/>
      <c r="H256" s="93"/>
      <c r="I256" s="93"/>
      <c r="J256" s="93"/>
      <c r="K256" s="93"/>
      <c r="L256" s="93"/>
      <c r="M256" s="93"/>
      <c r="N256" s="93"/>
      <c r="O256" s="93"/>
      <c r="P256" s="93"/>
      <c r="Q256" s="93"/>
      <c r="R256" s="54">
        <v>0</v>
      </c>
      <c r="S256" s="94">
        <f t="shared" si="3"/>
        <v>0</v>
      </c>
      <c r="T256" s="53">
        <v>0</v>
      </c>
      <c r="U256" s="132">
        <f t="shared" si="4"/>
        <v>0</v>
      </c>
      <c r="V256" s="25"/>
      <c r="W256" s="25"/>
      <c r="X256" s="5"/>
    </row>
    <row r="257" spans="1:24" ht="15.6" x14ac:dyDescent="0.3">
      <c r="A257" s="24"/>
      <c r="B257" s="54" t="s">
        <v>90</v>
      </c>
      <c r="C257" s="93"/>
      <c r="D257" s="93"/>
      <c r="E257" s="93"/>
      <c r="F257" s="25"/>
      <c r="G257" s="94"/>
      <c r="H257" s="93"/>
      <c r="I257" s="93"/>
      <c r="J257" s="93"/>
      <c r="K257" s="93"/>
      <c r="L257" s="93"/>
      <c r="M257" s="93"/>
      <c r="N257" s="93"/>
      <c r="O257" s="93"/>
      <c r="P257" s="93"/>
      <c r="Q257" s="93"/>
      <c r="R257" s="54">
        <v>1</v>
      </c>
      <c r="S257" s="94">
        <f t="shared" si="3"/>
        <v>0.1111111111111111</v>
      </c>
      <c r="T257" s="53">
        <v>152</v>
      </c>
      <c r="U257" s="132">
        <f t="shared" si="4"/>
        <v>9.8509397278029806E-2</v>
      </c>
      <c r="V257" s="25"/>
      <c r="W257" s="25"/>
      <c r="X257" s="5"/>
    </row>
    <row r="258" spans="1:24" ht="15.6" x14ac:dyDescent="0.3">
      <c r="A258" s="24"/>
      <c r="B258" s="54" t="s">
        <v>156</v>
      </c>
      <c r="C258" s="93"/>
      <c r="D258" s="93"/>
      <c r="E258" s="93"/>
      <c r="F258" s="25"/>
      <c r="G258" s="94"/>
      <c r="H258" s="93"/>
      <c r="I258" s="93"/>
      <c r="J258" s="93"/>
      <c r="K258" s="93"/>
      <c r="L258" s="93"/>
      <c r="M258" s="93"/>
      <c r="N258" s="93"/>
      <c r="O258" s="93"/>
      <c r="P258" s="93"/>
      <c r="Q258" s="93"/>
      <c r="R258" s="54">
        <v>0</v>
      </c>
      <c r="S258" s="94">
        <f t="shared" si="3"/>
        <v>0</v>
      </c>
      <c r="T258" s="53">
        <v>0</v>
      </c>
      <c r="U258" s="132">
        <f t="shared" si="4"/>
        <v>0</v>
      </c>
      <c r="V258" s="25"/>
      <c r="W258" s="25"/>
      <c r="X258" s="5"/>
    </row>
    <row r="259" spans="1:24" ht="15.6" x14ac:dyDescent="0.3">
      <c r="A259" s="24"/>
      <c r="B259" s="54" t="s">
        <v>157</v>
      </c>
      <c r="C259" s="93"/>
      <c r="D259" s="93"/>
      <c r="E259" s="93"/>
      <c r="F259" s="25"/>
      <c r="G259" s="94"/>
      <c r="H259" s="93"/>
      <c r="I259" s="93"/>
      <c r="J259" s="93"/>
      <c r="K259" s="93"/>
      <c r="L259" s="93"/>
      <c r="M259" s="93"/>
      <c r="N259" s="93"/>
      <c r="O259" s="93"/>
      <c r="P259" s="93"/>
      <c r="Q259" s="93"/>
      <c r="R259" s="54">
        <v>1</v>
      </c>
      <c r="S259" s="94">
        <f t="shared" si="3"/>
        <v>0.1111111111111111</v>
      </c>
      <c r="T259" s="53">
        <v>129</v>
      </c>
      <c r="U259" s="132">
        <f t="shared" si="4"/>
        <v>8.3603370058327936E-2</v>
      </c>
      <c r="V259" s="25"/>
      <c r="W259" s="25"/>
      <c r="X259" s="5"/>
    </row>
    <row r="260" spans="1:24" ht="15.6" x14ac:dyDescent="0.3">
      <c r="A260" s="24"/>
      <c r="B260" s="54" t="s">
        <v>158</v>
      </c>
      <c r="C260" s="93"/>
      <c r="D260" s="93"/>
      <c r="E260" s="93"/>
      <c r="F260" s="25"/>
      <c r="G260" s="94"/>
      <c r="H260" s="93"/>
      <c r="I260" s="93"/>
      <c r="J260" s="93"/>
      <c r="K260" s="93"/>
      <c r="L260" s="93"/>
      <c r="M260" s="93"/>
      <c r="N260" s="93"/>
      <c r="O260" s="93"/>
      <c r="P260" s="93"/>
      <c r="Q260" s="93"/>
      <c r="R260" s="54">
        <v>3</v>
      </c>
      <c r="S260" s="94">
        <f t="shared" si="3"/>
        <v>0.33333333333333331</v>
      </c>
      <c r="T260" s="53">
        <v>425</v>
      </c>
      <c r="U260" s="132">
        <f t="shared" si="4"/>
        <v>0.27543745949449128</v>
      </c>
      <c r="V260" s="25"/>
      <c r="W260" s="25"/>
      <c r="X260" s="5"/>
    </row>
    <row r="261" spans="1:24" ht="15.6" x14ac:dyDescent="0.3">
      <c r="A261" s="24"/>
      <c r="B261" s="54" t="s">
        <v>159</v>
      </c>
      <c r="C261" s="93"/>
      <c r="D261" s="93"/>
      <c r="E261" s="93"/>
      <c r="F261" s="25"/>
      <c r="G261" s="94"/>
      <c r="H261" s="93"/>
      <c r="I261" s="93"/>
      <c r="J261" s="93"/>
      <c r="K261" s="93"/>
      <c r="L261" s="93"/>
      <c r="M261" s="93"/>
      <c r="N261" s="93"/>
      <c r="O261" s="93"/>
      <c r="P261" s="93"/>
      <c r="Q261" s="93"/>
      <c r="R261" s="54">
        <v>1</v>
      </c>
      <c r="S261" s="94">
        <f t="shared" si="3"/>
        <v>0.1111111111111111</v>
      </c>
      <c r="T261" s="53">
        <v>151</v>
      </c>
      <c r="U261" s="132">
        <f t="shared" si="4"/>
        <v>9.7861309138042779E-2</v>
      </c>
      <c r="V261" s="25"/>
      <c r="W261" s="25"/>
      <c r="X261" s="5"/>
    </row>
    <row r="262" spans="1:24" ht="15.6" x14ac:dyDescent="0.3">
      <c r="A262" s="24"/>
      <c r="B262" s="54" t="s">
        <v>160</v>
      </c>
      <c r="C262" s="93"/>
      <c r="D262" s="93"/>
      <c r="E262" s="93"/>
      <c r="F262" s="25"/>
      <c r="G262" s="94"/>
      <c r="H262" s="93"/>
      <c r="I262" s="93"/>
      <c r="J262" s="93"/>
      <c r="K262" s="93"/>
      <c r="L262" s="93"/>
      <c r="M262" s="93"/>
      <c r="N262" s="93"/>
      <c r="O262" s="93"/>
      <c r="P262" s="93"/>
      <c r="Q262" s="93"/>
      <c r="R262" s="54">
        <v>0</v>
      </c>
      <c r="S262" s="94">
        <f t="shared" si="3"/>
        <v>0</v>
      </c>
      <c r="T262" s="53">
        <v>0</v>
      </c>
      <c r="U262" s="132">
        <f t="shared" si="4"/>
        <v>0</v>
      </c>
      <c r="V262" s="25"/>
      <c r="W262" s="25"/>
      <c r="X262" s="5"/>
    </row>
    <row r="263" spans="1:24" ht="15.6" x14ac:dyDescent="0.3">
      <c r="A263" s="24"/>
      <c r="B263" s="54"/>
      <c r="C263" s="93"/>
      <c r="D263" s="93"/>
      <c r="E263" s="93"/>
      <c r="F263" s="25"/>
      <c r="G263" s="94"/>
      <c r="H263" s="93"/>
      <c r="I263" s="93"/>
      <c r="J263" s="93"/>
      <c r="K263" s="93"/>
      <c r="L263" s="93"/>
      <c r="M263" s="93"/>
      <c r="N263" s="93"/>
      <c r="O263" s="93"/>
      <c r="P263" s="93"/>
      <c r="Q263" s="93"/>
      <c r="R263" s="54"/>
      <c r="S263" s="94"/>
      <c r="T263" s="53"/>
      <c r="U263" s="132"/>
      <c r="V263" s="25"/>
      <c r="W263" s="25"/>
      <c r="X263" s="5"/>
    </row>
    <row r="264" spans="1:24" ht="15.6" x14ac:dyDescent="0.3">
      <c r="A264" s="24"/>
      <c r="B264" s="25"/>
      <c r="C264" s="25"/>
      <c r="D264" s="25"/>
      <c r="E264" s="25"/>
      <c r="F264" s="25"/>
      <c r="G264" s="25"/>
      <c r="H264" s="95"/>
      <c r="I264" s="95"/>
      <c r="J264" s="95"/>
      <c r="K264" s="95"/>
      <c r="L264" s="95"/>
      <c r="M264" s="95"/>
      <c r="N264" s="95"/>
      <c r="O264" s="95"/>
      <c r="P264" s="95"/>
      <c r="Q264" s="95"/>
      <c r="R264" s="34">
        <f>SUM(R255:R263)</f>
        <v>9</v>
      </c>
      <c r="S264" s="132">
        <f>SUM(S255:S263)</f>
        <v>1</v>
      </c>
      <c r="T264" s="53">
        <f>SUM(T255:T263)</f>
        <v>1543</v>
      </c>
      <c r="U264" s="132">
        <f>SUM(U255:U263)</f>
        <v>1</v>
      </c>
      <c r="V264" s="25"/>
      <c r="W264" s="25"/>
      <c r="X264" s="5"/>
    </row>
    <row r="265" spans="1:24" ht="15.6" x14ac:dyDescent="0.3">
      <c r="A265" s="24"/>
      <c r="B265" s="25"/>
      <c r="C265" s="25"/>
      <c r="D265" s="25"/>
      <c r="E265" s="25"/>
      <c r="F265" s="25"/>
      <c r="G265" s="25"/>
      <c r="H265" s="95"/>
      <c r="I265" s="95"/>
      <c r="J265" s="95"/>
      <c r="K265" s="95"/>
      <c r="L265" s="95"/>
      <c r="M265" s="95"/>
      <c r="N265" s="95"/>
      <c r="O265" s="95"/>
      <c r="P265" s="95"/>
      <c r="Q265" s="95"/>
      <c r="R265" s="34"/>
      <c r="S265" s="132"/>
      <c r="T265" s="53"/>
      <c r="U265" s="132"/>
      <c r="V265" s="25"/>
      <c r="W265" s="25"/>
      <c r="X265" s="5"/>
    </row>
    <row r="266" spans="1:24" ht="15.6" x14ac:dyDescent="0.3">
      <c r="A266" s="139"/>
      <c r="B266" s="14" t="s">
        <v>163</v>
      </c>
      <c r="C266" s="137"/>
      <c r="D266" s="137"/>
      <c r="E266" s="137"/>
      <c r="F266" s="137"/>
      <c r="G266" s="137"/>
      <c r="H266" s="143"/>
      <c r="I266" s="143"/>
      <c r="J266" s="143"/>
      <c r="K266" s="143"/>
      <c r="L266" s="143"/>
      <c r="M266" s="143"/>
      <c r="N266" s="143"/>
      <c r="O266" s="143"/>
      <c r="P266" s="143"/>
      <c r="Q266" s="143"/>
      <c r="R266" s="83" t="s">
        <v>102</v>
      </c>
      <c r="S266" s="17" t="s">
        <v>103</v>
      </c>
      <c r="T266" s="83" t="s">
        <v>109</v>
      </c>
      <c r="U266" s="17" t="s">
        <v>103</v>
      </c>
      <c r="V266" s="137"/>
      <c r="W266" s="138"/>
      <c r="X266" s="5"/>
    </row>
    <row r="267" spans="1:24" ht="15.6" x14ac:dyDescent="0.3">
      <c r="A267" s="24"/>
      <c r="B267" s="54" t="s">
        <v>88</v>
      </c>
      <c r="C267" s="25"/>
      <c r="D267" s="25"/>
      <c r="E267" s="25"/>
      <c r="F267" s="25"/>
      <c r="G267" s="25"/>
      <c r="H267" s="95"/>
      <c r="I267" s="95"/>
      <c r="J267" s="95"/>
      <c r="K267" s="95"/>
      <c r="L267" s="95"/>
      <c r="M267" s="95"/>
      <c r="N267" s="95"/>
      <c r="O267" s="95"/>
      <c r="P267" s="95"/>
      <c r="Q267" s="95"/>
      <c r="R267" s="54">
        <v>0</v>
      </c>
      <c r="S267" s="94">
        <f>R267/$R$276</f>
        <v>0</v>
      </c>
      <c r="T267" s="53">
        <v>0</v>
      </c>
      <c r="U267" s="132">
        <f>T267/$T$276</f>
        <v>0</v>
      </c>
      <c r="V267" s="25"/>
      <c r="W267" s="25"/>
      <c r="X267" s="5"/>
    </row>
    <row r="268" spans="1:24" ht="15.6" x14ac:dyDescent="0.3">
      <c r="A268" s="24"/>
      <c r="B268" s="54" t="s">
        <v>89</v>
      </c>
      <c r="C268" s="25"/>
      <c r="D268" s="25"/>
      <c r="E268" s="25"/>
      <c r="F268" s="25"/>
      <c r="G268" s="25"/>
      <c r="H268" s="95"/>
      <c r="I268" s="95"/>
      <c r="J268" s="95"/>
      <c r="K268" s="95"/>
      <c r="L268" s="95"/>
      <c r="M268" s="95"/>
      <c r="N268" s="95"/>
      <c r="O268" s="95"/>
      <c r="P268" s="95"/>
      <c r="Q268" s="95"/>
      <c r="R268" s="54">
        <v>0</v>
      </c>
      <c r="S268" s="94">
        <f t="shared" ref="S268:S274" si="5">R268/$R$276</f>
        <v>0</v>
      </c>
      <c r="T268" s="53">
        <v>0</v>
      </c>
      <c r="U268" s="132">
        <f t="shared" ref="U268:U274" si="6">T268/$T$276</f>
        <v>0</v>
      </c>
      <c r="V268" s="25"/>
      <c r="W268" s="25"/>
      <c r="X268" s="5"/>
    </row>
    <row r="269" spans="1:24" ht="15.6" x14ac:dyDescent="0.3">
      <c r="A269" s="24"/>
      <c r="B269" s="54" t="s">
        <v>90</v>
      </c>
      <c r="C269" s="25"/>
      <c r="D269" s="25"/>
      <c r="E269" s="25"/>
      <c r="F269" s="25"/>
      <c r="G269" s="25"/>
      <c r="H269" s="95"/>
      <c r="I269" s="95"/>
      <c r="J269" s="95"/>
      <c r="K269" s="95"/>
      <c r="L269" s="95"/>
      <c r="M269" s="95"/>
      <c r="N269" s="95"/>
      <c r="O269" s="95"/>
      <c r="P269" s="95"/>
      <c r="Q269" s="95"/>
      <c r="R269" s="54">
        <v>2</v>
      </c>
      <c r="S269" s="94">
        <f t="shared" si="5"/>
        <v>1</v>
      </c>
      <c r="T269" s="53">
        <v>238</v>
      </c>
      <c r="U269" s="132">
        <f t="shared" si="6"/>
        <v>1</v>
      </c>
      <c r="V269" s="25"/>
      <c r="W269" s="25"/>
      <c r="X269" s="5"/>
    </row>
    <row r="270" spans="1:24" ht="15.6" x14ac:dyDescent="0.3">
      <c r="A270" s="24"/>
      <c r="B270" s="54" t="s">
        <v>156</v>
      </c>
      <c r="C270" s="25"/>
      <c r="D270" s="25"/>
      <c r="E270" s="25"/>
      <c r="F270" s="25"/>
      <c r="G270" s="25"/>
      <c r="H270" s="95"/>
      <c r="I270" s="95"/>
      <c r="J270" s="95"/>
      <c r="K270" s="95"/>
      <c r="L270" s="95"/>
      <c r="M270" s="95"/>
      <c r="N270" s="95"/>
      <c r="O270" s="95"/>
      <c r="P270" s="95"/>
      <c r="Q270" s="95"/>
      <c r="R270" s="54">
        <v>0</v>
      </c>
      <c r="S270" s="94">
        <f t="shared" si="5"/>
        <v>0</v>
      </c>
      <c r="T270" s="53">
        <v>0</v>
      </c>
      <c r="U270" s="132">
        <f t="shared" si="6"/>
        <v>0</v>
      </c>
      <c r="V270" s="25"/>
      <c r="W270" s="25"/>
      <c r="X270" s="5"/>
    </row>
    <row r="271" spans="1:24" ht="15.6" x14ac:dyDescent="0.3">
      <c r="A271" s="24"/>
      <c r="B271" s="54" t="s">
        <v>157</v>
      </c>
      <c r="C271" s="25"/>
      <c r="D271" s="25"/>
      <c r="E271" s="25"/>
      <c r="F271" s="25"/>
      <c r="G271" s="25"/>
      <c r="H271" s="95"/>
      <c r="I271" s="95"/>
      <c r="J271" s="95"/>
      <c r="K271" s="95"/>
      <c r="L271" s="95"/>
      <c r="M271" s="95"/>
      <c r="N271" s="95"/>
      <c r="O271" s="95"/>
      <c r="P271" s="95"/>
      <c r="Q271" s="95"/>
      <c r="R271" s="54">
        <v>0</v>
      </c>
      <c r="S271" s="94">
        <f t="shared" si="5"/>
        <v>0</v>
      </c>
      <c r="T271" s="53">
        <v>0</v>
      </c>
      <c r="U271" s="132">
        <f t="shared" si="6"/>
        <v>0</v>
      </c>
      <c r="V271" s="25"/>
      <c r="W271" s="25"/>
      <c r="X271" s="5"/>
    </row>
    <row r="272" spans="1:24" ht="15.6" x14ac:dyDescent="0.3">
      <c r="A272" s="24"/>
      <c r="B272" s="54" t="s">
        <v>158</v>
      </c>
      <c r="C272" s="25"/>
      <c r="D272" s="25"/>
      <c r="E272" s="25"/>
      <c r="F272" s="25"/>
      <c r="G272" s="25"/>
      <c r="H272" s="95"/>
      <c r="I272" s="95"/>
      <c r="J272" s="95"/>
      <c r="K272" s="95"/>
      <c r="L272" s="95"/>
      <c r="M272" s="95"/>
      <c r="N272" s="95"/>
      <c r="O272" s="95"/>
      <c r="P272" s="95"/>
      <c r="Q272" s="95"/>
      <c r="R272" s="54">
        <v>0</v>
      </c>
      <c r="S272" s="94">
        <f t="shared" si="5"/>
        <v>0</v>
      </c>
      <c r="T272" s="53">
        <v>0</v>
      </c>
      <c r="U272" s="132">
        <f t="shared" si="6"/>
        <v>0</v>
      </c>
      <c r="V272" s="25"/>
      <c r="W272" s="25"/>
      <c r="X272" s="5"/>
    </row>
    <row r="273" spans="1:24" ht="15.6" x14ac:dyDescent="0.3">
      <c r="A273" s="24"/>
      <c r="B273" s="54" t="s">
        <v>159</v>
      </c>
      <c r="C273" s="25"/>
      <c r="D273" s="25"/>
      <c r="E273" s="25"/>
      <c r="F273" s="25"/>
      <c r="G273" s="25"/>
      <c r="H273" s="95"/>
      <c r="I273" s="95"/>
      <c r="J273" s="95"/>
      <c r="K273" s="95"/>
      <c r="L273" s="95"/>
      <c r="M273" s="95"/>
      <c r="N273" s="95"/>
      <c r="O273" s="95"/>
      <c r="P273" s="95"/>
      <c r="Q273" s="95"/>
      <c r="R273" s="54">
        <v>0</v>
      </c>
      <c r="S273" s="94">
        <f t="shared" si="5"/>
        <v>0</v>
      </c>
      <c r="T273" s="53">
        <v>0</v>
      </c>
      <c r="U273" s="132">
        <f t="shared" si="6"/>
        <v>0</v>
      </c>
      <c r="V273" s="25"/>
      <c r="W273" s="25"/>
      <c r="X273" s="5"/>
    </row>
    <row r="274" spans="1:24" ht="15.6" x14ac:dyDescent="0.3">
      <c r="A274" s="24"/>
      <c r="B274" s="54" t="s">
        <v>160</v>
      </c>
      <c r="C274" s="25"/>
      <c r="D274" s="25"/>
      <c r="E274" s="25"/>
      <c r="F274" s="25"/>
      <c r="G274" s="25"/>
      <c r="H274" s="95"/>
      <c r="I274" s="95"/>
      <c r="J274" s="95"/>
      <c r="K274" s="95"/>
      <c r="L274" s="95"/>
      <c r="M274" s="95"/>
      <c r="N274" s="95"/>
      <c r="O274" s="95"/>
      <c r="P274" s="95"/>
      <c r="Q274" s="95"/>
      <c r="R274" s="54">
        <v>0</v>
      </c>
      <c r="S274" s="94">
        <f t="shared" si="5"/>
        <v>0</v>
      </c>
      <c r="T274" s="53">
        <v>0</v>
      </c>
      <c r="U274" s="132">
        <f t="shared" si="6"/>
        <v>0</v>
      </c>
      <c r="V274" s="25"/>
      <c r="W274" s="25"/>
      <c r="X274" s="5"/>
    </row>
    <row r="275" spans="1:24" ht="15.6" x14ac:dyDescent="0.3">
      <c r="A275" s="24"/>
      <c r="B275" s="54"/>
      <c r="C275" s="25"/>
      <c r="D275" s="25"/>
      <c r="E275" s="25"/>
      <c r="F275" s="25"/>
      <c r="G275" s="25"/>
      <c r="H275" s="95"/>
      <c r="I275" s="95"/>
      <c r="J275" s="95"/>
      <c r="K275" s="95"/>
      <c r="L275" s="95"/>
      <c r="M275" s="95"/>
      <c r="N275" s="95"/>
      <c r="O275" s="95"/>
      <c r="P275" s="95"/>
      <c r="Q275" s="95"/>
      <c r="R275" s="54"/>
      <c r="S275" s="94"/>
      <c r="T275" s="53"/>
      <c r="U275" s="132"/>
      <c r="V275" s="25"/>
      <c r="W275" s="25"/>
      <c r="X275" s="5"/>
    </row>
    <row r="276" spans="1:24" ht="15.6" x14ac:dyDescent="0.3">
      <c r="A276" s="24"/>
      <c r="B276" s="25" t="s">
        <v>114</v>
      </c>
      <c r="C276" s="25"/>
      <c r="D276" s="25"/>
      <c r="E276" s="25"/>
      <c r="F276" s="25"/>
      <c r="G276" s="25"/>
      <c r="H276" s="95"/>
      <c r="I276" s="95"/>
      <c r="J276" s="95"/>
      <c r="K276" s="95"/>
      <c r="L276" s="95"/>
      <c r="M276" s="95"/>
      <c r="N276" s="95"/>
      <c r="O276" s="95"/>
      <c r="P276" s="95"/>
      <c r="Q276" s="95"/>
      <c r="R276" s="34">
        <f>SUM(R267:R274)</f>
        <v>2</v>
      </c>
      <c r="S276" s="132">
        <f>SUM(S267:S275)</f>
        <v>1</v>
      </c>
      <c r="T276" s="53">
        <f>SUM(T267:T274)</f>
        <v>238</v>
      </c>
      <c r="U276" s="132">
        <f>SUM(U267:U275)</f>
        <v>1</v>
      </c>
      <c r="V276" s="25"/>
      <c r="W276" s="25"/>
      <c r="X276" s="5"/>
    </row>
    <row r="277" spans="1:24" ht="15.6" x14ac:dyDescent="0.3">
      <c r="A277" s="24"/>
      <c r="B277" s="25"/>
      <c r="C277" s="25"/>
      <c r="D277" s="25"/>
      <c r="E277" s="25"/>
      <c r="F277" s="25"/>
      <c r="G277" s="25"/>
      <c r="H277" s="95"/>
      <c r="I277" s="95"/>
      <c r="J277" s="95"/>
      <c r="K277" s="95"/>
      <c r="L277" s="95"/>
      <c r="M277" s="95"/>
      <c r="N277" s="95"/>
      <c r="O277" s="95"/>
      <c r="P277" s="95"/>
      <c r="Q277" s="95"/>
      <c r="R277" s="34"/>
      <c r="S277" s="132"/>
      <c r="T277" s="53"/>
      <c r="U277" s="132"/>
      <c r="V277" s="25"/>
      <c r="W277" s="25"/>
      <c r="X277" s="5"/>
    </row>
    <row r="278" spans="1:24" ht="15.6" x14ac:dyDescent="0.3">
      <c r="A278" s="24"/>
      <c r="B278" s="140" t="s">
        <v>164</v>
      </c>
      <c r="C278" s="25"/>
      <c r="D278" s="25"/>
      <c r="E278" s="25"/>
      <c r="F278" s="25"/>
      <c r="G278" s="25"/>
      <c r="H278" s="95"/>
      <c r="I278" s="95"/>
      <c r="J278" s="95"/>
      <c r="K278" s="95"/>
      <c r="L278" s="95"/>
      <c r="M278" s="95"/>
      <c r="N278" s="95"/>
      <c r="O278" s="95"/>
      <c r="P278" s="95"/>
      <c r="Q278" s="95"/>
      <c r="R278" s="159">
        <f>R276+R264+R252</f>
        <v>9952</v>
      </c>
      <c r="S278" s="141"/>
      <c r="T278" s="142">
        <f>+T276+T264+T252</f>
        <v>1443231</v>
      </c>
      <c r="U278" s="141"/>
      <c r="V278" s="25"/>
      <c r="W278" s="25"/>
      <c r="X278" s="5"/>
    </row>
    <row r="279" spans="1:24" ht="15.6" x14ac:dyDescent="0.3">
      <c r="A279" s="24"/>
      <c r="B279" s="25"/>
      <c r="C279" s="25"/>
      <c r="D279" s="25"/>
      <c r="E279" s="25"/>
      <c r="F279" s="25"/>
      <c r="G279" s="25"/>
      <c r="H279" s="95"/>
      <c r="I279" s="95"/>
      <c r="J279" s="95"/>
      <c r="K279" s="95"/>
      <c r="L279" s="95"/>
      <c r="M279" s="95"/>
      <c r="N279" s="95"/>
      <c r="O279" s="95"/>
      <c r="P279" s="95"/>
      <c r="Q279" s="95"/>
      <c r="R279" s="95"/>
      <c r="S279" s="95"/>
      <c r="T279" s="53"/>
      <c r="U279" s="95"/>
      <c r="V279" s="25"/>
      <c r="W279" s="25"/>
      <c r="X279" s="5"/>
    </row>
    <row r="280" spans="1:24" ht="15.6" x14ac:dyDescent="0.3">
      <c r="A280" s="6"/>
      <c r="B280" s="8"/>
      <c r="C280" s="8"/>
      <c r="D280" s="8"/>
      <c r="E280" s="8"/>
      <c r="F280" s="8"/>
      <c r="G280" s="8"/>
      <c r="H280" s="96"/>
      <c r="I280" s="96"/>
      <c r="J280" s="96"/>
      <c r="K280" s="96"/>
      <c r="L280" s="96"/>
      <c r="M280" s="96"/>
      <c r="N280" s="96"/>
      <c r="O280" s="96"/>
      <c r="P280" s="96"/>
      <c r="Q280" s="96"/>
      <c r="R280" s="96"/>
      <c r="S280" s="96"/>
      <c r="T280" s="97"/>
      <c r="U280" s="96"/>
      <c r="V280" s="8"/>
      <c r="W280" s="8"/>
      <c r="X280" s="5"/>
    </row>
    <row r="281" spans="1:24" ht="15.6" x14ac:dyDescent="0.3">
      <c r="A281" s="178"/>
      <c r="B281" s="14" t="s">
        <v>91</v>
      </c>
      <c r="C281" s="15"/>
      <c r="D281" s="15"/>
      <c r="E281" s="15"/>
      <c r="F281" s="17" t="s">
        <v>97</v>
      </c>
      <c r="G281" s="15"/>
      <c r="H281" s="14" t="s">
        <v>99</v>
      </c>
      <c r="I281" s="14"/>
      <c r="J281" s="14"/>
      <c r="K281" s="173"/>
      <c r="L281" s="173"/>
      <c r="M281" s="173"/>
      <c r="N281" s="173"/>
      <c r="O281" s="173"/>
      <c r="P281" s="173"/>
      <c r="Q281" s="173"/>
      <c r="R281" s="173"/>
      <c r="S281" s="173"/>
      <c r="T281" s="173"/>
      <c r="U281" s="173"/>
      <c r="V281" s="173"/>
      <c r="W281" s="173"/>
      <c r="X281" s="5"/>
    </row>
    <row r="282" spans="1:24" ht="15.6" x14ac:dyDescent="0.3">
      <c r="A282" s="178"/>
      <c r="B282" s="173"/>
      <c r="C282" s="8"/>
      <c r="D282" s="8"/>
      <c r="E282" s="8"/>
      <c r="F282" s="8"/>
      <c r="G282" s="8"/>
      <c r="H282" s="8"/>
      <c r="I282" s="8"/>
      <c r="J282" s="8"/>
      <c r="K282" s="173"/>
      <c r="L282" s="173"/>
      <c r="M282" s="173"/>
      <c r="N282" s="173"/>
      <c r="O282" s="173"/>
      <c r="P282" s="173"/>
      <c r="Q282" s="173"/>
      <c r="R282" s="173"/>
      <c r="S282" s="173"/>
      <c r="T282" s="173"/>
      <c r="U282" s="173"/>
      <c r="V282" s="173"/>
      <c r="W282" s="173"/>
      <c r="X282" s="5"/>
    </row>
    <row r="283" spans="1:24" ht="15.6" x14ac:dyDescent="0.3">
      <c r="A283" s="178"/>
      <c r="B283" s="13" t="s">
        <v>92</v>
      </c>
      <c r="C283" s="13"/>
      <c r="D283" s="13"/>
      <c r="E283" s="13"/>
      <c r="F283" s="130" t="s">
        <v>148</v>
      </c>
      <c r="G283" s="13"/>
      <c r="H283" s="13" t="s">
        <v>152</v>
      </c>
      <c r="I283" s="13"/>
      <c r="J283" s="13"/>
      <c r="K283" s="173"/>
      <c r="L283" s="173"/>
      <c r="M283" s="173"/>
      <c r="N283" s="173"/>
      <c r="O283" s="173"/>
      <c r="P283" s="173"/>
      <c r="Q283" s="173"/>
      <c r="R283" s="173"/>
      <c r="S283" s="173"/>
      <c r="T283" s="173"/>
      <c r="U283" s="173"/>
      <c r="V283" s="173"/>
      <c r="W283" s="173"/>
      <c r="X283" s="5"/>
    </row>
    <row r="284" spans="1:24" ht="15.6" x14ac:dyDescent="0.3">
      <c r="A284" s="178"/>
      <c r="B284" s="13" t="s">
        <v>277</v>
      </c>
      <c r="C284" s="13"/>
      <c r="D284" s="13"/>
      <c r="E284" s="13"/>
      <c r="F284" s="130" t="s">
        <v>278</v>
      </c>
      <c r="G284" s="13"/>
      <c r="H284" s="13" t="s">
        <v>279</v>
      </c>
      <c r="I284" s="173"/>
      <c r="J284" s="13"/>
      <c r="K284" s="173"/>
      <c r="L284" s="173"/>
      <c r="M284" s="173"/>
      <c r="N284" s="173"/>
      <c r="O284" s="173"/>
      <c r="P284" s="173"/>
      <c r="Q284" s="173"/>
      <c r="R284" s="173"/>
      <c r="S284" s="173"/>
      <c r="T284" s="173"/>
      <c r="U284" s="173"/>
      <c r="V284" s="173"/>
      <c r="W284" s="173"/>
      <c r="X284" s="5"/>
    </row>
    <row r="285" spans="1:24" ht="15.6" x14ac:dyDescent="0.3">
      <c r="A285" s="178"/>
      <c r="B285" s="13" t="s">
        <v>93</v>
      </c>
      <c r="C285" s="13"/>
      <c r="D285" s="13"/>
      <c r="E285" s="13"/>
      <c r="F285" s="130" t="s">
        <v>147</v>
      </c>
      <c r="G285" s="13"/>
      <c r="H285" s="13" t="s">
        <v>153</v>
      </c>
      <c r="I285" s="13"/>
      <c r="J285" s="13"/>
      <c r="K285" s="173"/>
      <c r="L285" s="173"/>
      <c r="M285" s="173"/>
      <c r="N285" s="173"/>
      <c r="O285" s="173"/>
      <c r="P285" s="173"/>
      <c r="Q285" s="173"/>
      <c r="R285" s="173"/>
      <c r="S285" s="173"/>
      <c r="T285" s="173"/>
      <c r="U285" s="173"/>
      <c r="V285" s="173"/>
      <c r="W285" s="173"/>
      <c r="X285" s="5"/>
    </row>
    <row r="286" spans="1:24" ht="15.6" x14ac:dyDescent="0.3">
      <c r="A286" s="178"/>
      <c r="B286" s="13"/>
      <c r="C286" s="13"/>
      <c r="D286" s="13"/>
      <c r="E286" s="13"/>
      <c r="F286" s="13"/>
      <c r="G286" s="99"/>
      <c r="H286" s="173"/>
      <c r="I286" s="173"/>
      <c r="J286" s="173"/>
      <c r="K286" s="173"/>
      <c r="L286" s="173"/>
      <c r="M286" s="173"/>
      <c r="N286" s="173"/>
      <c r="O286" s="173"/>
      <c r="P286" s="173"/>
      <c r="Q286" s="173"/>
      <c r="R286" s="173"/>
      <c r="S286" s="173"/>
      <c r="T286" s="173"/>
      <c r="U286" s="173"/>
      <c r="V286" s="173"/>
      <c r="W286" s="173"/>
      <c r="X286" s="5"/>
    </row>
    <row r="287" spans="1:24" ht="15.6" x14ac:dyDescent="0.3">
      <c r="A287" s="178"/>
      <c r="B287" s="13"/>
      <c r="C287" s="13"/>
      <c r="D287" s="13"/>
      <c r="E287" s="13"/>
      <c r="F287" s="13"/>
      <c r="G287" s="99"/>
      <c r="H287" s="173"/>
      <c r="I287" s="173"/>
      <c r="J287" s="173"/>
      <c r="K287" s="173"/>
      <c r="L287" s="173"/>
      <c r="M287" s="173"/>
      <c r="N287" s="173"/>
      <c r="O287" s="173"/>
      <c r="P287" s="173"/>
      <c r="Q287" s="173"/>
      <c r="R287" s="173"/>
      <c r="S287" s="173"/>
      <c r="T287" s="173"/>
      <c r="U287" s="173"/>
      <c r="V287" s="173"/>
      <c r="W287" s="173"/>
      <c r="X287" s="5"/>
    </row>
    <row r="288" spans="1:24" ht="18" thickBot="1" x14ac:dyDescent="0.35">
      <c r="A288" s="178"/>
      <c r="B288" s="49" t="str">
        <f>B204</f>
        <v>PM14 INVESTOR REPORT QUARTER ENDING NOVEMBER 2007</v>
      </c>
      <c r="C288" s="13"/>
      <c r="D288" s="13"/>
      <c r="E288" s="13"/>
      <c r="F288" s="13"/>
      <c r="G288" s="99"/>
      <c r="H288" s="173"/>
      <c r="I288" s="173"/>
      <c r="J288" s="173"/>
      <c r="K288" s="173"/>
      <c r="L288" s="173"/>
      <c r="M288" s="173"/>
      <c r="N288" s="173"/>
      <c r="O288" s="173"/>
      <c r="P288" s="173"/>
      <c r="Q288" s="173"/>
      <c r="R288" s="173"/>
      <c r="S288" s="173"/>
      <c r="T288" s="173"/>
      <c r="U288" s="173"/>
      <c r="V288" s="173"/>
      <c r="W288" s="173"/>
      <c r="X288" s="5"/>
    </row>
    <row r="289" spans="1:23" x14ac:dyDescent="0.25">
      <c r="A289" s="100"/>
      <c r="B289" s="100"/>
      <c r="C289" s="100"/>
      <c r="D289" s="100"/>
      <c r="E289" s="100"/>
      <c r="F289" s="100"/>
      <c r="G289" s="100"/>
      <c r="H289" s="100"/>
      <c r="I289" s="100"/>
      <c r="J289" s="100"/>
      <c r="K289" s="100"/>
      <c r="L289" s="100"/>
      <c r="M289" s="100"/>
      <c r="N289" s="100"/>
      <c r="O289" s="100"/>
      <c r="P289" s="100"/>
      <c r="Q289" s="100"/>
      <c r="R289" s="100"/>
      <c r="S289" s="100"/>
      <c r="T289" s="100"/>
      <c r="U289" s="100"/>
      <c r="V289" s="100"/>
      <c r="W289" s="100"/>
    </row>
  </sheetData>
  <phoneticPr fontId="0" type="noConversion"/>
  <hyperlinks>
    <hyperlink ref="P240" r:id="rId1" xr:uid="{00000000-0004-0000-0100-000000000000}"/>
    <hyperlink ref="I9" r:id="rId2" xr:uid="{00000000-0004-0000-01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9" max="14" man="1"/>
    <brk id="204" max="14" man="1"/>
  </rowBreaks>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theme="4"/>
  </sheetPr>
  <dimension ref="A1:IV301"/>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80"/>
      <c r="B1" s="220" t="s">
        <v>244</v>
      </c>
      <c r="C1" s="181"/>
      <c r="D1" s="181"/>
      <c r="E1" s="181"/>
      <c r="F1" s="181"/>
      <c r="G1" s="181"/>
      <c r="H1" s="181"/>
      <c r="I1" s="181"/>
      <c r="J1" s="181"/>
      <c r="K1" s="181"/>
      <c r="L1" s="181"/>
      <c r="M1" s="181"/>
      <c r="N1" s="181"/>
      <c r="O1" s="181"/>
      <c r="P1" s="181"/>
      <c r="Q1" s="181"/>
      <c r="R1" s="181"/>
      <c r="S1" s="181"/>
      <c r="T1" s="181"/>
      <c r="U1" s="181"/>
      <c r="V1" s="181"/>
      <c r="W1" s="181"/>
      <c r="X1" s="5"/>
    </row>
    <row r="2" spans="1:24" ht="15.6" x14ac:dyDescent="0.3">
      <c r="A2" s="183"/>
      <c r="B2" s="184"/>
      <c r="C2" s="185"/>
      <c r="D2" s="185"/>
      <c r="E2" s="185"/>
      <c r="F2" s="185"/>
      <c r="G2" s="185"/>
      <c r="H2" s="185"/>
      <c r="I2" s="185"/>
      <c r="J2" s="185"/>
      <c r="K2" s="185"/>
      <c r="L2" s="185"/>
      <c r="M2" s="185"/>
      <c r="N2" s="185"/>
      <c r="O2" s="185"/>
      <c r="P2" s="185"/>
      <c r="Q2" s="185"/>
      <c r="R2" s="185"/>
      <c r="S2" s="185"/>
      <c r="T2" s="185"/>
      <c r="U2" s="185"/>
      <c r="V2" s="185"/>
      <c r="W2" s="185"/>
      <c r="X2" s="5"/>
    </row>
    <row r="3" spans="1:24" ht="15.6" x14ac:dyDescent="0.3">
      <c r="A3" s="186"/>
      <c r="B3" s="187" t="s">
        <v>245</v>
      </c>
      <c r="C3" s="185"/>
      <c r="D3" s="185"/>
      <c r="E3" s="185"/>
      <c r="F3" s="185"/>
      <c r="G3" s="185"/>
      <c r="H3" s="185"/>
      <c r="I3" s="185"/>
      <c r="J3" s="185"/>
      <c r="K3" s="185"/>
      <c r="L3" s="185"/>
      <c r="M3" s="185"/>
      <c r="N3" s="185"/>
      <c r="O3" s="185"/>
      <c r="P3" s="185"/>
      <c r="Q3" s="185"/>
      <c r="R3" s="185"/>
      <c r="S3" s="185"/>
      <c r="T3" s="185"/>
      <c r="U3" s="185"/>
      <c r="V3" s="185"/>
      <c r="W3" s="185"/>
      <c r="X3" s="5"/>
    </row>
    <row r="4" spans="1:24" ht="15.6" x14ac:dyDescent="0.3">
      <c r="A4" s="183"/>
      <c r="B4" s="184"/>
      <c r="C4" s="185"/>
      <c r="D4" s="185"/>
      <c r="E4" s="185"/>
      <c r="F4" s="185"/>
      <c r="G4" s="185"/>
      <c r="H4" s="185"/>
      <c r="I4" s="185"/>
      <c r="J4" s="185"/>
      <c r="K4" s="185"/>
      <c r="L4" s="185"/>
      <c r="M4" s="185"/>
      <c r="N4" s="185"/>
      <c r="O4" s="185"/>
      <c r="P4" s="185"/>
      <c r="Q4" s="185"/>
      <c r="R4" s="185"/>
      <c r="S4" s="185"/>
      <c r="T4" s="185"/>
      <c r="U4" s="185"/>
      <c r="V4" s="185"/>
      <c r="W4" s="185"/>
      <c r="X4" s="5"/>
    </row>
    <row r="5" spans="1:24" ht="15.6" x14ac:dyDescent="0.3">
      <c r="A5" s="183"/>
      <c r="B5" s="221" t="s">
        <v>137</v>
      </c>
      <c r="C5" s="185"/>
      <c r="D5" s="185"/>
      <c r="E5" s="185"/>
      <c r="F5" s="185"/>
      <c r="G5" s="185"/>
      <c r="H5" s="185"/>
      <c r="I5" s="185"/>
      <c r="J5" s="185"/>
      <c r="K5" s="185"/>
      <c r="L5" s="185"/>
      <c r="M5" s="185"/>
      <c r="N5" s="185"/>
      <c r="O5" s="185"/>
      <c r="P5" s="185"/>
      <c r="Q5" s="185"/>
      <c r="R5" s="185"/>
      <c r="S5" s="185"/>
      <c r="T5" s="185"/>
      <c r="U5" s="185"/>
      <c r="V5" s="185"/>
      <c r="W5" s="185"/>
      <c r="X5" s="5"/>
    </row>
    <row r="6" spans="1:24" ht="15.6" x14ac:dyDescent="0.3">
      <c r="A6" s="183"/>
      <c r="B6" s="221" t="s">
        <v>139</v>
      </c>
      <c r="C6" s="185"/>
      <c r="D6" s="185"/>
      <c r="E6" s="185"/>
      <c r="F6" s="185"/>
      <c r="G6" s="185"/>
      <c r="H6" s="185"/>
      <c r="I6" s="185"/>
      <c r="J6" s="185"/>
      <c r="K6" s="185"/>
      <c r="L6" s="185"/>
      <c r="M6" s="185"/>
      <c r="N6" s="185"/>
      <c r="O6" s="185"/>
      <c r="P6" s="185"/>
      <c r="Q6" s="185"/>
      <c r="R6" s="185"/>
      <c r="S6" s="185"/>
      <c r="T6" s="185"/>
      <c r="U6" s="185"/>
      <c r="V6" s="185"/>
      <c r="W6" s="185"/>
      <c r="X6" s="5"/>
    </row>
    <row r="7" spans="1:24" ht="15.6" x14ac:dyDescent="0.3">
      <c r="A7" s="183"/>
      <c r="B7" s="221" t="s">
        <v>138</v>
      </c>
      <c r="C7" s="185"/>
      <c r="D7" s="185"/>
      <c r="E7" s="185"/>
      <c r="F7" s="185"/>
      <c r="G7" s="185"/>
      <c r="H7" s="185"/>
      <c r="I7" s="185"/>
      <c r="J7" s="185"/>
      <c r="K7" s="185"/>
      <c r="L7" s="185"/>
      <c r="M7" s="185"/>
      <c r="N7" s="185"/>
      <c r="O7" s="185"/>
      <c r="P7" s="185"/>
      <c r="Q7" s="185"/>
      <c r="R7" s="185"/>
      <c r="S7" s="185"/>
      <c r="T7" s="185"/>
      <c r="U7" s="185"/>
      <c r="V7" s="185"/>
      <c r="W7" s="185"/>
      <c r="X7" s="5"/>
    </row>
    <row r="8" spans="1:24" ht="15.6" x14ac:dyDescent="0.3">
      <c r="A8" s="183"/>
      <c r="B8" s="188"/>
      <c r="C8" s="185"/>
      <c r="D8" s="185"/>
      <c r="E8" s="185"/>
      <c r="F8" s="185"/>
      <c r="G8" s="185"/>
      <c r="H8" s="185"/>
      <c r="I8" s="185"/>
      <c r="J8" s="185"/>
      <c r="K8" s="185"/>
      <c r="L8" s="185"/>
      <c r="M8" s="185"/>
      <c r="N8" s="185"/>
      <c r="O8" s="185"/>
      <c r="P8" s="185"/>
      <c r="Q8" s="185"/>
      <c r="R8" s="185"/>
      <c r="S8" s="185"/>
      <c r="T8" s="185"/>
      <c r="U8" s="185"/>
      <c r="V8" s="185"/>
      <c r="W8" s="185"/>
      <c r="X8" s="5"/>
    </row>
    <row r="9" spans="1:24" ht="17.399999999999999" x14ac:dyDescent="0.3">
      <c r="A9" s="183"/>
      <c r="B9" s="189" t="s">
        <v>166</v>
      </c>
      <c r="C9" s="185"/>
      <c r="D9" s="185"/>
      <c r="E9" s="185"/>
      <c r="F9" s="185"/>
      <c r="G9" s="185"/>
      <c r="H9" s="185"/>
      <c r="I9" s="190" t="s">
        <v>167</v>
      </c>
      <c r="J9" s="185"/>
      <c r="K9" s="185"/>
      <c r="L9" s="190"/>
      <c r="M9" s="185"/>
      <c r="N9" s="190"/>
      <c r="O9" s="185"/>
      <c r="P9" s="185"/>
      <c r="Q9" s="185"/>
      <c r="R9" s="185"/>
      <c r="S9" s="185"/>
      <c r="T9" s="185"/>
      <c r="U9" s="185"/>
      <c r="V9" s="185"/>
      <c r="W9" s="185"/>
      <c r="X9" s="5"/>
    </row>
    <row r="10" spans="1:24" ht="15.6" x14ac:dyDescent="0.3">
      <c r="A10" s="183"/>
      <c r="B10" s="188"/>
      <c r="C10" s="191"/>
      <c r="D10" s="191"/>
      <c r="E10" s="191"/>
      <c r="F10" s="185"/>
      <c r="G10" s="185"/>
      <c r="H10" s="185"/>
      <c r="I10" s="185"/>
      <c r="J10" s="185"/>
      <c r="K10" s="185"/>
      <c r="L10" s="185"/>
      <c r="M10" s="185"/>
      <c r="N10" s="185"/>
      <c r="O10" s="185"/>
      <c r="P10" s="185"/>
      <c r="Q10" s="185"/>
      <c r="R10" s="185"/>
      <c r="S10" s="185"/>
      <c r="T10" s="185"/>
      <c r="U10" s="185"/>
      <c r="V10" s="185"/>
      <c r="W10" s="185"/>
      <c r="X10" s="5"/>
    </row>
    <row r="11" spans="1:24" ht="15.6" x14ac:dyDescent="0.3">
      <c r="A11" s="183"/>
      <c r="B11" s="222" t="s">
        <v>0</v>
      </c>
      <c r="C11" s="185"/>
      <c r="D11" s="185"/>
      <c r="E11" s="185"/>
      <c r="F11" s="185"/>
      <c r="G11" s="185"/>
      <c r="H11" s="185"/>
      <c r="I11" s="185"/>
      <c r="J11" s="185"/>
      <c r="K11" s="185"/>
      <c r="L11" s="185"/>
      <c r="M11" s="185"/>
      <c r="N11" s="185"/>
      <c r="O11" s="185"/>
      <c r="P11" s="185"/>
      <c r="Q11" s="185"/>
      <c r="R11" s="185"/>
      <c r="S11" s="185"/>
      <c r="T11" s="185"/>
      <c r="U11" s="185"/>
      <c r="V11" s="185"/>
      <c r="W11" s="185"/>
      <c r="X11" s="5"/>
    </row>
    <row r="12" spans="1:24" ht="16.2" thickBot="1" x14ac:dyDescent="0.35">
      <c r="A12" s="183"/>
      <c r="B12" s="191"/>
      <c r="C12" s="185"/>
      <c r="D12" s="185"/>
      <c r="E12" s="185"/>
      <c r="F12" s="185"/>
      <c r="G12" s="185"/>
      <c r="H12" s="185"/>
      <c r="I12" s="185"/>
      <c r="J12" s="185"/>
      <c r="K12" s="185"/>
      <c r="L12" s="185"/>
      <c r="M12" s="185"/>
      <c r="N12" s="185"/>
      <c r="O12" s="185"/>
      <c r="P12" s="185"/>
      <c r="Q12" s="185"/>
      <c r="R12" s="185"/>
      <c r="S12" s="185"/>
      <c r="T12" s="185"/>
      <c r="U12" s="185"/>
      <c r="V12" s="185"/>
      <c r="W12" s="185"/>
      <c r="X12" s="5"/>
    </row>
    <row r="13" spans="1:24" ht="15.6" x14ac:dyDescent="0.3">
      <c r="A13" s="180"/>
      <c r="B13" s="181"/>
      <c r="C13" s="181"/>
      <c r="D13" s="181"/>
      <c r="E13" s="181"/>
      <c r="F13" s="181"/>
      <c r="G13" s="181"/>
      <c r="H13" s="181"/>
      <c r="I13" s="181"/>
      <c r="J13" s="181"/>
      <c r="K13" s="181"/>
      <c r="L13" s="181"/>
      <c r="M13" s="181"/>
      <c r="N13" s="181"/>
      <c r="O13" s="181"/>
      <c r="P13" s="181"/>
      <c r="Q13" s="181"/>
      <c r="R13" s="181"/>
      <c r="S13" s="181"/>
      <c r="T13" s="181"/>
      <c r="U13" s="181"/>
      <c r="V13" s="181"/>
      <c r="W13" s="181"/>
      <c r="X13" s="5"/>
    </row>
    <row r="14" spans="1:24" ht="15.6" x14ac:dyDescent="0.3">
      <c r="A14" s="183"/>
      <c r="B14" s="222" t="s">
        <v>1</v>
      </c>
      <c r="C14" s="192"/>
      <c r="D14" s="192"/>
      <c r="E14" s="192"/>
      <c r="F14" s="192"/>
      <c r="G14" s="192"/>
      <c r="H14" s="192"/>
      <c r="I14" s="192"/>
      <c r="J14" s="192"/>
      <c r="K14" s="192"/>
      <c r="L14" s="192"/>
      <c r="M14" s="192"/>
      <c r="N14" s="192"/>
      <c r="O14" s="192"/>
      <c r="P14" s="192"/>
      <c r="Q14" s="192"/>
      <c r="R14" s="224"/>
      <c r="S14" s="224"/>
      <c r="T14" s="224"/>
      <c r="U14" s="224"/>
      <c r="V14" s="225" t="s">
        <v>246</v>
      </c>
      <c r="W14" s="192"/>
      <c r="X14" s="5"/>
    </row>
    <row r="15" spans="1:24" ht="15.6" x14ac:dyDescent="0.3">
      <c r="A15" s="183"/>
      <c r="B15" s="222" t="s">
        <v>2</v>
      </c>
      <c r="C15" s="192"/>
      <c r="D15" s="192"/>
      <c r="E15" s="192"/>
      <c r="F15" s="192"/>
      <c r="G15" s="192"/>
      <c r="H15" s="193"/>
      <c r="I15" s="193"/>
      <c r="J15" s="193"/>
      <c r="K15" s="193"/>
      <c r="L15" s="193"/>
      <c r="M15" s="193"/>
      <c r="N15" s="193"/>
      <c r="O15" s="193"/>
      <c r="P15" s="193"/>
      <c r="Q15" s="193"/>
      <c r="R15" s="226" t="s">
        <v>104</v>
      </c>
      <c r="S15" s="227">
        <v>0.38300000000000001</v>
      </c>
      <c r="T15" s="228" t="s">
        <v>140</v>
      </c>
      <c r="U15" s="227">
        <v>0.61699999999999999</v>
      </c>
      <c r="V15" s="225"/>
      <c r="W15" s="192"/>
      <c r="X15" s="5"/>
    </row>
    <row r="16" spans="1:24" ht="15.6" x14ac:dyDescent="0.3">
      <c r="A16" s="183"/>
      <c r="B16" s="222" t="s">
        <v>3</v>
      </c>
      <c r="C16" s="192"/>
      <c r="D16" s="192"/>
      <c r="E16" s="192"/>
      <c r="F16" s="192"/>
      <c r="G16" s="192"/>
      <c r="H16" s="193"/>
      <c r="I16" s="193"/>
      <c r="J16" s="193"/>
      <c r="K16" s="193"/>
      <c r="L16" s="193"/>
      <c r="M16" s="193"/>
      <c r="N16" s="193"/>
      <c r="O16" s="193"/>
      <c r="P16" s="193"/>
      <c r="Q16" s="193"/>
      <c r="R16" s="226" t="s">
        <v>104</v>
      </c>
      <c r="S16" s="227">
        <v>0.45590000000000003</v>
      </c>
      <c r="T16" s="228" t="s">
        <v>140</v>
      </c>
      <c r="U16" s="227">
        <v>0.54410000000000003</v>
      </c>
      <c r="V16" s="225"/>
      <c r="W16" s="192"/>
      <c r="X16" s="5"/>
    </row>
    <row r="17" spans="1:24" ht="15.6" x14ac:dyDescent="0.3">
      <c r="A17" s="183"/>
      <c r="B17" s="222" t="s">
        <v>4</v>
      </c>
      <c r="C17" s="192"/>
      <c r="D17" s="192"/>
      <c r="E17" s="192"/>
      <c r="F17" s="192"/>
      <c r="G17" s="192"/>
      <c r="H17" s="192"/>
      <c r="I17" s="192"/>
      <c r="J17" s="192"/>
      <c r="K17" s="192"/>
      <c r="L17" s="192"/>
      <c r="M17" s="192"/>
      <c r="N17" s="192"/>
      <c r="O17" s="192"/>
      <c r="P17" s="192"/>
      <c r="Q17" s="192"/>
      <c r="R17" s="224"/>
      <c r="S17" s="224"/>
      <c r="T17" s="224"/>
      <c r="U17" s="224"/>
      <c r="V17" s="229">
        <v>39163</v>
      </c>
      <c r="W17" s="192"/>
      <c r="X17" s="5"/>
    </row>
    <row r="18" spans="1:24" ht="15.6" x14ac:dyDescent="0.3">
      <c r="A18" s="183"/>
      <c r="B18" s="222" t="s">
        <v>5</v>
      </c>
      <c r="C18" s="192"/>
      <c r="D18" s="192"/>
      <c r="E18" s="192"/>
      <c r="F18" s="192"/>
      <c r="G18" s="192"/>
      <c r="H18" s="192"/>
      <c r="I18" s="192"/>
      <c r="J18" s="192"/>
      <c r="K18" s="192"/>
      <c r="L18" s="192"/>
      <c r="M18" s="192"/>
      <c r="N18" s="192"/>
      <c r="O18" s="192"/>
      <c r="P18" s="192"/>
      <c r="Q18" s="192"/>
      <c r="R18" s="224"/>
      <c r="S18" s="224"/>
      <c r="T18" s="224"/>
      <c r="U18" s="224"/>
      <c r="V18" s="229">
        <v>41082</v>
      </c>
      <c r="W18" s="192"/>
      <c r="X18" s="5"/>
    </row>
    <row r="19" spans="1:24" ht="15.6" x14ac:dyDescent="0.3">
      <c r="A19" s="183"/>
      <c r="B19" s="185"/>
      <c r="C19" s="185"/>
      <c r="D19" s="185"/>
      <c r="E19" s="185"/>
      <c r="F19" s="185"/>
      <c r="G19" s="185"/>
      <c r="H19" s="185"/>
      <c r="I19" s="185"/>
      <c r="J19" s="185"/>
      <c r="K19" s="185"/>
      <c r="L19" s="185"/>
      <c r="M19" s="185"/>
      <c r="N19" s="185"/>
      <c r="O19" s="185"/>
      <c r="P19" s="185"/>
      <c r="Q19" s="185"/>
      <c r="R19" s="185"/>
      <c r="S19" s="185"/>
      <c r="T19" s="185"/>
      <c r="U19" s="185"/>
      <c r="V19" s="194"/>
      <c r="W19" s="185"/>
      <c r="X19" s="5"/>
    </row>
    <row r="20" spans="1:24" ht="15.6" x14ac:dyDescent="0.3">
      <c r="A20" s="183"/>
      <c r="B20" s="230" t="s">
        <v>6</v>
      </c>
      <c r="C20" s="185"/>
      <c r="D20" s="185"/>
      <c r="E20" s="185"/>
      <c r="F20" s="185"/>
      <c r="G20" s="185"/>
      <c r="H20" s="185"/>
      <c r="I20" s="185"/>
      <c r="J20" s="185"/>
      <c r="K20" s="185"/>
      <c r="L20" s="185"/>
      <c r="M20" s="185"/>
      <c r="N20" s="185"/>
      <c r="O20" s="185"/>
      <c r="P20" s="185"/>
      <c r="Q20" s="185"/>
      <c r="R20" s="185"/>
      <c r="S20" s="185"/>
      <c r="T20" s="223" t="s">
        <v>105</v>
      </c>
      <c r="U20" s="185"/>
      <c r="V20" s="182"/>
      <c r="W20" s="185"/>
      <c r="X20" s="5"/>
    </row>
    <row r="21" spans="1:24" ht="15.6" x14ac:dyDescent="0.3">
      <c r="A21" s="183"/>
      <c r="B21" s="185"/>
      <c r="C21" s="185"/>
      <c r="D21" s="185"/>
      <c r="E21" s="185"/>
      <c r="F21" s="185"/>
      <c r="G21" s="185"/>
      <c r="H21" s="185"/>
      <c r="I21" s="185"/>
      <c r="J21" s="185"/>
      <c r="K21" s="185"/>
      <c r="L21" s="185"/>
      <c r="M21" s="185"/>
      <c r="N21" s="185"/>
      <c r="O21" s="185"/>
      <c r="P21" s="185"/>
      <c r="Q21" s="185"/>
      <c r="R21" s="185"/>
      <c r="S21" s="185"/>
      <c r="T21" s="185"/>
      <c r="U21" s="185"/>
      <c r="V21" s="196"/>
      <c r="W21" s="185"/>
      <c r="X21" s="5"/>
    </row>
    <row r="22" spans="1:24" ht="15.6" x14ac:dyDescent="0.3">
      <c r="A22" s="262"/>
      <c r="B22" s="263"/>
      <c r="C22" s="264"/>
      <c r="D22" s="264" t="s">
        <v>177</v>
      </c>
      <c r="E22" s="264"/>
      <c r="F22" s="264" t="s">
        <v>178</v>
      </c>
      <c r="G22" s="264"/>
      <c r="H22" s="264" t="s">
        <v>179</v>
      </c>
      <c r="I22" s="264"/>
      <c r="J22" s="264" t="s">
        <v>220</v>
      </c>
      <c r="K22" s="264"/>
      <c r="L22" s="264" t="s">
        <v>180</v>
      </c>
      <c r="M22" s="264"/>
      <c r="N22" s="264" t="s">
        <v>181</v>
      </c>
      <c r="O22" s="264"/>
      <c r="P22" s="264" t="s">
        <v>221</v>
      </c>
      <c r="Q22" s="264"/>
      <c r="R22" s="264" t="s">
        <v>182</v>
      </c>
      <c r="S22" s="266"/>
      <c r="T22" s="266"/>
      <c r="U22" s="267"/>
      <c r="V22" s="267"/>
      <c r="W22" s="263"/>
      <c r="X22" s="5"/>
    </row>
    <row r="23" spans="1:24" ht="15.6" x14ac:dyDescent="0.3">
      <c r="A23" s="287"/>
      <c r="B23" s="288" t="s">
        <v>7</v>
      </c>
      <c r="C23" s="289"/>
      <c r="D23" s="289" t="s">
        <v>213</v>
      </c>
      <c r="E23" s="289"/>
      <c r="F23" s="289" t="s">
        <v>141</v>
      </c>
      <c r="G23" s="289"/>
      <c r="H23" s="289" t="s">
        <v>141</v>
      </c>
      <c r="I23" s="289"/>
      <c r="J23" s="289" t="s">
        <v>141</v>
      </c>
      <c r="K23" s="289"/>
      <c r="L23" s="289" t="s">
        <v>183</v>
      </c>
      <c r="M23" s="289"/>
      <c r="N23" s="289" t="s">
        <v>183</v>
      </c>
      <c r="O23" s="289"/>
      <c r="P23" s="289" t="s">
        <v>142</v>
      </c>
      <c r="Q23" s="289"/>
      <c r="R23" s="289" t="s">
        <v>142</v>
      </c>
      <c r="S23" s="289"/>
      <c r="T23" s="289"/>
      <c r="U23" s="290"/>
      <c r="V23" s="290"/>
      <c r="W23" s="291"/>
      <c r="X23" s="5"/>
    </row>
    <row r="24" spans="1:24" ht="15.6" x14ac:dyDescent="0.3">
      <c r="A24" s="287"/>
      <c r="B24" s="288" t="s">
        <v>8</v>
      </c>
      <c r="C24" s="289"/>
      <c r="D24" s="289" t="s">
        <v>214</v>
      </c>
      <c r="E24" s="289"/>
      <c r="F24" s="289" t="s">
        <v>143</v>
      </c>
      <c r="G24" s="289"/>
      <c r="H24" s="289" t="s">
        <v>143</v>
      </c>
      <c r="I24" s="289"/>
      <c r="J24" s="289" t="s">
        <v>143</v>
      </c>
      <c r="K24" s="289"/>
      <c r="L24" s="289" t="s">
        <v>165</v>
      </c>
      <c r="M24" s="289"/>
      <c r="N24" s="289" t="s">
        <v>165</v>
      </c>
      <c r="O24" s="289"/>
      <c r="P24" s="289" t="s">
        <v>144</v>
      </c>
      <c r="Q24" s="289"/>
      <c r="R24" s="289" t="s">
        <v>144</v>
      </c>
      <c r="S24" s="289"/>
      <c r="T24" s="289"/>
      <c r="U24" s="290"/>
      <c r="V24" s="290"/>
      <c r="W24" s="291"/>
      <c r="X24" s="5"/>
    </row>
    <row r="25" spans="1:24" ht="15.6" x14ac:dyDescent="0.3">
      <c r="A25" s="292"/>
      <c r="B25" s="288" t="s">
        <v>190</v>
      </c>
      <c r="C25" s="398"/>
      <c r="D25" s="289" t="s">
        <v>215</v>
      </c>
      <c r="E25" s="289"/>
      <c r="F25" s="289" t="s">
        <v>143</v>
      </c>
      <c r="G25" s="289"/>
      <c r="H25" s="289" t="s">
        <v>143</v>
      </c>
      <c r="I25" s="289"/>
      <c r="J25" s="289" t="s">
        <v>143</v>
      </c>
      <c r="K25" s="289"/>
      <c r="L25" s="289" t="s">
        <v>293</v>
      </c>
      <c r="M25" s="289"/>
      <c r="N25" s="289" t="s">
        <v>293</v>
      </c>
      <c r="O25" s="289"/>
      <c r="P25" s="289" t="s">
        <v>144</v>
      </c>
      <c r="Q25" s="289"/>
      <c r="R25" s="289" t="s">
        <v>144</v>
      </c>
      <c r="S25" s="398"/>
      <c r="T25" s="289"/>
      <c r="U25" s="290"/>
      <c r="V25" s="290"/>
      <c r="W25" s="291"/>
      <c r="X25" s="5"/>
    </row>
    <row r="26" spans="1:24" ht="15.6" x14ac:dyDescent="0.3">
      <c r="A26" s="292"/>
      <c r="B26" s="295" t="s">
        <v>9</v>
      </c>
      <c r="C26" s="398"/>
      <c r="D26" s="398" t="s">
        <v>213</v>
      </c>
      <c r="E26" s="398"/>
      <c r="F26" s="398" t="s">
        <v>141</v>
      </c>
      <c r="G26" s="398"/>
      <c r="H26" s="398" t="s">
        <v>141</v>
      </c>
      <c r="I26" s="398"/>
      <c r="J26" s="398" t="s">
        <v>141</v>
      </c>
      <c r="K26" s="398"/>
      <c r="L26" s="398" t="s">
        <v>183</v>
      </c>
      <c r="M26" s="398"/>
      <c r="N26" s="398" t="s">
        <v>183</v>
      </c>
      <c r="O26" s="398"/>
      <c r="P26" s="398" t="s">
        <v>142</v>
      </c>
      <c r="Q26" s="398"/>
      <c r="R26" s="398" t="s">
        <v>142</v>
      </c>
      <c r="S26" s="398"/>
      <c r="T26" s="289"/>
      <c r="U26" s="290"/>
      <c r="V26" s="290"/>
      <c r="W26" s="291"/>
      <c r="X26" s="5"/>
    </row>
    <row r="27" spans="1:24" ht="15.6" x14ac:dyDescent="0.3">
      <c r="A27" s="287"/>
      <c r="B27" s="295" t="s">
        <v>191</v>
      </c>
      <c r="C27" s="289"/>
      <c r="D27" s="398" t="s">
        <v>317</v>
      </c>
      <c r="E27" s="398"/>
      <c r="F27" s="398" t="s">
        <v>143</v>
      </c>
      <c r="G27" s="398"/>
      <c r="H27" s="398" t="s">
        <v>143</v>
      </c>
      <c r="I27" s="398"/>
      <c r="J27" s="398" t="s">
        <v>143</v>
      </c>
      <c r="K27" s="398"/>
      <c r="L27" s="398" t="s">
        <v>319</v>
      </c>
      <c r="M27" s="398"/>
      <c r="N27" s="398" t="s">
        <v>319</v>
      </c>
      <c r="O27" s="398"/>
      <c r="P27" s="398" t="s">
        <v>320</v>
      </c>
      <c r="Q27" s="398"/>
      <c r="R27" s="398" t="s">
        <v>320</v>
      </c>
      <c r="S27" s="289"/>
      <c r="T27" s="296"/>
      <c r="U27" s="290"/>
      <c r="V27" s="290"/>
      <c r="W27" s="291"/>
      <c r="X27" s="5"/>
    </row>
    <row r="28" spans="1:24" ht="15.6" x14ac:dyDescent="0.3">
      <c r="A28" s="287"/>
      <c r="B28" s="295" t="s">
        <v>192</v>
      </c>
      <c r="C28" s="289"/>
      <c r="D28" s="398" t="s">
        <v>314</v>
      </c>
      <c r="E28" s="398"/>
      <c r="F28" s="398" t="s">
        <v>143</v>
      </c>
      <c r="G28" s="398"/>
      <c r="H28" s="398" t="s">
        <v>143</v>
      </c>
      <c r="I28" s="398"/>
      <c r="J28" s="398" t="s">
        <v>143</v>
      </c>
      <c r="K28" s="398"/>
      <c r="L28" s="398" t="s">
        <v>293</v>
      </c>
      <c r="M28" s="398"/>
      <c r="N28" s="398" t="s">
        <v>293</v>
      </c>
      <c r="O28" s="398"/>
      <c r="P28" s="398" t="s">
        <v>144</v>
      </c>
      <c r="Q28" s="398"/>
      <c r="R28" s="398" t="s">
        <v>144</v>
      </c>
      <c r="S28" s="289"/>
      <c r="T28" s="296"/>
      <c r="U28" s="290"/>
      <c r="V28" s="290"/>
      <c r="W28" s="291"/>
      <c r="X28" s="5"/>
    </row>
    <row r="29" spans="1:24" ht="15.6" x14ac:dyDescent="0.3">
      <c r="A29" s="287"/>
      <c r="B29" s="288" t="s">
        <v>10</v>
      </c>
      <c r="C29" s="298"/>
      <c r="D29" s="289" t="s">
        <v>249</v>
      </c>
      <c r="E29" s="289"/>
      <c r="F29" s="296" t="s">
        <v>250</v>
      </c>
      <c r="G29" s="289"/>
      <c r="H29" s="289" t="s">
        <v>251</v>
      </c>
      <c r="I29" s="289"/>
      <c r="J29" s="289" t="s">
        <v>253</v>
      </c>
      <c r="K29" s="289"/>
      <c r="L29" s="289" t="s">
        <v>254</v>
      </c>
      <c r="M29" s="289"/>
      <c r="N29" s="289" t="s">
        <v>255</v>
      </c>
      <c r="O29" s="289"/>
      <c r="P29" s="289" t="s">
        <v>256</v>
      </c>
      <c r="Q29" s="289"/>
      <c r="R29" s="289" t="s">
        <v>257</v>
      </c>
      <c r="S29" s="299"/>
      <c r="T29" s="299"/>
      <c r="U29" s="300"/>
      <c r="V29" s="299"/>
      <c r="W29" s="301"/>
      <c r="X29" s="5"/>
    </row>
    <row r="30" spans="1:24" ht="15.6" x14ac:dyDescent="0.3">
      <c r="A30" s="287"/>
      <c r="B30" s="288" t="s">
        <v>10</v>
      </c>
      <c r="C30" s="298"/>
      <c r="D30" s="289" t="s">
        <v>248</v>
      </c>
      <c r="E30" s="289"/>
      <c r="F30" s="296" t="s">
        <v>118</v>
      </c>
      <c r="G30" s="289"/>
      <c r="H30" s="289" t="s">
        <v>118</v>
      </c>
      <c r="I30" s="289"/>
      <c r="J30" s="289" t="s">
        <v>252</v>
      </c>
      <c r="K30" s="289"/>
      <c r="L30" s="289" t="s">
        <v>118</v>
      </c>
      <c r="M30" s="289"/>
      <c r="N30" s="289" t="s">
        <v>118</v>
      </c>
      <c r="O30" s="289"/>
      <c r="P30" s="289" t="s">
        <v>118</v>
      </c>
      <c r="Q30" s="289"/>
      <c r="R30" s="289" t="s">
        <v>118</v>
      </c>
      <c r="S30" s="299"/>
      <c r="T30" s="299"/>
      <c r="U30" s="300"/>
      <c r="V30" s="299"/>
      <c r="W30" s="301"/>
      <c r="X30" s="5"/>
    </row>
    <row r="31" spans="1:24" ht="15.6" x14ac:dyDescent="0.3">
      <c r="A31" s="292"/>
      <c r="B31" s="288" t="s">
        <v>133</v>
      </c>
      <c r="C31" s="302"/>
      <c r="D31" s="303">
        <v>1500000</v>
      </c>
      <c r="E31" s="298"/>
      <c r="F31" s="299">
        <v>125000</v>
      </c>
      <c r="G31" s="299"/>
      <c r="H31" s="304">
        <v>246000</v>
      </c>
      <c r="I31" s="304"/>
      <c r="J31" s="303">
        <v>400000</v>
      </c>
      <c r="K31" s="299"/>
      <c r="L31" s="299">
        <v>51900</v>
      </c>
      <c r="M31" s="299"/>
      <c r="N31" s="304">
        <v>88800</v>
      </c>
      <c r="O31" s="299"/>
      <c r="P31" s="299">
        <v>20000</v>
      </c>
      <c r="Q31" s="299"/>
      <c r="R31" s="304">
        <v>135500</v>
      </c>
      <c r="S31" s="305"/>
      <c r="T31" s="305"/>
      <c r="U31" s="306"/>
      <c r="V31" s="305"/>
      <c r="W31" s="301"/>
      <c r="X31" s="5"/>
    </row>
    <row r="32" spans="1:24" ht="15.6" x14ac:dyDescent="0.3">
      <c r="A32" s="287"/>
      <c r="B32" s="288" t="s">
        <v>132</v>
      </c>
      <c r="C32" s="298"/>
      <c r="D32" s="303">
        <f>D31*D38</f>
        <v>1061758.3500000001</v>
      </c>
      <c r="E32" s="298"/>
      <c r="F32" s="299">
        <f>F31*F38</f>
        <v>88479.95</v>
      </c>
      <c r="G32" s="299"/>
      <c r="H32" s="304">
        <f>H31*H38</f>
        <v>174128.5416</v>
      </c>
      <c r="I32" s="304"/>
      <c r="J32" s="303">
        <f>J31*J38</f>
        <v>283135.56</v>
      </c>
      <c r="K32" s="299"/>
      <c r="L32" s="299">
        <f>+L31</f>
        <v>51900</v>
      </c>
      <c r="M32" s="299"/>
      <c r="N32" s="304">
        <f>+N31</f>
        <v>88800</v>
      </c>
      <c r="O32" s="299"/>
      <c r="P32" s="299">
        <f>+P31</f>
        <v>20000</v>
      </c>
      <c r="Q32" s="299"/>
      <c r="R32" s="304">
        <f>+R31</f>
        <v>135500</v>
      </c>
      <c r="S32" s="299"/>
      <c r="T32" s="299"/>
      <c r="U32" s="300"/>
      <c r="V32" s="299"/>
      <c r="W32" s="301"/>
      <c r="X32" s="5"/>
    </row>
    <row r="33" spans="1:24" ht="15.6" x14ac:dyDescent="0.3">
      <c r="A33" s="287"/>
      <c r="B33" s="295" t="s">
        <v>134</v>
      </c>
      <c r="C33" s="298"/>
      <c r="D33" s="307">
        <f>D37*D31</f>
        <v>1054578.3</v>
      </c>
      <c r="E33" s="302"/>
      <c r="F33" s="305">
        <f>F37*F31</f>
        <v>87881.625</v>
      </c>
      <c r="G33" s="305"/>
      <c r="H33" s="308">
        <f>H31*H37</f>
        <v>172951.038</v>
      </c>
      <c r="I33" s="308"/>
      <c r="J33" s="307">
        <f>J37*J31</f>
        <v>281220.88</v>
      </c>
      <c r="K33" s="305"/>
      <c r="L33" s="305">
        <f>L31*L37</f>
        <v>51900</v>
      </c>
      <c r="M33" s="305"/>
      <c r="N33" s="308">
        <f>N31*N37</f>
        <v>88800</v>
      </c>
      <c r="O33" s="305"/>
      <c r="P33" s="305">
        <f>P31*P37</f>
        <v>20000</v>
      </c>
      <c r="Q33" s="305"/>
      <c r="R33" s="308">
        <f>R31*R37</f>
        <v>135500</v>
      </c>
      <c r="S33" s="299"/>
      <c r="T33" s="299"/>
      <c r="U33" s="300"/>
      <c r="V33" s="299"/>
      <c r="W33" s="301"/>
      <c r="X33" s="5"/>
    </row>
    <row r="34" spans="1:24" ht="15.6" x14ac:dyDescent="0.3">
      <c r="A34" s="292"/>
      <c r="B34" s="288" t="s">
        <v>296</v>
      </c>
      <c r="C34" s="302"/>
      <c r="D34" s="299">
        <v>775194</v>
      </c>
      <c r="E34" s="298"/>
      <c r="F34" s="299">
        <v>125000</v>
      </c>
      <c r="G34" s="299"/>
      <c r="H34" s="299">
        <v>168148</v>
      </c>
      <c r="I34" s="299"/>
      <c r="J34" s="299">
        <v>206718</v>
      </c>
      <c r="K34" s="299"/>
      <c r="L34" s="299">
        <v>51900</v>
      </c>
      <c r="M34" s="299"/>
      <c r="N34" s="299">
        <v>60697</v>
      </c>
      <c r="O34" s="299"/>
      <c r="P34" s="299">
        <v>20000</v>
      </c>
      <c r="Q34" s="299"/>
      <c r="R34" s="299">
        <v>92618</v>
      </c>
      <c r="S34" s="305"/>
      <c r="T34" s="305"/>
      <c r="U34" s="306"/>
      <c r="V34" s="299">
        <f>SUM(C34:R34)</f>
        <v>1500275</v>
      </c>
      <c r="W34" s="301"/>
      <c r="X34" s="5"/>
    </row>
    <row r="35" spans="1:24" ht="15.6" x14ac:dyDescent="0.3">
      <c r="A35" s="292"/>
      <c r="B35" s="288" t="s">
        <v>297</v>
      </c>
      <c r="C35" s="302"/>
      <c r="D35" s="299">
        <f>D34*D38</f>
        <v>548712.46824660001</v>
      </c>
      <c r="E35" s="298"/>
      <c r="F35" s="299">
        <f>F34*F38</f>
        <v>88479.95</v>
      </c>
      <c r="G35" s="299"/>
      <c r="H35" s="299">
        <f>H34*H38</f>
        <v>119021.81306080001</v>
      </c>
      <c r="I35" s="299"/>
      <c r="J35" s="299">
        <f>J34*J38</f>
        <v>146323.0417302</v>
      </c>
      <c r="K35" s="299"/>
      <c r="L35" s="299">
        <f>+L34</f>
        <v>51900</v>
      </c>
      <c r="M35" s="299"/>
      <c r="N35" s="299">
        <f>+N34</f>
        <v>60697</v>
      </c>
      <c r="O35" s="299"/>
      <c r="P35" s="299">
        <f>+P34</f>
        <v>20000</v>
      </c>
      <c r="Q35" s="299"/>
      <c r="R35" s="299">
        <f>+R34</f>
        <v>92618</v>
      </c>
      <c r="S35" s="299"/>
      <c r="T35" s="299"/>
      <c r="U35" s="300"/>
      <c r="V35" s="299">
        <f>SUM(C35:R35)</f>
        <v>1127752.2730375999</v>
      </c>
      <c r="W35" s="301"/>
      <c r="X35" s="5"/>
    </row>
    <row r="36" spans="1:24" ht="15.6" x14ac:dyDescent="0.3">
      <c r="A36" s="292"/>
      <c r="B36" s="295" t="s">
        <v>298</v>
      </c>
      <c r="C36" s="302"/>
      <c r="D36" s="305">
        <f>D34*D37</f>
        <v>545001.84712679998</v>
      </c>
      <c r="E36" s="302"/>
      <c r="F36" s="305">
        <f>F34*F37</f>
        <v>87881.625</v>
      </c>
      <c r="G36" s="305"/>
      <c r="H36" s="305">
        <f>H34*H37</f>
        <v>118216.95584400001</v>
      </c>
      <c r="I36" s="305"/>
      <c r="J36" s="305">
        <f>J34*J37</f>
        <v>145333.54467960002</v>
      </c>
      <c r="K36" s="305"/>
      <c r="L36" s="305">
        <f>L34*L37</f>
        <v>51900</v>
      </c>
      <c r="M36" s="305"/>
      <c r="N36" s="305">
        <f>N34*N37</f>
        <v>60697</v>
      </c>
      <c r="O36" s="305"/>
      <c r="P36" s="305">
        <f>P34*P37</f>
        <v>20000</v>
      </c>
      <c r="Q36" s="305"/>
      <c r="R36" s="305">
        <f>R34*R37</f>
        <v>92618</v>
      </c>
      <c r="S36" s="328"/>
      <c r="T36" s="328"/>
      <c r="U36" s="300"/>
      <c r="V36" s="305">
        <f>SUM(C36:R36)</f>
        <v>1121648.9726503999</v>
      </c>
      <c r="W36" s="301"/>
      <c r="X36" s="5"/>
    </row>
    <row r="37" spans="1:24" ht="15.6" x14ac:dyDescent="0.3">
      <c r="A37" s="287"/>
      <c r="B37" s="313" t="s">
        <v>130</v>
      </c>
      <c r="C37" s="314"/>
      <c r="D37" s="315">
        <v>0.70305220000000002</v>
      </c>
      <c r="E37" s="315"/>
      <c r="F37" s="315">
        <v>0.70305300000000004</v>
      </c>
      <c r="G37" s="315"/>
      <c r="H37" s="315">
        <v>0.70305300000000004</v>
      </c>
      <c r="I37" s="315"/>
      <c r="J37" s="315">
        <v>0.70305220000000002</v>
      </c>
      <c r="K37" s="315"/>
      <c r="L37" s="315">
        <v>1</v>
      </c>
      <c r="M37" s="315"/>
      <c r="N37" s="315">
        <v>1</v>
      </c>
      <c r="O37" s="315"/>
      <c r="P37" s="315">
        <v>1</v>
      </c>
      <c r="Q37" s="315"/>
      <c r="R37" s="315">
        <v>1</v>
      </c>
      <c r="S37" s="316"/>
      <c r="T37" s="316"/>
      <c r="U37" s="317"/>
      <c r="V37" s="317"/>
      <c r="W37" s="318"/>
      <c r="X37" s="5"/>
    </row>
    <row r="38" spans="1:24" ht="15.6" x14ac:dyDescent="0.3">
      <c r="A38" s="287"/>
      <c r="B38" s="313" t="s">
        <v>131</v>
      </c>
      <c r="C38" s="314"/>
      <c r="D38" s="315">
        <v>0.70783890000000005</v>
      </c>
      <c r="E38" s="315"/>
      <c r="F38" s="315">
        <v>0.70783960000000001</v>
      </c>
      <c r="G38" s="315"/>
      <c r="H38" s="315">
        <v>0.70783960000000001</v>
      </c>
      <c r="I38" s="315"/>
      <c r="J38" s="315">
        <v>0.70783890000000005</v>
      </c>
      <c r="K38" s="315"/>
      <c r="L38" s="315">
        <v>1</v>
      </c>
      <c r="M38" s="315"/>
      <c r="N38" s="315">
        <v>1</v>
      </c>
      <c r="O38" s="315"/>
      <c r="P38" s="315">
        <v>1</v>
      </c>
      <c r="Q38" s="315"/>
      <c r="R38" s="315">
        <v>1</v>
      </c>
      <c r="S38" s="319"/>
      <c r="T38" s="320"/>
      <c r="U38" s="317"/>
      <c r="V38" s="319"/>
      <c r="W38" s="318"/>
      <c r="X38" s="5"/>
    </row>
    <row r="39" spans="1:24" ht="15.6" x14ac:dyDescent="0.3">
      <c r="A39" s="287"/>
      <c r="B39" s="288" t="s">
        <v>11</v>
      </c>
      <c r="C39" s="288"/>
      <c r="D39" s="296" t="s">
        <v>321</v>
      </c>
      <c r="E39" s="288"/>
      <c r="F39" s="296" t="s">
        <v>231</v>
      </c>
      <c r="G39" s="296"/>
      <c r="H39" s="296" t="s">
        <v>231</v>
      </c>
      <c r="I39" s="296"/>
      <c r="J39" s="296" t="s">
        <v>231</v>
      </c>
      <c r="K39" s="296"/>
      <c r="L39" s="296" t="s">
        <v>265</v>
      </c>
      <c r="M39" s="296"/>
      <c r="N39" s="296" t="s">
        <v>265</v>
      </c>
      <c r="O39" s="296"/>
      <c r="P39" s="296" t="s">
        <v>266</v>
      </c>
      <c r="Q39" s="296"/>
      <c r="R39" s="296" t="s">
        <v>266</v>
      </c>
      <c r="S39" s="321"/>
      <c r="T39" s="322"/>
      <c r="U39" s="290"/>
      <c r="V39" s="290"/>
      <c r="W39" s="291"/>
      <c r="X39" s="5"/>
    </row>
    <row r="40" spans="1:24" ht="15.6" x14ac:dyDescent="0.3">
      <c r="A40" s="287"/>
      <c r="B40" s="288" t="s">
        <v>12</v>
      </c>
      <c r="C40" s="288"/>
      <c r="D40" s="322">
        <v>4.3874999999999999E-3</v>
      </c>
      <c r="E40" s="288"/>
      <c r="F40" s="322">
        <v>1.2386899999999999E-2</v>
      </c>
      <c r="G40" s="321"/>
      <c r="H40" s="322">
        <v>1.076E-2</v>
      </c>
      <c r="I40" s="322"/>
      <c r="J40" s="322">
        <v>6.7365000000000003E-3</v>
      </c>
      <c r="K40" s="321"/>
      <c r="L40" s="322">
        <v>1.39869E-2</v>
      </c>
      <c r="M40" s="321"/>
      <c r="N40" s="322">
        <v>1.2359999999999999E-2</v>
      </c>
      <c r="O40" s="321"/>
      <c r="P40" s="322">
        <v>1.79869E-2</v>
      </c>
      <c r="Q40" s="321"/>
      <c r="R40" s="322">
        <v>1.636E-2</v>
      </c>
      <c r="S40" s="321"/>
      <c r="T40" s="322"/>
      <c r="U40" s="290"/>
      <c r="V40" s="296"/>
      <c r="W40" s="291"/>
      <c r="X40" s="5"/>
    </row>
    <row r="41" spans="1:24" ht="15.6" x14ac:dyDescent="0.3">
      <c r="A41" s="287"/>
      <c r="B41" s="288" t="s">
        <v>13</v>
      </c>
      <c r="C41" s="288"/>
      <c r="D41" s="322">
        <v>3.4849999999999998E-3</v>
      </c>
      <c r="E41" s="288"/>
      <c r="F41" s="322">
        <v>1.1613099999999999E-2</v>
      </c>
      <c r="G41" s="321"/>
      <c r="H41" s="322">
        <v>1.5259999999999999E-2</v>
      </c>
      <c r="I41" s="322"/>
      <c r="J41" s="322">
        <v>6.4625000000000004E-3</v>
      </c>
      <c r="K41" s="321"/>
      <c r="L41" s="322">
        <v>1.24131E-2</v>
      </c>
      <c r="M41" s="321"/>
      <c r="N41" s="322">
        <v>1.6060000000000001E-2</v>
      </c>
      <c r="O41" s="321"/>
      <c r="P41" s="322">
        <v>1.44131E-2</v>
      </c>
      <c r="Q41" s="321"/>
      <c r="R41" s="322">
        <v>1.806E-2</v>
      </c>
      <c r="S41" s="321"/>
      <c r="T41" s="322"/>
      <c r="U41" s="290"/>
      <c r="V41" s="321" t="s">
        <v>193</v>
      </c>
      <c r="W41" s="291"/>
      <c r="X41" s="5"/>
    </row>
    <row r="42" spans="1:24" ht="15.6" x14ac:dyDescent="0.3">
      <c r="A42" s="287"/>
      <c r="B42" s="288" t="s">
        <v>299</v>
      </c>
      <c r="C42" s="288"/>
      <c r="D42" s="296" t="s">
        <v>322</v>
      </c>
      <c r="E42" s="288"/>
      <c r="F42" s="296" t="s">
        <v>231</v>
      </c>
      <c r="G42" s="296"/>
      <c r="H42" s="296" t="s">
        <v>323</v>
      </c>
      <c r="I42" s="296"/>
      <c r="J42" s="296" t="s">
        <v>324</v>
      </c>
      <c r="K42" s="296"/>
      <c r="L42" s="296" t="s">
        <v>265</v>
      </c>
      <c r="M42" s="296"/>
      <c r="N42" s="296" t="s">
        <v>234</v>
      </c>
      <c r="O42" s="296"/>
      <c r="P42" s="296" t="s">
        <v>266</v>
      </c>
      <c r="Q42" s="296"/>
      <c r="R42" s="296" t="s">
        <v>264</v>
      </c>
      <c r="S42" s="321"/>
      <c r="T42" s="322"/>
      <c r="U42" s="290"/>
      <c r="V42" s="290"/>
      <c r="W42" s="291"/>
      <c r="X42" s="5"/>
    </row>
    <row r="43" spans="1:24" ht="15.6" x14ac:dyDescent="0.3">
      <c r="A43" s="287"/>
      <c r="B43" s="288" t="s">
        <v>300</v>
      </c>
      <c r="C43" s="323"/>
      <c r="D43" s="322">
        <v>1.27609E-2</v>
      </c>
      <c r="E43" s="322"/>
      <c r="F43" s="322">
        <f>+F40</f>
        <v>1.2386899999999999E-2</v>
      </c>
      <c r="G43" s="322"/>
      <c r="H43" s="322">
        <v>1.26669E-2</v>
      </c>
      <c r="I43" s="322"/>
      <c r="J43" s="322">
        <v>1.31129E-2</v>
      </c>
      <c r="K43" s="322"/>
      <c r="L43" s="322">
        <f>+L40</f>
        <v>1.39869E-2</v>
      </c>
      <c r="M43" s="322"/>
      <c r="N43" s="322">
        <v>1.4578900000000001E-2</v>
      </c>
      <c r="O43" s="322"/>
      <c r="P43" s="322">
        <f>+P40</f>
        <v>1.79869E-2</v>
      </c>
      <c r="Q43" s="321"/>
      <c r="R43" s="322">
        <v>1.9052900000000001E-2</v>
      </c>
      <c r="S43" s="296"/>
      <c r="T43" s="296"/>
      <c r="U43" s="290"/>
      <c r="V43" s="321">
        <f>SUMPRODUCT(D43:R43,D35:R35)/V35</f>
        <v>1.3530993913109197E-2</v>
      </c>
      <c r="W43" s="291"/>
      <c r="X43" s="5"/>
    </row>
    <row r="44" spans="1:24" ht="15.6" x14ac:dyDescent="0.3">
      <c r="A44" s="287"/>
      <c r="B44" s="288" t="s">
        <v>301</v>
      </c>
      <c r="C44" s="323"/>
      <c r="D44" s="322">
        <v>1.19521E-2</v>
      </c>
      <c r="E44" s="322"/>
      <c r="F44" s="322">
        <f>+F41</f>
        <v>1.1613099999999999E-2</v>
      </c>
      <c r="G44" s="322"/>
      <c r="H44" s="322">
        <v>1.1753100000000001E-2</v>
      </c>
      <c r="I44" s="322"/>
      <c r="J44" s="322">
        <v>1.19761E-2</v>
      </c>
      <c r="K44" s="322"/>
      <c r="L44" s="322">
        <f>+L41</f>
        <v>1.24131E-2</v>
      </c>
      <c r="M44" s="322"/>
      <c r="N44" s="322">
        <v>1.2709099999999999E-2</v>
      </c>
      <c r="O44" s="322"/>
      <c r="P44" s="322">
        <f>+P41</f>
        <v>1.44131E-2</v>
      </c>
      <c r="Q44" s="321"/>
      <c r="R44" s="322">
        <v>1.49461E-2</v>
      </c>
      <c r="S44" s="296"/>
      <c r="T44" s="296"/>
      <c r="U44" s="290"/>
      <c r="V44" s="290"/>
      <c r="W44" s="291"/>
      <c r="X44" s="5"/>
    </row>
    <row r="45" spans="1:24" ht="15.6" x14ac:dyDescent="0.3">
      <c r="A45" s="287"/>
      <c r="B45" s="288" t="s">
        <v>14</v>
      </c>
      <c r="C45" s="288"/>
      <c r="D45" s="323">
        <v>40617</v>
      </c>
      <c r="E45" s="323"/>
      <c r="F45" s="323">
        <v>40617</v>
      </c>
      <c r="G45" s="323"/>
      <c r="H45" s="323">
        <v>40617</v>
      </c>
      <c r="I45" s="323"/>
      <c r="J45" s="323">
        <v>40617</v>
      </c>
      <c r="K45" s="323"/>
      <c r="L45" s="323">
        <v>40617</v>
      </c>
      <c r="M45" s="323"/>
      <c r="N45" s="323">
        <v>40617</v>
      </c>
      <c r="O45" s="323"/>
      <c r="P45" s="323">
        <v>40617</v>
      </c>
      <c r="Q45" s="323"/>
      <c r="R45" s="323">
        <v>40617</v>
      </c>
      <c r="S45" s="296"/>
      <c r="T45" s="296"/>
      <c r="U45" s="290"/>
      <c r="V45" s="290"/>
      <c r="W45" s="291"/>
      <c r="X45" s="5"/>
    </row>
    <row r="46" spans="1:24" ht="15.6" x14ac:dyDescent="0.3">
      <c r="A46" s="287"/>
      <c r="B46" s="288" t="s">
        <v>15</v>
      </c>
      <c r="C46" s="288"/>
      <c r="D46" s="323">
        <v>40983</v>
      </c>
      <c r="E46" s="323"/>
      <c r="F46" s="323">
        <v>40983</v>
      </c>
      <c r="G46" s="323"/>
      <c r="H46" s="323">
        <v>40983</v>
      </c>
      <c r="I46" s="323"/>
      <c r="J46" s="323">
        <v>40983</v>
      </c>
      <c r="K46" s="296"/>
      <c r="L46" s="323">
        <v>40983</v>
      </c>
      <c r="M46" s="296"/>
      <c r="N46" s="323">
        <v>40983</v>
      </c>
      <c r="O46" s="296"/>
      <c r="P46" s="323">
        <v>40983</v>
      </c>
      <c r="Q46" s="296"/>
      <c r="R46" s="323">
        <v>40983</v>
      </c>
      <c r="S46" s="296"/>
      <c r="T46" s="296"/>
      <c r="U46" s="290"/>
      <c r="V46" s="290"/>
      <c r="W46" s="291"/>
      <c r="X46" s="5"/>
    </row>
    <row r="47" spans="1:24" ht="15.6" x14ac:dyDescent="0.3">
      <c r="A47" s="287"/>
      <c r="B47" s="288" t="s">
        <v>119</v>
      </c>
      <c r="C47" s="288"/>
      <c r="D47" s="296" t="s">
        <v>231</v>
      </c>
      <c r="E47" s="288"/>
      <c r="F47" s="296" t="s">
        <v>231</v>
      </c>
      <c r="G47" s="296"/>
      <c r="H47" s="296" t="s">
        <v>231</v>
      </c>
      <c r="I47" s="296"/>
      <c r="J47" s="296" t="s">
        <v>231</v>
      </c>
      <c r="K47" s="296"/>
      <c r="L47" s="296" t="s">
        <v>265</v>
      </c>
      <c r="M47" s="296"/>
      <c r="N47" s="296" t="s">
        <v>265</v>
      </c>
      <c r="O47" s="296"/>
      <c r="P47" s="296" t="s">
        <v>266</v>
      </c>
      <c r="Q47" s="296"/>
      <c r="R47" s="296" t="s">
        <v>266</v>
      </c>
      <c r="S47" s="325"/>
      <c r="T47" s="325"/>
      <c r="U47" s="325"/>
      <c r="V47" s="325"/>
      <c r="W47" s="291"/>
      <c r="X47" s="5"/>
    </row>
    <row r="48" spans="1:24" ht="15.6" x14ac:dyDescent="0.3">
      <c r="A48" s="287"/>
      <c r="B48" s="288" t="s">
        <v>302</v>
      </c>
      <c r="C48" s="288"/>
      <c r="D48" s="296" t="s">
        <v>325</v>
      </c>
      <c r="E48" s="288"/>
      <c r="F48" s="296" t="s">
        <v>231</v>
      </c>
      <c r="G48" s="296"/>
      <c r="H48" s="296" t="s">
        <v>262</v>
      </c>
      <c r="I48" s="296"/>
      <c r="J48" s="296" t="s">
        <v>263</v>
      </c>
      <c r="K48" s="296"/>
      <c r="L48" s="296" t="s">
        <v>265</v>
      </c>
      <c r="M48" s="296"/>
      <c r="N48" s="296" t="s">
        <v>234</v>
      </c>
      <c r="O48" s="296"/>
      <c r="P48" s="296" t="s">
        <v>266</v>
      </c>
      <c r="Q48" s="296"/>
      <c r="R48" s="296" t="s">
        <v>264</v>
      </c>
      <c r="S48" s="288"/>
      <c r="T48" s="288"/>
      <c r="U48" s="288"/>
      <c r="V48" s="321"/>
      <c r="W48" s="291"/>
      <c r="X48" s="5"/>
    </row>
    <row r="49" spans="1:25" ht="15.6" x14ac:dyDescent="0.3">
      <c r="A49" s="287"/>
      <c r="B49" s="288"/>
      <c r="C49" s="288"/>
      <c r="D49" s="296"/>
      <c r="E49" s="288"/>
      <c r="F49" s="296"/>
      <c r="G49" s="296"/>
      <c r="H49" s="296"/>
      <c r="I49" s="296"/>
      <c r="J49" s="296"/>
      <c r="K49" s="296"/>
      <c r="L49" s="296"/>
      <c r="M49" s="296"/>
      <c r="N49" s="296"/>
      <c r="O49" s="296"/>
      <c r="P49" s="296"/>
      <c r="Q49" s="296"/>
      <c r="R49" s="296"/>
      <c r="S49" s="288"/>
      <c r="T49" s="288"/>
      <c r="U49" s="288"/>
      <c r="V49" s="321" t="s">
        <v>193</v>
      </c>
      <c r="W49" s="291"/>
      <c r="X49" s="5"/>
    </row>
    <row r="50" spans="1:25" ht="15.6" x14ac:dyDescent="0.3">
      <c r="A50" s="287"/>
      <c r="B50" s="288" t="s">
        <v>169</v>
      </c>
      <c r="C50" s="288"/>
      <c r="D50" s="296"/>
      <c r="E50" s="288"/>
      <c r="F50" s="296"/>
      <c r="G50" s="296"/>
      <c r="H50" s="296"/>
      <c r="I50" s="296"/>
      <c r="J50" s="296"/>
      <c r="K50" s="296"/>
      <c r="L50" s="296"/>
      <c r="M50" s="296"/>
      <c r="N50" s="296"/>
      <c r="O50" s="296"/>
      <c r="P50" s="296"/>
      <c r="Q50" s="296"/>
      <c r="R50" s="296"/>
      <c r="S50" s="288"/>
      <c r="T50" s="288"/>
      <c r="U50" s="288"/>
      <c r="V50" s="321">
        <f>SUM(L34:R34)/SUM(D34:J34)</f>
        <v>0.17663090364375009</v>
      </c>
      <c r="W50" s="291"/>
      <c r="X50" s="5"/>
    </row>
    <row r="51" spans="1:25" ht="15.6" x14ac:dyDescent="0.3">
      <c r="A51" s="287"/>
      <c r="B51" s="288" t="s">
        <v>170</v>
      </c>
      <c r="C51" s="288"/>
      <c r="D51" s="288"/>
      <c r="E51" s="288"/>
      <c r="F51" s="326"/>
      <c r="G51" s="288"/>
      <c r="H51" s="288"/>
      <c r="I51" s="288"/>
      <c r="J51" s="288"/>
      <c r="K51" s="288"/>
      <c r="L51" s="288"/>
      <c r="M51" s="288"/>
      <c r="N51" s="288"/>
      <c r="O51" s="288"/>
      <c r="P51" s="288"/>
      <c r="Q51" s="288"/>
      <c r="R51" s="288"/>
      <c r="S51" s="288"/>
      <c r="T51" s="288"/>
      <c r="U51" s="288"/>
      <c r="V51" s="321">
        <f>SUM(L36:R36)/SUM(D36:J36)</f>
        <v>0.25123434281961504</v>
      </c>
      <c r="W51" s="291"/>
      <c r="X51" s="5"/>
    </row>
    <row r="52" spans="1:25" ht="15.6" x14ac:dyDescent="0.3">
      <c r="A52" s="287"/>
      <c r="B52" s="288" t="s">
        <v>171</v>
      </c>
      <c r="C52" s="288"/>
      <c r="D52" s="288"/>
      <c r="E52" s="288"/>
      <c r="F52" s="288"/>
      <c r="G52" s="288"/>
      <c r="H52" s="288"/>
      <c r="I52" s="288"/>
      <c r="J52" s="288"/>
      <c r="K52" s="288"/>
      <c r="L52" s="288"/>
      <c r="M52" s="288"/>
      <c r="N52" s="288"/>
      <c r="O52" s="288"/>
      <c r="P52" s="288"/>
      <c r="Q52" s="288"/>
      <c r="R52" s="288"/>
      <c r="S52" s="288"/>
      <c r="T52" s="296"/>
      <c r="U52" s="296"/>
      <c r="V52" s="299" t="s">
        <v>276</v>
      </c>
      <c r="W52" s="291"/>
      <c r="X52" s="5"/>
    </row>
    <row r="53" spans="1:25" ht="15.6" x14ac:dyDescent="0.3">
      <c r="A53" s="287"/>
      <c r="B53" s="288"/>
      <c r="C53" s="288"/>
      <c r="D53" s="288"/>
      <c r="E53" s="288"/>
      <c r="F53" s="288"/>
      <c r="G53" s="288"/>
      <c r="H53" s="288"/>
      <c r="I53" s="288"/>
      <c r="J53" s="288"/>
      <c r="K53" s="288"/>
      <c r="L53" s="288"/>
      <c r="M53" s="288"/>
      <c r="N53" s="288"/>
      <c r="O53" s="288"/>
      <c r="P53" s="288"/>
      <c r="Q53" s="288"/>
      <c r="R53" s="288"/>
      <c r="S53" s="288"/>
      <c r="T53" s="288"/>
      <c r="U53" s="288"/>
      <c r="V53" s="327"/>
      <c r="W53" s="291"/>
      <c r="X53" s="5"/>
    </row>
    <row r="54" spans="1:25" ht="15.6" x14ac:dyDescent="0.3">
      <c r="A54" s="287"/>
      <c r="B54" s="288" t="s">
        <v>202</v>
      </c>
      <c r="C54" s="288"/>
      <c r="D54" s="288"/>
      <c r="E54" s="288"/>
      <c r="F54" s="288"/>
      <c r="G54" s="288"/>
      <c r="H54" s="288"/>
      <c r="I54" s="288"/>
      <c r="J54" s="288"/>
      <c r="K54" s="288"/>
      <c r="L54" s="288"/>
      <c r="M54" s="288"/>
      <c r="N54" s="288"/>
      <c r="O54" s="288"/>
      <c r="P54" s="288"/>
      <c r="Q54" s="288"/>
      <c r="R54" s="288"/>
      <c r="S54" s="288"/>
      <c r="T54" s="288"/>
      <c r="U54" s="288"/>
      <c r="V54" s="328" t="s">
        <v>203</v>
      </c>
      <c r="W54" s="291"/>
      <c r="X54" s="5"/>
    </row>
    <row r="55" spans="1:25" ht="15.6" x14ac:dyDescent="0.3">
      <c r="A55" s="287"/>
      <c r="B55" s="288" t="s">
        <v>280</v>
      </c>
      <c r="C55" s="288"/>
      <c r="D55" s="288"/>
      <c r="E55" s="288"/>
      <c r="F55" s="288"/>
      <c r="G55" s="288"/>
      <c r="H55" s="288"/>
      <c r="I55" s="288"/>
      <c r="J55" s="288"/>
      <c r="K55" s="288"/>
      <c r="L55" s="288"/>
      <c r="M55" s="288"/>
      <c r="N55" s="288"/>
      <c r="O55" s="288"/>
      <c r="P55" s="288"/>
      <c r="Q55" s="288"/>
      <c r="R55" s="288"/>
      <c r="S55" s="288"/>
      <c r="T55" s="296"/>
      <c r="U55" s="296"/>
      <c r="V55" s="329" t="s">
        <v>111</v>
      </c>
      <c r="W55" s="291"/>
      <c r="X55" s="5"/>
    </row>
    <row r="56" spans="1:25" ht="15.6" x14ac:dyDescent="0.3">
      <c r="A56" s="287"/>
      <c r="B56" s="295" t="s">
        <v>201</v>
      </c>
      <c r="C56" s="295"/>
      <c r="D56" s="295"/>
      <c r="E56" s="295"/>
      <c r="F56" s="295"/>
      <c r="G56" s="295"/>
      <c r="H56" s="295"/>
      <c r="I56" s="295"/>
      <c r="J56" s="295"/>
      <c r="K56" s="295"/>
      <c r="L56" s="295"/>
      <c r="M56" s="295"/>
      <c r="N56" s="295"/>
      <c r="O56" s="295"/>
      <c r="P56" s="295"/>
      <c r="Q56" s="295"/>
      <c r="R56" s="295"/>
      <c r="S56" s="295"/>
      <c r="T56" s="330"/>
      <c r="U56" s="330"/>
      <c r="V56" s="331">
        <v>41075</v>
      </c>
      <c r="W56" s="291"/>
      <c r="X56" s="5"/>
    </row>
    <row r="57" spans="1:25" ht="15.6" x14ac:dyDescent="0.3">
      <c r="A57" s="287"/>
      <c r="B57" s="288" t="s">
        <v>121</v>
      </c>
      <c r="C57" s="288"/>
      <c r="D57" s="288"/>
      <c r="E57" s="288"/>
      <c r="F57" s="288"/>
      <c r="G57" s="288"/>
      <c r="H57" s="332"/>
      <c r="I57" s="332"/>
      <c r="J57" s="332"/>
      <c r="K57" s="332"/>
      <c r="L57" s="332"/>
      <c r="M57" s="332"/>
      <c r="N57" s="332"/>
      <c r="O57" s="332"/>
      <c r="P57" s="332"/>
      <c r="Q57" s="332"/>
      <c r="R57" s="288">
        <f>+V57-T57+1</f>
        <v>91</v>
      </c>
      <c r="S57" s="332"/>
      <c r="T57" s="333">
        <v>40892</v>
      </c>
      <c r="U57" s="334"/>
      <c r="V57" s="333">
        <v>40982</v>
      </c>
      <c r="W57" s="291"/>
      <c r="X57" s="5"/>
    </row>
    <row r="58" spans="1:25" ht="15.6" x14ac:dyDescent="0.3">
      <c r="A58" s="287"/>
      <c r="B58" s="288" t="s">
        <v>122</v>
      </c>
      <c r="C58" s="288"/>
      <c r="D58" s="288"/>
      <c r="E58" s="288"/>
      <c r="F58" s="288"/>
      <c r="G58" s="288"/>
      <c r="H58" s="288"/>
      <c r="I58" s="288"/>
      <c r="J58" s="288"/>
      <c r="K58" s="288"/>
      <c r="L58" s="288"/>
      <c r="M58" s="288"/>
      <c r="N58" s="288"/>
      <c r="O58" s="288"/>
      <c r="P58" s="288"/>
      <c r="Q58" s="288"/>
      <c r="R58" s="288">
        <f>+V58-T58+1</f>
        <v>92</v>
      </c>
      <c r="S58" s="288"/>
      <c r="T58" s="333">
        <v>40983</v>
      </c>
      <c r="U58" s="334"/>
      <c r="V58" s="333">
        <v>41074</v>
      </c>
      <c r="W58" s="291"/>
      <c r="X58" s="5"/>
    </row>
    <row r="59" spans="1:25" ht="15.6" x14ac:dyDescent="0.3">
      <c r="A59" s="287"/>
      <c r="B59" s="288" t="s">
        <v>229</v>
      </c>
      <c r="C59" s="288"/>
      <c r="D59" s="288"/>
      <c r="E59" s="288"/>
      <c r="F59" s="288"/>
      <c r="G59" s="288"/>
      <c r="H59" s="288"/>
      <c r="I59" s="288"/>
      <c r="J59" s="288"/>
      <c r="K59" s="288"/>
      <c r="L59" s="288"/>
      <c r="M59" s="288"/>
      <c r="N59" s="288"/>
      <c r="O59" s="288"/>
      <c r="P59" s="288"/>
      <c r="Q59" s="288"/>
      <c r="R59" s="288"/>
      <c r="S59" s="288"/>
      <c r="T59" s="333"/>
      <c r="U59" s="334"/>
      <c r="V59" s="333" t="s">
        <v>120</v>
      </c>
      <c r="W59" s="291"/>
      <c r="X59" s="5"/>
    </row>
    <row r="60" spans="1:25" ht="15.6" x14ac:dyDescent="0.3">
      <c r="A60" s="287"/>
      <c r="B60" s="288" t="s">
        <v>228</v>
      </c>
      <c r="C60" s="288"/>
      <c r="D60" s="288"/>
      <c r="E60" s="288"/>
      <c r="F60" s="288"/>
      <c r="G60" s="288"/>
      <c r="H60" s="288"/>
      <c r="I60" s="288"/>
      <c r="J60" s="288"/>
      <c r="K60" s="288"/>
      <c r="L60" s="288"/>
      <c r="M60" s="288"/>
      <c r="N60" s="288"/>
      <c r="O60" s="288"/>
      <c r="P60" s="288"/>
      <c r="Q60" s="288"/>
      <c r="R60" s="288"/>
      <c r="S60" s="288"/>
      <c r="T60" s="333"/>
      <c r="U60" s="334"/>
      <c r="V60" s="333" t="s">
        <v>154</v>
      </c>
      <c r="W60" s="291"/>
      <c r="X60" s="5"/>
      <c r="Y60" s="134"/>
    </row>
    <row r="61" spans="1:25" ht="15.6" x14ac:dyDescent="0.3">
      <c r="A61" s="287"/>
      <c r="B61" s="288" t="s">
        <v>16</v>
      </c>
      <c r="C61" s="288"/>
      <c r="D61" s="288"/>
      <c r="E61" s="288"/>
      <c r="F61" s="288"/>
      <c r="G61" s="288"/>
      <c r="H61" s="288"/>
      <c r="I61" s="288"/>
      <c r="J61" s="288"/>
      <c r="K61" s="288"/>
      <c r="L61" s="288"/>
      <c r="M61" s="288"/>
      <c r="N61" s="288"/>
      <c r="O61" s="288"/>
      <c r="P61" s="288"/>
      <c r="Q61" s="288"/>
      <c r="R61" s="288"/>
      <c r="S61" s="288"/>
      <c r="T61" s="333"/>
      <c r="U61" s="334"/>
      <c r="V61" s="333">
        <v>41061</v>
      </c>
      <c r="W61" s="291"/>
      <c r="X61" s="5"/>
    </row>
    <row r="62" spans="1:25" ht="15.6" x14ac:dyDescent="0.3">
      <c r="A62" s="183"/>
      <c r="B62" s="284"/>
      <c r="C62" s="284"/>
      <c r="D62" s="284"/>
      <c r="E62" s="284"/>
      <c r="F62" s="284"/>
      <c r="G62" s="284"/>
      <c r="H62" s="284"/>
      <c r="I62" s="284"/>
      <c r="J62" s="284"/>
      <c r="K62" s="284"/>
      <c r="L62" s="284"/>
      <c r="M62" s="284"/>
      <c r="N62" s="284"/>
      <c r="O62" s="284"/>
      <c r="P62" s="284"/>
      <c r="Q62" s="284"/>
      <c r="R62" s="284"/>
      <c r="S62" s="284"/>
      <c r="T62" s="285"/>
      <c r="U62" s="286"/>
      <c r="V62" s="285"/>
      <c r="W62" s="284"/>
      <c r="X62" s="5"/>
    </row>
    <row r="63" spans="1:25" ht="15.6" x14ac:dyDescent="0.3">
      <c r="A63" s="183"/>
      <c r="B63" s="224"/>
      <c r="C63" s="224"/>
      <c r="D63" s="224"/>
      <c r="E63" s="224"/>
      <c r="F63" s="224"/>
      <c r="G63" s="224"/>
      <c r="H63" s="224"/>
      <c r="I63" s="224"/>
      <c r="J63" s="224"/>
      <c r="K63" s="224"/>
      <c r="L63" s="224"/>
      <c r="M63" s="224"/>
      <c r="N63" s="224"/>
      <c r="O63" s="224"/>
      <c r="P63" s="224"/>
      <c r="Q63" s="224"/>
      <c r="R63" s="224"/>
      <c r="S63" s="224"/>
      <c r="T63" s="235"/>
      <c r="U63" s="236"/>
      <c r="V63" s="235"/>
      <c r="W63" s="224"/>
      <c r="X63" s="5"/>
    </row>
    <row r="64" spans="1:25" ht="18" thickBot="1" x14ac:dyDescent="0.35">
      <c r="A64" s="199"/>
      <c r="B64" s="237" t="s">
        <v>318</v>
      </c>
      <c r="C64" s="238"/>
      <c r="D64" s="238"/>
      <c r="E64" s="238"/>
      <c r="F64" s="238"/>
      <c r="G64" s="238"/>
      <c r="H64" s="238"/>
      <c r="I64" s="238"/>
      <c r="J64" s="238"/>
      <c r="K64" s="238"/>
      <c r="L64" s="238"/>
      <c r="M64" s="238"/>
      <c r="N64" s="238"/>
      <c r="O64" s="238"/>
      <c r="P64" s="238"/>
      <c r="Q64" s="238"/>
      <c r="R64" s="238"/>
      <c r="S64" s="238"/>
      <c r="T64" s="238"/>
      <c r="U64" s="238"/>
      <c r="V64" s="239"/>
      <c r="W64" s="240"/>
      <c r="X64" s="5"/>
    </row>
    <row r="65" spans="1:24" ht="15.6" x14ac:dyDescent="0.3">
      <c r="A65" s="262"/>
      <c r="B65" s="399" t="s">
        <v>17</v>
      </c>
      <c r="C65" s="263"/>
      <c r="D65" s="263"/>
      <c r="E65" s="263"/>
      <c r="F65" s="263"/>
      <c r="G65" s="263"/>
      <c r="H65" s="263"/>
      <c r="I65" s="263"/>
      <c r="J65" s="263"/>
      <c r="K65" s="263"/>
      <c r="L65" s="263"/>
      <c r="M65" s="263"/>
      <c r="N65" s="263"/>
      <c r="O65" s="263"/>
      <c r="P65" s="263"/>
      <c r="Q65" s="263"/>
      <c r="R65" s="263"/>
      <c r="S65" s="263"/>
      <c r="T65" s="263"/>
      <c r="U65" s="263"/>
      <c r="V65" s="268"/>
      <c r="W65" s="263"/>
      <c r="X65" s="5"/>
    </row>
    <row r="66" spans="1:24" ht="15.6" x14ac:dyDescent="0.3">
      <c r="A66" s="183"/>
      <c r="B66" s="191"/>
      <c r="C66" s="185"/>
      <c r="D66" s="185"/>
      <c r="E66" s="185"/>
      <c r="F66" s="185"/>
      <c r="G66" s="185"/>
      <c r="H66" s="185"/>
      <c r="I66" s="185"/>
      <c r="J66" s="185"/>
      <c r="K66" s="185"/>
      <c r="L66" s="185"/>
      <c r="M66" s="185"/>
      <c r="N66" s="185"/>
      <c r="O66" s="185"/>
      <c r="P66" s="185"/>
      <c r="Q66" s="185"/>
      <c r="R66" s="185"/>
      <c r="S66" s="185"/>
      <c r="T66" s="185"/>
      <c r="U66" s="185"/>
      <c r="V66" s="201"/>
      <c r="W66" s="185"/>
      <c r="X66" s="5"/>
    </row>
    <row r="67" spans="1:24" ht="46.8" x14ac:dyDescent="0.3">
      <c r="A67" s="183"/>
      <c r="B67" s="202" t="s">
        <v>18</v>
      </c>
      <c r="C67" s="203"/>
      <c r="D67" s="203"/>
      <c r="E67" s="203"/>
      <c r="F67" s="203"/>
      <c r="G67" s="203"/>
      <c r="H67" s="203"/>
      <c r="I67" s="203"/>
      <c r="J67" s="203"/>
      <c r="K67" s="203"/>
      <c r="L67" s="203" t="s">
        <v>94</v>
      </c>
      <c r="M67" s="203"/>
      <c r="N67" s="203" t="s">
        <v>96</v>
      </c>
      <c r="O67" s="203"/>
      <c r="P67" s="203" t="s">
        <v>98</v>
      </c>
      <c r="Q67" s="203"/>
      <c r="R67" s="203" t="s">
        <v>100</v>
      </c>
      <c r="S67" s="203"/>
      <c r="T67" s="203" t="s">
        <v>106</v>
      </c>
      <c r="U67" s="203"/>
      <c r="V67" s="204" t="s">
        <v>112</v>
      </c>
      <c r="W67" s="205"/>
      <c r="X67" s="5"/>
    </row>
    <row r="68" spans="1:24" ht="15.6" x14ac:dyDescent="0.3">
      <c r="A68" s="287"/>
      <c r="B68" s="288" t="s">
        <v>19</v>
      </c>
      <c r="C68" s="337"/>
      <c r="D68" s="337"/>
      <c r="E68" s="337"/>
      <c r="F68" s="337"/>
      <c r="G68" s="337"/>
      <c r="H68" s="337"/>
      <c r="I68" s="337"/>
      <c r="J68" s="337"/>
      <c r="K68" s="337"/>
      <c r="L68" s="337">
        <v>1158015</v>
      </c>
      <c r="M68" s="337"/>
      <c r="N68" s="338">
        <v>1127752</v>
      </c>
      <c r="O68" s="337"/>
      <c r="P68" s="337">
        <f>6103+60</f>
        <v>6163</v>
      </c>
      <c r="Q68" s="337"/>
      <c r="R68" s="337">
        <v>60</v>
      </c>
      <c r="S68" s="337"/>
      <c r="T68" s="337">
        <v>0</v>
      </c>
      <c r="U68" s="337"/>
      <c r="V68" s="338">
        <f>+N68-P68+R68-T68</f>
        <v>1121649</v>
      </c>
      <c r="W68" s="291"/>
      <c r="X68" s="5"/>
    </row>
    <row r="69" spans="1:24" ht="15.6" x14ac:dyDescent="0.3">
      <c r="A69" s="287"/>
      <c r="B69" s="288" t="s">
        <v>20</v>
      </c>
      <c r="C69" s="337"/>
      <c r="D69" s="337"/>
      <c r="E69" s="337"/>
      <c r="F69" s="337"/>
      <c r="G69" s="337"/>
      <c r="H69" s="337"/>
      <c r="I69" s="337"/>
      <c r="J69" s="337"/>
      <c r="K69" s="337"/>
      <c r="L69" s="337">
        <v>15</v>
      </c>
      <c r="M69" s="337"/>
      <c r="N69" s="338">
        <v>0</v>
      </c>
      <c r="O69" s="337"/>
      <c r="P69" s="337">
        <v>0</v>
      </c>
      <c r="Q69" s="337"/>
      <c r="R69" s="337">
        <v>0</v>
      </c>
      <c r="S69" s="337"/>
      <c r="T69" s="337">
        <v>0</v>
      </c>
      <c r="U69" s="337"/>
      <c r="V69" s="338">
        <v>0</v>
      </c>
      <c r="W69" s="291"/>
      <c r="X69" s="5"/>
    </row>
    <row r="70" spans="1:24" ht="15.6" x14ac:dyDescent="0.3">
      <c r="A70" s="287"/>
      <c r="B70" s="288"/>
      <c r="C70" s="337"/>
      <c r="D70" s="337"/>
      <c r="E70" s="337"/>
      <c r="F70" s="337"/>
      <c r="G70" s="337"/>
      <c r="H70" s="337"/>
      <c r="I70" s="337"/>
      <c r="J70" s="337"/>
      <c r="K70" s="337"/>
      <c r="L70" s="337"/>
      <c r="M70" s="337"/>
      <c r="N70" s="338"/>
      <c r="O70" s="337"/>
      <c r="P70" s="337"/>
      <c r="Q70" s="337"/>
      <c r="R70" s="337"/>
      <c r="S70" s="337"/>
      <c r="T70" s="337"/>
      <c r="U70" s="337"/>
      <c r="V70" s="338"/>
      <c r="W70" s="291"/>
      <c r="X70" s="5"/>
    </row>
    <row r="71" spans="1:24" ht="15.6" x14ac:dyDescent="0.3">
      <c r="A71" s="287"/>
      <c r="B71" s="288" t="s">
        <v>21</v>
      </c>
      <c r="C71" s="337"/>
      <c r="D71" s="337"/>
      <c r="E71" s="337"/>
      <c r="F71" s="337"/>
      <c r="G71" s="337"/>
      <c r="H71" s="337"/>
      <c r="I71" s="337"/>
      <c r="J71" s="337"/>
      <c r="K71" s="337"/>
      <c r="L71" s="337">
        <f>SUM(L68:L70)</f>
        <v>1158030</v>
      </c>
      <c r="M71" s="337"/>
      <c r="N71" s="337">
        <f>N68+N69</f>
        <v>1127752</v>
      </c>
      <c r="O71" s="337"/>
      <c r="P71" s="337">
        <f>SUM(P68:P70)</f>
        <v>6163</v>
      </c>
      <c r="Q71" s="337"/>
      <c r="R71" s="337">
        <f>SUM(R68:R70)</f>
        <v>60</v>
      </c>
      <c r="S71" s="337"/>
      <c r="T71" s="337">
        <f>SUM(T68:T70)</f>
        <v>0</v>
      </c>
      <c r="U71" s="337"/>
      <c r="V71" s="337">
        <f>SUM(V68:V70)</f>
        <v>1121649</v>
      </c>
      <c r="W71" s="291"/>
      <c r="X71" s="5"/>
    </row>
    <row r="72" spans="1:24" ht="15.6" x14ac:dyDescent="0.3">
      <c r="A72" s="183"/>
      <c r="B72" s="198"/>
      <c r="C72" s="335"/>
      <c r="D72" s="335"/>
      <c r="E72" s="335"/>
      <c r="F72" s="335"/>
      <c r="G72" s="335"/>
      <c r="H72" s="335"/>
      <c r="I72" s="335"/>
      <c r="J72" s="335"/>
      <c r="K72" s="335"/>
      <c r="L72" s="335"/>
      <c r="M72" s="335"/>
      <c r="N72" s="335"/>
      <c r="O72" s="335"/>
      <c r="P72" s="335"/>
      <c r="Q72" s="335"/>
      <c r="R72" s="335"/>
      <c r="S72" s="335"/>
      <c r="T72" s="335"/>
      <c r="U72" s="335"/>
      <c r="V72" s="336"/>
      <c r="W72" s="198"/>
      <c r="X72" s="5"/>
    </row>
    <row r="73" spans="1:24" ht="15.6" x14ac:dyDescent="0.3">
      <c r="A73" s="183"/>
      <c r="B73" s="187" t="s">
        <v>22</v>
      </c>
      <c r="C73" s="206"/>
      <c r="D73" s="206"/>
      <c r="E73" s="206"/>
      <c r="F73" s="206"/>
      <c r="G73" s="206"/>
      <c r="H73" s="206"/>
      <c r="I73" s="206"/>
      <c r="J73" s="206"/>
      <c r="K73" s="206"/>
      <c r="L73" s="206"/>
      <c r="M73" s="206"/>
      <c r="N73" s="206"/>
      <c r="O73" s="206"/>
      <c r="P73" s="206"/>
      <c r="Q73" s="206"/>
      <c r="R73" s="206"/>
      <c r="S73" s="206"/>
      <c r="T73" s="206"/>
      <c r="U73" s="206"/>
      <c r="V73" s="207"/>
      <c r="W73" s="185"/>
      <c r="X73" s="5"/>
    </row>
    <row r="74" spans="1:24" ht="15.6" x14ac:dyDescent="0.3">
      <c r="A74" s="183"/>
      <c r="B74" s="185"/>
      <c r="C74" s="206"/>
      <c r="D74" s="206"/>
      <c r="E74" s="206"/>
      <c r="F74" s="206"/>
      <c r="G74" s="206"/>
      <c r="H74" s="206"/>
      <c r="I74" s="206"/>
      <c r="J74" s="206"/>
      <c r="K74" s="206"/>
      <c r="L74" s="206"/>
      <c r="M74" s="206"/>
      <c r="N74" s="206"/>
      <c r="O74" s="206"/>
      <c r="P74" s="206"/>
      <c r="Q74" s="206"/>
      <c r="R74" s="206"/>
      <c r="S74" s="206"/>
      <c r="T74" s="206"/>
      <c r="U74" s="206"/>
      <c r="V74" s="207"/>
      <c r="W74" s="185"/>
      <c r="X74" s="5"/>
    </row>
    <row r="75" spans="1:24" ht="15.6" x14ac:dyDescent="0.3">
      <c r="A75" s="340"/>
      <c r="B75" s="288" t="s">
        <v>19</v>
      </c>
      <c r="C75" s="337"/>
      <c r="D75" s="337"/>
      <c r="E75" s="337"/>
      <c r="F75" s="337"/>
      <c r="G75" s="337"/>
      <c r="H75" s="337"/>
      <c r="I75" s="337"/>
      <c r="J75" s="337"/>
      <c r="K75" s="337"/>
      <c r="L75" s="337"/>
      <c r="M75" s="337"/>
      <c r="N75" s="337"/>
      <c r="O75" s="337"/>
      <c r="P75" s="337"/>
      <c r="Q75" s="337"/>
      <c r="R75" s="337"/>
      <c r="S75" s="337"/>
      <c r="T75" s="337"/>
      <c r="U75" s="337"/>
      <c r="V75" s="337"/>
      <c r="W75" s="291"/>
      <c r="X75" s="5"/>
    </row>
    <row r="76" spans="1:24" ht="15.6" x14ac:dyDescent="0.3">
      <c r="A76" s="340"/>
      <c r="B76" s="288" t="s">
        <v>20</v>
      </c>
      <c r="C76" s="337"/>
      <c r="D76" s="337"/>
      <c r="E76" s="337"/>
      <c r="F76" s="337"/>
      <c r="G76" s="337"/>
      <c r="H76" s="337"/>
      <c r="I76" s="337"/>
      <c r="J76" s="337"/>
      <c r="K76" s="337"/>
      <c r="L76" s="337"/>
      <c r="M76" s="337"/>
      <c r="N76" s="337"/>
      <c r="O76" s="337"/>
      <c r="P76" s="337"/>
      <c r="Q76" s="337"/>
      <c r="R76" s="337"/>
      <c r="S76" s="337"/>
      <c r="T76" s="337"/>
      <c r="U76" s="337"/>
      <c r="V76" s="337"/>
      <c r="W76" s="291"/>
      <c r="X76" s="5"/>
    </row>
    <row r="77" spans="1:24" ht="15.6" x14ac:dyDescent="0.3">
      <c r="A77" s="340"/>
      <c r="B77" s="288"/>
      <c r="C77" s="337"/>
      <c r="D77" s="337"/>
      <c r="E77" s="337"/>
      <c r="F77" s="337"/>
      <c r="G77" s="337"/>
      <c r="H77" s="337"/>
      <c r="I77" s="337"/>
      <c r="J77" s="337"/>
      <c r="K77" s="337"/>
      <c r="L77" s="337"/>
      <c r="M77" s="337"/>
      <c r="N77" s="337"/>
      <c r="O77" s="337"/>
      <c r="P77" s="337"/>
      <c r="Q77" s="337"/>
      <c r="R77" s="337"/>
      <c r="S77" s="337"/>
      <c r="T77" s="337"/>
      <c r="U77" s="337"/>
      <c r="V77" s="337"/>
      <c r="W77" s="291"/>
      <c r="X77" s="5"/>
    </row>
    <row r="78" spans="1:24" ht="15.6" x14ac:dyDescent="0.3">
      <c r="A78" s="340"/>
      <c r="B78" s="288" t="s">
        <v>21</v>
      </c>
      <c r="C78" s="337"/>
      <c r="D78" s="337"/>
      <c r="E78" s="337"/>
      <c r="F78" s="337"/>
      <c r="G78" s="337"/>
      <c r="H78" s="337"/>
      <c r="I78" s="337"/>
      <c r="J78" s="337"/>
      <c r="K78" s="337"/>
      <c r="L78" s="337"/>
      <c r="M78" s="337"/>
      <c r="N78" s="337"/>
      <c r="O78" s="337"/>
      <c r="P78" s="337"/>
      <c r="Q78" s="337"/>
      <c r="R78" s="337"/>
      <c r="S78" s="337"/>
      <c r="T78" s="337"/>
      <c r="U78" s="337"/>
      <c r="V78" s="337"/>
      <c r="W78" s="291"/>
      <c r="X78" s="5"/>
    </row>
    <row r="79" spans="1:24" ht="15.6" x14ac:dyDescent="0.3">
      <c r="A79" s="340"/>
      <c r="B79" s="288"/>
      <c r="C79" s="337"/>
      <c r="D79" s="337"/>
      <c r="E79" s="337"/>
      <c r="F79" s="337"/>
      <c r="G79" s="337"/>
      <c r="H79" s="337"/>
      <c r="I79" s="337"/>
      <c r="J79" s="337"/>
      <c r="K79" s="337"/>
      <c r="L79" s="337"/>
      <c r="M79" s="337"/>
      <c r="N79" s="337"/>
      <c r="O79" s="337"/>
      <c r="P79" s="337"/>
      <c r="Q79" s="337"/>
      <c r="R79" s="337"/>
      <c r="S79" s="337"/>
      <c r="T79" s="337"/>
      <c r="U79" s="337"/>
      <c r="V79" s="337"/>
      <c r="W79" s="291"/>
      <c r="X79" s="5"/>
    </row>
    <row r="80" spans="1:24" ht="15.6" x14ac:dyDescent="0.3">
      <c r="A80" s="340"/>
      <c r="B80" s="288" t="s">
        <v>23</v>
      </c>
      <c r="C80" s="337"/>
      <c r="D80" s="337"/>
      <c r="E80" s="337"/>
      <c r="F80" s="337"/>
      <c r="G80" s="337"/>
      <c r="H80" s="337"/>
      <c r="I80" s="337"/>
      <c r="J80" s="337"/>
      <c r="K80" s="337"/>
      <c r="L80" s="337">
        <v>0</v>
      </c>
      <c r="M80" s="337"/>
      <c r="N80" s="337">
        <v>0</v>
      </c>
      <c r="O80" s="337"/>
      <c r="P80" s="337"/>
      <c r="Q80" s="337"/>
      <c r="R80" s="337"/>
      <c r="S80" s="337"/>
      <c r="T80" s="337"/>
      <c r="U80" s="337"/>
      <c r="V80" s="338">
        <v>0</v>
      </c>
      <c r="W80" s="291"/>
      <c r="X80" s="5"/>
    </row>
    <row r="81" spans="1:24" ht="15.6" x14ac:dyDescent="0.3">
      <c r="A81" s="340"/>
      <c r="B81" s="288" t="s">
        <v>117</v>
      </c>
      <c r="C81" s="337"/>
      <c r="D81" s="337"/>
      <c r="E81" s="337"/>
      <c r="F81" s="337"/>
      <c r="G81" s="337"/>
      <c r="H81" s="337"/>
      <c r="I81" s="337"/>
      <c r="J81" s="337"/>
      <c r="K81" s="337"/>
      <c r="L81" s="337">
        <v>342245</v>
      </c>
      <c r="M81" s="337"/>
      <c r="N81" s="337">
        <v>0</v>
      </c>
      <c r="O81" s="337"/>
      <c r="P81" s="337">
        <v>0</v>
      </c>
      <c r="Q81" s="337"/>
      <c r="R81" s="337"/>
      <c r="S81" s="337"/>
      <c r="T81" s="337"/>
      <c r="U81" s="337"/>
      <c r="V81" s="337">
        <f>SUM(N81:R81)</f>
        <v>0</v>
      </c>
      <c r="W81" s="291"/>
      <c r="X81" s="5"/>
    </row>
    <row r="82" spans="1:24" ht="15.6" x14ac:dyDescent="0.3">
      <c r="A82" s="340"/>
      <c r="B82" s="288"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91"/>
      <c r="X82" s="5"/>
    </row>
    <row r="83" spans="1:24" ht="15.6" x14ac:dyDescent="0.3">
      <c r="A83" s="340"/>
      <c r="B83" s="288" t="s">
        <v>25</v>
      </c>
      <c r="C83" s="337"/>
      <c r="D83" s="337"/>
      <c r="E83" s="337"/>
      <c r="F83" s="337"/>
      <c r="G83" s="337"/>
      <c r="H83" s="337"/>
      <c r="I83" s="337"/>
      <c r="J83" s="337"/>
      <c r="K83" s="337"/>
      <c r="L83" s="337">
        <v>0</v>
      </c>
      <c r="M83" s="337"/>
      <c r="N83" s="337">
        <v>0</v>
      </c>
      <c r="O83" s="337"/>
      <c r="P83" s="337"/>
      <c r="Q83" s="337"/>
      <c r="R83" s="337"/>
      <c r="S83" s="337"/>
      <c r="T83" s="337"/>
      <c r="U83" s="337"/>
      <c r="V83" s="337">
        <v>0</v>
      </c>
      <c r="W83" s="291"/>
      <c r="X83" s="5"/>
    </row>
    <row r="84" spans="1:24" ht="15.6" x14ac:dyDescent="0.3">
      <c r="A84" s="340"/>
      <c r="B84" s="288" t="s">
        <v>26</v>
      </c>
      <c r="C84" s="337"/>
      <c r="D84" s="337"/>
      <c r="E84" s="337"/>
      <c r="F84" s="337"/>
      <c r="G84" s="337"/>
      <c r="H84" s="337"/>
      <c r="I84" s="337"/>
      <c r="J84" s="337"/>
      <c r="K84" s="337"/>
      <c r="L84" s="337">
        <f>SUM(L71:L83)</f>
        <v>1500275</v>
      </c>
      <c r="M84" s="337"/>
      <c r="N84" s="337">
        <f>SUM(N71:N83)</f>
        <v>1127752</v>
      </c>
      <c r="O84" s="337"/>
      <c r="P84" s="337"/>
      <c r="Q84" s="337"/>
      <c r="R84" s="337"/>
      <c r="S84" s="337"/>
      <c r="T84" s="337"/>
      <c r="U84" s="337"/>
      <c r="V84" s="337">
        <f>SUM(V71:V83)</f>
        <v>1121649</v>
      </c>
      <c r="W84" s="291"/>
      <c r="X84" s="5"/>
    </row>
    <row r="85" spans="1:24" ht="15.6" x14ac:dyDescent="0.3">
      <c r="A85" s="243"/>
      <c r="B85" s="284"/>
      <c r="C85" s="339"/>
      <c r="D85" s="339"/>
      <c r="E85" s="339"/>
      <c r="F85" s="339"/>
      <c r="G85" s="339"/>
      <c r="H85" s="339"/>
      <c r="I85" s="339"/>
      <c r="J85" s="339"/>
      <c r="K85" s="339"/>
      <c r="L85" s="339"/>
      <c r="M85" s="339"/>
      <c r="N85" s="339"/>
      <c r="O85" s="339"/>
      <c r="P85" s="339"/>
      <c r="Q85" s="339"/>
      <c r="R85" s="339"/>
      <c r="S85" s="339"/>
      <c r="T85" s="339"/>
      <c r="U85" s="339"/>
      <c r="V85" s="339"/>
      <c r="W85" s="284"/>
      <c r="X85" s="5"/>
    </row>
    <row r="86" spans="1:24" ht="15.6" x14ac:dyDescent="0.3">
      <c r="A86" s="243"/>
      <c r="B86" s="224"/>
      <c r="C86" s="224"/>
      <c r="D86" s="224"/>
      <c r="E86" s="224"/>
      <c r="F86" s="224"/>
      <c r="G86" s="224"/>
      <c r="H86" s="224"/>
      <c r="I86" s="224"/>
      <c r="J86" s="224"/>
      <c r="K86" s="224"/>
      <c r="L86" s="224"/>
      <c r="M86" s="224"/>
      <c r="N86" s="224"/>
      <c r="O86" s="224"/>
      <c r="P86" s="224"/>
      <c r="Q86" s="224"/>
      <c r="R86" s="224"/>
      <c r="S86" s="224"/>
      <c r="T86" s="224"/>
      <c r="U86" s="224"/>
      <c r="V86" s="224"/>
      <c r="W86" s="224"/>
      <c r="X86" s="5"/>
    </row>
    <row r="87" spans="1:24" ht="15.6" x14ac:dyDescent="0.3">
      <c r="A87" s="262"/>
      <c r="B87" s="399" t="s">
        <v>27</v>
      </c>
      <c r="C87" s="399"/>
      <c r="D87" s="399"/>
      <c r="E87" s="399"/>
      <c r="F87" s="399"/>
      <c r="G87" s="399"/>
      <c r="H87" s="400"/>
      <c r="I87" s="400"/>
      <c r="J87" s="400"/>
      <c r="K87" s="400"/>
      <c r="L87" s="401" t="s">
        <v>95</v>
      </c>
      <c r="M87" s="400"/>
      <c r="N87" s="402">
        <f>+T205</f>
        <v>41060</v>
      </c>
      <c r="O87" s="400"/>
      <c r="P87" s="400"/>
      <c r="Q87" s="400"/>
      <c r="R87" s="400"/>
      <c r="S87" s="400"/>
      <c r="T87" s="400" t="s">
        <v>107</v>
      </c>
      <c r="U87" s="400"/>
      <c r="V87" s="400" t="s">
        <v>113</v>
      </c>
      <c r="W87" s="263"/>
      <c r="X87" s="5"/>
    </row>
    <row r="88" spans="1:24" ht="15.6" x14ac:dyDescent="0.3">
      <c r="A88" s="242"/>
      <c r="B88" s="231" t="s">
        <v>28</v>
      </c>
      <c r="C88" s="231"/>
      <c r="D88" s="231"/>
      <c r="E88" s="231"/>
      <c r="F88" s="231"/>
      <c r="G88" s="231"/>
      <c r="H88" s="231"/>
      <c r="I88" s="231"/>
      <c r="J88" s="231"/>
      <c r="K88" s="231"/>
      <c r="L88" s="231"/>
      <c r="M88" s="231"/>
      <c r="N88" s="231"/>
      <c r="O88" s="231"/>
      <c r="P88" s="231"/>
      <c r="Q88" s="231"/>
      <c r="R88" s="231"/>
      <c r="S88" s="231"/>
      <c r="T88" s="234">
        <v>0</v>
      </c>
      <c r="U88" s="231"/>
      <c r="V88" s="241">
        <v>0</v>
      </c>
      <c r="W88" s="231"/>
      <c r="X88" s="5"/>
    </row>
    <row r="89" spans="1:24" ht="15.6" x14ac:dyDescent="0.3">
      <c r="A89" s="340"/>
      <c r="B89" s="288" t="s">
        <v>29</v>
      </c>
      <c r="C89" s="288"/>
      <c r="D89" s="288"/>
      <c r="E89" s="288"/>
      <c r="F89" s="288"/>
      <c r="G89" s="288"/>
      <c r="H89" s="325"/>
      <c r="I89" s="325"/>
      <c r="J89" s="325"/>
      <c r="K89" s="341"/>
      <c r="L89" s="325"/>
      <c r="M89" s="288"/>
      <c r="N89" s="342"/>
      <c r="O89" s="288"/>
      <c r="P89" s="288"/>
      <c r="Q89" s="288"/>
      <c r="R89" s="288"/>
      <c r="S89" s="288"/>
      <c r="T89" s="337">
        <f>6163+53</f>
        <v>6216</v>
      </c>
      <c r="U89" s="288"/>
      <c r="V89" s="338"/>
      <c r="W89" s="291"/>
      <c r="X89" s="5"/>
    </row>
    <row r="90" spans="1:24" ht="15.6" x14ac:dyDescent="0.3">
      <c r="A90" s="340"/>
      <c r="B90" s="288" t="s">
        <v>216</v>
      </c>
      <c r="C90" s="288"/>
      <c r="D90" s="288"/>
      <c r="E90" s="288"/>
      <c r="F90" s="288"/>
      <c r="G90" s="288"/>
      <c r="H90" s="325"/>
      <c r="I90" s="325"/>
      <c r="J90" s="325"/>
      <c r="K90" s="341"/>
      <c r="L90" s="325"/>
      <c r="M90" s="288"/>
      <c r="N90" s="342"/>
      <c r="O90" s="288"/>
      <c r="P90" s="288"/>
      <c r="Q90" s="288"/>
      <c r="R90" s="288"/>
      <c r="S90" s="288"/>
      <c r="T90" s="337"/>
      <c r="U90" s="288"/>
      <c r="V90" s="338">
        <f>3954+5032-533-692</f>
        <v>7761</v>
      </c>
      <c r="W90" s="291"/>
      <c r="X90" s="5"/>
    </row>
    <row r="91" spans="1:24" ht="15.6" x14ac:dyDescent="0.3">
      <c r="A91" s="340"/>
      <c r="B91" s="288" t="s">
        <v>211</v>
      </c>
      <c r="C91" s="288"/>
      <c r="D91" s="288"/>
      <c r="E91" s="288"/>
      <c r="F91" s="288"/>
      <c r="G91" s="288"/>
      <c r="H91" s="325"/>
      <c r="I91" s="325"/>
      <c r="J91" s="325"/>
      <c r="K91" s="341"/>
      <c r="L91" s="325"/>
      <c r="M91" s="288"/>
      <c r="N91" s="342"/>
      <c r="O91" s="288"/>
      <c r="P91" s="288"/>
      <c r="Q91" s="288"/>
      <c r="R91" s="288"/>
      <c r="S91" s="288"/>
      <c r="T91" s="337"/>
      <c r="U91" s="288"/>
      <c r="V91" s="338">
        <f>5+35</f>
        <v>40</v>
      </c>
      <c r="W91" s="291"/>
      <c r="X91" s="5"/>
    </row>
    <row r="92" spans="1:24" ht="15.6" x14ac:dyDescent="0.3">
      <c r="A92" s="340"/>
      <c r="B92" s="288" t="s">
        <v>212</v>
      </c>
      <c r="C92" s="288"/>
      <c r="D92" s="288"/>
      <c r="E92" s="288"/>
      <c r="F92" s="288"/>
      <c r="G92" s="288"/>
      <c r="H92" s="325"/>
      <c r="I92" s="325"/>
      <c r="J92" s="325"/>
      <c r="K92" s="341"/>
      <c r="L92" s="325"/>
      <c r="M92" s="288"/>
      <c r="N92" s="342"/>
      <c r="O92" s="288"/>
      <c r="P92" s="288"/>
      <c r="Q92" s="288"/>
      <c r="R92" s="288"/>
      <c r="S92" s="288"/>
      <c r="T92" s="337"/>
      <c r="U92" s="288"/>
      <c r="V92" s="338">
        <v>44</v>
      </c>
      <c r="W92" s="291"/>
      <c r="X92" s="5"/>
    </row>
    <row r="93" spans="1:24" ht="15.6" x14ac:dyDescent="0.3">
      <c r="A93" s="340"/>
      <c r="B93" s="288" t="s">
        <v>272</v>
      </c>
      <c r="C93" s="288"/>
      <c r="D93" s="288"/>
      <c r="E93" s="288"/>
      <c r="F93" s="288"/>
      <c r="G93" s="288"/>
      <c r="H93" s="325"/>
      <c r="I93" s="325"/>
      <c r="J93" s="325"/>
      <c r="K93" s="341"/>
      <c r="L93" s="325"/>
      <c r="M93" s="288"/>
      <c r="N93" s="342"/>
      <c r="O93" s="288"/>
      <c r="P93" s="288"/>
      <c r="Q93" s="288"/>
      <c r="R93" s="288"/>
      <c r="S93" s="288"/>
      <c r="T93" s="337"/>
      <c r="U93" s="288"/>
      <c r="V93" s="338">
        <v>0</v>
      </c>
      <c r="W93" s="291"/>
      <c r="X93" s="5"/>
    </row>
    <row r="94" spans="1:24" ht="15.6" x14ac:dyDescent="0.3">
      <c r="A94" s="340"/>
      <c r="B94" s="288" t="s">
        <v>274</v>
      </c>
      <c r="C94" s="288"/>
      <c r="D94" s="288"/>
      <c r="E94" s="288"/>
      <c r="F94" s="288"/>
      <c r="G94" s="288"/>
      <c r="H94" s="325"/>
      <c r="I94" s="325"/>
      <c r="J94" s="325"/>
      <c r="K94" s="341"/>
      <c r="L94" s="325"/>
      <c r="M94" s="288"/>
      <c r="N94" s="342"/>
      <c r="O94" s="288"/>
      <c r="P94" s="288"/>
      <c r="Q94" s="288"/>
      <c r="R94" s="288"/>
      <c r="S94" s="288"/>
      <c r="T94" s="337"/>
      <c r="U94" s="288"/>
      <c r="V94" s="338">
        <v>0</v>
      </c>
      <c r="W94" s="291"/>
      <c r="X94" s="5"/>
    </row>
    <row r="95" spans="1:24" ht="15.6" x14ac:dyDescent="0.3">
      <c r="A95" s="340"/>
      <c r="B95" s="288" t="s">
        <v>135</v>
      </c>
      <c r="C95" s="288"/>
      <c r="D95" s="288"/>
      <c r="E95" s="288"/>
      <c r="F95" s="288"/>
      <c r="G95" s="288"/>
      <c r="H95" s="288"/>
      <c r="I95" s="288"/>
      <c r="J95" s="288"/>
      <c r="K95" s="288"/>
      <c r="L95" s="288"/>
      <c r="M95" s="288"/>
      <c r="N95" s="288"/>
      <c r="O95" s="288"/>
      <c r="P95" s="288"/>
      <c r="Q95" s="288"/>
      <c r="R95" s="288"/>
      <c r="S95" s="288"/>
      <c r="T95" s="337"/>
      <c r="U95" s="288"/>
      <c r="V95" s="338">
        <v>0</v>
      </c>
      <c r="W95" s="291"/>
      <c r="X95" s="5"/>
    </row>
    <row r="96" spans="1:24" ht="15.6" x14ac:dyDescent="0.3">
      <c r="A96" s="340"/>
      <c r="B96" s="288" t="s">
        <v>268</v>
      </c>
      <c r="C96" s="288"/>
      <c r="D96" s="288"/>
      <c r="E96" s="288"/>
      <c r="F96" s="288"/>
      <c r="G96" s="288"/>
      <c r="H96" s="288"/>
      <c r="I96" s="288"/>
      <c r="J96" s="288"/>
      <c r="K96" s="288"/>
      <c r="L96" s="288"/>
      <c r="M96" s="288"/>
      <c r="N96" s="288"/>
      <c r="O96" s="288"/>
      <c r="P96" s="288"/>
      <c r="Q96" s="288"/>
      <c r="R96" s="288"/>
      <c r="S96" s="288"/>
      <c r="T96" s="337"/>
      <c r="U96" s="288"/>
      <c r="V96" s="338">
        <v>804</v>
      </c>
      <c r="W96" s="291"/>
      <c r="X96" s="5"/>
    </row>
    <row r="97" spans="1:25" ht="15.6" x14ac:dyDescent="0.3">
      <c r="A97" s="340"/>
      <c r="B97" s="288" t="s">
        <v>30</v>
      </c>
      <c r="C97" s="288"/>
      <c r="D97" s="288"/>
      <c r="E97" s="288"/>
      <c r="F97" s="288"/>
      <c r="G97" s="288"/>
      <c r="H97" s="288"/>
      <c r="I97" s="288"/>
      <c r="J97" s="288"/>
      <c r="K97" s="288"/>
      <c r="L97" s="288"/>
      <c r="M97" s="288"/>
      <c r="N97" s="288"/>
      <c r="O97" s="288"/>
      <c r="P97" s="288"/>
      <c r="Q97" s="288"/>
      <c r="R97" s="288"/>
      <c r="S97" s="288"/>
      <c r="T97" s="337">
        <f>SUM(T88:T96)</f>
        <v>6216</v>
      </c>
      <c r="U97" s="288"/>
      <c r="V97" s="337">
        <f>SUM(V88:V96)</f>
        <v>8649</v>
      </c>
      <c r="W97" s="291"/>
      <c r="X97" s="5"/>
    </row>
    <row r="98" spans="1:25" ht="15.6" x14ac:dyDescent="0.3">
      <c r="A98" s="340"/>
      <c r="B98" s="288" t="s">
        <v>161</v>
      </c>
      <c r="C98" s="288"/>
      <c r="D98" s="288"/>
      <c r="E98" s="288"/>
      <c r="F98" s="288"/>
      <c r="G98" s="288"/>
      <c r="H98" s="288"/>
      <c r="I98" s="288"/>
      <c r="J98" s="288"/>
      <c r="K98" s="288"/>
      <c r="L98" s="288"/>
      <c r="M98" s="288"/>
      <c r="N98" s="288"/>
      <c r="O98" s="288"/>
      <c r="P98" s="288"/>
      <c r="Q98" s="288"/>
      <c r="R98" s="288"/>
      <c r="S98" s="288"/>
      <c r="T98" s="337">
        <f>-V98</f>
        <v>-2</v>
      </c>
      <c r="U98" s="288"/>
      <c r="V98" s="337">
        <v>2</v>
      </c>
      <c r="W98" s="291"/>
      <c r="X98" s="5"/>
    </row>
    <row r="99" spans="1:25" ht="15.6" x14ac:dyDescent="0.3">
      <c r="A99" s="340"/>
      <c r="B99" s="288" t="s">
        <v>31</v>
      </c>
      <c r="C99" s="288"/>
      <c r="D99" s="288"/>
      <c r="E99" s="288"/>
      <c r="F99" s="288"/>
      <c r="G99" s="288"/>
      <c r="H99" s="288"/>
      <c r="I99" s="288"/>
      <c r="J99" s="288"/>
      <c r="K99" s="288"/>
      <c r="L99" s="288"/>
      <c r="M99" s="288"/>
      <c r="N99" s="288"/>
      <c r="O99" s="288"/>
      <c r="P99" s="288"/>
      <c r="Q99" s="288"/>
      <c r="R99" s="288"/>
      <c r="S99" s="288"/>
      <c r="T99" s="337">
        <f>-V99</f>
        <v>0</v>
      </c>
      <c r="U99" s="288"/>
      <c r="V99" s="338">
        <v>0</v>
      </c>
      <c r="W99" s="291"/>
      <c r="X99" s="5"/>
    </row>
    <row r="100" spans="1:25" ht="15.6" x14ac:dyDescent="0.3">
      <c r="A100" s="340"/>
      <c r="B100" s="288" t="s">
        <v>283</v>
      </c>
      <c r="C100" s="288"/>
      <c r="D100" s="288"/>
      <c r="E100" s="288"/>
      <c r="F100" s="288"/>
      <c r="G100" s="288"/>
      <c r="H100" s="288"/>
      <c r="I100" s="288"/>
      <c r="J100" s="288"/>
      <c r="K100" s="288"/>
      <c r="L100" s="288"/>
      <c r="M100" s="288"/>
      <c r="N100" s="288"/>
      <c r="O100" s="288"/>
      <c r="P100" s="288"/>
      <c r="Q100" s="288"/>
      <c r="R100" s="288"/>
      <c r="S100" s="288"/>
      <c r="T100" s="337"/>
      <c r="U100" s="288"/>
      <c r="V100" s="338">
        <v>-153</v>
      </c>
      <c r="W100" s="291"/>
      <c r="X100" s="5"/>
    </row>
    <row r="101" spans="1:25" ht="15.6" x14ac:dyDescent="0.3">
      <c r="A101" s="340"/>
      <c r="B101" s="288" t="s">
        <v>32</v>
      </c>
      <c r="C101" s="288"/>
      <c r="D101" s="288"/>
      <c r="E101" s="288"/>
      <c r="F101" s="288"/>
      <c r="G101" s="288"/>
      <c r="H101" s="288"/>
      <c r="I101" s="288"/>
      <c r="J101" s="288"/>
      <c r="K101" s="288"/>
      <c r="L101" s="288"/>
      <c r="M101" s="288"/>
      <c r="N101" s="288"/>
      <c r="O101" s="288"/>
      <c r="P101" s="288"/>
      <c r="Q101" s="288"/>
      <c r="R101" s="288"/>
      <c r="S101" s="288"/>
      <c r="T101" s="337">
        <f>T97+T99+T98</f>
        <v>6214</v>
      </c>
      <c r="U101" s="288"/>
      <c r="V101" s="337">
        <f>V97+V99+V98+V100</f>
        <v>8498</v>
      </c>
      <c r="W101" s="291"/>
      <c r="X101" s="5"/>
    </row>
    <row r="102" spans="1:25" ht="15.6" x14ac:dyDescent="0.3">
      <c r="A102" s="287"/>
      <c r="B102" s="343" t="s">
        <v>33</v>
      </c>
      <c r="C102" s="314"/>
      <c r="D102" s="314"/>
      <c r="E102" s="314"/>
      <c r="F102" s="314"/>
      <c r="G102" s="314"/>
      <c r="H102" s="314"/>
      <c r="I102" s="314"/>
      <c r="J102" s="314"/>
      <c r="K102" s="314"/>
      <c r="L102" s="314"/>
      <c r="M102" s="314"/>
      <c r="N102" s="314"/>
      <c r="O102" s="314"/>
      <c r="P102" s="314"/>
      <c r="Q102" s="314"/>
      <c r="R102" s="314"/>
      <c r="S102" s="314"/>
      <c r="T102" s="344"/>
      <c r="U102" s="314"/>
      <c r="V102" s="345"/>
      <c r="W102" s="318"/>
      <c r="X102" s="5"/>
    </row>
    <row r="103" spans="1:25" ht="15.6" x14ac:dyDescent="0.3">
      <c r="A103" s="340">
        <v>1</v>
      </c>
      <c r="B103" s="288" t="s">
        <v>34</v>
      </c>
      <c r="C103" s="288"/>
      <c r="D103" s="288"/>
      <c r="E103" s="288"/>
      <c r="F103" s="288"/>
      <c r="G103" s="288"/>
      <c r="H103" s="288"/>
      <c r="I103" s="288"/>
      <c r="J103" s="288"/>
      <c r="K103" s="288"/>
      <c r="L103" s="288"/>
      <c r="M103" s="288"/>
      <c r="N103" s="288"/>
      <c r="O103" s="288"/>
      <c r="P103" s="288"/>
      <c r="Q103" s="288"/>
      <c r="R103" s="288"/>
      <c r="S103" s="288"/>
      <c r="T103" s="288"/>
      <c r="U103" s="288"/>
      <c r="V103" s="338">
        <v>0</v>
      </c>
      <c r="W103" s="291"/>
      <c r="X103" s="5"/>
    </row>
    <row r="104" spans="1:25" ht="15.6" x14ac:dyDescent="0.3">
      <c r="A104" s="340">
        <f>+A103+1</f>
        <v>2</v>
      </c>
      <c r="B104" s="288" t="s">
        <v>225</v>
      </c>
      <c r="C104" s="288"/>
      <c r="D104" s="288"/>
      <c r="E104" s="288"/>
      <c r="F104" s="288"/>
      <c r="G104" s="288"/>
      <c r="H104" s="288"/>
      <c r="I104" s="288"/>
      <c r="J104" s="288"/>
      <c r="K104" s="288"/>
      <c r="L104" s="288"/>
      <c r="M104" s="288"/>
      <c r="N104" s="288"/>
      <c r="O104" s="288"/>
      <c r="P104" s="288"/>
      <c r="Q104" s="288"/>
      <c r="R104" s="288"/>
      <c r="S104" s="288"/>
      <c r="T104" s="288"/>
      <c r="U104" s="288"/>
      <c r="V104" s="338">
        <v>-2</v>
      </c>
      <c r="W104" s="291"/>
      <c r="X104" s="5"/>
    </row>
    <row r="105" spans="1:25" ht="15.6" x14ac:dyDescent="0.3">
      <c r="A105" s="340">
        <f>+A104+1</f>
        <v>3</v>
      </c>
      <c r="B105" s="288" t="s">
        <v>204</v>
      </c>
      <c r="C105" s="288"/>
      <c r="D105" s="288"/>
      <c r="E105" s="288"/>
      <c r="F105" s="288"/>
      <c r="G105" s="288"/>
      <c r="H105" s="288"/>
      <c r="I105" s="288"/>
      <c r="J105" s="288"/>
      <c r="K105" s="288"/>
      <c r="L105" s="288"/>
      <c r="M105" s="288"/>
      <c r="N105" s="288"/>
      <c r="O105" s="288"/>
      <c r="P105" s="288"/>
      <c r="Q105" s="288"/>
      <c r="R105" s="288"/>
      <c r="S105" s="288"/>
      <c r="T105" s="288"/>
      <c r="U105" s="288"/>
      <c r="V105" s="338">
        <f>-143-296-14</f>
        <v>-453</v>
      </c>
      <c r="W105" s="291"/>
      <c r="X105" s="5"/>
    </row>
    <row r="106" spans="1:25" ht="15.6" x14ac:dyDescent="0.3">
      <c r="A106" s="340" t="s">
        <v>127</v>
      </c>
      <c r="B106" s="288" t="s">
        <v>116</v>
      </c>
      <c r="C106" s="288"/>
      <c r="D106" s="288"/>
      <c r="E106" s="288"/>
      <c r="F106" s="288"/>
      <c r="G106" s="288"/>
      <c r="H106" s="288"/>
      <c r="I106" s="288"/>
      <c r="J106" s="288"/>
      <c r="K106" s="288"/>
      <c r="L106" s="288"/>
      <c r="M106" s="288"/>
      <c r="N106" s="288"/>
      <c r="O106" s="288"/>
      <c r="P106" s="288"/>
      <c r="Q106" s="288"/>
      <c r="R106" s="288"/>
      <c r="S106" s="288"/>
      <c r="T106" s="288"/>
      <c r="U106" s="288"/>
      <c r="V106" s="338">
        <v>0</v>
      </c>
      <c r="W106" s="291"/>
      <c r="X106" s="5"/>
    </row>
    <row r="107" spans="1:25" ht="15.6" x14ac:dyDescent="0.3">
      <c r="A107" s="340" t="s">
        <v>128</v>
      </c>
      <c r="B107" s="288" t="s">
        <v>222</v>
      </c>
      <c r="C107" s="288"/>
      <c r="D107" s="288"/>
      <c r="E107" s="288"/>
      <c r="F107" s="288"/>
      <c r="G107" s="288"/>
      <c r="H107" s="288"/>
      <c r="I107" s="288"/>
      <c r="J107" s="288"/>
      <c r="K107" s="288"/>
      <c r="L107" s="288"/>
      <c r="M107" s="288"/>
      <c r="N107" s="288"/>
      <c r="O107" s="288"/>
      <c r="P107" s="288"/>
      <c r="Q107" s="288"/>
      <c r="R107" s="288"/>
      <c r="S107" s="288"/>
      <c r="T107" s="288"/>
      <c r="U107" s="288"/>
      <c r="V107" s="338">
        <f>-2905+276</f>
        <v>-2629</v>
      </c>
      <c r="W107" s="291"/>
      <c r="X107" s="5"/>
      <c r="Y107" s="109"/>
    </row>
    <row r="108" spans="1:25" ht="15.6" x14ac:dyDescent="0.3">
      <c r="A108" s="340" t="s">
        <v>150</v>
      </c>
      <c r="B108" s="288" t="s">
        <v>184</v>
      </c>
      <c r="C108" s="288"/>
      <c r="D108" s="288"/>
      <c r="E108" s="288"/>
      <c r="F108" s="288"/>
      <c r="G108" s="288"/>
      <c r="H108" s="288"/>
      <c r="I108" s="288"/>
      <c r="J108" s="288"/>
      <c r="K108" s="288"/>
      <c r="L108" s="288"/>
      <c r="M108" s="288"/>
      <c r="N108" s="288"/>
      <c r="O108" s="288"/>
      <c r="P108" s="288"/>
      <c r="Q108" s="288"/>
      <c r="R108" s="288"/>
      <c r="S108" s="288"/>
      <c r="T108" s="288"/>
      <c r="U108" s="288"/>
      <c r="V108" s="338">
        <v>-276</v>
      </c>
      <c r="W108" s="291"/>
      <c r="X108" s="5"/>
      <c r="Y108" s="109"/>
    </row>
    <row r="109" spans="1:25" ht="15.6" x14ac:dyDescent="0.3">
      <c r="A109" s="340" t="s">
        <v>236</v>
      </c>
      <c r="B109" s="288" t="s">
        <v>238</v>
      </c>
      <c r="C109" s="288"/>
      <c r="D109" s="288"/>
      <c r="E109" s="288"/>
      <c r="F109" s="288"/>
      <c r="G109" s="288"/>
      <c r="H109" s="288"/>
      <c r="I109" s="288"/>
      <c r="J109" s="288"/>
      <c r="K109" s="288"/>
      <c r="L109" s="288"/>
      <c r="M109" s="288"/>
      <c r="N109" s="288"/>
      <c r="O109" s="288"/>
      <c r="P109" s="288"/>
      <c r="Q109" s="288"/>
      <c r="R109" s="288"/>
      <c r="S109" s="288"/>
      <c r="T109" s="288"/>
      <c r="U109" s="288"/>
      <c r="V109" s="338">
        <v>-1</v>
      </c>
      <c r="W109" s="291"/>
      <c r="X109" s="5"/>
    </row>
    <row r="110" spans="1:25" ht="15.6" x14ac:dyDescent="0.3">
      <c r="A110" s="340" t="s">
        <v>205</v>
      </c>
      <c r="B110" s="288" t="s">
        <v>185</v>
      </c>
      <c r="C110" s="288"/>
      <c r="D110" s="288"/>
      <c r="E110" s="288"/>
      <c r="F110" s="288"/>
      <c r="G110" s="288"/>
      <c r="H110" s="288"/>
      <c r="I110" s="288"/>
      <c r="J110" s="288"/>
      <c r="K110" s="288"/>
      <c r="L110" s="288"/>
      <c r="M110" s="288"/>
      <c r="N110" s="288"/>
      <c r="O110" s="288"/>
      <c r="P110" s="288"/>
      <c r="Q110" s="288"/>
      <c r="R110" s="288"/>
      <c r="S110" s="288"/>
      <c r="T110" s="288"/>
      <c r="U110" s="288"/>
      <c r="V110" s="338">
        <v>-223</v>
      </c>
      <c r="W110" s="291"/>
      <c r="X110" s="5"/>
      <c r="Y110" s="109"/>
    </row>
    <row r="111" spans="1:25" ht="15.6" x14ac:dyDescent="0.3">
      <c r="A111" s="340" t="s">
        <v>206</v>
      </c>
      <c r="B111" s="288" t="s">
        <v>186</v>
      </c>
      <c r="C111" s="288"/>
      <c r="D111" s="288"/>
      <c r="E111" s="288"/>
      <c r="F111" s="288"/>
      <c r="G111" s="288"/>
      <c r="H111" s="288"/>
      <c r="I111" s="288"/>
      <c r="J111" s="288"/>
      <c r="K111" s="288"/>
      <c r="L111" s="288"/>
      <c r="M111" s="288"/>
      <c r="N111" s="288"/>
      <c r="O111" s="288"/>
      <c r="P111" s="288"/>
      <c r="Q111" s="288"/>
      <c r="R111" s="288"/>
      <c r="S111" s="288"/>
      <c r="T111" s="288"/>
      <c r="U111" s="288"/>
      <c r="V111" s="338">
        <v>-183</v>
      </c>
      <c r="W111" s="291"/>
      <c r="X111" s="179"/>
      <c r="Y111" s="109"/>
    </row>
    <row r="112" spans="1:25" ht="15.6" x14ac:dyDescent="0.3">
      <c r="A112" s="340" t="s">
        <v>207</v>
      </c>
      <c r="B112" s="288" t="s">
        <v>196</v>
      </c>
      <c r="C112" s="288"/>
      <c r="D112" s="288"/>
      <c r="E112" s="288"/>
      <c r="F112" s="288"/>
      <c r="G112" s="288"/>
      <c r="H112" s="288"/>
      <c r="I112" s="288"/>
      <c r="J112" s="288"/>
      <c r="K112" s="288"/>
      <c r="L112" s="288"/>
      <c r="M112" s="288"/>
      <c r="N112" s="288"/>
      <c r="O112" s="288"/>
      <c r="P112" s="288"/>
      <c r="Q112" s="288"/>
      <c r="R112" s="288"/>
      <c r="S112" s="288"/>
      <c r="T112" s="288"/>
      <c r="U112" s="288"/>
      <c r="V112" s="338">
        <v>-445</v>
      </c>
      <c r="W112" s="291"/>
      <c r="X112" s="5"/>
      <c r="Y112" s="109"/>
    </row>
    <row r="113" spans="1:25" ht="15.6" x14ac:dyDescent="0.3">
      <c r="A113" s="340" t="s">
        <v>224</v>
      </c>
      <c r="B113" s="288" t="s">
        <v>223</v>
      </c>
      <c r="C113" s="288"/>
      <c r="D113" s="288"/>
      <c r="E113" s="288"/>
      <c r="F113" s="288"/>
      <c r="G113" s="288"/>
      <c r="H113" s="288"/>
      <c r="I113" s="288"/>
      <c r="J113" s="288"/>
      <c r="K113" s="288"/>
      <c r="L113" s="288"/>
      <c r="M113" s="288"/>
      <c r="N113" s="288"/>
      <c r="O113" s="288"/>
      <c r="P113" s="288"/>
      <c r="Q113" s="288"/>
      <c r="R113" s="288"/>
      <c r="S113" s="288"/>
      <c r="T113" s="288"/>
      <c r="U113" s="288"/>
      <c r="V113" s="338">
        <v>-90</v>
      </c>
      <c r="W113" s="291"/>
      <c r="X113" s="5"/>
      <c r="Y113" s="109"/>
    </row>
    <row r="114" spans="1:25" ht="15.6" x14ac:dyDescent="0.3">
      <c r="A114" s="340">
        <v>7</v>
      </c>
      <c r="B114" s="288" t="s">
        <v>35</v>
      </c>
      <c r="C114" s="288"/>
      <c r="D114" s="288"/>
      <c r="E114" s="288"/>
      <c r="F114" s="288"/>
      <c r="G114" s="288"/>
      <c r="H114" s="288"/>
      <c r="I114" s="288"/>
      <c r="J114" s="288"/>
      <c r="K114" s="288"/>
      <c r="L114" s="288"/>
      <c r="M114" s="288"/>
      <c r="N114" s="288"/>
      <c r="O114" s="288"/>
      <c r="P114" s="288"/>
      <c r="Q114" s="288"/>
      <c r="R114" s="288"/>
      <c r="S114" s="288"/>
      <c r="T114" s="288"/>
      <c r="U114" s="288"/>
      <c r="V114" s="338">
        <v>-10</v>
      </c>
      <c r="W114" s="291"/>
      <c r="X114" s="5"/>
    </row>
    <row r="115" spans="1:25" ht="15.6" x14ac:dyDescent="0.3">
      <c r="A115" s="340">
        <f t="shared" ref="A115:A121" si="0">+A114+1</f>
        <v>8</v>
      </c>
      <c r="B115" s="288" t="s">
        <v>45</v>
      </c>
      <c r="C115" s="288"/>
      <c r="D115" s="288"/>
      <c r="E115" s="288"/>
      <c r="F115" s="288"/>
      <c r="G115" s="288"/>
      <c r="H115" s="288"/>
      <c r="I115" s="288"/>
      <c r="J115" s="288"/>
      <c r="K115" s="288"/>
      <c r="L115" s="288"/>
      <c r="M115" s="288"/>
      <c r="N115" s="288"/>
      <c r="O115" s="288"/>
      <c r="P115" s="288"/>
      <c r="Q115" s="288"/>
      <c r="R115" s="288"/>
      <c r="S115" s="288"/>
      <c r="T115" s="337">
        <f>-V115</f>
        <v>-53</v>
      </c>
      <c r="U115" s="288"/>
      <c r="V115" s="338">
        <v>53</v>
      </c>
      <c r="W115" s="291"/>
      <c r="X115" s="5"/>
    </row>
    <row r="116" spans="1:25" ht="15.6" x14ac:dyDescent="0.3">
      <c r="A116" s="340">
        <f t="shared" si="0"/>
        <v>9</v>
      </c>
      <c r="B116" s="288" t="s">
        <v>125</v>
      </c>
      <c r="C116" s="288"/>
      <c r="D116" s="288"/>
      <c r="E116" s="288"/>
      <c r="F116" s="288"/>
      <c r="G116" s="288"/>
      <c r="H116" s="288"/>
      <c r="I116" s="288"/>
      <c r="J116" s="288"/>
      <c r="K116" s="288"/>
      <c r="L116" s="288"/>
      <c r="M116" s="288"/>
      <c r="N116" s="288"/>
      <c r="O116" s="288"/>
      <c r="P116" s="288"/>
      <c r="Q116" s="288"/>
      <c r="R116" s="288"/>
      <c r="S116" s="288"/>
      <c r="T116" s="288"/>
      <c r="U116" s="288"/>
      <c r="V116" s="338">
        <v>0</v>
      </c>
      <c r="W116" s="291"/>
      <c r="X116" s="5"/>
    </row>
    <row r="117" spans="1:25" ht="15.6" x14ac:dyDescent="0.3">
      <c r="A117" s="340">
        <f t="shared" si="0"/>
        <v>10</v>
      </c>
      <c r="B117" s="288" t="s">
        <v>240</v>
      </c>
      <c r="C117" s="288"/>
      <c r="D117" s="288"/>
      <c r="E117" s="288"/>
      <c r="F117" s="288"/>
      <c r="G117" s="288"/>
      <c r="H117" s="288"/>
      <c r="I117" s="288"/>
      <c r="J117" s="288"/>
      <c r="K117" s="288"/>
      <c r="L117" s="288"/>
      <c r="M117" s="288"/>
      <c r="N117" s="288"/>
      <c r="O117" s="288"/>
      <c r="P117" s="288"/>
      <c r="Q117" s="288"/>
      <c r="R117" s="288"/>
      <c r="S117" s="288"/>
      <c r="T117" s="288"/>
      <c r="U117" s="288"/>
      <c r="V117" s="338">
        <v>0</v>
      </c>
      <c r="W117" s="291"/>
      <c r="X117" s="5"/>
    </row>
    <row r="118" spans="1:25" ht="15.6" x14ac:dyDescent="0.3">
      <c r="A118" s="340">
        <f t="shared" si="0"/>
        <v>11</v>
      </c>
      <c r="B118" s="288" t="s">
        <v>36</v>
      </c>
      <c r="C118" s="288"/>
      <c r="D118" s="288"/>
      <c r="E118" s="288"/>
      <c r="F118" s="288"/>
      <c r="G118" s="288"/>
      <c r="H118" s="288"/>
      <c r="I118" s="288"/>
      <c r="J118" s="288"/>
      <c r="K118" s="288"/>
      <c r="L118" s="288"/>
      <c r="M118" s="288"/>
      <c r="N118" s="288"/>
      <c r="O118" s="288"/>
      <c r="P118" s="288"/>
      <c r="Q118" s="288"/>
      <c r="R118" s="288"/>
      <c r="S118" s="288"/>
      <c r="T118" s="288"/>
      <c r="U118" s="288"/>
      <c r="V118" s="338">
        <v>0</v>
      </c>
      <c r="W118" s="291"/>
      <c r="X118" s="5"/>
    </row>
    <row r="119" spans="1:25" ht="15.6" x14ac:dyDescent="0.3">
      <c r="A119" s="340">
        <f t="shared" si="0"/>
        <v>12</v>
      </c>
      <c r="B119" s="288" t="s">
        <v>239</v>
      </c>
      <c r="C119" s="288"/>
      <c r="D119" s="288"/>
      <c r="E119" s="288"/>
      <c r="F119" s="288"/>
      <c r="G119" s="288"/>
      <c r="H119" s="288"/>
      <c r="I119" s="288"/>
      <c r="J119" s="288"/>
      <c r="K119" s="288"/>
      <c r="L119" s="288"/>
      <c r="M119" s="288"/>
      <c r="N119" s="288"/>
      <c r="O119" s="288"/>
      <c r="P119" s="288"/>
      <c r="Q119" s="288"/>
      <c r="R119" s="288"/>
      <c r="S119" s="288"/>
      <c r="T119" s="288"/>
      <c r="U119" s="288"/>
      <c r="V119" s="338">
        <v>0</v>
      </c>
      <c r="W119" s="291"/>
      <c r="X119" s="5"/>
    </row>
    <row r="120" spans="1:25" ht="15.6" x14ac:dyDescent="0.3">
      <c r="A120" s="340">
        <f t="shared" si="0"/>
        <v>13</v>
      </c>
      <c r="B120" s="288" t="s">
        <v>149</v>
      </c>
      <c r="C120" s="288"/>
      <c r="D120" s="288"/>
      <c r="E120" s="288"/>
      <c r="F120" s="288"/>
      <c r="G120" s="288"/>
      <c r="H120" s="288"/>
      <c r="I120" s="288"/>
      <c r="J120" s="288"/>
      <c r="K120" s="288"/>
      <c r="L120" s="288"/>
      <c r="M120" s="288"/>
      <c r="N120" s="288"/>
      <c r="O120" s="288"/>
      <c r="P120" s="288"/>
      <c r="Q120" s="288"/>
      <c r="R120" s="288"/>
      <c r="S120" s="288"/>
      <c r="T120" s="288"/>
      <c r="U120" s="288"/>
      <c r="V120" s="338">
        <v>-715</v>
      </c>
      <c r="W120" s="291"/>
      <c r="X120" s="5"/>
    </row>
    <row r="121" spans="1:25" ht="15.6" x14ac:dyDescent="0.3">
      <c r="A121" s="340">
        <f t="shared" si="0"/>
        <v>14</v>
      </c>
      <c r="B121" s="288" t="s">
        <v>126</v>
      </c>
      <c r="C121" s="288"/>
      <c r="D121" s="288"/>
      <c r="E121" s="288"/>
      <c r="F121" s="288"/>
      <c r="G121" s="288"/>
      <c r="H121" s="288"/>
      <c r="I121" s="288"/>
      <c r="J121" s="288"/>
      <c r="K121" s="288"/>
      <c r="L121" s="288"/>
      <c r="M121" s="288"/>
      <c r="N121" s="288"/>
      <c r="O121" s="288"/>
      <c r="P121" s="288"/>
      <c r="Q121" s="288"/>
      <c r="R121" s="288"/>
      <c r="S121" s="288"/>
      <c r="T121" s="288"/>
      <c r="U121" s="288"/>
      <c r="V121" s="338">
        <f>-V101-SUM(V103:V120)</f>
        <v>-3524</v>
      </c>
      <c r="W121" s="291"/>
      <c r="X121" s="5"/>
    </row>
    <row r="122" spans="1:25" ht="15.6" x14ac:dyDescent="0.3">
      <c r="A122" s="287"/>
      <c r="B122" s="343" t="s">
        <v>37</v>
      </c>
      <c r="C122" s="314"/>
      <c r="D122" s="314"/>
      <c r="E122" s="314"/>
      <c r="F122" s="314"/>
      <c r="G122" s="314"/>
      <c r="H122" s="314"/>
      <c r="I122" s="314"/>
      <c r="J122" s="314"/>
      <c r="K122" s="314"/>
      <c r="L122" s="314"/>
      <c r="M122" s="314"/>
      <c r="N122" s="314"/>
      <c r="O122" s="314"/>
      <c r="P122" s="314"/>
      <c r="Q122" s="314"/>
      <c r="R122" s="314"/>
      <c r="S122" s="314"/>
      <c r="T122" s="314"/>
      <c r="U122" s="314"/>
      <c r="V122" s="346"/>
      <c r="W122" s="318"/>
      <c r="X122" s="5"/>
    </row>
    <row r="123" spans="1:25" ht="15.6" x14ac:dyDescent="0.3">
      <c r="A123" s="340"/>
      <c r="B123" s="288" t="s">
        <v>173</v>
      </c>
      <c r="C123" s="288"/>
      <c r="D123" s="288"/>
      <c r="E123" s="288"/>
      <c r="F123" s="288"/>
      <c r="G123" s="288"/>
      <c r="H123" s="288"/>
      <c r="I123" s="288"/>
      <c r="J123" s="288"/>
      <c r="K123" s="288"/>
      <c r="L123" s="288"/>
      <c r="M123" s="288"/>
      <c r="N123" s="288"/>
      <c r="O123" s="288"/>
      <c r="P123" s="288"/>
      <c r="Q123" s="288"/>
      <c r="R123" s="288"/>
      <c r="S123" s="288"/>
      <c r="T123" s="337">
        <f>-T189</f>
        <v>0</v>
      </c>
      <c r="U123" s="337"/>
      <c r="V123" s="338"/>
      <c r="W123" s="291"/>
      <c r="X123" s="5"/>
    </row>
    <row r="124" spans="1:25" ht="15.6" x14ac:dyDescent="0.3">
      <c r="A124" s="340"/>
      <c r="B124" s="288" t="s">
        <v>174</v>
      </c>
      <c r="C124" s="288"/>
      <c r="D124" s="288"/>
      <c r="E124" s="288"/>
      <c r="F124" s="288"/>
      <c r="G124" s="288"/>
      <c r="H124" s="288"/>
      <c r="I124" s="288"/>
      <c r="J124" s="288"/>
      <c r="K124" s="288"/>
      <c r="L124" s="288"/>
      <c r="M124" s="288"/>
      <c r="N124" s="288"/>
      <c r="O124" s="288"/>
      <c r="P124" s="288"/>
      <c r="Q124" s="288"/>
      <c r="R124" s="288"/>
      <c r="S124" s="288"/>
      <c r="T124" s="337">
        <v>-56</v>
      </c>
      <c r="U124" s="337"/>
      <c r="V124" s="338"/>
      <c r="W124" s="291"/>
      <c r="X124" s="5"/>
    </row>
    <row r="125" spans="1:25" ht="15.6" x14ac:dyDescent="0.3">
      <c r="A125" s="340"/>
      <c r="B125" s="288" t="s">
        <v>38</v>
      </c>
      <c r="C125" s="288"/>
      <c r="D125" s="288"/>
      <c r="E125" s="288"/>
      <c r="F125" s="288"/>
      <c r="G125" s="288"/>
      <c r="H125" s="288"/>
      <c r="I125" s="288"/>
      <c r="J125" s="288"/>
      <c r="K125" s="288"/>
      <c r="L125" s="288"/>
      <c r="M125" s="288"/>
      <c r="N125" s="288"/>
      <c r="O125" s="288"/>
      <c r="P125" s="288"/>
      <c r="Q125" s="288"/>
      <c r="R125" s="288"/>
      <c r="S125" s="288"/>
      <c r="T125" s="337">
        <f>-S189</f>
        <v>-2</v>
      </c>
      <c r="U125" s="337"/>
      <c r="V125" s="338"/>
      <c r="W125" s="291"/>
      <c r="X125" s="5"/>
    </row>
    <row r="126" spans="1:25" ht="15.6" x14ac:dyDescent="0.3">
      <c r="A126" s="340"/>
      <c r="B126" s="288" t="s">
        <v>197</v>
      </c>
      <c r="C126" s="288"/>
      <c r="D126" s="288"/>
      <c r="E126" s="288"/>
      <c r="F126" s="288"/>
      <c r="G126" s="288"/>
      <c r="H126" s="288"/>
      <c r="I126" s="288"/>
      <c r="J126" s="288"/>
      <c r="K126" s="288"/>
      <c r="L126" s="288"/>
      <c r="M126" s="288"/>
      <c r="N126" s="288"/>
      <c r="O126" s="288"/>
      <c r="P126" s="288"/>
      <c r="Q126" s="288"/>
      <c r="R126" s="288"/>
      <c r="S126" s="288"/>
      <c r="T126" s="337">
        <v>-3711</v>
      </c>
      <c r="U126" s="337"/>
      <c r="V126" s="338"/>
      <c r="W126" s="291"/>
      <c r="X126" s="5"/>
    </row>
    <row r="127" spans="1:25" ht="15.6" x14ac:dyDescent="0.3">
      <c r="A127" s="340"/>
      <c r="B127" s="288" t="s">
        <v>195</v>
      </c>
      <c r="C127" s="288"/>
      <c r="D127" s="288"/>
      <c r="E127" s="288"/>
      <c r="F127" s="288"/>
      <c r="G127" s="288"/>
      <c r="H127" s="288"/>
      <c r="I127" s="288"/>
      <c r="J127" s="288"/>
      <c r="K127" s="288"/>
      <c r="L127" s="288"/>
      <c r="M127" s="288"/>
      <c r="N127" s="288"/>
      <c r="O127" s="288"/>
      <c r="P127" s="288"/>
      <c r="Q127" s="288"/>
      <c r="R127" s="288"/>
      <c r="S127" s="288"/>
      <c r="T127" s="337">
        <v>-598</v>
      </c>
      <c r="U127" s="337"/>
      <c r="V127" s="338"/>
      <c r="W127" s="291"/>
      <c r="X127" s="5"/>
    </row>
    <row r="128" spans="1:25" ht="15.6" x14ac:dyDescent="0.3">
      <c r="A128" s="340"/>
      <c r="B128" s="288" t="s">
        <v>194</v>
      </c>
      <c r="C128" s="288"/>
      <c r="D128" s="288"/>
      <c r="E128" s="288"/>
      <c r="F128" s="288"/>
      <c r="G128" s="288"/>
      <c r="H128" s="288"/>
      <c r="I128" s="288"/>
      <c r="J128" s="288"/>
      <c r="K128" s="288"/>
      <c r="L128" s="288"/>
      <c r="M128" s="288"/>
      <c r="N128" s="288"/>
      <c r="O128" s="288"/>
      <c r="P128" s="288"/>
      <c r="Q128" s="288"/>
      <c r="R128" s="288"/>
      <c r="S128" s="288"/>
      <c r="T128" s="337">
        <v>-805</v>
      </c>
      <c r="U128" s="337"/>
      <c r="V128" s="338"/>
      <c r="W128" s="291"/>
      <c r="X128" s="5"/>
    </row>
    <row r="129" spans="1:24" ht="15.6" x14ac:dyDescent="0.3">
      <c r="A129" s="340"/>
      <c r="B129" s="288" t="s">
        <v>226</v>
      </c>
      <c r="C129" s="288"/>
      <c r="D129" s="288"/>
      <c r="E129" s="288"/>
      <c r="F129" s="288"/>
      <c r="G129" s="288"/>
      <c r="H129" s="288"/>
      <c r="I129" s="288"/>
      <c r="J129" s="288"/>
      <c r="K129" s="288"/>
      <c r="L129" s="288"/>
      <c r="M129" s="288"/>
      <c r="N129" s="288"/>
      <c r="O129" s="288"/>
      <c r="P129" s="288"/>
      <c r="Q129" s="288"/>
      <c r="R129" s="288"/>
      <c r="S129" s="288"/>
      <c r="T129" s="337">
        <v>-989</v>
      </c>
      <c r="U129" s="337"/>
      <c r="V129" s="338"/>
      <c r="W129" s="291"/>
      <c r="X129" s="5"/>
    </row>
    <row r="130" spans="1:24" ht="15.6" x14ac:dyDescent="0.3">
      <c r="A130" s="340"/>
      <c r="B130" s="288" t="s">
        <v>189</v>
      </c>
      <c r="C130" s="288"/>
      <c r="D130" s="288"/>
      <c r="E130" s="288"/>
      <c r="F130" s="288"/>
      <c r="G130" s="288"/>
      <c r="H130" s="288"/>
      <c r="I130" s="288"/>
      <c r="J130" s="288"/>
      <c r="K130" s="288"/>
      <c r="L130" s="288"/>
      <c r="M130" s="288"/>
      <c r="N130" s="288"/>
      <c r="O130" s="288"/>
      <c r="P130" s="288"/>
      <c r="Q130" s="288"/>
      <c r="R130" s="288"/>
      <c r="S130" s="288"/>
      <c r="T130" s="337">
        <v>0</v>
      </c>
      <c r="U130" s="337"/>
      <c r="V130" s="338"/>
      <c r="W130" s="291"/>
      <c r="X130" s="5"/>
    </row>
    <row r="131" spans="1:24" ht="15.6" x14ac:dyDescent="0.3">
      <c r="A131" s="340"/>
      <c r="B131" s="288" t="s">
        <v>188</v>
      </c>
      <c r="C131" s="288"/>
      <c r="D131" s="288"/>
      <c r="E131" s="288"/>
      <c r="F131" s="288"/>
      <c r="G131" s="288"/>
      <c r="H131" s="288"/>
      <c r="I131" s="288"/>
      <c r="J131" s="288"/>
      <c r="K131" s="288"/>
      <c r="L131" s="288"/>
      <c r="M131" s="288"/>
      <c r="N131" s="288"/>
      <c r="O131" s="288"/>
      <c r="P131" s="288"/>
      <c r="Q131" s="288"/>
      <c r="R131" s="288"/>
      <c r="S131" s="288"/>
      <c r="T131" s="337">
        <v>0</v>
      </c>
      <c r="U131" s="337"/>
      <c r="V131" s="338"/>
      <c r="W131" s="291"/>
      <c r="X131" s="5"/>
    </row>
    <row r="132" spans="1:24" ht="15.6" x14ac:dyDescent="0.3">
      <c r="A132" s="340"/>
      <c r="B132" s="288" t="s">
        <v>227</v>
      </c>
      <c r="C132" s="288"/>
      <c r="D132" s="288"/>
      <c r="E132" s="288"/>
      <c r="F132" s="288"/>
      <c r="G132" s="288"/>
      <c r="H132" s="288"/>
      <c r="I132" s="288"/>
      <c r="J132" s="288"/>
      <c r="K132" s="288"/>
      <c r="L132" s="288"/>
      <c r="M132" s="288"/>
      <c r="N132" s="288"/>
      <c r="O132" s="288"/>
      <c r="P132" s="288"/>
      <c r="Q132" s="288"/>
      <c r="R132" s="288"/>
      <c r="S132" s="288"/>
      <c r="T132" s="337">
        <v>0</v>
      </c>
      <c r="U132" s="337"/>
      <c r="V132" s="338"/>
      <c r="W132" s="291"/>
      <c r="X132" s="5"/>
    </row>
    <row r="133" spans="1:24" ht="15.6" x14ac:dyDescent="0.3">
      <c r="A133" s="340"/>
      <c r="B133" s="288" t="s">
        <v>187</v>
      </c>
      <c r="C133" s="288"/>
      <c r="D133" s="288"/>
      <c r="E133" s="288"/>
      <c r="F133" s="288"/>
      <c r="G133" s="288"/>
      <c r="H133" s="288"/>
      <c r="I133" s="288"/>
      <c r="J133" s="288"/>
      <c r="K133" s="288"/>
      <c r="L133" s="288"/>
      <c r="M133" s="288"/>
      <c r="N133" s="288"/>
      <c r="O133" s="288"/>
      <c r="P133" s="288"/>
      <c r="Q133" s="288"/>
      <c r="R133" s="288"/>
      <c r="S133" s="288"/>
      <c r="T133" s="337">
        <v>0</v>
      </c>
      <c r="U133" s="337"/>
      <c r="V133" s="338"/>
      <c r="W133" s="291"/>
      <c r="X133" s="5"/>
    </row>
    <row r="134" spans="1:24" ht="15.6" x14ac:dyDescent="0.3">
      <c r="A134" s="340"/>
      <c r="B134" s="288" t="s">
        <v>39</v>
      </c>
      <c r="C134" s="288"/>
      <c r="D134" s="288"/>
      <c r="E134" s="288"/>
      <c r="F134" s="288"/>
      <c r="G134" s="288"/>
      <c r="H134" s="288"/>
      <c r="I134" s="288"/>
      <c r="J134" s="288"/>
      <c r="K134" s="288"/>
      <c r="L134" s="288"/>
      <c r="M134" s="288"/>
      <c r="N134" s="288"/>
      <c r="O134" s="288"/>
      <c r="P134" s="288"/>
      <c r="Q134" s="288"/>
      <c r="R134" s="288"/>
      <c r="S134" s="288"/>
      <c r="T134" s="337">
        <f>SUM(T123:T133)</f>
        <v>-6161</v>
      </c>
      <c r="U134" s="337"/>
      <c r="V134" s="337">
        <f>SUM(V102:V131)</f>
        <v>-8498</v>
      </c>
      <c r="W134" s="291"/>
      <c r="X134" s="5"/>
    </row>
    <row r="135" spans="1:24" ht="15.6" x14ac:dyDescent="0.3">
      <c r="A135" s="340"/>
      <c r="B135" s="288" t="s">
        <v>40</v>
      </c>
      <c r="C135" s="288"/>
      <c r="D135" s="288"/>
      <c r="E135" s="288"/>
      <c r="F135" s="288"/>
      <c r="G135" s="288"/>
      <c r="H135" s="288"/>
      <c r="I135" s="288"/>
      <c r="J135" s="288"/>
      <c r="K135" s="288"/>
      <c r="L135" s="288"/>
      <c r="M135" s="288"/>
      <c r="N135" s="288"/>
      <c r="O135" s="288"/>
      <c r="P135" s="288"/>
      <c r="Q135" s="288"/>
      <c r="R135" s="288"/>
      <c r="S135" s="288"/>
      <c r="T135" s="337">
        <f>T101+T134+T115</f>
        <v>0</v>
      </c>
      <c r="U135" s="337"/>
      <c r="V135" s="337">
        <f>V101+V134</f>
        <v>0</v>
      </c>
      <c r="W135" s="291"/>
      <c r="X135" s="5"/>
    </row>
    <row r="136" spans="1:24" ht="15.6" x14ac:dyDescent="0.3">
      <c r="A136" s="243"/>
      <c r="B136" s="284"/>
      <c r="C136" s="284"/>
      <c r="D136" s="284"/>
      <c r="E136" s="284"/>
      <c r="F136" s="284"/>
      <c r="G136" s="284"/>
      <c r="H136" s="284"/>
      <c r="I136" s="284"/>
      <c r="J136" s="284"/>
      <c r="K136" s="284"/>
      <c r="L136" s="284"/>
      <c r="M136" s="284"/>
      <c r="N136" s="284"/>
      <c r="O136" s="284"/>
      <c r="P136" s="284"/>
      <c r="Q136" s="284"/>
      <c r="R136" s="284"/>
      <c r="S136" s="284"/>
      <c r="T136" s="339"/>
      <c r="U136" s="339"/>
      <c r="V136" s="339"/>
      <c r="W136" s="284"/>
      <c r="X136" s="5"/>
    </row>
    <row r="137" spans="1:24" ht="15.6" x14ac:dyDescent="0.3">
      <c r="A137" s="243"/>
      <c r="B137" s="224"/>
      <c r="C137" s="224"/>
      <c r="D137" s="224"/>
      <c r="E137" s="224"/>
      <c r="F137" s="224"/>
      <c r="G137" s="224"/>
      <c r="H137" s="224"/>
      <c r="I137" s="224"/>
      <c r="J137" s="224"/>
      <c r="K137" s="224"/>
      <c r="L137" s="224"/>
      <c r="M137" s="224"/>
      <c r="N137" s="224"/>
      <c r="O137" s="224"/>
      <c r="P137" s="224"/>
      <c r="Q137" s="224"/>
      <c r="R137" s="224"/>
      <c r="S137" s="224"/>
      <c r="T137" s="224"/>
      <c r="U137" s="224"/>
      <c r="V137" s="244"/>
      <c r="W137" s="224"/>
      <c r="X137" s="5"/>
    </row>
    <row r="138" spans="1:24" ht="18" thickBot="1" x14ac:dyDescent="0.35">
      <c r="A138" s="245"/>
      <c r="B138" s="237" t="str">
        <f>B64</f>
        <v>PM14 INVESTOR REPORT QUARTER ENDING MAY 2012</v>
      </c>
      <c r="C138" s="238"/>
      <c r="D138" s="238"/>
      <c r="E138" s="238"/>
      <c r="F138" s="238"/>
      <c r="G138" s="238"/>
      <c r="H138" s="238"/>
      <c r="I138" s="238"/>
      <c r="J138" s="238"/>
      <c r="K138" s="238"/>
      <c r="L138" s="238"/>
      <c r="M138" s="238"/>
      <c r="N138" s="238"/>
      <c r="O138" s="238"/>
      <c r="P138" s="238"/>
      <c r="Q138" s="238"/>
      <c r="R138" s="238"/>
      <c r="S138" s="238"/>
      <c r="T138" s="238"/>
      <c r="U138" s="238"/>
      <c r="V138" s="246"/>
      <c r="W138" s="240"/>
      <c r="X138" s="5"/>
    </row>
    <row r="139" spans="1:24" ht="15.6" x14ac:dyDescent="0.3">
      <c r="A139" s="273"/>
      <c r="B139" s="403" t="s">
        <v>41</v>
      </c>
      <c r="C139" s="274"/>
      <c r="D139" s="274"/>
      <c r="E139" s="274"/>
      <c r="F139" s="274"/>
      <c r="G139" s="274"/>
      <c r="H139" s="274"/>
      <c r="I139" s="274"/>
      <c r="J139" s="274"/>
      <c r="K139" s="274"/>
      <c r="L139" s="274"/>
      <c r="M139" s="274"/>
      <c r="N139" s="274"/>
      <c r="O139" s="274"/>
      <c r="P139" s="274"/>
      <c r="Q139" s="274"/>
      <c r="R139" s="274"/>
      <c r="S139" s="274"/>
      <c r="T139" s="274"/>
      <c r="U139" s="274"/>
      <c r="V139" s="275"/>
      <c r="W139" s="274"/>
      <c r="X139" s="5"/>
    </row>
    <row r="140" spans="1:24" ht="15.6" x14ac:dyDescent="0.3">
      <c r="A140" s="183"/>
      <c r="B140" s="195"/>
      <c r="C140" s="185"/>
      <c r="D140" s="185"/>
      <c r="E140" s="185"/>
      <c r="F140" s="185"/>
      <c r="G140" s="185"/>
      <c r="H140" s="185"/>
      <c r="I140" s="185"/>
      <c r="J140" s="185"/>
      <c r="K140" s="185"/>
      <c r="L140" s="185"/>
      <c r="M140" s="185"/>
      <c r="N140" s="185"/>
      <c r="O140" s="185"/>
      <c r="P140" s="185"/>
      <c r="Q140" s="185"/>
      <c r="R140" s="185"/>
      <c r="S140" s="185"/>
      <c r="T140" s="185"/>
      <c r="U140" s="185"/>
      <c r="V140" s="201"/>
      <c r="W140" s="185"/>
      <c r="X140" s="5"/>
    </row>
    <row r="141" spans="1:24" ht="15.6" x14ac:dyDescent="0.3">
      <c r="A141" s="183"/>
      <c r="B141" s="208" t="s">
        <v>42</v>
      </c>
      <c r="C141" s="185"/>
      <c r="D141" s="185"/>
      <c r="E141" s="185"/>
      <c r="F141" s="185"/>
      <c r="G141" s="185"/>
      <c r="H141" s="185"/>
      <c r="I141" s="185"/>
      <c r="J141" s="185"/>
      <c r="K141" s="185"/>
      <c r="L141" s="185"/>
      <c r="M141" s="185"/>
      <c r="N141" s="185"/>
      <c r="O141" s="185"/>
      <c r="P141" s="185"/>
      <c r="Q141" s="185"/>
      <c r="R141" s="185"/>
      <c r="S141" s="185"/>
      <c r="T141" s="185"/>
      <c r="U141" s="185"/>
      <c r="V141" s="201"/>
      <c r="W141" s="185"/>
      <c r="X141" s="5"/>
    </row>
    <row r="142" spans="1:24" ht="15.6" x14ac:dyDescent="0.3">
      <c r="A142" s="287"/>
      <c r="B142" s="288" t="s">
        <v>43</v>
      </c>
      <c r="C142" s="288"/>
      <c r="D142" s="288"/>
      <c r="E142" s="288"/>
      <c r="F142" s="288"/>
      <c r="G142" s="288"/>
      <c r="H142" s="288"/>
      <c r="I142" s="288"/>
      <c r="J142" s="288"/>
      <c r="K142" s="288"/>
      <c r="L142" s="288"/>
      <c r="M142" s="288"/>
      <c r="N142" s="288"/>
      <c r="O142" s="288"/>
      <c r="P142" s="288"/>
      <c r="Q142" s="288"/>
      <c r="R142" s="288"/>
      <c r="S142" s="288"/>
      <c r="T142" s="288"/>
      <c r="U142" s="288"/>
      <c r="V142" s="338">
        <f>+V34*0.019</f>
        <v>28505.224999999999</v>
      </c>
      <c r="W142" s="291"/>
      <c r="X142" s="5"/>
    </row>
    <row r="143" spans="1:24" ht="15.6" x14ac:dyDescent="0.3">
      <c r="A143" s="287"/>
      <c r="B143" s="288" t="s">
        <v>44</v>
      </c>
      <c r="C143" s="288"/>
      <c r="D143" s="288"/>
      <c r="E143" s="288"/>
      <c r="F143" s="288"/>
      <c r="G143" s="288"/>
      <c r="H143" s="288"/>
      <c r="I143" s="288"/>
      <c r="J143" s="288"/>
      <c r="K143" s="288"/>
      <c r="L143" s="288"/>
      <c r="M143" s="288"/>
      <c r="N143" s="288"/>
      <c r="O143" s="288"/>
      <c r="P143" s="288"/>
      <c r="Q143" s="288"/>
      <c r="R143" s="288"/>
      <c r="S143" s="288"/>
      <c r="T143" s="288"/>
      <c r="U143" s="288"/>
      <c r="V143" s="338">
        <v>28505</v>
      </c>
      <c r="W143" s="291"/>
      <c r="X143" s="5"/>
    </row>
    <row r="144" spans="1:24" ht="15.6" x14ac:dyDescent="0.3">
      <c r="A144" s="287"/>
      <c r="B144" s="288" t="s">
        <v>136</v>
      </c>
      <c r="C144" s="288"/>
      <c r="D144" s="288"/>
      <c r="E144" s="288"/>
      <c r="F144" s="288"/>
      <c r="G144" s="288"/>
      <c r="H144" s="288"/>
      <c r="I144" s="288"/>
      <c r="J144" s="288"/>
      <c r="K144" s="288"/>
      <c r="L144" s="288"/>
      <c r="M144" s="288"/>
      <c r="N144" s="288"/>
      <c r="O144" s="288"/>
      <c r="P144" s="288"/>
      <c r="Q144" s="288"/>
      <c r="R144" s="288"/>
      <c r="S144" s="288"/>
      <c r="T144" s="288"/>
      <c r="U144" s="288"/>
      <c r="V144" s="338"/>
      <c r="W144" s="291"/>
      <c r="X144" s="5"/>
    </row>
    <row r="145" spans="1:25" ht="15.6" x14ac:dyDescent="0.3">
      <c r="A145" s="287"/>
      <c r="B145" s="288" t="s">
        <v>123</v>
      </c>
      <c r="C145" s="288"/>
      <c r="D145" s="288"/>
      <c r="E145" s="288"/>
      <c r="F145" s="288"/>
      <c r="G145" s="288"/>
      <c r="H145" s="288"/>
      <c r="I145" s="288"/>
      <c r="J145" s="288"/>
      <c r="K145" s="288"/>
      <c r="L145" s="288"/>
      <c r="M145" s="288"/>
      <c r="N145" s="288"/>
      <c r="O145" s="288"/>
      <c r="P145" s="288"/>
      <c r="Q145" s="288"/>
      <c r="R145" s="288"/>
      <c r="S145" s="288"/>
      <c r="T145" s="288"/>
      <c r="U145" s="288"/>
      <c r="V145" s="338">
        <v>0</v>
      </c>
      <c r="W145" s="291"/>
      <c r="X145" s="5"/>
    </row>
    <row r="146" spans="1:25" ht="15.6" x14ac:dyDescent="0.3">
      <c r="A146" s="287"/>
      <c r="B146" s="288" t="s">
        <v>124</v>
      </c>
      <c r="C146" s="288"/>
      <c r="D146" s="288"/>
      <c r="E146" s="288"/>
      <c r="F146" s="288"/>
      <c r="G146" s="288"/>
      <c r="H146" s="288"/>
      <c r="I146" s="288"/>
      <c r="J146" s="288"/>
      <c r="K146" s="288"/>
      <c r="L146" s="288"/>
      <c r="M146" s="288"/>
      <c r="N146" s="288"/>
      <c r="O146" s="288"/>
      <c r="P146" s="288"/>
      <c r="Q146" s="288"/>
      <c r="R146" s="288"/>
      <c r="S146" s="288"/>
      <c r="T146" s="288"/>
      <c r="U146" s="288"/>
      <c r="V146" s="338">
        <v>0</v>
      </c>
      <c r="W146" s="291"/>
      <c r="X146" s="5"/>
    </row>
    <row r="147" spans="1:25" ht="15.6" x14ac:dyDescent="0.3">
      <c r="A147" s="287"/>
      <c r="B147" s="288" t="s">
        <v>175</v>
      </c>
      <c r="C147" s="288"/>
      <c r="D147" s="288"/>
      <c r="E147" s="288"/>
      <c r="F147" s="288"/>
      <c r="G147" s="288"/>
      <c r="H147" s="288"/>
      <c r="I147" s="288"/>
      <c r="J147" s="288"/>
      <c r="K147" s="288"/>
      <c r="L147" s="288"/>
      <c r="M147" s="288"/>
      <c r="N147" s="288"/>
      <c r="O147" s="288"/>
      <c r="P147" s="288"/>
      <c r="Q147" s="288"/>
      <c r="R147" s="288"/>
      <c r="S147" s="288"/>
      <c r="T147" s="288"/>
      <c r="U147" s="288"/>
      <c r="V147" s="338">
        <v>0</v>
      </c>
      <c r="W147" s="291"/>
      <c r="X147" s="5"/>
    </row>
    <row r="148" spans="1:25" ht="15.6" x14ac:dyDescent="0.3">
      <c r="A148" s="287"/>
      <c r="B148" s="288" t="s">
        <v>45</v>
      </c>
      <c r="C148" s="288"/>
      <c r="D148" s="288"/>
      <c r="E148" s="288"/>
      <c r="F148" s="288"/>
      <c r="G148" s="288"/>
      <c r="H148" s="288"/>
      <c r="I148" s="288"/>
      <c r="J148" s="288"/>
      <c r="K148" s="288"/>
      <c r="L148" s="288"/>
      <c r="M148" s="288"/>
      <c r="N148" s="288"/>
      <c r="O148" s="288"/>
      <c r="P148" s="288"/>
      <c r="Q148" s="288"/>
      <c r="R148" s="288"/>
      <c r="S148" s="288"/>
      <c r="T148" s="288"/>
      <c r="U148" s="288"/>
      <c r="V148" s="338">
        <v>0</v>
      </c>
      <c r="W148" s="291"/>
      <c r="X148" s="5"/>
    </row>
    <row r="149" spans="1:25" ht="15.6" x14ac:dyDescent="0.3">
      <c r="A149" s="287"/>
      <c r="B149" s="288" t="s">
        <v>129</v>
      </c>
      <c r="C149" s="288"/>
      <c r="D149" s="288"/>
      <c r="E149" s="288"/>
      <c r="F149" s="288"/>
      <c r="G149" s="288"/>
      <c r="H149" s="288"/>
      <c r="I149" s="288"/>
      <c r="J149" s="288"/>
      <c r="K149" s="288"/>
      <c r="L149" s="288"/>
      <c r="M149" s="288"/>
      <c r="N149" s="288"/>
      <c r="O149" s="288"/>
      <c r="P149" s="288"/>
      <c r="Q149" s="288"/>
      <c r="R149" s="288"/>
      <c r="S149" s="288"/>
      <c r="T149" s="288"/>
      <c r="U149" s="288"/>
      <c r="V149" s="338">
        <v>0</v>
      </c>
      <c r="W149" s="291"/>
      <c r="X149" s="5"/>
    </row>
    <row r="150" spans="1:25" ht="15.6" x14ac:dyDescent="0.3">
      <c r="A150" s="287"/>
      <c r="B150" s="288" t="s">
        <v>267</v>
      </c>
      <c r="C150" s="288"/>
      <c r="D150" s="288"/>
      <c r="E150" s="288"/>
      <c r="F150" s="288"/>
      <c r="G150" s="288"/>
      <c r="H150" s="288"/>
      <c r="I150" s="288"/>
      <c r="J150" s="288"/>
      <c r="K150" s="288"/>
      <c r="L150" s="288"/>
      <c r="M150" s="288"/>
      <c r="N150" s="288"/>
      <c r="O150" s="288"/>
      <c r="P150" s="288"/>
      <c r="Q150" s="288"/>
      <c r="R150" s="288"/>
      <c r="S150" s="288"/>
      <c r="T150" s="288"/>
      <c r="U150" s="288"/>
      <c r="V150" s="338">
        <v>0</v>
      </c>
      <c r="W150" s="291"/>
      <c r="X150" s="5"/>
      <c r="Y150" s="109"/>
    </row>
    <row r="151" spans="1:25" ht="15.6" x14ac:dyDescent="0.3">
      <c r="A151" s="287"/>
      <c r="B151" s="288" t="s">
        <v>46</v>
      </c>
      <c r="C151" s="288"/>
      <c r="D151" s="288"/>
      <c r="E151" s="288"/>
      <c r="F151" s="288"/>
      <c r="G151" s="288"/>
      <c r="H151" s="288"/>
      <c r="I151" s="288"/>
      <c r="J151" s="288"/>
      <c r="K151" s="288"/>
      <c r="L151" s="288"/>
      <c r="M151" s="288"/>
      <c r="N151" s="288"/>
      <c r="O151" s="288"/>
      <c r="P151" s="288"/>
      <c r="Q151" s="288"/>
      <c r="R151" s="288"/>
      <c r="S151" s="288"/>
      <c r="T151" s="288"/>
      <c r="U151" s="288"/>
      <c r="V151" s="338">
        <f>SUM(V143:V150)</f>
        <v>28505</v>
      </c>
      <c r="W151" s="291"/>
      <c r="X151" s="5"/>
    </row>
    <row r="152" spans="1:25" ht="15.6" x14ac:dyDescent="0.3">
      <c r="A152" s="287"/>
      <c r="B152" s="314"/>
      <c r="C152" s="314"/>
      <c r="D152" s="314"/>
      <c r="E152" s="314"/>
      <c r="F152" s="314"/>
      <c r="G152" s="314"/>
      <c r="H152" s="314"/>
      <c r="I152" s="314"/>
      <c r="J152" s="314"/>
      <c r="K152" s="314"/>
      <c r="L152" s="314"/>
      <c r="M152" s="314"/>
      <c r="N152" s="314"/>
      <c r="O152" s="314"/>
      <c r="P152" s="314"/>
      <c r="Q152" s="314"/>
      <c r="R152" s="314"/>
      <c r="S152" s="314"/>
      <c r="T152" s="314"/>
      <c r="U152" s="314"/>
      <c r="V152" s="345"/>
      <c r="W152" s="318"/>
      <c r="X152" s="5"/>
    </row>
    <row r="153" spans="1:25" ht="15.6" x14ac:dyDescent="0.3">
      <c r="A153" s="287"/>
      <c r="B153" s="343" t="s">
        <v>237</v>
      </c>
      <c r="C153" s="314"/>
      <c r="D153" s="314"/>
      <c r="E153" s="314"/>
      <c r="F153" s="314"/>
      <c r="G153" s="314"/>
      <c r="H153" s="314"/>
      <c r="I153" s="314"/>
      <c r="J153" s="314"/>
      <c r="K153" s="314"/>
      <c r="L153" s="314"/>
      <c r="M153" s="314"/>
      <c r="N153" s="314"/>
      <c r="O153" s="314"/>
      <c r="P153" s="314"/>
      <c r="Q153" s="314"/>
      <c r="R153" s="314"/>
      <c r="S153" s="314"/>
      <c r="T153" s="314"/>
      <c r="U153" s="314"/>
      <c r="V153" s="345"/>
      <c r="W153" s="318"/>
      <c r="X153" s="5"/>
    </row>
    <row r="154" spans="1:25" ht="15.6" x14ac:dyDescent="0.3">
      <c r="A154" s="287"/>
      <c r="B154" s="288" t="s">
        <v>155</v>
      </c>
      <c r="C154" s="288"/>
      <c r="D154" s="288"/>
      <c r="E154" s="288"/>
      <c r="F154" s="288"/>
      <c r="G154" s="288"/>
      <c r="H154" s="288"/>
      <c r="I154" s="288"/>
      <c r="J154" s="288"/>
      <c r="K154" s="288"/>
      <c r="L154" s="288"/>
      <c r="M154" s="288"/>
      <c r="N154" s="288"/>
      <c r="O154" s="288"/>
      <c r="P154" s="288"/>
      <c r="Q154" s="288"/>
      <c r="R154" s="288"/>
      <c r="S154" s="288"/>
      <c r="T154" s="288"/>
      <c r="U154" s="288"/>
      <c r="V154" s="338">
        <v>7500</v>
      </c>
      <c r="W154" s="291"/>
      <c r="X154" s="5"/>
    </row>
    <row r="155" spans="1:25" ht="15.6" x14ac:dyDescent="0.3">
      <c r="A155" s="287"/>
      <c r="B155" s="288" t="s">
        <v>172</v>
      </c>
      <c r="C155" s="288"/>
      <c r="D155" s="288"/>
      <c r="E155" s="288"/>
      <c r="F155" s="288"/>
      <c r="G155" s="288"/>
      <c r="H155" s="288"/>
      <c r="I155" s="288"/>
      <c r="J155" s="288"/>
      <c r="K155" s="288"/>
      <c r="L155" s="288"/>
      <c r="M155" s="288"/>
      <c r="N155" s="288"/>
      <c r="O155" s="288"/>
      <c r="P155" s="288"/>
      <c r="Q155" s="288"/>
      <c r="R155" s="288"/>
      <c r="S155" s="288"/>
      <c r="T155" s="288"/>
      <c r="U155" s="288"/>
      <c r="V155" s="338">
        <v>0</v>
      </c>
      <c r="W155" s="291"/>
      <c r="X155" s="5"/>
    </row>
    <row r="156" spans="1:25" ht="15.6" x14ac:dyDescent="0.3">
      <c r="A156" s="287"/>
      <c r="B156" s="288" t="s">
        <v>305</v>
      </c>
      <c r="C156" s="288"/>
      <c r="D156" s="288"/>
      <c r="E156" s="288"/>
      <c r="F156" s="288"/>
      <c r="G156" s="288"/>
      <c r="H156" s="288"/>
      <c r="I156" s="288"/>
      <c r="J156" s="288"/>
      <c r="K156" s="288"/>
      <c r="L156" s="288"/>
      <c r="M156" s="288"/>
      <c r="N156" s="288"/>
      <c r="O156" s="288"/>
      <c r="P156" s="288"/>
      <c r="Q156" s="288"/>
      <c r="R156" s="288"/>
      <c r="S156" s="288"/>
      <c r="T156" s="288"/>
      <c r="U156" s="288"/>
      <c r="V156" s="338">
        <v>2101</v>
      </c>
      <c r="W156" s="291"/>
      <c r="X156" s="5"/>
    </row>
    <row r="157" spans="1:25" ht="15.6" x14ac:dyDescent="0.3">
      <c r="A157" s="287"/>
      <c r="B157" s="288"/>
      <c r="C157" s="288"/>
      <c r="D157" s="288"/>
      <c r="E157" s="288"/>
      <c r="F157" s="288"/>
      <c r="G157" s="288"/>
      <c r="H157" s="288"/>
      <c r="I157" s="288"/>
      <c r="J157" s="288"/>
      <c r="K157" s="288"/>
      <c r="L157" s="288"/>
      <c r="M157" s="288"/>
      <c r="N157" s="288"/>
      <c r="O157" s="288"/>
      <c r="P157" s="288"/>
      <c r="Q157" s="288"/>
      <c r="R157" s="288"/>
      <c r="S157" s="288"/>
      <c r="T157" s="288"/>
      <c r="U157" s="288"/>
      <c r="V157" s="338"/>
      <c r="W157" s="291"/>
      <c r="X157" s="5"/>
    </row>
    <row r="158" spans="1:25" ht="15.6" x14ac:dyDescent="0.3">
      <c r="A158" s="183"/>
      <c r="B158" s="198"/>
      <c r="C158" s="198"/>
      <c r="D158" s="198"/>
      <c r="E158" s="198"/>
      <c r="F158" s="198"/>
      <c r="G158" s="198"/>
      <c r="H158" s="198"/>
      <c r="I158" s="198"/>
      <c r="J158" s="198"/>
      <c r="K158" s="198"/>
      <c r="L158" s="198"/>
      <c r="M158" s="198"/>
      <c r="N158" s="198"/>
      <c r="O158" s="198"/>
      <c r="P158" s="198"/>
      <c r="Q158" s="198"/>
      <c r="R158" s="198"/>
      <c r="S158" s="198"/>
      <c r="T158" s="198"/>
      <c r="U158" s="198"/>
      <c r="V158" s="347"/>
      <c r="W158" s="198"/>
      <c r="X158" s="5"/>
    </row>
    <row r="159" spans="1:25" ht="15.6" x14ac:dyDescent="0.3">
      <c r="A159" s="183"/>
      <c r="B159" s="208" t="s">
        <v>24</v>
      </c>
      <c r="C159" s="185"/>
      <c r="D159" s="185"/>
      <c r="E159" s="185"/>
      <c r="F159" s="185"/>
      <c r="G159" s="185"/>
      <c r="H159" s="185"/>
      <c r="I159" s="185"/>
      <c r="J159" s="185"/>
      <c r="K159" s="185"/>
      <c r="L159" s="185"/>
      <c r="M159" s="185"/>
      <c r="N159" s="185"/>
      <c r="O159" s="185"/>
      <c r="P159" s="185"/>
      <c r="Q159" s="185"/>
      <c r="R159" s="185"/>
      <c r="S159" s="185"/>
      <c r="T159" s="185"/>
      <c r="U159" s="185"/>
      <c r="V159" s="201"/>
      <c r="W159" s="185"/>
      <c r="X159" s="5"/>
    </row>
    <row r="160" spans="1:25" ht="15.6" x14ac:dyDescent="0.3">
      <c r="A160" s="287"/>
      <c r="B160" s="288" t="s">
        <v>47</v>
      </c>
      <c r="C160" s="288"/>
      <c r="D160" s="288"/>
      <c r="E160" s="288"/>
      <c r="F160" s="288"/>
      <c r="G160" s="288"/>
      <c r="H160" s="288"/>
      <c r="I160" s="288"/>
      <c r="J160" s="288"/>
      <c r="K160" s="288"/>
      <c r="L160" s="288"/>
      <c r="M160" s="288"/>
      <c r="N160" s="288"/>
      <c r="O160" s="288"/>
      <c r="P160" s="288"/>
      <c r="Q160" s="288"/>
      <c r="R160" s="288"/>
      <c r="S160" s="288"/>
      <c r="T160" s="288"/>
      <c r="U160" s="288"/>
      <c r="V160" s="348" t="s">
        <v>118</v>
      </c>
      <c r="W160" s="291"/>
      <c r="X160" s="5"/>
    </row>
    <row r="161" spans="1:256" ht="15.6" x14ac:dyDescent="0.3">
      <c r="A161" s="287"/>
      <c r="B161" s="288" t="s">
        <v>48</v>
      </c>
      <c r="C161" s="290"/>
      <c r="D161" s="290"/>
      <c r="E161" s="290"/>
      <c r="F161" s="290"/>
      <c r="G161" s="290"/>
      <c r="H161" s="290"/>
      <c r="I161" s="290"/>
      <c r="J161" s="290"/>
      <c r="K161" s="290"/>
      <c r="L161" s="290"/>
      <c r="M161" s="290"/>
      <c r="N161" s="290"/>
      <c r="O161" s="290"/>
      <c r="P161" s="290"/>
      <c r="Q161" s="290"/>
      <c r="R161" s="290"/>
      <c r="S161" s="290"/>
      <c r="T161" s="290"/>
      <c r="U161" s="290"/>
      <c r="V161" s="348" t="s">
        <v>118</v>
      </c>
      <c r="W161" s="291"/>
      <c r="X161" s="5"/>
    </row>
    <row r="162" spans="1:256" ht="15.6" x14ac:dyDescent="0.3">
      <c r="A162" s="287"/>
      <c r="B162" s="288" t="s">
        <v>49</v>
      </c>
      <c r="C162" s="288"/>
      <c r="D162" s="288"/>
      <c r="E162" s="288"/>
      <c r="F162" s="288"/>
      <c r="G162" s="288"/>
      <c r="H162" s="288"/>
      <c r="I162" s="288"/>
      <c r="J162" s="288"/>
      <c r="K162" s="288"/>
      <c r="L162" s="288"/>
      <c r="M162" s="288"/>
      <c r="N162" s="288"/>
      <c r="O162" s="288"/>
      <c r="P162" s="288"/>
      <c r="Q162" s="288"/>
      <c r="R162" s="288"/>
      <c r="S162" s="288"/>
      <c r="T162" s="288"/>
      <c r="U162" s="288"/>
      <c r="V162" s="348" t="s">
        <v>118</v>
      </c>
      <c r="W162" s="291"/>
      <c r="X162" s="5"/>
    </row>
    <row r="163" spans="1:256" ht="15.6" x14ac:dyDescent="0.3">
      <c r="A163" s="287"/>
      <c r="B163" s="288" t="s">
        <v>50</v>
      </c>
      <c r="C163" s="288"/>
      <c r="D163" s="288"/>
      <c r="E163" s="288"/>
      <c r="F163" s="288"/>
      <c r="G163" s="288"/>
      <c r="H163" s="288"/>
      <c r="I163" s="288"/>
      <c r="J163" s="288"/>
      <c r="K163" s="288"/>
      <c r="L163" s="288"/>
      <c r="M163" s="288"/>
      <c r="N163" s="288"/>
      <c r="O163" s="288"/>
      <c r="P163" s="288"/>
      <c r="Q163" s="288"/>
      <c r="R163" s="288"/>
      <c r="S163" s="288"/>
      <c r="T163" s="288"/>
      <c r="U163" s="288"/>
      <c r="V163" s="348" t="s">
        <v>118</v>
      </c>
      <c r="W163" s="291"/>
      <c r="X163" s="5"/>
    </row>
    <row r="164" spans="1:256" ht="15.6" x14ac:dyDescent="0.3">
      <c r="A164" s="183"/>
      <c r="B164" s="198"/>
      <c r="C164" s="198"/>
      <c r="D164" s="198"/>
      <c r="E164" s="198"/>
      <c r="F164" s="198"/>
      <c r="G164" s="198"/>
      <c r="H164" s="198"/>
      <c r="I164" s="198"/>
      <c r="J164" s="198"/>
      <c r="K164" s="198"/>
      <c r="L164" s="198"/>
      <c r="M164" s="198"/>
      <c r="N164" s="198"/>
      <c r="O164" s="198"/>
      <c r="P164" s="198"/>
      <c r="Q164" s="198"/>
      <c r="R164" s="198"/>
      <c r="S164" s="198"/>
      <c r="T164" s="198"/>
      <c r="U164" s="198"/>
      <c r="V164" s="347"/>
      <c r="W164" s="198"/>
      <c r="X164" s="5"/>
    </row>
    <row r="165" spans="1:256" ht="15.6" x14ac:dyDescent="0.3">
      <c r="A165" s="183"/>
      <c r="B165" s="208" t="s">
        <v>51</v>
      </c>
      <c r="C165" s="185"/>
      <c r="D165" s="185"/>
      <c r="E165" s="185"/>
      <c r="F165" s="185"/>
      <c r="G165" s="185"/>
      <c r="H165" s="185"/>
      <c r="I165" s="185"/>
      <c r="J165" s="185"/>
      <c r="K165" s="185"/>
      <c r="L165" s="185"/>
      <c r="M165" s="185"/>
      <c r="N165" s="185"/>
      <c r="O165" s="185"/>
      <c r="P165" s="185"/>
      <c r="Q165" s="185"/>
      <c r="R165" s="185"/>
      <c r="S165" s="185"/>
      <c r="T165" s="185"/>
      <c r="U165" s="185"/>
      <c r="V165" s="209"/>
      <c r="W165" s="185"/>
      <c r="X165" s="5"/>
    </row>
    <row r="166" spans="1:256" ht="15.6" x14ac:dyDescent="0.3">
      <c r="A166" s="287"/>
      <c r="B166" s="288" t="s">
        <v>52</v>
      </c>
      <c r="C166" s="288"/>
      <c r="D166" s="288"/>
      <c r="E166" s="288"/>
      <c r="F166" s="288"/>
      <c r="G166" s="288"/>
      <c r="H166" s="288"/>
      <c r="I166" s="288"/>
      <c r="J166" s="288"/>
      <c r="K166" s="288"/>
      <c r="L166" s="288"/>
      <c r="M166" s="288"/>
      <c r="N166" s="288"/>
      <c r="O166" s="288"/>
      <c r="P166" s="288"/>
      <c r="Q166" s="288"/>
      <c r="R166" s="288"/>
      <c r="S166" s="288"/>
      <c r="T166" s="288"/>
      <c r="U166" s="288"/>
      <c r="V166" s="338">
        <v>0</v>
      </c>
      <c r="W166" s="291"/>
      <c r="X166" s="5"/>
    </row>
    <row r="167" spans="1:256" ht="15.6" x14ac:dyDescent="0.3">
      <c r="A167" s="287"/>
      <c r="B167" s="288" t="s">
        <v>53</v>
      </c>
      <c r="C167" s="288"/>
      <c r="D167" s="288"/>
      <c r="E167" s="288"/>
      <c r="F167" s="288"/>
      <c r="G167" s="288"/>
      <c r="H167" s="288"/>
      <c r="I167" s="288"/>
      <c r="J167" s="288"/>
      <c r="K167" s="288"/>
      <c r="L167" s="288"/>
      <c r="M167" s="288"/>
      <c r="N167" s="288"/>
      <c r="O167" s="288"/>
      <c r="P167" s="288"/>
      <c r="Q167" s="288"/>
      <c r="R167" s="288"/>
      <c r="S167" s="288"/>
      <c r="T167" s="288"/>
      <c r="U167" s="288"/>
      <c r="V167" s="338">
        <v>-53</v>
      </c>
      <c r="W167" s="291"/>
      <c r="X167" s="5"/>
    </row>
    <row r="168" spans="1:256" ht="15.6" x14ac:dyDescent="0.3">
      <c r="A168" s="287"/>
      <c r="B168" s="288" t="s">
        <v>54</v>
      </c>
      <c r="C168" s="288"/>
      <c r="D168" s="288"/>
      <c r="E168" s="288"/>
      <c r="F168" s="288"/>
      <c r="G168" s="288"/>
      <c r="H168" s="288"/>
      <c r="I168" s="288"/>
      <c r="J168" s="288"/>
      <c r="K168" s="288"/>
      <c r="L168" s="288"/>
      <c r="M168" s="288"/>
      <c r="N168" s="288"/>
      <c r="O168" s="288"/>
      <c r="P168" s="288"/>
      <c r="Q168" s="288"/>
      <c r="R168" s="288"/>
      <c r="S168" s="288"/>
      <c r="T168" s="288"/>
      <c r="U168" s="288"/>
      <c r="V168" s="338">
        <f>V167+V166</f>
        <v>-53</v>
      </c>
      <c r="W168" s="291"/>
      <c r="X168" s="5"/>
    </row>
    <row r="169" spans="1:256" ht="15.6" x14ac:dyDescent="0.3">
      <c r="A169" s="287"/>
      <c r="B169" s="288" t="s">
        <v>315</v>
      </c>
      <c r="C169" s="288"/>
      <c r="D169" s="288"/>
      <c r="E169" s="288"/>
      <c r="F169" s="288"/>
      <c r="G169" s="288"/>
      <c r="H169" s="288"/>
      <c r="I169" s="288"/>
      <c r="J169" s="288"/>
      <c r="K169" s="288"/>
      <c r="L169" s="288"/>
      <c r="M169" s="288"/>
      <c r="N169" s="288"/>
      <c r="O169" s="288"/>
      <c r="P169" s="288"/>
      <c r="Q169" s="288"/>
      <c r="R169" s="288"/>
      <c r="S169" s="288"/>
      <c r="T169" s="288"/>
      <c r="U169" s="288"/>
      <c r="V169" s="338">
        <f>V115</f>
        <v>53</v>
      </c>
      <c r="W169" s="291"/>
      <c r="X169" s="5"/>
    </row>
    <row r="170" spans="1:256" ht="15.6" x14ac:dyDescent="0.3">
      <c r="A170" s="287"/>
      <c r="B170" s="288" t="s">
        <v>55</v>
      </c>
      <c r="C170" s="288"/>
      <c r="D170" s="288"/>
      <c r="E170" s="288"/>
      <c r="F170" s="288"/>
      <c r="G170" s="288"/>
      <c r="H170" s="288"/>
      <c r="I170" s="288"/>
      <c r="J170" s="288"/>
      <c r="K170" s="288"/>
      <c r="L170" s="288"/>
      <c r="M170" s="288"/>
      <c r="N170" s="288"/>
      <c r="O170" s="288"/>
      <c r="P170" s="288"/>
      <c r="Q170" s="288"/>
      <c r="R170" s="288"/>
      <c r="S170" s="288"/>
      <c r="T170" s="288"/>
      <c r="U170" s="288"/>
      <c r="V170" s="338">
        <f>V168+V169</f>
        <v>0</v>
      </c>
      <c r="W170" s="291"/>
      <c r="X170" s="5"/>
    </row>
    <row r="171" spans="1:256" ht="15.6" x14ac:dyDescent="0.3">
      <c r="A171" s="287"/>
      <c r="B171" s="288" t="s">
        <v>283</v>
      </c>
      <c r="C171" s="288"/>
      <c r="D171" s="288"/>
      <c r="E171" s="288"/>
      <c r="F171" s="288"/>
      <c r="G171" s="288"/>
      <c r="H171" s="288"/>
      <c r="I171" s="288"/>
      <c r="J171" s="288"/>
      <c r="K171" s="288"/>
      <c r="L171" s="288"/>
      <c r="M171" s="288"/>
      <c r="N171" s="288"/>
      <c r="O171" s="288"/>
      <c r="P171" s="288"/>
      <c r="Q171" s="288"/>
      <c r="R171" s="288"/>
      <c r="S171" s="288"/>
      <c r="T171" s="288"/>
      <c r="U171" s="288"/>
      <c r="V171" s="338">
        <f>-V100</f>
        <v>153</v>
      </c>
      <c r="W171" s="291"/>
      <c r="X171" s="5"/>
    </row>
    <row r="172" spans="1:256" ht="16.2" thickBot="1" x14ac:dyDescent="0.35">
      <c r="A172" s="183"/>
      <c r="B172" s="284"/>
      <c r="C172" s="284"/>
      <c r="D172" s="284"/>
      <c r="E172" s="284"/>
      <c r="F172" s="284"/>
      <c r="G172" s="284"/>
      <c r="H172" s="284"/>
      <c r="I172" s="284"/>
      <c r="J172" s="284"/>
      <c r="K172" s="284"/>
      <c r="L172" s="284"/>
      <c r="M172" s="284"/>
      <c r="N172" s="284"/>
      <c r="O172" s="284"/>
      <c r="P172" s="284"/>
      <c r="Q172" s="284"/>
      <c r="R172" s="284"/>
      <c r="S172" s="284"/>
      <c r="T172" s="284"/>
      <c r="U172" s="284"/>
      <c r="V172" s="349"/>
      <c r="W172" s="284"/>
      <c r="X172" s="5"/>
    </row>
    <row r="173" spans="1:256" ht="15.6" x14ac:dyDescent="0.3">
      <c r="A173" s="180"/>
      <c r="B173" s="247"/>
      <c r="C173" s="247"/>
      <c r="D173" s="247"/>
      <c r="E173" s="247"/>
      <c r="F173" s="247"/>
      <c r="G173" s="247"/>
      <c r="H173" s="247"/>
      <c r="I173" s="247"/>
      <c r="J173" s="247"/>
      <c r="K173" s="247"/>
      <c r="L173" s="247"/>
      <c r="M173" s="247"/>
      <c r="N173" s="247"/>
      <c r="O173" s="247"/>
      <c r="P173" s="247"/>
      <c r="Q173" s="247"/>
      <c r="R173" s="247"/>
      <c r="S173" s="247"/>
      <c r="T173" s="247"/>
      <c r="U173" s="247"/>
      <c r="V173" s="248"/>
      <c r="W173" s="247"/>
      <c r="X173" s="5"/>
    </row>
    <row r="174" spans="1:256" s="161" customFormat="1" ht="15.6" x14ac:dyDescent="0.3">
      <c r="A174" s="183"/>
      <c r="B174" s="208" t="s">
        <v>269</v>
      </c>
      <c r="C174" s="198"/>
      <c r="D174" s="198"/>
      <c r="E174" s="198"/>
      <c r="F174" s="198"/>
      <c r="G174" s="198"/>
      <c r="H174" s="198"/>
      <c r="I174" s="198"/>
      <c r="J174" s="198"/>
      <c r="K174" s="198"/>
      <c r="L174" s="198"/>
      <c r="M174" s="198"/>
      <c r="N174" s="198"/>
      <c r="O174" s="198"/>
      <c r="P174" s="198"/>
      <c r="Q174" s="198"/>
      <c r="R174" s="198"/>
      <c r="S174" s="198"/>
      <c r="T174" s="198"/>
      <c r="U174" s="198"/>
      <c r="V174" s="210"/>
      <c r="W174" s="198"/>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5.6" x14ac:dyDescent="0.3">
      <c r="A175" s="287"/>
      <c r="B175" s="288" t="s">
        <v>270</v>
      </c>
      <c r="C175" s="288"/>
      <c r="D175" s="288"/>
      <c r="E175" s="288"/>
      <c r="F175" s="288"/>
      <c r="G175" s="288"/>
      <c r="H175" s="288"/>
      <c r="I175" s="288"/>
      <c r="J175" s="288"/>
      <c r="K175" s="288"/>
      <c r="L175" s="288"/>
      <c r="M175" s="288"/>
      <c r="N175" s="288"/>
      <c r="O175" s="288"/>
      <c r="P175" s="288"/>
      <c r="Q175" s="288"/>
      <c r="R175" s="288"/>
      <c r="S175" s="288"/>
      <c r="T175" s="288"/>
      <c r="U175" s="288"/>
      <c r="V175" s="338">
        <f>+'Aug 08'!V177</f>
        <v>0</v>
      </c>
      <c r="W175" s="291"/>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3" customFormat="1" ht="15.6" x14ac:dyDescent="0.3">
      <c r="A176" s="287"/>
      <c r="B176" s="288" t="s">
        <v>273</v>
      </c>
      <c r="C176" s="288"/>
      <c r="D176" s="288"/>
      <c r="E176" s="288"/>
      <c r="F176" s="288"/>
      <c r="G176" s="288"/>
      <c r="H176" s="288"/>
      <c r="I176" s="288"/>
      <c r="J176" s="288"/>
      <c r="K176" s="288"/>
      <c r="L176" s="288"/>
      <c r="M176" s="288"/>
      <c r="N176" s="288"/>
      <c r="O176" s="288"/>
      <c r="P176" s="288"/>
      <c r="Q176" s="288"/>
      <c r="R176" s="288"/>
      <c r="S176" s="288"/>
      <c r="T176" s="288"/>
      <c r="U176" s="288"/>
      <c r="V176" s="338">
        <f>+V94</f>
        <v>0</v>
      </c>
      <c r="W176" s="291"/>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s="163" customFormat="1" ht="15.6" x14ac:dyDescent="0.3">
      <c r="A177" s="287"/>
      <c r="B177" s="288" t="s">
        <v>271</v>
      </c>
      <c r="C177" s="288"/>
      <c r="D177" s="288"/>
      <c r="E177" s="288"/>
      <c r="F177" s="288"/>
      <c r="G177" s="288"/>
      <c r="H177" s="288"/>
      <c r="I177" s="288"/>
      <c r="J177" s="288"/>
      <c r="K177" s="288"/>
      <c r="L177" s="288"/>
      <c r="M177" s="288"/>
      <c r="N177" s="288"/>
      <c r="O177" s="288"/>
      <c r="P177" s="288"/>
      <c r="Q177" s="288"/>
      <c r="R177" s="288"/>
      <c r="S177" s="288"/>
      <c r="T177" s="288"/>
      <c r="U177" s="288"/>
      <c r="V177" s="338">
        <f>+V175-V176</f>
        <v>0</v>
      </c>
      <c r="W177" s="291"/>
      <c r="X177" s="5"/>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s="166" customFormat="1" ht="16.2" thickBot="1" x14ac:dyDescent="0.35">
      <c r="A178" s="199"/>
      <c r="B178" s="198"/>
      <c r="C178" s="198"/>
      <c r="D178" s="198"/>
      <c r="E178" s="198"/>
      <c r="F178" s="198"/>
      <c r="G178" s="198"/>
      <c r="H178" s="198"/>
      <c r="I178" s="198"/>
      <c r="J178" s="198"/>
      <c r="K178" s="198"/>
      <c r="L178" s="198"/>
      <c r="M178" s="198"/>
      <c r="N178" s="198"/>
      <c r="O178" s="198"/>
      <c r="P178" s="198"/>
      <c r="Q178" s="198"/>
      <c r="R178" s="198"/>
      <c r="S178" s="198"/>
      <c r="T178" s="198"/>
      <c r="U178" s="198"/>
      <c r="V178" s="347"/>
      <c r="W178" s="198"/>
      <c r="X178" s="5"/>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s="167" customFormat="1" ht="15.6" x14ac:dyDescent="0.3">
      <c r="A179" s="180"/>
      <c r="B179" s="181"/>
      <c r="C179" s="181"/>
      <c r="D179" s="181"/>
      <c r="E179" s="181"/>
      <c r="F179" s="181"/>
      <c r="G179" s="181"/>
      <c r="H179" s="181"/>
      <c r="I179" s="181"/>
      <c r="J179" s="181"/>
      <c r="K179" s="181"/>
      <c r="L179" s="181"/>
      <c r="M179" s="181"/>
      <c r="N179" s="181"/>
      <c r="O179" s="181"/>
      <c r="P179" s="181"/>
      <c r="Q179" s="181"/>
      <c r="R179" s="181"/>
      <c r="S179" s="181"/>
      <c r="T179" s="181"/>
      <c r="U179" s="181"/>
      <c r="V179" s="200"/>
      <c r="W179" s="181"/>
      <c r="X179" s="5"/>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ht="15.6" x14ac:dyDescent="0.3">
      <c r="A180" s="183"/>
      <c r="B180" s="208" t="s">
        <v>56</v>
      </c>
      <c r="C180" s="185"/>
      <c r="D180" s="185"/>
      <c r="E180" s="185"/>
      <c r="F180" s="185"/>
      <c r="G180" s="185"/>
      <c r="H180" s="185"/>
      <c r="I180" s="185"/>
      <c r="J180" s="185"/>
      <c r="K180" s="185"/>
      <c r="L180" s="185"/>
      <c r="M180" s="185"/>
      <c r="N180" s="185"/>
      <c r="O180" s="185"/>
      <c r="P180" s="185"/>
      <c r="Q180" s="185"/>
      <c r="R180" s="185"/>
      <c r="S180" s="185"/>
      <c r="T180" s="185"/>
      <c r="U180" s="185"/>
      <c r="V180" s="201"/>
      <c r="W180" s="185"/>
      <c r="X180" s="5"/>
    </row>
    <row r="181" spans="1:256" ht="15.6" x14ac:dyDescent="0.3">
      <c r="A181" s="183"/>
      <c r="B181" s="195"/>
      <c r="C181" s="185"/>
      <c r="D181" s="185"/>
      <c r="E181" s="185"/>
      <c r="F181" s="185"/>
      <c r="G181" s="185"/>
      <c r="H181" s="185"/>
      <c r="I181" s="185"/>
      <c r="J181" s="185"/>
      <c r="K181" s="185"/>
      <c r="L181" s="185"/>
      <c r="M181" s="185"/>
      <c r="N181" s="185"/>
      <c r="O181" s="185"/>
      <c r="P181" s="185"/>
      <c r="Q181" s="185"/>
      <c r="R181" s="185"/>
      <c r="S181" s="185"/>
      <c r="T181" s="185"/>
      <c r="U181" s="185"/>
      <c r="V181" s="201"/>
      <c r="W181" s="185"/>
      <c r="X181" s="5"/>
    </row>
    <row r="182" spans="1:256" ht="15.6" x14ac:dyDescent="0.3">
      <c r="A182" s="287"/>
      <c r="B182" s="288" t="s">
        <v>57</v>
      </c>
      <c r="C182" s="288"/>
      <c r="D182" s="288"/>
      <c r="E182" s="288"/>
      <c r="F182" s="288"/>
      <c r="G182" s="288"/>
      <c r="H182" s="288"/>
      <c r="I182" s="288"/>
      <c r="J182" s="288"/>
      <c r="K182" s="288"/>
      <c r="L182" s="288"/>
      <c r="M182" s="288"/>
      <c r="N182" s="288"/>
      <c r="O182" s="288"/>
      <c r="P182" s="288"/>
      <c r="Q182" s="288"/>
      <c r="R182" s="288"/>
      <c r="S182" s="288"/>
      <c r="T182" s="288"/>
      <c r="U182" s="288"/>
      <c r="V182" s="338">
        <f>V71</f>
        <v>1121649</v>
      </c>
      <c r="W182" s="291"/>
      <c r="X182" s="5"/>
    </row>
    <row r="183" spans="1:256" ht="15.6" x14ac:dyDescent="0.3">
      <c r="A183" s="287"/>
      <c r="B183" s="288" t="s">
        <v>58</v>
      </c>
      <c r="C183" s="288"/>
      <c r="D183" s="288"/>
      <c r="E183" s="288"/>
      <c r="F183" s="288"/>
      <c r="G183" s="288"/>
      <c r="H183" s="288"/>
      <c r="I183" s="288"/>
      <c r="J183" s="288"/>
      <c r="K183" s="288"/>
      <c r="L183" s="288"/>
      <c r="M183" s="288"/>
      <c r="N183" s="288"/>
      <c r="O183" s="288"/>
      <c r="P183" s="288"/>
      <c r="Q183" s="288"/>
      <c r="R183" s="288"/>
      <c r="S183" s="288"/>
      <c r="T183" s="288"/>
      <c r="U183" s="288"/>
      <c r="V183" s="338">
        <f>V84</f>
        <v>1121649</v>
      </c>
      <c r="W183" s="291"/>
      <c r="X183" s="5"/>
    </row>
    <row r="184" spans="1:256" ht="16.2" thickBot="1" x14ac:dyDescent="0.35">
      <c r="A184" s="183"/>
      <c r="B184" s="198"/>
      <c r="C184" s="198"/>
      <c r="D184" s="198"/>
      <c r="E184" s="198"/>
      <c r="F184" s="198"/>
      <c r="G184" s="198"/>
      <c r="H184" s="198"/>
      <c r="I184" s="198"/>
      <c r="J184" s="198"/>
      <c r="K184" s="198"/>
      <c r="L184" s="198"/>
      <c r="M184" s="198"/>
      <c r="N184" s="198"/>
      <c r="O184" s="198"/>
      <c r="P184" s="198"/>
      <c r="Q184" s="198"/>
      <c r="R184" s="198"/>
      <c r="S184" s="198"/>
      <c r="T184" s="198"/>
      <c r="U184" s="198"/>
      <c r="V184" s="347"/>
      <c r="W184" s="198"/>
      <c r="X184" s="5"/>
    </row>
    <row r="185" spans="1:256" ht="15.6" x14ac:dyDescent="0.3">
      <c r="A185" s="180"/>
      <c r="B185" s="181"/>
      <c r="C185" s="181"/>
      <c r="D185" s="181"/>
      <c r="E185" s="181"/>
      <c r="F185" s="181"/>
      <c r="G185" s="181"/>
      <c r="H185" s="181"/>
      <c r="I185" s="181"/>
      <c r="J185" s="181"/>
      <c r="K185" s="181"/>
      <c r="L185" s="181"/>
      <c r="M185" s="181"/>
      <c r="N185" s="181"/>
      <c r="O185" s="181"/>
      <c r="P185" s="181"/>
      <c r="Q185" s="181"/>
      <c r="R185" s="181"/>
      <c r="S185" s="181"/>
      <c r="T185" s="181"/>
      <c r="U185" s="181"/>
      <c r="V185" s="200"/>
      <c r="W185" s="181"/>
      <c r="X185" s="5"/>
    </row>
    <row r="186" spans="1:256" ht="15.6" x14ac:dyDescent="0.3">
      <c r="A186" s="183"/>
      <c r="B186" s="208" t="s">
        <v>59</v>
      </c>
      <c r="C186" s="205"/>
      <c r="D186" s="205"/>
      <c r="E186" s="205"/>
      <c r="F186" s="205"/>
      <c r="G186" s="205"/>
      <c r="H186" s="211"/>
      <c r="I186" s="211"/>
      <c r="J186" s="211"/>
      <c r="K186" s="211"/>
      <c r="L186" s="211"/>
      <c r="M186" s="211"/>
      <c r="N186" s="211"/>
      <c r="O186" s="211"/>
      <c r="P186" s="211"/>
      <c r="Q186" s="211"/>
      <c r="R186" s="211"/>
      <c r="S186" s="211" t="s">
        <v>101</v>
      </c>
      <c r="T186" s="211" t="s">
        <v>176</v>
      </c>
      <c r="U186" s="187"/>
      <c r="V186" s="212" t="s">
        <v>114</v>
      </c>
      <c r="W186" s="213"/>
      <c r="X186" s="5"/>
    </row>
    <row r="187" spans="1:256" ht="15.6" x14ac:dyDescent="0.3">
      <c r="A187" s="287"/>
      <c r="B187" s="288" t="s">
        <v>60</v>
      </c>
      <c r="C187" s="288"/>
      <c r="D187" s="288"/>
      <c r="E187" s="288"/>
      <c r="F187" s="288"/>
      <c r="G187" s="288"/>
      <c r="H187" s="288"/>
      <c r="I187" s="288"/>
      <c r="J187" s="288"/>
      <c r="K187" s="288"/>
      <c r="L187" s="288"/>
      <c r="M187" s="288"/>
      <c r="N187" s="288"/>
      <c r="O187" s="288"/>
      <c r="P187" s="288"/>
      <c r="Q187" s="288"/>
      <c r="R187" s="288"/>
      <c r="S187" s="338">
        <f>+V34*0.16</f>
        <v>240044</v>
      </c>
      <c r="T187" s="325"/>
      <c r="U187" s="288"/>
      <c r="V187" s="338"/>
      <c r="W187" s="291"/>
      <c r="X187" s="5"/>
    </row>
    <row r="188" spans="1:256" ht="15.6" x14ac:dyDescent="0.3">
      <c r="A188" s="287"/>
      <c r="B188" s="288" t="s">
        <v>61</v>
      </c>
      <c r="C188" s="288"/>
      <c r="D188" s="288"/>
      <c r="E188" s="288"/>
      <c r="F188" s="288"/>
      <c r="G188" s="288"/>
      <c r="H188" s="288"/>
      <c r="I188" s="288"/>
      <c r="J188" s="288"/>
      <c r="K188" s="288"/>
      <c r="L188" s="288"/>
      <c r="M188" s="288"/>
      <c r="N188" s="288"/>
      <c r="O188" s="288"/>
      <c r="P188" s="288"/>
      <c r="Q188" s="288"/>
      <c r="R188" s="288"/>
      <c r="S188" s="338">
        <f>+'Feb 12'!S190</f>
        <v>24174</v>
      </c>
      <c r="T188" s="338">
        <f>+'Feb 12'!T190</f>
        <v>6013</v>
      </c>
      <c r="U188" s="288"/>
      <c r="V188" s="338">
        <f>S188+T188</f>
        <v>30187</v>
      </c>
      <c r="W188" s="291"/>
      <c r="X188" s="5"/>
    </row>
    <row r="189" spans="1:256" ht="15.6" x14ac:dyDescent="0.3">
      <c r="A189" s="287"/>
      <c r="B189" s="288" t="s">
        <v>62</v>
      </c>
      <c r="C189" s="288"/>
      <c r="D189" s="288"/>
      <c r="E189" s="288"/>
      <c r="F189" s="288"/>
      <c r="G189" s="288"/>
      <c r="H189" s="288"/>
      <c r="I189" s="288"/>
      <c r="J189" s="288"/>
      <c r="K189" s="288"/>
      <c r="L189" s="288"/>
      <c r="M189" s="288"/>
      <c r="N189" s="288"/>
      <c r="O189" s="288"/>
      <c r="P189" s="288"/>
      <c r="Q189" s="288"/>
      <c r="R189" s="288"/>
      <c r="S189" s="337">
        <v>2</v>
      </c>
      <c r="T189" s="337">
        <v>0</v>
      </c>
      <c r="U189" s="288"/>
      <c r="V189" s="338">
        <f>S189+T189</f>
        <v>2</v>
      </c>
      <c r="W189" s="291"/>
      <c r="X189" s="5"/>
    </row>
    <row r="190" spans="1:256" ht="15.6" x14ac:dyDescent="0.3">
      <c r="A190" s="287"/>
      <c r="B190" s="288" t="s">
        <v>63</v>
      </c>
      <c r="C190" s="288"/>
      <c r="D190" s="288"/>
      <c r="E190" s="288"/>
      <c r="F190" s="288"/>
      <c r="G190" s="288"/>
      <c r="H190" s="288"/>
      <c r="I190" s="288"/>
      <c r="J190" s="288"/>
      <c r="K190" s="288"/>
      <c r="L190" s="288"/>
      <c r="M190" s="288"/>
      <c r="N190" s="288"/>
      <c r="O190" s="288"/>
      <c r="P190" s="288"/>
      <c r="Q190" s="288"/>
      <c r="R190" s="288"/>
      <c r="S190" s="338">
        <f>S188+S189</f>
        <v>24176</v>
      </c>
      <c r="T190" s="338">
        <f>T189+T188</f>
        <v>6013</v>
      </c>
      <c r="U190" s="288"/>
      <c r="V190" s="338">
        <f>S190+T190</f>
        <v>30189</v>
      </c>
      <c r="W190" s="291"/>
      <c r="X190" s="5"/>
    </row>
    <row r="191" spans="1:256" ht="15.6" x14ac:dyDescent="0.3">
      <c r="A191" s="287"/>
      <c r="B191" s="288" t="s">
        <v>64</v>
      </c>
      <c r="C191" s="288"/>
      <c r="D191" s="288"/>
      <c r="E191" s="288"/>
      <c r="F191" s="288"/>
      <c r="G191" s="288"/>
      <c r="H191" s="288"/>
      <c r="I191" s="288"/>
      <c r="J191" s="288"/>
      <c r="K191" s="288"/>
      <c r="L191" s="288"/>
      <c r="M191" s="288"/>
      <c r="N191" s="288"/>
      <c r="O191" s="288"/>
      <c r="P191" s="288"/>
      <c r="Q191" s="288"/>
      <c r="R191" s="288"/>
      <c r="S191" s="338">
        <f>S187-S190-T190</f>
        <v>209855</v>
      </c>
      <c r="T191" s="325"/>
      <c r="U191" s="288"/>
      <c r="V191" s="338"/>
      <c r="W191" s="291"/>
      <c r="X191" s="5"/>
    </row>
    <row r="192" spans="1:256" ht="16.2" thickBot="1" x14ac:dyDescent="0.35">
      <c r="A192" s="183"/>
      <c r="B192" s="198"/>
      <c r="C192" s="198"/>
      <c r="D192" s="198"/>
      <c r="E192" s="198"/>
      <c r="F192" s="198"/>
      <c r="G192" s="198"/>
      <c r="H192" s="198"/>
      <c r="I192" s="198"/>
      <c r="J192" s="198"/>
      <c r="K192" s="198"/>
      <c r="L192" s="198"/>
      <c r="M192" s="198"/>
      <c r="N192" s="198"/>
      <c r="O192" s="198"/>
      <c r="P192" s="198"/>
      <c r="Q192" s="198"/>
      <c r="R192" s="198"/>
      <c r="S192" s="198"/>
      <c r="T192" s="198"/>
      <c r="U192" s="198"/>
      <c r="V192" s="347"/>
      <c r="W192" s="198"/>
      <c r="X192" s="5"/>
    </row>
    <row r="193" spans="1:24" ht="15.6" x14ac:dyDescent="0.3">
      <c r="A193" s="180"/>
      <c r="B193" s="181"/>
      <c r="C193" s="181"/>
      <c r="D193" s="181"/>
      <c r="E193" s="181"/>
      <c r="F193" s="181"/>
      <c r="G193" s="181"/>
      <c r="H193" s="181"/>
      <c r="I193" s="181"/>
      <c r="J193" s="181"/>
      <c r="K193" s="181"/>
      <c r="L193" s="181"/>
      <c r="M193" s="181"/>
      <c r="N193" s="181"/>
      <c r="O193" s="181"/>
      <c r="P193" s="181"/>
      <c r="Q193" s="181"/>
      <c r="R193" s="181"/>
      <c r="S193" s="181"/>
      <c r="T193" s="181"/>
      <c r="U193" s="181"/>
      <c r="V193" s="200"/>
      <c r="W193" s="181"/>
      <c r="X193" s="5"/>
    </row>
    <row r="194" spans="1:24" ht="15.6" x14ac:dyDescent="0.3">
      <c r="A194" s="183"/>
      <c r="B194" s="208" t="s">
        <v>65</v>
      </c>
      <c r="C194" s="185"/>
      <c r="D194" s="185"/>
      <c r="E194" s="185"/>
      <c r="F194" s="185"/>
      <c r="G194" s="185"/>
      <c r="H194" s="185"/>
      <c r="I194" s="185"/>
      <c r="J194" s="185"/>
      <c r="K194" s="185"/>
      <c r="L194" s="185"/>
      <c r="M194" s="185"/>
      <c r="N194" s="185"/>
      <c r="O194" s="185"/>
      <c r="P194" s="185"/>
      <c r="Q194" s="185"/>
      <c r="R194" s="185"/>
      <c r="S194" s="185"/>
      <c r="T194" s="185"/>
      <c r="U194" s="185"/>
      <c r="V194" s="214"/>
      <c r="W194" s="185"/>
      <c r="X194" s="5"/>
    </row>
    <row r="195" spans="1:24" ht="15.6" x14ac:dyDescent="0.3">
      <c r="A195" s="287"/>
      <c r="B195" s="288" t="s">
        <v>66</v>
      </c>
      <c r="C195" s="288"/>
      <c r="D195" s="288"/>
      <c r="E195" s="288"/>
      <c r="F195" s="288"/>
      <c r="G195" s="288"/>
      <c r="H195" s="288"/>
      <c r="I195" s="288"/>
      <c r="J195" s="288"/>
      <c r="K195" s="288"/>
      <c r="L195" s="288"/>
      <c r="M195" s="288"/>
      <c r="N195" s="288"/>
      <c r="O195" s="288"/>
      <c r="P195" s="288"/>
      <c r="Q195" s="288"/>
      <c r="R195" s="288"/>
      <c r="S195" s="288"/>
      <c r="T195" s="288"/>
      <c r="U195" s="288"/>
      <c r="V195" s="348">
        <f>(V101+V103+V104+V105+V106)/-(V107+V108)</f>
        <v>2.7686746987951807</v>
      </c>
      <c r="W195" s="291" t="s">
        <v>115</v>
      </c>
      <c r="X195" s="5"/>
    </row>
    <row r="196" spans="1:24" ht="15.6" x14ac:dyDescent="0.3">
      <c r="A196" s="287"/>
      <c r="B196" s="288" t="s">
        <v>67</v>
      </c>
      <c r="C196" s="288"/>
      <c r="D196" s="288"/>
      <c r="E196" s="288"/>
      <c r="F196" s="288"/>
      <c r="G196" s="288"/>
      <c r="H196" s="288"/>
      <c r="I196" s="288"/>
      <c r="J196" s="288"/>
      <c r="K196" s="288"/>
      <c r="L196" s="288"/>
      <c r="M196" s="288"/>
      <c r="N196" s="288"/>
      <c r="O196" s="288"/>
      <c r="P196" s="288"/>
      <c r="Q196" s="288"/>
      <c r="R196" s="288"/>
      <c r="S196" s="288"/>
      <c r="T196" s="288"/>
      <c r="U196" s="288"/>
      <c r="V196" s="350">
        <v>1.7</v>
      </c>
      <c r="W196" s="291" t="s">
        <v>115</v>
      </c>
      <c r="X196" s="5"/>
    </row>
    <row r="197" spans="1:24" ht="15.6" x14ac:dyDescent="0.3">
      <c r="A197" s="287"/>
      <c r="B197" s="288" t="s">
        <v>68</v>
      </c>
      <c r="C197" s="288"/>
      <c r="D197" s="288"/>
      <c r="E197" s="288"/>
      <c r="F197" s="288"/>
      <c r="G197" s="288"/>
      <c r="H197" s="288"/>
      <c r="I197" s="288"/>
      <c r="J197" s="288"/>
      <c r="K197" s="288"/>
      <c r="L197" s="288"/>
      <c r="M197" s="288"/>
      <c r="N197" s="288"/>
      <c r="O197" s="288"/>
      <c r="P197" s="288"/>
      <c r="Q197" s="288"/>
      <c r="R197" s="288"/>
      <c r="S197" s="288"/>
      <c r="T197" s="288"/>
      <c r="U197" s="288"/>
      <c r="V197" s="348">
        <f>(V101+V103+V104+V105+V106+V107+V108)/-(V110+V111)</f>
        <v>12.655172413793103</v>
      </c>
      <c r="W197" s="291" t="s">
        <v>115</v>
      </c>
      <c r="X197" s="5"/>
    </row>
    <row r="198" spans="1:24" ht="15.6" x14ac:dyDescent="0.3">
      <c r="A198" s="287"/>
      <c r="B198" s="288" t="s">
        <v>69</v>
      </c>
      <c r="C198" s="288"/>
      <c r="D198" s="288"/>
      <c r="E198" s="288"/>
      <c r="F198" s="288"/>
      <c r="G198" s="288"/>
      <c r="H198" s="288"/>
      <c r="I198" s="288"/>
      <c r="J198" s="288"/>
      <c r="K198" s="288"/>
      <c r="L198" s="288"/>
      <c r="M198" s="288"/>
      <c r="N198" s="288"/>
      <c r="O198" s="288"/>
      <c r="P198" s="288"/>
      <c r="Q198" s="288"/>
      <c r="R198" s="288"/>
      <c r="S198" s="288"/>
      <c r="T198" s="288"/>
      <c r="U198" s="288"/>
      <c r="V198" s="350">
        <v>6.82</v>
      </c>
      <c r="W198" s="291" t="s">
        <v>115</v>
      </c>
      <c r="X198" s="5"/>
    </row>
    <row r="199" spans="1:24" ht="15.6" x14ac:dyDescent="0.3">
      <c r="A199" s="287"/>
      <c r="B199" s="288" t="s">
        <v>198</v>
      </c>
      <c r="C199" s="288"/>
      <c r="D199" s="288"/>
      <c r="E199" s="288"/>
      <c r="F199" s="288"/>
      <c r="G199" s="288"/>
      <c r="H199" s="288"/>
      <c r="I199" s="288"/>
      <c r="J199" s="288"/>
      <c r="K199" s="288"/>
      <c r="L199" s="288"/>
      <c r="M199" s="288"/>
      <c r="N199" s="288"/>
      <c r="O199" s="288"/>
      <c r="P199" s="288"/>
      <c r="Q199" s="288"/>
      <c r="R199" s="288"/>
      <c r="S199" s="288"/>
      <c r="T199" s="288"/>
      <c r="U199" s="288"/>
      <c r="V199" s="348">
        <f>(V101+V103+V104+V105+V106+V107+V108+V110+V111)/-(V112+V113)</f>
        <v>8.8448598130841116</v>
      </c>
      <c r="W199" s="291" t="s">
        <v>115</v>
      </c>
      <c r="X199" s="5"/>
    </row>
    <row r="200" spans="1:24" ht="15.6" x14ac:dyDescent="0.3">
      <c r="A200" s="287"/>
      <c r="B200" s="288" t="s">
        <v>199</v>
      </c>
      <c r="C200" s="288"/>
      <c r="D200" s="288"/>
      <c r="E200" s="288"/>
      <c r="F200" s="288"/>
      <c r="G200" s="288"/>
      <c r="H200" s="288"/>
      <c r="I200" s="288"/>
      <c r="J200" s="288"/>
      <c r="K200" s="288"/>
      <c r="L200" s="288"/>
      <c r="M200" s="288"/>
      <c r="N200" s="288"/>
      <c r="O200" s="288"/>
      <c r="P200" s="288"/>
      <c r="Q200" s="288"/>
      <c r="R200" s="288"/>
      <c r="S200" s="288"/>
      <c r="T200" s="288"/>
      <c r="U200" s="288"/>
      <c r="V200" s="350">
        <v>5.38</v>
      </c>
      <c r="W200" s="291" t="s">
        <v>115</v>
      </c>
      <c r="X200" s="5"/>
    </row>
    <row r="201" spans="1:24" ht="15.6" x14ac:dyDescent="0.3">
      <c r="A201" s="287"/>
      <c r="B201" s="314"/>
      <c r="C201" s="314"/>
      <c r="D201" s="314"/>
      <c r="E201" s="314"/>
      <c r="F201" s="314"/>
      <c r="G201" s="314"/>
      <c r="H201" s="314"/>
      <c r="I201" s="314"/>
      <c r="J201" s="314"/>
      <c r="K201" s="314"/>
      <c r="L201" s="314"/>
      <c r="M201" s="314"/>
      <c r="N201" s="314"/>
      <c r="O201" s="314"/>
      <c r="P201" s="314"/>
      <c r="Q201" s="314"/>
      <c r="R201" s="314"/>
      <c r="S201" s="314"/>
      <c r="T201" s="314"/>
      <c r="U201" s="314"/>
      <c r="V201" s="314"/>
      <c r="W201" s="318"/>
      <c r="X201" s="5"/>
    </row>
    <row r="202" spans="1:24" ht="15.6" x14ac:dyDescent="0.3">
      <c r="A202" s="183"/>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5"/>
    </row>
    <row r="203" spans="1:24" ht="15.6" x14ac:dyDescent="0.3">
      <c r="A203" s="183"/>
      <c r="B203" s="185"/>
      <c r="C203" s="185"/>
      <c r="D203" s="185"/>
      <c r="E203" s="185"/>
      <c r="F203" s="185"/>
      <c r="G203" s="185"/>
      <c r="H203" s="185"/>
      <c r="I203" s="185"/>
      <c r="J203" s="185"/>
      <c r="K203" s="185"/>
      <c r="L203" s="185"/>
      <c r="M203" s="185"/>
      <c r="N203" s="185"/>
      <c r="O203" s="185"/>
      <c r="P203" s="185"/>
      <c r="Q203" s="185"/>
      <c r="R203" s="185"/>
      <c r="S203" s="185"/>
      <c r="T203" s="185"/>
      <c r="U203" s="185"/>
      <c r="V203" s="185"/>
      <c r="W203" s="185"/>
      <c r="X203" s="5"/>
    </row>
    <row r="204" spans="1:24" ht="18" thickBot="1" x14ac:dyDescent="0.35">
      <c r="A204" s="199"/>
      <c r="B204" s="237" t="str">
        <f>B138</f>
        <v>PM14 INVESTOR REPORT QUARTER ENDING MAY 2012</v>
      </c>
      <c r="C204" s="215"/>
      <c r="D204" s="215"/>
      <c r="E204" s="215"/>
      <c r="F204" s="215"/>
      <c r="G204" s="215"/>
      <c r="H204" s="215"/>
      <c r="I204" s="215"/>
      <c r="J204" s="215"/>
      <c r="K204" s="215"/>
      <c r="L204" s="215"/>
      <c r="M204" s="215"/>
      <c r="N204" s="215"/>
      <c r="O204" s="215"/>
      <c r="P204" s="215"/>
      <c r="Q204" s="215"/>
      <c r="R204" s="215"/>
      <c r="S204" s="215"/>
      <c r="T204" s="215"/>
      <c r="U204" s="215"/>
      <c r="V204" s="215"/>
      <c r="W204" s="216"/>
      <c r="X204" s="5"/>
    </row>
    <row r="205" spans="1:24" ht="15.6" x14ac:dyDescent="0.3">
      <c r="A205" s="273"/>
      <c r="B205" s="403" t="s">
        <v>70</v>
      </c>
      <c r="C205" s="404"/>
      <c r="D205" s="404"/>
      <c r="E205" s="404"/>
      <c r="F205" s="404"/>
      <c r="G205" s="405"/>
      <c r="H205" s="405"/>
      <c r="I205" s="405"/>
      <c r="J205" s="405"/>
      <c r="K205" s="405"/>
      <c r="L205" s="405"/>
      <c r="M205" s="405"/>
      <c r="N205" s="405"/>
      <c r="O205" s="405"/>
      <c r="P205" s="405"/>
      <c r="Q205" s="405"/>
      <c r="R205" s="405"/>
      <c r="S205" s="405"/>
      <c r="T205" s="405">
        <v>41060</v>
      </c>
      <c r="U205" s="274"/>
      <c r="V205" s="274"/>
      <c r="W205" s="274"/>
      <c r="X205" s="5"/>
    </row>
    <row r="206" spans="1:24" ht="15.6" x14ac:dyDescent="0.3">
      <c r="A206" s="217"/>
      <c r="B206" s="230"/>
      <c r="C206" s="249"/>
      <c r="D206" s="249"/>
      <c r="E206" s="249"/>
      <c r="F206" s="249"/>
      <c r="G206" s="229"/>
      <c r="H206" s="229"/>
      <c r="I206" s="229"/>
      <c r="J206" s="229"/>
      <c r="K206" s="229"/>
      <c r="L206" s="229"/>
      <c r="M206" s="229"/>
      <c r="N206" s="229"/>
      <c r="O206" s="229"/>
      <c r="P206" s="229"/>
      <c r="Q206" s="229"/>
      <c r="R206" s="229"/>
      <c r="S206" s="229"/>
      <c r="T206" s="229"/>
      <c r="U206" s="224"/>
      <c r="V206" s="224"/>
      <c r="W206" s="224"/>
      <c r="X206" s="5"/>
    </row>
    <row r="207" spans="1:24" ht="15.6" x14ac:dyDescent="0.3">
      <c r="A207" s="352"/>
      <c r="B207" s="288" t="s">
        <v>71</v>
      </c>
      <c r="C207" s="353"/>
      <c r="D207" s="353"/>
      <c r="E207" s="353"/>
      <c r="F207" s="353"/>
      <c r="G207" s="330"/>
      <c r="H207" s="330"/>
      <c r="I207" s="330"/>
      <c r="J207" s="330"/>
      <c r="K207" s="330"/>
      <c r="L207" s="330"/>
      <c r="M207" s="330"/>
      <c r="N207" s="330"/>
      <c r="O207" s="330"/>
      <c r="P207" s="330"/>
      <c r="Q207" s="330"/>
      <c r="R207" s="330"/>
      <c r="S207" s="330"/>
      <c r="T207" s="321">
        <v>5.2819999999999999E-2</v>
      </c>
      <c r="U207" s="288"/>
      <c r="V207" s="288"/>
      <c r="W207" s="291"/>
      <c r="X207" s="5"/>
    </row>
    <row r="208" spans="1:24" ht="15.6" x14ac:dyDescent="0.3">
      <c r="A208" s="352"/>
      <c r="B208" s="288" t="s">
        <v>151</v>
      </c>
      <c r="C208" s="353"/>
      <c r="D208" s="353"/>
      <c r="E208" s="353"/>
      <c r="F208" s="353"/>
      <c r="G208" s="330"/>
      <c r="H208" s="330"/>
      <c r="I208" s="330"/>
      <c r="J208" s="330"/>
      <c r="K208" s="330"/>
      <c r="L208" s="330"/>
      <c r="M208" s="330"/>
      <c r="N208" s="330"/>
      <c r="O208" s="330"/>
      <c r="P208" s="330"/>
      <c r="Q208" s="330"/>
      <c r="R208" s="330"/>
      <c r="S208" s="330"/>
      <c r="T208" s="321">
        <v>5.7799999999999997E-2</v>
      </c>
      <c r="U208" s="288"/>
      <c r="V208" s="288"/>
      <c r="W208" s="291"/>
      <c r="X208" s="5"/>
    </row>
    <row r="209" spans="1:24" ht="15.6" x14ac:dyDescent="0.3">
      <c r="A209" s="352"/>
      <c r="B209" s="288" t="s">
        <v>72</v>
      </c>
      <c r="C209" s="353"/>
      <c r="D209" s="353"/>
      <c r="E209" s="353"/>
      <c r="F209" s="353"/>
      <c r="G209" s="330"/>
      <c r="H209" s="330"/>
      <c r="I209" s="330"/>
      <c r="J209" s="330"/>
      <c r="K209" s="330"/>
      <c r="L209" s="330"/>
      <c r="M209" s="330"/>
      <c r="N209" s="330"/>
      <c r="O209" s="330"/>
      <c r="P209" s="330"/>
      <c r="Q209" s="330"/>
      <c r="R209" s="330"/>
      <c r="S209" s="330"/>
      <c r="T209" s="321">
        <f>T207-T208</f>
        <v>-4.9799999999999983E-3</v>
      </c>
      <c r="U209" s="288"/>
      <c r="V209" s="288"/>
      <c r="W209" s="291"/>
      <c r="X209" s="5"/>
    </row>
    <row r="210" spans="1:24" ht="15.6" x14ac:dyDescent="0.3">
      <c r="A210" s="352"/>
      <c r="B210" s="288" t="s">
        <v>73</v>
      </c>
      <c r="C210" s="353"/>
      <c r="D210" s="353"/>
      <c r="E210" s="353"/>
      <c r="F210" s="353"/>
      <c r="G210" s="330"/>
      <c r="H210" s="330"/>
      <c r="I210" s="330"/>
      <c r="J210" s="330"/>
      <c r="K210" s="330"/>
      <c r="L210" s="330"/>
      <c r="M210" s="330"/>
      <c r="N210" s="330"/>
      <c r="O210" s="330"/>
      <c r="P210" s="330"/>
      <c r="Q210" s="330"/>
      <c r="R210" s="330"/>
      <c r="S210" s="330"/>
      <c r="T210" s="321">
        <v>2.726E-2</v>
      </c>
      <c r="U210" s="288"/>
      <c r="V210" s="288"/>
      <c r="W210" s="291"/>
      <c r="X210" s="5"/>
    </row>
    <row r="211" spans="1:24" ht="15.6" x14ac:dyDescent="0.3">
      <c r="A211" s="352"/>
      <c r="B211" s="288" t="s">
        <v>219</v>
      </c>
      <c r="C211" s="353"/>
      <c r="D211" s="353"/>
      <c r="E211" s="353"/>
      <c r="F211" s="353"/>
      <c r="G211" s="330"/>
      <c r="H211" s="330"/>
      <c r="I211" s="330"/>
      <c r="J211" s="330"/>
      <c r="K211" s="330"/>
      <c r="L211" s="330"/>
      <c r="M211" s="330"/>
      <c r="N211" s="330"/>
      <c r="O211" s="330"/>
      <c r="P211" s="330"/>
      <c r="Q211" s="330"/>
      <c r="R211" s="330"/>
      <c r="S211" s="330"/>
      <c r="T211" s="321">
        <f>V43</f>
        <v>1.3530993913109197E-2</v>
      </c>
      <c r="U211" s="288"/>
      <c r="V211" s="288"/>
      <c r="W211" s="291"/>
      <c r="X211" s="5"/>
    </row>
    <row r="212" spans="1:24" ht="15.6" x14ac:dyDescent="0.3">
      <c r="A212" s="352"/>
      <c r="B212" s="288" t="s">
        <v>74</v>
      </c>
      <c r="C212" s="353"/>
      <c r="D212" s="353"/>
      <c r="E212" s="353"/>
      <c r="F212" s="353"/>
      <c r="G212" s="330"/>
      <c r="H212" s="330"/>
      <c r="I212" s="330"/>
      <c r="J212" s="330"/>
      <c r="K212" s="330"/>
      <c r="L212" s="330"/>
      <c r="M212" s="330"/>
      <c r="N212" s="330"/>
      <c r="O212" s="330"/>
      <c r="P212" s="330"/>
      <c r="Q212" s="330"/>
      <c r="R212" s="330"/>
      <c r="S212" s="330"/>
      <c r="T212" s="321">
        <f>T210-T211</f>
        <v>1.3729006086890802E-2</v>
      </c>
      <c r="U212" s="288"/>
      <c r="V212" s="288"/>
      <c r="W212" s="291"/>
      <c r="X212" s="5"/>
    </row>
    <row r="213" spans="1:24" ht="15.6" x14ac:dyDescent="0.3">
      <c r="A213" s="352"/>
      <c r="B213" s="288" t="s">
        <v>242</v>
      </c>
      <c r="C213" s="353"/>
      <c r="D213" s="353"/>
      <c r="E213" s="353"/>
      <c r="F213" s="353"/>
      <c r="G213" s="330"/>
      <c r="H213" s="330"/>
      <c r="I213" s="330"/>
      <c r="J213" s="330"/>
      <c r="K213" s="330"/>
      <c r="L213" s="330"/>
      <c r="M213" s="330"/>
      <c r="N213" s="330"/>
      <c r="O213" s="330"/>
      <c r="P213" s="330"/>
      <c r="Q213" s="330"/>
      <c r="R213" s="330"/>
      <c r="S213" s="330"/>
      <c r="T213" s="321">
        <f>V101/N71</f>
        <v>7.5353446502422518E-3</v>
      </c>
      <c r="U213" s="288"/>
      <c r="V213" s="288"/>
      <c r="W213" s="291"/>
      <c r="X213" s="5"/>
    </row>
    <row r="214" spans="1:24" ht="15.6" x14ac:dyDescent="0.3">
      <c r="A214" s="352"/>
      <c r="B214" s="288" t="s">
        <v>208</v>
      </c>
      <c r="C214" s="353"/>
      <c r="D214" s="353"/>
      <c r="E214" s="353"/>
      <c r="F214" s="353"/>
      <c r="G214" s="330"/>
      <c r="H214" s="330"/>
      <c r="I214" s="330"/>
      <c r="J214" s="330"/>
      <c r="K214" s="330"/>
      <c r="L214" s="330"/>
      <c r="M214" s="330"/>
      <c r="N214" s="330"/>
      <c r="O214" s="330"/>
      <c r="P214" s="330"/>
      <c r="Q214" s="330"/>
      <c r="R214" s="330"/>
      <c r="S214" s="330"/>
      <c r="T214" s="354">
        <v>51014</v>
      </c>
      <c r="U214" s="288"/>
      <c r="V214" s="288"/>
      <c r="W214" s="291"/>
      <c r="X214" s="5"/>
    </row>
    <row r="215" spans="1:24" ht="15.6" x14ac:dyDescent="0.3">
      <c r="A215" s="352"/>
      <c r="B215" s="288" t="s">
        <v>209</v>
      </c>
      <c r="C215" s="353"/>
      <c r="D215" s="353"/>
      <c r="E215" s="353"/>
      <c r="F215" s="353"/>
      <c r="G215" s="330"/>
      <c r="H215" s="330"/>
      <c r="I215" s="330"/>
      <c r="J215" s="330"/>
      <c r="K215" s="330"/>
      <c r="L215" s="330"/>
      <c r="M215" s="330"/>
      <c r="N215" s="330"/>
      <c r="O215" s="330"/>
      <c r="P215" s="330"/>
      <c r="Q215" s="330"/>
      <c r="R215" s="330"/>
      <c r="S215" s="330"/>
      <c r="T215" s="354">
        <v>51014</v>
      </c>
      <c r="U215" s="288"/>
      <c r="V215" s="288"/>
      <c r="W215" s="291"/>
      <c r="X215" s="5"/>
    </row>
    <row r="216" spans="1:24" ht="15.6" x14ac:dyDescent="0.3">
      <c r="A216" s="352"/>
      <c r="B216" s="288" t="s">
        <v>210</v>
      </c>
      <c r="C216" s="353"/>
      <c r="D216" s="353"/>
      <c r="E216" s="353"/>
      <c r="F216" s="353"/>
      <c r="G216" s="330"/>
      <c r="H216" s="330"/>
      <c r="I216" s="330"/>
      <c r="J216" s="330"/>
      <c r="K216" s="330"/>
      <c r="L216" s="330"/>
      <c r="M216" s="330"/>
      <c r="N216" s="330"/>
      <c r="O216" s="330"/>
      <c r="P216" s="330"/>
      <c r="Q216" s="330"/>
      <c r="R216" s="330"/>
      <c r="S216" s="330"/>
      <c r="T216" s="354">
        <v>51014</v>
      </c>
      <c r="U216" s="288"/>
      <c r="V216" s="288"/>
      <c r="W216" s="291"/>
      <c r="X216" s="5"/>
    </row>
    <row r="217" spans="1:24" ht="15.6" x14ac:dyDescent="0.3">
      <c r="A217" s="352"/>
      <c r="B217" s="288" t="s">
        <v>75</v>
      </c>
      <c r="C217" s="353"/>
      <c r="D217" s="353"/>
      <c r="E217" s="353"/>
      <c r="F217" s="353"/>
      <c r="G217" s="330"/>
      <c r="H217" s="330"/>
      <c r="I217" s="330"/>
      <c r="J217" s="330"/>
      <c r="K217" s="330"/>
      <c r="L217" s="330"/>
      <c r="M217" s="330"/>
      <c r="N217" s="330"/>
      <c r="O217" s="330"/>
      <c r="P217" s="330"/>
      <c r="Q217" s="330"/>
      <c r="R217" s="330"/>
      <c r="S217" s="330"/>
      <c r="T217" s="327">
        <v>20.66</v>
      </c>
      <c r="U217" s="288" t="s">
        <v>110</v>
      </c>
      <c r="V217" s="288"/>
      <c r="W217" s="291"/>
      <c r="X217" s="5"/>
    </row>
    <row r="218" spans="1:24" ht="15.6" x14ac:dyDescent="0.3">
      <c r="A218" s="352"/>
      <c r="B218" s="288" t="s">
        <v>76</v>
      </c>
      <c r="C218" s="353"/>
      <c r="D218" s="353"/>
      <c r="E218" s="353"/>
      <c r="F218" s="353"/>
      <c r="G218" s="330"/>
      <c r="H218" s="330"/>
      <c r="I218" s="330"/>
      <c r="J218" s="330"/>
      <c r="K218" s="330"/>
      <c r="L218" s="330"/>
      <c r="M218" s="330"/>
      <c r="N218" s="330"/>
      <c r="O218" s="330"/>
      <c r="P218" s="330"/>
      <c r="Q218" s="330"/>
      <c r="R218" s="330"/>
      <c r="S218" s="330"/>
      <c r="T218" s="327">
        <v>16.170000000000002</v>
      </c>
      <c r="U218" s="288" t="s">
        <v>110</v>
      </c>
      <c r="V218" s="288"/>
      <c r="W218" s="291"/>
      <c r="X218" s="5"/>
    </row>
    <row r="219" spans="1:24" ht="15.6" x14ac:dyDescent="0.3">
      <c r="A219" s="352"/>
      <c r="B219" s="288" t="s">
        <v>77</v>
      </c>
      <c r="C219" s="353"/>
      <c r="D219" s="353"/>
      <c r="E219" s="353"/>
      <c r="F219" s="353"/>
      <c r="G219" s="330"/>
      <c r="H219" s="330"/>
      <c r="I219" s="330"/>
      <c r="J219" s="330"/>
      <c r="K219" s="330"/>
      <c r="L219" s="330"/>
      <c r="M219" s="330"/>
      <c r="N219" s="330"/>
      <c r="O219" s="330"/>
      <c r="P219" s="330"/>
      <c r="Q219" s="330"/>
      <c r="R219" s="330"/>
      <c r="S219" s="330"/>
      <c r="T219" s="321">
        <f>+P68/N68</f>
        <v>5.4648539749874089E-3</v>
      </c>
      <c r="U219" s="288"/>
      <c r="V219" s="288"/>
      <c r="W219" s="291"/>
      <c r="X219" s="5"/>
    </row>
    <row r="220" spans="1:24" ht="15.6" x14ac:dyDescent="0.3">
      <c r="A220" s="352"/>
      <c r="B220" s="288" t="s">
        <v>78</v>
      </c>
      <c r="C220" s="353"/>
      <c r="D220" s="353"/>
      <c r="E220" s="353"/>
      <c r="F220" s="353"/>
      <c r="G220" s="330"/>
      <c r="H220" s="330"/>
      <c r="I220" s="330"/>
      <c r="J220" s="330"/>
      <c r="K220" s="330"/>
      <c r="L220" s="330"/>
      <c r="M220" s="330"/>
      <c r="N220" s="330"/>
      <c r="O220" s="330"/>
      <c r="P220" s="330"/>
      <c r="Q220" s="330"/>
      <c r="R220" s="330"/>
      <c r="S220" s="330"/>
      <c r="T220" s="321">
        <v>5.8400000000000001E-2</v>
      </c>
      <c r="U220" s="288"/>
      <c r="V220" s="288"/>
      <c r="W220" s="291"/>
      <c r="X220" s="5"/>
    </row>
    <row r="221" spans="1:24" ht="15.6" x14ac:dyDescent="0.3">
      <c r="A221" s="217"/>
      <c r="B221" s="284"/>
      <c r="C221" s="284"/>
      <c r="D221" s="284"/>
      <c r="E221" s="284"/>
      <c r="F221" s="284"/>
      <c r="G221" s="284"/>
      <c r="H221" s="284"/>
      <c r="I221" s="284"/>
      <c r="J221" s="284"/>
      <c r="K221" s="284"/>
      <c r="L221" s="284"/>
      <c r="M221" s="284"/>
      <c r="N221" s="284"/>
      <c r="O221" s="284"/>
      <c r="P221" s="284"/>
      <c r="Q221" s="284"/>
      <c r="R221" s="284"/>
      <c r="S221" s="284"/>
      <c r="T221" s="349"/>
      <c r="U221" s="284"/>
      <c r="V221" s="351"/>
      <c r="W221" s="284"/>
      <c r="X221" s="5"/>
    </row>
    <row r="222" spans="1:24" ht="15.6" x14ac:dyDescent="0.3">
      <c r="A222" s="278"/>
      <c r="B222" s="399" t="s">
        <v>79</v>
      </c>
      <c r="C222" s="400"/>
      <c r="D222" s="400"/>
      <c r="E222" s="400"/>
      <c r="F222" s="406"/>
      <c r="G222" s="400"/>
      <c r="H222" s="400"/>
      <c r="I222" s="400"/>
      <c r="J222" s="400"/>
      <c r="K222" s="400"/>
      <c r="L222" s="400"/>
      <c r="M222" s="400"/>
      <c r="N222" s="400"/>
      <c r="O222" s="400"/>
      <c r="P222" s="400"/>
      <c r="Q222" s="400"/>
      <c r="R222" s="400"/>
      <c r="S222" s="400" t="s">
        <v>102</v>
      </c>
      <c r="T222" s="406" t="s">
        <v>108</v>
      </c>
      <c r="U222" s="263"/>
      <c r="V222" s="263"/>
      <c r="W222" s="263"/>
      <c r="X222" s="5"/>
    </row>
    <row r="223" spans="1:24" ht="15.6" x14ac:dyDescent="0.3">
      <c r="A223" s="218"/>
      <c r="B223" s="231" t="s">
        <v>80</v>
      </c>
      <c r="C223" s="234"/>
      <c r="D223" s="234"/>
      <c r="E223" s="234"/>
      <c r="F223" s="231"/>
      <c r="G223" s="231"/>
      <c r="H223" s="233"/>
      <c r="I223" s="233"/>
      <c r="J223" s="233"/>
      <c r="K223" s="233"/>
      <c r="L223" s="233"/>
      <c r="M223" s="233"/>
      <c r="N223" s="233"/>
      <c r="O223" s="233"/>
      <c r="P223" s="233"/>
      <c r="Q223" s="233"/>
      <c r="R223" s="233"/>
      <c r="S223" s="233">
        <v>6</v>
      </c>
      <c r="T223" s="251">
        <v>1014</v>
      </c>
      <c r="U223" s="231"/>
      <c r="V223" s="250"/>
      <c r="W223" s="252"/>
      <c r="X223" s="5"/>
    </row>
    <row r="224" spans="1:24" ht="15.6" x14ac:dyDescent="0.3">
      <c r="A224" s="362"/>
      <c r="B224" s="288" t="s">
        <v>145</v>
      </c>
      <c r="C224" s="337"/>
      <c r="D224" s="337"/>
      <c r="E224" s="337"/>
      <c r="F224" s="288"/>
      <c r="G224" s="288"/>
      <c r="H224" s="296"/>
      <c r="I224" s="296"/>
      <c r="J224" s="296"/>
      <c r="K224" s="296"/>
      <c r="L224" s="296"/>
      <c r="M224" s="296"/>
      <c r="N224" s="296"/>
      <c r="O224" s="296"/>
      <c r="P224" s="296"/>
      <c r="Q224" s="296"/>
      <c r="R224" s="296"/>
      <c r="S224" s="363">
        <f>+R276</f>
        <v>189</v>
      </c>
      <c r="T224" s="364">
        <f>+T276</f>
        <v>26524</v>
      </c>
      <c r="U224" s="288"/>
      <c r="V224" s="365"/>
      <c r="W224" s="366"/>
      <c r="X224" s="5"/>
    </row>
    <row r="225" spans="1:24" ht="15.6" x14ac:dyDescent="0.3">
      <c r="A225" s="362"/>
      <c r="B225" s="288" t="s">
        <v>81</v>
      </c>
      <c r="C225" s="337"/>
      <c r="D225" s="337"/>
      <c r="E225" s="337"/>
      <c r="F225" s="288"/>
      <c r="G225" s="288"/>
      <c r="H225" s="296"/>
      <c r="I225" s="296"/>
      <c r="J225" s="296"/>
      <c r="K225" s="296"/>
      <c r="L225" s="296"/>
      <c r="M225" s="296"/>
      <c r="N225" s="296"/>
      <c r="O225" s="296"/>
      <c r="P225" s="296"/>
      <c r="Q225" s="296"/>
      <c r="R225" s="296"/>
      <c r="S225" s="363">
        <f>+R288</f>
        <v>0</v>
      </c>
      <c r="T225" s="364">
        <f>+T288</f>
        <v>0</v>
      </c>
      <c r="U225" s="288"/>
      <c r="V225" s="365"/>
      <c r="W225" s="366"/>
      <c r="X225" s="5"/>
    </row>
    <row r="226" spans="1:24" ht="15.6" x14ac:dyDescent="0.3">
      <c r="A226" s="362"/>
      <c r="B226" s="313" t="s">
        <v>82</v>
      </c>
      <c r="C226" s="367"/>
      <c r="D226" s="367"/>
      <c r="E226" s="367"/>
      <c r="F226" s="314"/>
      <c r="G226" s="314"/>
      <c r="H226" s="314"/>
      <c r="I226" s="314"/>
      <c r="J226" s="314"/>
      <c r="K226" s="314"/>
      <c r="L226" s="314"/>
      <c r="M226" s="314"/>
      <c r="N226" s="314"/>
      <c r="O226" s="314"/>
      <c r="P226" s="314"/>
      <c r="Q226" s="314"/>
      <c r="R226" s="314"/>
      <c r="S226" s="314"/>
      <c r="T226" s="364">
        <v>0</v>
      </c>
      <c r="U226" s="314"/>
      <c r="V226" s="369"/>
      <c r="W226" s="370"/>
      <c r="X226" s="5"/>
    </row>
    <row r="227" spans="1:24" ht="15.6" x14ac:dyDescent="0.3">
      <c r="A227" s="362"/>
      <c r="B227" s="313" t="s">
        <v>243</v>
      </c>
      <c r="C227" s="367"/>
      <c r="D227" s="367"/>
      <c r="E227" s="367"/>
      <c r="F227" s="314"/>
      <c r="G227" s="314"/>
      <c r="H227" s="314"/>
      <c r="I227" s="314"/>
      <c r="J227" s="314"/>
      <c r="K227" s="314"/>
      <c r="L227" s="314"/>
      <c r="M227" s="314"/>
      <c r="N227" s="314"/>
      <c r="O227" s="314"/>
      <c r="P227" s="314"/>
      <c r="Q227" s="314"/>
      <c r="R227" s="314"/>
      <c r="S227" s="314"/>
      <c r="T227" s="364">
        <f>+N81</f>
        <v>0</v>
      </c>
      <c r="U227" s="314"/>
      <c r="V227" s="369"/>
      <c r="W227" s="370"/>
      <c r="X227" s="5"/>
    </row>
    <row r="228" spans="1:24" ht="15.6" x14ac:dyDescent="0.3">
      <c r="A228" s="371"/>
      <c r="B228" s="313" t="s">
        <v>83</v>
      </c>
      <c r="C228" s="372"/>
      <c r="D228" s="372"/>
      <c r="E228" s="372"/>
      <c r="F228" s="372"/>
      <c r="G228" s="314"/>
      <c r="H228" s="314"/>
      <c r="I228" s="314"/>
      <c r="J228" s="314"/>
      <c r="K228" s="314"/>
      <c r="L228" s="314"/>
      <c r="M228" s="314"/>
      <c r="N228" s="314"/>
      <c r="O228" s="314"/>
      <c r="P228" s="314"/>
      <c r="Q228" s="314"/>
      <c r="R228" s="314"/>
      <c r="S228" s="314"/>
      <c r="T228" s="368"/>
      <c r="U228" s="314"/>
      <c r="V228" s="369"/>
      <c r="W228" s="373"/>
      <c r="X228" s="5"/>
    </row>
    <row r="229" spans="1:24" ht="15.6" x14ac:dyDescent="0.3">
      <c r="A229" s="371"/>
      <c r="B229" s="288" t="s">
        <v>84</v>
      </c>
      <c r="C229" s="288"/>
      <c r="D229" s="288"/>
      <c r="E229" s="288"/>
      <c r="F229" s="288"/>
      <c r="G229" s="288"/>
      <c r="H229" s="288"/>
      <c r="I229" s="288"/>
      <c r="J229" s="288"/>
      <c r="K229" s="288"/>
      <c r="L229" s="288"/>
      <c r="M229" s="288"/>
      <c r="N229" s="288"/>
      <c r="O229" s="288"/>
      <c r="P229" s="288"/>
      <c r="Q229" s="288"/>
      <c r="R229" s="288"/>
      <c r="S229" s="296"/>
      <c r="T229" s="364">
        <f>V167</f>
        <v>-53</v>
      </c>
      <c r="U229" s="288"/>
      <c r="V229" s="365"/>
      <c r="W229" s="378"/>
      <c r="X229" s="5"/>
    </row>
    <row r="230" spans="1:24" ht="15.6" x14ac:dyDescent="0.3">
      <c r="A230" s="362"/>
      <c r="B230" s="288" t="s">
        <v>85</v>
      </c>
      <c r="C230" s="337"/>
      <c r="D230" s="337"/>
      <c r="E230" s="337"/>
      <c r="F230" s="337"/>
      <c r="G230" s="288"/>
      <c r="H230" s="288"/>
      <c r="I230" s="288"/>
      <c r="J230" s="288"/>
      <c r="K230" s="288"/>
      <c r="L230" s="288"/>
      <c r="M230" s="288"/>
      <c r="N230" s="288"/>
      <c r="O230" s="288"/>
      <c r="P230" s="288"/>
      <c r="Q230" s="288"/>
      <c r="R230" s="288"/>
      <c r="S230" s="296"/>
      <c r="T230" s="364">
        <f>'Feb 12'!T230+T229</f>
        <v>3553</v>
      </c>
      <c r="U230" s="288"/>
      <c r="V230" s="365"/>
      <c r="W230" s="378"/>
      <c r="X230" s="5"/>
    </row>
    <row r="231" spans="1:24" ht="15.6" x14ac:dyDescent="0.3">
      <c r="A231" s="371"/>
      <c r="B231" s="313" t="s">
        <v>295</v>
      </c>
      <c r="C231" s="372"/>
      <c r="D231" s="372"/>
      <c r="E231" s="372"/>
      <c r="F231" s="372"/>
      <c r="G231" s="314"/>
      <c r="H231" s="314"/>
      <c r="I231" s="314"/>
      <c r="J231" s="314"/>
      <c r="K231" s="314"/>
      <c r="L231" s="314"/>
      <c r="M231" s="314"/>
      <c r="N231" s="314"/>
      <c r="O231" s="314"/>
      <c r="P231" s="314"/>
      <c r="Q231" s="314"/>
      <c r="R231" s="314"/>
      <c r="S231" s="316"/>
      <c r="T231" s="368"/>
      <c r="U231" s="314"/>
      <c r="V231" s="369"/>
      <c r="W231" s="373"/>
      <c r="X231" s="5"/>
    </row>
    <row r="232" spans="1:24" ht="15.6" x14ac:dyDescent="0.3">
      <c r="A232" s="371"/>
      <c r="B232" s="288" t="s">
        <v>291</v>
      </c>
      <c r="C232" s="288"/>
      <c r="D232" s="288"/>
      <c r="E232" s="288"/>
      <c r="F232" s="288"/>
      <c r="G232" s="288"/>
      <c r="H232" s="288"/>
      <c r="I232" s="288"/>
      <c r="J232" s="288"/>
      <c r="K232" s="288"/>
      <c r="L232" s="288"/>
      <c r="M232" s="288"/>
      <c r="N232" s="288"/>
      <c r="O232" s="288"/>
      <c r="P232" s="288"/>
      <c r="Q232" s="288"/>
      <c r="R232" s="288"/>
      <c r="S232" s="296">
        <v>0</v>
      </c>
      <c r="T232" s="364">
        <v>0</v>
      </c>
      <c r="U232" s="288"/>
      <c r="V232" s="365"/>
      <c r="W232" s="378"/>
      <c r="X232" s="5"/>
    </row>
    <row r="233" spans="1:24" ht="15.6" x14ac:dyDescent="0.3">
      <c r="A233" s="362"/>
      <c r="B233" s="288" t="s">
        <v>86</v>
      </c>
      <c r="C233" s="325"/>
      <c r="D233" s="325"/>
      <c r="E233" s="325"/>
      <c r="F233" s="379"/>
      <c r="G233" s="288"/>
      <c r="H233" s="288"/>
      <c r="I233" s="288"/>
      <c r="J233" s="288"/>
      <c r="K233" s="288"/>
      <c r="L233" s="288"/>
      <c r="M233" s="288"/>
      <c r="N233" s="288"/>
      <c r="O233" s="288"/>
      <c r="P233" s="288"/>
      <c r="Q233" s="288"/>
      <c r="R233" s="288"/>
      <c r="S233" s="288"/>
      <c r="T233" s="380">
        <v>0</v>
      </c>
      <c r="U233" s="288"/>
      <c r="V233" s="365"/>
      <c r="W233" s="378"/>
      <c r="X233" s="5"/>
    </row>
    <row r="234" spans="1:24" ht="15.6" x14ac:dyDescent="0.3">
      <c r="A234" s="362"/>
      <c r="B234" s="288" t="s">
        <v>87</v>
      </c>
      <c r="C234" s="325"/>
      <c r="D234" s="325"/>
      <c r="E234" s="325"/>
      <c r="F234" s="379"/>
      <c r="G234" s="288"/>
      <c r="H234" s="288"/>
      <c r="I234" s="288"/>
      <c r="J234" s="288"/>
      <c r="K234" s="288"/>
      <c r="L234" s="288"/>
      <c r="M234" s="288"/>
      <c r="N234" s="288"/>
      <c r="O234" s="288"/>
      <c r="P234" s="288"/>
      <c r="Q234" s="288"/>
      <c r="R234" s="288"/>
      <c r="S234" s="288"/>
      <c r="T234" s="380">
        <v>0</v>
      </c>
      <c r="U234" s="288"/>
      <c r="V234" s="365"/>
      <c r="W234" s="378"/>
      <c r="X234" s="5"/>
    </row>
    <row r="235" spans="1:24" ht="15.6" x14ac:dyDescent="0.3">
      <c r="A235" s="362"/>
      <c r="B235" s="313" t="s">
        <v>217</v>
      </c>
      <c r="C235" s="381"/>
      <c r="D235" s="381"/>
      <c r="E235" s="381"/>
      <c r="F235" s="382"/>
      <c r="G235" s="314"/>
      <c r="H235" s="314"/>
      <c r="I235" s="314"/>
      <c r="J235" s="314"/>
      <c r="K235" s="314"/>
      <c r="L235" s="314"/>
      <c r="M235" s="314"/>
      <c r="N235" s="314"/>
      <c r="O235" s="314"/>
      <c r="P235" s="314"/>
      <c r="Q235" s="314"/>
      <c r="R235" s="314"/>
      <c r="S235" s="314"/>
      <c r="T235" s="383"/>
      <c r="U235" s="314"/>
      <c r="V235" s="369"/>
      <c r="W235" s="373"/>
      <c r="X235" s="5"/>
    </row>
    <row r="236" spans="1:24" ht="15.6" x14ac:dyDescent="0.3">
      <c r="A236" s="362"/>
      <c r="B236" s="288" t="s">
        <v>291</v>
      </c>
      <c r="C236" s="381"/>
      <c r="D236" s="381"/>
      <c r="E236" s="381"/>
      <c r="F236" s="382"/>
      <c r="G236" s="314"/>
      <c r="H236" s="314"/>
      <c r="I236" s="314"/>
      <c r="J236" s="314"/>
      <c r="K236" s="314"/>
      <c r="L236" s="314"/>
      <c r="M236" s="314"/>
      <c r="N236" s="314"/>
      <c r="O236" s="314"/>
      <c r="P236" s="314"/>
      <c r="Q236" s="314"/>
      <c r="R236" s="314"/>
      <c r="S236" s="296">
        <v>2</v>
      </c>
      <c r="T236" s="364">
        <v>162</v>
      </c>
      <c r="U236" s="314"/>
      <c r="V236" s="369"/>
      <c r="W236" s="373"/>
      <c r="X236" s="5"/>
    </row>
    <row r="237" spans="1:24" ht="15.6" x14ac:dyDescent="0.3">
      <c r="A237" s="362"/>
      <c r="B237" s="288" t="s">
        <v>218</v>
      </c>
      <c r="C237" s="381"/>
      <c r="D237" s="381"/>
      <c r="E237" s="381"/>
      <c r="F237" s="382"/>
      <c r="G237" s="314"/>
      <c r="H237" s="314"/>
      <c r="I237" s="314"/>
      <c r="J237" s="314"/>
      <c r="K237" s="314"/>
      <c r="L237" s="314"/>
      <c r="M237" s="314"/>
      <c r="N237" s="314"/>
      <c r="O237" s="314"/>
      <c r="P237" s="314"/>
      <c r="Q237" s="314"/>
      <c r="R237" s="314"/>
      <c r="S237" s="288"/>
      <c r="T237" s="380">
        <v>11.56</v>
      </c>
      <c r="U237" s="314"/>
      <c r="V237" s="369"/>
      <c r="W237" s="373"/>
      <c r="X237" s="5"/>
    </row>
    <row r="238" spans="1:24" ht="15.6" x14ac:dyDescent="0.3">
      <c r="A238" s="362"/>
      <c r="B238" s="372"/>
      <c r="C238" s="381"/>
      <c r="D238" s="381"/>
      <c r="E238" s="381"/>
      <c r="F238" s="382"/>
      <c r="G238" s="314"/>
      <c r="H238" s="314"/>
      <c r="I238" s="314"/>
      <c r="J238" s="314"/>
      <c r="K238" s="314"/>
      <c r="L238" s="314"/>
      <c r="M238" s="314"/>
      <c r="N238" s="314"/>
      <c r="O238" s="314"/>
      <c r="P238" s="314"/>
      <c r="Q238" s="314"/>
      <c r="R238" s="314"/>
      <c r="S238" s="314"/>
      <c r="T238" s="383"/>
      <c r="U238" s="314"/>
      <c r="V238" s="369"/>
      <c r="W238" s="373"/>
      <c r="X238" s="5"/>
    </row>
    <row r="239" spans="1:24" ht="15.6" x14ac:dyDescent="0.3">
      <c r="A239" s="362"/>
      <c r="B239" s="372"/>
      <c r="C239" s="381"/>
      <c r="D239" s="381"/>
      <c r="E239" s="381"/>
      <c r="F239" s="382"/>
      <c r="G239" s="314"/>
      <c r="H239" s="314"/>
      <c r="I239" s="314"/>
      <c r="J239" s="314"/>
      <c r="K239" s="314"/>
      <c r="L239" s="314"/>
      <c r="M239" s="314"/>
      <c r="N239" s="314"/>
      <c r="O239" s="314"/>
      <c r="P239" s="314"/>
      <c r="Q239" s="314"/>
      <c r="R239" s="314"/>
      <c r="S239" s="314"/>
      <c r="T239" s="383"/>
      <c r="U239" s="314"/>
      <c r="V239" s="369"/>
      <c r="W239" s="373"/>
      <c r="X239" s="5"/>
    </row>
    <row r="240" spans="1:24" ht="17.399999999999999" x14ac:dyDescent="0.3">
      <c r="A240" s="362"/>
      <c r="B240" s="384" t="s">
        <v>168</v>
      </c>
      <c r="C240" s="381"/>
      <c r="D240" s="381"/>
      <c r="E240" s="381"/>
      <c r="F240" s="382"/>
      <c r="G240" s="314"/>
      <c r="H240" s="314"/>
      <c r="I240" s="314"/>
      <c r="J240" s="314"/>
      <c r="K240" s="314"/>
      <c r="L240" s="314"/>
      <c r="M240" s="314"/>
      <c r="N240" s="314"/>
      <c r="O240" s="314"/>
      <c r="P240" s="385" t="s">
        <v>167</v>
      </c>
      <c r="Q240" s="314"/>
      <c r="R240" s="314"/>
      <c r="S240" s="314"/>
      <c r="T240" s="383"/>
      <c r="U240" s="314"/>
      <c r="V240" s="369"/>
      <c r="W240" s="373"/>
      <c r="X240" s="5"/>
    </row>
    <row r="241" spans="1:25" ht="15.6" x14ac:dyDescent="0.3">
      <c r="A241" s="355"/>
      <c r="B241" s="356"/>
      <c r="C241" s="357"/>
      <c r="D241" s="357"/>
      <c r="E241" s="357"/>
      <c r="F241" s="358"/>
      <c r="G241" s="198"/>
      <c r="H241" s="198"/>
      <c r="I241" s="198"/>
      <c r="J241" s="198"/>
      <c r="K241" s="198"/>
      <c r="L241" s="198"/>
      <c r="M241" s="198"/>
      <c r="N241" s="198"/>
      <c r="O241" s="198"/>
      <c r="P241" s="198"/>
      <c r="Q241" s="198"/>
      <c r="R241" s="198"/>
      <c r="S241" s="198"/>
      <c r="T241" s="359"/>
      <c r="U241" s="198"/>
      <c r="V241" s="360"/>
      <c r="W241" s="361"/>
      <c r="X241" s="5"/>
    </row>
    <row r="242" spans="1:25" ht="15.6" x14ac:dyDescent="0.3">
      <c r="A242" s="262"/>
      <c r="B242" s="399" t="s">
        <v>308</v>
      </c>
      <c r="C242" s="400"/>
      <c r="D242" s="400"/>
      <c r="E242" s="400"/>
      <c r="F242" s="406"/>
      <c r="G242" s="400"/>
      <c r="H242" s="400"/>
      <c r="I242" s="400"/>
      <c r="J242" s="400"/>
      <c r="K242" s="400"/>
      <c r="L242" s="400"/>
      <c r="M242" s="400"/>
      <c r="N242" s="400"/>
      <c r="O242" s="400"/>
      <c r="P242" s="400"/>
      <c r="Q242" s="400"/>
      <c r="R242" s="406" t="s">
        <v>102</v>
      </c>
      <c r="S242" s="400" t="s">
        <v>103</v>
      </c>
      <c r="T242" s="406" t="s">
        <v>109</v>
      </c>
      <c r="U242" s="400" t="s">
        <v>103</v>
      </c>
      <c r="V242" s="263"/>
      <c r="W242" s="399"/>
      <c r="X242" s="5"/>
    </row>
    <row r="243" spans="1:25" ht="15.6" x14ac:dyDescent="0.3">
      <c r="A243" s="197"/>
      <c r="B243" s="234" t="s">
        <v>88</v>
      </c>
      <c r="C243" s="253"/>
      <c r="D243" s="253"/>
      <c r="E243" s="253"/>
      <c r="F243" s="231"/>
      <c r="G243" s="253"/>
      <c r="H243" s="253"/>
      <c r="I243" s="253"/>
      <c r="J243" s="253"/>
      <c r="K243" s="253"/>
      <c r="L243" s="253"/>
      <c r="M243" s="253"/>
      <c r="N243" s="253"/>
      <c r="O243" s="253"/>
      <c r="P243" s="253"/>
      <c r="Q243" s="253"/>
      <c r="R243" s="234">
        <f t="shared" ref="R243:R250" si="1">+R255+R267+R279</f>
        <v>7885</v>
      </c>
      <c r="S243" s="254">
        <f t="shared" ref="S243:S250" si="2">R243/$R$252</f>
        <v>0.98772391331579612</v>
      </c>
      <c r="T243" s="241">
        <f t="shared" ref="T243:T250" si="3">+T255+T267+T279</f>
        <v>1104035</v>
      </c>
      <c r="U243" s="254">
        <f t="shared" ref="U243:U250" si="4">T243/$T$252</f>
        <v>0.9842963351280124</v>
      </c>
      <c r="V243" s="250"/>
      <c r="W243" s="232"/>
      <c r="X243" s="5"/>
    </row>
    <row r="244" spans="1:25" ht="15.6" x14ac:dyDescent="0.3">
      <c r="A244" s="287"/>
      <c r="B244" s="337" t="s">
        <v>89</v>
      </c>
      <c r="C244" s="389"/>
      <c r="D244" s="389"/>
      <c r="E244" s="389"/>
      <c r="F244" s="288"/>
      <c r="G244" s="390"/>
      <c r="H244" s="389"/>
      <c r="I244" s="389"/>
      <c r="J244" s="389"/>
      <c r="K244" s="389"/>
      <c r="L244" s="389"/>
      <c r="M244" s="389"/>
      <c r="N244" s="389"/>
      <c r="O244" s="389"/>
      <c r="P244" s="389"/>
      <c r="Q244" s="389"/>
      <c r="R244" s="337">
        <f t="shared" si="1"/>
        <v>49</v>
      </c>
      <c r="S244" s="390">
        <f t="shared" si="2"/>
        <v>6.1380433421019667E-3</v>
      </c>
      <c r="T244" s="338">
        <f t="shared" si="3"/>
        <v>10142</v>
      </c>
      <c r="U244" s="390">
        <f t="shared" si="4"/>
        <v>9.0420443472066566E-3</v>
      </c>
      <c r="V244" s="365"/>
      <c r="W244" s="378"/>
      <c r="X244" s="5"/>
      <c r="Y244" s="109"/>
    </row>
    <row r="245" spans="1:25" ht="15.6" x14ac:dyDescent="0.3">
      <c r="A245" s="287"/>
      <c r="B245" s="337" t="s">
        <v>90</v>
      </c>
      <c r="C245" s="389"/>
      <c r="D245" s="389"/>
      <c r="E245" s="389"/>
      <c r="F245" s="288"/>
      <c r="G245" s="390"/>
      <c r="H245" s="389"/>
      <c r="I245" s="389"/>
      <c r="J245" s="389"/>
      <c r="K245" s="389"/>
      <c r="L245" s="389"/>
      <c r="M245" s="389"/>
      <c r="N245" s="389"/>
      <c r="O245" s="389"/>
      <c r="P245" s="389"/>
      <c r="Q245" s="389"/>
      <c r="R245" s="337">
        <f t="shared" si="1"/>
        <v>8</v>
      </c>
      <c r="S245" s="390">
        <f t="shared" si="2"/>
        <v>1.0021295252411375E-3</v>
      </c>
      <c r="T245" s="338">
        <f t="shared" si="3"/>
        <v>1604</v>
      </c>
      <c r="U245" s="390">
        <f t="shared" si="4"/>
        <v>1.4300373824610016E-3</v>
      </c>
      <c r="V245" s="365"/>
      <c r="W245" s="378"/>
      <c r="X245" s="5"/>
    </row>
    <row r="246" spans="1:25" ht="15.6" x14ac:dyDescent="0.3">
      <c r="A246" s="287"/>
      <c r="B246" s="337" t="s">
        <v>156</v>
      </c>
      <c r="C246" s="389"/>
      <c r="D246" s="389"/>
      <c r="E246" s="389"/>
      <c r="F246" s="288"/>
      <c r="G246" s="390"/>
      <c r="H246" s="389"/>
      <c r="I246" s="389"/>
      <c r="J246" s="389"/>
      <c r="K246" s="389"/>
      <c r="L246" s="389"/>
      <c r="M246" s="389"/>
      <c r="N246" s="389"/>
      <c r="O246" s="389"/>
      <c r="P246" s="389"/>
      <c r="Q246" s="389"/>
      <c r="R246" s="337">
        <f t="shared" si="1"/>
        <v>4</v>
      </c>
      <c r="S246" s="390">
        <f t="shared" si="2"/>
        <v>5.0106476262056876E-4</v>
      </c>
      <c r="T246" s="338">
        <f t="shared" si="3"/>
        <v>501</v>
      </c>
      <c r="U246" s="390">
        <f t="shared" si="4"/>
        <v>4.4666379589336773E-4</v>
      </c>
      <c r="V246" s="365"/>
      <c r="W246" s="378"/>
      <c r="X246" s="5"/>
      <c r="Y246" s="109"/>
    </row>
    <row r="247" spans="1:25" ht="15.6" x14ac:dyDescent="0.3">
      <c r="A247" s="287"/>
      <c r="B247" s="337" t="s">
        <v>157</v>
      </c>
      <c r="C247" s="389"/>
      <c r="D247" s="389"/>
      <c r="E247" s="389"/>
      <c r="F247" s="288"/>
      <c r="G247" s="390"/>
      <c r="H247" s="389"/>
      <c r="I247" s="389"/>
      <c r="J247" s="389"/>
      <c r="K247" s="389"/>
      <c r="L247" s="389"/>
      <c r="M247" s="389"/>
      <c r="N247" s="389"/>
      <c r="O247" s="389"/>
      <c r="P247" s="389"/>
      <c r="Q247" s="389"/>
      <c r="R247" s="337">
        <f t="shared" si="1"/>
        <v>2</v>
      </c>
      <c r="S247" s="390">
        <f t="shared" si="2"/>
        <v>2.5053238131028438E-4</v>
      </c>
      <c r="T247" s="338">
        <f t="shared" si="3"/>
        <v>361</v>
      </c>
      <c r="U247" s="390">
        <f t="shared" si="4"/>
        <v>3.2184756550400348E-4</v>
      </c>
      <c r="V247" s="365"/>
      <c r="W247" s="378"/>
      <c r="X247" s="5"/>
    </row>
    <row r="248" spans="1:25" ht="15.6" x14ac:dyDescent="0.3">
      <c r="A248" s="287"/>
      <c r="B248" s="337" t="s">
        <v>158</v>
      </c>
      <c r="C248" s="389"/>
      <c r="D248" s="389"/>
      <c r="E248" s="389"/>
      <c r="F248" s="288"/>
      <c r="G248" s="390"/>
      <c r="H248" s="389"/>
      <c r="I248" s="389"/>
      <c r="J248" s="389"/>
      <c r="K248" s="389"/>
      <c r="L248" s="389"/>
      <c r="M248" s="389"/>
      <c r="N248" s="389"/>
      <c r="O248" s="389"/>
      <c r="P248" s="389"/>
      <c r="Q248" s="389"/>
      <c r="R248" s="337">
        <f t="shared" si="1"/>
        <v>3</v>
      </c>
      <c r="S248" s="390">
        <f t="shared" si="2"/>
        <v>3.7579857196542651E-4</v>
      </c>
      <c r="T248" s="338">
        <f t="shared" si="3"/>
        <v>328</v>
      </c>
      <c r="U248" s="390">
        <f t="shared" si="4"/>
        <v>2.9242659691222476E-4</v>
      </c>
      <c r="V248" s="365"/>
      <c r="W248" s="378"/>
      <c r="X248" s="5"/>
      <c r="Y248" s="109"/>
    </row>
    <row r="249" spans="1:25" ht="15.6" x14ac:dyDescent="0.3">
      <c r="A249" s="287"/>
      <c r="B249" s="337" t="s">
        <v>159</v>
      </c>
      <c r="C249" s="389"/>
      <c r="D249" s="389"/>
      <c r="E249" s="389"/>
      <c r="F249" s="288"/>
      <c r="G249" s="390"/>
      <c r="H249" s="389"/>
      <c r="I249" s="389"/>
      <c r="J249" s="389"/>
      <c r="K249" s="389"/>
      <c r="L249" s="389"/>
      <c r="M249" s="389"/>
      <c r="N249" s="389"/>
      <c r="O249" s="389"/>
      <c r="P249" s="389"/>
      <c r="Q249" s="389"/>
      <c r="R249" s="337">
        <f t="shared" si="1"/>
        <v>14</v>
      </c>
      <c r="S249" s="390">
        <f t="shared" si="2"/>
        <v>1.7537266691719905E-3</v>
      </c>
      <c r="T249" s="338">
        <f t="shared" si="3"/>
        <v>1600</v>
      </c>
      <c r="U249" s="390">
        <f t="shared" si="4"/>
        <v>1.4264712044498769E-3</v>
      </c>
      <c r="V249" s="365"/>
      <c r="W249" s="378"/>
      <c r="X249" s="5"/>
    </row>
    <row r="250" spans="1:25" ht="15.6" x14ac:dyDescent="0.3">
      <c r="A250" s="287"/>
      <c r="B250" s="337" t="s">
        <v>160</v>
      </c>
      <c r="C250" s="389"/>
      <c r="D250" s="389"/>
      <c r="E250" s="389"/>
      <c r="F250" s="288"/>
      <c r="G250" s="390"/>
      <c r="H250" s="389"/>
      <c r="I250" s="389"/>
      <c r="J250" s="389"/>
      <c r="K250" s="389"/>
      <c r="L250" s="389"/>
      <c r="M250" s="389"/>
      <c r="N250" s="389"/>
      <c r="O250" s="389"/>
      <c r="P250" s="389"/>
      <c r="Q250" s="389"/>
      <c r="R250" s="339">
        <f t="shared" si="1"/>
        <v>18</v>
      </c>
      <c r="S250" s="393">
        <f t="shared" si="2"/>
        <v>2.2547914317925591E-3</v>
      </c>
      <c r="T250" s="394">
        <f t="shared" si="3"/>
        <v>3078</v>
      </c>
      <c r="U250" s="393">
        <f t="shared" si="4"/>
        <v>2.7441739795604509E-3</v>
      </c>
      <c r="V250" s="365"/>
      <c r="W250" s="378"/>
      <c r="X250" s="5"/>
      <c r="Y250" s="109"/>
    </row>
    <row r="251" spans="1:25" ht="15.6" x14ac:dyDescent="0.3">
      <c r="A251" s="287"/>
      <c r="B251" s="337"/>
      <c r="C251" s="389"/>
      <c r="D251" s="389"/>
      <c r="E251" s="389"/>
      <c r="F251" s="288"/>
      <c r="G251" s="390"/>
      <c r="H251" s="389"/>
      <c r="I251" s="389"/>
      <c r="J251" s="389"/>
      <c r="K251" s="389"/>
      <c r="L251" s="389"/>
      <c r="M251" s="389"/>
      <c r="N251" s="389"/>
      <c r="O251" s="389"/>
      <c r="P251" s="389"/>
      <c r="Q251" s="389"/>
      <c r="R251" s="337"/>
      <c r="S251" s="390"/>
      <c r="T251" s="338"/>
      <c r="U251" s="390"/>
      <c r="V251" s="365"/>
      <c r="W251" s="378"/>
      <c r="X251" s="5"/>
    </row>
    <row r="252" spans="1:25" ht="15.6" x14ac:dyDescent="0.3">
      <c r="A252" s="287"/>
      <c r="B252" s="288"/>
      <c r="C252" s="288"/>
      <c r="D252" s="288"/>
      <c r="E252" s="288"/>
      <c r="F252" s="288"/>
      <c r="G252" s="288"/>
      <c r="H252" s="391"/>
      <c r="I252" s="391"/>
      <c r="J252" s="391"/>
      <c r="K252" s="391"/>
      <c r="L252" s="391"/>
      <c r="M252" s="391"/>
      <c r="N252" s="391"/>
      <c r="O252" s="391"/>
      <c r="P252" s="391"/>
      <c r="Q252" s="391"/>
      <c r="R252" s="337">
        <f>SUM(R243:R251)</f>
        <v>7983</v>
      </c>
      <c r="S252" s="390">
        <f>SUM(S243:S251)</f>
        <v>1</v>
      </c>
      <c r="T252" s="338">
        <f>SUM(T243:T251)</f>
        <v>1121649</v>
      </c>
      <c r="U252" s="390">
        <f>SUM(U243:U251)</f>
        <v>1</v>
      </c>
      <c r="V252" s="288"/>
      <c r="W252" s="291"/>
      <c r="X252" s="5"/>
    </row>
    <row r="253" spans="1:25" ht="15.6" x14ac:dyDescent="0.3">
      <c r="A253" s="183"/>
      <c r="B253" s="198"/>
      <c r="C253" s="198"/>
      <c r="D253" s="198"/>
      <c r="E253" s="198"/>
      <c r="F253" s="198"/>
      <c r="G253" s="198"/>
      <c r="H253" s="386"/>
      <c r="I253" s="386"/>
      <c r="J253" s="386"/>
      <c r="K253" s="386"/>
      <c r="L253" s="386"/>
      <c r="M253" s="386"/>
      <c r="N253" s="386"/>
      <c r="O253" s="386"/>
      <c r="P253" s="386"/>
      <c r="Q253" s="386"/>
      <c r="R253" s="335"/>
      <c r="S253" s="387"/>
      <c r="T253" s="388"/>
      <c r="U253" s="387"/>
      <c r="V253" s="198"/>
      <c r="W253" s="198"/>
      <c r="X253" s="5"/>
    </row>
    <row r="254" spans="1:25" ht="15.6" x14ac:dyDescent="0.3">
      <c r="A254" s="262"/>
      <c r="B254" s="399" t="s">
        <v>162</v>
      </c>
      <c r="C254" s="400"/>
      <c r="D254" s="400"/>
      <c r="E254" s="400"/>
      <c r="F254" s="406"/>
      <c r="G254" s="400"/>
      <c r="H254" s="400"/>
      <c r="I254" s="400"/>
      <c r="J254" s="400"/>
      <c r="K254" s="400"/>
      <c r="L254" s="400"/>
      <c r="M254" s="400"/>
      <c r="N254" s="400"/>
      <c r="O254" s="400"/>
      <c r="P254" s="400"/>
      <c r="Q254" s="400"/>
      <c r="R254" s="406" t="s">
        <v>102</v>
      </c>
      <c r="S254" s="400" t="s">
        <v>103</v>
      </c>
      <c r="T254" s="406" t="s">
        <v>109</v>
      </c>
      <c r="U254" s="400" t="s">
        <v>103</v>
      </c>
      <c r="V254" s="263"/>
      <c r="W254" s="399"/>
      <c r="X254" s="5"/>
    </row>
    <row r="255" spans="1:25" ht="15.6" x14ac:dyDescent="0.3">
      <c r="A255" s="197"/>
      <c r="B255" s="234" t="s">
        <v>88</v>
      </c>
      <c r="C255" s="253"/>
      <c r="D255" s="253"/>
      <c r="E255" s="253"/>
      <c r="F255" s="231"/>
      <c r="G255" s="253"/>
      <c r="H255" s="253"/>
      <c r="I255" s="253"/>
      <c r="J255" s="253"/>
      <c r="K255" s="253"/>
      <c r="L255" s="253"/>
      <c r="M255" s="253"/>
      <c r="N255" s="253"/>
      <c r="O255" s="253"/>
      <c r="P255" s="253"/>
      <c r="Q255" s="253"/>
      <c r="R255" s="234">
        <v>7739</v>
      </c>
      <c r="S255" s="254">
        <f t="shared" ref="S255:S262" si="5">R255/$R$264</f>
        <v>0.99294328971003332</v>
      </c>
      <c r="T255" s="241">
        <v>1083581</v>
      </c>
      <c r="U255" s="254">
        <f t="shared" ref="U255:U262" si="6">T255/$T$264</f>
        <v>0.9894587375870334</v>
      </c>
      <c r="V255" s="250"/>
      <c r="W255" s="232"/>
      <c r="X255" s="5"/>
    </row>
    <row r="256" spans="1:25" ht="15.6" x14ac:dyDescent="0.3">
      <c r="A256" s="287"/>
      <c r="B256" s="337" t="s">
        <v>89</v>
      </c>
      <c r="C256" s="389"/>
      <c r="D256" s="389"/>
      <c r="E256" s="389"/>
      <c r="F256" s="288"/>
      <c r="G256" s="390"/>
      <c r="H256" s="389"/>
      <c r="I256" s="389"/>
      <c r="J256" s="389"/>
      <c r="K256" s="389"/>
      <c r="L256" s="389"/>
      <c r="M256" s="389"/>
      <c r="N256" s="389"/>
      <c r="O256" s="389"/>
      <c r="P256" s="389"/>
      <c r="Q256" s="389"/>
      <c r="R256" s="337">
        <v>46</v>
      </c>
      <c r="S256" s="390">
        <f t="shared" si="5"/>
        <v>5.9019758788811903E-3</v>
      </c>
      <c r="T256" s="338">
        <v>9769</v>
      </c>
      <c r="U256" s="390">
        <f t="shared" si="6"/>
        <v>8.9204428718182849E-3</v>
      </c>
      <c r="V256" s="365"/>
      <c r="W256" s="378"/>
      <c r="X256" s="5"/>
      <c r="Y256" s="109"/>
    </row>
    <row r="257" spans="1:25" ht="15.6" x14ac:dyDescent="0.3">
      <c r="A257" s="287"/>
      <c r="B257" s="337" t="s">
        <v>90</v>
      </c>
      <c r="C257" s="389"/>
      <c r="D257" s="389"/>
      <c r="E257" s="389"/>
      <c r="F257" s="288"/>
      <c r="G257" s="390"/>
      <c r="H257" s="389"/>
      <c r="I257" s="389"/>
      <c r="J257" s="389"/>
      <c r="K257" s="389"/>
      <c r="L257" s="389"/>
      <c r="M257" s="389"/>
      <c r="N257" s="389"/>
      <c r="O257" s="389"/>
      <c r="P257" s="389"/>
      <c r="Q257" s="389"/>
      <c r="R257" s="337">
        <v>4</v>
      </c>
      <c r="S257" s="390">
        <f t="shared" si="5"/>
        <v>5.1321529381575571E-4</v>
      </c>
      <c r="T257" s="338">
        <v>1165</v>
      </c>
      <c r="U257" s="390">
        <f t="shared" si="6"/>
        <v>1.0638055016550622E-3</v>
      </c>
      <c r="V257" s="365"/>
      <c r="W257" s="378"/>
      <c r="X257" s="5"/>
    </row>
    <row r="258" spans="1:25" ht="15.6" x14ac:dyDescent="0.3">
      <c r="A258" s="287"/>
      <c r="B258" s="337" t="s">
        <v>156</v>
      </c>
      <c r="C258" s="389"/>
      <c r="D258" s="389"/>
      <c r="E258" s="389"/>
      <c r="F258" s="288"/>
      <c r="G258" s="390"/>
      <c r="H258" s="389"/>
      <c r="I258" s="389"/>
      <c r="J258" s="389"/>
      <c r="K258" s="389"/>
      <c r="L258" s="389"/>
      <c r="M258" s="389"/>
      <c r="N258" s="389"/>
      <c r="O258" s="389"/>
      <c r="P258" s="389"/>
      <c r="Q258" s="389"/>
      <c r="R258" s="337">
        <v>0</v>
      </c>
      <c r="S258" s="390">
        <f t="shared" si="5"/>
        <v>0</v>
      </c>
      <c r="T258" s="338">
        <v>0</v>
      </c>
      <c r="U258" s="390">
        <f t="shared" si="6"/>
        <v>0</v>
      </c>
      <c r="V258" s="365"/>
      <c r="W258" s="378"/>
      <c r="X258" s="5"/>
      <c r="Y258" s="109"/>
    </row>
    <row r="259" spans="1:25" ht="15.6" x14ac:dyDescent="0.3">
      <c r="A259" s="287"/>
      <c r="B259" s="337" t="s">
        <v>157</v>
      </c>
      <c r="C259" s="389"/>
      <c r="D259" s="389"/>
      <c r="E259" s="389"/>
      <c r="F259" s="288"/>
      <c r="G259" s="390"/>
      <c r="H259" s="389"/>
      <c r="I259" s="389"/>
      <c r="J259" s="389"/>
      <c r="K259" s="389"/>
      <c r="L259" s="389"/>
      <c r="M259" s="389"/>
      <c r="N259" s="389"/>
      <c r="O259" s="389"/>
      <c r="P259" s="389"/>
      <c r="Q259" s="389"/>
      <c r="R259" s="337">
        <v>2</v>
      </c>
      <c r="S259" s="390">
        <f t="shared" si="5"/>
        <v>2.5660764690787786E-4</v>
      </c>
      <c r="T259" s="338">
        <v>361</v>
      </c>
      <c r="U259" s="390">
        <f t="shared" si="6"/>
        <v>3.2964273484762014E-4</v>
      </c>
      <c r="V259" s="365"/>
      <c r="W259" s="378"/>
      <c r="X259" s="5"/>
    </row>
    <row r="260" spans="1:25" ht="15.6" x14ac:dyDescent="0.3">
      <c r="A260" s="287"/>
      <c r="B260" s="337" t="s">
        <v>158</v>
      </c>
      <c r="C260" s="389"/>
      <c r="D260" s="389"/>
      <c r="E260" s="389"/>
      <c r="F260" s="288"/>
      <c r="G260" s="390"/>
      <c r="H260" s="389"/>
      <c r="I260" s="389"/>
      <c r="J260" s="389"/>
      <c r="K260" s="389"/>
      <c r="L260" s="389"/>
      <c r="M260" s="389"/>
      <c r="N260" s="389"/>
      <c r="O260" s="389"/>
      <c r="P260" s="389"/>
      <c r="Q260" s="389"/>
      <c r="R260" s="337">
        <v>0</v>
      </c>
      <c r="S260" s="390">
        <f t="shared" si="5"/>
        <v>0</v>
      </c>
      <c r="T260" s="338">
        <v>0</v>
      </c>
      <c r="U260" s="390">
        <f t="shared" si="6"/>
        <v>0</v>
      </c>
      <c r="V260" s="365"/>
      <c r="W260" s="378"/>
      <c r="X260" s="5"/>
      <c r="Y260" s="109"/>
    </row>
    <row r="261" spans="1:25" ht="15.6" x14ac:dyDescent="0.3">
      <c r="A261" s="287"/>
      <c r="B261" s="337" t="s">
        <v>159</v>
      </c>
      <c r="C261" s="389"/>
      <c r="D261" s="389"/>
      <c r="E261" s="389"/>
      <c r="F261" s="288"/>
      <c r="G261" s="390"/>
      <c r="H261" s="389"/>
      <c r="I261" s="389"/>
      <c r="J261" s="389"/>
      <c r="K261" s="389"/>
      <c r="L261" s="389"/>
      <c r="M261" s="389"/>
      <c r="N261" s="389"/>
      <c r="O261" s="389"/>
      <c r="P261" s="389"/>
      <c r="Q261" s="389"/>
      <c r="R261" s="337">
        <v>2</v>
      </c>
      <c r="S261" s="390">
        <f t="shared" si="5"/>
        <v>2.5660764690787786E-4</v>
      </c>
      <c r="T261" s="338">
        <v>107</v>
      </c>
      <c r="U261" s="390">
        <f t="shared" si="6"/>
        <v>9.770574135372674E-5</v>
      </c>
      <c r="V261" s="365"/>
      <c r="W261" s="378"/>
      <c r="X261" s="5"/>
    </row>
    <row r="262" spans="1:25" ht="15.6" x14ac:dyDescent="0.3">
      <c r="A262" s="287"/>
      <c r="B262" s="337" t="s">
        <v>160</v>
      </c>
      <c r="C262" s="389"/>
      <c r="D262" s="389"/>
      <c r="E262" s="389"/>
      <c r="F262" s="288"/>
      <c r="G262" s="390"/>
      <c r="H262" s="389"/>
      <c r="I262" s="389"/>
      <c r="J262" s="389"/>
      <c r="K262" s="389"/>
      <c r="L262" s="389"/>
      <c r="M262" s="389"/>
      <c r="N262" s="389"/>
      <c r="O262" s="389"/>
      <c r="P262" s="389"/>
      <c r="Q262" s="389"/>
      <c r="R262" s="337">
        <v>1</v>
      </c>
      <c r="S262" s="390">
        <f t="shared" si="5"/>
        <v>1.2830382345393893E-4</v>
      </c>
      <c r="T262" s="338">
        <v>142</v>
      </c>
      <c r="U262" s="390">
        <f t="shared" si="6"/>
        <v>1.2966556329186167E-4</v>
      </c>
      <c r="V262" s="365"/>
      <c r="W262" s="378"/>
      <c r="X262" s="5"/>
      <c r="Y262" s="109"/>
    </row>
    <row r="263" spans="1:25" ht="15.6" x14ac:dyDescent="0.3">
      <c r="A263" s="287"/>
      <c r="B263" s="337"/>
      <c r="C263" s="389"/>
      <c r="D263" s="389"/>
      <c r="E263" s="389"/>
      <c r="F263" s="288"/>
      <c r="G263" s="390"/>
      <c r="H263" s="389"/>
      <c r="I263" s="389"/>
      <c r="J263" s="389"/>
      <c r="K263" s="389"/>
      <c r="L263" s="389"/>
      <c r="M263" s="389"/>
      <c r="N263" s="389"/>
      <c r="O263" s="389"/>
      <c r="P263" s="389"/>
      <c r="Q263" s="389"/>
      <c r="R263" s="337"/>
      <c r="S263" s="390"/>
      <c r="T263" s="338"/>
      <c r="U263" s="390"/>
      <c r="V263" s="365"/>
      <c r="W263" s="378"/>
      <c r="X263" s="5"/>
    </row>
    <row r="264" spans="1:25" ht="15.6" x14ac:dyDescent="0.3">
      <c r="A264" s="287"/>
      <c r="B264" s="288"/>
      <c r="C264" s="288"/>
      <c r="D264" s="288"/>
      <c r="E264" s="288"/>
      <c r="F264" s="288"/>
      <c r="G264" s="288"/>
      <c r="H264" s="391"/>
      <c r="I264" s="391"/>
      <c r="J264" s="391"/>
      <c r="K264" s="391"/>
      <c r="L264" s="391"/>
      <c r="M264" s="391"/>
      <c r="N264" s="391"/>
      <c r="O264" s="391"/>
      <c r="P264" s="391"/>
      <c r="Q264" s="391"/>
      <c r="R264" s="337">
        <f>SUM(R255:R263)</f>
        <v>7794</v>
      </c>
      <c r="S264" s="390">
        <f>SUM(S255:S263)</f>
        <v>0.99999999999999989</v>
      </c>
      <c r="T264" s="338">
        <f>SUM(T255:T263)</f>
        <v>1095125</v>
      </c>
      <c r="U264" s="390">
        <f>SUM(U255:U263)</f>
        <v>0.99999999999999989</v>
      </c>
      <c r="V264" s="288"/>
      <c r="W264" s="291"/>
      <c r="X264" s="5"/>
    </row>
    <row r="265" spans="1:25" ht="15.6" x14ac:dyDescent="0.3">
      <c r="A265" s="183"/>
      <c r="B265" s="198"/>
      <c r="C265" s="198"/>
      <c r="D265" s="198"/>
      <c r="E265" s="198"/>
      <c r="F265" s="198"/>
      <c r="G265" s="198"/>
      <c r="H265" s="386"/>
      <c r="I265" s="386"/>
      <c r="J265" s="386"/>
      <c r="K265" s="386"/>
      <c r="L265" s="386"/>
      <c r="M265" s="386"/>
      <c r="N265" s="386"/>
      <c r="O265" s="386"/>
      <c r="P265" s="386"/>
      <c r="Q265" s="386"/>
      <c r="R265" s="335"/>
      <c r="S265" s="387"/>
      <c r="T265" s="388"/>
      <c r="U265" s="387"/>
      <c r="V265" s="198"/>
      <c r="W265" s="198"/>
      <c r="X265" s="5"/>
    </row>
    <row r="266" spans="1:25" ht="15.6" x14ac:dyDescent="0.3">
      <c r="A266" s="280"/>
      <c r="B266" s="399" t="s">
        <v>275</v>
      </c>
      <c r="C266" s="400"/>
      <c r="D266" s="400"/>
      <c r="E266" s="400"/>
      <c r="F266" s="406"/>
      <c r="G266" s="400"/>
      <c r="H266" s="400"/>
      <c r="I266" s="400"/>
      <c r="J266" s="400"/>
      <c r="K266" s="400"/>
      <c r="L266" s="400"/>
      <c r="M266" s="400"/>
      <c r="N266" s="400"/>
      <c r="O266" s="400"/>
      <c r="P266" s="400"/>
      <c r="Q266" s="400"/>
      <c r="R266" s="406" t="s">
        <v>102</v>
      </c>
      <c r="S266" s="400" t="s">
        <v>103</v>
      </c>
      <c r="T266" s="406" t="s">
        <v>109</v>
      </c>
      <c r="U266" s="400" t="s">
        <v>103</v>
      </c>
      <c r="V266" s="281"/>
      <c r="W266" s="282"/>
      <c r="X266" s="5"/>
    </row>
    <row r="267" spans="1:25" ht="15.6" x14ac:dyDescent="0.3">
      <c r="A267" s="197"/>
      <c r="B267" s="234" t="s">
        <v>88</v>
      </c>
      <c r="C267" s="253"/>
      <c r="D267" s="253"/>
      <c r="E267" s="253"/>
      <c r="F267" s="231"/>
      <c r="G267" s="253"/>
      <c r="H267" s="253"/>
      <c r="I267" s="253"/>
      <c r="J267" s="253"/>
      <c r="K267" s="253"/>
      <c r="L267" s="253"/>
      <c r="M267" s="253"/>
      <c r="N267" s="253"/>
      <c r="O267" s="253"/>
      <c r="P267" s="253"/>
      <c r="Q267" s="253"/>
      <c r="R267" s="234">
        <v>146</v>
      </c>
      <c r="S267" s="254">
        <f t="shared" ref="S267:S274" si="7">R267/$R$276</f>
        <v>0.77248677248677244</v>
      </c>
      <c r="T267" s="241">
        <v>20454</v>
      </c>
      <c r="U267" s="254">
        <f t="shared" ref="U267:U274" si="8">T267/$T$276</f>
        <v>0.7711506560096516</v>
      </c>
      <c r="V267" s="231"/>
      <c r="W267" s="231"/>
      <c r="X267" s="5"/>
    </row>
    <row r="268" spans="1:25" ht="15.6" x14ac:dyDescent="0.3">
      <c r="A268" s="287"/>
      <c r="B268" s="337" t="s">
        <v>89</v>
      </c>
      <c r="C268" s="389"/>
      <c r="D268" s="389"/>
      <c r="E268" s="389"/>
      <c r="F268" s="288"/>
      <c r="G268" s="390"/>
      <c r="H268" s="389"/>
      <c r="I268" s="389"/>
      <c r="J268" s="389"/>
      <c r="K268" s="389"/>
      <c r="L268" s="389"/>
      <c r="M268" s="389"/>
      <c r="N268" s="389"/>
      <c r="O268" s="389"/>
      <c r="P268" s="389"/>
      <c r="Q268" s="389"/>
      <c r="R268" s="337">
        <v>3</v>
      </c>
      <c r="S268" s="390">
        <f t="shared" si="7"/>
        <v>1.5873015873015872E-2</v>
      </c>
      <c r="T268" s="338">
        <v>373</v>
      </c>
      <c r="U268" s="390">
        <f t="shared" si="8"/>
        <v>1.4062735635650732E-2</v>
      </c>
      <c r="V268" s="288"/>
      <c r="W268" s="291"/>
      <c r="X268" s="5"/>
    </row>
    <row r="269" spans="1:25" ht="15.6" x14ac:dyDescent="0.3">
      <c r="A269" s="287"/>
      <c r="B269" s="337" t="s">
        <v>90</v>
      </c>
      <c r="C269" s="389"/>
      <c r="D269" s="389"/>
      <c r="E269" s="389"/>
      <c r="F269" s="288"/>
      <c r="G269" s="390"/>
      <c r="H269" s="389"/>
      <c r="I269" s="389"/>
      <c r="J269" s="389"/>
      <c r="K269" s="389"/>
      <c r="L269" s="389"/>
      <c r="M269" s="389"/>
      <c r="N269" s="389"/>
      <c r="O269" s="389"/>
      <c r="P269" s="389"/>
      <c r="Q269" s="389"/>
      <c r="R269" s="337">
        <v>4</v>
      </c>
      <c r="S269" s="390">
        <f t="shared" si="7"/>
        <v>2.1164021164021163E-2</v>
      </c>
      <c r="T269" s="338">
        <v>439</v>
      </c>
      <c r="U269" s="390">
        <f t="shared" si="8"/>
        <v>1.6551048107374452E-2</v>
      </c>
      <c r="V269" s="288"/>
      <c r="W269" s="291"/>
      <c r="X269" s="5"/>
    </row>
    <row r="270" spans="1:25" ht="15.6" x14ac:dyDescent="0.3">
      <c r="A270" s="287"/>
      <c r="B270" s="337" t="s">
        <v>156</v>
      </c>
      <c r="C270" s="389"/>
      <c r="D270" s="389"/>
      <c r="E270" s="389"/>
      <c r="F270" s="288"/>
      <c r="G270" s="390"/>
      <c r="H270" s="389"/>
      <c r="I270" s="389"/>
      <c r="J270" s="389"/>
      <c r="K270" s="389"/>
      <c r="L270" s="389"/>
      <c r="M270" s="389"/>
      <c r="N270" s="389"/>
      <c r="O270" s="389"/>
      <c r="P270" s="389"/>
      <c r="Q270" s="389"/>
      <c r="R270" s="337">
        <v>4</v>
      </c>
      <c r="S270" s="390">
        <f t="shared" si="7"/>
        <v>2.1164021164021163E-2</v>
      </c>
      <c r="T270" s="338">
        <v>501</v>
      </c>
      <c r="U270" s="390">
        <f t="shared" si="8"/>
        <v>1.8888553762630073E-2</v>
      </c>
      <c r="V270" s="288"/>
      <c r="W270" s="291"/>
      <c r="X270" s="5"/>
    </row>
    <row r="271" spans="1:25" ht="15.6" x14ac:dyDescent="0.3">
      <c r="A271" s="287"/>
      <c r="B271" s="337" t="s">
        <v>157</v>
      </c>
      <c r="C271" s="389"/>
      <c r="D271" s="389"/>
      <c r="E271" s="389"/>
      <c r="F271" s="288"/>
      <c r="G271" s="390"/>
      <c r="H271" s="389"/>
      <c r="I271" s="389"/>
      <c r="J271" s="389"/>
      <c r="K271" s="389"/>
      <c r="L271" s="389"/>
      <c r="M271" s="389"/>
      <c r="N271" s="389"/>
      <c r="O271" s="389"/>
      <c r="P271" s="389"/>
      <c r="Q271" s="389"/>
      <c r="R271" s="337">
        <v>0</v>
      </c>
      <c r="S271" s="390">
        <f t="shared" si="7"/>
        <v>0</v>
      </c>
      <c r="T271" s="338">
        <v>0</v>
      </c>
      <c r="U271" s="390">
        <f t="shared" si="8"/>
        <v>0</v>
      </c>
      <c r="V271" s="288"/>
      <c r="W271" s="291"/>
      <c r="X271" s="5"/>
    </row>
    <row r="272" spans="1:25" ht="15.6" x14ac:dyDescent="0.3">
      <c r="A272" s="287"/>
      <c r="B272" s="337" t="s">
        <v>158</v>
      </c>
      <c r="C272" s="389"/>
      <c r="D272" s="389"/>
      <c r="E272" s="389"/>
      <c r="F272" s="288"/>
      <c r="G272" s="390"/>
      <c r="H272" s="389"/>
      <c r="I272" s="389"/>
      <c r="J272" s="389"/>
      <c r="K272" s="389"/>
      <c r="L272" s="389"/>
      <c r="M272" s="389"/>
      <c r="N272" s="389"/>
      <c r="O272" s="389"/>
      <c r="P272" s="389"/>
      <c r="Q272" s="389"/>
      <c r="R272" s="337">
        <v>3</v>
      </c>
      <c r="S272" s="390">
        <f t="shared" si="7"/>
        <v>1.5873015873015872E-2</v>
      </c>
      <c r="T272" s="338">
        <v>328</v>
      </c>
      <c r="U272" s="390">
        <f t="shared" si="8"/>
        <v>1.2366158950384558E-2</v>
      </c>
      <c r="V272" s="288"/>
      <c r="W272" s="291"/>
      <c r="X272" s="5"/>
    </row>
    <row r="273" spans="1:24" ht="15.6" x14ac:dyDescent="0.3">
      <c r="A273" s="287"/>
      <c r="B273" s="337" t="s">
        <v>159</v>
      </c>
      <c r="C273" s="389"/>
      <c r="D273" s="389"/>
      <c r="E273" s="389"/>
      <c r="F273" s="288"/>
      <c r="G273" s="390"/>
      <c r="H273" s="389"/>
      <c r="I273" s="389"/>
      <c r="J273" s="389"/>
      <c r="K273" s="389"/>
      <c r="L273" s="389"/>
      <c r="M273" s="389"/>
      <c r="N273" s="389"/>
      <c r="O273" s="389"/>
      <c r="P273" s="389"/>
      <c r="Q273" s="389"/>
      <c r="R273" s="337">
        <v>12</v>
      </c>
      <c r="S273" s="390">
        <f t="shared" si="7"/>
        <v>6.3492063492063489E-2</v>
      </c>
      <c r="T273" s="338">
        <v>1493</v>
      </c>
      <c r="U273" s="390">
        <f t="shared" si="8"/>
        <v>5.6288644246719949E-2</v>
      </c>
      <c r="V273" s="288"/>
      <c r="W273" s="291"/>
      <c r="X273" s="5"/>
    </row>
    <row r="274" spans="1:24" ht="15.6" x14ac:dyDescent="0.3">
      <c r="A274" s="287"/>
      <c r="B274" s="337" t="s">
        <v>160</v>
      </c>
      <c r="C274" s="389"/>
      <c r="D274" s="389"/>
      <c r="E274" s="389"/>
      <c r="F274" s="288"/>
      <c r="G274" s="390"/>
      <c r="H274" s="389"/>
      <c r="I274" s="389"/>
      <c r="J274" s="389"/>
      <c r="K274" s="389"/>
      <c r="L274" s="389"/>
      <c r="M274" s="389"/>
      <c r="N274" s="389"/>
      <c r="O274" s="389"/>
      <c r="P274" s="389"/>
      <c r="Q274" s="389"/>
      <c r="R274" s="337">
        <v>17</v>
      </c>
      <c r="S274" s="390">
        <f t="shared" si="7"/>
        <v>8.9947089947089942E-2</v>
      </c>
      <c r="T274" s="338">
        <v>2936</v>
      </c>
      <c r="U274" s="390">
        <f t="shared" si="8"/>
        <v>0.11069220328758859</v>
      </c>
      <c r="V274" s="288"/>
      <c r="W274" s="291"/>
      <c r="X274" s="5"/>
    </row>
    <row r="275" spans="1:24" ht="15.6" x14ac:dyDescent="0.3">
      <c r="A275" s="287"/>
      <c r="B275" s="337"/>
      <c r="C275" s="389"/>
      <c r="D275" s="389"/>
      <c r="E275" s="389"/>
      <c r="F275" s="288"/>
      <c r="G275" s="390"/>
      <c r="H275" s="389"/>
      <c r="I275" s="389"/>
      <c r="J275" s="389"/>
      <c r="K275" s="389"/>
      <c r="L275" s="389"/>
      <c r="M275" s="389"/>
      <c r="N275" s="389"/>
      <c r="O275" s="389"/>
      <c r="P275" s="389"/>
      <c r="Q275" s="389"/>
      <c r="R275" s="337"/>
      <c r="S275" s="390"/>
      <c r="T275" s="338"/>
      <c r="U275" s="390"/>
      <c r="V275" s="288"/>
      <c r="W275" s="291"/>
      <c r="X275" s="5"/>
    </row>
    <row r="276" spans="1:24" ht="15.6" x14ac:dyDescent="0.3">
      <c r="A276" s="287"/>
      <c r="B276" s="288"/>
      <c r="C276" s="288"/>
      <c r="D276" s="288"/>
      <c r="E276" s="288"/>
      <c r="F276" s="288"/>
      <c r="G276" s="288"/>
      <c r="H276" s="391"/>
      <c r="I276" s="391"/>
      <c r="J276" s="391"/>
      <c r="K276" s="391"/>
      <c r="L276" s="391"/>
      <c r="M276" s="391"/>
      <c r="N276" s="391"/>
      <c r="O276" s="391"/>
      <c r="P276" s="391"/>
      <c r="Q276" s="391"/>
      <c r="R276" s="337">
        <f>SUM(R267:R275)</f>
        <v>189</v>
      </c>
      <c r="S276" s="390">
        <f>SUM(S267:S275)</f>
        <v>1</v>
      </c>
      <c r="T276" s="338">
        <f>SUM(T267:T275)</f>
        <v>26524</v>
      </c>
      <c r="U276" s="390">
        <f>SUM(U267:U275)</f>
        <v>0.99999999999999989</v>
      </c>
      <c r="V276" s="288"/>
      <c r="W276" s="291"/>
      <c r="X276" s="5"/>
    </row>
    <row r="277" spans="1:24" ht="15.6" x14ac:dyDescent="0.3">
      <c r="A277" s="183"/>
      <c r="B277" s="284"/>
      <c r="C277" s="284"/>
      <c r="D277" s="284"/>
      <c r="E277" s="284"/>
      <c r="F277" s="284"/>
      <c r="G277" s="284"/>
      <c r="H277" s="392"/>
      <c r="I277" s="392"/>
      <c r="J277" s="392"/>
      <c r="K277" s="392"/>
      <c r="L277" s="392"/>
      <c r="M277" s="392"/>
      <c r="N277" s="392"/>
      <c r="O277" s="392"/>
      <c r="P277" s="392"/>
      <c r="Q277" s="392"/>
      <c r="R277" s="339"/>
      <c r="S277" s="393"/>
      <c r="T277" s="394"/>
      <c r="U277" s="393"/>
      <c r="V277" s="284"/>
      <c r="W277" s="284"/>
      <c r="X277" s="5"/>
    </row>
    <row r="278" spans="1:24" ht="15.6" x14ac:dyDescent="0.3">
      <c r="A278" s="280"/>
      <c r="B278" s="399" t="s">
        <v>163</v>
      </c>
      <c r="C278" s="281"/>
      <c r="D278" s="281"/>
      <c r="E278" s="281"/>
      <c r="F278" s="281"/>
      <c r="G278" s="281"/>
      <c r="H278" s="283"/>
      <c r="I278" s="283"/>
      <c r="J278" s="283"/>
      <c r="K278" s="283"/>
      <c r="L278" s="283"/>
      <c r="M278" s="283"/>
      <c r="N278" s="283"/>
      <c r="O278" s="283"/>
      <c r="P278" s="283"/>
      <c r="Q278" s="283"/>
      <c r="R278" s="406" t="s">
        <v>102</v>
      </c>
      <c r="S278" s="400" t="s">
        <v>103</v>
      </c>
      <c r="T278" s="406" t="s">
        <v>109</v>
      </c>
      <c r="U278" s="400" t="s">
        <v>103</v>
      </c>
      <c r="V278" s="281"/>
      <c r="W278" s="282"/>
      <c r="X278" s="5"/>
    </row>
    <row r="279" spans="1:24" ht="15.6" x14ac:dyDescent="0.3">
      <c r="A279" s="197"/>
      <c r="B279" s="234" t="s">
        <v>88</v>
      </c>
      <c r="C279" s="231"/>
      <c r="D279" s="231"/>
      <c r="E279" s="231"/>
      <c r="F279" s="231"/>
      <c r="G279" s="231"/>
      <c r="H279" s="255"/>
      <c r="I279" s="255"/>
      <c r="J279" s="255"/>
      <c r="K279" s="255"/>
      <c r="L279" s="255"/>
      <c r="M279" s="255"/>
      <c r="N279" s="255"/>
      <c r="O279" s="255"/>
      <c r="P279" s="255"/>
      <c r="Q279" s="255"/>
      <c r="R279" s="234">
        <v>0</v>
      </c>
      <c r="S279" s="254">
        <v>0</v>
      </c>
      <c r="T279" s="241">
        <v>0</v>
      </c>
      <c r="U279" s="254">
        <v>0</v>
      </c>
      <c r="V279" s="231"/>
      <c r="W279" s="231"/>
      <c r="X279" s="5"/>
    </row>
    <row r="280" spans="1:24" ht="15.6" x14ac:dyDescent="0.3">
      <c r="A280" s="287"/>
      <c r="B280" s="337" t="s">
        <v>89</v>
      </c>
      <c r="C280" s="288"/>
      <c r="D280" s="288"/>
      <c r="E280" s="288"/>
      <c r="F280" s="288"/>
      <c r="G280" s="288"/>
      <c r="H280" s="391"/>
      <c r="I280" s="391"/>
      <c r="J280" s="391"/>
      <c r="K280" s="391"/>
      <c r="L280" s="391"/>
      <c r="M280" s="391"/>
      <c r="N280" s="391"/>
      <c r="O280" s="391"/>
      <c r="P280" s="391"/>
      <c r="Q280" s="391"/>
      <c r="R280" s="337">
        <v>0</v>
      </c>
      <c r="S280" s="390">
        <v>0</v>
      </c>
      <c r="T280" s="338">
        <v>0</v>
      </c>
      <c r="U280" s="390">
        <v>0</v>
      </c>
      <c r="V280" s="288"/>
      <c r="W280" s="291"/>
      <c r="X280" s="5"/>
    </row>
    <row r="281" spans="1:24" ht="15.6" x14ac:dyDescent="0.3">
      <c r="A281" s="287"/>
      <c r="B281" s="337" t="s">
        <v>90</v>
      </c>
      <c r="C281" s="288"/>
      <c r="D281" s="288"/>
      <c r="E281" s="288"/>
      <c r="F281" s="288"/>
      <c r="G281" s="288"/>
      <c r="H281" s="391"/>
      <c r="I281" s="391"/>
      <c r="J281" s="391"/>
      <c r="K281" s="391"/>
      <c r="L281" s="391"/>
      <c r="M281" s="391"/>
      <c r="N281" s="391"/>
      <c r="O281" s="391"/>
      <c r="P281" s="391"/>
      <c r="Q281" s="391"/>
      <c r="R281" s="337">
        <v>0</v>
      </c>
      <c r="S281" s="390">
        <v>0</v>
      </c>
      <c r="T281" s="338">
        <v>0</v>
      </c>
      <c r="U281" s="390">
        <v>0</v>
      </c>
      <c r="V281" s="288"/>
      <c r="W281" s="291"/>
      <c r="X281" s="5"/>
    </row>
    <row r="282" spans="1:24" ht="15.6" x14ac:dyDescent="0.3">
      <c r="A282" s="287"/>
      <c r="B282" s="337" t="s">
        <v>156</v>
      </c>
      <c r="C282" s="288"/>
      <c r="D282" s="288"/>
      <c r="E282" s="288"/>
      <c r="F282" s="288"/>
      <c r="G282" s="288"/>
      <c r="H282" s="391"/>
      <c r="I282" s="391"/>
      <c r="J282" s="391"/>
      <c r="K282" s="391"/>
      <c r="L282" s="391"/>
      <c r="M282" s="391"/>
      <c r="N282" s="391"/>
      <c r="O282" s="391"/>
      <c r="P282" s="391"/>
      <c r="Q282" s="391"/>
      <c r="R282" s="337">
        <v>0</v>
      </c>
      <c r="S282" s="390">
        <v>0</v>
      </c>
      <c r="T282" s="338">
        <v>0</v>
      </c>
      <c r="U282" s="390">
        <v>0</v>
      </c>
      <c r="V282" s="288"/>
      <c r="W282" s="291"/>
      <c r="X282" s="5"/>
    </row>
    <row r="283" spans="1:24" ht="15.6" x14ac:dyDescent="0.3">
      <c r="A283" s="287"/>
      <c r="B283" s="337" t="s">
        <v>157</v>
      </c>
      <c r="C283" s="288"/>
      <c r="D283" s="288"/>
      <c r="E283" s="288"/>
      <c r="F283" s="288"/>
      <c r="G283" s="288"/>
      <c r="H283" s="391"/>
      <c r="I283" s="391"/>
      <c r="J283" s="391"/>
      <c r="K283" s="391"/>
      <c r="L283" s="391"/>
      <c r="M283" s="391"/>
      <c r="N283" s="391"/>
      <c r="O283" s="391"/>
      <c r="P283" s="391"/>
      <c r="Q283" s="391"/>
      <c r="R283" s="337">
        <v>0</v>
      </c>
      <c r="S283" s="390">
        <v>0</v>
      </c>
      <c r="T283" s="338">
        <v>0</v>
      </c>
      <c r="U283" s="390">
        <v>0</v>
      </c>
      <c r="V283" s="288"/>
      <c r="W283" s="291"/>
      <c r="X283" s="5"/>
    </row>
    <row r="284" spans="1:24" ht="15.6" x14ac:dyDescent="0.3">
      <c r="A284" s="287"/>
      <c r="B284" s="337" t="s">
        <v>158</v>
      </c>
      <c r="C284" s="288"/>
      <c r="D284" s="288"/>
      <c r="E284" s="288"/>
      <c r="F284" s="288"/>
      <c r="G284" s="288"/>
      <c r="H284" s="391"/>
      <c r="I284" s="391"/>
      <c r="J284" s="391"/>
      <c r="K284" s="391"/>
      <c r="L284" s="391"/>
      <c r="M284" s="391"/>
      <c r="N284" s="391"/>
      <c r="O284" s="391"/>
      <c r="P284" s="391"/>
      <c r="Q284" s="391"/>
      <c r="R284" s="337">
        <v>0</v>
      </c>
      <c r="S284" s="390">
        <v>0</v>
      </c>
      <c r="T284" s="338">
        <v>0</v>
      </c>
      <c r="U284" s="390">
        <v>0</v>
      </c>
      <c r="V284" s="288"/>
      <c r="W284" s="291"/>
      <c r="X284" s="5"/>
    </row>
    <row r="285" spans="1:24" ht="15.6" x14ac:dyDescent="0.3">
      <c r="A285" s="287"/>
      <c r="B285" s="337" t="s">
        <v>159</v>
      </c>
      <c r="C285" s="288"/>
      <c r="D285" s="288"/>
      <c r="E285" s="288"/>
      <c r="F285" s="288"/>
      <c r="G285" s="288"/>
      <c r="H285" s="391"/>
      <c r="I285" s="391"/>
      <c r="J285" s="391"/>
      <c r="K285" s="391"/>
      <c r="L285" s="391"/>
      <c r="M285" s="391"/>
      <c r="N285" s="391"/>
      <c r="O285" s="391"/>
      <c r="P285" s="391"/>
      <c r="Q285" s="391"/>
      <c r="R285" s="337">
        <v>0</v>
      </c>
      <c r="S285" s="390">
        <v>0</v>
      </c>
      <c r="T285" s="338">
        <v>0</v>
      </c>
      <c r="U285" s="390">
        <v>0</v>
      </c>
      <c r="V285" s="288"/>
      <c r="W285" s="291"/>
      <c r="X285" s="5"/>
    </row>
    <row r="286" spans="1:24" ht="15.6" x14ac:dyDescent="0.3">
      <c r="A286" s="287"/>
      <c r="B286" s="337" t="s">
        <v>160</v>
      </c>
      <c r="C286" s="288"/>
      <c r="D286" s="288"/>
      <c r="E286" s="288"/>
      <c r="F286" s="288"/>
      <c r="G286" s="288"/>
      <c r="H286" s="391"/>
      <c r="I286" s="391"/>
      <c r="J286" s="391"/>
      <c r="K286" s="391"/>
      <c r="L286" s="391"/>
      <c r="M286" s="391"/>
      <c r="N286" s="391"/>
      <c r="O286" s="391"/>
      <c r="P286" s="391"/>
      <c r="Q286" s="391"/>
      <c r="R286" s="337">
        <v>0</v>
      </c>
      <c r="S286" s="390">
        <v>0</v>
      </c>
      <c r="T286" s="338">
        <v>0</v>
      </c>
      <c r="U286" s="390">
        <v>0</v>
      </c>
      <c r="V286" s="288"/>
      <c r="W286" s="291"/>
      <c r="X286" s="5"/>
    </row>
    <row r="287" spans="1:24" ht="15.6" x14ac:dyDescent="0.3">
      <c r="A287" s="287"/>
      <c r="B287" s="337"/>
      <c r="C287" s="288"/>
      <c r="D287" s="288"/>
      <c r="E287" s="288"/>
      <c r="F287" s="288"/>
      <c r="G287" s="288"/>
      <c r="H287" s="391"/>
      <c r="I287" s="391"/>
      <c r="J287" s="391"/>
      <c r="K287" s="391"/>
      <c r="L287" s="391"/>
      <c r="M287" s="391"/>
      <c r="N287" s="391"/>
      <c r="O287" s="391"/>
      <c r="P287" s="391"/>
      <c r="Q287" s="391"/>
      <c r="R287" s="337"/>
      <c r="S287" s="390"/>
      <c r="T287" s="338"/>
      <c r="U287" s="390"/>
      <c r="V287" s="288"/>
      <c r="W287" s="291"/>
      <c r="X287" s="5"/>
    </row>
    <row r="288" spans="1:24" ht="15.6" x14ac:dyDescent="0.3">
      <c r="A288" s="287"/>
      <c r="B288" s="288" t="s">
        <v>114</v>
      </c>
      <c r="C288" s="288"/>
      <c r="D288" s="288"/>
      <c r="E288" s="288"/>
      <c r="F288" s="288"/>
      <c r="G288" s="288"/>
      <c r="H288" s="391"/>
      <c r="I288" s="391"/>
      <c r="J288" s="391"/>
      <c r="K288" s="391"/>
      <c r="L288" s="391"/>
      <c r="M288" s="391"/>
      <c r="N288" s="391"/>
      <c r="O288" s="391"/>
      <c r="P288" s="391"/>
      <c r="Q288" s="391"/>
      <c r="R288" s="337">
        <f>SUM(R279:R286)</f>
        <v>0</v>
      </c>
      <c r="S288" s="390">
        <f>SUM(S279:S287)</f>
        <v>0</v>
      </c>
      <c r="T288" s="338">
        <f>SUM(T279:T286)</f>
        <v>0</v>
      </c>
      <c r="U288" s="390">
        <f>SUM(U279:U287)</f>
        <v>0</v>
      </c>
      <c r="V288" s="288"/>
      <c r="W288" s="291"/>
      <c r="X288" s="5"/>
    </row>
    <row r="289" spans="1:24" ht="15.6" x14ac:dyDescent="0.3">
      <c r="A289" s="287"/>
      <c r="B289" s="288"/>
      <c r="C289" s="288"/>
      <c r="D289" s="288"/>
      <c r="E289" s="288"/>
      <c r="F289" s="288"/>
      <c r="G289" s="288"/>
      <c r="H289" s="391"/>
      <c r="I289" s="391"/>
      <c r="J289" s="391"/>
      <c r="K289" s="391"/>
      <c r="L289" s="391"/>
      <c r="M289" s="391"/>
      <c r="N289" s="391"/>
      <c r="O289" s="391"/>
      <c r="P289" s="391"/>
      <c r="Q289" s="391"/>
      <c r="R289" s="337"/>
      <c r="S289" s="390"/>
      <c r="T289" s="338"/>
      <c r="U289" s="390"/>
      <c r="V289" s="288"/>
      <c r="W289" s="291"/>
      <c r="X289" s="5"/>
    </row>
    <row r="290" spans="1:24" ht="15.6" x14ac:dyDescent="0.3">
      <c r="A290" s="287"/>
      <c r="B290" s="295" t="s">
        <v>164</v>
      </c>
      <c r="C290" s="288"/>
      <c r="D290" s="288"/>
      <c r="E290" s="288"/>
      <c r="F290" s="288"/>
      <c r="G290" s="288"/>
      <c r="H290" s="391"/>
      <c r="I290" s="391"/>
      <c r="J290" s="391"/>
      <c r="K290" s="391"/>
      <c r="L290" s="391"/>
      <c r="M290" s="391"/>
      <c r="N290" s="391"/>
      <c r="O290" s="391"/>
      <c r="P290" s="391"/>
      <c r="Q290" s="391"/>
      <c r="R290" s="407">
        <f>R288+R276+R264</f>
        <v>7983</v>
      </c>
      <c r="S290" s="390"/>
      <c r="T290" s="396">
        <f>+T288+T276+T264</f>
        <v>1121649</v>
      </c>
      <c r="U290" s="390"/>
      <c r="V290" s="288"/>
      <c r="W290" s="291"/>
      <c r="X290" s="5"/>
    </row>
    <row r="291" spans="1:24" ht="15.6" x14ac:dyDescent="0.3">
      <c r="A291" s="183"/>
      <c r="B291" s="284"/>
      <c r="C291" s="284"/>
      <c r="D291" s="284"/>
      <c r="E291" s="284"/>
      <c r="F291" s="284"/>
      <c r="G291" s="284"/>
      <c r="H291" s="392"/>
      <c r="I291" s="392"/>
      <c r="J291" s="392"/>
      <c r="K291" s="392"/>
      <c r="L291" s="392"/>
      <c r="M291" s="392"/>
      <c r="N291" s="392"/>
      <c r="O291" s="392"/>
      <c r="P291" s="392"/>
      <c r="Q291" s="392"/>
      <c r="R291" s="392"/>
      <c r="S291" s="392"/>
      <c r="T291" s="394"/>
      <c r="U291" s="392"/>
      <c r="V291" s="284"/>
      <c r="W291" s="284"/>
      <c r="X291" s="5"/>
    </row>
    <row r="292" spans="1:24" ht="15.6" x14ac:dyDescent="0.3">
      <c r="A292" s="183"/>
      <c r="B292" s="224"/>
      <c r="C292" s="224"/>
      <c r="D292" s="224"/>
      <c r="E292" s="224"/>
      <c r="F292" s="224"/>
      <c r="G292" s="224"/>
      <c r="H292" s="256"/>
      <c r="I292" s="256"/>
      <c r="J292" s="256"/>
      <c r="K292" s="256"/>
      <c r="L292" s="256"/>
      <c r="M292" s="256"/>
      <c r="N292" s="256"/>
      <c r="O292" s="256"/>
      <c r="P292" s="256"/>
      <c r="Q292" s="256"/>
      <c r="R292" s="256"/>
      <c r="S292" s="256"/>
      <c r="T292" s="257"/>
      <c r="U292" s="256"/>
      <c r="V292" s="224"/>
      <c r="W292" s="224"/>
      <c r="X292" s="5"/>
    </row>
    <row r="293" spans="1:24" ht="15.6" x14ac:dyDescent="0.3">
      <c r="A293" s="219"/>
      <c r="B293" s="222" t="s">
        <v>91</v>
      </c>
      <c r="C293" s="224"/>
      <c r="D293" s="224"/>
      <c r="E293" s="224"/>
      <c r="F293" s="228" t="s">
        <v>97</v>
      </c>
      <c r="G293" s="224"/>
      <c r="H293" s="222" t="s">
        <v>99</v>
      </c>
      <c r="I293" s="222"/>
      <c r="J293" s="222"/>
      <c r="K293" s="258"/>
      <c r="L293" s="258"/>
      <c r="M293" s="258"/>
      <c r="N293" s="258"/>
      <c r="O293" s="258"/>
      <c r="P293" s="258"/>
      <c r="Q293" s="258"/>
      <c r="R293" s="258"/>
      <c r="S293" s="258"/>
      <c r="T293" s="258"/>
      <c r="U293" s="258"/>
      <c r="V293" s="258"/>
      <c r="W293" s="258"/>
      <c r="X293" s="5"/>
    </row>
    <row r="294" spans="1:24" ht="15.6" x14ac:dyDescent="0.3">
      <c r="A294" s="219"/>
      <c r="B294" s="258"/>
      <c r="C294" s="224"/>
      <c r="D294" s="224"/>
      <c r="E294" s="224"/>
      <c r="F294" s="224"/>
      <c r="G294" s="224"/>
      <c r="H294" s="224"/>
      <c r="I294" s="224"/>
      <c r="J294" s="224"/>
      <c r="K294" s="258"/>
      <c r="L294" s="258"/>
      <c r="M294" s="258"/>
      <c r="N294" s="258"/>
      <c r="O294" s="258"/>
      <c r="P294" s="258"/>
      <c r="Q294" s="258"/>
      <c r="R294" s="258"/>
      <c r="S294" s="258"/>
      <c r="T294" s="258"/>
      <c r="U294" s="258"/>
      <c r="V294" s="258"/>
      <c r="W294" s="258"/>
      <c r="X294" s="5"/>
    </row>
    <row r="295" spans="1:24" ht="15.6" x14ac:dyDescent="0.3">
      <c r="A295" s="219"/>
      <c r="B295" s="222" t="s">
        <v>92</v>
      </c>
      <c r="C295" s="222"/>
      <c r="D295" s="222"/>
      <c r="E295" s="222"/>
      <c r="F295" s="259" t="s">
        <v>148</v>
      </c>
      <c r="G295" s="222"/>
      <c r="H295" s="222" t="s">
        <v>152</v>
      </c>
      <c r="I295" s="222"/>
      <c r="J295" s="222"/>
      <c r="K295" s="258"/>
      <c r="L295" s="258"/>
      <c r="M295" s="258"/>
      <c r="N295" s="258"/>
      <c r="O295" s="258"/>
      <c r="P295" s="258"/>
      <c r="Q295" s="258"/>
      <c r="R295" s="258"/>
      <c r="S295" s="258"/>
      <c r="T295" s="258"/>
      <c r="U295" s="258"/>
      <c r="V295" s="258"/>
      <c r="W295" s="258"/>
      <c r="X295" s="5"/>
    </row>
    <row r="296" spans="1:24" ht="15.6" x14ac:dyDescent="0.3">
      <c r="A296" s="219"/>
      <c r="B296" s="222" t="s">
        <v>277</v>
      </c>
      <c r="C296" s="222"/>
      <c r="D296" s="222"/>
      <c r="E296" s="222"/>
      <c r="F296" s="259" t="s">
        <v>278</v>
      </c>
      <c r="G296" s="222"/>
      <c r="H296" s="222" t="s">
        <v>279</v>
      </c>
      <c r="I296" s="258"/>
      <c r="J296" s="222"/>
      <c r="K296" s="258"/>
      <c r="L296" s="258"/>
      <c r="M296" s="258"/>
      <c r="N296" s="258"/>
      <c r="O296" s="258"/>
      <c r="P296" s="258"/>
      <c r="Q296" s="258"/>
      <c r="R296" s="258"/>
      <c r="S296" s="258"/>
      <c r="T296" s="258"/>
      <c r="U296" s="258"/>
      <c r="V296" s="258"/>
      <c r="W296" s="258"/>
      <c r="X296" s="5"/>
    </row>
    <row r="297" spans="1:24" ht="15.6" x14ac:dyDescent="0.3">
      <c r="A297" s="219"/>
      <c r="B297" s="222" t="s">
        <v>93</v>
      </c>
      <c r="C297" s="222"/>
      <c r="D297" s="222"/>
      <c r="E297" s="222"/>
      <c r="F297" s="259" t="s">
        <v>147</v>
      </c>
      <c r="G297" s="222"/>
      <c r="H297" s="222" t="s">
        <v>153</v>
      </c>
      <c r="I297" s="222"/>
      <c r="J297" s="222"/>
      <c r="K297" s="258"/>
      <c r="L297" s="258"/>
      <c r="M297" s="258"/>
      <c r="N297" s="258"/>
      <c r="O297" s="258"/>
      <c r="P297" s="258"/>
      <c r="Q297" s="258"/>
      <c r="R297" s="258"/>
      <c r="S297" s="258"/>
      <c r="T297" s="258"/>
      <c r="U297" s="258"/>
      <c r="V297" s="258"/>
      <c r="W297" s="258"/>
      <c r="X297" s="5"/>
    </row>
    <row r="298" spans="1:24" ht="15.6" x14ac:dyDescent="0.3">
      <c r="A298" s="219"/>
      <c r="B298" s="222"/>
      <c r="C298" s="222"/>
      <c r="D298" s="222"/>
      <c r="E298" s="222"/>
      <c r="F298" s="222"/>
      <c r="G298" s="260"/>
      <c r="H298" s="258"/>
      <c r="I298" s="258"/>
      <c r="J298" s="258"/>
      <c r="K298" s="258"/>
      <c r="L298" s="258"/>
      <c r="M298" s="258"/>
      <c r="N298" s="258"/>
      <c r="O298" s="258"/>
      <c r="P298" s="258"/>
      <c r="Q298" s="258"/>
      <c r="R298" s="258"/>
      <c r="S298" s="258"/>
      <c r="T298" s="258"/>
      <c r="U298" s="258"/>
      <c r="V298" s="258"/>
      <c r="W298" s="258"/>
      <c r="X298" s="5"/>
    </row>
    <row r="299" spans="1:24" ht="15.6" x14ac:dyDescent="0.3">
      <c r="A299" s="219"/>
      <c r="B299" s="222"/>
      <c r="C299" s="222"/>
      <c r="D299" s="222"/>
      <c r="E299" s="222"/>
      <c r="F299" s="222"/>
      <c r="G299" s="260"/>
      <c r="H299" s="258"/>
      <c r="I299" s="258"/>
      <c r="J299" s="258"/>
      <c r="K299" s="258"/>
      <c r="L299" s="258"/>
      <c r="M299" s="258"/>
      <c r="N299" s="258"/>
      <c r="O299" s="258"/>
      <c r="P299" s="258"/>
      <c r="Q299" s="258"/>
      <c r="R299" s="258"/>
      <c r="S299" s="258"/>
      <c r="T299" s="258"/>
      <c r="U299" s="258"/>
      <c r="V299" s="258"/>
      <c r="W299" s="258"/>
      <c r="X299" s="5"/>
    </row>
    <row r="300" spans="1:24" ht="18" thickBot="1" x14ac:dyDescent="0.35">
      <c r="A300" s="219"/>
      <c r="B300" s="261" t="str">
        <f>B204</f>
        <v>PM14 INVESTOR REPORT QUARTER ENDING MAY 2012</v>
      </c>
      <c r="C300" s="222"/>
      <c r="D300" s="222"/>
      <c r="E300" s="222"/>
      <c r="F300" s="222"/>
      <c r="G300" s="260"/>
      <c r="H300" s="258"/>
      <c r="I300" s="258"/>
      <c r="J300" s="258"/>
      <c r="K300" s="258"/>
      <c r="L300" s="258"/>
      <c r="M300" s="258"/>
      <c r="N300" s="258"/>
      <c r="O300" s="258"/>
      <c r="P300" s="258"/>
      <c r="Q300" s="258"/>
      <c r="R300" s="258"/>
      <c r="S300" s="258"/>
      <c r="T300" s="258"/>
      <c r="U300" s="258"/>
      <c r="V300" s="258"/>
      <c r="W300" s="258"/>
      <c r="X300" s="5"/>
    </row>
    <row r="301" spans="1:24" x14ac:dyDescent="0.25">
      <c r="A301" s="100"/>
      <c r="B301" s="100"/>
      <c r="C301" s="100"/>
      <c r="D301" s="100"/>
      <c r="E301" s="100"/>
      <c r="F301" s="100"/>
      <c r="G301" s="100"/>
      <c r="H301" s="100"/>
      <c r="I301" s="100"/>
      <c r="J301" s="100"/>
      <c r="K301" s="100"/>
      <c r="L301" s="100"/>
      <c r="M301" s="100"/>
      <c r="N301" s="100"/>
      <c r="O301" s="100"/>
      <c r="P301" s="100"/>
      <c r="Q301" s="100"/>
      <c r="R301" s="100"/>
      <c r="S301" s="100"/>
      <c r="T301" s="100"/>
      <c r="U301" s="100"/>
      <c r="V301" s="100"/>
      <c r="W301" s="100"/>
    </row>
  </sheetData>
  <hyperlinks>
    <hyperlink ref="P240" r:id="rId1" xr:uid="{00000000-0004-0000-1300-000000000000}"/>
    <hyperlink ref="I9" r:id="rId2" xr:uid="{00000000-0004-0000-13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8" max="14" man="1"/>
    <brk id="204" max="14" man="1"/>
  </rowBreak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theme="6"/>
  </sheetPr>
  <dimension ref="A1:IV301"/>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80"/>
      <c r="B1" s="220" t="s">
        <v>244</v>
      </c>
      <c r="C1" s="181"/>
      <c r="D1" s="181"/>
      <c r="E1" s="181"/>
      <c r="F1" s="181"/>
      <c r="G1" s="181"/>
      <c r="H1" s="181"/>
      <c r="I1" s="181"/>
      <c r="J1" s="181"/>
      <c r="K1" s="181"/>
      <c r="L1" s="181"/>
      <c r="M1" s="181"/>
      <c r="N1" s="181"/>
      <c r="O1" s="181"/>
      <c r="P1" s="181"/>
      <c r="Q1" s="181"/>
      <c r="R1" s="181"/>
      <c r="S1" s="181"/>
      <c r="T1" s="181"/>
      <c r="U1" s="181"/>
      <c r="V1" s="181"/>
      <c r="W1" s="181"/>
      <c r="X1" s="5"/>
    </row>
    <row r="2" spans="1:24" ht="15.6" x14ac:dyDescent="0.3">
      <c r="A2" s="183"/>
      <c r="B2" s="184"/>
      <c r="C2" s="185"/>
      <c r="D2" s="185"/>
      <c r="E2" s="185"/>
      <c r="F2" s="185"/>
      <c r="G2" s="185"/>
      <c r="H2" s="185"/>
      <c r="I2" s="185"/>
      <c r="J2" s="185"/>
      <c r="K2" s="185"/>
      <c r="L2" s="185"/>
      <c r="M2" s="185"/>
      <c r="N2" s="185"/>
      <c r="O2" s="185"/>
      <c r="P2" s="185"/>
      <c r="Q2" s="185"/>
      <c r="R2" s="185"/>
      <c r="S2" s="185"/>
      <c r="T2" s="185"/>
      <c r="U2" s="185"/>
      <c r="V2" s="185"/>
      <c r="W2" s="185"/>
      <c r="X2" s="5"/>
    </row>
    <row r="3" spans="1:24" ht="15.6" x14ac:dyDescent="0.3">
      <c r="A3" s="186"/>
      <c r="B3" s="187" t="s">
        <v>245</v>
      </c>
      <c r="C3" s="185"/>
      <c r="D3" s="185"/>
      <c r="E3" s="185"/>
      <c r="F3" s="185"/>
      <c r="G3" s="185"/>
      <c r="H3" s="185"/>
      <c r="I3" s="185"/>
      <c r="J3" s="185"/>
      <c r="K3" s="185"/>
      <c r="L3" s="185"/>
      <c r="M3" s="185"/>
      <c r="N3" s="185"/>
      <c r="O3" s="185"/>
      <c r="P3" s="185"/>
      <c r="Q3" s="185"/>
      <c r="R3" s="185"/>
      <c r="S3" s="185"/>
      <c r="T3" s="185"/>
      <c r="U3" s="185"/>
      <c r="V3" s="185"/>
      <c r="W3" s="185"/>
      <c r="X3" s="5"/>
    </row>
    <row r="4" spans="1:24" ht="15.6" x14ac:dyDescent="0.3">
      <c r="A4" s="183"/>
      <c r="B4" s="184"/>
      <c r="C4" s="185"/>
      <c r="D4" s="185"/>
      <c r="E4" s="185"/>
      <c r="F4" s="185"/>
      <c r="G4" s="185"/>
      <c r="H4" s="185"/>
      <c r="I4" s="185"/>
      <c r="J4" s="185"/>
      <c r="K4" s="185"/>
      <c r="L4" s="185"/>
      <c r="M4" s="185"/>
      <c r="N4" s="185"/>
      <c r="O4" s="185"/>
      <c r="P4" s="185"/>
      <c r="Q4" s="185"/>
      <c r="R4" s="185"/>
      <c r="S4" s="185"/>
      <c r="T4" s="185"/>
      <c r="U4" s="185"/>
      <c r="V4" s="185"/>
      <c r="W4" s="185"/>
      <c r="X4" s="5"/>
    </row>
    <row r="5" spans="1:24" ht="15.6" x14ac:dyDescent="0.3">
      <c r="A5" s="183"/>
      <c r="B5" s="221" t="s">
        <v>137</v>
      </c>
      <c r="C5" s="185"/>
      <c r="D5" s="185"/>
      <c r="E5" s="185"/>
      <c r="F5" s="185"/>
      <c r="G5" s="185"/>
      <c r="H5" s="185"/>
      <c r="I5" s="185"/>
      <c r="J5" s="185"/>
      <c r="K5" s="185"/>
      <c r="L5" s="185"/>
      <c r="M5" s="185"/>
      <c r="N5" s="185"/>
      <c r="O5" s="185"/>
      <c r="P5" s="185"/>
      <c r="Q5" s="185"/>
      <c r="R5" s="185"/>
      <c r="S5" s="185"/>
      <c r="T5" s="185"/>
      <c r="U5" s="185"/>
      <c r="V5" s="185"/>
      <c r="W5" s="185"/>
      <c r="X5" s="5"/>
    </row>
    <row r="6" spans="1:24" ht="15.6" x14ac:dyDescent="0.3">
      <c r="A6" s="183"/>
      <c r="B6" s="221" t="s">
        <v>139</v>
      </c>
      <c r="C6" s="185"/>
      <c r="D6" s="185"/>
      <c r="E6" s="185"/>
      <c r="F6" s="185"/>
      <c r="G6" s="185"/>
      <c r="H6" s="185"/>
      <c r="I6" s="185"/>
      <c r="J6" s="185"/>
      <c r="K6" s="185"/>
      <c r="L6" s="185"/>
      <c r="M6" s="185"/>
      <c r="N6" s="185"/>
      <c r="O6" s="185"/>
      <c r="P6" s="185"/>
      <c r="Q6" s="185"/>
      <c r="R6" s="185"/>
      <c r="S6" s="185"/>
      <c r="T6" s="185"/>
      <c r="U6" s="185"/>
      <c r="V6" s="185"/>
      <c r="W6" s="185"/>
      <c r="X6" s="5"/>
    </row>
    <row r="7" spans="1:24" ht="15.6" x14ac:dyDescent="0.3">
      <c r="A7" s="183"/>
      <c r="B7" s="221" t="s">
        <v>138</v>
      </c>
      <c r="C7" s="185"/>
      <c r="D7" s="185"/>
      <c r="E7" s="185"/>
      <c r="F7" s="185"/>
      <c r="G7" s="185"/>
      <c r="H7" s="185"/>
      <c r="I7" s="185"/>
      <c r="J7" s="185"/>
      <c r="K7" s="185"/>
      <c r="L7" s="185"/>
      <c r="M7" s="185"/>
      <c r="N7" s="185"/>
      <c r="O7" s="185"/>
      <c r="P7" s="185"/>
      <c r="Q7" s="185"/>
      <c r="R7" s="185"/>
      <c r="S7" s="185"/>
      <c r="T7" s="185"/>
      <c r="U7" s="185"/>
      <c r="V7" s="185"/>
      <c r="W7" s="185"/>
      <c r="X7" s="5"/>
    </row>
    <row r="8" spans="1:24" ht="15.6" x14ac:dyDescent="0.3">
      <c r="A8" s="183"/>
      <c r="B8" s="188"/>
      <c r="C8" s="185"/>
      <c r="D8" s="185"/>
      <c r="E8" s="185"/>
      <c r="F8" s="185"/>
      <c r="G8" s="185"/>
      <c r="H8" s="185"/>
      <c r="I8" s="185"/>
      <c r="J8" s="185"/>
      <c r="K8" s="185"/>
      <c r="L8" s="185"/>
      <c r="M8" s="185"/>
      <c r="N8" s="185"/>
      <c r="O8" s="185"/>
      <c r="P8" s="185"/>
      <c r="Q8" s="185"/>
      <c r="R8" s="185"/>
      <c r="S8" s="185"/>
      <c r="T8" s="185"/>
      <c r="U8" s="185"/>
      <c r="V8" s="185"/>
      <c r="W8" s="185"/>
      <c r="X8" s="5"/>
    </row>
    <row r="9" spans="1:24" ht="17.399999999999999" x14ac:dyDescent="0.3">
      <c r="A9" s="183"/>
      <c r="B9" s="189" t="s">
        <v>166</v>
      </c>
      <c r="C9" s="185"/>
      <c r="D9" s="185"/>
      <c r="E9" s="185"/>
      <c r="F9" s="185"/>
      <c r="G9" s="185"/>
      <c r="H9" s="185"/>
      <c r="I9" s="190" t="s">
        <v>167</v>
      </c>
      <c r="J9" s="185"/>
      <c r="K9" s="185"/>
      <c r="L9" s="190"/>
      <c r="M9" s="185"/>
      <c r="N9" s="190"/>
      <c r="O9" s="185"/>
      <c r="P9" s="185"/>
      <c r="Q9" s="185"/>
      <c r="R9" s="185"/>
      <c r="S9" s="185"/>
      <c r="T9" s="185"/>
      <c r="U9" s="185"/>
      <c r="V9" s="185"/>
      <c r="W9" s="185"/>
      <c r="X9" s="5"/>
    </row>
    <row r="10" spans="1:24" ht="15.6" x14ac:dyDescent="0.3">
      <c r="A10" s="183"/>
      <c r="B10" s="188"/>
      <c r="C10" s="191"/>
      <c r="D10" s="191"/>
      <c r="E10" s="191"/>
      <c r="F10" s="185"/>
      <c r="G10" s="185"/>
      <c r="H10" s="185"/>
      <c r="I10" s="185"/>
      <c r="J10" s="185"/>
      <c r="K10" s="185"/>
      <c r="L10" s="185"/>
      <c r="M10" s="185"/>
      <c r="N10" s="185"/>
      <c r="O10" s="185"/>
      <c r="P10" s="185"/>
      <c r="Q10" s="185"/>
      <c r="R10" s="185"/>
      <c r="S10" s="185"/>
      <c r="T10" s="185"/>
      <c r="U10" s="185"/>
      <c r="V10" s="185"/>
      <c r="W10" s="185"/>
      <c r="X10" s="5"/>
    </row>
    <row r="11" spans="1:24" ht="15.6" x14ac:dyDescent="0.3">
      <c r="A11" s="183"/>
      <c r="B11" s="222" t="s">
        <v>0</v>
      </c>
      <c r="C11" s="185"/>
      <c r="D11" s="185"/>
      <c r="E11" s="185"/>
      <c r="F11" s="185"/>
      <c r="G11" s="185"/>
      <c r="H11" s="185"/>
      <c r="I11" s="185"/>
      <c r="J11" s="185"/>
      <c r="K11" s="185"/>
      <c r="L11" s="185"/>
      <c r="M11" s="185"/>
      <c r="N11" s="185"/>
      <c r="O11" s="185"/>
      <c r="P11" s="185"/>
      <c r="Q11" s="185"/>
      <c r="R11" s="185"/>
      <c r="S11" s="185"/>
      <c r="T11" s="185"/>
      <c r="U11" s="185"/>
      <c r="V11" s="185"/>
      <c r="W11" s="185"/>
      <c r="X11" s="5"/>
    </row>
    <row r="12" spans="1:24" ht="16.2" thickBot="1" x14ac:dyDescent="0.35">
      <c r="A12" s="183"/>
      <c r="B12" s="191"/>
      <c r="C12" s="185"/>
      <c r="D12" s="185"/>
      <c r="E12" s="185"/>
      <c r="F12" s="185"/>
      <c r="G12" s="185"/>
      <c r="H12" s="185"/>
      <c r="I12" s="185"/>
      <c r="J12" s="185"/>
      <c r="K12" s="185"/>
      <c r="L12" s="185"/>
      <c r="M12" s="185"/>
      <c r="N12" s="185"/>
      <c r="O12" s="185"/>
      <c r="P12" s="185"/>
      <c r="Q12" s="185"/>
      <c r="R12" s="185"/>
      <c r="S12" s="185"/>
      <c r="T12" s="185"/>
      <c r="U12" s="185"/>
      <c r="V12" s="185"/>
      <c r="W12" s="185"/>
      <c r="X12" s="5"/>
    </row>
    <row r="13" spans="1:24" ht="15.6" x14ac:dyDescent="0.3">
      <c r="A13" s="180"/>
      <c r="B13" s="181"/>
      <c r="C13" s="181"/>
      <c r="D13" s="181"/>
      <c r="E13" s="181"/>
      <c r="F13" s="181"/>
      <c r="G13" s="181"/>
      <c r="H13" s="181"/>
      <c r="I13" s="181"/>
      <c r="J13" s="181"/>
      <c r="K13" s="181"/>
      <c r="L13" s="181"/>
      <c r="M13" s="181"/>
      <c r="N13" s="181"/>
      <c r="O13" s="181"/>
      <c r="P13" s="181"/>
      <c r="Q13" s="181"/>
      <c r="R13" s="181"/>
      <c r="S13" s="181"/>
      <c r="T13" s="181"/>
      <c r="U13" s="181"/>
      <c r="V13" s="181"/>
      <c r="W13" s="181"/>
      <c r="X13" s="5"/>
    </row>
    <row r="14" spans="1:24" ht="15.6" x14ac:dyDescent="0.3">
      <c r="A14" s="183"/>
      <c r="B14" s="222" t="s">
        <v>1</v>
      </c>
      <c r="C14" s="192"/>
      <c r="D14" s="192"/>
      <c r="E14" s="192"/>
      <c r="F14" s="192"/>
      <c r="G14" s="192"/>
      <c r="H14" s="192"/>
      <c r="I14" s="192"/>
      <c r="J14" s="192"/>
      <c r="K14" s="192"/>
      <c r="L14" s="192"/>
      <c r="M14" s="192"/>
      <c r="N14" s="192"/>
      <c r="O14" s="192"/>
      <c r="P14" s="192"/>
      <c r="Q14" s="192"/>
      <c r="R14" s="224"/>
      <c r="S14" s="224"/>
      <c r="T14" s="224"/>
      <c r="U14" s="224"/>
      <c r="V14" s="225" t="s">
        <v>246</v>
      </c>
      <c r="W14" s="192"/>
      <c r="X14" s="5"/>
    </row>
    <row r="15" spans="1:24" ht="15.6" x14ac:dyDescent="0.3">
      <c r="A15" s="183"/>
      <c r="B15" s="222" t="s">
        <v>2</v>
      </c>
      <c r="C15" s="192"/>
      <c r="D15" s="192"/>
      <c r="E15" s="192"/>
      <c r="F15" s="192"/>
      <c r="G15" s="192"/>
      <c r="H15" s="193"/>
      <c r="I15" s="193"/>
      <c r="J15" s="193"/>
      <c r="K15" s="193"/>
      <c r="L15" s="193"/>
      <c r="M15" s="193"/>
      <c r="N15" s="193"/>
      <c r="O15" s="193"/>
      <c r="P15" s="193"/>
      <c r="Q15" s="193"/>
      <c r="R15" s="226" t="s">
        <v>104</v>
      </c>
      <c r="S15" s="227">
        <v>0.38300000000000001</v>
      </c>
      <c r="T15" s="228" t="s">
        <v>140</v>
      </c>
      <c r="U15" s="227">
        <v>0.61699999999999999</v>
      </c>
      <c r="V15" s="225"/>
      <c r="W15" s="192"/>
      <c r="X15" s="5"/>
    </row>
    <row r="16" spans="1:24" ht="15.6" x14ac:dyDescent="0.3">
      <c r="A16" s="183"/>
      <c r="B16" s="222" t="s">
        <v>3</v>
      </c>
      <c r="C16" s="192"/>
      <c r="D16" s="192"/>
      <c r="E16" s="192"/>
      <c r="F16" s="192"/>
      <c r="G16" s="192"/>
      <c r="H16" s="193"/>
      <c r="I16" s="193"/>
      <c r="J16" s="193"/>
      <c r="K16" s="193"/>
      <c r="L16" s="193"/>
      <c r="M16" s="193"/>
      <c r="N16" s="193"/>
      <c r="O16" s="193"/>
      <c r="P16" s="193"/>
      <c r="Q16" s="193"/>
      <c r="R16" s="226" t="s">
        <v>104</v>
      </c>
      <c r="S16" s="227">
        <v>0.45789999999999997</v>
      </c>
      <c r="T16" s="228" t="s">
        <v>140</v>
      </c>
      <c r="U16" s="227">
        <v>0.54210000000000003</v>
      </c>
      <c r="V16" s="225"/>
      <c r="W16" s="192"/>
      <c r="X16" s="5"/>
    </row>
    <row r="17" spans="1:24" ht="15.6" x14ac:dyDescent="0.3">
      <c r="A17" s="183"/>
      <c r="B17" s="222" t="s">
        <v>4</v>
      </c>
      <c r="C17" s="192"/>
      <c r="D17" s="192"/>
      <c r="E17" s="192"/>
      <c r="F17" s="192"/>
      <c r="G17" s="192"/>
      <c r="H17" s="192"/>
      <c r="I17" s="192"/>
      <c r="J17" s="192"/>
      <c r="K17" s="192"/>
      <c r="L17" s="192"/>
      <c r="M17" s="192"/>
      <c r="N17" s="192"/>
      <c r="O17" s="192"/>
      <c r="P17" s="192"/>
      <c r="Q17" s="192"/>
      <c r="R17" s="224"/>
      <c r="S17" s="224"/>
      <c r="T17" s="224"/>
      <c r="U17" s="224"/>
      <c r="V17" s="229">
        <v>39163</v>
      </c>
      <c r="W17" s="192"/>
      <c r="X17" s="5"/>
    </row>
    <row r="18" spans="1:24" ht="15.6" x14ac:dyDescent="0.3">
      <c r="A18" s="183"/>
      <c r="B18" s="222" t="s">
        <v>5</v>
      </c>
      <c r="C18" s="192"/>
      <c r="D18" s="192"/>
      <c r="E18" s="192"/>
      <c r="F18" s="192"/>
      <c r="G18" s="192"/>
      <c r="H18" s="192"/>
      <c r="I18" s="192"/>
      <c r="J18" s="192"/>
      <c r="K18" s="192"/>
      <c r="L18" s="192"/>
      <c r="M18" s="192"/>
      <c r="N18" s="192"/>
      <c r="O18" s="192"/>
      <c r="P18" s="192"/>
      <c r="Q18" s="192"/>
      <c r="R18" s="224"/>
      <c r="S18" s="224"/>
      <c r="T18" s="224"/>
      <c r="U18" s="224"/>
      <c r="V18" s="229">
        <v>41173</v>
      </c>
      <c r="W18" s="192"/>
      <c r="X18" s="5"/>
    </row>
    <row r="19" spans="1:24" ht="15.6" x14ac:dyDescent="0.3">
      <c r="A19" s="183"/>
      <c r="B19" s="185"/>
      <c r="C19" s="185"/>
      <c r="D19" s="185"/>
      <c r="E19" s="185"/>
      <c r="F19" s="185"/>
      <c r="G19" s="185"/>
      <c r="H19" s="185"/>
      <c r="I19" s="185"/>
      <c r="J19" s="185"/>
      <c r="K19" s="185"/>
      <c r="L19" s="185"/>
      <c r="M19" s="185"/>
      <c r="N19" s="185"/>
      <c r="O19" s="185"/>
      <c r="P19" s="185"/>
      <c r="Q19" s="185"/>
      <c r="R19" s="185"/>
      <c r="S19" s="185"/>
      <c r="T19" s="185"/>
      <c r="U19" s="185"/>
      <c r="V19" s="194"/>
      <c r="W19" s="185"/>
      <c r="X19" s="5"/>
    </row>
    <row r="20" spans="1:24" ht="15.6" x14ac:dyDescent="0.3">
      <c r="A20" s="183"/>
      <c r="B20" s="230" t="s">
        <v>6</v>
      </c>
      <c r="C20" s="185"/>
      <c r="D20" s="185"/>
      <c r="E20" s="185"/>
      <c r="F20" s="185"/>
      <c r="G20" s="185"/>
      <c r="H20" s="185"/>
      <c r="I20" s="185"/>
      <c r="J20" s="185"/>
      <c r="K20" s="185"/>
      <c r="L20" s="185"/>
      <c r="M20" s="185"/>
      <c r="N20" s="185"/>
      <c r="O20" s="185"/>
      <c r="P20" s="185"/>
      <c r="Q20" s="185"/>
      <c r="R20" s="185"/>
      <c r="S20" s="185"/>
      <c r="T20" s="223" t="s">
        <v>105</v>
      </c>
      <c r="U20" s="185"/>
      <c r="V20" s="182"/>
      <c r="W20" s="185"/>
      <c r="X20" s="5"/>
    </row>
    <row r="21" spans="1:24" ht="15.6" x14ac:dyDescent="0.3">
      <c r="A21" s="183"/>
      <c r="B21" s="185"/>
      <c r="C21" s="185"/>
      <c r="D21" s="185"/>
      <c r="E21" s="185"/>
      <c r="F21" s="185"/>
      <c r="G21" s="185"/>
      <c r="H21" s="185"/>
      <c r="I21" s="185"/>
      <c r="J21" s="185"/>
      <c r="K21" s="185"/>
      <c r="L21" s="185"/>
      <c r="M21" s="185"/>
      <c r="N21" s="185"/>
      <c r="O21" s="185"/>
      <c r="P21" s="185"/>
      <c r="Q21" s="185"/>
      <c r="R21" s="185"/>
      <c r="S21" s="185"/>
      <c r="T21" s="185"/>
      <c r="U21" s="185"/>
      <c r="V21" s="196"/>
      <c r="W21" s="185"/>
      <c r="X21" s="5"/>
    </row>
    <row r="22" spans="1:24" ht="15.6" x14ac:dyDescent="0.3">
      <c r="A22" s="262"/>
      <c r="B22" s="263"/>
      <c r="C22" s="264"/>
      <c r="D22" s="264" t="s">
        <v>177</v>
      </c>
      <c r="E22" s="264"/>
      <c r="F22" s="264" t="s">
        <v>178</v>
      </c>
      <c r="G22" s="264"/>
      <c r="H22" s="264" t="s">
        <v>179</v>
      </c>
      <c r="I22" s="264"/>
      <c r="J22" s="264" t="s">
        <v>220</v>
      </c>
      <c r="K22" s="264"/>
      <c r="L22" s="264" t="s">
        <v>180</v>
      </c>
      <c r="M22" s="264"/>
      <c r="N22" s="264" t="s">
        <v>181</v>
      </c>
      <c r="O22" s="264"/>
      <c r="P22" s="264" t="s">
        <v>221</v>
      </c>
      <c r="Q22" s="264"/>
      <c r="R22" s="264" t="s">
        <v>182</v>
      </c>
      <c r="S22" s="266"/>
      <c r="T22" s="266"/>
      <c r="U22" s="267"/>
      <c r="V22" s="267"/>
      <c r="W22" s="263"/>
      <c r="X22" s="5"/>
    </row>
    <row r="23" spans="1:24" ht="15.6" x14ac:dyDescent="0.3">
      <c r="A23" s="287"/>
      <c r="B23" s="288" t="s">
        <v>7</v>
      </c>
      <c r="C23" s="289"/>
      <c r="D23" s="289" t="s">
        <v>213</v>
      </c>
      <c r="E23" s="289"/>
      <c r="F23" s="289" t="s">
        <v>141</v>
      </c>
      <c r="G23" s="289"/>
      <c r="H23" s="289" t="s">
        <v>141</v>
      </c>
      <c r="I23" s="289"/>
      <c r="J23" s="289" t="s">
        <v>141</v>
      </c>
      <c r="K23" s="289"/>
      <c r="L23" s="289" t="s">
        <v>183</v>
      </c>
      <c r="M23" s="289"/>
      <c r="N23" s="289" t="s">
        <v>183</v>
      </c>
      <c r="O23" s="289"/>
      <c r="P23" s="289" t="s">
        <v>142</v>
      </c>
      <c r="Q23" s="289"/>
      <c r="R23" s="289" t="s">
        <v>142</v>
      </c>
      <c r="S23" s="289"/>
      <c r="T23" s="289"/>
      <c r="U23" s="290"/>
      <c r="V23" s="290"/>
      <c r="W23" s="291"/>
      <c r="X23" s="5"/>
    </row>
    <row r="24" spans="1:24" ht="15.6" x14ac:dyDescent="0.3">
      <c r="A24" s="287"/>
      <c r="B24" s="288" t="s">
        <v>8</v>
      </c>
      <c r="C24" s="289"/>
      <c r="D24" s="289" t="s">
        <v>214</v>
      </c>
      <c r="E24" s="289"/>
      <c r="F24" s="289" t="s">
        <v>143</v>
      </c>
      <c r="G24" s="289"/>
      <c r="H24" s="289" t="s">
        <v>143</v>
      </c>
      <c r="I24" s="289"/>
      <c r="J24" s="289" t="s">
        <v>143</v>
      </c>
      <c r="K24" s="289"/>
      <c r="L24" s="289" t="s">
        <v>165</v>
      </c>
      <c r="M24" s="289"/>
      <c r="N24" s="289" t="s">
        <v>165</v>
      </c>
      <c r="O24" s="289"/>
      <c r="P24" s="289" t="s">
        <v>144</v>
      </c>
      <c r="Q24" s="289"/>
      <c r="R24" s="289" t="s">
        <v>144</v>
      </c>
      <c r="S24" s="289"/>
      <c r="T24" s="289"/>
      <c r="U24" s="290"/>
      <c r="V24" s="290"/>
      <c r="W24" s="291"/>
      <c r="X24" s="5"/>
    </row>
    <row r="25" spans="1:24" ht="15.6" x14ac:dyDescent="0.3">
      <c r="A25" s="292"/>
      <c r="B25" s="288" t="s">
        <v>190</v>
      </c>
      <c r="C25" s="398"/>
      <c r="D25" s="289" t="s">
        <v>215</v>
      </c>
      <c r="E25" s="289"/>
      <c r="F25" s="289" t="s">
        <v>143</v>
      </c>
      <c r="G25" s="289"/>
      <c r="H25" s="289" t="s">
        <v>143</v>
      </c>
      <c r="I25" s="289"/>
      <c r="J25" s="289" t="s">
        <v>143</v>
      </c>
      <c r="K25" s="289"/>
      <c r="L25" s="289" t="s">
        <v>293</v>
      </c>
      <c r="M25" s="289"/>
      <c r="N25" s="289" t="s">
        <v>293</v>
      </c>
      <c r="O25" s="289"/>
      <c r="P25" s="289" t="s">
        <v>144</v>
      </c>
      <c r="Q25" s="289"/>
      <c r="R25" s="289" t="s">
        <v>144</v>
      </c>
      <c r="S25" s="398"/>
      <c r="T25" s="289"/>
      <c r="U25" s="290"/>
      <c r="V25" s="290"/>
      <c r="W25" s="291"/>
      <c r="X25" s="5"/>
    </row>
    <row r="26" spans="1:24" ht="15.6" x14ac:dyDescent="0.3">
      <c r="A26" s="292"/>
      <c r="B26" s="295" t="s">
        <v>9</v>
      </c>
      <c r="C26" s="398"/>
      <c r="D26" s="398" t="s">
        <v>327</v>
      </c>
      <c r="E26" s="398"/>
      <c r="F26" s="398" t="s">
        <v>141</v>
      </c>
      <c r="G26" s="398"/>
      <c r="H26" s="398" t="s">
        <v>141</v>
      </c>
      <c r="I26" s="398"/>
      <c r="J26" s="398" t="s">
        <v>141</v>
      </c>
      <c r="K26" s="398"/>
      <c r="L26" s="398" t="s">
        <v>183</v>
      </c>
      <c r="M26" s="398"/>
      <c r="N26" s="398" t="s">
        <v>183</v>
      </c>
      <c r="O26" s="398"/>
      <c r="P26" s="398" t="s">
        <v>142</v>
      </c>
      <c r="Q26" s="398"/>
      <c r="R26" s="398" t="s">
        <v>142</v>
      </c>
      <c r="S26" s="398"/>
      <c r="T26" s="289"/>
      <c r="U26" s="290"/>
      <c r="V26" s="290"/>
      <c r="W26" s="291"/>
      <c r="X26" s="5"/>
    </row>
    <row r="27" spans="1:24" ht="15.6" x14ac:dyDescent="0.3">
      <c r="A27" s="287"/>
      <c r="B27" s="295" t="s">
        <v>191</v>
      </c>
      <c r="C27" s="289"/>
      <c r="D27" s="398" t="s">
        <v>317</v>
      </c>
      <c r="E27" s="398"/>
      <c r="F27" s="398" t="s">
        <v>143</v>
      </c>
      <c r="G27" s="398"/>
      <c r="H27" s="398" t="s">
        <v>143</v>
      </c>
      <c r="I27" s="398"/>
      <c r="J27" s="398" t="s">
        <v>143</v>
      </c>
      <c r="K27" s="398"/>
      <c r="L27" s="398" t="s">
        <v>319</v>
      </c>
      <c r="M27" s="398"/>
      <c r="N27" s="398" t="s">
        <v>319</v>
      </c>
      <c r="O27" s="398"/>
      <c r="P27" s="398" t="s">
        <v>320</v>
      </c>
      <c r="Q27" s="398"/>
      <c r="R27" s="398" t="s">
        <v>320</v>
      </c>
      <c r="S27" s="289"/>
      <c r="T27" s="296"/>
      <c r="U27" s="290"/>
      <c r="V27" s="290"/>
      <c r="W27" s="291"/>
      <c r="X27" s="5"/>
    </row>
    <row r="28" spans="1:24" ht="15.6" x14ac:dyDescent="0.3">
      <c r="A28" s="287"/>
      <c r="B28" s="295" t="s">
        <v>192</v>
      </c>
      <c r="C28" s="289"/>
      <c r="D28" s="398" t="s">
        <v>314</v>
      </c>
      <c r="E28" s="398"/>
      <c r="F28" s="398" t="s">
        <v>143</v>
      </c>
      <c r="G28" s="398"/>
      <c r="H28" s="398" t="s">
        <v>143</v>
      </c>
      <c r="I28" s="398"/>
      <c r="J28" s="398" t="s">
        <v>143</v>
      </c>
      <c r="K28" s="398"/>
      <c r="L28" s="398" t="s">
        <v>293</v>
      </c>
      <c r="M28" s="398"/>
      <c r="N28" s="398" t="s">
        <v>293</v>
      </c>
      <c r="O28" s="398"/>
      <c r="P28" s="398" t="s">
        <v>144</v>
      </c>
      <c r="Q28" s="398"/>
      <c r="R28" s="398" t="s">
        <v>144</v>
      </c>
      <c r="S28" s="289"/>
      <c r="T28" s="296"/>
      <c r="U28" s="290"/>
      <c r="V28" s="290"/>
      <c r="W28" s="291"/>
      <c r="X28" s="5"/>
    </row>
    <row r="29" spans="1:24" ht="15.6" x14ac:dyDescent="0.3">
      <c r="A29" s="287"/>
      <c r="B29" s="288" t="s">
        <v>10</v>
      </c>
      <c r="C29" s="298"/>
      <c r="D29" s="289" t="s">
        <v>249</v>
      </c>
      <c r="E29" s="289"/>
      <c r="F29" s="296" t="s">
        <v>250</v>
      </c>
      <c r="G29" s="289"/>
      <c r="H29" s="289" t="s">
        <v>251</v>
      </c>
      <c r="I29" s="289"/>
      <c r="J29" s="289" t="s">
        <v>253</v>
      </c>
      <c r="K29" s="289"/>
      <c r="L29" s="289" t="s">
        <v>254</v>
      </c>
      <c r="M29" s="289"/>
      <c r="N29" s="289" t="s">
        <v>255</v>
      </c>
      <c r="O29" s="289"/>
      <c r="P29" s="289" t="s">
        <v>256</v>
      </c>
      <c r="Q29" s="289"/>
      <c r="R29" s="289" t="s">
        <v>257</v>
      </c>
      <c r="S29" s="299"/>
      <c r="T29" s="299"/>
      <c r="U29" s="300"/>
      <c r="V29" s="299"/>
      <c r="W29" s="301"/>
      <c r="X29" s="5"/>
    </row>
    <row r="30" spans="1:24" ht="15.6" x14ac:dyDescent="0.3">
      <c r="A30" s="287"/>
      <c r="B30" s="288" t="s">
        <v>10</v>
      </c>
      <c r="C30" s="298"/>
      <c r="D30" s="289" t="s">
        <v>248</v>
      </c>
      <c r="E30" s="289"/>
      <c r="F30" s="296" t="s">
        <v>118</v>
      </c>
      <c r="G30" s="289"/>
      <c r="H30" s="289" t="s">
        <v>118</v>
      </c>
      <c r="I30" s="289"/>
      <c r="J30" s="289" t="s">
        <v>252</v>
      </c>
      <c r="K30" s="289"/>
      <c r="L30" s="289" t="s">
        <v>118</v>
      </c>
      <c r="M30" s="289"/>
      <c r="N30" s="289" t="s">
        <v>118</v>
      </c>
      <c r="O30" s="289"/>
      <c r="P30" s="289" t="s">
        <v>118</v>
      </c>
      <c r="Q30" s="289"/>
      <c r="R30" s="289" t="s">
        <v>118</v>
      </c>
      <c r="S30" s="299"/>
      <c r="T30" s="299"/>
      <c r="U30" s="300"/>
      <c r="V30" s="299"/>
      <c r="W30" s="301"/>
      <c r="X30" s="5"/>
    </row>
    <row r="31" spans="1:24" ht="15.6" x14ac:dyDescent="0.3">
      <c r="A31" s="292"/>
      <c r="B31" s="288" t="s">
        <v>133</v>
      </c>
      <c r="C31" s="302"/>
      <c r="D31" s="303">
        <v>1500000</v>
      </c>
      <c r="E31" s="298"/>
      <c r="F31" s="299">
        <v>125000</v>
      </c>
      <c r="G31" s="299"/>
      <c r="H31" s="304">
        <v>246000</v>
      </c>
      <c r="I31" s="304"/>
      <c r="J31" s="303">
        <v>400000</v>
      </c>
      <c r="K31" s="299"/>
      <c r="L31" s="299">
        <v>51900</v>
      </c>
      <c r="M31" s="299"/>
      <c r="N31" s="304">
        <v>88800</v>
      </c>
      <c r="O31" s="299"/>
      <c r="P31" s="299">
        <v>20000</v>
      </c>
      <c r="Q31" s="299"/>
      <c r="R31" s="304">
        <v>135500</v>
      </c>
      <c r="S31" s="305"/>
      <c r="T31" s="305"/>
      <c r="U31" s="306"/>
      <c r="V31" s="305"/>
      <c r="W31" s="301"/>
      <c r="X31" s="5"/>
    </row>
    <row r="32" spans="1:24" ht="15.6" x14ac:dyDescent="0.3">
      <c r="A32" s="287"/>
      <c r="B32" s="288" t="s">
        <v>132</v>
      </c>
      <c r="C32" s="298"/>
      <c r="D32" s="303">
        <f>D31*D38</f>
        <v>1054578.3</v>
      </c>
      <c r="E32" s="298"/>
      <c r="F32" s="299">
        <f>F31*F38</f>
        <v>87881.625</v>
      </c>
      <c r="G32" s="299"/>
      <c r="H32" s="304">
        <f>H31*H38</f>
        <v>172951.038</v>
      </c>
      <c r="I32" s="304"/>
      <c r="J32" s="303">
        <f>J31*J38</f>
        <v>281220.88</v>
      </c>
      <c r="K32" s="299"/>
      <c r="L32" s="299">
        <f>+L31</f>
        <v>51900</v>
      </c>
      <c r="M32" s="299"/>
      <c r="N32" s="304">
        <f>+N31</f>
        <v>88800</v>
      </c>
      <c r="O32" s="299"/>
      <c r="P32" s="299">
        <f>+P31</f>
        <v>20000</v>
      </c>
      <c r="Q32" s="299"/>
      <c r="R32" s="304">
        <f>+R31</f>
        <v>135500</v>
      </c>
      <c r="S32" s="299"/>
      <c r="T32" s="299"/>
      <c r="U32" s="300"/>
      <c r="V32" s="299"/>
      <c r="W32" s="301"/>
      <c r="X32" s="5"/>
    </row>
    <row r="33" spans="1:24" ht="15.6" x14ac:dyDescent="0.3">
      <c r="A33" s="287"/>
      <c r="B33" s="295" t="s">
        <v>134</v>
      </c>
      <c r="C33" s="298"/>
      <c r="D33" s="307">
        <f>D37*D31</f>
        <v>1045757.5499999999</v>
      </c>
      <c r="E33" s="302"/>
      <c r="F33" s="305">
        <f>F37*F31</f>
        <v>87146.574999999997</v>
      </c>
      <c r="G33" s="305"/>
      <c r="H33" s="308">
        <f>H31*H37</f>
        <v>171504.4596</v>
      </c>
      <c r="I33" s="308"/>
      <c r="J33" s="307">
        <f>J37*J31</f>
        <v>278868.68</v>
      </c>
      <c r="K33" s="305"/>
      <c r="L33" s="305">
        <f>L31*L37</f>
        <v>51900</v>
      </c>
      <c r="M33" s="305"/>
      <c r="N33" s="308">
        <f>N31*N37</f>
        <v>88800</v>
      </c>
      <c r="O33" s="305"/>
      <c r="P33" s="305">
        <f>P31*P37</f>
        <v>20000</v>
      </c>
      <c r="Q33" s="305"/>
      <c r="R33" s="308">
        <f>R31*R37</f>
        <v>135500</v>
      </c>
      <c r="S33" s="299"/>
      <c r="T33" s="299"/>
      <c r="U33" s="300"/>
      <c r="V33" s="299"/>
      <c r="W33" s="301"/>
      <c r="X33" s="5"/>
    </row>
    <row r="34" spans="1:24" ht="15.6" x14ac:dyDescent="0.3">
      <c r="A34" s="292"/>
      <c r="B34" s="288" t="s">
        <v>296</v>
      </c>
      <c r="C34" s="302"/>
      <c r="D34" s="299">
        <v>775194</v>
      </c>
      <c r="E34" s="298"/>
      <c r="F34" s="299">
        <v>125000</v>
      </c>
      <c r="G34" s="299"/>
      <c r="H34" s="299">
        <v>168148</v>
      </c>
      <c r="I34" s="299"/>
      <c r="J34" s="299">
        <v>206718</v>
      </c>
      <c r="K34" s="299"/>
      <c r="L34" s="299">
        <v>51900</v>
      </c>
      <c r="M34" s="299"/>
      <c r="N34" s="299">
        <v>60697</v>
      </c>
      <c r="O34" s="299"/>
      <c r="P34" s="299">
        <v>20000</v>
      </c>
      <c r="Q34" s="299"/>
      <c r="R34" s="299">
        <v>92618</v>
      </c>
      <c r="S34" s="305"/>
      <c r="T34" s="305"/>
      <c r="U34" s="306"/>
      <c r="V34" s="299">
        <f>SUM(C34:R34)</f>
        <v>1500275</v>
      </c>
      <c r="W34" s="301"/>
      <c r="X34" s="5"/>
    </row>
    <row r="35" spans="1:24" ht="15.6" x14ac:dyDescent="0.3">
      <c r="A35" s="292"/>
      <c r="B35" s="288" t="s">
        <v>297</v>
      </c>
      <c r="C35" s="302"/>
      <c r="D35" s="299">
        <f>D34*D38</f>
        <v>545001.84712679998</v>
      </c>
      <c r="E35" s="298"/>
      <c r="F35" s="299">
        <f>F34*F38</f>
        <v>87881.625</v>
      </c>
      <c r="G35" s="299"/>
      <c r="H35" s="299">
        <f>H34*H38</f>
        <v>118216.95584400001</v>
      </c>
      <c r="I35" s="299"/>
      <c r="J35" s="299">
        <f>J34*J38</f>
        <v>145333.54467960002</v>
      </c>
      <c r="K35" s="299"/>
      <c r="L35" s="299">
        <f>+L34</f>
        <v>51900</v>
      </c>
      <c r="M35" s="299"/>
      <c r="N35" s="299">
        <f>+N34</f>
        <v>60697</v>
      </c>
      <c r="O35" s="299"/>
      <c r="P35" s="299">
        <f>+P34</f>
        <v>20000</v>
      </c>
      <c r="Q35" s="299"/>
      <c r="R35" s="299">
        <f>+R34</f>
        <v>92618</v>
      </c>
      <c r="S35" s="299"/>
      <c r="T35" s="299"/>
      <c r="U35" s="300"/>
      <c r="V35" s="299">
        <f>SUM(C35:R35)</f>
        <v>1121648.9726503999</v>
      </c>
      <c r="W35" s="301"/>
      <c r="X35" s="5"/>
    </row>
    <row r="36" spans="1:24" ht="15.6" x14ac:dyDescent="0.3">
      <c r="A36" s="292"/>
      <c r="B36" s="295" t="s">
        <v>298</v>
      </c>
      <c r="C36" s="302"/>
      <c r="D36" s="305">
        <f>D34*D37</f>
        <v>540443.31880979997</v>
      </c>
      <c r="E36" s="302"/>
      <c r="F36" s="305">
        <f>F34*F37</f>
        <v>87146.574999999997</v>
      </c>
      <c r="G36" s="305"/>
      <c r="H36" s="305">
        <f>H34*H37</f>
        <v>117228.17834480001</v>
      </c>
      <c r="I36" s="305"/>
      <c r="J36" s="305">
        <f>J34*J37</f>
        <v>144117.93948059998</v>
      </c>
      <c r="K36" s="305"/>
      <c r="L36" s="305">
        <f>L34*L37</f>
        <v>51900</v>
      </c>
      <c r="M36" s="305"/>
      <c r="N36" s="305">
        <f>N34*N37</f>
        <v>60697</v>
      </c>
      <c r="O36" s="305"/>
      <c r="P36" s="305">
        <f>P34*P37</f>
        <v>20000</v>
      </c>
      <c r="Q36" s="305"/>
      <c r="R36" s="305">
        <f>R34*R37</f>
        <v>92618</v>
      </c>
      <c r="S36" s="328"/>
      <c r="T36" s="328"/>
      <c r="U36" s="300"/>
      <c r="V36" s="305">
        <f>SUM(C36:R36)</f>
        <v>1114151.0116351999</v>
      </c>
      <c r="W36" s="301"/>
      <c r="X36" s="5"/>
    </row>
    <row r="37" spans="1:24" ht="15.6" x14ac:dyDescent="0.3">
      <c r="A37" s="287"/>
      <c r="B37" s="313" t="s">
        <v>130</v>
      </c>
      <c r="C37" s="314"/>
      <c r="D37" s="315">
        <v>0.69717169999999995</v>
      </c>
      <c r="E37" s="315"/>
      <c r="F37" s="315">
        <v>0.69717260000000003</v>
      </c>
      <c r="G37" s="315"/>
      <c r="H37" s="315">
        <v>0.69717260000000003</v>
      </c>
      <c r="I37" s="315"/>
      <c r="J37" s="315">
        <v>0.69717169999999995</v>
      </c>
      <c r="K37" s="315"/>
      <c r="L37" s="315">
        <v>1</v>
      </c>
      <c r="M37" s="315"/>
      <c r="N37" s="315">
        <v>1</v>
      </c>
      <c r="O37" s="315"/>
      <c r="P37" s="315">
        <v>1</v>
      </c>
      <c r="Q37" s="315"/>
      <c r="R37" s="315">
        <v>1</v>
      </c>
      <c r="S37" s="316"/>
      <c r="T37" s="316"/>
      <c r="U37" s="317"/>
      <c r="V37" s="317"/>
      <c r="W37" s="318"/>
      <c r="X37" s="5"/>
    </row>
    <row r="38" spans="1:24" ht="15.6" x14ac:dyDescent="0.3">
      <c r="A38" s="287"/>
      <c r="B38" s="313" t="s">
        <v>131</v>
      </c>
      <c r="C38" s="314"/>
      <c r="D38" s="315">
        <v>0.70305220000000002</v>
      </c>
      <c r="E38" s="315"/>
      <c r="F38" s="315">
        <v>0.70305300000000004</v>
      </c>
      <c r="G38" s="315"/>
      <c r="H38" s="315">
        <v>0.70305300000000004</v>
      </c>
      <c r="I38" s="315"/>
      <c r="J38" s="315">
        <v>0.70305220000000002</v>
      </c>
      <c r="K38" s="315"/>
      <c r="L38" s="315">
        <v>1</v>
      </c>
      <c r="M38" s="315"/>
      <c r="N38" s="315">
        <v>1</v>
      </c>
      <c r="O38" s="315"/>
      <c r="P38" s="315">
        <v>1</v>
      </c>
      <c r="Q38" s="315"/>
      <c r="R38" s="315">
        <v>1</v>
      </c>
      <c r="S38" s="319"/>
      <c r="T38" s="320"/>
      <c r="U38" s="317"/>
      <c r="V38" s="319"/>
      <c r="W38" s="318"/>
      <c r="X38" s="5"/>
    </row>
    <row r="39" spans="1:24" ht="15.6" x14ac:dyDescent="0.3">
      <c r="A39" s="287"/>
      <c r="B39" s="288" t="s">
        <v>11</v>
      </c>
      <c r="C39" s="288"/>
      <c r="D39" s="296" t="s">
        <v>321</v>
      </c>
      <c r="E39" s="288"/>
      <c r="F39" s="296" t="s">
        <v>231</v>
      </c>
      <c r="G39" s="296"/>
      <c r="H39" s="296" t="s">
        <v>231</v>
      </c>
      <c r="I39" s="296"/>
      <c r="J39" s="296" t="s">
        <v>231</v>
      </c>
      <c r="K39" s="296"/>
      <c r="L39" s="296" t="s">
        <v>265</v>
      </c>
      <c r="M39" s="296"/>
      <c r="N39" s="296" t="s">
        <v>265</v>
      </c>
      <c r="O39" s="296"/>
      <c r="P39" s="296" t="s">
        <v>266</v>
      </c>
      <c r="Q39" s="296"/>
      <c r="R39" s="296" t="s">
        <v>266</v>
      </c>
      <c r="S39" s="321"/>
      <c r="T39" s="322"/>
      <c r="U39" s="290"/>
      <c r="V39" s="290"/>
      <c r="W39" s="291"/>
      <c r="X39" s="5"/>
    </row>
    <row r="40" spans="1:24" ht="15.6" x14ac:dyDescent="0.3">
      <c r="A40" s="287"/>
      <c r="B40" s="288" t="s">
        <v>12</v>
      </c>
      <c r="C40" s="288"/>
      <c r="D40" s="322">
        <v>4.3949999999999996E-3</v>
      </c>
      <c r="E40" s="288"/>
      <c r="F40" s="322">
        <v>1.15088E-2</v>
      </c>
      <c r="G40" s="321"/>
      <c r="H40" s="322">
        <v>8.6199999999999992E-3</v>
      </c>
      <c r="I40" s="322"/>
      <c r="J40" s="322">
        <v>6.6785000000000004E-3</v>
      </c>
      <c r="K40" s="321"/>
      <c r="L40" s="322">
        <v>1.31088E-2</v>
      </c>
      <c r="M40" s="321"/>
      <c r="N40" s="322">
        <v>1.022E-2</v>
      </c>
      <c r="O40" s="321"/>
      <c r="P40" s="322">
        <v>1.71088E-2</v>
      </c>
      <c r="Q40" s="321"/>
      <c r="R40" s="322">
        <v>1.422E-2</v>
      </c>
      <c r="S40" s="321"/>
      <c r="T40" s="322"/>
      <c r="U40" s="290"/>
      <c r="V40" s="296"/>
      <c r="W40" s="291"/>
      <c r="X40" s="5"/>
    </row>
    <row r="41" spans="1:24" ht="15.6" x14ac:dyDescent="0.3">
      <c r="A41" s="287"/>
      <c r="B41" s="288" t="s">
        <v>13</v>
      </c>
      <c r="C41" s="288"/>
      <c r="D41" s="322">
        <v>4.3874999999999999E-3</v>
      </c>
      <c r="E41" s="288"/>
      <c r="F41" s="322">
        <v>1.2386899999999999E-2</v>
      </c>
      <c r="G41" s="321"/>
      <c r="H41" s="322">
        <v>1.076E-2</v>
      </c>
      <c r="I41" s="322"/>
      <c r="J41" s="322">
        <v>6.7365000000000003E-3</v>
      </c>
      <c r="K41" s="321"/>
      <c r="L41" s="322">
        <v>1.39869E-2</v>
      </c>
      <c r="M41" s="321"/>
      <c r="N41" s="322">
        <v>1.2359999999999999E-2</v>
      </c>
      <c r="O41" s="321"/>
      <c r="P41" s="322">
        <v>1.79869E-2</v>
      </c>
      <c r="Q41" s="321"/>
      <c r="R41" s="322">
        <v>1.636E-2</v>
      </c>
      <c r="S41" s="321"/>
      <c r="T41" s="322"/>
      <c r="U41" s="290"/>
      <c r="V41" s="321" t="s">
        <v>193</v>
      </c>
      <c r="W41" s="291"/>
      <c r="X41" s="5"/>
    </row>
    <row r="42" spans="1:24" ht="15.6" x14ac:dyDescent="0.3">
      <c r="A42" s="287"/>
      <c r="B42" s="288" t="s">
        <v>299</v>
      </c>
      <c r="C42" s="288"/>
      <c r="D42" s="296" t="s">
        <v>322</v>
      </c>
      <c r="E42" s="288"/>
      <c r="F42" s="296" t="s">
        <v>231</v>
      </c>
      <c r="G42" s="296"/>
      <c r="H42" s="296" t="s">
        <v>323</v>
      </c>
      <c r="I42" s="296"/>
      <c r="J42" s="296" t="s">
        <v>324</v>
      </c>
      <c r="K42" s="296"/>
      <c r="L42" s="296" t="s">
        <v>265</v>
      </c>
      <c r="M42" s="296"/>
      <c r="N42" s="296" t="s">
        <v>234</v>
      </c>
      <c r="O42" s="296"/>
      <c r="P42" s="296" t="s">
        <v>266</v>
      </c>
      <c r="Q42" s="296"/>
      <c r="R42" s="296" t="s">
        <v>264</v>
      </c>
      <c r="S42" s="321"/>
      <c r="T42" s="322"/>
      <c r="U42" s="290"/>
      <c r="V42" s="290"/>
      <c r="W42" s="291"/>
      <c r="X42" s="5"/>
    </row>
    <row r="43" spans="1:24" ht="15.6" x14ac:dyDescent="0.3">
      <c r="A43" s="287"/>
      <c r="B43" s="288" t="s">
        <v>300</v>
      </c>
      <c r="C43" s="323"/>
      <c r="D43" s="322">
        <v>1.1882800000000001E-2</v>
      </c>
      <c r="E43" s="322"/>
      <c r="F43" s="322">
        <f>+F40</f>
        <v>1.15088E-2</v>
      </c>
      <c r="G43" s="322"/>
      <c r="H43" s="322">
        <v>1.17888E-2</v>
      </c>
      <c r="I43" s="322"/>
      <c r="J43" s="322">
        <v>1.2234800000000001E-2</v>
      </c>
      <c r="K43" s="322"/>
      <c r="L43" s="322">
        <f>+L40</f>
        <v>1.31088E-2</v>
      </c>
      <c r="M43" s="322"/>
      <c r="N43" s="322">
        <v>1.3700800000000001E-2</v>
      </c>
      <c r="O43" s="322"/>
      <c r="P43" s="322">
        <f>+P40</f>
        <v>1.71088E-2</v>
      </c>
      <c r="Q43" s="321"/>
      <c r="R43" s="322">
        <v>1.8174800000000001E-2</v>
      </c>
      <c r="S43" s="296"/>
      <c r="T43" s="296"/>
      <c r="U43" s="290"/>
      <c r="V43" s="321">
        <f>SUMPRODUCT(D43:R43,D35:R35)/V35</f>
        <v>1.2657040702129686E-2</v>
      </c>
      <c r="W43" s="291"/>
      <c r="X43" s="5"/>
    </row>
    <row r="44" spans="1:24" ht="15.6" x14ac:dyDescent="0.3">
      <c r="A44" s="287"/>
      <c r="B44" s="288" t="s">
        <v>301</v>
      </c>
      <c r="C44" s="323"/>
      <c r="D44" s="322">
        <v>1.27609E-2</v>
      </c>
      <c r="E44" s="322"/>
      <c r="F44" s="322">
        <f>+F41</f>
        <v>1.2386899999999999E-2</v>
      </c>
      <c r="G44" s="322"/>
      <c r="H44" s="322">
        <v>1.26669E-2</v>
      </c>
      <c r="I44" s="322"/>
      <c r="J44" s="322">
        <v>1.31129E-2</v>
      </c>
      <c r="K44" s="322"/>
      <c r="L44" s="322">
        <f>+L41</f>
        <v>1.39869E-2</v>
      </c>
      <c r="M44" s="322"/>
      <c r="N44" s="322">
        <v>1.4578900000000001E-2</v>
      </c>
      <c r="O44" s="322"/>
      <c r="P44" s="322">
        <f>+P41</f>
        <v>1.79869E-2</v>
      </c>
      <c r="Q44" s="321"/>
      <c r="R44" s="322">
        <v>1.9052900000000001E-2</v>
      </c>
      <c r="S44" s="296"/>
      <c r="T44" s="296"/>
      <c r="U44" s="290"/>
      <c r="V44" s="290"/>
      <c r="W44" s="291"/>
      <c r="X44" s="5"/>
    </row>
    <row r="45" spans="1:24" ht="15.6" x14ac:dyDescent="0.3">
      <c r="A45" s="287"/>
      <c r="B45" s="288" t="s">
        <v>14</v>
      </c>
      <c r="C45" s="288"/>
      <c r="D45" s="323">
        <v>40617</v>
      </c>
      <c r="E45" s="323"/>
      <c r="F45" s="323">
        <v>40617</v>
      </c>
      <c r="G45" s="323"/>
      <c r="H45" s="323">
        <v>40617</v>
      </c>
      <c r="I45" s="323"/>
      <c r="J45" s="323">
        <v>40617</v>
      </c>
      <c r="K45" s="323"/>
      <c r="L45" s="323">
        <v>40617</v>
      </c>
      <c r="M45" s="323"/>
      <c r="N45" s="323">
        <v>40617</v>
      </c>
      <c r="O45" s="323"/>
      <c r="P45" s="323">
        <v>40617</v>
      </c>
      <c r="Q45" s="323"/>
      <c r="R45" s="323">
        <v>40617</v>
      </c>
      <c r="S45" s="296"/>
      <c r="T45" s="296"/>
      <c r="U45" s="290"/>
      <c r="V45" s="290"/>
      <c r="W45" s="291"/>
      <c r="X45" s="5"/>
    </row>
    <row r="46" spans="1:24" ht="15.6" x14ac:dyDescent="0.3">
      <c r="A46" s="287"/>
      <c r="B46" s="288" t="s">
        <v>15</v>
      </c>
      <c r="C46" s="288"/>
      <c r="D46" s="323">
        <v>40983</v>
      </c>
      <c r="E46" s="323"/>
      <c r="F46" s="323">
        <v>40983</v>
      </c>
      <c r="G46" s="323"/>
      <c r="H46" s="323">
        <v>40983</v>
      </c>
      <c r="I46" s="323"/>
      <c r="J46" s="323">
        <v>40983</v>
      </c>
      <c r="K46" s="296"/>
      <c r="L46" s="323">
        <v>40983</v>
      </c>
      <c r="M46" s="296"/>
      <c r="N46" s="323">
        <v>40983</v>
      </c>
      <c r="O46" s="296"/>
      <c r="P46" s="323">
        <v>40983</v>
      </c>
      <c r="Q46" s="296"/>
      <c r="R46" s="323">
        <v>40983</v>
      </c>
      <c r="S46" s="296"/>
      <c r="T46" s="296"/>
      <c r="U46" s="290"/>
      <c r="V46" s="290"/>
      <c r="W46" s="291"/>
      <c r="X46" s="5"/>
    </row>
    <row r="47" spans="1:24" ht="15.6" x14ac:dyDescent="0.3">
      <c r="A47" s="287"/>
      <c r="B47" s="288" t="s">
        <v>119</v>
      </c>
      <c r="C47" s="288"/>
      <c r="D47" s="296" t="s">
        <v>231</v>
      </c>
      <c r="E47" s="288"/>
      <c r="F47" s="296" t="s">
        <v>231</v>
      </c>
      <c r="G47" s="296"/>
      <c r="H47" s="296" t="s">
        <v>231</v>
      </c>
      <c r="I47" s="296"/>
      <c r="J47" s="296" t="s">
        <v>231</v>
      </c>
      <c r="K47" s="296"/>
      <c r="L47" s="296" t="s">
        <v>265</v>
      </c>
      <c r="M47" s="296"/>
      <c r="N47" s="296" t="s">
        <v>265</v>
      </c>
      <c r="O47" s="296"/>
      <c r="P47" s="296" t="s">
        <v>266</v>
      </c>
      <c r="Q47" s="296"/>
      <c r="R47" s="296" t="s">
        <v>266</v>
      </c>
      <c r="S47" s="325"/>
      <c r="T47" s="325"/>
      <c r="U47" s="325"/>
      <c r="V47" s="325"/>
      <c r="W47" s="291"/>
      <c r="X47" s="5"/>
    </row>
    <row r="48" spans="1:24" ht="15.6" x14ac:dyDescent="0.3">
      <c r="A48" s="287"/>
      <c r="B48" s="288" t="s">
        <v>302</v>
      </c>
      <c r="C48" s="288"/>
      <c r="D48" s="296" t="s">
        <v>325</v>
      </c>
      <c r="E48" s="288"/>
      <c r="F48" s="296" t="s">
        <v>231</v>
      </c>
      <c r="G48" s="296"/>
      <c r="H48" s="296" t="s">
        <v>262</v>
      </c>
      <c r="I48" s="296"/>
      <c r="J48" s="296" t="s">
        <v>263</v>
      </c>
      <c r="K48" s="296"/>
      <c r="L48" s="296" t="s">
        <v>265</v>
      </c>
      <c r="M48" s="296"/>
      <c r="N48" s="296" t="s">
        <v>234</v>
      </c>
      <c r="O48" s="296"/>
      <c r="P48" s="296" t="s">
        <v>266</v>
      </c>
      <c r="Q48" s="296"/>
      <c r="R48" s="296" t="s">
        <v>264</v>
      </c>
      <c r="S48" s="288"/>
      <c r="T48" s="288"/>
      <c r="U48" s="288"/>
      <c r="V48" s="321"/>
      <c r="W48" s="291"/>
      <c r="X48" s="5"/>
    </row>
    <row r="49" spans="1:25" ht="15.6" x14ac:dyDescent="0.3">
      <c r="A49" s="287"/>
      <c r="B49" s="288"/>
      <c r="C49" s="288"/>
      <c r="D49" s="296"/>
      <c r="E49" s="288"/>
      <c r="F49" s="296"/>
      <c r="G49" s="296"/>
      <c r="H49" s="296"/>
      <c r="I49" s="296"/>
      <c r="J49" s="296"/>
      <c r="K49" s="296"/>
      <c r="L49" s="296"/>
      <c r="M49" s="296"/>
      <c r="N49" s="296"/>
      <c r="O49" s="296"/>
      <c r="P49" s="296"/>
      <c r="Q49" s="296"/>
      <c r="R49" s="296"/>
      <c r="S49" s="288"/>
      <c r="T49" s="288"/>
      <c r="U49" s="288"/>
      <c r="V49" s="321" t="s">
        <v>193</v>
      </c>
      <c r="W49" s="291"/>
      <c r="X49" s="5"/>
    </row>
    <row r="50" spans="1:25" ht="15.6" x14ac:dyDescent="0.3">
      <c r="A50" s="287"/>
      <c r="B50" s="288" t="s">
        <v>169</v>
      </c>
      <c r="C50" s="288"/>
      <c r="D50" s="296"/>
      <c r="E50" s="288"/>
      <c r="F50" s="296"/>
      <c r="G50" s="296"/>
      <c r="H50" s="296"/>
      <c r="I50" s="296"/>
      <c r="J50" s="296"/>
      <c r="K50" s="296"/>
      <c r="L50" s="296"/>
      <c r="M50" s="296"/>
      <c r="N50" s="296"/>
      <c r="O50" s="296"/>
      <c r="P50" s="296"/>
      <c r="Q50" s="296"/>
      <c r="R50" s="296"/>
      <c r="S50" s="288"/>
      <c r="T50" s="288"/>
      <c r="U50" s="288"/>
      <c r="V50" s="321">
        <f>SUM(L34:R34)/SUM(D34:J34)</f>
        <v>0.17663090364375009</v>
      </c>
      <c r="W50" s="291"/>
      <c r="X50" s="5"/>
    </row>
    <row r="51" spans="1:25" ht="15.6" x14ac:dyDescent="0.3">
      <c r="A51" s="287"/>
      <c r="B51" s="288" t="s">
        <v>170</v>
      </c>
      <c r="C51" s="288"/>
      <c r="D51" s="288"/>
      <c r="E51" s="288"/>
      <c r="F51" s="326"/>
      <c r="G51" s="288"/>
      <c r="H51" s="288"/>
      <c r="I51" s="288"/>
      <c r="J51" s="288"/>
      <c r="K51" s="288"/>
      <c r="L51" s="288"/>
      <c r="M51" s="288"/>
      <c r="N51" s="288"/>
      <c r="O51" s="288"/>
      <c r="P51" s="288"/>
      <c r="Q51" s="288"/>
      <c r="R51" s="288"/>
      <c r="S51" s="288"/>
      <c r="T51" s="288"/>
      <c r="U51" s="288"/>
      <c r="V51" s="321">
        <f>SUM(L36:R36)/SUM(D36:J36)</f>
        <v>0.25335344395117537</v>
      </c>
      <c r="W51" s="291"/>
      <c r="X51" s="5"/>
    </row>
    <row r="52" spans="1:25" ht="15.6" x14ac:dyDescent="0.3">
      <c r="A52" s="287"/>
      <c r="B52" s="288" t="s">
        <v>171</v>
      </c>
      <c r="C52" s="288"/>
      <c r="D52" s="288"/>
      <c r="E52" s="288"/>
      <c r="F52" s="288"/>
      <c r="G52" s="288"/>
      <c r="H52" s="288"/>
      <c r="I52" s="288"/>
      <c r="J52" s="288"/>
      <c r="K52" s="288"/>
      <c r="L52" s="288"/>
      <c r="M52" s="288"/>
      <c r="N52" s="288"/>
      <c r="O52" s="288"/>
      <c r="P52" s="288"/>
      <c r="Q52" s="288"/>
      <c r="R52" s="288"/>
      <c r="S52" s="288"/>
      <c r="T52" s="296"/>
      <c r="U52" s="296"/>
      <c r="V52" s="299" t="s">
        <v>276</v>
      </c>
      <c r="W52" s="291"/>
      <c r="X52" s="5"/>
    </row>
    <row r="53" spans="1:25" ht="15.6" x14ac:dyDescent="0.3">
      <c r="A53" s="287"/>
      <c r="B53" s="288"/>
      <c r="C53" s="288"/>
      <c r="D53" s="288"/>
      <c r="E53" s="288"/>
      <c r="F53" s="288"/>
      <c r="G53" s="288"/>
      <c r="H53" s="288"/>
      <c r="I53" s="288"/>
      <c r="J53" s="288"/>
      <c r="K53" s="288"/>
      <c r="L53" s="288"/>
      <c r="M53" s="288"/>
      <c r="N53" s="288"/>
      <c r="O53" s="288"/>
      <c r="P53" s="288"/>
      <c r="Q53" s="288"/>
      <c r="R53" s="288"/>
      <c r="S53" s="288"/>
      <c r="T53" s="288"/>
      <c r="U53" s="288"/>
      <c r="V53" s="327"/>
      <c r="W53" s="291"/>
      <c r="X53" s="5"/>
    </row>
    <row r="54" spans="1:25" ht="15.6" x14ac:dyDescent="0.3">
      <c r="A54" s="287"/>
      <c r="B54" s="288" t="s">
        <v>202</v>
      </c>
      <c r="C54" s="288"/>
      <c r="D54" s="288"/>
      <c r="E54" s="288"/>
      <c r="F54" s="288"/>
      <c r="G54" s="288"/>
      <c r="H54" s="288"/>
      <c r="I54" s="288"/>
      <c r="J54" s="288"/>
      <c r="K54" s="288"/>
      <c r="L54" s="288"/>
      <c r="M54" s="288"/>
      <c r="N54" s="288"/>
      <c r="O54" s="288"/>
      <c r="P54" s="288"/>
      <c r="Q54" s="288"/>
      <c r="R54" s="288"/>
      <c r="S54" s="288"/>
      <c r="T54" s="288"/>
      <c r="U54" s="288"/>
      <c r="V54" s="328" t="s">
        <v>203</v>
      </c>
      <c r="W54" s="291"/>
      <c r="X54" s="5"/>
    </row>
    <row r="55" spans="1:25" ht="15.6" x14ac:dyDescent="0.3">
      <c r="A55" s="287"/>
      <c r="B55" s="288" t="s">
        <v>280</v>
      </c>
      <c r="C55" s="288"/>
      <c r="D55" s="288"/>
      <c r="E55" s="288"/>
      <c r="F55" s="288"/>
      <c r="G55" s="288"/>
      <c r="H55" s="288"/>
      <c r="I55" s="288"/>
      <c r="J55" s="288"/>
      <c r="K55" s="288"/>
      <c r="L55" s="288"/>
      <c r="M55" s="288"/>
      <c r="N55" s="288"/>
      <c r="O55" s="288"/>
      <c r="P55" s="288"/>
      <c r="Q55" s="288"/>
      <c r="R55" s="288"/>
      <c r="S55" s="288"/>
      <c r="T55" s="296"/>
      <c r="U55" s="296"/>
      <c r="V55" s="329" t="s">
        <v>111</v>
      </c>
      <c r="W55" s="291"/>
      <c r="X55" s="5"/>
    </row>
    <row r="56" spans="1:25" ht="15.6" x14ac:dyDescent="0.3">
      <c r="A56" s="287"/>
      <c r="B56" s="295" t="s">
        <v>201</v>
      </c>
      <c r="C56" s="295"/>
      <c r="D56" s="295"/>
      <c r="E56" s="295"/>
      <c r="F56" s="295"/>
      <c r="G56" s="295"/>
      <c r="H56" s="295"/>
      <c r="I56" s="295"/>
      <c r="J56" s="295"/>
      <c r="K56" s="295"/>
      <c r="L56" s="295"/>
      <c r="M56" s="295"/>
      <c r="N56" s="295"/>
      <c r="O56" s="295"/>
      <c r="P56" s="295"/>
      <c r="Q56" s="295"/>
      <c r="R56" s="295"/>
      <c r="S56" s="295"/>
      <c r="T56" s="330"/>
      <c r="U56" s="330"/>
      <c r="V56" s="331">
        <v>41169</v>
      </c>
      <c r="W56" s="291"/>
      <c r="X56" s="5"/>
    </row>
    <row r="57" spans="1:25" ht="15.6" x14ac:dyDescent="0.3">
      <c r="A57" s="287"/>
      <c r="B57" s="288" t="s">
        <v>121</v>
      </c>
      <c r="C57" s="288"/>
      <c r="D57" s="288"/>
      <c r="E57" s="288"/>
      <c r="F57" s="288"/>
      <c r="G57" s="288"/>
      <c r="H57" s="332"/>
      <c r="I57" s="332"/>
      <c r="J57" s="332"/>
      <c r="K57" s="332"/>
      <c r="L57" s="332"/>
      <c r="M57" s="332"/>
      <c r="N57" s="332"/>
      <c r="O57" s="332"/>
      <c r="P57" s="332"/>
      <c r="Q57" s="332"/>
      <c r="R57" s="288">
        <f>+V57-T57+1</f>
        <v>92</v>
      </c>
      <c r="S57" s="332"/>
      <c r="T57" s="333">
        <v>40983</v>
      </c>
      <c r="U57" s="334"/>
      <c r="V57" s="333">
        <v>41074</v>
      </c>
      <c r="W57" s="291"/>
      <c r="X57" s="5"/>
    </row>
    <row r="58" spans="1:25" ht="15.6" x14ac:dyDescent="0.3">
      <c r="A58" s="287"/>
      <c r="B58" s="288" t="s">
        <v>122</v>
      </c>
      <c r="C58" s="288"/>
      <c r="D58" s="288"/>
      <c r="E58" s="288"/>
      <c r="F58" s="288"/>
      <c r="G58" s="288"/>
      <c r="H58" s="288"/>
      <c r="I58" s="288"/>
      <c r="J58" s="288"/>
      <c r="K58" s="288"/>
      <c r="L58" s="288"/>
      <c r="M58" s="288"/>
      <c r="N58" s="288"/>
      <c r="O58" s="288"/>
      <c r="P58" s="288"/>
      <c r="Q58" s="288"/>
      <c r="R58" s="288">
        <f>+V58-T58+1</f>
        <v>94</v>
      </c>
      <c r="S58" s="288"/>
      <c r="T58" s="333">
        <v>41075</v>
      </c>
      <c r="U58" s="334"/>
      <c r="V58" s="333">
        <v>41168</v>
      </c>
      <c r="W58" s="291"/>
      <c r="X58" s="5"/>
    </row>
    <row r="59" spans="1:25" ht="15.6" x14ac:dyDescent="0.3">
      <c r="A59" s="287"/>
      <c r="B59" s="288" t="s">
        <v>229</v>
      </c>
      <c r="C59" s="288"/>
      <c r="D59" s="288"/>
      <c r="E59" s="288"/>
      <c r="F59" s="288"/>
      <c r="G59" s="288"/>
      <c r="H59" s="288"/>
      <c r="I59" s="288"/>
      <c r="J59" s="288"/>
      <c r="K59" s="288"/>
      <c r="L59" s="288"/>
      <c r="M59" s="288"/>
      <c r="N59" s="288"/>
      <c r="O59" s="288"/>
      <c r="P59" s="288"/>
      <c r="Q59" s="288"/>
      <c r="R59" s="288"/>
      <c r="S59" s="288"/>
      <c r="T59" s="333"/>
      <c r="U59" s="334"/>
      <c r="V59" s="333" t="s">
        <v>120</v>
      </c>
      <c r="W59" s="291"/>
      <c r="X59" s="5"/>
    </row>
    <row r="60" spans="1:25" ht="15.6" x14ac:dyDescent="0.3">
      <c r="A60" s="287"/>
      <c r="B60" s="288" t="s">
        <v>228</v>
      </c>
      <c r="C60" s="288"/>
      <c r="D60" s="288"/>
      <c r="E60" s="288"/>
      <c r="F60" s="288"/>
      <c r="G60" s="288"/>
      <c r="H60" s="288"/>
      <c r="I60" s="288"/>
      <c r="J60" s="288"/>
      <c r="K60" s="288"/>
      <c r="L60" s="288"/>
      <c r="M60" s="288"/>
      <c r="N60" s="288"/>
      <c r="O60" s="288"/>
      <c r="P60" s="288"/>
      <c r="Q60" s="288"/>
      <c r="R60" s="288"/>
      <c r="S60" s="288"/>
      <c r="T60" s="333"/>
      <c r="U60" s="334"/>
      <c r="V60" s="333" t="s">
        <v>154</v>
      </c>
      <c r="W60" s="291"/>
      <c r="X60" s="5"/>
      <c r="Y60" s="134"/>
    </row>
    <row r="61" spans="1:25" ht="15.6" x14ac:dyDescent="0.3">
      <c r="A61" s="287"/>
      <c r="B61" s="288" t="s">
        <v>16</v>
      </c>
      <c r="C61" s="288"/>
      <c r="D61" s="288"/>
      <c r="E61" s="288"/>
      <c r="F61" s="288"/>
      <c r="G61" s="288"/>
      <c r="H61" s="288"/>
      <c r="I61" s="288"/>
      <c r="J61" s="288"/>
      <c r="K61" s="288"/>
      <c r="L61" s="288"/>
      <c r="M61" s="288"/>
      <c r="N61" s="288"/>
      <c r="O61" s="288"/>
      <c r="P61" s="288"/>
      <c r="Q61" s="288"/>
      <c r="R61" s="288"/>
      <c r="S61" s="288"/>
      <c r="T61" s="333"/>
      <c r="U61" s="334"/>
      <c r="V61" s="333">
        <v>41155</v>
      </c>
      <c r="W61" s="291"/>
      <c r="X61" s="5"/>
    </row>
    <row r="62" spans="1:25" ht="15.6" x14ac:dyDescent="0.3">
      <c r="A62" s="183"/>
      <c r="B62" s="284"/>
      <c r="C62" s="284"/>
      <c r="D62" s="284"/>
      <c r="E62" s="284"/>
      <c r="F62" s="284"/>
      <c r="G62" s="284"/>
      <c r="H62" s="284"/>
      <c r="I62" s="284"/>
      <c r="J62" s="284"/>
      <c r="K62" s="284"/>
      <c r="L62" s="284"/>
      <c r="M62" s="284"/>
      <c r="N62" s="284"/>
      <c r="O62" s="284"/>
      <c r="P62" s="284"/>
      <c r="Q62" s="284"/>
      <c r="R62" s="284"/>
      <c r="S62" s="284"/>
      <c r="T62" s="285"/>
      <c r="U62" s="286"/>
      <c r="V62" s="285"/>
      <c r="W62" s="284"/>
      <c r="X62" s="5"/>
    </row>
    <row r="63" spans="1:25" ht="15.6" x14ac:dyDescent="0.3">
      <c r="A63" s="183"/>
      <c r="B63" s="224"/>
      <c r="C63" s="224"/>
      <c r="D63" s="224"/>
      <c r="E63" s="224"/>
      <c r="F63" s="224"/>
      <c r="G63" s="224"/>
      <c r="H63" s="224"/>
      <c r="I63" s="224"/>
      <c r="J63" s="224"/>
      <c r="K63" s="224"/>
      <c r="L63" s="224"/>
      <c r="M63" s="224"/>
      <c r="N63" s="224"/>
      <c r="O63" s="224"/>
      <c r="P63" s="224"/>
      <c r="Q63" s="224"/>
      <c r="R63" s="224"/>
      <c r="S63" s="224"/>
      <c r="T63" s="235"/>
      <c r="U63" s="236"/>
      <c r="V63" s="235"/>
      <c r="W63" s="224"/>
      <c r="X63" s="5"/>
    </row>
    <row r="64" spans="1:25" ht="18" thickBot="1" x14ac:dyDescent="0.35">
      <c r="A64" s="199"/>
      <c r="B64" s="237" t="s">
        <v>326</v>
      </c>
      <c r="C64" s="238"/>
      <c r="D64" s="238"/>
      <c r="E64" s="238"/>
      <c r="F64" s="238"/>
      <c r="G64" s="238"/>
      <c r="H64" s="238"/>
      <c r="I64" s="238"/>
      <c r="J64" s="238"/>
      <c r="K64" s="238"/>
      <c r="L64" s="238"/>
      <c r="M64" s="238"/>
      <c r="N64" s="238"/>
      <c r="O64" s="238"/>
      <c r="P64" s="238"/>
      <c r="Q64" s="238"/>
      <c r="R64" s="238"/>
      <c r="S64" s="238"/>
      <c r="T64" s="238"/>
      <c r="U64" s="238"/>
      <c r="V64" s="239"/>
      <c r="W64" s="240"/>
      <c r="X64" s="5"/>
    </row>
    <row r="65" spans="1:24" ht="15.6" x14ac:dyDescent="0.3">
      <c r="A65" s="262"/>
      <c r="B65" s="399" t="s">
        <v>17</v>
      </c>
      <c r="C65" s="263"/>
      <c r="D65" s="263"/>
      <c r="E65" s="263"/>
      <c r="F65" s="263"/>
      <c r="G65" s="263"/>
      <c r="H65" s="263"/>
      <c r="I65" s="263"/>
      <c r="J65" s="263"/>
      <c r="K65" s="263"/>
      <c r="L65" s="263"/>
      <c r="M65" s="263"/>
      <c r="N65" s="263"/>
      <c r="O65" s="263"/>
      <c r="P65" s="263"/>
      <c r="Q65" s="263"/>
      <c r="R65" s="263"/>
      <c r="S65" s="263"/>
      <c r="T65" s="263"/>
      <c r="U65" s="263"/>
      <c r="V65" s="268"/>
      <c r="W65" s="263"/>
      <c r="X65" s="5"/>
    </row>
    <row r="66" spans="1:24" ht="15.6" x14ac:dyDescent="0.3">
      <c r="A66" s="183"/>
      <c r="B66" s="191"/>
      <c r="C66" s="185"/>
      <c r="D66" s="185"/>
      <c r="E66" s="185"/>
      <c r="F66" s="185"/>
      <c r="G66" s="185"/>
      <c r="H66" s="185"/>
      <c r="I66" s="185"/>
      <c r="J66" s="185"/>
      <c r="K66" s="185"/>
      <c r="L66" s="185"/>
      <c r="M66" s="185"/>
      <c r="N66" s="185"/>
      <c r="O66" s="185"/>
      <c r="P66" s="185"/>
      <c r="Q66" s="185"/>
      <c r="R66" s="185"/>
      <c r="S66" s="185"/>
      <c r="T66" s="185"/>
      <c r="U66" s="185"/>
      <c r="V66" s="201"/>
      <c r="W66" s="185"/>
      <c r="X66" s="5"/>
    </row>
    <row r="67" spans="1:24" ht="46.8" x14ac:dyDescent="0.3">
      <c r="A67" s="183"/>
      <c r="B67" s="202" t="s">
        <v>18</v>
      </c>
      <c r="C67" s="203"/>
      <c r="D67" s="203"/>
      <c r="E67" s="203"/>
      <c r="F67" s="203"/>
      <c r="G67" s="203"/>
      <c r="H67" s="203"/>
      <c r="I67" s="203"/>
      <c r="J67" s="203"/>
      <c r="K67" s="203"/>
      <c r="L67" s="203" t="s">
        <v>94</v>
      </c>
      <c r="M67" s="203"/>
      <c r="N67" s="203" t="s">
        <v>96</v>
      </c>
      <c r="O67" s="203"/>
      <c r="P67" s="203" t="s">
        <v>98</v>
      </c>
      <c r="Q67" s="203"/>
      <c r="R67" s="203" t="s">
        <v>100</v>
      </c>
      <c r="S67" s="203"/>
      <c r="T67" s="203" t="s">
        <v>106</v>
      </c>
      <c r="U67" s="203"/>
      <c r="V67" s="204" t="s">
        <v>112</v>
      </c>
      <c r="W67" s="205"/>
      <c r="X67" s="5"/>
    </row>
    <row r="68" spans="1:24" ht="15.6" x14ac:dyDescent="0.3">
      <c r="A68" s="287"/>
      <c r="B68" s="288" t="s">
        <v>19</v>
      </c>
      <c r="C68" s="337"/>
      <c r="D68" s="337"/>
      <c r="E68" s="337"/>
      <c r="F68" s="337"/>
      <c r="G68" s="337"/>
      <c r="H68" s="337"/>
      <c r="I68" s="337"/>
      <c r="J68" s="337"/>
      <c r="K68" s="337"/>
      <c r="L68" s="337">
        <v>1158015</v>
      </c>
      <c r="M68" s="337"/>
      <c r="N68" s="338">
        <v>1121649</v>
      </c>
      <c r="O68" s="337"/>
      <c r="P68" s="337">
        <f>7498+7+31</f>
        <v>7536</v>
      </c>
      <c r="Q68" s="337"/>
      <c r="R68" s="337">
        <f>7+31</f>
        <v>38</v>
      </c>
      <c r="S68" s="337"/>
      <c r="T68" s="337">
        <v>0</v>
      </c>
      <c r="U68" s="337"/>
      <c r="V68" s="338">
        <f>+N68-P68+R68-T68</f>
        <v>1114151</v>
      </c>
      <c r="W68" s="291"/>
      <c r="X68" s="5"/>
    </row>
    <row r="69" spans="1:24" ht="15.6" x14ac:dyDescent="0.3">
      <c r="A69" s="287"/>
      <c r="B69" s="288" t="s">
        <v>20</v>
      </c>
      <c r="C69" s="337"/>
      <c r="D69" s="337"/>
      <c r="E69" s="337"/>
      <c r="F69" s="337"/>
      <c r="G69" s="337"/>
      <c r="H69" s="337"/>
      <c r="I69" s="337"/>
      <c r="J69" s="337"/>
      <c r="K69" s="337"/>
      <c r="L69" s="337">
        <v>15</v>
      </c>
      <c r="M69" s="337"/>
      <c r="N69" s="338">
        <v>0</v>
      </c>
      <c r="O69" s="337"/>
      <c r="P69" s="337">
        <v>0</v>
      </c>
      <c r="Q69" s="337"/>
      <c r="R69" s="337">
        <v>0</v>
      </c>
      <c r="S69" s="337"/>
      <c r="T69" s="337">
        <v>0</v>
      </c>
      <c r="U69" s="337"/>
      <c r="V69" s="338">
        <v>0</v>
      </c>
      <c r="W69" s="291"/>
      <c r="X69" s="5"/>
    </row>
    <row r="70" spans="1:24" ht="15.6" x14ac:dyDescent="0.3">
      <c r="A70" s="287"/>
      <c r="B70" s="288"/>
      <c r="C70" s="337"/>
      <c r="D70" s="337"/>
      <c r="E70" s="337"/>
      <c r="F70" s="337"/>
      <c r="G70" s="337"/>
      <c r="H70" s="337"/>
      <c r="I70" s="337"/>
      <c r="J70" s="337"/>
      <c r="K70" s="337"/>
      <c r="L70" s="337"/>
      <c r="M70" s="337"/>
      <c r="N70" s="338"/>
      <c r="O70" s="337"/>
      <c r="P70" s="337"/>
      <c r="Q70" s="337"/>
      <c r="R70" s="337"/>
      <c r="S70" s="337"/>
      <c r="T70" s="337"/>
      <c r="U70" s="337"/>
      <c r="V70" s="338"/>
      <c r="W70" s="291"/>
      <c r="X70" s="5"/>
    </row>
    <row r="71" spans="1:24" ht="15.6" x14ac:dyDescent="0.3">
      <c r="A71" s="287"/>
      <c r="B71" s="288" t="s">
        <v>21</v>
      </c>
      <c r="C71" s="337"/>
      <c r="D71" s="337"/>
      <c r="E71" s="337"/>
      <c r="F71" s="337"/>
      <c r="G71" s="337"/>
      <c r="H71" s="337"/>
      <c r="I71" s="337"/>
      <c r="J71" s="337"/>
      <c r="K71" s="337"/>
      <c r="L71" s="337">
        <f>SUM(L68:L70)</f>
        <v>1158030</v>
      </c>
      <c r="M71" s="337"/>
      <c r="N71" s="337">
        <f>N68+N69</f>
        <v>1121649</v>
      </c>
      <c r="O71" s="337"/>
      <c r="P71" s="337">
        <f>SUM(P68:P70)</f>
        <v>7536</v>
      </c>
      <c r="Q71" s="337"/>
      <c r="R71" s="337">
        <f>SUM(R68:R70)</f>
        <v>38</v>
      </c>
      <c r="S71" s="337"/>
      <c r="T71" s="337">
        <f>SUM(T68:T70)</f>
        <v>0</v>
      </c>
      <c r="U71" s="337"/>
      <c r="V71" s="337">
        <f>SUM(V68:V70)</f>
        <v>1114151</v>
      </c>
      <c r="W71" s="291"/>
      <c r="X71" s="5"/>
    </row>
    <row r="72" spans="1:24" ht="15.6" x14ac:dyDescent="0.3">
      <c r="A72" s="183"/>
      <c r="B72" s="198"/>
      <c r="C72" s="335"/>
      <c r="D72" s="335"/>
      <c r="E72" s="335"/>
      <c r="F72" s="335"/>
      <c r="G72" s="335"/>
      <c r="H72" s="335"/>
      <c r="I72" s="335"/>
      <c r="J72" s="335"/>
      <c r="K72" s="335"/>
      <c r="L72" s="335"/>
      <c r="M72" s="335"/>
      <c r="N72" s="335"/>
      <c r="O72" s="335"/>
      <c r="P72" s="335"/>
      <c r="Q72" s="335"/>
      <c r="R72" s="335"/>
      <c r="S72" s="335"/>
      <c r="T72" s="335"/>
      <c r="U72" s="335"/>
      <c r="V72" s="336"/>
      <c r="W72" s="198"/>
      <c r="X72" s="5"/>
    </row>
    <row r="73" spans="1:24" ht="15.6" x14ac:dyDescent="0.3">
      <c r="A73" s="183"/>
      <c r="B73" s="187" t="s">
        <v>22</v>
      </c>
      <c r="C73" s="206"/>
      <c r="D73" s="206"/>
      <c r="E73" s="206"/>
      <c r="F73" s="206"/>
      <c r="G73" s="206"/>
      <c r="H73" s="206"/>
      <c r="I73" s="206"/>
      <c r="J73" s="206"/>
      <c r="K73" s="206"/>
      <c r="L73" s="206"/>
      <c r="M73" s="206"/>
      <c r="N73" s="206"/>
      <c r="O73" s="206"/>
      <c r="P73" s="206"/>
      <c r="Q73" s="206"/>
      <c r="R73" s="206"/>
      <c r="S73" s="206"/>
      <c r="T73" s="206"/>
      <c r="U73" s="206"/>
      <c r="V73" s="207"/>
      <c r="W73" s="185"/>
      <c r="X73" s="5"/>
    </row>
    <row r="74" spans="1:24" ht="15.6" x14ac:dyDescent="0.3">
      <c r="A74" s="183"/>
      <c r="B74" s="185"/>
      <c r="C74" s="206"/>
      <c r="D74" s="206"/>
      <c r="E74" s="206"/>
      <c r="F74" s="206"/>
      <c r="G74" s="206"/>
      <c r="H74" s="206"/>
      <c r="I74" s="206"/>
      <c r="J74" s="206"/>
      <c r="K74" s="206"/>
      <c r="L74" s="206"/>
      <c r="M74" s="206"/>
      <c r="N74" s="206"/>
      <c r="O74" s="206"/>
      <c r="P74" s="206"/>
      <c r="Q74" s="206"/>
      <c r="R74" s="206"/>
      <c r="S74" s="206"/>
      <c r="T74" s="206"/>
      <c r="U74" s="206"/>
      <c r="V74" s="207"/>
      <c r="W74" s="185"/>
      <c r="X74" s="5"/>
    </row>
    <row r="75" spans="1:24" ht="15.6" x14ac:dyDescent="0.3">
      <c r="A75" s="340"/>
      <c r="B75" s="288" t="s">
        <v>19</v>
      </c>
      <c r="C75" s="337"/>
      <c r="D75" s="337"/>
      <c r="E75" s="337"/>
      <c r="F75" s="337"/>
      <c r="G75" s="337"/>
      <c r="H75" s="337"/>
      <c r="I75" s="337"/>
      <c r="J75" s="337"/>
      <c r="K75" s="337"/>
      <c r="L75" s="337"/>
      <c r="M75" s="337"/>
      <c r="N75" s="337"/>
      <c r="O75" s="337"/>
      <c r="P75" s="337"/>
      <c r="Q75" s="337"/>
      <c r="R75" s="337"/>
      <c r="S75" s="337"/>
      <c r="T75" s="337"/>
      <c r="U75" s="337"/>
      <c r="V75" s="337"/>
      <c r="W75" s="291"/>
      <c r="X75" s="5"/>
    </row>
    <row r="76" spans="1:24" ht="15.6" x14ac:dyDescent="0.3">
      <c r="A76" s="340"/>
      <c r="B76" s="288" t="s">
        <v>20</v>
      </c>
      <c r="C76" s="337"/>
      <c r="D76" s="337"/>
      <c r="E76" s="337"/>
      <c r="F76" s="337"/>
      <c r="G76" s="337"/>
      <c r="H76" s="337"/>
      <c r="I76" s="337"/>
      <c r="J76" s="337"/>
      <c r="K76" s="337"/>
      <c r="L76" s="337"/>
      <c r="M76" s="337"/>
      <c r="N76" s="337"/>
      <c r="O76" s="337"/>
      <c r="P76" s="337"/>
      <c r="Q76" s="337"/>
      <c r="R76" s="337"/>
      <c r="S76" s="337"/>
      <c r="T76" s="337"/>
      <c r="U76" s="337"/>
      <c r="V76" s="337"/>
      <c r="W76" s="291"/>
      <c r="X76" s="5"/>
    </row>
    <row r="77" spans="1:24" ht="15.6" x14ac:dyDescent="0.3">
      <c r="A77" s="340"/>
      <c r="B77" s="288"/>
      <c r="C77" s="337"/>
      <c r="D77" s="337"/>
      <c r="E77" s="337"/>
      <c r="F77" s="337"/>
      <c r="G77" s="337"/>
      <c r="H77" s="337"/>
      <c r="I77" s="337"/>
      <c r="J77" s="337"/>
      <c r="K77" s="337"/>
      <c r="L77" s="337"/>
      <c r="M77" s="337"/>
      <c r="N77" s="337"/>
      <c r="O77" s="337"/>
      <c r="P77" s="337"/>
      <c r="Q77" s="337"/>
      <c r="R77" s="337"/>
      <c r="S77" s="337"/>
      <c r="T77" s="337"/>
      <c r="U77" s="337"/>
      <c r="V77" s="337"/>
      <c r="W77" s="291"/>
      <c r="X77" s="5"/>
    </row>
    <row r="78" spans="1:24" ht="15.6" x14ac:dyDescent="0.3">
      <c r="A78" s="340"/>
      <c r="B78" s="288" t="s">
        <v>21</v>
      </c>
      <c r="C78" s="337"/>
      <c r="D78" s="337"/>
      <c r="E78" s="337"/>
      <c r="F78" s="337"/>
      <c r="G78" s="337"/>
      <c r="H78" s="337"/>
      <c r="I78" s="337"/>
      <c r="J78" s="337"/>
      <c r="K78" s="337"/>
      <c r="L78" s="337"/>
      <c r="M78" s="337"/>
      <c r="N78" s="337"/>
      <c r="O78" s="337"/>
      <c r="P78" s="337"/>
      <c r="Q78" s="337"/>
      <c r="R78" s="337"/>
      <c r="S78" s="337"/>
      <c r="T78" s="337"/>
      <c r="U78" s="337"/>
      <c r="V78" s="337"/>
      <c r="W78" s="291"/>
      <c r="X78" s="5"/>
    </row>
    <row r="79" spans="1:24" ht="15.6" x14ac:dyDescent="0.3">
      <c r="A79" s="340"/>
      <c r="B79" s="288"/>
      <c r="C79" s="337"/>
      <c r="D79" s="337"/>
      <c r="E79" s="337"/>
      <c r="F79" s="337"/>
      <c r="G79" s="337"/>
      <c r="H79" s="337"/>
      <c r="I79" s="337"/>
      <c r="J79" s="337"/>
      <c r="K79" s="337"/>
      <c r="L79" s="337"/>
      <c r="M79" s="337"/>
      <c r="N79" s="337"/>
      <c r="O79" s="337"/>
      <c r="P79" s="337"/>
      <c r="Q79" s="337"/>
      <c r="R79" s="337"/>
      <c r="S79" s="337"/>
      <c r="T79" s="337"/>
      <c r="U79" s="337"/>
      <c r="V79" s="337"/>
      <c r="W79" s="291"/>
      <c r="X79" s="5"/>
    </row>
    <row r="80" spans="1:24" ht="15.6" x14ac:dyDescent="0.3">
      <c r="A80" s="340"/>
      <c r="B80" s="288" t="s">
        <v>23</v>
      </c>
      <c r="C80" s="337"/>
      <c r="D80" s="337"/>
      <c r="E80" s="337"/>
      <c r="F80" s="337"/>
      <c r="G80" s="337"/>
      <c r="H80" s="337"/>
      <c r="I80" s="337"/>
      <c r="J80" s="337"/>
      <c r="K80" s="337"/>
      <c r="L80" s="337">
        <v>0</v>
      </c>
      <c r="M80" s="337"/>
      <c r="N80" s="337">
        <v>0</v>
      </c>
      <c r="O80" s="337"/>
      <c r="P80" s="337"/>
      <c r="Q80" s="337"/>
      <c r="R80" s="337"/>
      <c r="S80" s="337"/>
      <c r="T80" s="337"/>
      <c r="U80" s="337"/>
      <c r="V80" s="338">
        <v>0</v>
      </c>
      <c r="W80" s="291"/>
      <c r="X80" s="5"/>
    </row>
    <row r="81" spans="1:24" ht="15.6" x14ac:dyDescent="0.3">
      <c r="A81" s="340"/>
      <c r="B81" s="288" t="s">
        <v>117</v>
      </c>
      <c r="C81" s="337"/>
      <c r="D81" s="337"/>
      <c r="E81" s="337"/>
      <c r="F81" s="337"/>
      <c r="G81" s="337"/>
      <c r="H81" s="337"/>
      <c r="I81" s="337"/>
      <c r="J81" s="337"/>
      <c r="K81" s="337"/>
      <c r="L81" s="337">
        <v>342245</v>
      </c>
      <c r="M81" s="337"/>
      <c r="N81" s="337">
        <v>0</v>
      </c>
      <c r="O81" s="337"/>
      <c r="P81" s="337">
        <v>0</v>
      </c>
      <c r="Q81" s="337"/>
      <c r="R81" s="337"/>
      <c r="S81" s="337"/>
      <c r="T81" s="337"/>
      <c r="U81" s="337"/>
      <c r="V81" s="337">
        <f>SUM(N81:R81)</f>
        <v>0</v>
      </c>
      <c r="W81" s="291"/>
      <c r="X81" s="5"/>
    </row>
    <row r="82" spans="1:24" ht="15.6" x14ac:dyDescent="0.3">
      <c r="A82" s="340"/>
      <c r="B82" s="288"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91"/>
      <c r="X82" s="5"/>
    </row>
    <row r="83" spans="1:24" ht="15.6" x14ac:dyDescent="0.3">
      <c r="A83" s="340"/>
      <c r="B83" s="288" t="s">
        <v>25</v>
      </c>
      <c r="C83" s="337"/>
      <c r="D83" s="337"/>
      <c r="E83" s="337"/>
      <c r="F83" s="337"/>
      <c r="G83" s="337"/>
      <c r="H83" s="337"/>
      <c r="I83" s="337"/>
      <c r="J83" s="337"/>
      <c r="K83" s="337"/>
      <c r="L83" s="337">
        <v>0</v>
      </c>
      <c r="M83" s="337"/>
      <c r="N83" s="337">
        <v>0</v>
      </c>
      <c r="O83" s="337"/>
      <c r="P83" s="337"/>
      <c r="Q83" s="337"/>
      <c r="R83" s="337"/>
      <c r="S83" s="337"/>
      <c r="T83" s="337"/>
      <c r="U83" s="337"/>
      <c r="V83" s="337">
        <v>0</v>
      </c>
      <c r="W83" s="291"/>
      <c r="X83" s="5"/>
    </row>
    <row r="84" spans="1:24" ht="15.6" x14ac:dyDescent="0.3">
      <c r="A84" s="340"/>
      <c r="B84" s="288" t="s">
        <v>26</v>
      </c>
      <c r="C84" s="337"/>
      <c r="D84" s="337"/>
      <c r="E84" s="337"/>
      <c r="F84" s="337"/>
      <c r="G84" s="337"/>
      <c r="H84" s="337"/>
      <c r="I84" s="337"/>
      <c r="J84" s="337"/>
      <c r="K84" s="337"/>
      <c r="L84" s="337">
        <f>SUM(L71:L83)</f>
        <v>1500275</v>
      </c>
      <c r="M84" s="337"/>
      <c r="N84" s="337">
        <f>SUM(N71:N83)</f>
        <v>1121649</v>
      </c>
      <c r="O84" s="337"/>
      <c r="P84" s="337"/>
      <c r="Q84" s="337"/>
      <c r="R84" s="337"/>
      <c r="S84" s="337"/>
      <c r="T84" s="337"/>
      <c r="U84" s="337"/>
      <c r="V84" s="337">
        <f>SUM(V71:V83)</f>
        <v>1114151</v>
      </c>
      <c r="W84" s="291"/>
      <c r="X84" s="5"/>
    </row>
    <row r="85" spans="1:24" ht="15.6" x14ac:dyDescent="0.3">
      <c r="A85" s="243"/>
      <c r="B85" s="284"/>
      <c r="C85" s="339"/>
      <c r="D85" s="339"/>
      <c r="E85" s="339"/>
      <c r="F85" s="339"/>
      <c r="G85" s="339"/>
      <c r="H85" s="339"/>
      <c r="I85" s="339"/>
      <c r="J85" s="339"/>
      <c r="K85" s="339"/>
      <c r="L85" s="339"/>
      <c r="M85" s="339"/>
      <c r="N85" s="339"/>
      <c r="O85" s="339"/>
      <c r="P85" s="339"/>
      <c r="Q85" s="339"/>
      <c r="R85" s="339"/>
      <c r="S85" s="339"/>
      <c r="T85" s="339"/>
      <c r="U85" s="339"/>
      <c r="V85" s="339"/>
      <c r="W85" s="284"/>
      <c r="X85" s="5"/>
    </row>
    <row r="86" spans="1:24" ht="15.6" x14ac:dyDescent="0.3">
      <c r="A86" s="243"/>
      <c r="B86" s="224"/>
      <c r="C86" s="224"/>
      <c r="D86" s="224"/>
      <c r="E86" s="224"/>
      <c r="F86" s="224"/>
      <c r="G86" s="224"/>
      <c r="H86" s="224"/>
      <c r="I86" s="224"/>
      <c r="J86" s="224"/>
      <c r="K86" s="224"/>
      <c r="L86" s="224"/>
      <c r="M86" s="224"/>
      <c r="N86" s="224"/>
      <c r="O86" s="224"/>
      <c r="P86" s="224"/>
      <c r="Q86" s="224"/>
      <c r="R86" s="224"/>
      <c r="S86" s="224"/>
      <c r="T86" s="224"/>
      <c r="U86" s="224"/>
      <c r="V86" s="224"/>
      <c r="W86" s="224"/>
      <c r="X86" s="5"/>
    </row>
    <row r="87" spans="1:24" ht="15.6" x14ac:dyDescent="0.3">
      <c r="A87" s="262"/>
      <c r="B87" s="399" t="s">
        <v>27</v>
      </c>
      <c r="C87" s="399"/>
      <c r="D87" s="399"/>
      <c r="E87" s="399"/>
      <c r="F87" s="399"/>
      <c r="G87" s="399"/>
      <c r="H87" s="400"/>
      <c r="I87" s="400"/>
      <c r="J87" s="400"/>
      <c r="K87" s="400"/>
      <c r="L87" s="401" t="s">
        <v>95</v>
      </c>
      <c r="M87" s="400"/>
      <c r="N87" s="402">
        <f>+T205</f>
        <v>41152</v>
      </c>
      <c r="O87" s="400"/>
      <c r="P87" s="400"/>
      <c r="Q87" s="400"/>
      <c r="R87" s="400"/>
      <c r="S87" s="400"/>
      <c r="T87" s="400" t="s">
        <v>107</v>
      </c>
      <c r="U87" s="400"/>
      <c r="V87" s="400" t="s">
        <v>113</v>
      </c>
      <c r="W87" s="263"/>
      <c r="X87" s="5"/>
    </row>
    <row r="88" spans="1:24" ht="15.6" x14ac:dyDescent="0.3">
      <c r="A88" s="242"/>
      <c r="B88" s="231" t="s">
        <v>28</v>
      </c>
      <c r="C88" s="231"/>
      <c r="D88" s="231"/>
      <c r="E88" s="231"/>
      <c r="F88" s="231"/>
      <c r="G88" s="231"/>
      <c r="H88" s="231"/>
      <c r="I88" s="231"/>
      <c r="J88" s="231"/>
      <c r="K88" s="231"/>
      <c r="L88" s="231"/>
      <c r="M88" s="231"/>
      <c r="N88" s="231"/>
      <c r="O88" s="231"/>
      <c r="P88" s="231"/>
      <c r="Q88" s="231"/>
      <c r="R88" s="231"/>
      <c r="S88" s="231"/>
      <c r="T88" s="234">
        <v>0</v>
      </c>
      <c r="U88" s="231"/>
      <c r="V88" s="241">
        <v>0</v>
      </c>
      <c r="W88" s="231"/>
      <c r="X88" s="5"/>
    </row>
    <row r="89" spans="1:24" ht="15.6" x14ac:dyDescent="0.3">
      <c r="A89" s="340"/>
      <c r="B89" s="288" t="s">
        <v>29</v>
      </c>
      <c r="C89" s="288"/>
      <c r="D89" s="288"/>
      <c r="E89" s="288"/>
      <c r="F89" s="288"/>
      <c r="G89" s="288"/>
      <c r="H89" s="325"/>
      <c r="I89" s="325"/>
      <c r="J89" s="325"/>
      <c r="K89" s="341"/>
      <c r="L89" s="325"/>
      <c r="M89" s="288"/>
      <c r="N89" s="342"/>
      <c r="O89" s="288"/>
      <c r="P89" s="288"/>
      <c r="Q89" s="288"/>
      <c r="R89" s="288"/>
      <c r="S89" s="288"/>
      <c r="T89" s="337">
        <f>7536-203</f>
        <v>7333</v>
      </c>
      <c r="U89" s="288"/>
      <c r="V89" s="338"/>
      <c r="W89" s="291"/>
      <c r="X89" s="5"/>
    </row>
    <row r="90" spans="1:24" ht="15.6" x14ac:dyDescent="0.3">
      <c r="A90" s="340"/>
      <c r="B90" s="288" t="s">
        <v>216</v>
      </c>
      <c r="C90" s="288"/>
      <c r="D90" s="288"/>
      <c r="E90" s="288"/>
      <c r="F90" s="288"/>
      <c r="G90" s="288"/>
      <c r="H90" s="325"/>
      <c r="I90" s="325"/>
      <c r="J90" s="325"/>
      <c r="K90" s="341"/>
      <c r="L90" s="325"/>
      <c r="M90" s="288"/>
      <c r="N90" s="342"/>
      <c r="O90" s="288"/>
      <c r="P90" s="288"/>
      <c r="Q90" s="288"/>
      <c r="R90" s="288"/>
      <c r="S90" s="288"/>
      <c r="T90" s="337"/>
      <c r="U90" s="288"/>
      <c r="V90" s="338">
        <f>3789+4952-488-681</f>
        <v>7572</v>
      </c>
      <c r="W90" s="291"/>
      <c r="X90" s="5"/>
    </row>
    <row r="91" spans="1:24" ht="15.6" x14ac:dyDescent="0.3">
      <c r="A91" s="340"/>
      <c r="B91" s="288" t="s">
        <v>211</v>
      </c>
      <c r="C91" s="288"/>
      <c r="D91" s="288"/>
      <c r="E91" s="288"/>
      <c r="F91" s="288"/>
      <c r="G91" s="288"/>
      <c r="H91" s="325"/>
      <c r="I91" s="325"/>
      <c r="J91" s="325"/>
      <c r="K91" s="341"/>
      <c r="L91" s="325"/>
      <c r="M91" s="288"/>
      <c r="N91" s="342"/>
      <c r="O91" s="288"/>
      <c r="P91" s="288"/>
      <c r="Q91" s="288"/>
      <c r="R91" s="288"/>
      <c r="S91" s="288"/>
      <c r="T91" s="337"/>
      <c r="U91" s="288"/>
      <c r="V91" s="338">
        <f>6+126</f>
        <v>132</v>
      </c>
      <c r="W91" s="291"/>
      <c r="X91" s="5"/>
    </row>
    <row r="92" spans="1:24" ht="15.6" x14ac:dyDescent="0.3">
      <c r="A92" s="340"/>
      <c r="B92" s="288" t="s">
        <v>212</v>
      </c>
      <c r="C92" s="288"/>
      <c r="D92" s="288"/>
      <c r="E92" s="288"/>
      <c r="F92" s="288"/>
      <c r="G92" s="288"/>
      <c r="H92" s="325"/>
      <c r="I92" s="325"/>
      <c r="J92" s="325"/>
      <c r="K92" s="341"/>
      <c r="L92" s="325"/>
      <c r="M92" s="288"/>
      <c r="N92" s="342"/>
      <c r="O92" s="288"/>
      <c r="P92" s="288"/>
      <c r="Q92" s="288"/>
      <c r="R92" s="288"/>
      <c r="S92" s="288"/>
      <c r="T92" s="337"/>
      <c r="U92" s="288"/>
      <c r="V92" s="338">
        <v>36</v>
      </c>
      <c r="W92" s="291"/>
      <c r="X92" s="5"/>
    </row>
    <row r="93" spans="1:24" ht="15.6" x14ac:dyDescent="0.3">
      <c r="A93" s="340"/>
      <c r="B93" s="288" t="s">
        <v>272</v>
      </c>
      <c r="C93" s="288"/>
      <c r="D93" s="288"/>
      <c r="E93" s="288"/>
      <c r="F93" s="288"/>
      <c r="G93" s="288"/>
      <c r="H93" s="325"/>
      <c r="I93" s="325"/>
      <c r="J93" s="325"/>
      <c r="K93" s="341"/>
      <c r="L93" s="325"/>
      <c r="M93" s="288"/>
      <c r="N93" s="342"/>
      <c r="O93" s="288"/>
      <c r="P93" s="288"/>
      <c r="Q93" s="288"/>
      <c r="R93" s="288"/>
      <c r="S93" s="288"/>
      <c r="T93" s="337"/>
      <c r="U93" s="288"/>
      <c r="V93" s="338">
        <v>0</v>
      </c>
      <c r="W93" s="291"/>
      <c r="X93" s="5"/>
    </row>
    <row r="94" spans="1:24" ht="15.6" x14ac:dyDescent="0.3">
      <c r="A94" s="340"/>
      <c r="B94" s="288" t="s">
        <v>274</v>
      </c>
      <c r="C94" s="288"/>
      <c r="D94" s="288"/>
      <c r="E94" s="288"/>
      <c r="F94" s="288"/>
      <c r="G94" s="288"/>
      <c r="H94" s="325"/>
      <c r="I94" s="325"/>
      <c r="J94" s="325"/>
      <c r="K94" s="341"/>
      <c r="L94" s="325"/>
      <c r="M94" s="288"/>
      <c r="N94" s="342"/>
      <c r="O94" s="288"/>
      <c r="P94" s="288"/>
      <c r="Q94" s="288"/>
      <c r="R94" s="288"/>
      <c r="S94" s="288"/>
      <c r="T94" s="337"/>
      <c r="U94" s="288"/>
      <c r="V94" s="338">
        <v>0</v>
      </c>
      <c r="W94" s="291"/>
      <c r="X94" s="5"/>
    </row>
    <row r="95" spans="1:24" ht="15.6" x14ac:dyDescent="0.3">
      <c r="A95" s="340"/>
      <c r="B95" s="288" t="s">
        <v>135</v>
      </c>
      <c r="C95" s="288"/>
      <c r="D95" s="288"/>
      <c r="E95" s="288"/>
      <c r="F95" s="288"/>
      <c r="G95" s="288"/>
      <c r="H95" s="288"/>
      <c r="I95" s="288"/>
      <c r="J95" s="288"/>
      <c r="K95" s="288"/>
      <c r="L95" s="288"/>
      <c r="M95" s="288"/>
      <c r="N95" s="288"/>
      <c r="O95" s="288"/>
      <c r="P95" s="288"/>
      <c r="Q95" s="288"/>
      <c r="R95" s="288"/>
      <c r="S95" s="288"/>
      <c r="T95" s="337"/>
      <c r="U95" s="288"/>
      <c r="V95" s="338">
        <v>0</v>
      </c>
      <c r="W95" s="291"/>
      <c r="X95" s="5"/>
    </row>
    <row r="96" spans="1:24" ht="15.6" x14ac:dyDescent="0.3">
      <c r="A96" s="340"/>
      <c r="B96" s="288" t="s">
        <v>268</v>
      </c>
      <c r="C96" s="288"/>
      <c r="D96" s="288"/>
      <c r="E96" s="288"/>
      <c r="F96" s="288"/>
      <c r="G96" s="288"/>
      <c r="H96" s="288"/>
      <c r="I96" s="288"/>
      <c r="J96" s="288"/>
      <c r="K96" s="288"/>
      <c r="L96" s="288"/>
      <c r="M96" s="288"/>
      <c r="N96" s="288"/>
      <c r="O96" s="288"/>
      <c r="P96" s="288"/>
      <c r="Q96" s="288"/>
      <c r="R96" s="288"/>
      <c r="S96" s="288"/>
      <c r="T96" s="337"/>
      <c r="U96" s="288"/>
      <c r="V96" s="338">
        <v>643</v>
      </c>
      <c r="W96" s="291"/>
      <c r="X96" s="5"/>
    </row>
    <row r="97" spans="1:25" ht="15.6" x14ac:dyDescent="0.3">
      <c r="A97" s="340"/>
      <c r="B97" s="288" t="s">
        <v>30</v>
      </c>
      <c r="C97" s="288"/>
      <c r="D97" s="288"/>
      <c r="E97" s="288"/>
      <c r="F97" s="288"/>
      <c r="G97" s="288"/>
      <c r="H97" s="288"/>
      <c r="I97" s="288"/>
      <c r="J97" s="288"/>
      <c r="K97" s="288"/>
      <c r="L97" s="288"/>
      <c r="M97" s="288"/>
      <c r="N97" s="288"/>
      <c r="O97" s="288"/>
      <c r="P97" s="288"/>
      <c r="Q97" s="288"/>
      <c r="R97" s="288"/>
      <c r="S97" s="288"/>
      <c r="T97" s="337">
        <f>SUM(T88:T96)</f>
        <v>7333</v>
      </c>
      <c r="U97" s="288"/>
      <c r="V97" s="337">
        <f>SUM(V88:V96)</f>
        <v>8383</v>
      </c>
      <c r="W97" s="291"/>
      <c r="X97" s="5"/>
    </row>
    <row r="98" spans="1:25" ht="15.6" x14ac:dyDescent="0.3">
      <c r="A98" s="340"/>
      <c r="B98" s="288" t="s">
        <v>161</v>
      </c>
      <c r="C98" s="288"/>
      <c r="D98" s="288"/>
      <c r="E98" s="288"/>
      <c r="F98" s="288"/>
      <c r="G98" s="288"/>
      <c r="H98" s="288"/>
      <c r="I98" s="288"/>
      <c r="J98" s="288"/>
      <c r="K98" s="288"/>
      <c r="L98" s="288"/>
      <c r="M98" s="288"/>
      <c r="N98" s="288"/>
      <c r="O98" s="288"/>
      <c r="P98" s="288"/>
      <c r="Q98" s="288"/>
      <c r="R98" s="288"/>
      <c r="S98" s="288"/>
      <c r="T98" s="337">
        <f>-V98</f>
        <v>-1</v>
      </c>
      <c r="U98" s="288"/>
      <c r="V98" s="337">
        <v>1</v>
      </c>
      <c r="W98" s="291"/>
      <c r="X98" s="5"/>
    </row>
    <row r="99" spans="1:25" ht="15.6" x14ac:dyDescent="0.3">
      <c r="A99" s="340"/>
      <c r="B99" s="288" t="s">
        <v>31</v>
      </c>
      <c r="C99" s="288"/>
      <c r="D99" s="288"/>
      <c r="E99" s="288"/>
      <c r="F99" s="288"/>
      <c r="G99" s="288"/>
      <c r="H99" s="288"/>
      <c r="I99" s="288"/>
      <c r="J99" s="288"/>
      <c r="K99" s="288"/>
      <c r="L99" s="288"/>
      <c r="M99" s="288"/>
      <c r="N99" s="288"/>
      <c r="O99" s="288"/>
      <c r="P99" s="288"/>
      <c r="Q99" s="288"/>
      <c r="R99" s="288"/>
      <c r="S99" s="288"/>
      <c r="T99" s="337">
        <f>-V99</f>
        <v>0</v>
      </c>
      <c r="U99" s="288"/>
      <c r="V99" s="338">
        <v>0</v>
      </c>
      <c r="W99" s="291"/>
      <c r="X99" s="5"/>
    </row>
    <row r="100" spans="1:25" ht="15.6" x14ac:dyDescent="0.3">
      <c r="A100" s="340"/>
      <c r="B100" s="288" t="s">
        <v>283</v>
      </c>
      <c r="C100" s="288"/>
      <c r="D100" s="288"/>
      <c r="E100" s="288"/>
      <c r="F100" s="288"/>
      <c r="G100" s="288"/>
      <c r="H100" s="288"/>
      <c r="I100" s="288"/>
      <c r="J100" s="288"/>
      <c r="K100" s="288"/>
      <c r="L100" s="288"/>
      <c r="M100" s="288"/>
      <c r="N100" s="288"/>
      <c r="O100" s="288"/>
      <c r="P100" s="288"/>
      <c r="Q100" s="288"/>
      <c r="R100" s="288"/>
      <c r="S100" s="288"/>
      <c r="T100" s="337"/>
      <c r="U100" s="288"/>
      <c r="V100" s="338">
        <v>21</v>
      </c>
      <c r="W100" s="291"/>
      <c r="X100" s="5"/>
    </row>
    <row r="101" spans="1:25" ht="15.6" x14ac:dyDescent="0.3">
      <c r="A101" s="340"/>
      <c r="B101" s="288" t="s">
        <v>32</v>
      </c>
      <c r="C101" s="288"/>
      <c r="D101" s="288"/>
      <c r="E101" s="288"/>
      <c r="F101" s="288"/>
      <c r="G101" s="288"/>
      <c r="H101" s="288"/>
      <c r="I101" s="288"/>
      <c r="J101" s="288"/>
      <c r="K101" s="288"/>
      <c r="L101" s="288"/>
      <c r="M101" s="288"/>
      <c r="N101" s="288"/>
      <c r="O101" s="288"/>
      <c r="P101" s="288"/>
      <c r="Q101" s="288"/>
      <c r="R101" s="288"/>
      <c r="S101" s="288"/>
      <c r="T101" s="337">
        <f>T97+T99+T98</f>
        <v>7332</v>
      </c>
      <c r="U101" s="288"/>
      <c r="V101" s="337">
        <f>V97+V99+V98+V100</f>
        <v>8405</v>
      </c>
      <c r="W101" s="291"/>
      <c r="X101" s="5"/>
    </row>
    <row r="102" spans="1:25" ht="15.6" x14ac:dyDescent="0.3">
      <c r="A102" s="287"/>
      <c r="B102" s="343" t="s">
        <v>33</v>
      </c>
      <c r="C102" s="314"/>
      <c r="D102" s="314"/>
      <c r="E102" s="314"/>
      <c r="F102" s="314"/>
      <c r="G102" s="314"/>
      <c r="H102" s="314"/>
      <c r="I102" s="314"/>
      <c r="J102" s="314"/>
      <c r="K102" s="314"/>
      <c r="L102" s="314"/>
      <c r="M102" s="314"/>
      <c r="N102" s="314"/>
      <c r="O102" s="314"/>
      <c r="P102" s="314"/>
      <c r="Q102" s="314"/>
      <c r="R102" s="314"/>
      <c r="S102" s="314"/>
      <c r="T102" s="344"/>
      <c r="U102" s="314"/>
      <c r="V102" s="345"/>
      <c r="W102" s="318"/>
      <c r="X102" s="5"/>
    </row>
    <row r="103" spans="1:25" ht="15.6" x14ac:dyDescent="0.3">
      <c r="A103" s="340">
        <v>1</v>
      </c>
      <c r="B103" s="288" t="s">
        <v>34</v>
      </c>
      <c r="C103" s="288"/>
      <c r="D103" s="288"/>
      <c r="E103" s="288"/>
      <c r="F103" s="288"/>
      <c r="G103" s="288"/>
      <c r="H103" s="288"/>
      <c r="I103" s="288"/>
      <c r="J103" s="288"/>
      <c r="K103" s="288"/>
      <c r="L103" s="288"/>
      <c r="M103" s="288"/>
      <c r="N103" s="288"/>
      <c r="O103" s="288"/>
      <c r="P103" s="288"/>
      <c r="Q103" s="288"/>
      <c r="R103" s="288"/>
      <c r="S103" s="288"/>
      <c r="T103" s="288"/>
      <c r="U103" s="288"/>
      <c r="V103" s="338">
        <v>0</v>
      </c>
      <c r="W103" s="291"/>
      <c r="X103" s="5"/>
    </row>
    <row r="104" spans="1:25" ht="15.6" x14ac:dyDescent="0.3">
      <c r="A104" s="340">
        <f>+A103+1</f>
        <v>2</v>
      </c>
      <c r="B104" s="288" t="s">
        <v>225</v>
      </c>
      <c r="C104" s="288"/>
      <c r="D104" s="288"/>
      <c r="E104" s="288"/>
      <c r="F104" s="288"/>
      <c r="G104" s="288"/>
      <c r="H104" s="288"/>
      <c r="I104" s="288"/>
      <c r="J104" s="288"/>
      <c r="K104" s="288"/>
      <c r="L104" s="288"/>
      <c r="M104" s="288"/>
      <c r="N104" s="288"/>
      <c r="O104" s="288"/>
      <c r="P104" s="288"/>
      <c r="Q104" s="288"/>
      <c r="R104" s="288"/>
      <c r="S104" s="288"/>
      <c r="T104" s="288"/>
      <c r="U104" s="288"/>
      <c r="V104" s="338">
        <v>-2</v>
      </c>
      <c r="W104" s="291"/>
      <c r="X104" s="5"/>
    </row>
    <row r="105" spans="1:25" ht="15.6" x14ac:dyDescent="0.3">
      <c r="A105" s="340">
        <f>+A104+1</f>
        <v>3</v>
      </c>
      <c r="B105" s="288" t="s">
        <v>204</v>
      </c>
      <c r="C105" s="288"/>
      <c r="D105" s="288"/>
      <c r="E105" s="288"/>
      <c r="F105" s="288"/>
      <c r="G105" s="288"/>
      <c r="H105" s="288"/>
      <c r="I105" s="288"/>
      <c r="J105" s="288"/>
      <c r="K105" s="288"/>
      <c r="L105" s="288"/>
      <c r="M105" s="288"/>
      <c r="N105" s="288"/>
      <c r="O105" s="288"/>
      <c r="P105" s="288"/>
      <c r="Q105" s="288"/>
      <c r="R105" s="288"/>
      <c r="S105" s="288"/>
      <c r="T105" s="288"/>
      <c r="U105" s="288"/>
      <c r="V105" s="338">
        <f>-142-293-14</f>
        <v>-449</v>
      </c>
      <c r="W105" s="291"/>
      <c r="X105" s="5"/>
    </row>
    <row r="106" spans="1:25" ht="15.6" x14ac:dyDescent="0.3">
      <c r="A106" s="340" t="s">
        <v>127</v>
      </c>
      <c r="B106" s="288" t="s">
        <v>116</v>
      </c>
      <c r="C106" s="288"/>
      <c r="D106" s="288"/>
      <c r="E106" s="288"/>
      <c r="F106" s="288"/>
      <c r="G106" s="288"/>
      <c r="H106" s="288"/>
      <c r="I106" s="288"/>
      <c r="J106" s="288"/>
      <c r="K106" s="288"/>
      <c r="L106" s="288"/>
      <c r="M106" s="288"/>
      <c r="N106" s="288"/>
      <c r="O106" s="288"/>
      <c r="P106" s="288"/>
      <c r="Q106" s="288"/>
      <c r="R106" s="288"/>
      <c r="S106" s="288"/>
      <c r="T106" s="288"/>
      <c r="U106" s="288"/>
      <c r="V106" s="338">
        <v>0</v>
      </c>
      <c r="W106" s="291"/>
      <c r="X106" s="5"/>
    </row>
    <row r="107" spans="1:25" ht="15.6" x14ac:dyDescent="0.3">
      <c r="A107" s="340" t="s">
        <v>128</v>
      </c>
      <c r="B107" s="288" t="s">
        <v>222</v>
      </c>
      <c r="C107" s="288"/>
      <c r="D107" s="288"/>
      <c r="E107" s="288"/>
      <c r="F107" s="288"/>
      <c r="G107" s="288"/>
      <c r="H107" s="288"/>
      <c r="I107" s="288"/>
      <c r="J107" s="288"/>
      <c r="K107" s="288"/>
      <c r="L107" s="288"/>
      <c r="M107" s="288"/>
      <c r="N107" s="288"/>
      <c r="O107" s="288"/>
      <c r="P107" s="288"/>
      <c r="Q107" s="288"/>
      <c r="R107" s="288"/>
      <c r="S107" s="288"/>
      <c r="T107" s="288"/>
      <c r="U107" s="288"/>
      <c r="V107" s="338">
        <f>260-2745</f>
        <v>-2485</v>
      </c>
      <c r="W107" s="291"/>
      <c r="X107" s="5"/>
      <c r="Y107" s="109"/>
    </row>
    <row r="108" spans="1:25" ht="15.6" x14ac:dyDescent="0.3">
      <c r="A108" s="340" t="s">
        <v>150</v>
      </c>
      <c r="B108" s="288" t="s">
        <v>184</v>
      </c>
      <c r="C108" s="288"/>
      <c r="D108" s="288"/>
      <c r="E108" s="288"/>
      <c r="F108" s="288"/>
      <c r="G108" s="288"/>
      <c r="H108" s="288"/>
      <c r="I108" s="288"/>
      <c r="J108" s="288"/>
      <c r="K108" s="288"/>
      <c r="L108" s="288"/>
      <c r="M108" s="288"/>
      <c r="N108" s="288"/>
      <c r="O108" s="288"/>
      <c r="P108" s="288"/>
      <c r="Q108" s="288"/>
      <c r="R108" s="288"/>
      <c r="S108" s="288"/>
      <c r="T108" s="288"/>
      <c r="U108" s="288"/>
      <c r="V108" s="338">
        <v>-260</v>
      </c>
      <c r="W108" s="291"/>
      <c r="X108" s="5"/>
      <c r="Y108" s="109"/>
    </row>
    <row r="109" spans="1:25" ht="15.6" x14ac:dyDescent="0.3">
      <c r="A109" s="340" t="s">
        <v>236</v>
      </c>
      <c r="B109" s="288" t="s">
        <v>238</v>
      </c>
      <c r="C109" s="288"/>
      <c r="D109" s="288"/>
      <c r="E109" s="288"/>
      <c r="F109" s="288"/>
      <c r="G109" s="288"/>
      <c r="H109" s="288"/>
      <c r="I109" s="288"/>
      <c r="J109" s="288"/>
      <c r="K109" s="288"/>
      <c r="L109" s="288"/>
      <c r="M109" s="288"/>
      <c r="N109" s="288"/>
      <c r="O109" s="288"/>
      <c r="P109" s="288"/>
      <c r="Q109" s="288"/>
      <c r="R109" s="288"/>
      <c r="S109" s="288"/>
      <c r="T109" s="288"/>
      <c r="U109" s="288"/>
      <c r="V109" s="338">
        <v>-1</v>
      </c>
      <c r="W109" s="291"/>
      <c r="X109" s="5"/>
    </row>
    <row r="110" spans="1:25" ht="15.6" x14ac:dyDescent="0.3">
      <c r="A110" s="340" t="s">
        <v>205</v>
      </c>
      <c r="B110" s="288" t="s">
        <v>185</v>
      </c>
      <c r="C110" s="288"/>
      <c r="D110" s="288"/>
      <c r="E110" s="288"/>
      <c r="F110" s="288"/>
      <c r="G110" s="288"/>
      <c r="H110" s="288"/>
      <c r="I110" s="288"/>
      <c r="J110" s="288"/>
      <c r="K110" s="288"/>
      <c r="L110" s="288"/>
      <c r="M110" s="288"/>
      <c r="N110" s="288"/>
      <c r="O110" s="288"/>
      <c r="P110" s="288"/>
      <c r="Q110" s="288"/>
      <c r="R110" s="288"/>
      <c r="S110" s="288"/>
      <c r="T110" s="288"/>
      <c r="U110" s="288"/>
      <c r="V110" s="338">
        <v>-214</v>
      </c>
      <c r="W110" s="291"/>
      <c r="X110" s="5"/>
      <c r="Y110" s="109"/>
    </row>
    <row r="111" spans="1:25" ht="15.6" x14ac:dyDescent="0.3">
      <c r="A111" s="340" t="s">
        <v>206</v>
      </c>
      <c r="B111" s="288" t="s">
        <v>186</v>
      </c>
      <c r="C111" s="288"/>
      <c r="D111" s="288"/>
      <c r="E111" s="288"/>
      <c r="F111" s="288"/>
      <c r="G111" s="288"/>
      <c r="H111" s="288"/>
      <c r="I111" s="288"/>
      <c r="J111" s="288"/>
      <c r="K111" s="288"/>
      <c r="L111" s="288"/>
      <c r="M111" s="288"/>
      <c r="N111" s="288"/>
      <c r="O111" s="288"/>
      <c r="P111" s="288"/>
      <c r="Q111" s="288"/>
      <c r="R111" s="288"/>
      <c r="S111" s="288"/>
      <c r="T111" s="288"/>
      <c r="U111" s="288"/>
      <c r="V111" s="338">
        <v>-175</v>
      </c>
      <c r="W111" s="291"/>
      <c r="X111" s="179"/>
      <c r="Y111" s="109"/>
    </row>
    <row r="112" spans="1:25" ht="15.6" x14ac:dyDescent="0.3">
      <c r="A112" s="340" t="s">
        <v>207</v>
      </c>
      <c r="B112" s="288" t="s">
        <v>196</v>
      </c>
      <c r="C112" s="288"/>
      <c r="D112" s="288"/>
      <c r="E112" s="288"/>
      <c r="F112" s="288"/>
      <c r="G112" s="288"/>
      <c r="H112" s="288"/>
      <c r="I112" s="288"/>
      <c r="J112" s="288"/>
      <c r="K112" s="288"/>
      <c r="L112" s="288"/>
      <c r="M112" s="288"/>
      <c r="N112" s="288"/>
      <c r="O112" s="288"/>
      <c r="P112" s="288"/>
      <c r="Q112" s="288"/>
      <c r="R112" s="288"/>
      <c r="S112" s="288"/>
      <c r="T112" s="288"/>
      <c r="U112" s="288"/>
      <c r="V112" s="338">
        <v>-434</v>
      </c>
      <c r="W112" s="291"/>
      <c r="X112" s="5"/>
      <c r="Y112" s="109"/>
    </row>
    <row r="113" spans="1:25" ht="15.6" x14ac:dyDescent="0.3">
      <c r="A113" s="340" t="s">
        <v>224</v>
      </c>
      <c r="B113" s="288" t="s">
        <v>223</v>
      </c>
      <c r="C113" s="288"/>
      <c r="D113" s="288"/>
      <c r="E113" s="288"/>
      <c r="F113" s="288"/>
      <c r="G113" s="288"/>
      <c r="H113" s="288"/>
      <c r="I113" s="288"/>
      <c r="J113" s="288"/>
      <c r="K113" s="288"/>
      <c r="L113" s="288"/>
      <c r="M113" s="288"/>
      <c r="N113" s="288"/>
      <c r="O113" s="288"/>
      <c r="P113" s="288"/>
      <c r="Q113" s="288"/>
      <c r="R113" s="288"/>
      <c r="S113" s="288"/>
      <c r="T113" s="288"/>
      <c r="U113" s="288"/>
      <c r="V113" s="338">
        <v>-88</v>
      </c>
      <c r="W113" s="291"/>
      <c r="X113" s="5"/>
      <c r="Y113" s="109"/>
    </row>
    <row r="114" spans="1:25" ht="15.6" x14ac:dyDescent="0.3">
      <c r="A114" s="340">
        <v>7</v>
      </c>
      <c r="B114" s="288" t="s">
        <v>35</v>
      </c>
      <c r="C114" s="288"/>
      <c r="D114" s="288"/>
      <c r="E114" s="288"/>
      <c r="F114" s="288"/>
      <c r="G114" s="288"/>
      <c r="H114" s="288"/>
      <c r="I114" s="288"/>
      <c r="J114" s="288"/>
      <c r="K114" s="288"/>
      <c r="L114" s="288"/>
      <c r="M114" s="288"/>
      <c r="N114" s="288"/>
      <c r="O114" s="288"/>
      <c r="P114" s="288"/>
      <c r="Q114" s="288"/>
      <c r="R114" s="288"/>
      <c r="S114" s="288"/>
      <c r="T114" s="288"/>
      <c r="U114" s="288"/>
      <c r="V114" s="338">
        <v>-10</v>
      </c>
      <c r="W114" s="291"/>
      <c r="X114" s="5"/>
    </row>
    <row r="115" spans="1:25" ht="15.6" x14ac:dyDescent="0.3">
      <c r="A115" s="340">
        <f t="shared" ref="A115:A121" si="0">+A114+1</f>
        <v>8</v>
      </c>
      <c r="B115" s="288" t="s">
        <v>45</v>
      </c>
      <c r="C115" s="288"/>
      <c r="D115" s="288"/>
      <c r="E115" s="288"/>
      <c r="F115" s="288"/>
      <c r="G115" s="288"/>
      <c r="H115" s="288"/>
      <c r="I115" s="288"/>
      <c r="J115" s="288"/>
      <c r="K115" s="288"/>
      <c r="L115" s="288"/>
      <c r="M115" s="288"/>
      <c r="N115" s="288"/>
      <c r="O115" s="288"/>
      <c r="P115" s="288"/>
      <c r="Q115" s="288"/>
      <c r="R115" s="288"/>
      <c r="S115" s="288"/>
      <c r="T115" s="337">
        <f>-V115</f>
        <v>203</v>
      </c>
      <c r="U115" s="288"/>
      <c r="V115" s="338">
        <v>-203</v>
      </c>
      <c r="W115" s="291"/>
      <c r="X115" s="5"/>
    </row>
    <row r="116" spans="1:25" ht="15.6" x14ac:dyDescent="0.3">
      <c r="A116" s="340">
        <f t="shared" si="0"/>
        <v>9</v>
      </c>
      <c r="B116" s="288" t="s">
        <v>125</v>
      </c>
      <c r="C116" s="288"/>
      <c r="D116" s="288"/>
      <c r="E116" s="288"/>
      <c r="F116" s="288"/>
      <c r="G116" s="288"/>
      <c r="H116" s="288"/>
      <c r="I116" s="288"/>
      <c r="J116" s="288"/>
      <c r="K116" s="288"/>
      <c r="L116" s="288"/>
      <c r="M116" s="288"/>
      <c r="N116" s="288"/>
      <c r="O116" s="288"/>
      <c r="P116" s="288"/>
      <c r="Q116" s="288"/>
      <c r="R116" s="288"/>
      <c r="S116" s="288"/>
      <c r="T116" s="288"/>
      <c r="U116" s="288"/>
      <c r="V116" s="338">
        <v>0</v>
      </c>
      <c r="W116" s="291"/>
      <c r="X116" s="5"/>
    </row>
    <row r="117" spans="1:25" ht="15.6" x14ac:dyDescent="0.3">
      <c r="A117" s="340">
        <f t="shared" si="0"/>
        <v>10</v>
      </c>
      <c r="B117" s="288" t="s">
        <v>240</v>
      </c>
      <c r="C117" s="288"/>
      <c r="D117" s="288"/>
      <c r="E117" s="288"/>
      <c r="F117" s="288"/>
      <c r="G117" s="288"/>
      <c r="H117" s="288"/>
      <c r="I117" s="288"/>
      <c r="J117" s="288"/>
      <c r="K117" s="288"/>
      <c r="L117" s="288"/>
      <c r="M117" s="288"/>
      <c r="N117" s="288"/>
      <c r="O117" s="288"/>
      <c r="P117" s="288"/>
      <c r="Q117" s="288"/>
      <c r="R117" s="288"/>
      <c r="S117" s="288"/>
      <c r="T117" s="288"/>
      <c r="U117" s="288"/>
      <c r="V117" s="338">
        <v>0</v>
      </c>
      <c r="W117" s="291"/>
      <c r="X117" s="5"/>
    </row>
    <row r="118" spans="1:25" ht="15.6" x14ac:dyDescent="0.3">
      <c r="A118" s="340">
        <f t="shared" si="0"/>
        <v>11</v>
      </c>
      <c r="B118" s="288" t="s">
        <v>36</v>
      </c>
      <c r="C118" s="288"/>
      <c r="D118" s="288"/>
      <c r="E118" s="288"/>
      <c r="F118" s="288"/>
      <c r="G118" s="288"/>
      <c r="H118" s="288"/>
      <c r="I118" s="288"/>
      <c r="J118" s="288"/>
      <c r="K118" s="288"/>
      <c r="L118" s="288"/>
      <c r="M118" s="288"/>
      <c r="N118" s="288"/>
      <c r="O118" s="288"/>
      <c r="P118" s="288"/>
      <c r="Q118" s="288"/>
      <c r="R118" s="288"/>
      <c r="S118" s="288"/>
      <c r="T118" s="288"/>
      <c r="U118" s="288"/>
      <c r="V118" s="338">
        <v>0</v>
      </c>
      <c r="W118" s="291"/>
      <c r="X118" s="5"/>
    </row>
    <row r="119" spans="1:25" ht="15.6" x14ac:dyDescent="0.3">
      <c r="A119" s="340">
        <f t="shared" si="0"/>
        <v>12</v>
      </c>
      <c r="B119" s="288" t="s">
        <v>239</v>
      </c>
      <c r="C119" s="288"/>
      <c r="D119" s="288"/>
      <c r="E119" s="288"/>
      <c r="F119" s="288"/>
      <c r="G119" s="288"/>
      <c r="H119" s="288"/>
      <c r="I119" s="288"/>
      <c r="J119" s="288"/>
      <c r="K119" s="288"/>
      <c r="L119" s="288"/>
      <c r="M119" s="288"/>
      <c r="N119" s="288"/>
      <c r="O119" s="288"/>
      <c r="P119" s="288"/>
      <c r="Q119" s="288"/>
      <c r="R119" s="288"/>
      <c r="S119" s="288"/>
      <c r="T119" s="288"/>
      <c r="U119" s="288"/>
      <c r="V119" s="338">
        <v>0</v>
      </c>
      <c r="W119" s="291"/>
      <c r="X119" s="5"/>
    </row>
    <row r="120" spans="1:25" ht="15.6" x14ac:dyDescent="0.3">
      <c r="A120" s="340">
        <f t="shared" si="0"/>
        <v>13</v>
      </c>
      <c r="B120" s="288" t="s">
        <v>149</v>
      </c>
      <c r="C120" s="288"/>
      <c r="D120" s="288"/>
      <c r="E120" s="288"/>
      <c r="F120" s="288"/>
      <c r="G120" s="288"/>
      <c r="H120" s="288"/>
      <c r="I120" s="288"/>
      <c r="J120" s="288"/>
      <c r="K120" s="288"/>
      <c r="L120" s="288"/>
      <c r="M120" s="288"/>
      <c r="N120" s="288"/>
      <c r="O120" s="288"/>
      <c r="P120" s="288"/>
      <c r="Q120" s="288"/>
      <c r="R120" s="288"/>
      <c r="S120" s="288"/>
      <c r="T120" s="288"/>
      <c r="U120" s="288"/>
      <c r="V120" s="338">
        <v>-711</v>
      </c>
      <c r="W120" s="291"/>
      <c r="X120" s="5"/>
    </row>
    <row r="121" spans="1:25" ht="15.6" x14ac:dyDescent="0.3">
      <c r="A121" s="340">
        <f t="shared" si="0"/>
        <v>14</v>
      </c>
      <c r="B121" s="288" t="s">
        <v>126</v>
      </c>
      <c r="C121" s="288"/>
      <c r="D121" s="288"/>
      <c r="E121" s="288"/>
      <c r="F121" s="288"/>
      <c r="G121" s="288"/>
      <c r="H121" s="288"/>
      <c r="I121" s="288"/>
      <c r="J121" s="288"/>
      <c r="K121" s="288"/>
      <c r="L121" s="288"/>
      <c r="M121" s="288"/>
      <c r="N121" s="288"/>
      <c r="O121" s="288"/>
      <c r="P121" s="288"/>
      <c r="Q121" s="288"/>
      <c r="R121" s="288"/>
      <c r="S121" s="288"/>
      <c r="T121" s="288"/>
      <c r="U121" s="288"/>
      <c r="V121" s="338">
        <f>-V101-SUM(V103:V120)</f>
        <v>-3373</v>
      </c>
      <c r="W121" s="291"/>
      <c r="X121" s="5"/>
    </row>
    <row r="122" spans="1:25" ht="15.6" x14ac:dyDescent="0.3">
      <c r="A122" s="287"/>
      <c r="B122" s="343" t="s">
        <v>37</v>
      </c>
      <c r="C122" s="314"/>
      <c r="D122" s="314"/>
      <c r="E122" s="314"/>
      <c r="F122" s="314"/>
      <c r="G122" s="314"/>
      <c r="H122" s="314"/>
      <c r="I122" s="314"/>
      <c r="J122" s="314"/>
      <c r="K122" s="314"/>
      <c r="L122" s="314"/>
      <c r="M122" s="314"/>
      <c r="N122" s="314"/>
      <c r="O122" s="314"/>
      <c r="P122" s="314"/>
      <c r="Q122" s="314"/>
      <c r="R122" s="314"/>
      <c r="S122" s="314"/>
      <c r="T122" s="314"/>
      <c r="U122" s="314"/>
      <c r="V122" s="346"/>
      <c r="W122" s="318"/>
      <c r="X122" s="5"/>
    </row>
    <row r="123" spans="1:25" ht="15.6" x14ac:dyDescent="0.3">
      <c r="A123" s="340"/>
      <c r="B123" s="288" t="s">
        <v>173</v>
      </c>
      <c r="C123" s="288"/>
      <c r="D123" s="288"/>
      <c r="E123" s="288"/>
      <c r="F123" s="288"/>
      <c r="G123" s="288"/>
      <c r="H123" s="288"/>
      <c r="I123" s="288"/>
      <c r="J123" s="288"/>
      <c r="K123" s="288"/>
      <c r="L123" s="288"/>
      <c r="M123" s="288"/>
      <c r="N123" s="288"/>
      <c r="O123" s="288"/>
      <c r="P123" s="288"/>
      <c r="Q123" s="288"/>
      <c r="R123" s="288"/>
      <c r="S123" s="288"/>
      <c r="T123" s="337">
        <f>-T189</f>
        <v>0</v>
      </c>
      <c r="U123" s="337"/>
      <c r="V123" s="338"/>
      <c r="W123" s="291"/>
      <c r="X123" s="5"/>
    </row>
    <row r="124" spans="1:25" ht="15.6" x14ac:dyDescent="0.3">
      <c r="A124" s="340"/>
      <c r="B124" s="288" t="s">
        <v>174</v>
      </c>
      <c r="C124" s="288"/>
      <c r="D124" s="288"/>
      <c r="E124" s="288"/>
      <c r="F124" s="288"/>
      <c r="G124" s="288"/>
      <c r="H124" s="288"/>
      <c r="I124" s="288"/>
      <c r="J124" s="288"/>
      <c r="K124" s="288"/>
      <c r="L124" s="288"/>
      <c r="M124" s="288"/>
      <c r="N124" s="288"/>
      <c r="O124" s="288"/>
      <c r="P124" s="288"/>
      <c r="Q124" s="288"/>
      <c r="R124" s="288"/>
      <c r="S124" s="288"/>
      <c r="T124" s="337">
        <v>-10</v>
      </c>
      <c r="U124" s="337"/>
      <c r="V124" s="338"/>
      <c r="W124" s="291"/>
      <c r="X124" s="5"/>
    </row>
    <row r="125" spans="1:25" ht="15.6" x14ac:dyDescent="0.3">
      <c r="A125" s="340"/>
      <c r="B125" s="288" t="s">
        <v>38</v>
      </c>
      <c r="C125" s="288"/>
      <c r="D125" s="288"/>
      <c r="E125" s="288"/>
      <c r="F125" s="288"/>
      <c r="G125" s="288"/>
      <c r="H125" s="288"/>
      <c r="I125" s="288"/>
      <c r="J125" s="288"/>
      <c r="K125" s="288"/>
      <c r="L125" s="288"/>
      <c r="M125" s="288"/>
      <c r="N125" s="288"/>
      <c r="O125" s="288"/>
      <c r="P125" s="288"/>
      <c r="Q125" s="288"/>
      <c r="R125" s="288"/>
      <c r="S125" s="288"/>
      <c r="T125" s="337">
        <f>-S189</f>
        <v>-27</v>
      </c>
      <c r="U125" s="337"/>
      <c r="V125" s="338"/>
      <c r="W125" s="291"/>
      <c r="X125" s="5"/>
    </row>
    <row r="126" spans="1:25" ht="15.6" x14ac:dyDescent="0.3">
      <c r="A126" s="340"/>
      <c r="B126" s="288" t="s">
        <v>197</v>
      </c>
      <c r="C126" s="288"/>
      <c r="D126" s="288"/>
      <c r="E126" s="288"/>
      <c r="F126" s="288"/>
      <c r="G126" s="288"/>
      <c r="H126" s="288"/>
      <c r="I126" s="288"/>
      <c r="J126" s="288"/>
      <c r="K126" s="288"/>
      <c r="L126" s="288"/>
      <c r="M126" s="288"/>
      <c r="N126" s="288"/>
      <c r="O126" s="288"/>
      <c r="P126" s="288"/>
      <c r="Q126" s="288"/>
      <c r="R126" s="288"/>
      <c r="S126" s="288"/>
      <c r="T126" s="337">
        <v>-4559</v>
      </c>
      <c r="U126" s="337"/>
      <c r="V126" s="338"/>
      <c r="W126" s="291"/>
      <c r="X126" s="5"/>
    </row>
    <row r="127" spans="1:25" ht="15.6" x14ac:dyDescent="0.3">
      <c r="A127" s="340"/>
      <c r="B127" s="288" t="s">
        <v>195</v>
      </c>
      <c r="C127" s="288"/>
      <c r="D127" s="288"/>
      <c r="E127" s="288"/>
      <c r="F127" s="288"/>
      <c r="G127" s="288"/>
      <c r="H127" s="288"/>
      <c r="I127" s="288"/>
      <c r="J127" s="288"/>
      <c r="K127" s="288"/>
      <c r="L127" s="288"/>
      <c r="M127" s="288"/>
      <c r="N127" s="288"/>
      <c r="O127" s="288"/>
      <c r="P127" s="288"/>
      <c r="Q127" s="288"/>
      <c r="R127" s="288"/>
      <c r="S127" s="288"/>
      <c r="T127" s="337">
        <v>-735</v>
      </c>
      <c r="U127" s="337"/>
      <c r="V127" s="338"/>
      <c r="W127" s="291"/>
      <c r="X127" s="5"/>
    </row>
    <row r="128" spans="1:25" ht="15.6" x14ac:dyDescent="0.3">
      <c r="A128" s="340"/>
      <c r="B128" s="288" t="s">
        <v>194</v>
      </c>
      <c r="C128" s="288"/>
      <c r="D128" s="288"/>
      <c r="E128" s="288"/>
      <c r="F128" s="288"/>
      <c r="G128" s="288"/>
      <c r="H128" s="288"/>
      <c r="I128" s="288"/>
      <c r="J128" s="288"/>
      <c r="K128" s="288"/>
      <c r="L128" s="288"/>
      <c r="M128" s="288"/>
      <c r="N128" s="288"/>
      <c r="O128" s="288"/>
      <c r="P128" s="288"/>
      <c r="Q128" s="288"/>
      <c r="R128" s="288"/>
      <c r="S128" s="288"/>
      <c r="T128" s="337">
        <v>-989</v>
      </c>
      <c r="U128" s="337"/>
      <c r="V128" s="338"/>
      <c r="W128" s="291"/>
      <c r="X128" s="5"/>
    </row>
    <row r="129" spans="1:24" ht="15.6" x14ac:dyDescent="0.3">
      <c r="A129" s="340"/>
      <c r="B129" s="288" t="s">
        <v>226</v>
      </c>
      <c r="C129" s="288"/>
      <c r="D129" s="288"/>
      <c r="E129" s="288"/>
      <c r="F129" s="288"/>
      <c r="G129" s="288"/>
      <c r="H129" s="288"/>
      <c r="I129" s="288"/>
      <c r="J129" s="288"/>
      <c r="K129" s="288"/>
      <c r="L129" s="288"/>
      <c r="M129" s="288"/>
      <c r="N129" s="288"/>
      <c r="O129" s="288"/>
      <c r="P129" s="288"/>
      <c r="Q129" s="288"/>
      <c r="R129" s="288"/>
      <c r="S129" s="288"/>
      <c r="T129" s="337">
        <v>-1215</v>
      </c>
      <c r="U129" s="337"/>
      <c r="V129" s="338"/>
      <c r="W129" s="291"/>
      <c r="X129" s="5"/>
    </row>
    <row r="130" spans="1:24" ht="15.6" x14ac:dyDescent="0.3">
      <c r="A130" s="340"/>
      <c r="B130" s="288" t="s">
        <v>189</v>
      </c>
      <c r="C130" s="288"/>
      <c r="D130" s="288"/>
      <c r="E130" s="288"/>
      <c r="F130" s="288"/>
      <c r="G130" s="288"/>
      <c r="H130" s="288"/>
      <c r="I130" s="288"/>
      <c r="J130" s="288"/>
      <c r="K130" s="288"/>
      <c r="L130" s="288"/>
      <c r="M130" s="288"/>
      <c r="N130" s="288"/>
      <c r="O130" s="288"/>
      <c r="P130" s="288"/>
      <c r="Q130" s="288"/>
      <c r="R130" s="288"/>
      <c r="S130" s="288"/>
      <c r="T130" s="337">
        <v>0</v>
      </c>
      <c r="U130" s="337"/>
      <c r="V130" s="338"/>
      <c r="W130" s="291"/>
      <c r="X130" s="5"/>
    </row>
    <row r="131" spans="1:24" ht="15.6" x14ac:dyDescent="0.3">
      <c r="A131" s="340"/>
      <c r="B131" s="288" t="s">
        <v>188</v>
      </c>
      <c r="C131" s="288"/>
      <c r="D131" s="288"/>
      <c r="E131" s="288"/>
      <c r="F131" s="288"/>
      <c r="G131" s="288"/>
      <c r="H131" s="288"/>
      <c r="I131" s="288"/>
      <c r="J131" s="288"/>
      <c r="K131" s="288"/>
      <c r="L131" s="288"/>
      <c r="M131" s="288"/>
      <c r="N131" s="288"/>
      <c r="O131" s="288"/>
      <c r="P131" s="288"/>
      <c r="Q131" s="288"/>
      <c r="R131" s="288"/>
      <c r="S131" s="288"/>
      <c r="T131" s="337">
        <v>0</v>
      </c>
      <c r="U131" s="337"/>
      <c r="V131" s="338"/>
      <c r="W131" s="291"/>
      <c r="X131" s="5"/>
    </row>
    <row r="132" spans="1:24" ht="15.6" x14ac:dyDescent="0.3">
      <c r="A132" s="340"/>
      <c r="B132" s="288" t="s">
        <v>227</v>
      </c>
      <c r="C132" s="288"/>
      <c r="D132" s="288"/>
      <c r="E132" s="288"/>
      <c r="F132" s="288"/>
      <c r="G132" s="288"/>
      <c r="H132" s="288"/>
      <c r="I132" s="288"/>
      <c r="J132" s="288"/>
      <c r="K132" s="288"/>
      <c r="L132" s="288"/>
      <c r="M132" s="288"/>
      <c r="N132" s="288"/>
      <c r="O132" s="288"/>
      <c r="P132" s="288"/>
      <c r="Q132" s="288"/>
      <c r="R132" s="288"/>
      <c r="S132" s="288"/>
      <c r="T132" s="337">
        <v>0</v>
      </c>
      <c r="U132" s="337"/>
      <c r="V132" s="338"/>
      <c r="W132" s="291"/>
      <c r="X132" s="5"/>
    </row>
    <row r="133" spans="1:24" ht="15.6" x14ac:dyDescent="0.3">
      <c r="A133" s="340"/>
      <c r="B133" s="288" t="s">
        <v>187</v>
      </c>
      <c r="C133" s="288"/>
      <c r="D133" s="288"/>
      <c r="E133" s="288"/>
      <c r="F133" s="288"/>
      <c r="G133" s="288"/>
      <c r="H133" s="288"/>
      <c r="I133" s="288"/>
      <c r="J133" s="288"/>
      <c r="K133" s="288"/>
      <c r="L133" s="288"/>
      <c r="M133" s="288"/>
      <c r="N133" s="288"/>
      <c r="O133" s="288"/>
      <c r="P133" s="288"/>
      <c r="Q133" s="288"/>
      <c r="R133" s="288"/>
      <c r="S133" s="288"/>
      <c r="T133" s="337">
        <v>0</v>
      </c>
      <c r="U133" s="337"/>
      <c r="V133" s="338"/>
      <c r="W133" s="291"/>
      <c r="X133" s="5"/>
    </row>
    <row r="134" spans="1:24" ht="15.6" x14ac:dyDescent="0.3">
      <c r="A134" s="340"/>
      <c r="B134" s="288" t="s">
        <v>39</v>
      </c>
      <c r="C134" s="288"/>
      <c r="D134" s="288"/>
      <c r="E134" s="288"/>
      <c r="F134" s="288"/>
      <c r="G134" s="288"/>
      <c r="H134" s="288"/>
      <c r="I134" s="288"/>
      <c r="J134" s="288"/>
      <c r="K134" s="288"/>
      <c r="L134" s="288"/>
      <c r="M134" s="288"/>
      <c r="N134" s="288"/>
      <c r="O134" s="288"/>
      <c r="P134" s="288"/>
      <c r="Q134" s="288"/>
      <c r="R134" s="288"/>
      <c r="S134" s="288"/>
      <c r="T134" s="337">
        <f>SUM(T123:T133)</f>
        <v>-7535</v>
      </c>
      <c r="U134" s="337"/>
      <c r="V134" s="337">
        <f>SUM(V102:V131)</f>
        <v>-8405</v>
      </c>
      <c r="W134" s="291"/>
      <c r="X134" s="5"/>
    </row>
    <row r="135" spans="1:24" ht="15.6" x14ac:dyDescent="0.3">
      <c r="A135" s="340"/>
      <c r="B135" s="288" t="s">
        <v>40</v>
      </c>
      <c r="C135" s="288"/>
      <c r="D135" s="288"/>
      <c r="E135" s="288"/>
      <c r="F135" s="288"/>
      <c r="G135" s="288"/>
      <c r="H135" s="288"/>
      <c r="I135" s="288"/>
      <c r="J135" s="288"/>
      <c r="K135" s="288"/>
      <c r="L135" s="288"/>
      <c r="M135" s="288"/>
      <c r="N135" s="288"/>
      <c r="O135" s="288"/>
      <c r="P135" s="288"/>
      <c r="Q135" s="288"/>
      <c r="R135" s="288"/>
      <c r="S135" s="288"/>
      <c r="T135" s="337">
        <f>T101+T134+T115</f>
        <v>0</v>
      </c>
      <c r="U135" s="337"/>
      <c r="V135" s="337">
        <f>V101+V134</f>
        <v>0</v>
      </c>
      <c r="W135" s="291"/>
      <c r="X135" s="5"/>
    </row>
    <row r="136" spans="1:24" ht="15.6" x14ac:dyDescent="0.3">
      <c r="A136" s="243"/>
      <c r="B136" s="284"/>
      <c r="C136" s="284"/>
      <c r="D136" s="284"/>
      <c r="E136" s="284"/>
      <c r="F136" s="284"/>
      <c r="G136" s="284"/>
      <c r="H136" s="284"/>
      <c r="I136" s="284"/>
      <c r="J136" s="284"/>
      <c r="K136" s="284"/>
      <c r="L136" s="284"/>
      <c r="M136" s="284"/>
      <c r="N136" s="284"/>
      <c r="O136" s="284"/>
      <c r="P136" s="284"/>
      <c r="Q136" s="284"/>
      <c r="R136" s="284"/>
      <c r="S136" s="284"/>
      <c r="T136" s="339"/>
      <c r="U136" s="339"/>
      <c r="V136" s="339"/>
      <c r="W136" s="284"/>
      <c r="X136" s="5"/>
    </row>
    <row r="137" spans="1:24" ht="15.6" x14ac:dyDescent="0.3">
      <c r="A137" s="243"/>
      <c r="B137" s="224"/>
      <c r="C137" s="224"/>
      <c r="D137" s="224"/>
      <c r="E137" s="224"/>
      <c r="F137" s="224"/>
      <c r="G137" s="224"/>
      <c r="H137" s="224"/>
      <c r="I137" s="224"/>
      <c r="J137" s="224"/>
      <c r="K137" s="224"/>
      <c r="L137" s="224"/>
      <c r="M137" s="224"/>
      <c r="N137" s="224"/>
      <c r="O137" s="224"/>
      <c r="P137" s="224"/>
      <c r="Q137" s="224"/>
      <c r="R137" s="224"/>
      <c r="S137" s="224"/>
      <c r="T137" s="224"/>
      <c r="U137" s="224"/>
      <c r="V137" s="244"/>
      <c r="W137" s="224"/>
      <c r="X137" s="5"/>
    </row>
    <row r="138" spans="1:24" ht="18" thickBot="1" x14ac:dyDescent="0.35">
      <c r="A138" s="245"/>
      <c r="B138" s="237" t="str">
        <f>B64</f>
        <v>PM14 INVESTOR REPORT QUARTER ENDING AUGUST 2012</v>
      </c>
      <c r="C138" s="238"/>
      <c r="D138" s="238"/>
      <c r="E138" s="238"/>
      <c r="F138" s="238"/>
      <c r="G138" s="238"/>
      <c r="H138" s="238"/>
      <c r="I138" s="238"/>
      <c r="J138" s="238"/>
      <c r="K138" s="238"/>
      <c r="L138" s="238"/>
      <c r="M138" s="238"/>
      <c r="N138" s="238"/>
      <c r="O138" s="238"/>
      <c r="P138" s="238"/>
      <c r="Q138" s="238"/>
      <c r="R138" s="238"/>
      <c r="S138" s="238"/>
      <c r="T138" s="238"/>
      <c r="U138" s="238"/>
      <c r="V138" s="246"/>
      <c r="W138" s="240"/>
      <c r="X138" s="5"/>
    </row>
    <row r="139" spans="1:24" ht="15.6" x14ac:dyDescent="0.3">
      <c r="A139" s="273"/>
      <c r="B139" s="403" t="s">
        <v>41</v>
      </c>
      <c r="C139" s="274"/>
      <c r="D139" s="274"/>
      <c r="E139" s="274"/>
      <c r="F139" s="274"/>
      <c r="G139" s="274"/>
      <c r="H139" s="274"/>
      <c r="I139" s="274"/>
      <c r="J139" s="274"/>
      <c r="K139" s="274"/>
      <c r="L139" s="274"/>
      <c r="M139" s="274"/>
      <c r="N139" s="274"/>
      <c r="O139" s="274"/>
      <c r="P139" s="274"/>
      <c r="Q139" s="274"/>
      <c r="R139" s="274"/>
      <c r="S139" s="274"/>
      <c r="T139" s="274"/>
      <c r="U139" s="274"/>
      <c r="V139" s="275"/>
      <c r="W139" s="274"/>
      <c r="X139" s="5"/>
    </row>
    <row r="140" spans="1:24" ht="15.6" x14ac:dyDescent="0.3">
      <c r="A140" s="183"/>
      <c r="B140" s="195"/>
      <c r="C140" s="185"/>
      <c r="D140" s="185"/>
      <c r="E140" s="185"/>
      <c r="F140" s="185"/>
      <c r="G140" s="185"/>
      <c r="H140" s="185"/>
      <c r="I140" s="185"/>
      <c r="J140" s="185"/>
      <c r="K140" s="185"/>
      <c r="L140" s="185"/>
      <c r="M140" s="185"/>
      <c r="N140" s="185"/>
      <c r="O140" s="185"/>
      <c r="P140" s="185"/>
      <c r="Q140" s="185"/>
      <c r="R140" s="185"/>
      <c r="S140" s="185"/>
      <c r="T140" s="185"/>
      <c r="U140" s="185"/>
      <c r="V140" s="201"/>
      <c r="W140" s="185"/>
      <c r="X140" s="5"/>
    </row>
    <row r="141" spans="1:24" ht="15.6" x14ac:dyDescent="0.3">
      <c r="A141" s="183"/>
      <c r="B141" s="208" t="s">
        <v>42</v>
      </c>
      <c r="C141" s="185"/>
      <c r="D141" s="185"/>
      <c r="E141" s="185"/>
      <c r="F141" s="185"/>
      <c r="G141" s="185"/>
      <c r="H141" s="185"/>
      <c r="I141" s="185"/>
      <c r="J141" s="185"/>
      <c r="K141" s="185"/>
      <c r="L141" s="185"/>
      <c r="M141" s="185"/>
      <c r="N141" s="185"/>
      <c r="O141" s="185"/>
      <c r="P141" s="185"/>
      <c r="Q141" s="185"/>
      <c r="R141" s="185"/>
      <c r="S141" s="185"/>
      <c r="T141" s="185"/>
      <c r="U141" s="185"/>
      <c r="V141" s="201"/>
      <c r="W141" s="185"/>
      <c r="X141" s="5"/>
    </row>
    <row r="142" spans="1:24" ht="15.6" x14ac:dyDescent="0.3">
      <c r="A142" s="287"/>
      <c r="B142" s="288" t="s">
        <v>43</v>
      </c>
      <c r="C142" s="288"/>
      <c r="D142" s="288"/>
      <c r="E142" s="288"/>
      <c r="F142" s="288"/>
      <c r="G142" s="288"/>
      <c r="H142" s="288"/>
      <c r="I142" s="288"/>
      <c r="J142" s="288"/>
      <c r="K142" s="288"/>
      <c r="L142" s="288"/>
      <c r="M142" s="288"/>
      <c r="N142" s="288"/>
      <c r="O142" s="288"/>
      <c r="P142" s="288"/>
      <c r="Q142" s="288"/>
      <c r="R142" s="288"/>
      <c r="S142" s="288"/>
      <c r="T142" s="288"/>
      <c r="U142" s="288"/>
      <c r="V142" s="338">
        <f>+V34*0.019</f>
        <v>28505.224999999999</v>
      </c>
      <c r="W142" s="291"/>
      <c r="X142" s="5"/>
    </row>
    <row r="143" spans="1:24" ht="15.6" x14ac:dyDescent="0.3">
      <c r="A143" s="287"/>
      <c r="B143" s="288" t="s">
        <v>44</v>
      </c>
      <c r="C143" s="288"/>
      <c r="D143" s="288"/>
      <c r="E143" s="288"/>
      <c r="F143" s="288"/>
      <c r="G143" s="288"/>
      <c r="H143" s="288"/>
      <c r="I143" s="288"/>
      <c r="J143" s="288"/>
      <c r="K143" s="288"/>
      <c r="L143" s="288"/>
      <c r="M143" s="288"/>
      <c r="N143" s="288"/>
      <c r="O143" s="288"/>
      <c r="P143" s="288"/>
      <c r="Q143" s="288"/>
      <c r="R143" s="288"/>
      <c r="S143" s="288"/>
      <c r="T143" s="288"/>
      <c r="U143" s="288"/>
      <c r="V143" s="338">
        <v>28505</v>
      </c>
      <c r="W143" s="291"/>
      <c r="X143" s="5"/>
    </row>
    <row r="144" spans="1:24" ht="15.6" x14ac:dyDescent="0.3">
      <c r="A144" s="287"/>
      <c r="B144" s="288" t="s">
        <v>136</v>
      </c>
      <c r="C144" s="288"/>
      <c r="D144" s="288"/>
      <c r="E144" s="288"/>
      <c r="F144" s="288"/>
      <c r="G144" s="288"/>
      <c r="H144" s="288"/>
      <c r="I144" s="288"/>
      <c r="J144" s="288"/>
      <c r="K144" s="288"/>
      <c r="L144" s="288"/>
      <c r="M144" s="288"/>
      <c r="N144" s="288"/>
      <c r="O144" s="288"/>
      <c r="P144" s="288"/>
      <c r="Q144" s="288"/>
      <c r="R144" s="288"/>
      <c r="S144" s="288"/>
      <c r="T144" s="288"/>
      <c r="U144" s="288"/>
      <c r="V144" s="338"/>
      <c r="W144" s="291"/>
      <c r="X144" s="5"/>
    </row>
    <row r="145" spans="1:25" ht="15.6" x14ac:dyDescent="0.3">
      <c r="A145" s="287"/>
      <c r="B145" s="288" t="s">
        <v>123</v>
      </c>
      <c r="C145" s="288"/>
      <c r="D145" s="288"/>
      <c r="E145" s="288"/>
      <c r="F145" s="288"/>
      <c r="G145" s="288"/>
      <c r="H145" s="288"/>
      <c r="I145" s="288"/>
      <c r="J145" s="288"/>
      <c r="K145" s="288"/>
      <c r="L145" s="288"/>
      <c r="M145" s="288"/>
      <c r="N145" s="288"/>
      <c r="O145" s="288"/>
      <c r="P145" s="288"/>
      <c r="Q145" s="288"/>
      <c r="R145" s="288"/>
      <c r="S145" s="288"/>
      <c r="T145" s="288"/>
      <c r="U145" s="288"/>
      <c r="V145" s="338">
        <v>0</v>
      </c>
      <c r="W145" s="291"/>
      <c r="X145" s="5"/>
    </row>
    <row r="146" spans="1:25" ht="15.6" x14ac:dyDescent="0.3">
      <c r="A146" s="287"/>
      <c r="B146" s="288" t="s">
        <v>124</v>
      </c>
      <c r="C146" s="288"/>
      <c r="D146" s="288"/>
      <c r="E146" s="288"/>
      <c r="F146" s="288"/>
      <c r="G146" s="288"/>
      <c r="H146" s="288"/>
      <c r="I146" s="288"/>
      <c r="J146" s="288"/>
      <c r="K146" s="288"/>
      <c r="L146" s="288"/>
      <c r="M146" s="288"/>
      <c r="N146" s="288"/>
      <c r="O146" s="288"/>
      <c r="P146" s="288"/>
      <c r="Q146" s="288"/>
      <c r="R146" s="288"/>
      <c r="S146" s="288"/>
      <c r="T146" s="288"/>
      <c r="U146" s="288"/>
      <c r="V146" s="338">
        <v>0</v>
      </c>
      <c r="W146" s="291"/>
      <c r="X146" s="5"/>
    </row>
    <row r="147" spans="1:25" ht="15.6" x14ac:dyDescent="0.3">
      <c r="A147" s="287"/>
      <c r="B147" s="288" t="s">
        <v>175</v>
      </c>
      <c r="C147" s="288"/>
      <c r="D147" s="288"/>
      <c r="E147" s="288"/>
      <c r="F147" s="288"/>
      <c r="G147" s="288"/>
      <c r="H147" s="288"/>
      <c r="I147" s="288"/>
      <c r="J147" s="288"/>
      <c r="K147" s="288"/>
      <c r="L147" s="288"/>
      <c r="M147" s="288"/>
      <c r="N147" s="288"/>
      <c r="O147" s="288"/>
      <c r="P147" s="288"/>
      <c r="Q147" s="288"/>
      <c r="R147" s="288"/>
      <c r="S147" s="288"/>
      <c r="T147" s="288"/>
      <c r="U147" s="288"/>
      <c r="V147" s="338">
        <v>0</v>
      </c>
      <c r="W147" s="291"/>
      <c r="X147" s="5"/>
    </row>
    <row r="148" spans="1:25" ht="15.6" x14ac:dyDescent="0.3">
      <c r="A148" s="287"/>
      <c r="B148" s="288" t="s">
        <v>45</v>
      </c>
      <c r="C148" s="288"/>
      <c r="D148" s="288"/>
      <c r="E148" s="288"/>
      <c r="F148" s="288"/>
      <c r="G148" s="288"/>
      <c r="H148" s="288"/>
      <c r="I148" s="288"/>
      <c r="J148" s="288"/>
      <c r="K148" s="288"/>
      <c r="L148" s="288"/>
      <c r="M148" s="288"/>
      <c r="N148" s="288"/>
      <c r="O148" s="288"/>
      <c r="P148" s="288"/>
      <c r="Q148" s="288"/>
      <c r="R148" s="288"/>
      <c r="S148" s="288"/>
      <c r="T148" s="288"/>
      <c r="U148" s="288"/>
      <c r="V148" s="338">
        <v>0</v>
      </c>
      <c r="W148" s="291"/>
      <c r="X148" s="5"/>
    </row>
    <row r="149" spans="1:25" ht="15.6" x14ac:dyDescent="0.3">
      <c r="A149" s="287"/>
      <c r="B149" s="288" t="s">
        <v>129</v>
      </c>
      <c r="C149" s="288"/>
      <c r="D149" s="288"/>
      <c r="E149" s="288"/>
      <c r="F149" s="288"/>
      <c r="G149" s="288"/>
      <c r="H149" s="288"/>
      <c r="I149" s="288"/>
      <c r="J149" s="288"/>
      <c r="K149" s="288"/>
      <c r="L149" s="288"/>
      <c r="M149" s="288"/>
      <c r="N149" s="288"/>
      <c r="O149" s="288"/>
      <c r="P149" s="288"/>
      <c r="Q149" s="288"/>
      <c r="R149" s="288"/>
      <c r="S149" s="288"/>
      <c r="T149" s="288"/>
      <c r="U149" s="288"/>
      <c r="V149" s="338">
        <v>0</v>
      </c>
      <c r="W149" s="291"/>
      <c r="X149" s="5"/>
    </row>
    <row r="150" spans="1:25" ht="15.6" x14ac:dyDescent="0.3">
      <c r="A150" s="287"/>
      <c r="B150" s="288" t="s">
        <v>267</v>
      </c>
      <c r="C150" s="288"/>
      <c r="D150" s="288"/>
      <c r="E150" s="288"/>
      <c r="F150" s="288"/>
      <c r="G150" s="288"/>
      <c r="H150" s="288"/>
      <c r="I150" s="288"/>
      <c r="J150" s="288"/>
      <c r="K150" s="288"/>
      <c r="L150" s="288"/>
      <c r="M150" s="288"/>
      <c r="N150" s="288"/>
      <c r="O150" s="288"/>
      <c r="P150" s="288"/>
      <c r="Q150" s="288"/>
      <c r="R150" s="288"/>
      <c r="S150" s="288"/>
      <c r="T150" s="288"/>
      <c r="U150" s="288"/>
      <c r="V150" s="338">
        <v>0</v>
      </c>
      <c r="W150" s="291"/>
      <c r="X150" s="5"/>
      <c r="Y150" s="109"/>
    </row>
    <row r="151" spans="1:25" ht="15.6" x14ac:dyDescent="0.3">
      <c r="A151" s="287"/>
      <c r="B151" s="288" t="s">
        <v>46</v>
      </c>
      <c r="C151" s="288"/>
      <c r="D151" s="288"/>
      <c r="E151" s="288"/>
      <c r="F151" s="288"/>
      <c r="G151" s="288"/>
      <c r="H151" s="288"/>
      <c r="I151" s="288"/>
      <c r="J151" s="288"/>
      <c r="K151" s="288"/>
      <c r="L151" s="288"/>
      <c r="M151" s="288"/>
      <c r="N151" s="288"/>
      <c r="O151" s="288"/>
      <c r="P151" s="288"/>
      <c r="Q151" s="288"/>
      <c r="R151" s="288"/>
      <c r="S151" s="288"/>
      <c r="T151" s="288"/>
      <c r="U151" s="288"/>
      <c r="V151" s="338">
        <f>SUM(V143:V150)</f>
        <v>28505</v>
      </c>
      <c r="W151" s="291"/>
      <c r="X151" s="5"/>
    </row>
    <row r="152" spans="1:25" ht="15.6" x14ac:dyDescent="0.3">
      <c r="A152" s="287"/>
      <c r="B152" s="314"/>
      <c r="C152" s="314"/>
      <c r="D152" s="314"/>
      <c r="E152" s="314"/>
      <c r="F152" s="314"/>
      <c r="G152" s="314"/>
      <c r="H152" s="314"/>
      <c r="I152" s="314"/>
      <c r="J152" s="314"/>
      <c r="K152" s="314"/>
      <c r="L152" s="314"/>
      <c r="M152" s="314"/>
      <c r="N152" s="314"/>
      <c r="O152" s="314"/>
      <c r="P152" s="314"/>
      <c r="Q152" s="314"/>
      <c r="R152" s="314"/>
      <c r="S152" s="314"/>
      <c r="T152" s="314"/>
      <c r="U152" s="314"/>
      <c r="V152" s="345"/>
      <c r="W152" s="318"/>
      <c r="X152" s="5"/>
    </row>
    <row r="153" spans="1:25" ht="15.6" x14ac:dyDescent="0.3">
      <c r="A153" s="287"/>
      <c r="B153" s="343" t="s">
        <v>237</v>
      </c>
      <c r="C153" s="314"/>
      <c r="D153" s="314"/>
      <c r="E153" s="314"/>
      <c r="F153" s="314"/>
      <c r="G153" s="314"/>
      <c r="H153" s="314"/>
      <c r="I153" s="314"/>
      <c r="J153" s="314"/>
      <c r="K153" s="314"/>
      <c r="L153" s="314"/>
      <c r="M153" s="314"/>
      <c r="N153" s="314"/>
      <c r="O153" s="314"/>
      <c r="P153" s="314"/>
      <c r="Q153" s="314"/>
      <c r="R153" s="314"/>
      <c r="S153" s="314"/>
      <c r="T153" s="314"/>
      <c r="U153" s="314"/>
      <c r="V153" s="345"/>
      <c r="W153" s="318"/>
      <c r="X153" s="5"/>
    </row>
    <row r="154" spans="1:25" ht="15.6" x14ac:dyDescent="0.3">
      <c r="A154" s="287"/>
      <c r="B154" s="288" t="s">
        <v>155</v>
      </c>
      <c r="C154" s="288"/>
      <c r="D154" s="288"/>
      <c r="E154" s="288"/>
      <c r="F154" s="288"/>
      <c r="G154" s="288"/>
      <c r="H154" s="288"/>
      <c r="I154" s="288"/>
      <c r="J154" s="288"/>
      <c r="K154" s="288"/>
      <c r="L154" s="288"/>
      <c r="M154" s="288"/>
      <c r="N154" s="288"/>
      <c r="O154" s="288"/>
      <c r="P154" s="288"/>
      <c r="Q154" s="288"/>
      <c r="R154" s="288"/>
      <c r="S154" s="288"/>
      <c r="T154" s="288"/>
      <c r="U154" s="288"/>
      <c r="V154" s="338">
        <v>7500</v>
      </c>
      <c r="W154" s="291"/>
      <c r="X154" s="5"/>
    </row>
    <row r="155" spans="1:25" ht="15.6" x14ac:dyDescent="0.3">
      <c r="A155" s="287"/>
      <c r="B155" s="288" t="s">
        <v>172</v>
      </c>
      <c r="C155" s="288"/>
      <c r="D155" s="288"/>
      <c r="E155" s="288"/>
      <c r="F155" s="288"/>
      <c r="G155" s="288"/>
      <c r="H155" s="288"/>
      <c r="I155" s="288"/>
      <c r="J155" s="288"/>
      <c r="K155" s="288"/>
      <c r="L155" s="288"/>
      <c r="M155" s="288"/>
      <c r="N155" s="288"/>
      <c r="O155" s="288"/>
      <c r="P155" s="288"/>
      <c r="Q155" s="288"/>
      <c r="R155" s="288"/>
      <c r="S155" s="288"/>
      <c r="T155" s="288"/>
      <c r="U155" s="288"/>
      <c r="V155" s="338">
        <v>0</v>
      </c>
      <c r="W155" s="291"/>
      <c r="X155" s="5"/>
    </row>
    <row r="156" spans="1:25" ht="15.6" x14ac:dyDescent="0.3">
      <c r="A156" s="287"/>
      <c r="B156" s="288" t="s">
        <v>305</v>
      </c>
      <c r="C156" s="288"/>
      <c r="D156" s="288"/>
      <c r="E156" s="288"/>
      <c r="F156" s="288"/>
      <c r="G156" s="288"/>
      <c r="H156" s="288"/>
      <c r="I156" s="288"/>
      <c r="J156" s="288"/>
      <c r="K156" s="288"/>
      <c r="L156" s="288"/>
      <c r="M156" s="288"/>
      <c r="N156" s="288"/>
      <c r="O156" s="288"/>
      <c r="P156" s="288"/>
      <c r="Q156" s="288"/>
      <c r="R156" s="288"/>
      <c r="S156" s="288"/>
      <c r="T156" s="288"/>
      <c r="U156" s="288"/>
      <c r="V156" s="338">
        <v>2101</v>
      </c>
      <c r="W156" s="291"/>
      <c r="X156" s="5"/>
    </row>
    <row r="157" spans="1:25" ht="15.6" x14ac:dyDescent="0.3">
      <c r="A157" s="287"/>
      <c r="B157" s="288"/>
      <c r="C157" s="288"/>
      <c r="D157" s="288"/>
      <c r="E157" s="288"/>
      <c r="F157" s="288"/>
      <c r="G157" s="288"/>
      <c r="H157" s="288"/>
      <c r="I157" s="288"/>
      <c r="J157" s="288"/>
      <c r="K157" s="288"/>
      <c r="L157" s="288"/>
      <c r="M157" s="288"/>
      <c r="N157" s="288"/>
      <c r="O157" s="288"/>
      <c r="P157" s="288"/>
      <c r="Q157" s="288"/>
      <c r="R157" s="288"/>
      <c r="S157" s="288"/>
      <c r="T157" s="288"/>
      <c r="U157" s="288"/>
      <c r="V157" s="338"/>
      <c r="W157" s="291"/>
      <c r="X157" s="5"/>
    </row>
    <row r="158" spans="1:25" ht="15.6" x14ac:dyDescent="0.3">
      <c r="A158" s="183"/>
      <c r="B158" s="198"/>
      <c r="C158" s="198"/>
      <c r="D158" s="198"/>
      <c r="E158" s="198"/>
      <c r="F158" s="198"/>
      <c r="G158" s="198"/>
      <c r="H158" s="198"/>
      <c r="I158" s="198"/>
      <c r="J158" s="198"/>
      <c r="K158" s="198"/>
      <c r="L158" s="198"/>
      <c r="M158" s="198"/>
      <c r="N158" s="198"/>
      <c r="O158" s="198"/>
      <c r="P158" s="198"/>
      <c r="Q158" s="198"/>
      <c r="R158" s="198"/>
      <c r="S158" s="198"/>
      <c r="T158" s="198"/>
      <c r="U158" s="198"/>
      <c r="V158" s="347"/>
      <c r="W158" s="198"/>
      <c r="X158" s="5"/>
    </row>
    <row r="159" spans="1:25" ht="15.6" x14ac:dyDescent="0.3">
      <c r="A159" s="183"/>
      <c r="B159" s="208" t="s">
        <v>24</v>
      </c>
      <c r="C159" s="185"/>
      <c r="D159" s="185"/>
      <c r="E159" s="185"/>
      <c r="F159" s="185"/>
      <c r="G159" s="185"/>
      <c r="H159" s="185"/>
      <c r="I159" s="185"/>
      <c r="J159" s="185"/>
      <c r="K159" s="185"/>
      <c r="L159" s="185"/>
      <c r="M159" s="185"/>
      <c r="N159" s="185"/>
      <c r="O159" s="185"/>
      <c r="P159" s="185"/>
      <c r="Q159" s="185"/>
      <c r="R159" s="185"/>
      <c r="S159" s="185"/>
      <c r="T159" s="185"/>
      <c r="U159" s="185"/>
      <c r="V159" s="201"/>
      <c r="W159" s="185"/>
      <c r="X159" s="5"/>
    </row>
    <row r="160" spans="1:25" ht="15.6" x14ac:dyDescent="0.3">
      <c r="A160" s="287"/>
      <c r="B160" s="288" t="s">
        <v>47</v>
      </c>
      <c r="C160" s="288"/>
      <c r="D160" s="288"/>
      <c r="E160" s="288"/>
      <c r="F160" s="288"/>
      <c r="G160" s="288"/>
      <c r="H160" s="288"/>
      <c r="I160" s="288"/>
      <c r="J160" s="288"/>
      <c r="K160" s="288"/>
      <c r="L160" s="288"/>
      <c r="M160" s="288"/>
      <c r="N160" s="288"/>
      <c r="O160" s="288"/>
      <c r="P160" s="288"/>
      <c r="Q160" s="288"/>
      <c r="R160" s="288"/>
      <c r="S160" s="288"/>
      <c r="T160" s="288"/>
      <c r="U160" s="288"/>
      <c r="V160" s="348" t="s">
        <v>118</v>
      </c>
      <c r="W160" s="291"/>
      <c r="X160" s="5"/>
    </row>
    <row r="161" spans="1:256" ht="15.6" x14ac:dyDescent="0.3">
      <c r="A161" s="287"/>
      <c r="B161" s="288" t="s">
        <v>48</v>
      </c>
      <c r="C161" s="290"/>
      <c r="D161" s="290"/>
      <c r="E161" s="290"/>
      <c r="F161" s="290"/>
      <c r="G161" s="290"/>
      <c r="H161" s="290"/>
      <c r="I161" s="290"/>
      <c r="J161" s="290"/>
      <c r="K161" s="290"/>
      <c r="L161" s="290"/>
      <c r="M161" s="290"/>
      <c r="N161" s="290"/>
      <c r="O161" s="290"/>
      <c r="P161" s="290"/>
      <c r="Q161" s="290"/>
      <c r="R161" s="290"/>
      <c r="S161" s="290"/>
      <c r="T161" s="290"/>
      <c r="U161" s="290"/>
      <c r="V161" s="348" t="s">
        <v>118</v>
      </c>
      <c r="W161" s="291"/>
      <c r="X161" s="5"/>
    </row>
    <row r="162" spans="1:256" ht="15.6" x14ac:dyDescent="0.3">
      <c r="A162" s="287"/>
      <c r="B162" s="288" t="s">
        <v>49</v>
      </c>
      <c r="C162" s="288"/>
      <c r="D162" s="288"/>
      <c r="E162" s="288"/>
      <c r="F162" s="288"/>
      <c r="G162" s="288"/>
      <c r="H162" s="288"/>
      <c r="I162" s="288"/>
      <c r="J162" s="288"/>
      <c r="K162" s="288"/>
      <c r="L162" s="288"/>
      <c r="M162" s="288"/>
      <c r="N162" s="288"/>
      <c r="O162" s="288"/>
      <c r="P162" s="288"/>
      <c r="Q162" s="288"/>
      <c r="R162" s="288"/>
      <c r="S162" s="288"/>
      <c r="T162" s="288"/>
      <c r="U162" s="288"/>
      <c r="V162" s="348" t="s">
        <v>118</v>
      </c>
      <c r="W162" s="291"/>
      <c r="X162" s="5"/>
    </row>
    <row r="163" spans="1:256" ht="15.6" x14ac:dyDescent="0.3">
      <c r="A163" s="287"/>
      <c r="B163" s="288" t="s">
        <v>50</v>
      </c>
      <c r="C163" s="288"/>
      <c r="D163" s="288"/>
      <c r="E163" s="288"/>
      <c r="F163" s="288"/>
      <c r="G163" s="288"/>
      <c r="H163" s="288"/>
      <c r="I163" s="288"/>
      <c r="J163" s="288"/>
      <c r="K163" s="288"/>
      <c r="L163" s="288"/>
      <c r="M163" s="288"/>
      <c r="N163" s="288"/>
      <c r="O163" s="288"/>
      <c r="P163" s="288"/>
      <c r="Q163" s="288"/>
      <c r="R163" s="288"/>
      <c r="S163" s="288"/>
      <c r="T163" s="288"/>
      <c r="U163" s="288"/>
      <c r="V163" s="348" t="s">
        <v>118</v>
      </c>
      <c r="W163" s="291"/>
      <c r="X163" s="5"/>
    </row>
    <row r="164" spans="1:256" ht="15.6" x14ac:dyDescent="0.3">
      <c r="A164" s="183"/>
      <c r="B164" s="198"/>
      <c r="C164" s="198"/>
      <c r="D164" s="198"/>
      <c r="E164" s="198"/>
      <c r="F164" s="198"/>
      <c r="G164" s="198"/>
      <c r="H164" s="198"/>
      <c r="I164" s="198"/>
      <c r="J164" s="198"/>
      <c r="K164" s="198"/>
      <c r="L164" s="198"/>
      <c r="M164" s="198"/>
      <c r="N164" s="198"/>
      <c r="O164" s="198"/>
      <c r="P164" s="198"/>
      <c r="Q164" s="198"/>
      <c r="R164" s="198"/>
      <c r="S164" s="198"/>
      <c r="T164" s="198"/>
      <c r="U164" s="198"/>
      <c r="V164" s="347"/>
      <c r="W164" s="198"/>
      <c r="X164" s="5"/>
    </row>
    <row r="165" spans="1:256" ht="15.6" x14ac:dyDescent="0.3">
      <c r="A165" s="183"/>
      <c r="B165" s="208" t="s">
        <v>51</v>
      </c>
      <c r="C165" s="185"/>
      <c r="D165" s="185"/>
      <c r="E165" s="185"/>
      <c r="F165" s="185"/>
      <c r="G165" s="185"/>
      <c r="H165" s="185"/>
      <c r="I165" s="185"/>
      <c r="J165" s="185"/>
      <c r="K165" s="185"/>
      <c r="L165" s="185"/>
      <c r="M165" s="185"/>
      <c r="N165" s="185"/>
      <c r="O165" s="185"/>
      <c r="P165" s="185"/>
      <c r="Q165" s="185"/>
      <c r="R165" s="185"/>
      <c r="S165" s="185"/>
      <c r="T165" s="185"/>
      <c r="U165" s="185"/>
      <c r="V165" s="209"/>
      <c r="W165" s="185"/>
      <c r="X165" s="5"/>
    </row>
    <row r="166" spans="1:256" ht="15.6" x14ac:dyDescent="0.3">
      <c r="A166" s="287"/>
      <c r="B166" s="288" t="s">
        <v>52</v>
      </c>
      <c r="C166" s="288"/>
      <c r="D166" s="288"/>
      <c r="E166" s="288"/>
      <c r="F166" s="288"/>
      <c r="G166" s="288"/>
      <c r="H166" s="288"/>
      <c r="I166" s="288"/>
      <c r="J166" s="288"/>
      <c r="K166" s="288"/>
      <c r="L166" s="288"/>
      <c r="M166" s="288"/>
      <c r="N166" s="288"/>
      <c r="O166" s="288"/>
      <c r="P166" s="288"/>
      <c r="Q166" s="288"/>
      <c r="R166" s="288"/>
      <c r="S166" s="288"/>
      <c r="T166" s="288"/>
      <c r="U166" s="288"/>
      <c r="V166" s="338">
        <v>0</v>
      </c>
      <c r="W166" s="291"/>
      <c r="X166" s="5"/>
    </row>
    <row r="167" spans="1:256" ht="15.6" x14ac:dyDescent="0.3">
      <c r="A167" s="287"/>
      <c r="B167" s="288" t="s">
        <v>53</v>
      </c>
      <c r="C167" s="288"/>
      <c r="D167" s="288"/>
      <c r="E167" s="288"/>
      <c r="F167" s="288"/>
      <c r="G167" s="288"/>
      <c r="H167" s="288"/>
      <c r="I167" s="288"/>
      <c r="J167" s="288"/>
      <c r="K167" s="288"/>
      <c r="L167" s="288"/>
      <c r="M167" s="288"/>
      <c r="N167" s="288"/>
      <c r="O167" s="288"/>
      <c r="P167" s="288"/>
      <c r="Q167" s="288"/>
      <c r="R167" s="288"/>
      <c r="S167" s="288"/>
      <c r="T167" s="288"/>
      <c r="U167" s="288"/>
      <c r="V167" s="338">
        <v>203</v>
      </c>
      <c r="W167" s="291"/>
      <c r="X167" s="5"/>
    </row>
    <row r="168" spans="1:256" ht="15.6" x14ac:dyDescent="0.3">
      <c r="A168" s="287"/>
      <c r="B168" s="288" t="s">
        <v>54</v>
      </c>
      <c r="C168" s="288"/>
      <c r="D168" s="288"/>
      <c r="E168" s="288"/>
      <c r="F168" s="288"/>
      <c r="G168" s="288"/>
      <c r="H168" s="288"/>
      <c r="I168" s="288"/>
      <c r="J168" s="288"/>
      <c r="K168" s="288"/>
      <c r="L168" s="288"/>
      <c r="M168" s="288"/>
      <c r="N168" s="288"/>
      <c r="O168" s="288"/>
      <c r="P168" s="288"/>
      <c r="Q168" s="288"/>
      <c r="R168" s="288"/>
      <c r="S168" s="288"/>
      <c r="T168" s="288"/>
      <c r="U168" s="288"/>
      <c r="V168" s="338">
        <f>V167+V166</f>
        <v>203</v>
      </c>
      <c r="W168" s="291"/>
      <c r="X168" s="5"/>
    </row>
    <row r="169" spans="1:256" ht="15.6" x14ac:dyDescent="0.3">
      <c r="A169" s="287"/>
      <c r="B169" s="288" t="s">
        <v>315</v>
      </c>
      <c r="C169" s="288"/>
      <c r="D169" s="288"/>
      <c r="E169" s="288"/>
      <c r="F169" s="288"/>
      <c r="G169" s="288"/>
      <c r="H169" s="288"/>
      <c r="I169" s="288"/>
      <c r="J169" s="288"/>
      <c r="K169" s="288"/>
      <c r="L169" s="288"/>
      <c r="M169" s="288"/>
      <c r="N169" s="288"/>
      <c r="O169" s="288"/>
      <c r="P169" s="288"/>
      <c r="Q169" s="288"/>
      <c r="R169" s="288"/>
      <c r="S169" s="288"/>
      <c r="T169" s="288"/>
      <c r="U169" s="288"/>
      <c r="V169" s="338">
        <f>V115</f>
        <v>-203</v>
      </c>
      <c r="W169" s="291"/>
      <c r="X169" s="5"/>
    </row>
    <row r="170" spans="1:256" ht="15.6" x14ac:dyDescent="0.3">
      <c r="A170" s="287"/>
      <c r="B170" s="288" t="s">
        <v>55</v>
      </c>
      <c r="C170" s="288"/>
      <c r="D170" s="288"/>
      <c r="E170" s="288"/>
      <c r="F170" s="288"/>
      <c r="G170" s="288"/>
      <c r="H170" s="288"/>
      <c r="I170" s="288"/>
      <c r="J170" s="288"/>
      <c r="K170" s="288"/>
      <c r="L170" s="288"/>
      <c r="M170" s="288"/>
      <c r="N170" s="288"/>
      <c r="O170" s="288"/>
      <c r="P170" s="288"/>
      <c r="Q170" s="288"/>
      <c r="R170" s="288"/>
      <c r="S170" s="288"/>
      <c r="T170" s="288"/>
      <c r="U170" s="288"/>
      <c r="V170" s="338">
        <f>V168+V169</f>
        <v>0</v>
      </c>
      <c r="W170" s="291"/>
      <c r="X170" s="5"/>
    </row>
    <row r="171" spans="1:256" ht="15.6" x14ac:dyDescent="0.3">
      <c r="A171" s="287"/>
      <c r="B171" s="288" t="s">
        <v>283</v>
      </c>
      <c r="C171" s="288"/>
      <c r="D171" s="288"/>
      <c r="E171" s="288"/>
      <c r="F171" s="288"/>
      <c r="G171" s="288"/>
      <c r="H171" s="288"/>
      <c r="I171" s="288"/>
      <c r="J171" s="288"/>
      <c r="K171" s="288"/>
      <c r="L171" s="288"/>
      <c r="M171" s="288"/>
      <c r="N171" s="288"/>
      <c r="O171" s="288"/>
      <c r="P171" s="288"/>
      <c r="Q171" s="288"/>
      <c r="R171" s="288"/>
      <c r="S171" s="288"/>
      <c r="T171" s="288"/>
      <c r="U171" s="288"/>
      <c r="V171" s="338">
        <v>0</v>
      </c>
      <c r="W171" s="291"/>
      <c r="X171" s="5"/>
    </row>
    <row r="172" spans="1:256" ht="16.2" thickBot="1" x14ac:dyDescent="0.35">
      <c r="A172" s="183"/>
      <c r="B172" s="284"/>
      <c r="C172" s="284"/>
      <c r="D172" s="284"/>
      <c r="E172" s="284"/>
      <c r="F172" s="284"/>
      <c r="G172" s="284"/>
      <c r="H172" s="284"/>
      <c r="I172" s="284"/>
      <c r="J172" s="284"/>
      <c r="K172" s="284"/>
      <c r="L172" s="284"/>
      <c r="M172" s="284"/>
      <c r="N172" s="284"/>
      <c r="O172" s="284"/>
      <c r="P172" s="284"/>
      <c r="Q172" s="284"/>
      <c r="R172" s="284"/>
      <c r="S172" s="284"/>
      <c r="T172" s="284"/>
      <c r="U172" s="284"/>
      <c r="V172" s="349"/>
      <c r="W172" s="284"/>
      <c r="X172" s="5"/>
    </row>
    <row r="173" spans="1:256" ht="15.6" x14ac:dyDescent="0.3">
      <c r="A173" s="180"/>
      <c r="B173" s="247"/>
      <c r="C173" s="247"/>
      <c r="D173" s="247"/>
      <c r="E173" s="247"/>
      <c r="F173" s="247"/>
      <c r="G173" s="247"/>
      <c r="H173" s="247"/>
      <c r="I173" s="247"/>
      <c r="J173" s="247"/>
      <c r="K173" s="247"/>
      <c r="L173" s="247"/>
      <c r="M173" s="247"/>
      <c r="N173" s="247"/>
      <c r="O173" s="247"/>
      <c r="P173" s="247"/>
      <c r="Q173" s="247"/>
      <c r="R173" s="247"/>
      <c r="S173" s="247"/>
      <c r="T173" s="247"/>
      <c r="U173" s="247"/>
      <c r="V173" s="248"/>
      <c r="W173" s="247"/>
      <c r="X173" s="5"/>
    </row>
    <row r="174" spans="1:256" s="161" customFormat="1" ht="15.6" x14ac:dyDescent="0.3">
      <c r="A174" s="183"/>
      <c r="B174" s="208" t="s">
        <v>269</v>
      </c>
      <c r="C174" s="198"/>
      <c r="D174" s="198"/>
      <c r="E174" s="198"/>
      <c r="F174" s="198"/>
      <c r="G174" s="198"/>
      <c r="H174" s="198"/>
      <c r="I174" s="198"/>
      <c r="J174" s="198"/>
      <c r="K174" s="198"/>
      <c r="L174" s="198"/>
      <c r="M174" s="198"/>
      <c r="N174" s="198"/>
      <c r="O174" s="198"/>
      <c r="P174" s="198"/>
      <c r="Q174" s="198"/>
      <c r="R174" s="198"/>
      <c r="S174" s="198"/>
      <c r="T174" s="198"/>
      <c r="U174" s="198"/>
      <c r="V174" s="210"/>
      <c r="W174" s="198"/>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5.6" x14ac:dyDescent="0.3">
      <c r="A175" s="287"/>
      <c r="B175" s="288" t="s">
        <v>270</v>
      </c>
      <c r="C175" s="288"/>
      <c r="D175" s="288"/>
      <c r="E175" s="288"/>
      <c r="F175" s="288"/>
      <c r="G175" s="288"/>
      <c r="H175" s="288"/>
      <c r="I175" s="288"/>
      <c r="J175" s="288"/>
      <c r="K175" s="288"/>
      <c r="L175" s="288"/>
      <c r="M175" s="288"/>
      <c r="N175" s="288"/>
      <c r="O175" s="288"/>
      <c r="P175" s="288"/>
      <c r="Q175" s="288"/>
      <c r="R175" s="288"/>
      <c r="S175" s="288"/>
      <c r="T175" s="288"/>
      <c r="U175" s="288"/>
      <c r="V175" s="338">
        <f>+'Aug 08'!V177</f>
        <v>0</v>
      </c>
      <c r="W175" s="291"/>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3" customFormat="1" ht="15.6" x14ac:dyDescent="0.3">
      <c r="A176" s="287"/>
      <c r="B176" s="288" t="s">
        <v>273</v>
      </c>
      <c r="C176" s="288"/>
      <c r="D176" s="288"/>
      <c r="E176" s="288"/>
      <c r="F176" s="288"/>
      <c r="G176" s="288"/>
      <c r="H176" s="288"/>
      <c r="I176" s="288"/>
      <c r="J176" s="288"/>
      <c r="K176" s="288"/>
      <c r="L176" s="288"/>
      <c r="M176" s="288"/>
      <c r="N176" s="288"/>
      <c r="O176" s="288"/>
      <c r="P176" s="288"/>
      <c r="Q176" s="288"/>
      <c r="R176" s="288"/>
      <c r="S176" s="288"/>
      <c r="T176" s="288"/>
      <c r="U176" s="288"/>
      <c r="V176" s="338">
        <f>+V94</f>
        <v>0</v>
      </c>
      <c r="W176" s="291"/>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s="163" customFormat="1" ht="15.6" x14ac:dyDescent="0.3">
      <c r="A177" s="287"/>
      <c r="B177" s="288" t="s">
        <v>271</v>
      </c>
      <c r="C177" s="288"/>
      <c r="D177" s="288"/>
      <c r="E177" s="288"/>
      <c r="F177" s="288"/>
      <c r="G177" s="288"/>
      <c r="H177" s="288"/>
      <c r="I177" s="288"/>
      <c r="J177" s="288"/>
      <c r="K177" s="288"/>
      <c r="L177" s="288"/>
      <c r="M177" s="288"/>
      <c r="N177" s="288"/>
      <c r="O177" s="288"/>
      <c r="P177" s="288"/>
      <c r="Q177" s="288"/>
      <c r="R177" s="288"/>
      <c r="S177" s="288"/>
      <c r="T177" s="288"/>
      <c r="U177" s="288"/>
      <c r="V177" s="338">
        <f>+V175-V176</f>
        <v>0</v>
      </c>
      <c r="W177" s="291"/>
      <c r="X177" s="5"/>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s="166" customFormat="1" ht="16.2" thickBot="1" x14ac:dyDescent="0.35">
      <c r="A178" s="199"/>
      <c r="B178" s="198"/>
      <c r="C178" s="198"/>
      <c r="D178" s="198"/>
      <c r="E178" s="198"/>
      <c r="F178" s="198"/>
      <c r="G178" s="198"/>
      <c r="H178" s="198"/>
      <c r="I178" s="198"/>
      <c r="J178" s="198"/>
      <c r="K178" s="198"/>
      <c r="L178" s="198"/>
      <c r="M178" s="198"/>
      <c r="N178" s="198"/>
      <c r="O178" s="198"/>
      <c r="P178" s="198"/>
      <c r="Q178" s="198"/>
      <c r="R178" s="198"/>
      <c r="S178" s="198"/>
      <c r="T178" s="198"/>
      <c r="U178" s="198"/>
      <c r="V178" s="347"/>
      <c r="W178" s="198"/>
      <c r="X178" s="5"/>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s="167" customFormat="1" ht="15.6" x14ac:dyDescent="0.3">
      <c r="A179" s="180"/>
      <c r="B179" s="181"/>
      <c r="C179" s="181"/>
      <c r="D179" s="181"/>
      <c r="E179" s="181"/>
      <c r="F179" s="181"/>
      <c r="G179" s="181"/>
      <c r="H179" s="181"/>
      <c r="I179" s="181"/>
      <c r="J179" s="181"/>
      <c r="K179" s="181"/>
      <c r="L179" s="181"/>
      <c r="M179" s="181"/>
      <c r="N179" s="181"/>
      <c r="O179" s="181"/>
      <c r="P179" s="181"/>
      <c r="Q179" s="181"/>
      <c r="R179" s="181"/>
      <c r="S179" s="181"/>
      <c r="T179" s="181"/>
      <c r="U179" s="181"/>
      <c r="V179" s="200"/>
      <c r="W179" s="181"/>
      <c r="X179" s="5"/>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ht="15.6" x14ac:dyDescent="0.3">
      <c r="A180" s="183"/>
      <c r="B180" s="208" t="s">
        <v>56</v>
      </c>
      <c r="C180" s="185"/>
      <c r="D180" s="185"/>
      <c r="E180" s="185"/>
      <c r="F180" s="185"/>
      <c r="G180" s="185"/>
      <c r="H180" s="185"/>
      <c r="I180" s="185"/>
      <c r="J180" s="185"/>
      <c r="K180" s="185"/>
      <c r="L180" s="185"/>
      <c r="M180" s="185"/>
      <c r="N180" s="185"/>
      <c r="O180" s="185"/>
      <c r="P180" s="185"/>
      <c r="Q180" s="185"/>
      <c r="R180" s="185"/>
      <c r="S180" s="185"/>
      <c r="T180" s="185"/>
      <c r="U180" s="185"/>
      <c r="V180" s="201"/>
      <c r="W180" s="185"/>
      <c r="X180" s="5"/>
    </row>
    <row r="181" spans="1:256" ht="15.6" x14ac:dyDescent="0.3">
      <c r="A181" s="183"/>
      <c r="B181" s="195"/>
      <c r="C181" s="185"/>
      <c r="D181" s="185"/>
      <c r="E181" s="185"/>
      <c r="F181" s="185"/>
      <c r="G181" s="185"/>
      <c r="H181" s="185"/>
      <c r="I181" s="185"/>
      <c r="J181" s="185"/>
      <c r="K181" s="185"/>
      <c r="L181" s="185"/>
      <c r="M181" s="185"/>
      <c r="N181" s="185"/>
      <c r="O181" s="185"/>
      <c r="P181" s="185"/>
      <c r="Q181" s="185"/>
      <c r="R181" s="185"/>
      <c r="S181" s="185"/>
      <c r="T181" s="185"/>
      <c r="U181" s="185"/>
      <c r="V181" s="201"/>
      <c r="W181" s="185"/>
      <c r="X181" s="5"/>
    </row>
    <row r="182" spans="1:256" ht="15.6" x14ac:dyDescent="0.3">
      <c r="A182" s="287"/>
      <c r="B182" s="288" t="s">
        <v>57</v>
      </c>
      <c r="C182" s="288"/>
      <c r="D182" s="288"/>
      <c r="E182" s="288"/>
      <c r="F182" s="288"/>
      <c r="G182" s="288"/>
      <c r="H182" s="288"/>
      <c r="I182" s="288"/>
      <c r="J182" s="288"/>
      <c r="K182" s="288"/>
      <c r="L182" s="288"/>
      <c r="M182" s="288"/>
      <c r="N182" s="288"/>
      <c r="O182" s="288"/>
      <c r="P182" s="288"/>
      <c r="Q182" s="288"/>
      <c r="R182" s="288"/>
      <c r="S182" s="288"/>
      <c r="T182" s="288"/>
      <c r="U182" s="288"/>
      <c r="V182" s="338">
        <f>V71</f>
        <v>1114151</v>
      </c>
      <c r="W182" s="291"/>
      <c r="X182" s="5"/>
    </row>
    <row r="183" spans="1:256" ht="15.6" x14ac:dyDescent="0.3">
      <c r="A183" s="287"/>
      <c r="B183" s="288" t="s">
        <v>58</v>
      </c>
      <c r="C183" s="288"/>
      <c r="D183" s="288"/>
      <c r="E183" s="288"/>
      <c r="F183" s="288"/>
      <c r="G183" s="288"/>
      <c r="H183" s="288"/>
      <c r="I183" s="288"/>
      <c r="J183" s="288"/>
      <c r="K183" s="288"/>
      <c r="L183" s="288"/>
      <c r="M183" s="288"/>
      <c r="N183" s="288"/>
      <c r="O183" s="288"/>
      <c r="P183" s="288"/>
      <c r="Q183" s="288"/>
      <c r="R183" s="288"/>
      <c r="S183" s="288"/>
      <c r="T183" s="288"/>
      <c r="U183" s="288"/>
      <c r="V183" s="338">
        <f>V84</f>
        <v>1114151</v>
      </c>
      <c r="W183" s="291"/>
      <c r="X183" s="5"/>
    </row>
    <row r="184" spans="1:256" ht="16.2" thickBot="1" x14ac:dyDescent="0.35">
      <c r="A184" s="183"/>
      <c r="B184" s="198"/>
      <c r="C184" s="198"/>
      <c r="D184" s="198"/>
      <c r="E184" s="198"/>
      <c r="F184" s="198"/>
      <c r="G184" s="198"/>
      <c r="H184" s="198"/>
      <c r="I184" s="198"/>
      <c r="J184" s="198"/>
      <c r="K184" s="198"/>
      <c r="L184" s="198"/>
      <c r="M184" s="198"/>
      <c r="N184" s="198"/>
      <c r="O184" s="198"/>
      <c r="P184" s="198"/>
      <c r="Q184" s="198"/>
      <c r="R184" s="198"/>
      <c r="S184" s="198"/>
      <c r="T184" s="198"/>
      <c r="U184" s="198"/>
      <c r="V184" s="347"/>
      <c r="W184" s="198"/>
      <c r="X184" s="5"/>
    </row>
    <row r="185" spans="1:256" ht="15.6" x14ac:dyDescent="0.3">
      <c r="A185" s="180"/>
      <c r="B185" s="181"/>
      <c r="C185" s="181"/>
      <c r="D185" s="181"/>
      <c r="E185" s="181"/>
      <c r="F185" s="181"/>
      <c r="G185" s="181"/>
      <c r="H185" s="181"/>
      <c r="I185" s="181"/>
      <c r="J185" s="181"/>
      <c r="K185" s="181"/>
      <c r="L185" s="181"/>
      <c r="M185" s="181"/>
      <c r="N185" s="181"/>
      <c r="O185" s="181"/>
      <c r="P185" s="181"/>
      <c r="Q185" s="181"/>
      <c r="R185" s="181"/>
      <c r="S185" s="181"/>
      <c r="T185" s="181"/>
      <c r="U185" s="181"/>
      <c r="V185" s="200"/>
      <c r="W185" s="181"/>
      <c r="X185" s="5"/>
    </row>
    <row r="186" spans="1:256" ht="15.6" x14ac:dyDescent="0.3">
      <c r="A186" s="183"/>
      <c r="B186" s="208" t="s">
        <v>59</v>
      </c>
      <c r="C186" s="205"/>
      <c r="D186" s="205"/>
      <c r="E186" s="205"/>
      <c r="F186" s="205"/>
      <c r="G186" s="205"/>
      <c r="H186" s="211"/>
      <c r="I186" s="211"/>
      <c r="J186" s="211"/>
      <c r="K186" s="211"/>
      <c r="L186" s="211"/>
      <c r="M186" s="211"/>
      <c r="N186" s="211"/>
      <c r="O186" s="211"/>
      <c r="P186" s="211"/>
      <c r="Q186" s="211"/>
      <c r="R186" s="211"/>
      <c r="S186" s="211" t="s">
        <v>101</v>
      </c>
      <c r="T186" s="211" t="s">
        <v>176</v>
      </c>
      <c r="U186" s="187"/>
      <c r="V186" s="212" t="s">
        <v>114</v>
      </c>
      <c r="W186" s="213"/>
      <c r="X186" s="5"/>
    </row>
    <row r="187" spans="1:256" ht="15.6" x14ac:dyDescent="0.3">
      <c r="A187" s="287"/>
      <c r="B187" s="288" t="s">
        <v>60</v>
      </c>
      <c r="C187" s="288"/>
      <c r="D187" s="288"/>
      <c r="E187" s="288"/>
      <c r="F187" s="288"/>
      <c r="G187" s="288"/>
      <c r="H187" s="288"/>
      <c r="I187" s="288"/>
      <c r="J187" s="288"/>
      <c r="K187" s="288"/>
      <c r="L187" s="288"/>
      <c r="M187" s="288"/>
      <c r="N187" s="288"/>
      <c r="O187" s="288"/>
      <c r="P187" s="288"/>
      <c r="Q187" s="288"/>
      <c r="R187" s="288"/>
      <c r="S187" s="338">
        <f>+V34*0.16</f>
        <v>240044</v>
      </c>
      <c r="T187" s="325"/>
      <c r="U187" s="288"/>
      <c r="V187" s="338"/>
      <c r="W187" s="291"/>
      <c r="X187" s="5"/>
    </row>
    <row r="188" spans="1:256" ht="15.6" x14ac:dyDescent="0.3">
      <c r="A188" s="287"/>
      <c r="B188" s="288" t="s">
        <v>61</v>
      </c>
      <c r="C188" s="288"/>
      <c r="D188" s="288"/>
      <c r="E188" s="288"/>
      <c r="F188" s="288"/>
      <c r="G188" s="288"/>
      <c r="H188" s="288"/>
      <c r="I188" s="288"/>
      <c r="J188" s="288"/>
      <c r="K188" s="288"/>
      <c r="L188" s="288"/>
      <c r="M188" s="288"/>
      <c r="N188" s="288"/>
      <c r="O188" s="288"/>
      <c r="P188" s="288"/>
      <c r="Q188" s="288"/>
      <c r="R188" s="288"/>
      <c r="S188" s="338">
        <f>+'May 12'!S190</f>
        <v>24176</v>
      </c>
      <c r="T188" s="338">
        <f>+'May 12'!T190</f>
        <v>6013</v>
      </c>
      <c r="U188" s="288"/>
      <c r="V188" s="338">
        <f>S188+T188</f>
        <v>30189</v>
      </c>
      <c r="W188" s="291"/>
      <c r="X188" s="5"/>
    </row>
    <row r="189" spans="1:256" ht="15.6" x14ac:dyDescent="0.3">
      <c r="A189" s="287"/>
      <c r="B189" s="288" t="s">
        <v>62</v>
      </c>
      <c r="C189" s="288"/>
      <c r="D189" s="288"/>
      <c r="E189" s="288"/>
      <c r="F189" s="288"/>
      <c r="G189" s="288"/>
      <c r="H189" s="288"/>
      <c r="I189" s="288"/>
      <c r="J189" s="288"/>
      <c r="K189" s="288"/>
      <c r="L189" s="288"/>
      <c r="M189" s="288"/>
      <c r="N189" s="288"/>
      <c r="O189" s="288"/>
      <c r="P189" s="288"/>
      <c r="Q189" s="288"/>
      <c r="R189" s="288"/>
      <c r="S189" s="337">
        <v>27</v>
      </c>
      <c r="T189" s="337">
        <v>0</v>
      </c>
      <c r="U189" s="288"/>
      <c r="V189" s="338">
        <f>S189+T189</f>
        <v>27</v>
      </c>
      <c r="W189" s="291"/>
      <c r="X189" s="5"/>
    </row>
    <row r="190" spans="1:256" ht="15.6" x14ac:dyDescent="0.3">
      <c r="A190" s="287"/>
      <c r="B190" s="288" t="s">
        <v>63</v>
      </c>
      <c r="C190" s="288"/>
      <c r="D190" s="288"/>
      <c r="E190" s="288"/>
      <c r="F190" s="288"/>
      <c r="G190" s="288"/>
      <c r="H190" s="288"/>
      <c r="I190" s="288"/>
      <c r="J190" s="288"/>
      <c r="K190" s="288"/>
      <c r="L190" s="288"/>
      <c r="M190" s="288"/>
      <c r="N190" s="288"/>
      <c r="O190" s="288"/>
      <c r="P190" s="288"/>
      <c r="Q190" s="288"/>
      <c r="R190" s="288"/>
      <c r="S190" s="338">
        <f>S188+S189</f>
        <v>24203</v>
      </c>
      <c r="T190" s="338">
        <f>T189+T188</f>
        <v>6013</v>
      </c>
      <c r="U190" s="288"/>
      <c r="V190" s="338">
        <f>S190+T190</f>
        <v>30216</v>
      </c>
      <c r="W190" s="291"/>
      <c r="X190" s="5"/>
    </row>
    <row r="191" spans="1:256" ht="15.6" x14ac:dyDescent="0.3">
      <c r="A191" s="287"/>
      <c r="B191" s="288" t="s">
        <v>64</v>
      </c>
      <c r="C191" s="288"/>
      <c r="D191" s="288"/>
      <c r="E191" s="288"/>
      <c r="F191" s="288"/>
      <c r="G191" s="288"/>
      <c r="H191" s="288"/>
      <c r="I191" s="288"/>
      <c r="J191" s="288"/>
      <c r="K191" s="288"/>
      <c r="L191" s="288"/>
      <c r="M191" s="288"/>
      <c r="N191" s="288"/>
      <c r="O191" s="288"/>
      <c r="P191" s="288"/>
      <c r="Q191" s="288"/>
      <c r="R191" s="288"/>
      <c r="S191" s="338">
        <f>S187-S190-T190</f>
        <v>209828</v>
      </c>
      <c r="T191" s="325"/>
      <c r="U191" s="288"/>
      <c r="V191" s="338"/>
      <c r="W191" s="291"/>
      <c r="X191" s="5"/>
    </row>
    <row r="192" spans="1:256" ht="16.2" thickBot="1" x14ac:dyDescent="0.35">
      <c r="A192" s="183"/>
      <c r="B192" s="198"/>
      <c r="C192" s="198"/>
      <c r="D192" s="198"/>
      <c r="E192" s="198"/>
      <c r="F192" s="198"/>
      <c r="G192" s="198"/>
      <c r="H192" s="198"/>
      <c r="I192" s="198"/>
      <c r="J192" s="198"/>
      <c r="K192" s="198"/>
      <c r="L192" s="198"/>
      <c r="M192" s="198"/>
      <c r="N192" s="198"/>
      <c r="O192" s="198"/>
      <c r="P192" s="198"/>
      <c r="Q192" s="198"/>
      <c r="R192" s="198"/>
      <c r="S192" s="198"/>
      <c r="T192" s="198"/>
      <c r="U192" s="198"/>
      <c r="V192" s="347"/>
      <c r="W192" s="198"/>
      <c r="X192" s="5"/>
    </row>
    <row r="193" spans="1:24" ht="15.6" x14ac:dyDescent="0.3">
      <c r="A193" s="180"/>
      <c r="B193" s="181"/>
      <c r="C193" s="181"/>
      <c r="D193" s="181"/>
      <c r="E193" s="181"/>
      <c r="F193" s="181"/>
      <c r="G193" s="181"/>
      <c r="H193" s="181"/>
      <c r="I193" s="181"/>
      <c r="J193" s="181"/>
      <c r="K193" s="181"/>
      <c r="L193" s="181"/>
      <c r="M193" s="181"/>
      <c r="N193" s="181"/>
      <c r="O193" s="181"/>
      <c r="P193" s="181"/>
      <c r="Q193" s="181"/>
      <c r="R193" s="181"/>
      <c r="S193" s="181"/>
      <c r="T193" s="181"/>
      <c r="U193" s="181"/>
      <c r="V193" s="200"/>
      <c r="W193" s="181"/>
      <c r="X193" s="5"/>
    </row>
    <row r="194" spans="1:24" ht="15.6" x14ac:dyDescent="0.3">
      <c r="A194" s="183"/>
      <c r="B194" s="208" t="s">
        <v>65</v>
      </c>
      <c r="C194" s="185"/>
      <c r="D194" s="185"/>
      <c r="E194" s="185"/>
      <c r="F194" s="185"/>
      <c r="G194" s="185"/>
      <c r="H194" s="185"/>
      <c r="I194" s="185"/>
      <c r="J194" s="185"/>
      <c r="K194" s="185"/>
      <c r="L194" s="185"/>
      <c r="M194" s="185"/>
      <c r="N194" s="185"/>
      <c r="O194" s="185"/>
      <c r="P194" s="185"/>
      <c r="Q194" s="185"/>
      <c r="R194" s="185"/>
      <c r="S194" s="185"/>
      <c r="T194" s="185"/>
      <c r="U194" s="185"/>
      <c r="V194" s="214"/>
      <c r="W194" s="185"/>
      <c r="X194" s="5"/>
    </row>
    <row r="195" spans="1:24" ht="15.6" x14ac:dyDescent="0.3">
      <c r="A195" s="287"/>
      <c r="B195" s="288" t="s">
        <v>66</v>
      </c>
      <c r="C195" s="288"/>
      <c r="D195" s="288"/>
      <c r="E195" s="288"/>
      <c r="F195" s="288"/>
      <c r="G195" s="288"/>
      <c r="H195" s="288"/>
      <c r="I195" s="288"/>
      <c r="J195" s="288"/>
      <c r="K195" s="288"/>
      <c r="L195" s="288"/>
      <c r="M195" s="288"/>
      <c r="N195" s="288"/>
      <c r="O195" s="288"/>
      <c r="P195" s="288"/>
      <c r="Q195" s="288"/>
      <c r="R195" s="288"/>
      <c r="S195" s="288"/>
      <c r="T195" s="288"/>
      <c r="U195" s="288"/>
      <c r="V195" s="348">
        <f>(V101+V103+V104+V105+V106)/-(V107+V108)</f>
        <v>2.8976320582877961</v>
      </c>
      <c r="W195" s="291" t="s">
        <v>115</v>
      </c>
      <c r="X195" s="5"/>
    </row>
    <row r="196" spans="1:24" ht="15.6" x14ac:dyDescent="0.3">
      <c r="A196" s="287"/>
      <c r="B196" s="288" t="s">
        <v>67</v>
      </c>
      <c r="C196" s="288"/>
      <c r="D196" s="288"/>
      <c r="E196" s="288"/>
      <c r="F196" s="288"/>
      <c r="G196" s="288"/>
      <c r="H196" s="288"/>
      <c r="I196" s="288"/>
      <c r="J196" s="288"/>
      <c r="K196" s="288"/>
      <c r="L196" s="288"/>
      <c r="M196" s="288"/>
      <c r="N196" s="288"/>
      <c r="O196" s="288"/>
      <c r="P196" s="288"/>
      <c r="Q196" s="288"/>
      <c r="R196" s="288"/>
      <c r="S196" s="288"/>
      <c r="T196" s="288"/>
      <c r="U196" s="288"/>
      <c r="V196" s="350">
        <v>1.71</v>
      </c>
      <c r="W196" s="291" t="s">
        <v>115</v>
      </c>
      <c r="X196" s="5"/>
    </row>
    <row r="197" spans="1:24" ht="15.6" x14ac:dyDescent="0.3">
      <c r="A197" s="287"/>
      <c r="B197" s="288" t="s">
        <v>68</v>
      </c>
      <c r="C197" s="288"/>
      <c r="D197" s="288"/>
      <c r="E197" s="288"/>
      <c r="F197" s="288"/>
      <c r="G197" s="288"/>
      <c r="H197" s="288"/>
      <c r="I197" s="288"/>
      <c r="J197" s="288"/>
      <c r="K197" s="288"/>
      <c r="L197" s="288"/>
      <c r="M197" s="288"/>
      <c r="N197" s="288"/>
      <c r="O197" s="288"/>
      <c r="P197" s="288"/>
      <c r="Q197" s="288"/>
      <c r="R197" s="288"/>
      <c r="S197" s="288"/>
      <c r="T197" s="288"/>
      <c r="U197" s="288"/>
      <c r="V197" s="348">
        <f>(V101+V103+V104+V105+V106+V107+V108)/-(V110+V111)</f>
        <v>13.390745501285346</v>
      </c>
      <c r="W197" s="291" t="s">
        <v>115</v>
      </c>
      <c r="X197" s="5"/>
    </row>
    <row r="198" spans="1:24" ht="15.6" x14ac:dyDescent="0.3">
      <c r="A198" s="287"/>
      <c r="B198" s="288" t="s">
        <v>69</v>
      </c>
      <c r="C198" s="288"/>
      <c r="D198" s="288"/>
      <c r="E198" s="288"/>
      <c r="F198" s="288"/>
      <c r="G198" s="288"/>
      <c r="H198" s="288"/>
      <c r="I198" s="288"/>
      <c r="J198" s="288"/>
      <c r="K198" s="288"/>
      <c r="L198" s="288"/>
      <c r="M198" s="288"/>
      <c r="N198" s="288"/>
      <c r="O198" s="288"/>
      <c r="P198" s="288"/>
      <c r="Q198" s="288"/>
      <c r="R198" s="288"/>
      <c r="S198" s="288"/>
      <c r="T198" s="288"/>
      <c r="U198" s="288"/>
      <c r="V198" s="350">
        <v>6.97</v>
      </c>
      <c r="W198" s="291" t="s">
        <v>115</v>
      </c>
      <c r="X198" s="5"/>
    </row>
    <row r="199" spans="1:24" ht="15.6" x14ac:dyDescent="0.3">
      <c r="A199" s="287"/>
      <c r="B199" s="288" t="s">
        <v>198</v>
      </c>
      <c r="C199" s="288"/>
      <c r="D199" s="288"/>
      <c r="E199" s="288"/>
      <c r="F199" s="288"/>
      <c r="G199" s="288"/>
      <c r="H199" s="288"/>
      <c r="I199" s="288"/>
      <c r="J199" s="288"/>
      <c r="K199" s="288"/>
      <c r="L199" s="288"/>
      <c r="M199" s="288"/>
      <c r="N199" s="288"/>
      <c r="O199" s="288"/>
      <c r="P199" s="288"/>
      <c r="Q199" s="288"/>
      <c r="R199" s="288"/>
      <c r="S199" s="288"/>
      <c r="T199" s="288"/>
      <c r="U199" s="288"/>
      <c r="V199" s="348">
        <f>(V101+V103+V104+V105+V106+V107+V108+V110+V111)/-(V112+V113)</f>
        <v>9.2337164750957861</v>
      </c>
      <c r="W199" s="291" t="s">
        <v>115</v>
      </c>
      <c r="X199" s="5"/>
    </row>
    <row r="200" spans="1:24" ht="15.6" x14ac:dyDescent="0.3">
      <c r="A200" s="287"/>
      <c r="B200" s="288" t="s">
        <v>199</v>
      </c>
      <c r="C200" s="288"/>
      <c r="D200" s="288"/>
      <c r="E200" s="288"/>
      <c r="F200" s="288"/>
      <c r="G200" s="288"/>
      <c r="H200" s="288"/>
      <c r="I200" s="288"/>
      <c r="J200" s="288"/>
      <c r="K200" s="288"/>
      <c r="L200" s="288"/>
      <c r="M200" s="288"/>
      <c r="N200" s="288"/>
      <c r="O200" s="288"/>
      <c r="P200" s="288"/>
      <c r="Q200" s="288"/>
      <c r="R200" s="288"/>
      <c r="S200" s="288"/>
      <c r="T200" s="288"/>
      <c r="U200" s="288"/>
      <c r="V200" s="350">
        <v>5.49</v>
      </c>
      <c r="W200" s="291" t="s">
        <v>115</v>
      </c>
      <c r="X200" s="5"/>
    </row>
    <row r="201" spans="1:24" ht="15.6" x14ac:dyDescent="0.3">
      <c r="A201" s="287"/>
      <c r="B201" s="314"/>
      <c r="C201" s="314"/>
      <c r="D201" s="314"/>
      <c r="E201" s="314"/>
      <c r="F201" s="314"/>
      <c r="G201" s="314"/>
      <c r="H201" s="314"/>
      <c r="I201" s="314"/>
      <c r="J201" s="314"/>
      <c r="K201" s="314"/>
      <c r="L201" s="314"/>
      <c r="M201" s="314"/>
      <c r="N201" s="314"/>
      <c r="O201" s="314"/>
      <c r="P201" s="314"/>
      <c r="Q201" s="314"/>
      <c r="R201" s="314"/>
      <c r="S201" s="314"/>
      <c r="T201" s="314"/>
      <c r="U201" s="314"/>
      <c r="V201" s="314"/>
      <c r="W201" s="318"/>
      <c r="X201" s="5"/>
    </row>
    <row r="202" spans="1:24" ht="15.6" x14ac:dyDescent="0.3">
      <c r="A202" s="183"/>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5"/>
    </row>
    <row r="203" spans="1:24" ht="15.6" x14ac:dyDescent="0.3">
      <c r="A203" s="183"/>
      <c r="B203" s="185"/>
      <c r="C203" s="185"/>
      <c r="D203" s="185"/>
      <c r="E203" s="185"/>
      <c r="F203" s="185"/>
      <c r="G203" s="185"/>
      <c r="H203" s="185"/>
      <c r="I203" s="185"/>
      <c r="J203" s="185"/>
      <c r="K203" s="185"/>
      <c r="L203" s="185"/>
      <c r="M203" s="185"/>
      <c r="N203" s="185"/>
      <c r="O203" s="185"/>
      <c r="P203" s="185"/>
      <c r="Q203" s="185"/>
      <c r="R203" s="185"/>
      <c r="S203" s="185"/>
      <c r="T203" s="185"/>
      <c r="U203" s="185"/>
      <c r="V203" s="185"/>
      <c r="W203" s="185"/>
      <c r="X203" s="5"/>
    </row>
    <row r="204" spans="1:24" ht="18" thickBot="1" x14ac:dyDescent="0.35">
      <c r="A204" s="199"/>
      <c r="B204" s="237" t="str">
        <f>B138</f>
        <v>PM14 INVESTOR REPORT QUARTER ENDING AUGUST 2012</v>
      </c>
      <c r="C204" s="215"/>
      <c r="D204" s="215"/>
      <c r="E204" s="215"/>
      <c r="F204" s="215"/>
      <c r="G204" s="215"/>
      <c r="H204" s="215"/>
      <c r="I204" s="215"/>
      <c r="J204" s="215"/>
      <c r="K204" s="215"/>
      <c r="L204" s="215"/>
      <c r="M204" s="215"/>
      <c r="N204" s="215"/>
      <c r="O204" s="215"/>
      <c r="P204" s="215"/>
      <c r="Q204" s="215"/>
      <c r="R204" s="215"/>
      <c r="S204" s="215"/>
      <c r="T204" s="215"/>
      <c r="U204" s="215"/>
      <c r="V204" s="215"/>
      <c r="W204" s="216"/>
      <c r="X204" s="5"/>
    </row>
    <row r="205" spans="1:24" ht="15.6" x14ac:dyDescent="0.3">
      <c r="A205" s="273"/>
      <c r="B205" s="403" t="s">
        <v>70</v>
      </c>
      <c r="C205" s="404"/>
      <c r="D205" s="404"/>
      <c r="E205" s="404"/>
      <c r="F205" s="404"/>
      <c r="G205" s="405"/>
      <c r="H205" s="405"/>
      <c r="I205" s="405"/>
      <c r="J205" s="405"/>
      <c r="K205" s="405"/>
      <c r="L205" s="405"/>
      <c r="M205" s="405"/>
      <c r="N205" s="405"/>
      <c r="O205" s="405"/>
      <c r="P205" s="405"/>
      <c r="Q205" s="405"/>
      <c r="R205" s="405"/>
      <c r="S205" s="405"/>
      <c r="T205" s="405">
        <v>41152</v>
      </c>
      <c r="U205" s="274"/>
      <c r="V205" s="274"/>
      <c r="W205" s="274"/>
      <c r="X205" s="5"/>
    </row>
    <row r="206" spans="1:24" ht="15.6" x14ac:dyDescent="0.3">
      <c r="A206" s="217"/>
      <c r="B206" s="230"/>
      <c r="C206" s="249"/>
      <c r="D206" s="249"/>
      <c r="E206" s="249"/>
      <c r="F206" s="249"/>
      <c r="G206" s="229"/>
      <c r="H206" s="229"/>
      <c r="I206" s="229"/>
      <c r="J206" s="229"/>
      <c r="K206" s="229"/>
      <c r="L206" s="229"/>
      <c r="M206" s="229"/>
      <c r="N206" s="229"/>
      <c r="O206" s="229"/>
      <c r="P206" s="229"/>
      <c r="Q206" s="229"/>
      <c r="R206" s="229"/>
      <c r="S206" s="229"/>
      <c r="T206" s="229"/>
      <c r="U206" s="224"/>
      <c r="V206" s="224"/>
      <c r="W206" s="224"/>
      <c r="X206" s="5"/>
    </row>
    <row r="207" spans="1:24" ht="15.6" x14ac:dyDescent="0.3">
      <c r="A207" s="352"/>
      <c r="B207" s="288" t="s">
        <v>71</v>
      </c>
      <c r="C207" s="353"/>
      <c r="D207" s="353"/>
      <c r="E207" s="353"/>
      <c r="F207" s="353"/>
      <c r="G207" s="330"/>
      <c r="H207" s="330"/>
      <c r="I207" s="330"/>
      <c r="J207" s="330"/>
      <c r="K207" s="330"/>
      <c r="L207" s="330"/>
      <c r="M207" s="330"/>
      <c r="N207" s="330"/>
      <c r="O207" s="330"/>
      <c r="P207" s="330"/>
      <c r="Q207" s="330"/>
      <c r="R207" s="330"/>
      <c r="S207" s="330"/>
      <c r="T207" s="321">
        <v>5.2819999999999999E-2</v>
      </c>
      <c r="U207" s="288"/>
      <c r="V207" s="288"/>
      <c r="W207" s="291"/>
      <c r="X207" s="5"/>
    </row>
    <row r="208" spans="1:24" ht="15.6" x14ac:dyDescent="0.3">
      <c r="A208" s="352"/>
      <c r="B208" s="288" t="s">
        <v>151</v>
      </c>
      <c r="C208" s="353"/>
      <c r="D208" s="353"/>
      <c r="E208" s="353"/>
      <c r="F208" s="353"/>
      <c r="G208" s="330"/>
      <c r="H208" s="330"/>
      <c r="I208" s="330"/>
      <c r="J208" s="330"/>
      <c r="K208" s="330"/>
      <c r="L208" s="330"/>
      <c r="M208" s="330"/>
      <c r="N208" s="330"/>
      <c r="O208" s="330"/>
      <c r="P208" s="330"/>
      <c r="Q208" s="330"/>
      <c r="R208" s="330"/>
      <c r="S208" s="330"/>
      <c r="T208" s="321">
        <v>5.7799999999999997E-2</v>
      </c>
      <c r="U208" s="288"/>
      <c r="V208" s="288"/>
      <c r="W208" s="291"/>
      <c r="X208" s="5"/>
    </row>
    <row r="209" spans="1:24" ht="15.6" x14ac:dyDescent="0.3">
      <c r="A209" s="352"/>
      <c r="B209" s="288" t="s">
        <v>72</v>
      </c>
      <c r="C209" s="353"/>
      <c r="D209" s="353"/>
      <c r="E209" s="353"/>
      <c r="F209" s="353"/>
      <c r="G209" s="330"/>
      <c r="H209" s="330"/>
      <c r="I209" s="330"/>
      <c r="J209" s="330"/>
      <c r="K209" s="330"/>
      <c r="L209" s="330"/>
      <c r="M209" s="330"/>
      <c r="N209" s="330"/>
      <c r="O209" s="330"/>
      <c r="P209" s="330"/>
      <c r="Q209" s="330"/>
      <c r="R209" s="330"/>
      <c r="S209" s="330"/>
      <c r="T209" s="321">
        <f>T207-T208</f>
        <v>-4.9799999999999983E-3</v>
      </c>
      <c r="U209" s="288"/>
      <c r="V209" s="288"/>
      <c r="W209" s="291"/>
      <c r="X209" s="5"/>
    </row>
    <row r="210" spans="1:24" ht="15.6" x14ac:dyDescent="0.3">
      <c r="A210" s="352"/>
      <c r="B210" s="288" t="s">
        <v>73</v>
      </c>
      <c r="C210" s="353"/>
      <c r="D210" s="353"/>
      <c r="E210" s="353"/>
      <c r="F210" s="353"/>
      <c r="G210" s="330"/>
      <c r="H210" s="330"/>
      <c r="I210" s="330"/>
      <c r="J210" s="330"/>
      <c r="K210" s="330"/>
      <c r="L210" s="330"/>
      <c r="M210" s="330"/>
      <c r="N210" s="330"/>
      <c r="O210" s="330"/>
      <c r="P210" s="330"/>
      <c r="Q210" s="330"/>
      <c r="R210" s="330"/>
      <c r="S210" s="330"/>
      <c r="T210" s="321">
        <v>2.6460000000000001E-2</v>
      </c>
      <c r="U210" s="288"/>
      <c r="V210" s="288"/>
      <c r="W210" s="291"/>
      <c r="X210" s="5"/>
    </row>
    <row r="211" spans="1:24" ht="15.6" x14ac:dyDescent="0.3">
      <c r="A211" s="352"/>
      <c r="B211" s="288" t="s">
        <v>219</v>
      </c>
      <c r="C211" s="353"/>
      <c r="D211" s="353"/>
      <c r="E211" s="353"/>
      <c r="F211" s="353"/>
      <c r="G211" s="330"/>
      <c r="H211" s="330"/>
      <c r="I211" s="330"/>
      <c r="J211" s="330"/>
      <c r="K211" s="330"/>
      <c r="L211" s="330"/>
      <c r="M211" s="330"/>
      <c r="N211" s="330"/>
      <c r="O211" s="330"/>
      <c r="P211" s="330"/>
      <c r="Q211" s="330"/>
      <c r="R211" s="330"/>
      <c r="S211" s="330"/>
      <c r="T211" s="321">
        <f>V43</f>
        <v>1.2657040702129686E-2</v>
      </c>
      <c r="U211" s="288"/>
      <c r="V211" s="288"/>
      <c r="W211" s="291"/>
      <c r="X211" s="5"/>
    </row>
    <row r="212" spans="1:24" ht="15.6" x14ac:dyDescent="0.3">
      <c r="A212" s="352"/>
      <c r="B212" s="288" t="s">
        <v>74</v>
      </c>
      <c r="C212" s="353"/>
      <c r="D212" s="353"/>
      <c r="E212" s="353"/>
      <c r="F212" s="353"/>
      <c r="G212" s="330"/>
      <c r="H212" s="330"/>
      <c r="I212" s="330"/>
      <c r="J212" s="330"/>
      <c r="K212" s="330"/>
      <c r="L212" s="330"/>
      <c r="M212" s="330"/>
      <c r="N212" s="330"/>
      <c r="O212" s="330"/>
      <c r="P212" s="330"/>
      <c r="Q212" s="330"/>
      <c r="R212" s="330"/>
      <c r="S212" s="330"/>
      <c r="T212" s="321">
        <f>T210-T211</f>
        <v>1.3802959297870315E-2</v>
      </c>
      <c r="U212" s="288"/>
      <c r="V212" s="288"/>
      <c r="W212" s="291"/>
      <c r="X212" s="5"/>
    </row>
    <row r="213" spans="1:24" ht="15.6" x14ac:dyDescent="0.3">
      <c r="A213" s="352"/>
      <c r="B213" s="288" t="s">
        <v>242</v>
      </c>
      <c r="C213" s="353"/>
      <c r="D213" s="353"/>
      <c r="E213" s="353"/>
      <c r="F213" s="353"/>
      <c r="G213" s="330"/>
      <c r="H213" s="330"/>
      <c r="I213" s="330"/>
      <c r="J213" s="330"/>
      <c r="K213" s="330"/>
      <c r="L213" s="330"/>
      <c r="M213" s="330"/>
      <c r="N213" s="330"/>
      <c r="O213" s="330"/>
      <c r="P213" s="330"/>
      <c r="Q213" s="330"/>
      <c r="R213" s="330"/>
      <c r="S213" s="330"/>
      <c r="T213" s="321">
        <f>V101/N71</f>
        <v>7.4934315458757596E-3</v>
      </c>
      <c r="U213" s="288"/>
      <c r="V213" s="288"/>
      <c r="W213" s="291"/>
      <c r="X213" s="5"/>
    </row>
    <row r="214" spans="1:24" ht="15.6" x14ac:dyDescent="0.3">
      <c r="A214" s="352"/>
      <c r="B214" s="288" t="s">
        <v>208</v>
      </c>
      <c r="C214" s="353"/>
      <c r="D214" s="353"/>
      <c r="E214" s="353"/>
      <c r="F214" s="353"/>
      <c r="G214" s="330"/>
      <c r="H214" s="330"/>
      <c r="I214" s="330"/>
      <c r="J214" s="330"/>
      <c r="K214" s="330"/>
      <c r="L214" s="330"/>
      <c r="M214" s="330"/>
      <c r="N214" s="330"/>
      <c r="O214" s="330"/>
      <c r="P214" s="330"/>
      <c r="Q214" s="330"/>
      <c r="R214" s="330"/>
      <c r="S214" s="330"/>
      <c r="T214" s="354">
        <v>51014</v>
      </c>
      <c r="U214" s="288"/>
      <c r="V214" s="288"/>
      <c r="W214" s="291"/>
      <c r="X214" s="5"/>
    </row>
    <row r="215" spans="1:24" ht="15.6" x14ac:dyDescent="0.3">
      <c r="A215" s="352"/>
      <c r="B215" s="288" t="s">
        <v>209</v>
      </c>
      <c r="C215" s="353"/>
      <c r="D215" s="353"/>
      <c r="E215" s="353"/>
      <c r="F215" s="353"/>
      <c r="G215" s="330"/>
      <c r="H215" s="330"/>
      <c r="I215" s="330"/>
      <c r="J215" s="330"/>
      <c r="K215" s="330"/>
      <c r="L215" s="330"/>
      <c r="M215" s="330"/>
      <c r="N215" s="330"/>
      <c r="O215" s="330"/>
      <c r="P215" s="330"/>
      <c r="Q215" s="330"/>
      <c r="R215" s="330"/>
      <c r="S215" s="330"/>
      <c r="T215" s="354">
        <v>51014</v>
      </c>
      <c r="U215" s="288"/>
      <c r="V215" s="288"/>
      <c r="W215" s="291"/>
      <c r="X215" s="5"/>
    </row>
    <row r="216" spans="1:24" ht="15.6" x14ac:dyDescent="0.3">
      <c r="A216" s="352"/>
      <c r="B216" s="288" t="s">
        <v>210</v>
      </c>
      <c r="C216" s="353"/>
      <c r="D216" s="353"/>
      <c r="E216" s="353"/>
      <c r="F216" s="353"/>
      <c r="G216" s="330"/>
      <c r="H216" s="330"/>
      <c r="I216" s="330"/>
      <c r="J216" s="330"/>
      <c r="K216" s="330"/>
      <c r="L216" s="330"/>
      <c r="M216" s="330"/>
      <c r="N216" s="330"/>
      <c r="O216" s="330"/>
      <c r="P216" s="330"/>
      <c r="Q216" s="330"/>
      <c r="R216" s="330"/>
      <c r="S216" s="330"/>
      <c r="T216" s="354">
        <v>51014</v>
      </c>
      <c r="U216" s="288"/>
      <c r="V216" s="288"/>
      <c r="W216" s="291"/>
      <c r="X216" s="5"/>
    </row>
    <row r="217" spans="1:24" ht="15.6" x14ac:dyDescent="0.3">
      <c r="A217" s="352"/>
      <c r="B217" s="288" t="s">
        <v>75</v>
      </c>
      <c r="C217" s="353"/>
      <c r="D217" s="353"/>
      <c r="E217" s="353"/>
      <c r="F217" s="353"/>
      <c r="G217" s="330"/>
      <c r="H217" s="330"/>
      <c r="I217" s="330"/>
      <c r="J217" s="330"/>
      <c r="K217" s="330"/>
      <c r="L217" s="330"/>
      <c r="M217" s="330"/>
      <c r="N217" s="330"/>
      <c r="O217" s="330"/>
      <c r="P217" s="330"/>
      <c r="Q217" s="330"/>
      <c r="R217" s="330"/>
      <c r="S217" s="330"/>
      <c r="T217" s="327">
        <v>20.66</v>
      </c>
      <c r="U217" s="288" t="s">
        <v>110</v>
      </c>
      <c r="V217" s="288"/>
      <c r="W217" s="291"/>
      <c r="X217" s="5"/>
    </row>
    <row r="218" spans="1:24" ht="15.6" x14ac:dyDescent="0.3">
      <c r="A218" s="352"/>
      <c r="B218" s="288" t="s">
        <v>76</v>
      </c>
      <c r="C218" s="353"/>
      <c r="D218" s="353"/>
      <c r="E218" s="353"/>
      <c r="F218" s="353"/>
      <c r="G218" s="330"/>
      <c r="H218" s="330"/>
      <c r="I218" s="330"/>
      <c r="J218" s="330"/>
      <c r="K218" s="330"/>
      <c r="L218" s="330"/>
      <c r="M218" s="330"/>
      <c r="N218" s="330"/>
      <c r="O218" s="330"/>
      <c r="P218" s="330"/>
      <c r="Q218" s="330"/>
      <c r="R218" s="330"/>
      <c r="S218" s="330"/>
      <c r="T218" s="327">
        <v>15.92</v>
      </c>
      <c r="U218" s="288" t="s">
        <v>110</v>
      </c>
      <c r="V218" s="288"/>
      <c r="W218" s="291"/>
      <c r="X218" s="5"/>
    </row>
    <row r="219" spans="1:24" ht="15.6" x14ac:dyDescent="0.3">
      <c r="A219" s="352"/>
      <c r="B219" s="288" t="s">
        <v>77</v>
      </c>
      <c r="C219" s="353"/>
      <c r="D219" s="353"/>
      <c r="E219" s="353"/>
      <c r="F219" s="353"/>
      <c r="G219" s="330"/>
      <c r="H219" s="330"/>
      <c r="I219" s="330"/>
      <c r="J219" s="330"/>
      <c r="K219" s="330"/>
      <c r="L219" s="330"/>
      <c r="M219" s="330"/>
      <c r="N219" s="330"/>
      <c r="O219" s="330"/>
      <c r="P219" s="330"/>
      <c r="Q219" s="330"/>
      <c r="R219" s="330"/>
      <c r="S219" s="330"/>
      <c r="T219" s="321">
        <f>+P68/N68</f>
        <v>6.7186793729589207E-3</v>
      </c>
      <c r="U219" s="288"/>
      <c r="V219" s="288"/>
      <c r="W219" s="291"/>
      <c r="X219" s="5"/>
    </row>
    <row r="220" spans="1:24" ht="15.6" x14ac:dyDescent="0.3">
      <c r="A220" s="352"/>
      <c r="B220" s="288" t="s">
        <v>78</v>
      </c>
      <c r="C220" s="353"/>
      <c r="D220" s="353"/>
      <c r="E220" s="353"/>
      <c r="F220" s="353"/>
      <c r="G220" s="330"/>
      <c r="H220" s="330"/>
      <c r="I220" s="330"/>
      <c r="J220" s="330"/>
      <c r="K220" s="330"/>
      <c r="L220" s="330"/>
      <c r="M220" s="330"/>
      <c r="N220" s="330"/>
      <c r="O220" s="330"/>
      <c r="P220" s="330"/>
      <c r="Q220" s="330"/>
      <c r="R220" s="330"/>
      <c r="S220" s="330"/>
      <c r="T220" s="321">
        <v>5.7000000000000002E-2</v>
      </c>
      <c r="U220" s="288"/>
      <c r="V220" s="288"/>
      <c r="W220" s="291"/>
      <c r="X220" s="5"/>
    </row>
    <row r="221" spans="1:24" ht="15.6" x14ac:dyDescent="0.3">
      <c r="A221" s="217"/>
      <c r="B221" s="284"/>
      <c r="C221" s="284"/>
      <c r="D221" s="284"/>
      <c r="E221" s="284"/>
      <c r="F221" s="284"/>
      <c r="G221" s="284"/>
      <c r="H221" s="284"/>
      <c r="I221" s="284"/>
      <c r="J221" s="284"/>
      <c r="K221" s="284"/>
      <c r="L221" s="284"/>
      <c r="M221" s="284"/>
      <c r="N221" s="284"/>
      <c r="O221" s="284"/>
      <c r="P221" s="284"/>
      <c r="Q221" s="284"/>
      <c r="R221" s="284"/>
      <c r="S221" s="284"/>
      <c r="T221" s="349"/>
      <c r="U221" s="284"/>
      <c r="V221" s="351"/>
      <c r="W221" s="284"/>
      <c r="X221" s="5"/>
    </row>
    <row r="222" spans="1:24" ht="15.6" x14ac:dyDescent="0.3">
      <c r="A222" s="278"/>
      <c r="B222" s="399" t="s">
        <v>79</v>
      </c>
      <c r="C222" s="400"/>
      <c r="D222" s="400"/>
      <c r="E222" s="400"/>
      <c r="F222" s="406"/>
      <c r="G222" s="400"/>
      <c r="H222" s="400"/>
      <c r="I222" s="400"/>
      <c r="J222" s="400"/>
      <c r="K222" s="400"/>
      <c r="L222" s="400"/>
      <c r="M222" s="400"/>
      <c r="N222" s="400"/>
      <c r="O222" s="400"/>
      <c r="P222" s="400"/>
      <c r="Q222" s="400"/>
      <c r="R222" s="400"/>
      <c r="S222" s="400" t="s">
        <v>102</v>
      </c>
      <c r="T222" s="406" t="s">
        <v>108</v>
      </c>
      <c r="U222" s="263"/>
      <c r="V222" s="263"/>
      <c r="W222" s="263"/>
      <c r="X222" s="5"/>
    </row>
    <row r="223" spans="1:24" ht="15.6" x14ac:dyDescent="0.3">
      <c r="A223" s="218"/>
      <c r="B223" s="231" t="s">
        <v>80</v>
      </c>
      <c r="C223" s="234"/>
      <c r="D223" s="234"/>
      <c r="E223" s="234"/>
      <c r="F223" s="231"/>
      <c r="G223" s="231"/>
      <c r="H223" s="233"/>
      <c r="I223" s="233"/>
      <c r="J223" s="233"/>
      <c r="K223" s="233"/>
      <c r="L223" s="233"/>
      <c r="M223" s="233"/>
      <c r="N223" s="233"/>
      <c r="O223" s="233"/>
      <c r="P223" s="233"/>
      <c r="Q223" s="233"/>
      <c r="R223" s="233"/>
      <c r="S223" s="233">
        <v>3</v>
      </c>
      <c r="T223" s="251">
        <v>301</v>
      </c>
      <c r="U223" s="231"/>
      <c r="V223" s="250"/>
      <c r="W223" s="252"/>
      <c r="X223" s="5"/>
    </row>
    <row r="224" spans="1:24" ht="15.6" x14ac:dyDescent="0.3">
      <c r="A224" s="362"/>
      <c r="B224" s="288" t="s">
        <v>145</v>
      </c>
      <c r="C224" s="337"/>
      <c r="D224" s="337"/>
      <c r="E224" s="337"/>
      <c r="F224" s="288"/>
      <c r="G224" s="288"/>
      <c r="H224" s="296"/>
      <c r="I224" s="296"/>
      <c r="J224" s="296"/>
      <c r="K224" s="296"/>
      <c r="L224" s="296"/>
      <c r="M224" s="296"/>
      <c r="N224" s="296"/>
      <c r="O224" s="296"/>
      <c r="P224" s="296"/>
      <c r="Q224" s="296"/>
      <c r="R224" s="296"/>
      <c r="S224" s="363">
        <f>+R276</f>
        <v>186</v>
      </c>
      <c r="T224" s="364">
        <f>+T276</f>
        <v>25927</v>
      </c>
      <c r="U224" s="288"/>
      <c r="V224" s="365"/>
      <c r="W224" s="366"/>
      <c r="X224" s="5"/>
    </row>
    <row r="225" spans="1:24" ht="15.6" x14ac:dyDescent="0.3">
      <c r="A225" s="362"/>
      <c r="B225" s="288" t="s">
        <v>81</v>
      </c>
      <c r="C225" s="337"/>
      <c r="D225" s="337"/>
      <c r="E225" s="337"/>
      <c r="F225" s="288"/>
      <c r="G225" s="288"/>
      <c r="H225" s="296"/>
      <c r="I225" s="296"/>
      <c r="J225" s="296"/>
      <c r="K225" s="296"/>
      <c r="L225" s="296"/>
      <c r="M225" s="296"/>
      <c r="N225" s="296"/>
      <c r="O225" s="296"/>
      <c r="P225" s="296"/>
      <c r="Q225" s="296"/>
      <c r="R225" s="296"/>
      <c r="S225" s="363">
        <f>+R288</f>
        <v>0</v>
      </c>
      <c r="T225" s="364">
        <f>+T288</f>
        <v>0</v>
      </c>
      <c r="U225" s="288"/>
      <c r="V225" s="365"/>
      <c r="W225" s="366"/>
      <c r="X225" s="5"/>
    </row>
    <row r="226" spans="1:24" ht="15.6" x14ac:dyDescent="0.3">
      <c r="A226" s="362"/>
      <c r="B226" s="313" t="s">
        <v>82</v>
      </c>
      <c r="C226" s="367"/>
      <c r="D226" s="367"/>
      <c r="E226" s="367"/>
      <c r="F226" s="314"/>
      <c r="G226" s="314"/>
      <c r="H226" s="314"/>
      <c r="I226" s="314"/>
      <c r="J226" s="314"/>
      <c r="K226" s="314"/>
      <c r="L226" s="314"/>
      <c r="M226" s="314"/>
      <c r="N226" s="314"/>
      <c r="O226" s="314"/>
      <c r="P226" s="314"/>
      <c r="Q226" s="314"/>
      <c r="R226" s="314"/>
      <c r="S226" s="314"/>
      <c r="T226" s="364">
        <v>0</v>
      </c>
      <c r="U226" s="314"/>
      <c r="V226" s="369"/>
      <c r="W226" s="370"/>
      <c r="X226" s="5"/>
    </row>
    <row r="227" spans="1:24" ht="15.6" x14ac:dyDescent="0.3">
      <c r="A227" s="362"/>
      <c r="B227" s="313" t="s">
        <v>243</v>
      </c>
      <c r="C227" s="367"/>
      <c r="D227" s="367"/>
      <c r="E227" s="367"/>
      <c r="F227" s="314"/>
      <c r="G227" s="314"/>
      <c r="H227" s="314"/>
      <c r="I227" s="314"/>
      <c r="J227" s="314"/>
      <c r="K227" s="314"/>
      <c r="L227" s="314"/>
      <c r="M227" s="314"/>
      <c r="N227" s="314"/>
      <c r="O227" s="314"/>
      <c r="P227" s="314"/>
      <c r="Q227" s="314"/>
      <c r="R227" s="314"/>
      <c r="S227" s="314"/>
      <c r="T227" s="364">
        <f>+N81</f>
        <v>0</v>
      </c>
      <c r="U227" s="314"/>
      <c r="V227" s="369"/>
      <c r="W227" s="370"/>
      <c r="X227" s="5"/>
    </row>
    <row r="228" spans="1:24" ht="15.6" x14ac:dyDescent="0.3">
      <c r="A228" s="371"/>
      <c r="B228" s="313" t="s">
        <v>83</v>
      </c>
      <c r="C228" s="372"/>
      <c r="D228" s="372"/>
      <c r="E228" s="372"/>
      <c r="F228" s="372"/>
      <c r="G228" s="314"/>
      <c r="H228" s="314"/>
      <c r="I228" s="314"/>
      <c r="J228" s="314"/>
      <c r="K228" s="314"/>
      <c r="L228" s="314"/>
      <c r="M228" s="314"/>
      <c r="N228" s="314"/>
      <c r="O228" s="314"/>
      <c r="P228" s="314"/>
      <c r="Q228" s="314"/>
      <c r="R228" s="314"/>
      <c r="S228" s="314"/>
      <c r="T228" s="368"/>
      <c r="U228" s="314"/>
      <c r="V228" s="369"/>
      <c r="W228" s="373"/>
      <c r="X228" s="5"/>
    </row>
    <row r="229" spans="1:24" ht="15.6" x14ac:dyDescent="0.3">
      <c r="A229" s="371"/>
      <c r="B229" s="288" t="s">
        <v>84</v>
      </c>
      <c r="C229" s="288"/>
      <c r="D229" s="288"/>
      <c r="E229" s="288"/>
      <c r="F229" s="288"/>
      <c r="G229" s="288"/>
      <c r="H229" s="288"/>
      <c r="I229" s="288"/>
      <c r="J229" s="288"/>
      <c r="K229" s="288"/>
      <c r="L229" s="288"/>
      <c r="M229" s="288"/>
      <c r="N229" s="288"/>
      <c r="O229" s="288"/>
      <c r="P229" s="288"/>
      <c r="Q229" s="288"/>
      <c r="R229" s="288"/>
      <c r="S229" s="296"/>
      <c r="T229" s="364">
        <f>V167</f>
        <v>203</v>
      </c>
      <c r="U229" s="288"/>
      <c r="V229" s="365"/>
      <c r="W229" s="378"/>
      <c r="X229" s="5"/>
    </row>
    <row r="230" spans="1:24" ht="15.6" x14ac:dyDescent="0.3">
      <c r="A230" s="362"/>
      <c r="B230" s="288" t="s">
        <v>85</v>
      </c>
      <c r="C230" s="337"/>
      <c r="D230" s="337"/>
      <c r="E230" s="337"/>
      <c r="F230" s="337"/>
      <c r="G230" s="288"/>
      <c r="H230" s="288"/>
      <c r="I230" s="288"/>
      <c r="J230" s="288"/>
      <c r="K230" s="288"/>
      <c r="L230" s="288"/>
      <c r="M230" s="288"/>
      <c r="N230" s="288"/>
      <c r="O230" s="288"/>
      <c r="P230" s="288"/>
      <c r="Q230" s="288"/>
      <c r="R230" s="288"/>
      <c r="S230" s="296"/>
      <c r="T230" s="364">
        <f>'May 12'!T230+T229</f>
        <v>3756</v>
      </c>
      <c r="U230" s="288"/>
      <c r="V230" s="365"/>
      <c r="W230" s="378"/>
      <c r="X230" s="5"/>
    </row>
    <row r="231" spans="1:24" ht="15.6" x14ac:dyDescent="0.3">
      <c r="A231" s="371"/>
      <c r="B231" s="313" t="s">
        <v>295</v>
      </c>
      <c r="C231" s="372"/>
      <c r="D231" s="372"/>
      <c r="E231" s="372"/>
      <c r="F231" s="372"/>
      <c r="G231" s="314"/>
      <c r="H231" s="314"/>
      <c r="I231" s="314"/>
      <c r="J231" s="314"/>
      <c r="K231" s="314"/>
      <c r="L231" s="314"/>
      <c r="M231" s="314"/>
      <c r="N231" s="314"/>
      <c r="O231" s="314"/>
      <c r="P231" s="314"/>
      <c r="Q231" s="314"/>
      <c r="R231" s="314"/>
      <c r="S231" s="316"/>
      <c r="T231" s="368"/>
      <c r="U231" s="314"/>
      <c r="V231" s="369"/>
      <c r="W231" s="373"/>
      <c r="X231" s="5"/>
    </row>
    <row r="232" spans="1:24" ht="15.6" x14ac:dyDescent="0.3">
      <c r="A232" s="371"/>
      <c r="B232" s="288" t="s">
        <v>291</v>
      </c>
      <c r="C232" s="288"/>
      <c r="D232" s="288"/>
      <c r="E232" s="288"/>
      <c r="F232" s="288"/>
      <c r="G232" s="288"/>
      <c r="H232" s="288"/>
      <c r="I232" s="288"/>
      <c r="J232" s="288"/>
      <c r="K232" s="288"/>
      <c r="L232" s="288"/>
      <c r="M232" s="288"/>
      <c r="N232" s="288"/>
      <c r="O232" s="288"/>
      <c r="P232" s="288"/>
      <c r="Q232" s="288"/>
      <c r="R232" s="288"/>
      <c r="S232" s="296">
        <v>0</v>
      </c>
      <c r="T232" s="364">
        <v>0</v>
      </c>
      <c r="U232" s="288"/>
      <c r="V232" s="365"/>
      <c r="W232" s="378"/>
      <c r="X232" s="5"/>
    </row>
    <row r="233" spans="1:24" ht="15.6" x14ac:dyDescent="0.3">
      <c r="A233" s="362"/>
      <c r="B233" s="288" t="s">
        <v>86</v>
      </c>
      <c r="C233" s="325"/>
      <c r="D233" s="325"/>
      <c r="E233" s="325"/>
      <c r="F233" s="379"/>
      <c r="G233" s="288"/>
      <c r="H233" s="288"/>
      <c r="I233" s="288"/>
      <c r="J233" s="288"/>
      <c r="K233" s="288"/>
      <c r="L233" s="288"/>
      <c r="M233" s="288"/>
      <c r="N233" s="288"/>
      <c r="O233" s="288"/>
      <c r="P233" s="288"/>
      <c r="Q233" s="288"/>
      <c r="R233" s="288"/>
      <c r="S233" s="288"/>
      <c r="T233" s="380">
        <v>0</v>
      </c>
      <c r="U233" s="288"/>
      <c r="V233" s="365"/>
      <c r="W233" s="378"/>
      <c r="X233" s="5"/>
    </row>
    <row r="234" spans="1:24" ht="15.6" x14ac:dyDescent="0.3">
      <c r="A234" s="362"/>
      <c r="B234" s="288" t="s">
        <v>87</v>
      </c>
      <c r="C234" s="325"/>
      <c r="D234" s="325"/>
      <c r="E234" s="325"/>
      <c r="F234" s="379"/>
      <c r="G234" s="288"/>
      <c r="H234" s="288"/>
      <c r="I234" s="288"/>
      <c r="J234" s="288"/>
      <c r="K234" s="288"/>
      <c r="L234" s="288"/>
      <c r="M234" s="288"/>
      <c r="N234" s="288"/>
      <c r="O234" s="288"/>
      <c r="P234" s="288"/>
      <c r="Q234" s="288"/>
      <c r="R234" s="288"/>
      <c r="S234" s="288"/>
      <c r="T234" s="380">
        <v>0</v>
      </c>
      <c r="U234" s="288"/>
      <c r="V234" s="365"/>
      <c r="W234" s="378"/>
      <c r="X234" s="5"/>
    </row>
    <row r="235" spans="1:24" ht="15.6" x14ac:dyDescent="0.3">
      <c r="A235" s="362"/>
      <c r="B235" s="313" t="s">
        <v>217</v>
      </c>
      <c r="C235" s="381"/>
      <c r="D235" s="381"/>
      <c r="E235" s="381"/>
      <c r="F235" s="382"/>
      <c r="G235" s="314"/>
      <c r="H235" s="314"/>
      <c r="I235" s="314"/>
      <c r="J235" s="314"/>
      <c r="K235" s="314"/>
      <c r="L235" s="314"/>
      <c r="M235" s="314"/>
      <c r="N235" s="314"/>
      <c r="O235" s="314"/>
      <c r="P235" s="314"/>
      <c r="Q235" s="314"/>
      <c r="R235" s="314"/>
      <c r="S235" s="314"/>
      <c r="T235" s="383"/>
      <c r="U235" s="314"/>
      <c r="V235" s="369"/>
      <c r="W235" s="373"/>
      <c r="X235" s="5"/>
    </row>
    <row r="236" spans="1:24" ht="15.6" x14ac:dyDescent="0.3">
      <c r="A236" s="362"/>
      <c r="B236" s="288" t="s">
        <v>291</v>
      </c>
      <c r="C236" s="381"/>
      <c r="D236" s="381"/>
      <c r="E236" s="381"/>
      <c r="F236" s="382"/>
      <c r="G236" s="314"/>
      <c r="H236" s="314"/>
      <c r="I236" s="314"/>
      <c r="J236" s="314"/>
      <c r="K236" s="314"/>
      <c r="L236" s="314"/>
      <c r="M236" s="314"/>
      <c r="N236" s="314"/>
      <c r="O236" s="314"/>
      <c r="P236" s="314"/>
      <c r="Q236" s="314"/>
      <c r="R236" s="314"/>
      <c r="S236" s="296">
        <v>7</v>
      </c>
      <c r="T236" s="364">
        <v>1203</v>
      </c>
      <c r="U236" s="314"/>
      <c r="V236" s="369"/>
      <c r="W236" s="373"/>
      <c r="X236" s="5"/>
    </row>
    <row r="237" spans="1:24" ht="15.6" x14ac:dyDescent="0.3">
      <c r="A237" s="362"/>
      <c r="B237" s="288" t="s">
        <v>218</v>
      </c>
      <c r="C237" s="381"/>
      <c r="D237" s="381"/>
      <c r="E237" s="381"/>
      <c r="F237" s="382"/>
      <c r="G237" s="314"/>
      <c r="H237" s="314"/>
      <c r="I237" s="314"/>
      <c r="J237" s="314"/>
      <c r="K237" s="314"/>
      <c r="L237" s="314"/>
      <c r="M237" s="314"/>
      <c r="N237" s="314"/>
      <c r="O237" s="314"/>
      <c r="P237" s="314"/>
      <c r="Q237" s="314"/>
      <c r="R237" s="314"/>
      <c r="S237" s="288"/>
      <c r="T237" s="380">
        <v>9.94</v>
      </c>
      <c r="U237" s="314"/>
      <c r="V237" s="369"/>
      <c r="W237" s="373"/>
      <c r="X237" s="5"/>
    </row>
    <row r="238" spans="1:24" ht="15.6" x14ac:dyDescent="0.3">
      <c r="A238" s="362"/>
      <c r="B238" s="372"/>
      <c r="C238" s="381"/>
      <c r="D238" s="381"/>
      <c r="E238" s="381"/>
      <c r="F238" s="382"/>
      <c r="G238" s="314"/>
      <c r="H238" s="314"/>
      <c r="I238" s="314"/>
      <c r="J238" s="314"/>
      <c r="K238" s="314"/>
      <c r="L238" s="314"/>
      <c r="M238" s="314"/>
      <c r="N238" s="314"/>
      <c r="O238" s="314"/>
      <c r="P238" s="314"/>
      <c r="Q238" s="314"/>
      <c r="R238" s="314"/>
      <c r="S238" s="314"/>
      <c r="T238" s="383"/>
      <c r="U238" s="314"/>
      <c r="V238" s="369"/>
      <c r="W238" s="373"/>
      <c r="X238" s="5"/>
    </row>
    <row r="239" spans="1:24" ht="15.6" x14ac:dyDescent="0.3">
      <c r="A239" s="362"/>
      <c r="B239" s="372"/>
      <c r="C239" s="381"/>
      <c r="D239" s="381"/>
      <c r="E239" s="381"/>
      <c r="F239" s="382"/>
      <c r="G239" s="314"/>
      <c r="H239" s="314"/>
      <c r="I239" s="314"/>
      <c r="J239" s="314"/>
      <c r="K239" s="314"/>
      <c r="L239" s="314"/>
      <c r="M239" s="314"/>
      <c r="N239" s="314"/>
      <c r="O239" s="314"/>
      <c r="P239" s="314"/>
      <c r="Q239" s="314"/>
      <c r="R239" s="314"/>
      <c r="S239" s="314"/>
      <c r="T239" s="383"/>
      <c r="U239" s="314"/>
      <c r="V239" s="369"/>
      <c r="W239" s="373"/>
      <c r="X239" s="5"/>
    </row>
    <row r="240" spans="1:24" ht="17.399999999999999" x14ac:dyDescent="0.3">
      <c r="A240" s="362"/>
      <c r="B240" s="384" t="s">
        <v>168</v>
      </c>
      <c r="C240" s="381"/>
      <c r="D240" s="381"/>
      <c r="E240" s="381"/>
      <c r="F240" s="382"/>
      <c r="G240" s="314"/>
      <c r="H240" s="314"/>
      <c r="I240" s="314"/>
      <c r="J240" s="314"/>
      <c r="K240" s="314"/>
      <c r="L240" s="314"/>
      <c r="M240" s="314"/>
      <c r="N240" s="314"/>
      <c r="O240" s="314"/>
      <c r="P240" s="385" t="s">
        <v>167</v>
      </c>
      <c r="Q240" s="314"/>
      <c r="R240" s="314"/>
      <c r="S240" s="314"/>
      <c r="T240" s="383"/>
      <c r="U240" s="314"/>
      <c r="V240" s="369"/>
      <c r="W240" s="373"/>
      <c r="X240" s="5"/>
    </row>
    <row r="241" spans="1:25" ht="15.6" x14ac:dyDescent="0.3">
      <c r="A241" s="355"/>
      <c r="B241" s="356"/>
      <c r="C241" s="357"/>
      <c r="D241" s="357"/>
      <c r="E241" s="357"/>
      <c r="F241" s="358"/>
      <c r="G241" s="198"/>
      <c r="H241" s="198"/>
      <c r="I241" s="198"/>
      <c r="J241" s="198"/>
      <c r="K241" s="198"/>
      <c r="L241" s="198"/>
      <c r="M241" s="198"/>
      <c r="N241" s="198"/>
      <c r="O241" s="198"/>
      <c r="P241" s="198"/>
      <c r="Q241" s="198"/>
      <c r="R241" s="198"/>
      <c r="S241" s="198"/>
      <c r="T241" s="359"/>
      <c r="U241" s="198"/>
      <c r="V241" s="360"/>
      <c r="W241" s="361"/>
      <c r="X241" s="5"/>
    </row>
    <row r="242" spans="1:25" ht="15.6" x14ac:dyDescent="0.3">
      <c r="A242" s="262"/>
      <c r="B242" s="399" t="s">
        <v>308</v>
      </c>
      <c r="C242" s="400"/>
      <c r="D242" s="400"/>
      <c r="E242" s="400"/>
      <c r="F242" s="406"/>
      <c r="G242" s="400"/>
      <c r="H242" s="400"/>
      <c r="I242" s="400"/>
      <c r="J242" s="400"/>
      <c r="K242" s="400"/>
      <c r="L242" s="400"/>
      <c r="M242" s="400"/>
      <c r="N242" s="400"/>
      <c r="O242" s="400"/>
      <c r="P242" s="400"/>
      <c r="Q242" s="400"/>
      <c r="R242" s="406" t="s">
        <v>102</v>
      </c>
      <c r="S242" s="400" t="s">
        <v>103</v>
      </c>
      <c r="T242" s="406" t="s">
        <v>109</v>
      </c>
      <c r="U242" s="400" t="s">
        <v>103</v>
      </c>
      <c r="V242" s="263"/>
      <c r="W242" s="399"/>
      <c r="X242" s="5"/>
    </row>
    <row r="243" spans="1:25" ht="15.6" x14ac:dyDescent="0.3">
      <c r="A243" s="197"/>
      <c r="B243" s="234" t="s">
        <v>88</v>
      </c>
      <c r="C243" s="253"/>
      <c r="D243" s="253"/>
      <c r="E243" s="253"/>
      <c r="F243" s="231"/>
      <c r="G243" s="253"/>
      <c r="H243" s="253"/>
      <c r="I243" s="253"/>
      <c r="J243" s="253"/>
      <c r="K243" s="253"/>
      <c r="L243" s="253"/>
      <c r="M243" s="253"/>
      <c r="N243" s="253"/>
      <c r="O243" s="253"/>
      <c r="P243" s="253"/>
      <c r="Q243" s="253"/>
      <c r="R243" s="234">
        <f t="shared" ref="R243:R250" si="1">+R255+R267+R279</f>
        <v>7863</v>
      </c>
      <c r="S243" s="254">
        <f t="shared" ref="S243:S250" si="2">R243/$R$252</f>
        <v>0.9894299735749339</v>
      </c>
      <c r="T243" s="241">
        <f t="shared" ref="T243:T250" si="3">+T255+T267+T279</f>
        <v>1099172</v>
      </c>
      <c r="U243" s="254">
        <f t="shared" ref="U243:U250" si="4">T243/$T$252</f>
        <v>0.98655568230877144</v>
      </c>
      <c r="V243" s="250"/>
      <c r="W243" s="232"/>
      <c r="X243" s="5"/>
    </row>
    <row r="244" spans="1:25" ht="15.6" x14ac:dyDescent="0.3">
      <c r="A244" s="287"/>
      <c r="B244" s="337" t="s">
        <v>89</v>
      </c>
      <c r="C244" s="389"/>
      <c r="D244" s="389"/>
      <c r="E244" s="389"/>
      <c r="F244" s="288"/>
      <c r="G244" s="390"/>
      <c r="H244" s="389"/>
      <c r="I244" s="389"/>
      <c r="J244" s="389"/>
      <c r="K244" s="389"/>
      <c r="L244" s="389"/>
      <c r="M244" s="389"/>
      <c r="N244" s="389"/>
      <c r="O244" s="389"/>
      <c r="P244" s="389"/>
      <c r="Q244" s="389"/>
      <c r="R244" s="337">
        <f t="shared" si="1"/>
        <v>40</v>
      </c>
      <c r="S244" s="390">
        <f t="shared" si="2"/>
        <v>5.0333459166981252E-3</v>
      </c>
      <c r="T244" s="338">
        <f t="shared" si="3"/>
        <v>9160</v>
      </c>
      <c r="U244" s="390">
        <f t="shared" si="4"/>
        <v>8.221506779601687E-3</v>
      </c>
      <c r="V244" s="365"/>
      <c r="W244" s="378"/>
      <c r="X244" s="5"/>
      <c r="Y244" s="109"/>
    </row>
    <row r="245" spans="1:25" ht="15.6" x14ac:dyDescent="0.3">
      <c r="A245" s="287"/>
      <c r="B245" s="337" t="s">
        <v>90</v>
      </c>
      <c r="C245" s="389"/>
      <c r="D245" s="389"/>
      <c r="E245" s="389"/>
      <c r="F245" s="288"/>
      <c r="G245" s="390"/>
      <c r="H245" s="389"/>
      <c r="I245" s="389"/>
      <c r="J245" s="389"/>
      <c r="K245" s="389"/>
      <c r="L245" s="389"/>
      <c r="M245" s="389"/>
      <c r="N245" s="389"/>
      <c r="O245" s="389"/>
      <c r="P245" s="389"/>
      <c r="Q245" s="389"/>
      <c r="R245" s="337">
        <f t="shared" si="1"/>
        <v>8</v>
      </c>
      <c r="S245" s="390">
        <f t="shared" si="2"/>
        <v>1.0066691833396249E-3</v>
      </c>
      <c r="T245" s="338">
        <f t="shared" si="3"/>
        <v>813</v>
      </c>
      <c r="U245" s="390">
        <f t="shared" si="4"/>
        <v>7.2970360391006242E-4</v>
      </c>
      <c r="V245" s="365"/>
      <c r="W245" s="378"/>
      <c r="X245" s="5"/>
    </row>
    <row r="246" spans="1:25" ht="15.6" x14ac:dyDescent="0.3">
      <c r="A246" s="287"/>
      <c r="B246" s="337" t="s">
        <v>156</v>
      </c>
      <c r="C246" s="389"/>
      <c r="D246" s="389"/>
      <c r="E246" s="389"/>
      <c r="F246" s="288"/>
      <c r="G246" s="390"/>
      <c r="H246" s="389"/>
      <c r="I246" s="389"/>
      <c r="J246" s="389"/>
      <c r="K246" s="389"/>
      <c r="L246" s="389"/>
      <c r="M246" s="389"/>
      <c r="N246" s="389"/>
      <c r="O246" s="389"/>
      <c r="P246" s="389"/>
      <c r="Q246" s="389"/>
      <c r="R246" s="337">
        <f t="shared" si="1"/>
        <v>6</v>
      </c>
      <c r="S246" s="390">
        <f t="shared" si="2"/>
        <v>7.5500188750471874E-4</v>
      </c>
      <c r="T246" s="338">
        <f t="shared" si="3"/>
        <v>543</v>
      </c>
      <c r="U246" s="390">
        <f t="shared" si="4"/>
        <v>4.8736661368162845E-4</v>
      </c>
      <c r="V246" s="365"/>
      <c r="W246" s="378"/>
      <c r="X246" s="5"/>
      <c r="Y246" s="109"/>
    </row>
    <row r="247" spans="1:25" ht="15.6" x14ac:dyDescent="0.3">
      <c r="A247" s="287"/>
      <c r="B247" s="337" t="s">
        <v>157</v>
      </c>
      <c r="C247" s="389"/>
      <c r="D247" s="389"/>
      <c r="E247" s="389"/>
      <c r="F247" s="288"/>
      <c r="G247" s="390"/>
      <c r="H247" s="389"/>
      <c r="I247" s="389"/>
      <c r="J247" s="389"/>
      <c r="K247" s="389"/>
      <c r="L247" s="389"/>
      <c r="M247" s="389"/>
      <c r="N247" s="389"/>
      <c r="O247" s="389"/>
      <c r="P247" s="389"/>
      <c r="Q247" s="389"/>
      <c r="R247" s="337">
        <f t="shared" si="1"/>
        <v>2</v>
      </c>
      <c r="S247" s="390">
        <f t="shared" si="2"/>
        <v>2.5166729583490623E-4</v>
      </c>
      <c r="T247" s="338">
        <f t="shared" si="3"/>
        <v>318</v>
      </c>
      <c r="U247" s="390">
        <f t="shared" si="4"/>
        <v>2.8541912182460008E-4</v>
      </c>
      <c r="V247" s="365"/>
      <c r="W247" s="378"/>
      <c r="X247" s="5"/>
    </row>
    <row r="248" spans="1:25" ht="15.6" x14ac:dyDescent="0.3">
      <c r="A248" s="287"/>
      <c r="B248" s="337" t="s">
        <v>158</v>
      </c>
      <c r="C248" s="389"/>
      <c r="D248" s="389"/>
      <c r="E248" s="389"/>
      <c r="F248" s="288"/>
      <c r="G248" s="390"/>
      <c r="H248" s="389"/>
      <c r="I248" s="389"/>
      <c r="J248" s="389"/>
      <c r="K248" s="389"/>
      <c r="L248" s="389"/>
      <c r="M248" s="389"/>
      <c r="N248" s="389"/>
      <c r="O248" s="389"/>
      <c r="P248" s="389"/>
      <c r="Q248" s="389"/>
      <c r="R248" s="337">
        <f t="shared" si="1"/>
        <v>0</v>
      </c>
      <c r="S248" s="390">
        <f t="shared" si="2"/>
        <v>0</v>
      </c>
      <c r="T248" s="338">
        <f t="shared" si="3"/>
        <v>0</v>
      </c>
      <c r="U248" s="390">
        <f t="shared" si="4"/>
        <v>0</v>
      </c>
      <c r="V248" s="365"/>
      <c r="W248" s="378"/>
      <c r="X248" s="5"/>
      <c r="Y248" s="109"/>
    </row>
    <row r="249" spans="1:25" ht="15.6" x14ac:dyDescent="0.3">
      <c r="A249" s="287"/>
      <c r="B249" s="337" t="s">
        <v>159</v>
      </c>
      <c r="C249" s="389"/>
      <c r="D249" s="389"/>
      <c r="E249" s="389"/>
      <c r="F249" s="288"/>
      <c r="G249" s="390"/>
      <c r="H249" s="389"/>
      <c r="I249" s="389"/>
      <c r="J249" s="389"/>
      <c r="K249" s="389"/>
      <c r="L249" s="389"/>
      <c r="M249" s="389"/>
      <c r="N249" s="389"/>
      <c r="O249" s="389"/>
      <c r="P249" s="389"/>
      <c r="Q249" s="389"/>
      <c r="R249" s="337">
        <f t="shared" si="1"/>
        <v>8</v>
      </c>
      <c r="S249" s="390">
        <f t="shared" si="2"/>
        <v>1.0066691833396249E-3</v>
      </c>
      <c r="T249" s="338">
        <f t="shared" si="3"/>
        <v>1246</v>
      </c>
      <c r="U249" s="390">
        <f t="shared" si="4"/>
        <v>1.1183403326838104E-3</v>
      </c>
      <c r="V249" s="365"/>
      <c r="W249" s="378"/>
      <c r="X249" s="5"/>
    </row>
    <row r="250" spans="1:25" ht="15.6" x14ac:dyDescent="0.3">
      <c r="A250" s="287"/>
      <c r="B250" s="337" t="s">
        <v>160</v>
      </c>
      <c r="C250" s="389"/>
      <c r="D250" s="389"/>
      <c r="E250" s="389"/>
      <c r="F250" s="288"/>
      <c r="G250" s="390"/>
      <c r="H250" s="389"/>
      <c r="I250" s="389"/>
      <c r="J250" s="389"/>
      <c r="K250" s="389"/>
      <c r="L250" s="389"/>
      <c r="M250" s="389"/>
      <c r="N250" s="389"/>
      <c r="O250" s="389"/>
      <c r="P250" s="389"/>
      <c r="Q250" s="389"/>
      <c r="R250" s="339">
        <f t="shared" si="1"/>
        <v>20</v>
      </c>
      <c r="S250" s="393">
        <f t="shared" si="2"/>
        <v>2.5166729583490626E-3</v>
      </c>
      <c r="T250" s="394">
        <f t="shared" si="3"/>
        <v>2899</v>
      </c>
      <c r="U250" s="393">
        <f t="shared" si="4"/>
        <v>2.6019812395267788E-3</v>
      </c>
      <c r="V250" s="365"/>
      <c r="W250" s="378"/>
      <c r="X250" s="5"/>
      <c r="Y250" s="109"/>
    </row>
    <row r="251" spans="1:25" ht="15.6" x14ac:dyDescent="0.3">
      <c r="A251" s="287"/>
      <c r="B251" s="337"/>
      <c r="C251" s="389"/>
      <c r="D251" s="389"/>
      <c r="E251" s="389"/>
      <c r="F251" s="288"/>
      <c r="G251" s="390"/>
      <c r="H251" s="389"/>
      <c r="I251" s="389"/>
      <c r="J251" s="389"/>
      <c r="K251" s="389"/>
      <c r="L251" s="389"/>
      <c r="M251" s="389"/>
      <c r="N251" s="389"/>
      <c r="O251" s="389"/>
      <c r="P251" s="389"/>
      <c r="Q251" s="389"/>
      <c r="R251" s="337"/>
      <c r="S251" s="390"/>
      <c r="T251" s="338"/>
      <c r="U251" s="390"/>
      <c r="V251" s="365"/>
      <c r="W251" s="378"/>
      <c r="X251" s="5"/>
    </row>
    <row r="252" spans="1:25" ht="15.6" x14ac:dyDescent="0.3">
      <c r="A252" s="287"/>
      <c r="B252" s="288"/>
      <c r="C252" s="288"/>
      <c r="D252" s="288"/>
      <c r="E252" s="288"/>
      <c r="F252" s="288"/>
      <c r="G252" s="288"/>
      <c r="H252" s="391"/>
      <c r="I252" s="391"/>
      <c r="J252" s="391"/>
      <c r="K252" s="391"/>
      <c r="L252" s="391"/>
      <c r="M252" s="391"/>
      <c r="N252" s="391"/>
      <c r="O252" s="391"/>
      <c r="P252" s="391"/>
      <c r="Q252" s="391"/>
      <c r="R252" s="337">
        <f>SUM(R243:R251)</f>
        <v>7947</v>
      </c>
      <c r="S252" s="390">
        <f>SUM(S243:S251)</f>
        <v>0.99999999999999989</v>
      </c>
      <c r="T252" s="338">
        <f>SUM(T243:T251)</f>
        <v>1114151</v>
      </c>
      <c r="U252" s="390">
        <f>SUM(U243:U251)</f>
        <v>1</v>
      </c>
      <c r="V252" s="288"/>
      <c r="W252" s="291"/>
      <c r="X252" s="5"/>
    </row>
    <row r="253" spans="1:25" ht="15.6" x14ac:dyDescent="0.3">
      <c r="A253" s="183"/>
      <c r="B253" s="198"/>
      <c r="C253" s="198"/>
      <c r="D253" s="198"/>
      <c r="E253" s="198"/>
      <c r="F253" s="198"/>
      <c r="G253" s="198"/>
      <c r="H253" s="386"/>
      <c r="I253" s="386"/>
      <c r="J253" s="386"/>
      <c r="K253" s="386"/>
      <c r="L253" s="386"/>
      <c r="M253" s="386"/>
      <c r="N253" s="386"/>
      <c r="O253" s="386"/>
      <c r="P253" s="386"/>
      <c r="Q253" s="386"/>
      <c r="R253" s="335"/>
      <c r="S253" s="387"/>
      <c r="T253" s="388"/>
      <c r="U253" s="387"/>
      <c r="V253" s="198"/>
      <c r="W253" s="198"/>
      <c r="X253" s="5"/>
    </row>
    <row r="254" spans="1:25" ht="15.6" x14ac:dyDescent="0.3">
      <c r="A254" s="262"/>
      <c r="B254" s="399" t="s">
        <v>162</v>
      </c>
      <c r="C254" s="400"/>
      <c r="D254" s="400"/>
      <c r="E254" s="400"/>
      <c r="F254" s="406"/>
      <c r="G254" s="400"/>
      <c r="H254" s="400"/>
      <c r="I254" s="400"/>
      <c r="J254" s="400"/>
      <c r="K254" s="400"/>
      <c r="L254" s="400"/>
      <c r="M254" s="400"/>
      <c r="N254" s="400"/>
      <c r="O254" s="400"/>
      <c r="P254" s="400"/>
      <c r="Q254" s="400"/>
      <c r="R254" s="406" t="s">
        <v>102</v>
      </c>
      <c r="S254" s="400" t="s">
        <v>103</v>
      </c>
      <c r="T254" s="406" t="s">
        <v>109</v>
      </c>
      <c r="U254" s="400" t="s">
        <v>103</v>
      </c>
      <c r="V254" s="263"/>
      <c r="W254" s="399"/>
      <c r="X254" s="5"/>
    </row>
    <row r="255" spans="1:25" ht="15.6" x14ac:dyDescent="0.3">
      <c r="A255" s="197"/>
      <c r="B255" s="234" t="s">
        <v>88</v>
      </c>
      <c r="C255" s="253"/>
      <c r="D255" s="253"/>
      <c r="E255" s="253"/>
      <c r="F255" s="231"/>
      <c r="G255" s="253"/>
      <c r="H255" s="253"/>
      <c r="I255" s="253"/>
      <c r="J255" s="253"/>
      <c r="K255" s="253"/>
      <c r="L255" s="253"/>
      <c r="M255" s="253"/>
      <c r="N255" s="253"/>
      <c r="O255" s="253"/>
      <c r="P255" s="253"/>
      <c r="Q255" s="253"/>
      <c r="R255" s="234">
        <v>7717</v>
      </c>
      <c r="S255" s="254">
        <f t="shared" ref="S255:S262" si="5">R255/$R$264</f>
        <v>0.99433062749645662</v>
      </c>
      <c r="T255" s="241">
        <v>1078795</v>
      </c>
      <c r="U255" s="254">
        <f t="shared" ref="U255:U262" si="6">T255/$T$264</f>
        <v>0.99133542358926108</v>
      </c>
      <c r="V255" s="250"/>
      <c r="W255" s="232"/>
      <c r="X255" s="5"/>
    </row>
    <row r="256" spans="1:25" ht="15.6" x14ac:dyDescent="0.3">
      <c r="A256" s="287"/>
      <c r="B256" s="337" t="s">
        <v>89</v>
      </c>
      <c r="C256" s="389"/>
      <c r="D256" s="389"/>
      <c r="E256" s="389"/>
      <c r="F256" s="288"/>
      <c r="G256" s="390"/>
      <c r="H256" s="389"/>
      <c r="I256" s="389"/>
      <c r="J256" s="389"/>
      <c r="K256" s="389"/>
      <c r="L256" s="389"/>
      <c r="M256" s="389"/>
      <c r="N256" s="389"/>
      <c r="O256" s="389"/>
      <c r="P256" s="389"/>
      <c r="Q256" s="389"/>
      <c r="R256" s="337">
        <v>34</v>
      </c>
      <c r="S256" s="390">
        <f t="shared" si="5"/>
        <v>4.3808787527380494E-3</v>
      </c>
      <c r="T256" s="338">
        <v>8495</v>
      </c>
      <c r="U256" s="390">
        <f t="shared" si="6"/>
        <v>7.8062972329226337E-3</v>
      </c>
      <c r="V256" s="365"/>
      <c r="W256" s="378"/>
      <c r="X256" s="5"/>
      <c r="Y256" s="109"/>
    </row>
    <row r="257" spans="1:25" ht="15.6" x14ac:dyDescent="0.3">
      <c r="A257" s="287"/>
      <c r="B257" s="337" t="s">
        <v>90</v>
      </c>
      <c r="C257" s="389"/>
      <c r="D257" s="389"/>
      <c r="E257" s="389"/>
      <c r="F257" s="288"/>
      <c r="G257" s="390"/>
      <c r="H257" s="389"/>
      <c r="I257" s="389"/>
      <c r="J257" s="389"/>
      <c r="K257" s="389"/>
      <c r="L257" s="389"/>
      <c r="M257" s="389"/>
      <c r="N257" s="389"/>
      <c r="O257" s="389"/>
      <c r="P257" s="389"/>
      <c r="Q257" s="389"/>
      <c r="R257" s="337">
        <v>3</v>
      </c>
      <c r="S257" s="390">
        <f t="shared" si="5"/>
        <v>3.8654812524159255E-4</v>
      </c>
      <c r="T257" s="338">
        <v>220</v>
      </c>
      <c r="U257" s="390">
        <f t="shared" si="6"/>
        <v>2.0216426029935015E-4</v>
      </c>
      <c r="V257" s="365"/>
      <c r="W257" s="378"/>
      <c r="X257" s="5"/>
    </row>
    <row r="258" spans="1:25" ht="15.6" x14ac:dyDescent="0.3">
      <c r="A258" s="287"/>
      <c r="B258" s="337" t="s">
        <v>156</v>
      </c>
      <c r="C258" s="389"/>
      <c r="D258" s="389"/>
      <c r="E258" s="389"/>
      <c r="F258" s="288"/>
      <c r="G258" s="390"/>
      <c r="H258" s="389"/>
      <c r="I258" s="389"/>
      <c r="J258" s="389"/>
      <c r="K258" s="389"/>
      <c r="L258" s="389"/>
      <c r="M258" s="389"/>
      <c r="N258" s="389"/>
      <c r="O258" s="389"/>
      <c r="P258" s="389"/>
      <c r="Q258" s="389"/>
      <c r="R258" s="337">
        <v>4</v>
      </c>
      <c r="S258" s="390">
        <f t="shared" si="5"/>
        <v>5.1539750032212348E-4</v>
      </c>
      <c r="T258" s="338">
        <v>311</v>
      </c>
      <c r="U258" s="390">
        <f t="shared" si="6"/>
        <v>2.857867497868086E-4</v>
      </c>
      <c r="V258" s="365"/>
      <c r="W258" s="378"/>
      <c r="X258" s="5"/>
      <c r="Y258" s="109"/>
    </row>
    <row r="259" spans="1:25" ht="15.6" x14ac:dyDescent="0.3">
      <c r="A259" s="287"/>
      <c r="B259" s="337" t="s">
        <v>157</v>
      </c>
      <c r="C259" s="389"/>
      <c r="D259" s="389"/>
      <c r="E259" s="389"/>
      <c r="F259" s="288"/>
      <c r="G259" s="390"/>
      <c r="H259" s="389"/>
      <c r="I259" s="389"/>
      <c r="J259" s="389"/>
      <c r="K259" s="389"/>
      <c r="L259" s="389"/>
      <c r="M259" s="389"/>
      <c r="N259" s="389"/>
      <c r="O259" s="389"/>
      <c r="P259" s="389"/>
      <c r="Q259" s="389"/>
      <c r="R259" s="337">
        <v>0</v>
      </c>
      <c r="S259" s="390">
        <f t="shared" si="5"/>
        <v>0</v>
      </c>
      <c r="T259" s="338">
        <v>0</v>
      </c>
      <c r="U259" s="390">
        <f t="shared" si="6"/>
        <v>0</v>
      </c>
      <c r="V259" s="365"/>
      <c r="W259" s="378"/>
      <c r="X259" s="5"/>
    </row>
    <row r="260" spans="1:25" ht="15.6" x14ac:dyDescent="0.3">
      <c r="A260" s="287"/>
      <c r="B260" s="337" t="s">
        <v>158</v>
      </c>
      <c r="C260" s="389"/>
      <c r="D260" s="389"/>
      <c r="E260" s="389"/>
      <c r="F260" s="288"/>
      <c r="G260" s="390"/>
      <c r="H260" s="389"/>
      <c r="I260" s="389"/>
      <c r="J260" s="389"/>
      <c r="K260" s="389"/>
      <c r="L260" s="389"/>
      <c r="M260" s="389"/>
      <c r="N260" s="389"/>
      <c r="O260" s="389"/>
      <c r="P260" s="389"/>
      <c r="Q260" s="389"/>
      <c r="R260" s="337">
        <v>0</v>
      </c>
      <c r="S260" s="390">
        <f t="shared" si="5"/>
        <v>0</v>
      </c>
      <c r="T260" s="338">
        <v>0</v>
      </c>
      <c r="U260" s="390">
        <f t="shared" si="6"/>
        <v>0</v>
      </c>
      <c r="V260" s="365"/>
      <c r="W260" s="378"/>
      <c r="X260" s="5"/>
      <c r="Y260" s="109"/>
    </row>
    <row r="261" spans="1:25" ht="15.6" x14ac:dyDescent="0.3">
      <c r="A261" s="287"/>
      <c r="B261" s="337" t="s">
        <v>159</v>
      </c>
      <c r="C261" s="389"/>
      <c r="D261" s="389"/>
      <c r="E261" s="389"/>
      <c r="F261" s="288"/>
      <c r="G261" s="390"/>
      <c r="H261" s="389"/>
      <c r="I261" s="389"/>
      <c r="J261" s="389"/>
      <c r="K261" s="389"/>
      <c r="L261" s="389"/>
      <c r="M261" s="389"/>
      <c r="N261" s="389"/>
      <c r="O261" s="389"/>
      <c r="P261" s="389"/>
      <c r="Q261" s="389"/>
      <c r="R261" s="337">
        <v>2</v>
      </c>
      <c r="S261" s="390">
        <f t="shared" si="5"/>
        <v>2.5769875016106174E-4</v>
      </c>
      <c r="T261" s="338">
        <v>261</v>
      </c>
      <c r="U261" s="390">
        <f t="shared" si="6"/>
        <v>2.3984032699150175E-4</v>
      </c>
      <c r="V261" s="365"/>
      <c r="W261" s="378"/>
      <c r="X261" s="5"/>
    </row>
    <row r="262" spans="1:25" ht="15.6" x14ac:dyDescent="0.3">
      <c r="A262" s="287"/>
      <c r="B262" s="337" t="s">
        <v>160</v>
      </c>
      <c r="C262" s="389"/>
      <c r="D262" s="389"/>
      <c r="E262" s="389"/>
      <c r="F262" s="288"/>
      <c r="G262" s="390"/>
      <c r="H262" s="389"/>
      <c r="I262" s="389"/>
      <c r="J262" s="389"/>
      <c r="K262" s="389"/>
      <c r="L262" s="389"/>
      <c r="M262" s="389"/>
      <c r="N262" s="389"/>
      <c r="O262" s="389"/>
      <c r="P262" s="389"/>
      <c r="Q262" s="389"/>
      <c r="R262" s="337">
        <v>1</v>
      </c>
      <c r="S262" s="390">
        <f t="shared" si="5"/>
        <v>1.2884937508053087E-4</v>
      </c>
      <c r="T262" s="338">
        <v>142</v>
      </c>
      <c r="U262" s="390">
        <f t="shared" si="6"/>
        <v>1.3048784073867146E-4</v>
      </c>
      <c r="V262" s="365"/>
      <c r="W262" s="378"/>
      <c r="X262" s="5"/>
      <c r="Y262" s="109"/>
    </row>
    <row r="263" spans="1:25" ht="15.6" x14ac:dyDescent="0.3">
      <c r="A263" s="287"/>
      <c r="B263" s="337"/>
      <c r="C263" s="389"/>
      <c r="D263" s="389"/>
      <c r="E263" s="389"/>
      <c r="F263" s="288"/>
      <c r="G263" s="390"/>
      <c r="H263" s="389"/>
      <c r="I263" s="389"/>
      <c r="J263" s="389"/>
      <c r="K263" s="389"/>
      <c r="L263" s="389"/>
      <c r="M263" s="389"/>
      <c r="N263" s="389"/>
      <c r="O263" s="389"/>
      <c r="P263" s="389"/>
      <c r="Q263" s="389"/>
      <c r="R263" s="337"/>
      <c r="S263" s="390"/>
      <c r="T263" s="338"/>
      <c r="U263" s="390"/>
      <c r="V263" s="365"/>
      <c r="W263" s="378"/>
      <c r="X263" s="5"/>
    </row>
    <row r="264" spans="1:25" ht="15.6" x14ac:dyDescent="0.3">
      <c r="A264" s="287"/>
      <c r="B264" s="288"/>
      <c r="C264" s="288"/>
      <c r="D264" s="288"/>
      <c r="E264" s="288"/>
      <c r="F264" s="288"/>
      <c r="G264" s="288"/>
      <c r="H264" s="391"/>
      <c r="I264" s="391"/>
      <c r="J264" s="391"/>
      <c r="K264" s="391"/>
      <c r="L264" s="391"/>
      <c r="M264" s="391"/>
      <c r="N264" s="391"/>
      <c r="O264" s="391"/>
      <c r="P264" s="391"/>
      <c r="Q264" s="391"/>
      <c r="R264" s="337">
        <f>SUM(R255:R263)</f>
        <v>7761</v>
      </c>
      <c r="S264" s="390">
        <f>SUM(S255:S263)</f>
        <v>1</v>
      </c>
      <c r="T264" s="338">
        <f>SUM(T255:T263)</f>
        <v>1088224</v>
      </c>
      <c r="U264" s="390">
        <f>SUM(U255:U263)</f>
        <v>1.0000000000000002</v>
      </c>
      <c r="V264" s="288"/>
      <c r="W264" s="291"/>
      <c r="X264" s="5"/>
    </row>
    <row r="265" spans="1:25" ht="15.6" x14ac:dyDescent="0.3">
      <c r="A265" s="183"/>
      <c r="B265" s="198"/>
      <c r="C265" s="198"/>
      <c r="D265" s="198"/>
      <c r="E265" s="198"/>
      <c r="F265" s="198"/>
      <c r="G265" s="198"/>
      <c r="H265" s="386"/>
      <c r="I265" s="386"/>
      <c r="J265" s="386"/>
      <c r="K265" s="386"/>
      <c r="L265" s="386"/>
      <c r="M265" s="386"/>
      <c r="N265" s="386"/>
      <c r="O265" s="386"/>
      <c r="P265" s="386"/>
      <c r="Q265" s="386"/>
      <c r="R265" s="335"/>
      <c r="S265" s="387"/>
      <c r="T265" s="388"/>
      <c r="U265" s="387"/>
      <c r="V265" s="198"/>
      <c r="W265" s="198"/>
      <c r="X265" s="5"/>
    </row>
    <row r="266" spans="1:25" ht="15.6" x14ac:dyDescent="0.3">
      <c r="A266" s="280"/>
      <c r="B266" s="399" t="s">
        <v>275</v>
      </c>
      <c r="C266" s="400"/>
      <c r="D266" s="400"/>
      <c r="E266" s="400"/>
      <c r="F266" s="406"/>
      <c r="G266" s="400"/>
      <c r="H266" s="400"/>
      <c r="I266" s="400"/>
      <c r="J266" s="400"/>
      <c r="K266" s="400"/>
      <c r="L266" s="400"/>
      <c r="M266" s="400"/>
      <c r="N266" s="400"/>
      <c r="O266" s="400"/>
      <c r="P266" s="400"/>
      <c r="Q266" s="400"/>
      <c r="R266" s="406" t="s">
        <v>102</v>
      </c>
      <c r="S266" s="400" t="s">
        <v>103</v>
      </c>
      <c r="T266" s="406" t="s">
        <v>109</v>
      </c>
      <c r="U266" s="400" t="s">
        <v>103</v>
      </c>
      <c r="V266" s="281"/>
      <c r="W266" s="282"/>
      <c r="X266" s="5"/>
    </row>
    <row r="267" spans="1:25" ht="15.6" x14ac:dyDescent="0.3">
      <c r="A267" s="197"/>
      <c r="B267" s="234" t="s">
        <v>88</v>
      </c>
      <c r="C267" s="253"/>
      <c r="D267" s="253"/>
      <c r="E267" s="253"/>
      <c r="F267" s="231"/>
      <c r="G267" s="253"/>
      <c r="H267" s="253"/>
      <c r="I267" s="253"/>
      <c r="J267" s="253"/>
      <c r="K267" s="253"/>
      <c r="L267" s="253"/>
      <c r="M267" s="253"/>
      <c r="N267" s="253"/>
      <c r="O267" s="253"/>
      <c r="P267" s="253"/>
      <c r="Q267" s="253"/>
      <c r="R267" s="234">
        <v>146</v>
      </c>
      <c r="S267" s="254">
        <f t="shared" ref="S267:S274" si="7">R267/$R$276</f>
        <v>0.78494623655913975</v>
      </c>
      <c r="T267" s="241">
        <v>20377</v>
      </c>
      <c r="U267" s="254">
        <f t="shared" ref="U267:U274" si="8">T267/$T$276</f>
        <v>0.78593743973463959</v>
      </c>
      <c r="V267" s="231"/>
      <c r="W267" s="231"/>
      <c r="X267" s="5"/>
    </row>
    <row r="268" spans="1:25" ht="15.6" x14ac:dyDescent="0.3">
      <c r="A268" s="287"/>
      <c r="B268" s="337" t="s">
        <v>89</v>
      </c>
      <c r="C268" s="389"/>
      <c r="D268" s="389"/>
      <c r="E268" s="389"/>
      <c r="F268" s="288"/>
      <c r="G268" s="390"/>
      <c r="H268" s="389"/>
      <c r="I268" s="389"/>
      <c r="J268" s="389"/>
      <c r="K268" s="389"/>
      <c r="L268" s="389"/>
      <c r="M268" s="389"/>
      <c r="N268" s="389"/>
      <c r="O268" s="389"/>
      <c r="P268" s="389"/>
      <c r="Q268" s="389"/>
      <c r="R268" s="337">
        <v>6</v>
      </c>
      <c r="S268" s="390">
        <f t="shared" si="7"/>
        <v>3.2258064516129031E-2</v>
      </c>
      <c r="T268" s="338">
        <v>665</v>
      </c>
      <c r="U268" s="390">
        <f t="shared" si="8"/>
        <v>2.564893740116481E-2</v>
      </c>
      <c r="V268" s="288"/>
      <c r="W268" s="291"/>
      <c r="X268" s="5"/>
    </row>
    <row r="269" spans="1:25" ht="15.6" x14ac:dyDescent="0.3">
      <c r="A269" s="287"/>
      <c r="B269" s="337" t="s">
        <v>90</v>
      </c>
      <c r="C269" s="389"/>
      <c r="D269" s="389"/>
      <c r="E269" s="389"/>
      <c r="F269" s="288"/>
      <c r="G269" s="390"/>
      <c r="H269" s="389"/>
      <c r="I269" s="389"/>
      <c r="J269" s="389"/>
      <c r="K269" s="389"/>
      <c r="L269" s="389"/>
      <c r="M269" s="389"/>
      <c r="N269" s="389"/>
      <c r="O269" s="389"/>
      <c r="P269" s="389"/>
      <c r="Q269" s="389"/>
      <c r="R269" s="337">
        <v>5</v>
      </c>
      <c r="S269" s="390">
        <f t="shared" si="7"/>
        <v>2.6881720430107527E-2</v>
      </c>
      <c r="T269" s="338">
        <v>593</v>
      </c>
      <c r="U269" s="390">
        <f t="shared" si="8"/>
        <v>2.2871909592316889E-2</v>
      </c>
      <c r="V269" s="288"/>
      <c r="W269" s="291"/>
      <c r="X269" s="5"/>
    </row>
    <row r="270" spans="1:25" ht="15.6" x14ac:dyDescent="0.3">
      <c r="A270" s="287"/>
      <c r="B270" s="337" t="s">
        <v>156</v>
      </c>
      <c r="C270" s="389"/>
      <c r="D270" s="389"/>
      <c r="E270" s="389"/>
      <c r="F270" s="288"/>
      <c r="G270" s="390"/>
      <c r="H270" s="389"/>
      <c r="I270" s="389"/>
      <c r="J270" s="389"/>
      <c r="K270" s="389"/>
      <c r="L270" s="389"/>
      <c r="M270" s="389"/>
      <c r="N270" s="389"/>
      <c r="O270" s="389"/>
      <c r="P270" s="389"/>
      <c r="Q270" s="389"/>
      <c r="R270" s="337">
        <v>2</v>
      </c>
      <c r="S270" s="390">
        <f t="shared" si="7"/>
        <v>1.0752688172043012E-2</v>
      </c>
      <c r="T270" s="338">
        <v>232</v>
      </c>
      <c r="U270" s="390">
        <f t="shared" si="8"/>
        <v>8.9482007173988503E-3</v>
      </c>
      <c r="V270" s="288"/>
      <c r="W270" s="291"/>
      <c r="X270" s="5"/>
    </row>
    <row r="271" spans="1:25" ht="15.6" x14ac:dyDescent="0.3">
      <c r="A271" s="287"/>
      <c r="B271" s="337" t="s">
        <v>157</v>
      </c>
      <c r="C271" s="389"/>
      <c r="D271" s="389"/>
      <c r="E271" s="389"/>
      <c r="F271" s="288"/>
      <c r="G271" s="390"/>
      <c r="H271" s="389"/>
      <c r="I271" s="389"/>
      <c r="J271" s="389"/>
      <c r="K271" s="389"/>
      <c r="L271" s="389"/>
      <c r="M271" s="389"/>
      <c r="N271" s="389"/>
      <c r="O271" s="389"/>
      <c r="P271" s="389"/>
      <c r="Q271" s="389"/>
      <c r="R271" s="337">
        <v>2</v>
      </c>
      <c r="S271" s="390">
        <f t="shared" si="7"/>
        <v>1.0752688172043012E-2</v>
      </c>
      <c r="T271" s="338">
        <v>318</v>
      </c>
      <c r="U271" s="390">
        <f t="shared" si="8"/>
        <v>1.2265206155744977E-2</v>
      </c>
      <c r="V271" s="288"/>
      <c r="W271" s="291"/>
      <c r="X271" s="5"/>
    </row>
    <row r="272" spans="1:25" ht="15.6" x14ac:dyDescent="0.3">
      <c r="A272" s="287"/>
      <c r="B272" s="337" t="s">
        <v>158</v>
      </c>
      <c r="C272" s="389"/>
      <c r="D272" s="389"/>
      <c r="E272" s="389"/>
      <c r="F272" s="288"/>
      <c r="G272" s="390"/>
      <c r="H272" s="389"/>
      <c r="I272" s="389"/>
      <c r="J272" s="389"/>
      <c r="K272" s="389"/>
      <c r="L272" s="389"/>
      <c r="M272" s="389"/>
      <c r="N272" s="389"/>
      <c r="O272" s="389"/>
      <c r="P272" s="389"/>
      <c r="Q272" s="389"/>
      <c r="R272" s="337">
        <v>0</v>
      </c>
      <c r="S272" s="390">
        <f t="shared" si="7"/>
        <v>0</v>
      </c>
      <c r="T272" s="338">
        <v>0</v>
      </c>
      <c r="U272" s="390">
        <f t="shared" si="8"/>
        <v>0</v>
      </c>
      <c r="V272" s="288"/>
      <c r="W272" s="291"/>
      <c r="X272" s="5"/>
    </row>
    <row r="273" spans="1:24" ht="15.6" x14ac:dyDescent="0.3">
      <c r="A273" s="287"/>
      <c r="B273" s="337" t="s">
        <v>159</v>
      </c>
      <c r="C273" s="389"/>
      <c r="D273" s="389"/>
      <c r="E273" s="389"/>
      <c r="F273" s="288"/>
      <c r="G273" s="390"/>
      <c r="H273" s="389"/>
      <c r="I273" s="389"/>
      <c r="J273" s="389"/>
      <c r="K273" s="389"/>
      <c r="L273" s="389"/>
      <c r="M273" s="389"/>
      <c r="N273" s="389"/>
      <c r="O273" s="389"/>
      <c r="P273" s="389"/>
      <c r="Q273" s="389"/>
      <c r="R273" s="337">
        <v>6</v>
      </c>
      <c r="S273" s="390">
        <f t="shared" si="7"/>
        <v>3.2258064516129031E-2</v>
      </c>
      <c r="T273" s="338">
        <v>985</v>
      </c>
      <c r="U273" s="390">
        <f t="shared" si="8"/>
        <v>3.7991283218266669E-2</v>
      </c>
      <c r="V273" s="288"/>
      <c r="W273" s="291"/>
      <c r="X273" s="5"/>
    </row>
    <row r="274" spans="1:24" ht="15.6" x14ac:dyDescent="0.3">
      <c r="A274" s="287"/>
      <c r="B274" s="337" t="s">
        <v>160</v>
      </c>
      <c r="C274" s="389"/>
      <c r="D274" s="389"/>
      <c r="E274" s="389"/>
      <c r="F274" s="288"/>
      <c r="G274" s="390"/>
      <c r="H274" s="389"/>
      <c r="I274" s="389"/>
      <c r="J274" s="389"/>
      <c r="K274" s="389"/>
      <c r="L274" s="389"/>
      <c r="M274" s="389"/>
      <c r="N274" s="389"/>
      <c r="O274" s="389"/>
      <c r="P274" s="389"/>
      <c r="Q274" s="389"/>
      <c r="R274" s="337">
        <v>19</v>
      </c>
      <c r="S274" s="390">
        <f t="shared" si="7"/>
        <v>0.10215053763440861</v>
      </c>
      <c r="T274" s="338">
        <v>2757</v>
      </c>
      <c r="U274" s="390">
        <f t="shared" si="8"/>
        <v>0.10633702318046824</v>
      </c>
      <c r="V274" s="288"/>
      <c r="W274" s="291"/>
      <c r="X274" s="5"/>
    </row>
    <row r="275" spans="1:24" ht="15.6" x14ac:dyDescent="0.3">
      <c r="A275" s="287"/>
      <c r="B275" s="337"/>
      <c r="C275" s="389"/>
      <c r="D275" s="389"/>
      <c r="E275" s="389"/>
      <c r="F275" s="288"/>
      <c r="G275" s="390"/>
      <c r="H275" s="389"/>
      <c r="I275" s="389"/>
      <c r="J275" s="389"/>
      <c r="K275" s="389"/>
      <c r="L275" s="389"/>
      <c r="M275" s="389"/>
      <c r="N275" s="389"/>
      <c r="O275" s="389"/>
      <c r="P275" s="389"/>
      <c r="Q275" s="389"/>
      <c r="R275" s="337"/>
      <c r="S275" s="390"/>
      <c r="T275" s="338"/>
      <c r="U275" s="390"/>
      <c r="V275" s="288"/>
      <c r="W275" s="291"/>
      <c r="X275" s="5"/>
    </row>
    <row r="276" spans="1:24" ht="15.6" x14ac:dyDescent="0.3">
      <c r="A276" s="287"/>
      <c r="B276" s="288"/>
      <c r="C276" s="288"/>
      <c r="D276" s="288"/>
      <c r="E276" s="288"/>
      <c r="F276" s="288"/>
      <c r="G276" s="288"/>
      <c r="H276" s="391"/>
      <c r="I276" s="391"/>
      <c r="J276" s="391"/>
      <c r="K276" s="391"/>
      <c r="L276" s="391"/>
      <c r="M276" s="391"/>
      <c r="N276" s="391"/>
      <c r="O276" s="391"/>
      <c r="P276" s="391"/>
      <c r="Q276" s="391"/>
      <c r="R276" s="337">
        <f>SUM(R267:R275)</f>
        <v>186</v>
      </c>
      <c r="S276" s="390">
        <f>SUM(S267:S275)</f>
        <v>0.99999999999999989</v>
      </c>
      <c r="T276" s="338">
        <f>SUM(T267:T275)</f>
        <v>25927</v>
      </c>
      <c r="U276" s="390">
        <f>SUM(U267:U275)</f>
        <v>1.0000000000000002</v>
      </c>
      <c r="V276" s="288"/>
      <c r="W276" s="291"/>
      <c r="X276" s="5"/>
    </row>
    <row r="277" spans="1:24" ht="15.6" x14ac:dyDescent="0.3">
      <c r="A277" s="183"/>
      <c r="B277" s="284"/>
      <c r="C277" s="284"/>
      <c r="D277" s="284"/>
      <c r="E277" s="284"/>
      <c r="F277" s="284"/>
      <c r="G277" s="284"/>
      <c r="H277" s="392"/>
      <c r="I277" s="392"/>
      <c r="J277" s="392"/>
      <c r="K277" s="392"/>
      <c r="L277" s="392"/>
      <c r="M277" s="392"/>
      <c r="N277" s="392"/>
      <c r="O277" s="392"/>
      <c r="P277" s="392"/>
      <c r="Q277" s="392"/>
      <c r="R277" s="339"/>
      <c r="S277" s="393"/>
      <c r="T277" s="394"/>
      <c r="U277" s="393"/>
      <c r="V277" s="284"/>
      <c r="W277" s="284"/>
      <c r="X277" s="5"/>
    </row>
    <row r="278" spans="1:24" ht="15.6" x14ac:dyDescent="0.3">
      <c r="A278" s="280"/>
      <c r="B278" s="399" t="s">
        <v>163</v>
      </c>
      <c r="C278" s="281"/>
      <c r="D278" s="281"/>
      <c r="E278" s="281"/>
      <c r="F278" s="281"/>
      <c r="G278" s="281"/>
      <c r="H278" s="283"/>
      <c r="I278" s="283"/>
      <c r="J278" s="283"/>
      <c r="K278" s="283"/>
      <c r="L278" s="283"/>
      <c r="M278" s="283"/>
      <c r="N278" s="283"/>
      <c r="O278" s="283"/>
      <c r="P278" s="283"/>
      <c r="Q278" s="283"/>
      <c r="R278" s="406" t="s">
        <v>102</v>
      </c>
      <c r="S278" s="400" t="s">
        <v>103</v>
      </c>
      <c r="T278" s="406" t="s">
        <v>109</v>
      </c>
      <c r="U278" s="400" t="s">
        <v>103</v>
      </c>
      <c r="V278" s="281"/>
      <c r="W278" s="282"/>
      <c r="X278" s="5"/>
    </row>
    <row r="279" spans="1:24" ht="15.6" x14ac:dyDescent="0.3">
      <c r="A279" s="197"/>
      <c r="B279" s="234" t="s">
        <v>88</v>
      </c>
      <c r="C279" s="231"/>
      <c r="D279" s="231"/>
      <c r="E279" s="231"/>
      <c r="F279" s="231"/>
      <c r="G279" s="231"/>
      <c r="H279" s="255"/>
      <c r="I279" s="255"/>
      <c r="J279" s="255"/>
      <c r="K279" s="255"/>
      <c r="L279" s="255"/>
      <c r="M279" s="255"/>
      <c r="N279" s="255"/>
      <c r="O279" s="255"/>
      <c r="P279" s="255"/>
      <c r="Q279" s="255"/>
      <c r="R279" s="234">
        <v>0</v>
      </c>
      <c r="S279" s="254">
        <v>0</v>
      </c>
      <c r="T279" s="241">
        <v>0</v>
      </c>
      <c r="U279" s="254">
        <v>0</v>
      </c>
      <c r="V279" s="231"/>
      <c r="W279" s="231"/>
      <c r="X279" s="5"/>
    </row>
    <row r="280" spans="1:24" ht="15.6" x14ac:dyDescent="0.3">
      <c r="A280" s="287"/>
      <c r="B280" s="337" t="s">
        <v>89</v>
      </c>
      <c r="C280" s="288"/>
      <c r="D280" s="288"/>
      <c r="E280" s="288"/>
      <c r="F280" s="288"/>
      <c r="G280" s="288"/>
      <c r="H280" s="391"/>
      <c r="I280" s="391"/>
      <c r="J280" s="391"/>
      <c r="K280" s="391"/>
      <c r="L280" s="391"/>
      <c r="M280" s="391"/>
      <c r="N280" s="391"/>
      <c r="O280" s="391"/>
      <c r="P280" s="391"/>
      <c r="Q280" s="391"/>
      <c r="R280" s="337">
        <v>0</v>
      </c>
      <c r="S280" s="390">
        <v>0</v>
      </c>
      <c r="T280" s="338">
        <v>0</v>
      </c>
      <c r="U280" s="390">
        <v>0</v>
      </c>
      <c r="V280" s="288"/>
      <c r="W280" s="291"/>
      <c r="X280" s="5"/>
    </row>
    <row r="281" spans="1:24" ht="15.6" x14ac:dyDescent="0.3">
      <c r="A281" s="287"/>
      <c r="B281" s="337" t="s">
        <v>90</v>
      </c>
      <c r="C281" s="288"/>
      <c r="D281" s="288"/>
      <c r="E281" s="288"/>
      <c r="F281" s="288"/>
      <c r="G281" s="288"/>
      <c r="H281" s="391"/>
      <c r="I281" s="391"/>
      <c r="J281" s="391"/>
      <c r="K281" s="391"/>
      <c r="L281" s="391"/>
      <c r="M281" s="391"/>
      <c r="N281" s="391"/>
      <c r="O281" s="391"/>
      <c r="P281" s="391"/>
      <c r="Q281" s="391"/>
      <c r="R281" s="337">
        <v>0</v>
      </c>
      <c r="S281" s="390">
        <v>0</v>
      </c>
      <c r="T281" s="338">
        <v>0</v>
      </c>
      <c r="U281" s="390">
        <v>0</v>
      </c>
      <c r="V281" s="288"/>
      <c r="W281" s="291"/>
      <c r="X281" s="5"/>
    </row>
    <row r="282" spans="1:24" ht="15.6" x14ac:dyDescent="0.3">
      <c r="A282" s="287"/>
      <c r="B282" s="337" t="s">
        <v>156</v>
      </c>
      <c r="C282" s="288"/>
      <c r="D282" s="288"/>
      <c r="E282" s="288"/>
      <c r="F282" s="288"/>
      <c r="G282" s="288"/>
      <c r="H282" s="391"/>
      <c r="I282" s="391"/>
      <c r="J282" s="391"/>
      <c r="K282" s="391"/>
      <c r="L282" s="391"/>
      <c r="M282" s="391"/>
      <c r="N282" s="391"/>
      <c r="O282" s="391"/>
      <c r="P282" s="391"/>
      <c r="Q282" s="391"/>
      <c r="R282" s="337">
        <v>0</v>
      </c>
      <c r="S282" s="390">
        <v>0</v>
      </c>
      <c r="T282" s="338">
        <v>0</v>
      </c>
      <c r="U282" s="390">
        <v>0</v>
      </c>
      <c r="V282" s="288"/>
      <c r="W282" s="291"/>
      <c r="X282" s="5"/>
    </row>
    <row r="283" spans="1:24" ht="15.6" x14ac:dyDescent="0.3">
      <c r="A283" s="287"/>
      <c r="B283" s="337" t="s">
        <v>157</v>
      </c>
      <c r="C283" s="288"/>
      <c r="D283" s="288"/>
      <c r="E283" s="288"/>
      <c r="F283" s="288"/>
      <c r="G283" s="288"/>
      <c r="H283" s="391"/>
      <c r="I283" s="391"/>
      <c r="J283" s="391"/>
      <c r="K283" s="391"/>
      <c r="L283" s="391"/>
      <c r="M283" s="391"/>
      <c r="N283" s="391"/>
      <c r="O283" s="391"/>
      <c r="P283" s="391"/>
      <c r="Q283" s="391"/>
      <c r="R283" s="337">
        <v>0</v>
      </c>
      <c r="S283" s="390">
        <v>0</v>
      </c>
      <c r="T283" s="338">
        <v>0</v>
      </c>
      <c r="U283" s="390">
        <v>0</v>
      </c>
      <c r="V283" s="288"/>
      <c r="W283" s="291"/>
      <c r="X283" s="5"/>
    </row>
    <row r="284" spans="1:24" ht="15.6" x14ac:dyDescent="0.3">
      <c r="A284" s="287"/>
      <c r="B284" s="337" t="s">
        <v>158</v>
      </c>
      <c r="C284" s="288"/>
      <c r="D284" s="288"/>
      <c r="E284" s="288"/>
      <c r="F284" s="288"/>
      <c r="G284" s="288"/>
      <c r="H284" s="391"/>
      <c r="I284" s="391"/>
      <c r="J284" s="391"/>
      <c r="K284" s="391"/>
      <c r="L284" s="391"/>
      <c r="M284" s="391"/>
      <c r="N284" s="391"/>
      <c r="O284" s="391"/>
      <c r="P284" s="391"/>
      <c r="Q284" s="391"/>
      <c r="R284" s="337">
        <v>0</v>
      </c>
      <c r="S284" s="390">
        <v>0</v>
      </c>
      <c r="T284" s="338">
        <v>0</v>
      </c>
      <c r="U284" s="390">
        <v>0</v>
      </c>
      <c r="V284" s="288"/>
      <c r="W284" s="291"/>
      <c r="X284" s="5"/>
    </row>
    <row r="285" spans="1:24" ht="15.6" x14ac:dyDescent="0.3">
      <c r="A285" s="287"/>
      <c r="B285" s="337" t="s">
        <v>159</v>
      </c>
      <c r="C285" s="288"/>
      <c r="D285" s="288"/>
      <c r="E285" s="288"/>
      <c r="F285" s="288"/>
      <c r="G285" s="288"/>
      <c r="H285" s="391"/>
      <c r="I285" s="391"/>
      <c r="J285" s="391"/>
      <c r="K285" s="391"/>
      <c r="L285" s="391"/>
      <c r="M285" s="391"/>
      <c r="N285" s="391"/>
      <c r="O285" s="391"/>
      <c r="P285" s="391"/>
      <c r="Q285" s="391"/>
      <c r="R285" s="337">
        <v>0</v>
      </c>
      <c r="S285" s="390">
        <v>0</v>
      </c>
      <c r="T285" s="338">
        <v>0</v>
      </c>
      <c r="U285" s="390">
        <v>0</v>
      </c>
      <c r="V285" s="288"/>
      <c r="W285" s="291"/>
      <c r="X285" s="5"/>
    </row>
    <row r="286" spans="1:24" ht="15.6" x14ac:dyDescent="0.3">
      <c r="A286" s="287"/>
      <c r="B286" s="337" t="s">
        <v>160</v>
      </c>
      <c r="C286" s="288"/>
      <c r="D286" s="288"/>
      <c r="E286" s="288"/>
      <c r="F286" s="288"/>
      <c r="G286" s="288"/>
      <c r="H286" s="391"/>
      <c r="I286" s="391"/>
      <c r="J286" s="391"/>
      <c r="K286" s="391"/>
      <c r="L286" s="391"/>
      <c r="M286" s="391"/>
      <c r="N286" s="391"/>
      <c r="O286" s="391"/>
      <c r="P286" s="391"/>
      <c r="Q286" s="391"/>
      <c r="R286" s="337">
        <v>0</v>
      </c>
      <c r="S286" s="390">
        <v>0</v>
      </c>
      <c r="T286" s="338">
        <v>0</v>
      </c>
      <c r="U286" s="390">
        <v>0</v>
      </c>
      <c r="V286" s="288"/>
      <c r="W286" s="291"/>
      <c r="X286" s="5"/>
    </row>
    <row r="287" spans="1:24" ht="15.6" x14ac:dyDescent="0.3">
      <c r="A287" s="287"/>
      <c r="B287" s="337"/>
      <c r="C287" s="288"/>
      <c r="D287" s="288"/>
      <c r="E287" s="288"/>
      <c r="F287" s="288"/>
      <c r="G287" s="288"/>
      <c r="H287" s="391"/>
      <c r="I287" s="391"/>
      <c r="J287" s="391"/>
      <c r="K287" s="391"/>
      <c r="L287" s="391"/>
      <c r="M287" s="391"/>
      <c r="N287" s="391"/>
      <c r="O287" s="391"/>
      <c r="P287" s="391"/>
      <c r="Q287" s="391"/>
      <c r="R287" s="337"/>
      <c r="S287" s="390"/>
      <c r="T287" s="338"/>
      <c r="U287" s="390"/>
      <c r="V287" s="288"/>
      <c r="W287" s="291"/>
      <c r="X287" s="5"/>
    </row>
    <row r="288" spans="1:24" ht="15.6" x14ac:dyDescent="0.3">
      <c r="A288" s="287"/>
      <c r="B288" s="288" t="s">
        <v>114</v>
      </c>
      <c r="C288" s="288"/>
      <c r="D288" s="288"/>
      <c r="E288" s="288"/>
      <c r="F288" s="288"/>
      <c r="G288" s="288"/>
      <c r="H288" s="391"/>
      <c r="I288" s="391"/>
      <c r="J288" s="391"/>
      <c r="K288" s="391"/>
      <c r="L288" s="391"/>
      <c r="M288" s="391"/>
      <c r="N288" s="391"/>
      <c r="O288" s="391"/>
      <c r="P288" s="391"/>
      <c r="Q288" s="391"/>
      <c r="R288" s="337">
        <f>SUM(R279:R286)</f>
        <v>0</v>
      </c>
      <c r="S288" s="390">
        <f>SUM(S279:S287)</f>
        <v>0</v>
      </c>
      <c r="T288" s="338">
        <f>SUM(T279:T286)</f>
        <v>0</v>
      </c>
      <c r="U288" s="390">
        <f>SUM(U279:U287)</f>
        <v>0</v>
      </c>
      <c r="V288" s="288"/>
      <c r="W288" s="291"/>
      <c r="X288" s="5"/>
    </row>
    <row r="289" spans="1:24" ht="15.6" x14ac:dyDescent="0.3">
      <c r="A289" s="287"/>
      <c r="B289" s="288"/>
      <c r="C289" s="288"/>
      <c r="D289" s="288"/>
      <c r="E289" s="288"/>
      <c r="F289" s="288"/>
      <c r="G289" s="288"/>
      <c r="H289" s="391"/>
      <c r="I289" s="391"/>
      <c r="J289" s="391"/>
      <c r="K289" s="391"/>
      <c r="L289" s="391"/>
      <c r="M289" s="391"/>
      <c r="N289" s="391"/>
      <c r="O289" s="391"/>
      <c r="P289" s="391"/>
      <c r="Q289" s="391"/>
      <c r="R289" s="337"/>
      <c r="S289" s="390"/>
      <c r="T289" s="338"/>
      <c r="U289" s="390"/>
      <c r="V289" s="288"/>
      <c r="W289" s="291"/>
      <c r="X289" s="5"/>
    </row>
    <row r="290" spans="1:24" ht="15.6" x14ac:dyDescent="0.3">
      <c r="A290" s="287"/>
      <c r="B290" s="295" t="s">
        <v>164</v>
      </c>
      <c r="C290" s="288"/>
      <c r="D290" s="288"/>
      <c r="E290" s="288"/>
      <c r="F290" s="288"/>
      <c r="G290" s="288"/>
      <c r="H290" s="391"/>
      <c r="I290" s="391"/>
      <c r="J290" s="391"/>
      <c r="K290" s="391"/>
      <c r="L290" s="391"/>
      <c r="M290" s="391"/>
      <c r="N290" s="391"/>
      <c r="O290" s="391"/>
      <c r="P290" s="391"/>
      <c r="Q290" s="391"/>
      <c r="R290" s="407">
        <f>R288+R276+R264</f>
        <v>7947</v>
      </c>
      <c r="S290" s="390"/>
      <c r="T290" s="396">
        <f>+T288+T276+T264</f>
        <v>1114151</v>
      </c>
      <c r="U290" s="390"/>
      <c r="V290" s="288"/>
      <c r="W290" s="291"/>
      <c r="X290" s="5"/>
    </row>
    <row r="291" spans="1:24" ht="15.6" x14ac:dyDescent="0.3">
      <c r="A291" s="183"/>
      <c r="B291" s="284"/>
      <c r="C291" s="284"/>
      <c r="D291" s="284"/>
      <c r="E291" s="284"/>
      <c r="F291" s="284"/>
      <c r="G291" s="284"/>
      <c r="H291" s="392"/>
      <c r="I291" s="392"/>
      <c r="J291" s="392"/>
      <c r="K291" s="392"/>
      <c r="L291" s="392"/>
      <c r="M291" s="392"/>
      <c r="N291" s="392"/>
      <c r="O291" s="392"/>
      <c r="P291" s="392"/>
      <c r="Q291" s="392"/>
      <c r="R291" s="392"/>
      <c r="S291" s="392"/>
      <c r="T291" s="394"/>
      <c r="U291" s="392"/>
      <c r="V291" s="284"/>
      <c r="W291" s="284"/>
      <c r="X291" s="5"/>
    </row>
    <row r="292" spans="1:24" ht="15.6" x14ac:dyDescent="0.3">
      <c r="A292" s="183"/>
      <c r="B292" s="224"/>
      <c r="C292" s="224"/>
      <c r="D292" s="224"/>
      <c r="E292" s="224"/>
      <c r="F292" s="224"/>
      <c r="G292" s="224"/>
      <c r="H292" s="256"/>
      <c r="I292" s="256"/>
      <c r="J292" s="256"/>
      <c r="K292" s="256"/>
      <c r="L292" s="256"/>
      <c r="M292" s="256"/>
      <c r="N292" s="256"/>
      <c r="O292" s="256"/>
      <c r="P292" s="256"/>
      <c r="Q292" s="256"/>
      <c r="R292" s="256"/>
      <c r="S292" s="256"/>
      <c r="T292" s="257"/>
      <c r="U292" s="256"/>
      <c r="V292" s="224"/>
      <c r="W292" s="224"/>
      <c r="X292" s="5"/>
    </row>
    <row r="293" spans="1:24" ht="15.6" x14ac:dyDescent="0.3">
      <c r="A293" s="219"/>
      <c r="B293" s="222" t="s">
        <v>91</v>
      </c>
      <c r="C293" s="224"/>
      <c r="D293" s="224"/>
      <c r="E293" s="224"/>
      <c r="F293" s="228" t="s">
        <v>97</v>
      </c>
      <c r="G293" s="224"/>
      <c r="H293" s="222" t="s">
        <v>99</v>
      </c>
      <c r="I293" s="222"/>
      <c r="J293" s="222"/>
      <c r="K293" s="258"/>
      <c r="L293" s="258"/>
      <c r="M293" s="258"/>
      <c r="N293" s="258"/>
      <c r="O293" s="258"/>
      <c r="P293" s="258"/>
      <c r="Q293" s="258"/>
      <c r="R293" s="258"/>
      <c r="S293" s="258"/>
      <c r="T293" s="258"/>
      <c r="U293" s="258"/>
      <c r="V293" s="258"/>
      <c r="W293" s="258"/>
      <c r="X293" s="5"/>
    </row>
    <row r="294" spans="1:24" ht="15.6" x14ac:dyDescent="0.3">
      <c r="A294" s="219"/>
      <c r="B294" s="258"/>
      <c r="C294" s="224"/>
      <c r="D294" s="224"/>
      <c r="E294" s="224"/>
      <c r="F294" s="224"/>
      <c r="G294" s="224"/>
      <c r="H294" s="224"/>
      <c r="I294" s="224"/>
      <c r="J294" s="224"/>
      <c r="K294" s="258"/>
      <c r="L294" s="258"/>
      <c r="M294" s="258"/>
      <c r="N294" s="258"/>
      <c r="O294" s="258"/>
      <c r="P294" s="258"/>
      <c r="Q294" s="258"/>
      <c r="R294" s="258"/>
      <c r="S294" s="258"/>
      <c r="T294" s="258"/>
      <c r="U294" s="258"/>
      <c r="V294" s="258"/>
      <c r="W294" s="258"/>
      <c r="X294" s="5"/>
    </row>
    <row r="295" spans="1:24" ht="15.6" x14ac:dyDescent="0.3">
      <c r="A295" s="219"/>
      <c r="B295" s="222" t="s">
        <v>92</v>
      </c>
      <c r="C295" s="222"/>
      <c r="D295" s="222"/>
      <c r="E295" s="222"/>
      <c r="F295" s="259" t="s">
        <v>148</v>
      </c>
      <c r="G295" s="222"/>
      <c r="H295" s="222" t="s">
        <v>152</v>
      </c>
      <c r="I295" s="222"/>
      <c r="J295" s="222"/>
      <c r="K295" s="258"/>
      <c r="L295" s="258"/>
      <c r="M295" s="258"/>
      <c r="N295" s="258"/>
      <c r="O295" s="258"/>
      <c r="P295" s="258"/>
      <c r="Q295" s="258"/>
      <c r="R295" s="258"/>
      <c r="S295" s="258"/>
      <c r="T295" s="258"/>
      <c r="U295" s="258"/>
      <c r="V295" s="258"/>
      <c r="W295" s="258"/>
      <c r="X295" s="5"/>
    </row>
    <row r="296" spans="1:24" ht="15.6" x14ac:dyDescent="0.3">
      <c r="A296" s="219"/>
      <c r="B296" s="222" t="s">
        <v>277</v>
      </c>
      <c r="C296" s="222"/>
      <c r="D296" s="222"/>
      <c r="E296" s="222"/>
      <c r="F296" s="259" t="s">
        <v>278</v>
      </c>
      <c r="G296" s="222"/>
      <c r="H296" s="222" t="s">
        <v>279</v>
      </c>
      <c r="I296" s="258"/>
      <c r="J296" s="222"/>
      <c r="K296" s="258"/>
      <c r="L296" s="258"/>
      <c r="M296" s="258"/>
      <c r="N296" s="258"/>
      <c r="O296" s="258"/>
      <c r="P296" s="258"/>
      <c r="Q296" s="258"/>
      <c r="R296" s="258"/>
      <c r="S296" s="258"/>
      <c r="T296" s="258"/>
      <c r="U296" s="258"/>
      <c r="V296" s="258"/>
      <c r="W296" s="258"/>
      <c r="X296" s="5"/>
    </row>
    <row r="297" spans="1:24" ht="15.6" x14ac:dyDescent="0.3">
      <c r="A297" s="219"/>
      <c r="B297" s="222" t="s">
        <v>93</v>
      </c>
      <c r="C297" s="222"/>
      <c r="D297" s="222"/>
      <c r="E297" s="222"/>
      <c r="F297" s="259" t="s">
        <v>147</v>
      </c>
      <c r="G297" s="222"/>
      <c r="H297" s="222" t="s">
        <v>153</v>
      </c>
      <c r="I297" s="222"/>
      <c r="J297" s="222"/>
      <c r="K297" s="258"/>
      <c r="L297" s="258"/>
      <c r="M297" s="258"/>
      <c r="N297" s="258"/>
      <c r="O297" s="258"/>
      <c r="P297" s="258"/>
      <c r="Q297" s="258"/>
      <c r="R297" s="258"/>
      <c r="S297" s="258"/>
      <c r="T297" s="258"/>
      <c r="U297" s="258"/>
      <c r="V297" s="258"/>
      <c r="W297" s="258"/>
      <c r="X297" s="5"/>
    </row>
    <row r="298" spans="1:24" ht="15.6" x14ac:dyDescent="0.3">
      <c r="A298" s="219"/>
      <c r="B298" s="222"/>
      <c r="C298" s="222"/>
      <c r="D298" s="222"/>
      <c r="E298" s="222"/>
      <c r="F298" s="222"/>
      <c r="G298" s="260"/>
      <c r="H298" s="258"/>
      <c r="I298" s="258"/>
      <c r="J298" s="258"/>
      <c r="K298" s="258"/>
      <c r="L298" s="258"/>
      <c r="M298" s="258"/>
      <c r="N298" s="258"/>
      <c r="O298" s="258"/>
      <c r="P298" s="258"/>
      <c r="Q298" s="258"/>
      <c r="R298" s="258"/>
      <c r="S298" s="258"/>
      <c r="T298" s="258"/>
      <c r="U298" s="258"/>
      <c r="V298" s="258"/>
      <c r="W298" s="258"/>
      <c r="X298" s="5"/>
    </row>
    <row r="299" spans="1:24" ht="15.6" x14ac:dyDescent="0.3">
      <c r="A299" s="219"/>
      <c r="B299" s="222"/>
      <c r="C299" s="222"/>
      <c r="D299" s="222"/>
      <c r="E299" s="222"/>
      <c r="F299" s="222"/>
      <c r="G299" s="260"/>
      <c r="H299" s="258"/>
      <c r="I299" s="258"/>
      <c r="J299" s="258"/>
      <c r="K299" s="258"/>
      <c r="L299" s="258"/>
      <c r="M299" s="258"/>
      <c r="N299" s="258"/>
      <c r="O299" s="258"/>
      <c r="P299" s="258"/>
      <c r="Q299" s="258"/>
      <c r="R299" s="258"/>
      <c r="S299" s="258"/>
      <c r="T299" s="258"/>
      <c r="U299" s="258"/>
      <c r="V299" s="258"/>
      <c r="W299" s="258"/>
      <c r="X299" s="5"/>
    </row>
    <row r="300" spans="1:24" ht="18" thickBot="1" x14ac:dyDescent="0.35">
      <c r="A300" s="219"/>
      <c r="B300" s="261" t="str">
        <f>B204</f>
        <v>PM14 INVESTOR REPORT QUARTER ENDING AUGUST 2012</v>
      </c>
      <c r="C300" s="222"/>
      <c r="D300" s="222"/>
      <c r="E300" s="222"/>
      <c r="F300" s="222"/>
      <c r="G300" s="260"/>
      <c r="H300" s="258"/>
      <c r="I300" s="258"/>
      <c r="J300" s="258"/>
      <c r="K300" s="258"/>
      <c r="L300" s="258"/>
      <c r="M300" s="258"/>
      <c r="N300" s="258"/>
      <c r="O300" s="258"/>
      <c r="P300" s="258"/>
      <c r="Q300" s="258"/>
      <c r="R300" s="258"/>
      <c r="S300" s="258"/>
      <c r="T300" s="258"/>
      <c r="U300" s="258"/>
      <c r="V300" s="258"/>
      <c r="W300" s="258"/>
      <c r="X300" s="5"/>
    </row>
    <row r="301" spans="1:24" x14ac:dyDescent="0.25">
      <c r="A301" s="100"/>
      <c r="B301" s="100"/>
      <c r="C301" s="100"/>
      <c r="D301" s="100"/>
      <c r="E301" s="100"/>
      <c r="F301" s="100"/>
      <c r="G301" s="100"/>
      <c r="H301" s="100"/>
      <c r="I301" s="100"/>
      <c r="J301" s="100"/>
      <c r="K301" s="100"/>
      <c r="L301" s="100"/>
      <c r="M301" s="100"/>
      <c r="N301" s="100"/>
      <c r="O301" s="100"/>
      <c r="P301" s="100"/>
      <c r="Q301" s="100"/>
      <c r="R301" s="100"/>
      <c r="S301" s="100"/>
      <c r="T301" s="100"/>
      <c r="U301" s="100"/>
      <c r="V301" s="100"/>
      <c r="W301" s="100"/>
    </row>
  </sheetData>
  <hyperlinks>
    <hyperlink ref="P240" r:id="rId1" xr:uid="{00000000-0004-0000-1400-000000000000}"/>
    <hyperlink ref="I9" r:id="rId2" xr:uid="{00000000-0004-0000-14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8" max="14" man="1"/>
    <brk id="204" max="14" man="1"/>
  </rowBreaks>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theme="4"/>
  </sheetPr>
  <dimension ref="A1:IV301"/>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80"/>
      <c r="B1" s="220" t="s">
        <v>244</v>
      </c>
      <c r="C1" s="181"/>
      <c r="D1" s="181"/>
      <c r="E1" s="181"/>
      <c r="F1" s="181"/>
      <c r="G1" s="181"/>
      <c r="H1" s="181"/>
      <c r="I1" s="181"/>
      <c r="J1" s="181"/>
      <c r="K1" s="181"/>
      <c r="L1" s="181"/>
      <c r="M1" s="181"/>
      <c r="N1" s="181"/>
      <c r="O1" s="181"/>
      <c r="P1" s="181"/>
      <c r="Q1" s="181"/>
      <c r="R1" s="181"/>
      <c r="S1" s="181"/>
      <c r="T1" s="181"/>
      <c r="U1" s="181"/>
      <c r="V1" s="181"/>
      <c r="W1" s="181"/>
      <c r="X1" s="5"/>
    </row>
    <row r="2" spans="1:24" ht="15.6" x14ac:dyDescent="0.3">
      <c r="A2" s="183"/>
      <c r="B2" s="184"/>
      <c r="C2" s="185"/>
      <c r="D2" s="185"/>
      <c r="E2" s="185"/>
      <c r="F2" s="185"/>
      <c r="G2" s="185"/>
      <c r="H2" s="185"/>
      <c r="I2" s="185"/>
      <c r="J2" s="185"/>
      <c r="K2" s="185"/>
      <c r="L2" s="185"/>
      <c r="M2" s="185"/>
      <c r="N2" s="185"/>
      <c r="O2" s="185"/>
      <c r="P2" s="185"/>
      <c r="Q2" s="185"/>
      <c r="R2" s="185"/>
      <c r="S2" s="185"/>
      <c r="T2" s="185"/>
      <c r="U2" s="185"/>
      <c r="V2" s="185"/>
      <c r="W2" s="185"/>
      <c r="X2" s="5"/>
    </row>
    <row r="3" spans="1:24" ht="15.6" x14ac:dyDescent="0.3">
      <c r="A3" s="186"/>
      <c r="B3" s="187" t="s">
        <v>245</v>
      </c>
      <c r="C3" s="185"/>
      <c r="D3" s="185"/>
      <c r="E3" s="185"/>
      <c r="F3" s="185"/>
      <c r="G3" s="185"/>
      <c r="H3" s="185"/>
      <c r="I3" s="185"/>
      <c r="J3" s="185"/>
      <c r="K3" s="185"/>
      <c r="L3" s="185"/>
      <c r="M3" s="185"/>
      <c r="N3" s="185"/>
      <c r="O3" s="185"/>
      <c r="P3" s="185"/>
      <c r="Q3" s="185"/>
      <c r="R3" s="185"/>
      <c r="S3" s="185"/>
      <c r="T3" s="185"/>
      <c r="U3" s="185"/>
      <c r="V3" s="185"/>
      <c r="W3" s="185"/>
      <c r="X3" s="5"/>
    </row>
    <row r="4" spans="1:24" ht="15.6" x14ac:dyDescent="0.3">
      <c r="A4" s="183"/>
      <c r="B4" s="184"/>
      <c r="C4" s="185"/>
      <c r="D4" s="185"/>
      <c r="E4" s="185"/>
      <c r="F4" s="185"/>
      <c r="G4" s="185"/>
      <c r="H4" s="185"/>
      <c r="I4" s="185"/>
      <c r="J4" s="185"/>
      <c r="K4" s="185"/>
      <c r="L4" s="185"/>
      <c r="M4" s="185"/>
      <c r="N4" s="185"/>
      <c r="O4" s="185"/>
      <c r="P4" s="185"/>
      <c r="Q4" s="185"/>
      <c r="R4" s="185"/>
      <c r="S4" s="185"/>
      <c r="T4" s="185"/>
      <c r="U4" s="185"/>
      <c r="V4" s="185"/>
      <c r="W4" s="185"/>
      <c r="X4" s="5"/>
    </row>
    <row r="5" spans="1:24" ht="15.6" x14ac:dyDescent="0.3">
      <c r="A5" s="183"/>
      <c r="B5" s="221" t="s">
        <v>137</v>
      </c>
      <c r="C5" s="185"/>
      <c r="D5" s="185"/>
      <c r="E5" s="185"/>
      <c r="F5" s="185"/>
      <c r="G5" s="185"/>
      <c r="H5" s="185"/>
      <c r="I5" s="185"/>
      <c r="J5" s="185"/>
      <c r="K5" s="185"/>
      <c r="L5" s="185"/>
      <c r="M5" s="185"/>
      <c r="N5" s="185"/>
      <c r="O5" s="185"/>
      <c r="P5" s="185"/>
      <c r="Q5" s="185"/>
      <c r="R5" s="185"/>
      <c r="S5" s="185"/>
      <c r="T5" s="185"/>
      <c r="U5" s="185"/>
      <c r="V5" s="185"/>
      <c r="W5" s="185"/>
      <c r="X5" s="5"/>
    </row>
    <row r="6" spans="1:24" ht="15.6" x14ac:dyDescent="0.3">
      <c r="A6" s="183"/>
      <c r="B6" s="221" t="s">
        <v>139</v>
      </c>
      <c r="C6" s="185"/>
      <c r="D6" s="185"/>
      <c r="E6" s="185"/>
      <c r="F6" s="185"/>
      <c r="G6" s="185"/>
      <c r="H6" s="185"/>
      <c r="I6" s="185"/>
      <c r="J6" s="185"/>
      <c r="K6" s="185"/>
      <c r="L6" s="185"/>
      <c r="M6" s="185"/>
      <c r="N6" s="185"/>
      <c r="O6" s="185"/>
      <c r="P6" s="185"/>
      <c r="Q6" s="185"/>
      <c r="R6" s="185"/>
      <c r="S6" s="185"/>
      <c r="T6" s="185"/>
      <c r="U6" s="185"/>
      <c r="V6" s="185"/>
      <c r="W6" s="185"/>
      <c r="X6" s="5"/>
    </row>
    <row r="7" spans="1:24" ht="15.6" x14ac:dyDescent="0.3">
      <c r="A7" s="183"/>
      <c r="B7" s="221" t="s">
        <v>138</v>
      </c>
      <c r="C7" s="185"/>
      <c r="D7" s="185"/>
      <c r="E7" s="185"/>
      <c r="F7" s="185"/>
      <c r="G7" s="185"/>
      <c r="H7" s="185"/>
      <c r="I7" s="185"/>
      <c r="J7" s="185"/>
      <c r="K7" s="185"/>
      <c r="L7" s="185"/>
      <c r="M7" s="185"/>
      <c r="N7" s="185"/>
      <c r="O7" s="185"/>
      <c r="P7" s="185"/>
      <c r="Q7" s="185"/>
      <c r="R7" s="185"/>
      <c r="S7" s="185"/>
      <c r="T7" s="185"/>
      <c r="U7" s="185"/>
      <c r="V7" s="185"/>
      <c r="W7" s="185"/>
      <c r="X7" s="5"/>
    </row>
    <row r="8" spans="1:24" ht="15.6" x14ac:dyDescent="0.3">
      <c r="A8" s="183"/>
      <c r="B8" s="188"/>
      <c r="C8" s="185"/>
      <c r="D8" s="185"/>
      <c r="E8" s="185"/>
      <c r="F8" s="185"/>
      <c r="G8" s="185"/>
      <c r="H8" s="185"/>
      <c r="I8" s="185"/>
      <c r="J8" s="185"/>
      <c r="K8" s="185"/>
      <c r="L8" s="185"/>
      <c r="M8" s="185"/>
      <c r="N8" s="185"/>
      <c r="O8" s="185"/>
      <c r="P8" s="185"/>
      <c r="Q8" s="185"/>
      <c r="R8" s="185"/>
      <c r="S8" s="185"/>
      <c r="T8" s="185"/>
      <c r="U8" s="185"/>
      <c r="V8" s="185"/>
      <c r="W8" s="185"/>
      <c r="X8" s="5"/>
    </row>
    <row r="9" spans="1:24" ht="17.399999999999999" x14ac:dyDescent="0.3">
      <c r="A9" s="183"/>
      <c r="B9" s="189" t="s">
        <v>166</v>
      </c>
      <c r="C9" s="185"/>
      <c r="D9" s="185"/>
      <c r="E9" s="185"/>
      <c r="F9" s="185"/>
      <c r="G9" s="185"/>
      <c r="H9" s="185"/>
      <c r="I9" s="190" t="s">
        <v>167</v>
      </c>
      <c r="J9" s="185"/>
      <c r="K9" s="185"/>
      <c r="L9" s="190"/>
      <c r="M9" s="185"/>
      <c r="N9" s="190"/>
      <c r="O9" s="185"/>
      <c r="P9" s="185"/>
      <c r="Q9" s="185"/>
      <c r="R9" s="185"/>
      <c r="S9" s="185"/>
      <c r="T9" s="185"/>
      <c r="U9" s="185"/>
      <c r="V9" s="185"/>
      <c r="W9" s="185"/>
      <c r="X9" s="5"/>
    </row>
    <row r="10" spans="1:24" ht="15.6" x14ac:dyDescent="0.3">
      <c r="A10" s="183"/>
      <c r="B10" s="188"/>
      <c r="C10" s="191"/>
      <c r="D10" s="191"/>
      <c r="E10" s="191"/>
      <c r="F10" s="185"/>
      <c r="G10" s="185"/>
      <c r="H10" s="185"/>
      <c r="I10" s="185"/>
      <c r="J10" s="185"/>
      <c r="K10" s="185"/>
      <c r="L10" s="185"/>
      <c r="M10" s="185"/>
      <c r="N10" s="185"/>
      <c r="O10" s="185"/>
      <c r="P10" s="185"/>
      <c r="Q10" s="185"/>
      <c r="R10" s="185"/>
      <c r="S10" s="185"/>
      <c r="T10" s="185"/>
      <c r="U10" s="185"/>
      <c r="V10" s="185"/>
      <c r="W10" s="185"/>
      <c r="X10" s="5"/>
    </row>
    <row r="11" spans="1:24" ht="15.6" x14ac:dyDescent="0.3">
      <c r="A11" s="183"/>
      <c r="B11" s="222" t="s">
        <v>0</v>
      </c>
      <c r="C11" s="185"/>
      <c r="D11" s="185"/>
      <c r="E11" s="185"/>
      <c r="F11" s="185"/>
      <c r="G11" s="185"/>
      <c r="H11" s="185"/>
      <c r="I11" s="185"/>
      <c r="J11" s="185"/>
      <c r="K11" s="185"/>
      <c r="L11" s="185"/>
      <c r="M11" s="185"/>
      <c r="N11" s="185"/>
      <c r="O11" s="185"/>
      <c r="P11" s="185"/>
      <c r="Q11" s="185"/>
      <c r="R11" s="185"/>
      <c r="S11" s="185"/>
      <c r="T11" s="185"/>
      <c r="U11" s="185"/>
      <c r="V11" s="185"/>
      <c r="W11" s="185"/>
      <c r="X11" s="5"/>
    </row>
    <row r="12" spans="1:24" ht="16.2" thickBot="1" x14ac:dyDescent="0.35">
      <c r="A12" s="183"/>
      <c r="B12" s="191"/>
      <c r="C12" s="185"/>
      <c r="D12" s="185"/>
      <c r="E12" s="185"/>
      <c r="F12" s="185"/>
      <c r="G12" s="185"/>
      <c r="H12" s="185"/>
      <c r="I12" s="185"/>
      <c r="J12" s="185"/>
      <c r="K12" s="185"/>
      <c r="L12" s="185"/>
      <c r="M12" s="185"/>
      <c r="N12" s="185"/>
      <c r="O12" s="185"/>
      <c r="P12" s="185"/>
      <c r="Q12" s="185"/>
      <c r="R12" s="185"/>
      <c r="S12" s="185"/>
      <c r="T12" s="185"/>
      <c r="U12" s="185"/>
      <c r="V12" s="185"/>
      <c r="W12" s="185"/>
      <c r="X12" s="5"/>
    </row>
    <row r="13" spans="1:24" ht="15.6" x14ac:dyDescent="0.3">
      <c r="A13" s="180"/>
      <c r="B13" s="181"/>
      <c r="C13" s="181"/>
      <c r="D13" s="181"/>
      <c r="E13" s="181"/>
      <c r="F13" s="181"/>
      <c r="G13" s="181"/>
      <c r="H13" s="181"/>
      <c r="I13" s="181"/>
      <c r="J13" s="181"/>
      <c r="K13" s="181"/>
      <c r="L13" s="181"/>
      <c r="M13" s="181"/>
      <c r="N13" s="181"/>
      <c r="O13" s="181"/>
      <c r="P13" s="181"/>
      <c r="Q13" s="181"/>
      <c r="R13" s="181"/>
      <c r="S13" s="181"/>
      <c r="T13" s="181"/>
      <c r="U13" s="181"/>
      <c r="V13" s="181"/>
      <c r="W13" s="181"/>
      <c r="X13" s="5"/>
    </row>
    <row r="14" spans="1:24" ht="15.6" x14ac:dyDescent="0.3">
      <c r="A14" s="183"/>
      <c r="B14" s="222" t="s">
        <v>1</v>
      </c>
      <c r="C14" s="192"/>
      <c r="D14" s="192"/>
      <c r="E14" s="192"/>
      <c r="F14" s="192"/>
      <c r="G14" s="192"/>
      <c r="H14" s="192"/>
      <c r="I14" s="192"/>
      <c r="J14" s="192"/>
      <c r="K14" s="192"/>
      <c r="L14" s="192"/>
      <c r="M14" s="192"/>
      <c r="N14" s="192"/>
      <c r="O14" s="192"/>
      <c r="P14" s="192"/>
      <c r="Q14" s="192"/>
      <c r="R14" s="224"/>
      <c r="S14" s="224"/>
      <c r="T14" s="224"/>
      <c r="U14" s="224"/>
      <c r="V14" s="225" t="s">
        <v>246</v>
      </c>
      <c r="W14" s="192"/>
      <c r="X14" s="5"/>
    </row>
    <row r="15" spans="1:24" ht="15.6" x14ac:dyDescent="0.3">
      <c r="A15" s="183"/>
      <c r="B15" s="222" t="s">
        <v>2</v>
      </c>
      <c r="C15" s="192"/>
      <c r="D15" s="192"/>
      <c r="E15" s="192"/>
      <c r="F15" s="192"/>
      <c r="G15" s="192"/>
      <c r="H15" s="193"/>
      <c r="I15" s="193"/>
      <c r="J15" s="193"/>
      <c r="K15" s="193"/>
      <c r="L15" s="193"/>
      <c r="M15" s="193"/>
      <c r="N15" s="193"/>
      <c r="O15" s="193"/>
      <c r="P15" s="193"/>
      <c r="Q15" s="193"/>
      <c r="R15" s="226" t="s">
        <v>104</v>
      </c>
      <c r="S15" s="227">
        <v>0.38300000000000001</v>
      </c>
      <c r="T15" s="228" t="s">
        <v>140</v>
      </c>
      <c r="U15" s="227">
        <v>0.61699999999999999</v>
      </c>
      <c r="V15" s="225"/>
      <c r="W15" s="192"/>
      <c r="X15" s="5"/>
    </row>
    <row r="16" spans="1:24" ht="15.6" x14ac:dyDescent="0.3">
      <c r="A16" s="183"/>
      <c r="B16" s="222" t="s">
        <v>3</v>
      </c>
      <c r="C16" s="192"/>
      <c r="D16" s="192"/>
      <c r="E16" s="192"/>
      <c r="F16" s="192"/>
      <c r="G16" s="192"/>
      <c r="H16" s="193"/>
      <c r="I16" s="193"/>
      <c r="J16" s="193"/>
      <c r="K16" s="193"/>
      <c r="L16" s="193"/>
      <c r="M16" s="193"/>
      <c r="N16" s="193"/>
      <c r="O16" s="193"/>
      <c r="P16" s="193"/>
      <c r="Q16" s="193"/>
      <c r="R16" s="226" t="s">
        <v>104</v>
      </c>
      <c r="S16" s="227">
        <v>0.45810000000000001</v>
      </c>
      <c r="T16" s="228" t="s">
        <v>140</v>
      </c>
      <c r="U16" s="227">
        <v>0.54190000000000005</v>
      </c>
      <c r="V16" s="225"/>
      <c r="W16" s="192"/>
      <c r="X16" s="5"/>
    </row>
    <row r="17" spans="1:24" ht="15.6" x14ac:dyDescent="0.3">
      <c r="A17" s="183"/>
      <c r="B17" s="222" t="s">
        <v>4</v>
      </c>
      <c r="C17" s="192"/>
      <c r="D17" s="192"/>
      <c r="E17" s="192"/>
      <c r="F17" s="192"/>
      <c r="G17" s="192"/>
      <c r="H17" s="192"/>
      <c r="I17" s="192"/>
      <c r="J17" s="192"/>
      <c r="K17" s="192"/>
      <c r="L17" s="192"/>
      <c r="M17" s="192"/>
      <c r="N17" s="192"/>
      <c r="O17" s="192"/>
      <c r="P17" s="192"/>
      <c r="Q17" s="192"/>
      <c r="R17" s="224"/>
      <c r="S17" s="224"/>
      <c r="T17" s="224"/>
      <c r="U17" s="224"/>
      <c r="V17" s="229">
        <v>39163</v>
      </c>
      <c r="W17" s="192"/>
      <c r="X17" s="5"/>
    </row>
    <row r="18" spans="1:24" ht="15.6" x14ac:dyDescent="0.3">
      <c r="A18" s="183"/>
      <c r="B18" s="222" t="s">
        <v>5</v>
      </c>
      <c r="C18" s="192"/>
      <c r="D18" s="192"/>
      <c r="E18" s="192"/>
      <c r="F18" s="192"/>
      <c r="G18" s="192"/>
      <c r="H18" s="192"/>
      <c r="I18" s="192"/>
      <c r="J18" s="192"/>
      <c r="K18" s="192"/>
      <c r="L18" s="192"/>
      <c r="M18" s="192"/>
      <c r="N18" s="192"/>
      <c r="O18" s="192"/>
      <c r="P18" s="192"/>
      <c r="Q18" s="192"/>
      <c r="R18" s="224"/>
      <c r="S18" s="224"/>
      <c r="T18" s="224"/>
      <c r="U18" s="224"/>
      <c r="V18" s="229">
        <v>41267</v>
      </c>
      <c r="W18" s="192"/>
      <c r="X18" s="5"/>
    </row>
    <row r="19" spans="1:24" ht="15.6" x14ac:dyDescent="0.3">
      <c r="A19" s="183"/>
      <c r="B19" s="185"/>
      <c r="C19" s="185"/>
      <c r="D19" s="185"/>
      <c r="E19" s="185"/>
      <c r="F19" s="185"/>
      <c r="G19" s="185"/>
      <c r="H19" s="185"/>
      <c r="I19" s="185"/>
      <c r="J19" s="185"/>
      <c r="K19" s="185"/>
      <c r="L19" s="185"/>
      <c r="M19" s="185"/>
      <c r="N19" s="185"/>
      <c r="O19" s="185"/>
      <c r="P19" s="185"/>
      <c r="Q19" s="185"/>
      <c r="R19" s="185"/>
      <c r="S19" s="185"/>
      <c r="T19" s="185"/>
      <c r="U19" s="185"/>
      <c r="V19" s="194"/>
      <c r="W19" s="185"/>
      <c r="X19" s="5"/>
    </row>
    <row r="20" spans="1:24" ht="15.6" x14ac:dyDescent="0.3">
      <c r="A20" s="183"/>
      <c r="B20" s="230" t="s">
        <v>6</v>
      </c>
      <c r="C20" s="185"/>
      <c r="D20" s="185"/>
      <c r="E20" s="185"/>
      <c r="F20" s="185"/>
      <c r="G20" s="185"/>
      <c r="H20" s="185"/>
      <c r="I20" s="185"/>
      <c r="J20" s="185"/>
      <c r="K20" s="185"/>
      <c r="L20" s="185"/>
      <c r="M20" s="185"/>
      <c r="N20" s="185"/>
      <c r="O20" s="185"/>
      <c r="P20" s="185"/>
      <c r="Q20" s="185"/>
      <c r="R20" s="185"/>
      <c r="S20" s="185"/>
      <c r="T20" s="223" t="s">
        <v>105</v>
      </c>
      <c r="U20" s="185"/>
      <c r="V20" s="182"/>
      <c r="W20" s="185"/>
      <c r="X20" s="5"/>
    </row>
    <row r="21" spans="1:24" ht="15.6" x14ac:dyDescent="0.3">
      <c r="A21" s="183"/>
      <c r="B21" s="185"/>
      <c r="C21" s="185"/>
      <c r="D21" s="185"/>
      <c r="E21" s="185"/>
      <c r="F21" s="185"/>
      <c r="G21" s="185"/>
      <c r="H21" s="185"/>
      <c r="I21" s="185"/>
      <c r="J21" s="185"/>
      <c r="K21" s="185"/>
      <c r="L21" s="185"/>
      <c r="M21" s="185"/>
      <c r="N21" s="185"/>
      <c r="O21" s="185"/>
      <c r="P21" s="185"/>
      <c r="Q21" s="185"/>
      <c r="R21" s="185"/>
      <c r="S21" s="185"/>
      <c r="T21" s="185"/>
      <c r="U21" s="185"/>
      <c r="V21" s="196"/>
      <c r="W21" s="185"/>
      <c r="X21" s="5"/>
    </row>
    <row r="22" spans="1:24" ht="15.6" x14ac:dyDescent="0.3">
      <c r="A22" s="262"/>
      <c r="B22" s="263"/>
      <c r="C22" s="264"/>
      <c r="D22" s="264" t="s">
        <v>177</v>
      </c>
      <c r="E22" s="264"/>
      <c r="F22" s="264" t="s">
        <v>178</v>
      </c>
      <c r="G22" s="264"/>
      <c r="H22" s="264" t="s">
        <v>179</v>
      </c>
      <c r="I22" s="264"/>
      <c r="J22" s="264" t="s">
        <v>220</v>
      </c>
      <c r="K22" s="264"/>
      <c r="L22" s="264" t="s">
        <v>180</v>
      </c>
      <c r="M22" s="264"/>
      <c r="N22" s="264" t="s">
        <v>181</v>
      </c>
      <c r="O22" s="264"/>
      <c r="P22" s="264" t="s">
        <v>221</v>
      </c>
      <c r="Q22" s="264"/>
      <c r="R22" s="264" t="s">
        <v>182</v>
      </c>
      <c r="S22" s="266"/>
      <c r="T22" s="266"/>
      <c r="U22" s="267"/>
      <c r="V22" s="267"/>
      <c r="W22" s="263"/>
      <c r="X22" s="5"/>
    </row>
    <row r="23" spans="1:24" ht="15.6" x14ac:dyDescent="0.3">
      <c r="A23" s="287"/>
      <c r="B23" s="288" t="s">
        <v>7</v>
      </c>
      <c r="C23" s="289"/>
      <c r="D23" s="289" t="s">
        <v>213</v>
      </c>
      <c r="E23" s="289"/>
      <c r="F23" s="289" t="s">
        <v>141</v>
      </c>
      <c r="G23" s="289"/>
      <c r="H23" s="289" t="s">
        <v>141</v>
      </c>
      <c r="I23" s="289"/>
      <c r="J23" s="289" t="s">
        <v>141</v>
      </c>
      <c r="K23" s="289"/>
      <c r="L23" s="289" t="s">
        <v>183</v>
      </c>
      <c r="M23" s="289"/>
      <c r="N23" s="289" t="s">
        <v>183</v>
      </c>
      <c r="O23" s="289"/>
      <c r="P23" s="289" t="s">
        <v>142</v>
      </c>
      <c r="Q23" s="289"/>
      <c r="R23" s="289" t="s">
        <v>142</v>
      </c>
      <c r="S23" s="289"/>
      <c r="T23" s="289"/>
      <c r="U23" s="290"/>
      <c r="V23" s="290"/>
      <c r="W23" s="291"/>
      <c r="X23" s="5"/>
    </row>
    <row r="24" spans="1:24" ht="15.6" x14ac:dyDescent="0.3">
      <c r="A24" s="287"/>
      <c r="B24" s="288" t="s">
        <v>8</v>
      </c>
      <c r="C24" s="289"/>
      <c r="D24" s="289" t="s">
        <v>214</v>
      </c>
      <c r="E24" s="289"/>
      <c r="F24" s="289" t="s">
        <v>143</v>
      </c>
      <c r="G24" s="289"/>
      <c r="H24" s="289" t="s">
        <v>143</v>
      </c>
      <c r="I24" s="289"/>
      <c r="J24" s="289" t="s">
        <v>143</v>
      </c>
      <c r="K24" s="289"/>
      <c r="L24" s="289" t="s">
        <v>165</v>
      </c>
      <c r="M24" s="289"/>
      <c r="N24" s="289" t="s">
        <v>165</v>
      </c>
      <c r="O24" s="289"/>
      <c r="P24" s="289" t="s">
        <v>144</v>
      </c>
      <c r="Q24" s="289"/>
      <c r="R24" s="289" t="s">
        <v>144</v>
      </c>
      <c r="S24" s="289"/>
      <c r="T24" s="289"/>
      <c r="U24" s="290"/>
      <c r="V24" s="290"/>
      <c r="W24" s="291"/>
      <c r="X24" s="5"/>
    </row>
    <row r="25" spans="1:24" ht="15.6" x14ac:dyDescent="0.3">
      <c r="A25" s="292"/>
      <c r="B25" s="288" t="s">
        <v>190</v>
      </c>
      <c r="C25" s="398"/>
      <c r="D25" s="289" t="s">
        <v>215</v>
      </c>
      <c r="E25" s="289"/>
      <c r="F25" s="289" t="s">
        <v>143</v>
      </c>
      <c r="G25" s="289"/>
      <c r="H25" s="289" t="s">
        <v>143</v>
      </c>
      <c r="I25" s="289"/>
      <c r="J25" s="289" t="s">
        <v>143</v>
      </c>
      <c r="K25" s="289"/>
      <c r="L25" s="289" t="s">
        <v>293</v>
      </c>
      <c r="M25" s="289"/>
      <c r="N25" s="289" t="s">
        <v>293</v>
      </c>
      <c r="O25" s="289"/>
      <c r="P25" s="289" t="s">
        <v>144</v>
      </c>
      <c r="Q25" s="289"/>
      <c r="R25" s="289" t="s">
        <v>144</v>
      </c>
      <c r="S25" s="398"/>
      <c r="T25" s="289"/>
      <c r="U25" s="290"/>
      <c r="V25" s="290"/>
      <c r="W25" s="291"/>
      <c r="X25" s="5"/>
    </row>
    <row r="26" spans="1:24" ht="15.6" x14ac:dyDescent="0.3">
      <c r="A26" s="292"/>
      <c r="B26" s="295" t="s">
        <v>9</v>
      </c>
      <c r="C26" s="398"/>
      <c r="D26" s="398" t="s">
        <v>327</v>
      </c>
      <c r="E26" s="398"/>
      <c r="F26" s="398" t="s">
        <v>141</v>
      </c>
      <c r="G26" s="398"/>
      <c r="H26" s="398" t="s">
        <v>141</v>
      </c>
      <c r="I26" s="398"/>
      <c r="J26" s="398" t="s">
        <v>141</v>
      </c>
      <c r="K26" s="398"/>
      <c r="L26" s="398" t="s">
        <v>183</v>
      </c>
      <c r="M26" s="398"/>
      <c r="N26" s="398" t="s">
        <v>183</v>
      </c>
      <c r="O26" s="398"/>
      <c r="P26" s="398" t="s">
        <v>142</v>
      </c>
      <c r="Q26" s="398"/>
      <c r="R26" s="398" t="s">
        <v>142</v>
      </c>
      <c r="S26" s="398"/>
      <c r="T26" s="289"/>
      <c r="U26" s="290"/>
      <c r="V26" s="290"/>
      <c r="W26" s="291"/>
      <c r="X26" s="5"/>
    </row>
    <row r="27" spans="1:24" ht="15.6" x14ac:dyDescent="0.3">
      <c r="A27" s="287"/>
      <c r="B27" s="295" t="s">
        <v>191</v>
      </c>
      <c r="C27" s="289"/>
      <c r="D27" s="398" t="s">
        <v>317</v>
      </c>
      <c r="E27" s="398"/>
      <c r="F27" s="398" t="s">
        <v>143</v>
      </c>
      <c r="G27" s="398"/>
      <c r="H27" s="398" t="s">
        <v>143</v>
      </c>
      <c r="I27" s="398"/>
      <c r="J27" s="398" t="s">
        <v>143</v>
      </c>
      <c r="K27" s="398"/>
      <c r="L27" s="398" t="s">
        <v>319</v>
      </c>
      <c r="M27" s="398"/>
      <c r="N27" s="398" t="s">
        <v>319</v>
      </c>
      <c r="O27" s="398"/>
      <c r="P27" s="398" t="s">
        <v>320</v>
      </c>
      <c r="Q27" s="398"/>
      <c r="R27" s="398" t="s">
        <v>320</v>
      </c>
      <c r="S27" s="289"/>
      <c r="T27" s="296"/>
      <c r="U27" s="290"/>
      <c r="V27" s="290"/>
      <c r="W27" s="291"/>
      <c r="X27" s="5"/>
    </row>
    <row r="28" spans="1:24" ht="15.6" x14ac:dyDescent="0.3">
      <c r="A28" s="287"/>
      <c r="B28" s="295" t="s">
        <v>192</v>
      </c>
      <c r="C28" s="289"/>
      <c r="D28" s="398" t="s">
        <v>314</v>
      </c>
      <c r="E28" s="398"/>
      <c r="F28" s="398" t="s">
        <v>143</v>
      </c>
      <c r="G28" s="398"/>
      <c r="H28" s="398" t="s">
        <v>143</v>
      </c>
      <c r="I28" s="398"/>
      <c r="J28" s="398" t="s">
        <v>143</v>
      </c>
      <c r="K28" s="398"/>
      <c r="L28" s="398" t="s">
        <v>293</v>
      </c>
      <c r="M28" s="398"/>
      <c r="N28" s="398" t="s">
        <v>293</v>
      </c>
      <c r="O28" s="398"/>
      <c r="P28" s="398" t="s">
        <v>144</v>
      </c>
      <c r="Q28" s="398"/>
      <c r="R28" s="398" t="s">
        <v>144</v>
      </c>
      <c r="S28" s="289"/>
      <c r="T28" s="296"/>
      <c r="U28" s="290"/>
      <c r="V28" s="290"/>
      <c r="W28" s="291"/>
      <c r="X28" s="5"/>
    </row>
    <row r="29" spans="1:24" ht="15.6" x14ac:dyDescent="0.3">
      <c r="A29" s="287"/>
      <c r="B29" s="288" t="s">
        <v>10</v>
      </c>
      <c r="C29" s="298"/>
      <c r="D29" s="289" t="s">
        <v>249</v>
      </c>
      <c r="E29" s="289"/>
      <c r="F29" s="296" t="s">
        <v>250</v>
      </c>
      <c r="G29" s="289"/>
      <c r="H29" s="289" t="s">
        <v>251</v>
      </c>
      <c r="I29" s="289"/>
      <c r="J29" s="289" t="s">
        <v>253</v>
      </c>
      <c r="K29" s="289"/>
      <c r="L29" s="289" t="s">
        <v>254</v>
      </c>
      <c r="M29" s="289"/>
      <c r="N29" s="289" t="s">
        <v>255</v>
      </c>
      <c r="O29" s="289"/>
      <c r="P29" s="289" t="s">
        <v>256</v>
      </c>
      <c r="Q29" s="289"/>
      <c r="R29" s="289" t="s">
        <v>257</v>
      </c>
      <c r="S29" s="299"/>
      <c r="T29" s="299"/>
      <c r="U29" s="300"/>
      <c r="V29" s="299"/>
      <c r="W29" s="301"/>
      <c r="X29" s="5"/>
    </row>
    <row r="30" spans="1:24" ht="15.6" x14ac:dyDescent="0.3">
      <c r="A30" s="287"/>
      <c r="B30" s="288" t="s">
        <v>10</v>
      </c>
      <c r="C30" s="298"/>
      <c r="D30" s="289" t="s">
        <v>248</v>
      </c>
      <c r="E30" s="289"/>
      <c r="F30" s="296" t="s">
        <v>118</v>
      </c>
      <c r="G30" s="289"/>
      <c r="H30" s="289" t="s">
        <v>118</v>
      </c>
      <c r="I30" s="289"/>
      <c r="J30" s="289" t="s">
        <v>252</v>
      </c>
      <c r="K30" s="289"/>
      <c r="L30" s="289" t="s">
        <v>118</v>
      </c>
      <c r="M30" s="289"/>
      <c r="N30" s="289" t="s">
        <v>118</v>
      </c>
      <c r="O30" s="289"/>
      <c r="P30" s="289" t="s">
        <v>118</v>
      </c>
      <c r="Q30" s="289"/>
      <c r="R30" s="289" t="s">
        <v>118</v>
      </c>
      <c r="S30" s="299"/>
      <c r="T30" s="299"/>
      <c r="U30" s="300"/>
      <c r="V30" s="299"/>
      <c r="W30" s="301"/>
      <c r="X30" s="5"/>
    </row>
    <row r="31" spans="1:24" ht="15.6" x14ac:dyDescent="0.3">
      <c r="A31" s="292"/>
      <c r="B31" s="288" t="s">
        <v>133</v>
      </c>
      <c r="C31" s="302"/>
      <c r="D31" s="303">
        <v>1500000</v>
      </c>
      <c r="E31" s="298"/>
      <c r="F31" s="299">
        <v>125000</v>
      </c>
      <c r="G31" s="299"/>
      <c r="H31" s="304">
        <v>246000</v>
      </c>
      <c r="I31" s="304"/>
      <c r="J31" s="303">
        <v>400000</v>
      </c>
      <c r="K31" s="299"/>
      <c r="L31" s="299">
        <v>51900</v>
      </c>
      <c r="M31" s="299"/>
      <c r="N31" s="304">
        <v>88800</v>
      </c>
      <c r="O31" s="299"/>
      <c r="P31" s="299">
        <v>20000</v>
      </c>
      <c r="Q31" s="299"/>
      <c r="R31" s="304">
        <v>135500</v>
      </c>
      <c r="S31" s="305"/>
      <c r="T31" s="305"/>
      <c r="U31" s="306"/>
      <c r="V31" s="305"/>
      <c r="W31" s="301"/>
      <c r="X31" s="5"/>
    </row>
    <row r="32" spans="1:24" ht="15.6" x14ac:dyDescent="0.3">
      <c r="A32" s="287"/>
      <c r="B32" s="288" t="s">
        <v>132</v>
      </c>
      <c r="C32" s="298"/>
      <c r="D32" s="303">
        <f>D31*D38</f>
        <v>1045757.5499999999</v>
      </c>
      <c r="E32" s="298"/>
      <c r="F32" s="299">
        <f>F31*F38</f>
        <v>87146.574999999997</v>
      </c>
      <c r="G32" s="299"/>
      <c r="H32" s="304">
        <f>H31*H38</f>
        <v>171504.4596</v>
      </c>
      <c r="I32" s="304"/>
      <c r="J32" s="303">
        <f>J31*J38</f>
        <v>278868.68</v>
      </c>
      <c r="K32" s="299"/>
      <c r="L32" s="299">
        <f>+L31</f>
        <v>51900</v>
      </c>
      <c r="M32" s="299"/>
      <c r="N32" s="304">
        <f>+N31</f>
        <v>88800</v>
      </c>
      <c r="O32" s="299"/>
      <c r="P32" s="299">
        <f>+P31</f>
        <v>20000</v>
      </c>
      <c r="Q32" s="299"/>
      <c r="R32" s="304">
        <f>+R31</f>
        <v>135500</v>
      </c>
      <c r="S32" s="299"/>
      <c r="T32" s="299"/>
      <c r="U32" s="300"/>
      <c r="V32" s="299"/>
      <c r="W32" s="301"/>
      <c r="X32" s="5"/>
    </row>
    <row r="33" spans="1:24" ht="15.6" x14ac:dyDescent="0.3">
      <c r="A33" s="287"/>
      <c r="B33" s="295" t="s">
        <v>134</v>
      </c>
      <c r="C33" s="298"/>
      <c r="D33" s="307">
        <f>D37*D31</f>
        <v>1038630</v>
      </c>
      <c r="E33" s="302"/>
      <c r="F33" s="305">
        <f>F37*F31</f>
        <v>86552.625</v>
      </c>
      <c r="G33" s="305"/>
      <c r="H33" s="308">
        <f>H31*H37</f>
        <v>170335.56599999999</v>
      </c>
      <c r="I33" s="308"/>
      <c r="J33" s="307">
        <f>J37*J31</f>
        <v>276968</v>
      </c>
      <c r="K33" s="305"/>
      <c r="L33" s="305">
        <f>L31*L37</f>
        <v>51900</v>
      </c>
      <c r="M33" s="305"/>
      <c r="N33" s="308">
        <f>N31*N37</f>
        <v>88800</v>
      </c>
      <c r="O33" s="305"/>
      <c r="P33" s="305">
        <f>P31*P37</f>
        <v>20000</v>
      </c>
      <c r="Q33" s="305"/>
      <c r="R33" s="308">
        <f>R31*R37</f>
        <v>135500</v>
      </c>
      <c r="S33" s="299"/>
      <c r="T33" s="299"/>
      <c r="U33" s="300"/>
      <c r="V33" s="299"/>
      <c r="W33" s="301"/>
      <c r="X33" s="5"/>
    </row>
    <row r="34" spans="1:24" ht="15.6" x14ac:dyDescent="0.3">
      <c r="A34" s="292"/>
      <c r="B34" s="288" t="s">
        <v>296</v>
      </c>
      <c r="C34" s="302"/>
      <c r="D34" s="299">
        <v>775194</v>
      </c>
      <c r="E34" s="298"/>
      <c r="F34" s="299">
        <v>125000</v>
      </c>
      <c r="G34" s="299"/>
      <c r="H34" s="299">
        <v>168148</v>
      </c>
      <c r="I34" s="299"/>
      <c r="J34" s="299">
        <v>206718</v>
      </c>
      <c r="K34" s="299"/>
      <c r="L34" s="299">
        <v>51900</v>
      </c>
      <c r="M34" s="299"/>
      <c r="N34" s="299">
        <v>60697</v>
      </c>
      <c r="O34" s="299"/>
      <c r="P34" s="299">
        <v>20000</v>
      </c>
      <c r="Q34" s="299"/>
      <c r="R34" s="299">
        <v>92618</v>
      </c>
      <c r="S34" s="305"/>
      <c r="T34" s="305"/>
      <c r="U34" s="306"/>
      <c r="V34" s="299">
        <f>SUM(C34:R34)</f>
        <v>1500275</v>
      </c>
      <c r="W34" s="301"/>
      <c r="X34" s="5"/>
    </row>
    <row r="35" spans="1:24" ht="15.6" x14ac:dyDescent="0.3">
      <c r="A35" s="292"/>
      <c r="B35" s="288" t="s">
        <v>297</v>
      </c>
      <c r="C35" s="302"/>
      <c r="D35" s="299">
        <f>D34*D38</f>
        <v>540443.31880979997</v>
      </c>
      <c r="E35" s="298"/>
      <c r="F35" s="299">
        <f>F34*F38</f>
        <v>87146.574999999997</v>
      </c>
      <c r="G35" s="299"/>
      <c r="H35" s="299">
        <f>H34*H38</f>
        <v>117228.17834480001</v>
      </c>
      <c r="I35" s="299"/>
      <c r="J35" s="299">
        <f>J34*J38</f>
        <v>144117.93948059998</v>
      </c>
      <c r="K35" s="299"/>
      <c r="L35" s="299">
        <f>+L34</f>
        <v>51900</v>
      </c>
      <c r="M35" s="299"/>
      <c r="N35" s="299">
        <f>+N34</f>
        <v>60697</v>
      </c>
      <c r="O35" s="299"/>
      <c r="P35" s="299">
        <f>+P34</f>
        <v>20000</v>
      </c>
      <c r="Q35" s="299"/>
      <c r="R35" s="299">
        <f>+R34</f>
        <v>92618</v>
      </c>
      <c r="S35" s="299"/>
      <c r="T35" s="299"/>
      <c r="U35" s="300"/>
      <c r="V35" s="299">
        <f>SUM(C35:R35)</f>
        <v>1114151.0116351999</v>
      </c>
      <c r="W35" s="301"/>
      <c r="X35" s="5"/>
    </row>
    <row r="36" spans="1:24" ht="15.6" x14ac:dyDescent="0.3">
      <c r="A36" s="292"/>
      <c r="B36" s="295" t="s">
        <v>298</v>
      </c>
      <c r="C36" s="302"/>
      <c r="D36" s="305">
        <f>D34*D37</f>
        <v>536759.82948000007</v>
      </c>
      <c r="E36" s="302"/>
      <c r="F36" s="305">
        <f>F34*F37</f>
        <v>86552.625</v>
      </c>
      <c r="G36" s="305"/>
      <c r="H36" s="305">
        <f>H34*H37</f>
        <v>116429.20630799999</v>
      </c>
      <c r="I36" s="305"/>
      <c r="J36" s="305">
        <f>J34*J37</f>
        <v>143135.67756000001</v>
      </c>
      <c r="K36" s="305"/>
      <c r="L36" s="305">
        <f>L34*L37</f>
        <v>51900</v>
      </c>
      <c r="M36" s="305"/>
      <c r="N36" s="305">
        <f>N34*N37</f>
        <v>60697</v>
      </c>
      <c r="O36" s="305"/>
      <c r="P36" s="305">
        <f>P34*P37</f>
        <v>20000</v>
      </c>
      <c r="Q36" s="305"/>
      <c r="R36" s="305">
        <f>R34*R37</f>
        <v>92618</v>
      </c>
      <c r="S36" s="328"/>
      <c r="T36" s="328"/>
      <c r="U36" s="300"/>
      <c r="V36" s="305">
        <f>SUM(C36:R36)</f>
        <v>1108092.3383480001</v>
      </c>
      <c r="W36" s="301"/>
      <c r="X36" s="5"/>
    </row>
    <row r="37" spans="1:24" ht="15.6" x14ac:dyDescent="0.3">
      <c r="A37" s="287"/>
      <c r="B37" s="313" t="s">
        <v>130</v>
      </c>
      <c r="C37" s="314"/>
      <c r="D37" s="315">
        <v>0.69242000000000004</v>
      </c>
      <c r="E37" s="315"/>
      <c r="F37" s="315">
        <v>0.69242099999999995</v>
      </c>
      <c r="G37" s="315"/>
      <c r="H37" s="315">
        <v>0.69242099999999995</v>
      </c>
      <c r="I37" s="315"/>
      <c r="J37" s="315">
        <v>0.69242000000000004</v>
      </c>
      <c r="K37" s="315"/>
      <c r="L37" s="315">
        <v>1</v>
      </c>
      <c r="M37" s="315"/>
      <c r="N37" s="315">
        <v>1</v>
      </c>
      <c r="O37" s="315"/>
      <c r="P37" s="315">
        <v>1</v>
      </c>
      <c r="Q37" s="315"/>
      <c r="R37" s="315">
        <v>1</v>
      </c>
      <c r="S37" s="316"/>
      <c r="T37" s="316"/>
      <c r="U37" s="317"/>
      <c r="V37" s="317"/>
      <c r="W37" s="318"/>
      <c r="X37" s="5"/>
    </row>
    <row r="38" spans="1:24" ht="15.6" x14ac:dyDescent="0.3">
      <c r="A38" s="287"/>
      <c r="B38" s="313" t="s">
        <v>131</v>
      </c>
      <c r="C38" s="314"/>
      <c r="D38" s="315">
        <v>0.69717169999999995</v>
      </c>
      <c r="E38" s="315"/>
      <c r="F38" s="315">
        <v>0.69717260000000003</v>
      </c>
      <c r="G38" s="315"/>
      <c r="H38" s="315">
        <v>0.69717260000000003</v>
      </c>
      <c r="I38" s="315"/>
      <c r="J38" s="315">
        <v>0.69717169999999995</v>
      </c>
      <c r="K38" s="315"/>
      <c r="L38" s="315">
        <v>1</v>
      </c>
      <c r="M38" s="315"/>
      <c r="N38" s="315">
        <v>1</v>
      </c>
      <c r="O38" s="315"/>
      <c r="P38" s="315">
        <v>1</v>
      </c>
      <c r="Q38" s="315"/>
      <c r="R38" s="315">
        <v>1</v>
      </c>
      <c r="S38" s="319"/>
      <c r="T38" s="320"/>
      <c r="U38" s="317"/>
      <c r="V38" s="319"/>
      <c r="W38" s="318"/>
      <c r="X38" s="5"/>
    </row>
    <row r="39" spans="1:24" ht="15.6" x14ac:dyDescent="0.3">
      <c r="A39" s="287"/>
      <c r="B39" s="288" t="s">
        <v>11</v>
      </c>
      <c r="C39" s="288"/>
      <c r="D39" s="296" t="s">
        <v>321</v>
      </c>
      <c r="E39" s="288"/>
      <c r="F39" s="296" t="s">
        <v>231</v>
      </c>
      <c r="G39" s="296"/>
      <c r="H39" s="296" t="s">
        <v>231</v>
      </c>
      <c r="I39" s="296"/>
      <c r="J39" s="296" t="s">
        <v>231</v>
      </c>
      <c r="K39" s="296"/>
      <c r="L39" s="296" t="s">
        <v>265</v>
      </c>
      <c r="M39" s="296"/>
      <c r="N39" s="296" t="s">
        <v>265</v>
      </c>
      <c r="O39" s="296"/>
      <c r="P39" s="296" t="s">
        <v>266</v>
      </c>
      <c r="Q39" s="296"/>
      <c r="R39" s="296" t="s">
        <v>266</v>
      </c>
      <c r="S39" s="321"/>
      <c r="T39" s="322"/>
      <c r="U39" s="290"/>
      <c r="V39" s="290"/>
      <c r="W39" s="291"/>
      <c r="X39" s="5"/>
    </row>
    <row r="40" spans="1:24" ht="15.6" x14ac:dyDescent="0.3">
      <c r="A40" s="287"/>
      <c r="B40" s="288" t="s">
        <v>12</v>
      </c>
      <c r="C40" s="288"/>
      <c r="D40" s="322">
        <v>4.0800000000000003E-3</v>
      </c>
      <c r="E40" s="288"/>
      <c r="F40" s="322">
        <v>8.5313000000000003E-3</v>
      </c>
      <c r="G40" s="321"/>
      <c r="H40" s="322">
        <v>4.5199999999999997E-3</v>
      </c>
      <c r="I40" s="322"/>
      <c r="J40" s="322">
        <v>5.8875000000000004E-3</v>
      </c>
      <c r="K40" s="321"/>
      <c r="L40" s="322">
        <v>1.0131299999999999E-2</v>
      </c>
      <c r="M40" s="321"/>
      <c r="N40" s="322">
        <v>6.1199999999999996E-3</v>
      </c>
      <c r="O40" s="321"/>
      <c r="P40" s="322">
        <v>1.4131299999999999E-2</v>
      </c>
      <c r="Q40" s="321"/>
      <c r="R40" s="322">
        <v>1.0120000000000001E-2</v>
      </c>
      <c r="S40" s="321"/>
      <c r="T40" s="322"/>
      <c r="U40" s="290"/>
      <c r="V40" s="296"/>
      <c r="W40" s="291"/>
      <c r="X40" s="5"/>
    </row>
    <row r="41" spans="1:24" ht="15.6" x14ac:dyDescent="0.3">
      <c r="A41" s="287"/>
      <c r="B41" s="288" t="s">
        <v>13</v>
      </c>
      <c r="C41" s="288"/>
      <c r="D41" s="322">
        <v>4.3949999999999996E-3</v>
      </c>
      <c r="E41" s="288"/>
      <c r="F41" s="322">
        <v>1.15088E-2</v>
      </c>
      <c r="G41" s="321"/>
      <c r="H41" s="322">
        <v>8.6199999999999992E-3</v>
      </c>
      <c r="I41" s="322"/>
      <c r="J41" s="322">
        <v>6.6785000000000004E-3</v>
      </c>
      <c r="K41" s="321"/>
      <c r="L41" s="322">
        <v>1.31088E-2</v>
      </c>
      <c r="M41" s="321"/>
      <c r="N41" s="322">
        <v>1.022E-2</v>
      </c>
      <c r="O41" s="321"/>
      <c r="P41" s="322">
        <v>1.71088E-2</v>
      </c>
      <c r="Q41" s="321"/>
      <c r="R41" s="322">
        <v>1.422E-2</v>
      </c>
      <c r="S41" s="321"/>
      <c r="T41" s="322"/>
      <c r="U41" s="290"/>
      <c r="V41" s="321" t="s">
        <v>193</v>
      </c>
      <c r="W41" s="291"/>
      <c r="X41" s="5"/>
    </row>
    <row r="42" spans="1:24" ht="15.6" x14ac:dyDescent="0.3">
      <c r="A42" s="287"/>
      <c r="B42" s="288" t="s">
        <v>299</v>
      </c>
      <c r="C42" s="288"/>
      <c r="D42" s="296" t="s">
        <v>322</v>
      </c>
      <c r="E42" s="288"/>
      <c r="F42" s="296" t="s">
        <v>231</v>
      </c>
      <c r="G42" s="296"/>
      <c r="H42" s="296" t="s">
        <v>323</v>
      </c>
      <c r="I42" s="296"/>
      <c r="J42" s="296" t="s">
        <v>324</v>
      </c>
      <c r="K42" s="296"/>
      <c r="L42" s="296" t="s">
        <v>265</v>
      </c>
      <c r="M42" s="296"/>
      <c r="N42" s="296" t="s">
        <v>234</v>
      </c>
      <c r="O42" s="296"/>
      <c r="P42" s="296" t="s">
        <v>266</v>
      </c>
      <c r="Q42" s="296"/>
      <c r="R42" s="296" t="s">
        <v>264</v>
      </c>
      <c r="S42" s="321"/>
      <c r="T42" s="322"/>
      <c r="U42" s="290"/>
      <c r="V42" s="290"/>
      <c r="W42" s="291"/>
      <c r="X42" s="5"/>
    </row>
    <row r="43" spans="1:24" ht="15.6" x14ac:dyDescent="0.3">
      <c r="A43" s="287"/>
      <c r="B43" s="288" t="s">
        <v>300</v>
      </c>
      <c r="C43" s="323"/>
      <c r="D43" s="322">
        <v>8.9052999999999997E-3</v>
      </c>
      <c r="E43" s="322"/>
      <c r="F43" s="322">
        <f>+F40</f>
        <v>8.5313000000000003E-3</v>
      </c>
      <c r="G43" s="322"/>
      <c r="H43" s="322">
        <v>8.8112999999999993E-3</v>
      </c>
      <c r="I43" s="322"/>
      <c r="J43" s="322">
        <v>9.2572999999999996E-3</v>
      </c>
      <c r="K43" s="322"/>
      <c r="L43" s="322">
        <f>+L40</f>
        <v>1.0131299999999999E-2</v>
      </c>
      <c r="M43" s="322"/>
      <c r="N43" s="322">
        <v>1.07233E-2</v>
      </c>
      <c r="O43" s="322"/>
      <c r="P43" s="322">
        <f>+P40</f>
        <v>1.4131299999999999E-2</v>
      </c>
      <c r="Q43" s="321"/>
      <c r="R43" s="322">
        <v>1.51973E-2</v>
      </c>
      <c r="S43" s="296"/>
      <c r="T43" s="296"/>
      <c r="U43" s="290"/>
      <c r="V43" s="321">
        <f>SUMPRODUCT(D43:R43,D35:R35)/V35</f>
        <v>9.6846972628614244E-3</v>
      </c>
      <c r="W43" s="291"/>
      <c r="X43" s="5"/>
    </row>
    <row r="44" spans="1:24" ht="15.6" x14ac:dyDescent="0.3">
      <c r="A44" s="287"/>
      <c r="B44" s="288" t="s">
        <v>301</v>
      </c>
      <c r="C44" s="323"/>
      <c r="D44" s="322">
        <v>1.1882800000000001E-2</v>
      </c>
      <c r="E44" s="322"/>
      <c r="F44" s="322">
        <f>+F41</f>
        <v>1.15088E-2</v>
      </c>
      <c r="G44" s="322"/>
      <c r="H44" s="322">
        <v>1.17888E-2</v>
      </c>
      <c r="I44" s="322"/>
      <c r="J44" s="322">
        <v>1.2234800000000001E-2</v>
      </c>
      <c r="K44" s="322"/>
      <c r="L44" s="322">
        <f>+L41</f>
        <v>1.31088E-2</v>
      </c>
      <c r="M44" s="322"/>
      <c r="N44" s="322">
        <v>1.3700800000000001E-2</v>
      </c>
      <c r="O44" s="322"/>
      <c r="P44" s="322">
        <f>+P41</f>
        <v>1.71088E-2</v>
      </c>
      <c r="Q44" s="321"/>
      <c r="R44" s="322">
        <v>1.8174800000000001E-2</v>
      </c>
      <c r="S44" s="296"/>
      <c r="T44" s="296"/>
      <c r="U44" s="290"/>
      <c r="V44" s="290"/>
      <c r="W44" s="291"/>
      <c r="X44" s="5"/>
    </row>
    <row r="45" spans="1:24" ht="15.6" x14ac:dyDescent="0.3">
      <c r="A45" s="287"/>
      <c r="B45" s="288" t="s">
        <v>14</v>
      </c>
      <c r="C45" s="288"/>
      <c r="D45" s="323">
        <v>40617</v>
      </c>
      <c r="E45" s="323"/>
      <c r="F45" s="323">
        <v>40617</v>
      </c>
      <c r="G45" s="323"/>
      <c r="H45" s="323">
        <v>40617</v>
      </c>
      <c r="I45" s="323"/>
      <c r="J45" s="323">
        <v>40617</v>
      </c>
      <c r="K45" s="323"/>
      <c r="L45" s="323">
        <v>40617</v>
      </c>
      <c r="M45" s="323"/>
      <c r="N45" s="323">
        <v>40617</v>
      </c>
      <c r="O45" s="323"/>
      <c r="P45" s="323">
        <v>40617</v>
      </c>
      <c r="Q45" s="323"/>
      <c r="R45" s="323">
        <v>40617</v>
      </c>
      <c r="S45" s="296"/>
      <c r="T45" s="296"/>
      <c r="U45" s="290"/>
      <c r="V45" s="290"/>
      <c r="W45" s="291"/>
      <c r="X45" s="5"/>
    </row>
    <row r="46" spans="1:24" ht="15.6" x14ac:dyDescent="0.3">
      <c r="A46" s="287"/>
      <c r="B46" s="288" t="s">
        <v>15</v>
      </c>
      <c r="C46" s="288"/>
      <c r="D46" s="323">
        <v>40983</v>
      </c>
      <c r="E46" s="323"/>
      <c r="F46" s="323">
        <v>40983</v>
      </c>
      <c r="G46" s="323"/>
      <c r="H46" s="323">
        <v>40983</v>
      </c>
      <c r="I46" s="323"/>
      <c r="J46" s="323">
        <v>40983</v>
      </c>
      <c r="K46" s="296"/>
      <c r="L46" s="323">
        <v>40983</v>
      </c>
      <c r="M46" s="296"/>
      <c r="N46" s="323">
        <v>40983</v>
      </c>
      <c r="O46" s="296"/>
      <c r="P46" s="323">
        <v>40983</v>
      </c>
      <c r="Q46" s="296"/>
      <c r="R46" s="323">
        <v>40983</v>
      </c>
      <c r="S46" s="296"/>
      <c r="T46" s="296"/>
      <c r="U46" s="290"/>
      <c r="V46" s="290"/>
      <c r="W46" s="291"/>
      <c r="X46" s="5"/>
    </row>
    <row r="47" spans="1:24" ht="15.6" x14ac:dyDescent="0.3">
      <c r="A47" s="287"/>
      <c r="B47" s="288" t="s">
        <v>119</v>
      </c>
      <c r="C47" s="288"/>
      <c r="D47" s="296" t="s">
        <v>231</v>
      </c>
      <c r="E47" s="288"/>
      <c r="F47" s="296" t="s">
        <v>231</v>
      </c>
      <c r="G47" s="296"/>
      <c r="H47" s="296" t="s">
        <v>231</v>
      </c>
      <c r="I47" s="296"/>
      <c r="J47" s="296" t="s">
        <v>231</v>
      </c>
      <c r="K47" s="296"/>
      <c r="L47" s="296" t="s">
        <v>265</v>
      </c>
      <c r="M47" s="296"/>
      <c r="N47" s="296" t="s">
        <v>265</v>
      </c>
      <c r="O47" s="296"/>
      <c r="P47" s="296" t="s">
        <v>266</v>
      </c>
      <c r="Q47" s="296"/>
      <c r="R47" s="296" t="s">
        <v>266</v>
      </c>
      <c r="S47" s="325"/>
      <c r="T47" s="325"/>
      <c r="U47" s="325"/>
      <c r="V47" s="325"/>
      <c r="W47" s="291"/>
      <c r="X47" s="5"/>
    </row>
    <row r="48" spans="1:24" ht="15.6" x14ac:dyDescent="0.3">
      <c r="A48" s="287"/>
      <c r="B48" s="288" t="s">
        <v>302</v>
      </c>
      <c r="C48" s="288"/>
      <c r="D48" s="296" t="s">
        <v>325</v>
      </c>
      <c r="E48" s="288"/>
      <c r="F48" s="296" t="s">
        <v>231</v>
      </c>
      <c r="G48" s="296"/>
      <c r="H48" s="296" t="s">
        <v>262</v>
      </c>
      <c r="I48" s="296"/>
      <c r="J48" s="296" t="s">
        <v>263</v>
      </c>
      <c r="K48" s="296"/>
      <c r="L48" s="296" t="s">
        <v>265</v>
      </c>
      <c r="M48" s="296"/>
      <c r="N48" s="296" t="s">
        <v>234</v>
      </c>
      <c r="O48" s="296"/>
      <c r="P48" s="296" t="s">
        <v>266</v>
      </c>
      <c r="Q48" s="296"/>
      <c r="R48" s="296" t="s">
        <v>264</v>
      </c>
      <c r="S48" s="288"/>
      <c r="T48" s="288"/>
      <c r="U48" s="288"/>
      <c r="V48" s="321"/>
      <c r="W48" s="291"/>
      <c r="X48" s="5"/>
    </row>
    <row r="49" spans="1:25" ht="15.6" x14ac:dyDescent="0.3">
      <c r="A49" s="287"/>
      <c r="B49" s="288"/>
      <c r="C49" s="288"/>
      <c r="D49" s="296"/>
      <c r="E49" s="288"/>
      <c r="F49" s="296"/>
      <c r="G49" s="296"/>
      <c r="H49" s="296"/>
      <c r="I49" s="296"/>
      <c r="J49" s="296"/>
      <c r="K49" s="296"/>
      <c r="L49" s="296"/>
      <c r="M49" s="296"/>
      <c r="N49" s="296"/>
      <c r="O49" s="296"/>
      <c r="P49" s="296"/>
      <c r="Q49" s="296"/>
      <c r="R49" s="296"/>
      <c r="S49" s="288"/>
      <c r="T49" s="288"/>
      <c r="U49" s="288"/>
      <c r="V49" s="321" t="s">
        <v>193</v>
      </c>
      <c r="W49" s="291"/>
      <c r="X49" s="5"/>
    </row>
    <row r="50" spans="1:25" ht="15.6" x14ac:dyDescent="0.3">
      <c r="A50" s="287"/>
      <c r="B50" s="288" t="s">
        <v>169</v>
      </c>
      <c r="C50" s="288"/>
      <c r="D50" s="296"/>
      <c r="E50" s="288"/>
      <c r="F50" s="296"/>
      <c r="G50" s="296"/>
      <c r="H50" s="296"/>
      <c r="I50" s="296"/>
      <c r="J50" s="296"/>
      <c r="K50" s="296"/>
      <c r="L50" s="296"/>
      <c r="M50" s="296"/>
      <c r="N50" s="296"/>
      <c r="O50" s="296"/>
      <c r="P50" s="296"/>
      <c r="Q50" s="296"/>
      <c r="R50" s="296"/>
      <c r="S50" s="288"/>
      <c r="T50" s="288"/>
      <c r="U50" s="288"/>
      <c r="V50" s="321">
        <f>SUM(L34:R34)/SUM(D34:J34)</f>
        <v>0.17663090364375009</v>
      </c>
      <c r="W50" s="291"/>
      <c r="X50" s="5"/>
    </row>
    <row r="51" spans="1:25" ht="15.6" x14ac:dyDescent="0.3">
      <c r="A51" s="287"/>
      <c r="B51" s="288" t="s">
        <v>170</v>
      </c>
      <c r="C51" s="288"/>
      <c r="D51" s="288"/>
      <c r="E51" s="288"/>
      <c r="F51" s="326"/>
      <c r="G51" s="288"/>
      <c r="H51" s="288"/>
      <c r="I51" s="288"/>
      <c r="J51" s="288"/>
      <c r="K51" s="288"/>
      <c r="L51" s="288"/>
      <c r="M51" s="288"/>
      <c r="N51" s="288"/>
      <c r="O51" s="288"/>
      <c r="P51" s="288"/>
      <c r="Q51" s="288"/>
      <c r="R51" s="288"/>
      <c r="S51" s="288"/>
      <c r="T51" s="288"/>
      <c r="U51" s="288"/>
      <c r="V51" s="321">
        <f>SUM(L36:R36)/SUM(D36:J36)</f>
        <v>0.25509206117059485</v>
      </c>
      <c r="W51" s="291"/>
      <c r="X51" s="5"/>
    </row>
    <row r="52" spans="1:25" ht="15.6" x14ac:dyDescent="0.3">
      <c r="A52" s="287"/>
      <c r="B52" s="288" t="s">
        <v>171</v>
      </c>
      <c r="C52" s="288"/>
      <c r="D52" s="288"/>
      <c r="E52" s="288"/>
      <c r="F52" s="288"/>
      <c r="G52" s="288"/>
      <c r="H52" s="288"/>
      <c r="I52" s="288"/>
      <c r="J52" s="288"/>
      <c r="K52" s="288"/>
      <c r="L52" s="288"/>
      <c r="M52" s="288"/>
      <c r="N52" s="288"/>
      <c r="O52" s="288"/>
      <c r="P52" s="288"/>
      <c r="Q52" s="288"/>
      <c r="R52" s="288"/>
      <c r="S52" s="288"/>
      <c r="T52" s="296"/>
      <c r="U52" s="296"/>
      <c r="V52" s="299" t="s">
        <v>276</v>
      </c>
      <c r="W52" s="291"/>
      <c r="X52" s="5"/>
    </row>
    <row r="53" spans="1:25" ht="15.6" x14ac:dyDescent="0.3">
      <c r="A53" s="287"/>
      <c r="B53" s="288"/>
      <c r="C53" s="288"/>
      <c r="D53" s="288"/>
      <c r="E53" s="288"/>
      <c r="F53" s="288"/>
      <c r="G53" s="288"/>
      <c r="H53" s="288"/>
      <c r="I53" s="288"/>
      <c r="J53" s="288"/>
      <c r="K53" s="288"/>
      <c r="L53" s="288"/>
      <c r="M53" s="288"/>
      <c r="N53" s="288"/>
      <c r="O53" s="288"/>
      <c r="P53" s="288"/>
      <c r="Q53" s="288"/>
      <c r="R53" s="288"/>
      <c r="S53" s="288"/>
      <c r="T53" s="288"/>
      <c r="U53" s="288"/>
      <c r="V53" s="327"/>
      <c r="W53" s="291"/>
      <c r="X53" s="5"/>
    </row>
    <row r="54" spans="1:25" ht="15.6" x14ac:dyDescent="0.3">
      <c r="A54" s="287"/>
      <c r="B54" s="288" t="s">
        <v>202</v>
      </c>
      <c r="C54" s="288"/>
      <c r="D54" s="288"/>
      <c r="E54" s="288"/>
      <c r="F54" s="288"/>
      <c r="G54" s="288"/>
      <c r="H54" s="288"/>
      <c r="I54" s="288"/>
      <c r="J54" s="288"/>
      <c r="K54" s="288"/>
      <c r="L54" s="288"/>
      <c r="M54" s="288"/>
      <c r="N54" s="288"/>
      <c r="O54" s="288"/>
      <c r="P54" s="288"/>
      <c r="Q54" s="288"/>
      <c r="R54" s="288"/>
      <c r="S54" s="288"/>
      <c r="T54" s="288"/>
      <c r="U54" s="288"/>
      <c r="V54" s="328" t="s">
        <v>203</v>
      </c>
      <c r="W54" s="291"/>
      <c r="X54" s="5"/>
    </row>
    <row r="55" spans="1:25" ht="15.6" x14ac:dyDescent="0.3">
      <c r="A55" s="287"/>
      <c r="B55" s="288" t="s">
        <v>280</v>
      </c>
      <c r="C55" s="288"/>
      <c r="D55" s="288"/>
      <c r="E55" s="288"/>
      <c r="F55" s="288"/>
      <c r="G55" s="288"/>
      <c r="H55" s="288"/>
      <c r="I55" s="288"/>
      <c r="J55" s="288"/>
      <c r="K55" s="288"/>
      <c r="L55" s="288"/>
      <c r="M55" s="288"/>
      <c r="N55" s="288"/>
      <c r="O55" s="288"/>
      <c r="P55" s="288"/>
      <c r="Q55" s="288"/>
      <c r="R55" s="288"/>
      <c r="S55" s="288"/>
      <c r="T55" s="296"/>
      <c r="U55" s="296"/>
      <c r="V55" s="329" t="s">
        <v>111</v>
      </c>
      <c r="W55" s="291"/>
      <c r="X55" s="5"/>
    </row>
    <row r="56" spans="1:25" ht="15.6" x14ac:dyDescent="0.3">
      <c r="A56" s="287"/>
      <c r="B56" s="295" t="s">
        <v>201</v>
      </c>
      <c r="C56" s="295"/>
      <c r="D56" s="295"/>
      <c r="E56" s="295"/>
      <c r="F56" s="295"/>
      <c r="G56" s="295"/>
      <c r="H56" s="295"/>
      <c r="I56" s="295"/>
      <c r="J56" s="295"/>
      <c r="K56" s="295"/>
      <c r="L56" s="295"/>
      <c r="M56" s="295"/>
      <c r="N56" s="295"/>
      <c r="O56" s="295"/>
      <c r="P56" s="295"/>
      <c r="Q56" s="295"/>
      <c r="R56" s="295"/>
      <c r="S56" s="295"/>
      <c r="T56" s="330"/>
      <c r="U56" s="330"/>
      <c r="V56" s="331">
        <v>41260</v>
      </c>
      <c r="W56" s="291"/>
      <c r="X56" s="5"/>
    </row>
    <row r="57" spans="1:25" ht="15.6" x14ac:dyDescent="0.3">
      <c r="A57" s="287"/>
      <c r="B57" s="288" t="s">
        <v>121</v>
      </c>
      <c r="C57" s="288"/>
      <c r="D57" s="288"/>
      <c r="E57" s="288"/>
      <c r="F57" s="288"/>
      <c r="G57" s="288"/>
      <c r="H57" s="332"/>
      <c r="I57" s="332"/>
      <c r="J57" s="332"/>
      <c r="K57" s="332"/>
      <c r="L57" s="332"/>
      <c r="M57" s="332"/>
      <c r="N57" s="332"/>
      <c r="O57" s="332"/>
      <c r="P57" s="332"/>
      <c r="Q57" s="332"/>
      <c r="R57" s="288">
        <f>+V57-T57+1</f>
        <v>94</v>
      </c>
      <c r="S57" s="332"/>
      <c r="T57" s="333">
        <v>41075</v>
      </c>
      <c r="U57" s="334"/>
      <c r="V57" s="333">
        <v>41168</v>
      </c>
      <c r="W57" s="291"/>
      <c r="X57" s="5"/>
    </row>
    <row r="58" spans="1:25" ht="15.6" x14ac:dyDescent="0.3">
      <c r="A58" s="287"/>
      <c r="B58" s="288" t="s">
        <v>122</v>
      </c>
      <c r="C58" s="288"/>
      <c r="D58" s="288"/>
      <c r="E58" s="288"/>
      <c r="F58" s="288"/>
      <c r="G58" s="288"/>
      <c r="H58" s="288"/>
      <c r="I58" s="288"/>
      <c r="J58" s="288"/>
      <c r="K58" s="288"/>
      <c r="L58" s="288"/>
      <c r="M58" s="288"/>
      <c r="N58" s="288"/>
      <c r="O58" s="288"/>
      <c r="P58" s="288"/>
      <c r="Q58" s="288"/>
      <c r="R58" s="288">
        <f>+V58-T58+1</f>
        <v>91</v>
      </c>
      <c r="S58" s="288"/>
      <c r="T58" s="333">
        <v>41169</v>
      </c>
      <c r="U58" s="334"/>
      <c r="V58" s="333">
        <v>41259</v>
      </c>
      <c r="W58" s="291"/>
      <c r="X58" s="5"/>
    </row>
    <row r="59" spans="1:25" ht="15.6" x14ac:dyDescent="0.3">
      <c r="A59" s="287"/>
      <c r="B59" s="288" t="s">
        <v>229</v>
      </c>
      <c r="C59" s="288"/>
      <c r="D59" s="288"/>
      <c r="E59" s="288"/>
      <c r="F59" s="288"/>
      <c r="G59" s="288"/>
      <c r="H59" s="288"/>
      <c r="I59" s="288"/>
      <c r="J59" s="288"/>
      <c r="K59" s="288"/>
      <c r="L59" s="288"/>
      <c r="M59" s="288"/>
      <c r="N59" s="288"/>
      <c r="O59" s="288"/>
      <c r="P59" s="288"/>
      <c r="Q59" s="288"/>
      <c r="R59" s="288"/>
      <c r="S59" s="288"/>
      <c r="T59" s="333"/>
      <c r="U59" s="334"/>
      <c r="V59" s="333" t="s">
        <v>120</v>
      </c>
      <c r="W59" s="291"/>
      <c r="X59" s="5"/>
    </row>
    <row r="60" spans="1:25" ht="15.6" x14ac:dyDescent="0.3">
      <c r="A60" s="287"/>
      <c r="B60" s="288" t="s">
        <v>228</v>
      </c>
      <c r="C60" s="288"/>
      <c r="D60" s="288"/>
      <c r="E60" s="288"/>
      <c r="F60" s="288"/>
      <c r="G60" s="288"/>
      <c r="H60" s="288"/>
      <c r="I60" s="288"/>
      <c r="J60" s="288"/>
      <c r="K60" s="288"/>
      <c r="L60" s="288"/>
      <c r="M60" s="288"/>
      <c r="N60" s="288"/>
      <c r="O60" s="288"/>
      <c r="P60" s="288"/>
      <c r="Q60" s="288"/>
      <c r="R60" s="288"/>
      <c r="S60" s="288"/>
      <c r="T60" s="333"/>
      <c r="U60" s="334"/>
      <c r="V60" s="333" t="s">
        <v>154</v>
      </c>
      <c r="W60" s="291"/>
      <c r="X60" s="5"/>
      <c r="Y60" s="134"/>
    </row>
    <row r="61" spans="1:25" ht="15.6" x14ac:dyDescent="0.3">
      <c r="A61" s="287"/>
      <c r="B61" s="288" t="s">
        <v>16</v>
      </c>
      <c r="C61" s="288"/>
      <c r="D61" s="288"/>
      <c r="E61" s="288"/>
      <c r="F61" s="288"/>
      <c r="G61" s="288"/>
      <c r="H61" s="288"/>
      <c r="I61" s="288"/>
      <c r="J61" s="288"/>
      <c r="K61" s="288"/>
      <c r="L61" s="288"/>
      <c r="M61" s="288"/>
      <c r="N61" s="288"/>
      <c r="O61" s="288"/>
      <c r="P61" s="288"/>
      <c r="Q61" s="288"/>
      <c r="R61" s="288"/>
      <c r="S61" s="288"/>
      <c r="T61" s="333"/>
      <c r="U61" s="334"/>
      <c r="V61" s="333">
        <v>41246</v>
      </c>
      <c r="W61" s="291"/>
      <c r="X61" s="5"/>
    </row>
    <row r="62" spans="1:25" ht="15.6" x14ac:dyDescent="0.3">
      <c r="A62" s="183"/>
      <c r="B62" s="284"/>
      <c r="C62" s="284"/>
      <c r="D62" s="284"/>
      <c r="E62" s="284"/>
      <c r="F62" s="284"/>
      <c r="G62" s="284"/>
      <c r="H62" s="284"/>
      <c r="I62" s="284"/>
      <c r="J62" s="284"/>
      <c r="K62" s="284"/>
      <c r="L62" s="284"/>
      <c r="M62" s="284"/>
      <c r="N62" s="284"/>
      <c r="O62" s="284"/>
      <c r="P62" s="284"/>
      <c r="Q62" s="284"/>
      <c r="R62" s="284"/>
      <c r="S62" s="284"/>
      <c r="T62" s="285"/>
      <c r="U62" s="286"/>
      <c r="V62" s="285"/>
      <c r="W62" s="284"/>
      <c r="X62" s="5"/>
    </row>
    <row r="63" spans="1:25" ht="15.6" x14ac:dyDescent="0.3">
      <c r="A63" s="183"/>
      <c r="B63" s="224"/>
      <c r="C63" s="224"/>
      <c r="D63" s="224"/>
      <c r="E63" s="224"/>
      <c r="F63" s="224"/>
      <c r="G63" s="224"/>
      <c r="H63" s="224"/>
      <c r="I63" s="224"/>
      <c r="J63" s="224"/>
      <c r="K63" s="224"/>
      <c r="L63" s="224"/>
      <c r="M63" s="224"/>
      <c r="N63" s="224"/>
      <c r="O63" s="224"/>
      <c r="P63" s="224"/>
      <c r="Q63" s="224"/>
      <c r="R63" s="224"/>
      <c r="S63" s="224"/>
      <c r="T63" s="235"/>
      <c r="U63" s="236"/>
      <c r="V63" s="235"/>
      <c r="W63" s="224"/>
      <c r="X63" s="5"/>
    </row>
    <row r="64" spans="1:25" ht="18" thickBot="1" x14ac:dyDescent="0.35">
      <c r="A64" s="199"/>
      <c r="B64" s="237" t="s">
        <v>328</v>
      </c>
      <c r="C64" s="238"/>
      <c r="D64" s="238"/>
      <c r="E64" s="238"/>
      <c r="F64" s="238"/>
      <c r="G64" s="238"/>
      <c r="H64" s="238"/>
      <c r="I64" s="238"/>
      <c r="J64" s="238"/>
      <c r="K64" s="238"/>
      <c r="L64" s="238"/>
      <c r="M64" s="238"/>
      <c r="N64" s="238"/>
      <c r="O64" s="238"/>
      <c r="P64" s="238"/>
      <c r="Q64" s="238"/>
      <c r="R64" s="238"/>
      <c r="S64" s="238"/>
      <c r="T64" s="238"/>
      <c r="U64" s="238"/>
      <c r="V64" s="239"/>
      <c r="W64" s="240"/>
      <c r="X64" s="5"/>
    </row>
    <row r="65" spans="1:24" ht="15.6" x14ac:dyDescent="0.3">
      <c r="A65" s="262"/>
      <c r="B65" s="399" t="s">
        <v>17</v>
      </c>
      <c r="C65" s="263"/>
      <c r="D65" s="263"/>
      <c r="E65" s="263"/>
      <c r="F65" s="263"/>
      <c r="G65" s="263"/>
      <c r="H65" s="263"/>
      <c r="I65" s="263"/>
      <c r="J65" s="263"/>
      <c r="K65" s="263"/>
      <c r="L65" s="263"/>
      <c r="M65" s="263"/>
      <c r="N65" s="263"/>
      <c r="O65" s="263"/>
      <c r="P65" s="263"/>
      <c r="Q65" s="263"/>
      <c r="R65" s="263"/>
      <c r="S65" s="263"/>
      <c r="T65" s="263"/>
      <c r="U65" s="263"/>
      <c r="V65" s="268"/>
      <c r="W65" s="263"/>
      <c r="X65" s="5"/>
    </row>
    <row r="66" spans="1:24" ht="15.6" x14ac:dyDescent="0.3">
      <c r="A66" s="183"/>
      <c r="B66" s="191"/>
      <c r="C66" s="185"/>
      <c r="D66" s="185"/>
      <c r="E66" s="185"/>
      <c r="F66" s="185"/>
      <c r="G66" s="185"/>
      <c r="H66" s="185"/>
      <c r="I66" s="185"/>
      <c r="J66" s="185"/>
      <c r="K66" s="185"/>
      <c r="L66" s="185"/>
      <c r="M66" s="185"/>
      <c r="N66" s="185"/>
      <c r="O66" s="185"/>
      <c r="P66" s="185"/>
      <c r="Q66" s="185"/>
      <c r="R66" s="185"/>
      <c r="S66" s="185"/>
      <c r="T66" s="185"/>
      <c r="U66" s="185"/>
      <c r="V66" s="201"/>
      <c r="W66" s="185"/>
      <c r="X66" s="5"/>
    </row>
    <row r="67" spans="1:24" ht="46.8" x14ac:dyDescent="0.3">
      <c r="A67" s="183"/>
      <c r="B67" s="202" t="s">
        <v>18</v>
      </c>
      <c r="C67" s="203"/>
      <c r="D67" s="203"/>
      <c r="E67" s="203"/>
      <c r="F67" s="203"/>
      <c r="G67" s="203"/>
      <c r="H67" s="203"/>
      <c r="I67" s="203"/>
      <c r="J67" s="203"/>
      <c r="K67" s="203"/>
      <c r="L67" s="203" t="s">
        <v>94</v>
      </c>
      <c r="M67" s="203"/>
      <c r="N67" s="203" t="s">
        <v>96</v>
      </c>
      <c r="O67" s="203"/>
      <c r="P67" s="203" t="s">
        <v>98</v>
      </c>
      <c r="Q67" s="203"/>
      <c r="R67" s="203" t="s">
        <v>100</v>
      </c>
      <c r="S67" s="203"/>
      <c r="T67" s="203" t="s">
        <v>106</v>
      </c>
      <c r="U67" s="203"/>
      <c r="V67" s="204" t="s">
        <v>112</v>
      </c>
      <c r="W67" s="205"/>
      <c r="X67" s="5"/>
    </row>
    <row r="68" spans="1:24" ht="15.6" x14ac:dyDescent="0.3">
      <c r="A68" s="287"/>
      <c r="B68" s="288" t="s">
        <v>19</v>
      </c>
      <c r="C68" s="337"/>
      <c r="D68" s="337"/>
      <c r="E68" s="337"/>
      <c r="F68" s="337"/>
      <c r="G68" s="337"/>
      <c r="H68" s="337"/>
      <c r="I68" s="337"/>
      <c r="J68" s="337"/>
      <c r="K68" s="337"/>
      <c r="L68" s="337">
        <v>1158015</v>
      </c>
      <c r="M68" s="337"/>
      <c r="N68" s="338">
        <v>1114151</v>
      </c>
      <c r="O68" s="337"/>
      <c r="P68" s="337">
        <f>6059+20+1</f>
        <v>6080</v>
      </c>
      <c r="Q68" s="337"/>
      <c r="R68" s="337">
        <v>21</v>
      </c>
      <c r="S68" s="337"/>
      <c r="T68" s="337">
        <v>0</v>
      </c>
      <c r="U68" s="337"/>
      <c r="V68" s="338">
        <f>+N68-P68+R68-T68</f>
        <v>1108092</v>
      </c>
      <c r="W68" s="291"/>
      <c r="X68" s="5"/>
    </row>
    <row r="69" spans="1:24" ht="15.6" x14ac:dyDescent="0.3">
      <c r="A69" s="287"/>
      <c r="B69" s="288" t="s">
        <v>20</v>
      </c>
      <c r="C69" s="337"/>
      <c r="D69" s="337"/>
      <c r="E69" s="337"/>
      <c r="F69" s="337"/>
      <c r="G69" s="337"/>
      <c r="H69" s="337"/>
      <c r="I69" s="337"/>
      <c r="J69" s="337"/>
      <c r="K69" s="337"/>
      <c r="L69" s="337">
        <v>15</v>
      </c>
      <c r="M69" s="337"/>
      <c r="N69" s="338">
        <v>0</v>
      </c>
      <c r="O69" s="337"/>
      <c r="P69" s="337">
        <v>0</v>
      </c>
      <c r="Q69" s="337"/>
      <c r="R69" s="337">
        <v>0</v>
      </c>
      <c r="S69" s="337"/>
      <c r="T69" s="337">
        <v>0</v>
      </c>
      <c r="U69" s="337"/>
      <c r="V69" s="338">
        <v>0</v>
      </c>
      <c r="W69" s="291"/>
      <c r="X69" s="5"/>
    </row>
    <row r="70" spans="1:24" ht="15.6" x14ac:dyDescent="0.3">
      <c r="A70" s="287"/>
      <c r="B70" s="288"/>
      <c r="C70" s="337"/>
      <c r="D70" s="337"/>
      <c r="E70" s="337"/>
      <c r="F70" s="337"/>
      <c r="G70" s="337"/>
      <c r="H70" s="337"/>
      <c r="I70" s="337"/>
      <c r="J70" s="337"/>
      <c r="K70" s="337"/>
      <c r="L70" s="337"/>
      <c r="M70" s="337"/>
      <c r="N70" s="338"/>
      <c r="O70" s="337"/>
      <c r="P70" s="337"/>
      <c r="Q70" s="337"/>
      <c r="R70" s="337"/>
      <c r="S70" s="337"/>
      <c r="T70" s="337"/>
      <c r="U70" s="337"/>
      <c r="V70" s="338"/>
      <c r="W70" s="291"/>
      <c r="X70" s="5"/>
    </row>
    <row r="71" spans="1:24" ht="15.6" x14ac:dyDescent="0.3">
      <c r="A71" s="287"/>
      <c r="B71" s="288" t="s">
        <v>21</v>
      </c>
      <c r="C71" s="337"/>
      <c r="D71" s="337"/>
      <c r="E71" s="337"/>
      <c r="F71" s="337"/>
      <c r="G71" s="337"/>
      <c r="H71" s="337"/>
      <c r="I71" s="337"/>
      <c r="J71" s="337"/>
      <c r="K71" s="337"/>
      <c r="L71" s="337">
        <f>SUM(L68:L70)</f>
        <v>1158030</v>
      </c>
      <c r="M71" s="337"/>
      <c r="N71" s="337">
        <f>N68+N69</f>
        <v>1114151</v>
      </c>
      <c r="O71" s="337"/>
      <c r="P71" s="337">
        <f>SUM(P68:P70)</f>
        <v>6080</v>
      </c>
      <c r="Q71" s="337"/>
      <c r="R71" s="337">
        <f>SUM(R68:R70)</f>
        <v>21</v>
      </c>
      <c r="S71" s="337"/>
      <c r="T71" s="337">
        <f>SUM(T68:T70)</f>
        <v>0</v>
      </c>
      <c r="U71" s="337"/>
      <c r="V71" s="337">
        <f>SUM(V68:V70)</f>
        <v>1108092</v>
      </c>
      <c r="W71" s="291"/>
      <c r="X71" s="5"/>
    </row>
    <row r="72" spans="1:24" ht="15.6" x14ac:dyDescent="0.3">
      <c r="A72" s="183"/>
      <c r="B72" s="198"/>
      <c r="C72" s="335"/>
      <c r="D72" s="335"/>
      <c r="E72" s="335"/>
      <c r="F72" s="335"/>
      <c r="G72" s="335"/>
      <c r="H72" s="335"/>
      <c r="I72" s="335"/>
      <c r="J72" s="335"/>
      <c r="K72" s="335"/>
      <c r="L72" s="335"/>
      <c r="M72" s="335"/>
      <c r="N72" s="335"/>
      <c r="O72" s="335"/>
      <c r="P72" s="335"/>
      <c r="Q72" s="335"/>
      <c r="R72" s="335"/>
      <c r="S72" s="335"/>
      <c r="T72" s="335"/>
      <c r="U72" s="335"/>
      <c r="V72" s="336"/>
      <c r="W72" s="198"/>
      <c r="X72" s="5"/>
    </row>
    <row r="73" spans="1:24" ht="15.6" x14ac:dyDescent="0.3">
      <c r="A73" s="183"/>
      <c r="B73" s="187" t="s">
        <v>22</v>
      </c>
      <c r="C73" s="206"/>
      <c r="D73" s="206"/>
      <c r="E73" s="206"/>
      <c r="F73" s="206"/>
      <c r="G73" s="206"/>
      <c r="H73" s="206"/>
      <c r="I73" s="206"/>
      <c r="J73" s="206"/>
      <c r="K73" s="206"/>
      <c r="L73" s="206"/>
      <c r="M73" s="206"/>
      <c r="N73" s="206"/>
      <c r="O73" s="206"/>
      <c r="P73" s="206"/>
      <c r="Q73" s="206"/>
      <c r="R73" s="206"/>
      <c r="S73" s="206"/>
      <c r="T73" s="206"/>
      <c r="U73" s="206"/>
      <c r="V73" s="207"/>
      <c r="W73" s="185"/>
      <c r="X73" s="5"/>
    </row>
    <row r="74" spans="1:24" ht="15.6" x14ac:dyDescent="0.3">
      <c r="A74" s="183"/>
      <c r="B74" s="185"/>
      <c r="C74" s="206"/>
      <c r="D74" s="206"/>
      <c r="E74" s="206"/>
      <c r="F74" s="206"/>
      <c r="G74" s="206"/>
      <c r="H74" s="206"/>
      <c r="I74" s="206"/>
      <c r="J74" s="206"/>
      <c r="K74" s="206"/>
      <c r="L74" s="206"/>
      <c r="M74" s="206"/>
      <c r="N74" s="206"/>
      <c r="O74" s="206"/>
      <c r="P74" s="206"/>
      <c r="Q74" s="206"/>
      <c r="R74" s="206"/>
      <c r="S74" s="206"/>
      <c r="T74" s="206"/>
      <c r="U74" s="206"/>
      <c r="V74" s="207"/>
      <c r="W74" s="185"/>
      <c r="X74" s="5"/>
    </row>
    <row r="75" spans="1:24" ht="15.6" x14ac:dyDescent="0.3">
      <c r="A75" s="340"/>
      <c r="B75" s="288" t="s">
        <v>19</v>
      </c>
      <c r="C75" s="337"/>
      <c r="D75" s="337"/>
      <c r="E75" s="337"/>
      <c r="F75" s="337"/>
      <c r="G75" s="337"/>
      <c r="H75" s="337"/>
      <c r="I75" s="337"/>
      <c r="J75" s="337"/>
      <c r="K75" s="337"/>
      <c r="L75" s="337"/>
      <c r="M75" s="337"/>
      <c r="N75" s="337"/>
      <c r="O75" s="337"/>
      <c r="P75" s="337"/>
      <c r="Q75" s="337"/>
      <c r="R75" s="337"/>
      <c r="S75" s="337"/>
      <c r="T75" s="337"/>
      <c r="U75" s="337"/>
      <c r="V75" s="337"/>
      <c r="W75" s="291"/>
      <c r="X75" s="5"/>
    </row>
    <row r="76" spans="1:24" ht="15.6" x14ac:dyDescent="0.3">
      <c r="A76" s="340"/>
      <c r="B76" s="288" t="s">
        <v>20</v>
      </c>
      <c r="C76" s="337"/>
      <c r="D76" s="337"/>
      <c r="E76" s="337"/>
      <c r="F76" s="337"/>
      <c r="G76" s="337"/>
      <c r="H76" s="337"/>
      <c r="I76" s="337"/>
      <c r="J76" s="337"/>
      <c r="K76" s="337"/>
      <c r="L76" s="337"/>
      <c r="M76" s="337"/>
      <c r="N76" s="337"/>
      <c r="O76" s="337"/>
      <c r="P76" s="337"/>
      <c r="Q76" s="337"/>
      <c r="R76" s="337"/>
      <c r="S76" s="337"/>
      <c r="T76" s="337"/>
      <c r="U76" s="337"/>
      <c r="V76" s="337"/>
      <c r="W76" s="291"/>
      <c r="X76" s="5"/>
    </row>
    <row r="77" spans="1:24" ht="15.6" x14ac:dyDescent="0.3">
      <c r="A77" s="340"/>
      <c r="B77" s="288"/>
      <c r="C77" s="337"/>
      <c r="D77" s="337"/>
      <c r="E77" s="337"/>
      <c r="F77" s="337"/>
      <c r="G77" s="337"/>
      <c r="H77" s="337"/>
      <c r="I77" s="337"/>
      <c r="J77" s="337"/>
      <c r="K77" s="337"/>
      <c r="L77" s="337"/>
      <c r="M77" s="337"/>
      <c r="N77" s="337"/>
      <c r="O77" s="337"/>
      <c r="P77" s="337"/>
      <c r="Q77" s="337"/>
      <c r="R77" s="337"/>
      <c r="S77" s="337"/>
      <c r="T77" s="337"/>
      <c r="U77" s="337"/>
      <c r="V77" s="337"/>
      <c r="W77" s="291"/>
      <c r="X77" s="5"/>
    </row>
    <row r="78" spans="1:24" ht="15.6" x14ac:dyDescent="0.3">
      <c r="A78" s="340"/>
      <c r="B78" s="288" t="s">
        <v>21</v>
      </c>
      <c r="C78" s="337"/>
      <c r="D78" s="337"/>
      <c r="E78" s="337"/>
      <c r="F78" s="337"/>
      <c r="G78" s="337"/>
      <c r="H78" s="337"/>
      <c r="I78" s="337"/>
      <c r="J78" s="337"/>
      <c r="K78" s="337"/>
      <c r="L78" s="337"/>
      <c r="M78" s="337"/>
      <c r="N78" s="337"/>
      <c r="O78" s="337"/>
      <c r="P78" s="337"/>
      <c r="Q78" s="337"/>
      <c r="R78" s="337"/>
      <c r="S78" s="337"/>
      <c r="T78" s="337"/>
      <c r="U78" s="337"/>
      <c r="V78" s="337"/>
      <c r="W78" s="291"/>
      <c r="X78" s="5"/>
    </row>
    <row r="79" spans="1:24" ht="15.6" x14ac:dyDescent="0.3">
      <c r="A79" s="340"/>
      <c r="B79" s="288"/>
      <c r="C79" s="337"/>
      <c r="D79" s="337"/>
      <c r="E79" s="337"/>
      <c r="F79" s="337"/>
      <c r="G79" s="337"/>
      <c r="H79" s="337"/>
      <c r="I79" s="337"/>
      <c r="J79" s="337"/>
      <c r="K79" s="337"/>
      <c r="L79" s="337"/>
      <c r="M79" s="337"/>
      <c r="N79" s="337"/>
      <c r="O79" s="337"/>
      <c r="P79" s="337"/>
      <c r="Q79" s="337"/>
      <c r="R79" s="337"/>
      <c r="S79" s="337"/>
      <c r="T79" s="337"/>
      <c r="U79" s="337"/>
      <c r="V79" s="337"/>
      <c r="W79" s="291"/>
      <c r="X79" s="5"/>
    </row>
    <row r="80" spans="1:24" ht="15.6" x14ac:dyDescent="0.3">
      <c r="A80" s="340"/>
      <c r="B80" s="288" t="s">
        <v>23</v>
      </c>
      <c r="C80" s="337"/>
      <c r="D80" s="337"/>
      <c r="E80" s="337"/>
      <c r="F80" s="337"/>
      <c r="G80" s="337"/>
      <c r="H80" s="337"/>
      <c r="I80" s="337"/>
      <c r="J80" s="337"/>
      <c r="K80" s="337"/>
      <c r="L80" s="337">
        <v>0</v>
      </c>
      <c r="M80" s="337"/>
      <c r="N80" s="337">
        <v>0</v>
      </c>
      <c r="O80" s="337"/>
      <c r="P80" s="337"/>
      <c r="Q80" s="337"/>
      <c r="R80" s="337"/>
      <c r="S80" s="337"/>
      <c r="T80" s="337"/>
      <c r="U80" s="337"/>
      <c r="V80" s="338">
        <v>0</v>
      </c>
      <c r="W80" s="291"/>
      <c r="X80" s="5"/>
    </row>
    <row r="81" spans="1:24" ht="15.6" x14ac:dyDescent="0.3">
      <c r="A81" s="340"/>
      <c r="B81" s="288" t="s">
        <v>117</v>
      </c>
      <c r="C81" s="337"/>
      <c r="D81" s="337"/>
      <c r="E81" s="337"/>
      <c r="F81" s="337"/>
      <c r="G81" s="337"/>
      <c r="H81" s="337"/>
      <c r="I81" s="337"/>
      <c r="J81" s="337"/>
      <c r="K81" s="337"/>
      <c r="L81" s="337">
        <v>342245</v>
      </c>
      <c r="M81" s="337"/>
      <c r="N81" s="337">
        <v>0</v>
      </c>
      <c r="O81" s="337"/>
      <c r="P81" s="337">
        <v>0</v>
      </c>
      <c r="Q81" s="337"/>
      <c r="R81" s="337"/>
      <c r="S81" s="337"/>
      <c r="T81" s="337"/>
      <c r="U81" s="337"/>
      <c r="V81" s="337">
        <f>SUM(N81:R81)</f>
        <v>0</v>
      </c>
      <c r="W81" s="291"/>
      <c r="X81" s="5"/>
    </row>
    <row r="82" spans="1:24" ht="15.6" x14ac:dyDescent="0.3">
      <c r="A82" s="340"/>
      <c r="B82" s="288"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91"/>
      <c r="X82" s="5"/>
    </row>
    <row r="83" spans="1:24" ht="15.6" x14ac:dyDescent="0.3">
      <c r="A83" s="340"/>
      <c r="B83" s="288" t="s">
        <v>25</v>
      </c>
      <c r="C83" s="337"/>
      <c r="D83" s="337"/>
      <c r="E83" s="337"/>
      <c r="F83" s="337"/>
      <c r="G83" s="337"/>
      <c r="H83" s="337"/>
      <c r="I83" s="337"/>
      <c r="J83" s="337"/>
      <c r="K83" s="337"/>
      <c r="L83" s="337">
        <v>0</v>
      </c>
      <c r="M83" s="337"/>
      <c r="N83" s="337">
        <v>0</v>
      </c>
      <c r="O83" s="337"/>
      <c r="P83" s="337"/>
      <c r="Q83" s="337"/>
      <c r="R83" s="337"/>
      <c r="S83" s="337"/>
      <c r="T83" s="337"/>
      <c r="U83" s="337"/>
      <c r="V83" s="337">
        <v>0</v>
      </c>
      <c r="W83" s="291"/>
      <c r="X83" s="5"/>
    </row>
    <row r="84" spans="1:24" ht="15.6" x14ac:dyDescent="0.3">
      <c r="A84" s="340"/>
      <c r="B84" s="288" t="s">
        <v>26</v>
      </c>
      <c r="C84" s="337"/>
      <c r="D84" s="337"/>
      <c r="E84" s="337"/>
      <c r="F84" s="337"/>
      <c r="G84" s="337"/>
      <c r="H84" s="337"/>
      <c r="I84" s="337"/>
      <c r="J84" s="337"/>
      <c r="K84" s="337"/>
      <c r="L84" s="337">
        <f>SUM(L71:L83)</f>
        <v>1500275</v>
      </c>
      <c r="M84" s="337"/>
      <c r="N84" s="337">
        <f>SUM(N71:N83)</f>
        <v>1114151</v>
      </c>
      <c r="O84" s="337"/>
      <c r="P84" s="337"/>
      <c r="Q84" s="337"/>
      <c r="R84" s="337"/>
      <c r="S84" s="337"/>
      <c r="T84" s="337"/>
      <c r="U84" s="337"/>
      <c r="V84" s="337">
        <f>SUM(V71:V83)</f>
        <v>1108092</v>
      </c>
      <c r="W84" s="291"/>
      <c r="X84" s="5"/>
    </row>
    <row r="85" spans="1:24" ht="15.6" x14ac:dyDescent="0.3">
      <c r="A85" s="243"/>
      <c r="B85" s="284"/>
      <c r="C85" s="339"/>
      <c r="D85" s="339"/>
      <c r="E85" s="339"/>
      <c r="F85" s="339"/>
      <c r="G85" s="339"/>
      <c r="H85" s="339"/>
      <c r="I85" s="339"/>
      <c r="J85" s="339"/>
      <c r="K85" s="339"/>
      <c r="L85" s="339"/>
      <c r="M85" s="339"/>
      <c r="N85" s="339"/>
      <c r="O85" s="339"/>
      <c r="P85" s="339"/>
      <c r="Q85" s="339"/>
      <c r="R85" s="339"/>
      <c r="S85" s="339"/>
      <c r="T85" s="339"/>
      <c r="U85" s="339"/>
      <c r="V85" s="339"/>
      <c r="W85" s="284"/>
      <c r="X85" s="5"/>
    </row>
    <row r="86" spans="1:24" ht="15.6" x14ac:dyDescent="0.3">
      <c r="A86" s="243"/>
      <c r="B86" s="224"/>
      <c r="C86" s="224"/>
      <c r="D86" s="224"/>
      <c r="E86" s="224"/>
      <c r="F86" s="224"/>
      <c r="G86" s="224"/>
      <c r="H86" s="224"/>
      <c r="I86" s="224"/>
      <c r="J86" s="224"/>
      <c r="K86" s="224"/>
      <c r="L86" s="224"/>
      <c r="M86" s="224"/>
      <c r="N86" s="224"/>
      <c r="O86" s="224"/>
      <c r="P86" s="224"/>
      <c r="Q86" s="224"/>
      <c r="R86" s="224"/>
      <c r="S86" s="224"/>
      <c r="T86" s="224"/>
      <c r="U86" s="224"/>
      <c r="V86" s="224"/>
      <c r="W86" s="224"/>
      <c r="X86" s="5"/>
    </row>
    <row r="87" spans="1:24" ht="15.6" x14ac:dyDescent="0.3">
      <c r="A87" s="262"/>
      <c r="B87" s="399" t="s">
        <v>27</v>
      </c>
      <c r="C87" s="399"/>
      <c r="D87" s="399"/>
      <c r="E87" s="399"/>
      <c r="F87" s="399"/>
      <c r="G87" s="399"/>
      <c r="H87" s="400"/>
      <c r="I87" s="400"/>
      <c r="J87" s="400"/>
      <c r="K87" s="400"/>
      <c r="L87" s="401" t="s">
        <v>95</v>
      </c>
      <c r="M87" s="400"/>
      <c r="N87" s="402">
        <f>+T205</f>
        <v>41243</v>
      </c>
      <c r="O87" s="400"/>
      <c r="P87" s="400"/>
      <c r="Q87" s="400"/>
      <c r="R87" s="400"/>
      <c r="S87" s="400"/>
      <c r="T87" s="400" t="s">
        <v>107</v>
      </c>
      <c r="U87" s="400"/>
      <c r="V87" s="400" t="s">
        <v>113</v>
      </c>
      <c r="W87" s="263"/>
      <c r="X87" s="5"/>
    </row>
    <row r="88" spans="1:24" ht="15.6" x14ac:dyDescent="0.3">
      <c r="A88" s="242"/>
      <c r="B88" s="231" t="s">
        <v>28</v>
      </c>
      <c r="C88" s="231"/>
      <c r="D88" s="231"/>
      <c r="E88" s="231"/>
      <c r="F88" s="231"/>
      <c r="G88" s="231"/>
      <c r="H88" s="231"/>
      <c r="I88" s="231"/>
      <c r="J88" s="231"/>
      <c r="K88" s="231"/>
      <c r="L88" s="231"/>
      <c r="M88" s="231"/>
      <c r="N88" s="231"/>
      <c r="O88" s="231"/>
      <c r="P88" s="231"/>
      <c r="Q88" s="231"/>
      <c r="R88" s="231"/>
      <c r="S88" s="231"/>
      <c r="T88" s="234">
        <v>0</v>
      </c>
      <c r="U88" s="231"/>
      <c r="V88" s="241">
        <v>0</v>
      </c>
      <c r="W88" s="231"/>
      <c r="X88" s="5"/>
    </row>
    <row r="89" spans="1:24" ht="15.6" x14ac:dyDescent="0.3">
      <c r="A89" s="340"/>
      <c r="B89" s="288" t="s">
        <v>29</v>
      </c>
      <c r="C89" s="288"/>
      <c r="D89" s="288"/>
      <c r="E89" s="288"/>
      <c r="F89" s="288"/>
      <c r="G89" s="288"/>
      <c r="H89" s="325"/>
      <c r="I89" s="325"/>
      <c r="J89" s="325"/>
      <c r="K89" s="341"/>
      <c r="L89" s="325"/>
      <c r="M89" s="288"/>
      <c r="N89" s="342"/>
      <c r="O89" s="288"/>
      <c r="P89" s="288"/>
      <c r="Q89" s="288"/>
      <c r="R89" s="288"/>
      <c r="S89" s="288"/>
      <c r="T89" s="337">
        <f>6080-63</f>
        <v>6017</v>
      </c>
      <c r="U89" s="288"/>
      <c r="V89" s="338"/>
      <c r="W89" s="291"/>
      <c r="X89" s="5"/>
    </row>
    <row r="90" spans="1:24" ht="15.6" x14ac:dyDescent="0.3">
      <c r="A90" s="340"/>
      <c r="B90" s="288" t="s">
        <v>216</v>
      </c>
      <c r="C90" s="288"/>
      <c r="D90" s="288"/>
      <c r="E90" s="288"/>
      <c r="F90" s="288"/>
      <c r="G90" s="288"/>
      <c r="H90" s="325"/>
      <c r="I90" s="325"/>
      <c r="J90" s="325"/>
      <c r="K90" s="341"/>
      <c r="L90" s="325"/>
      <c r="M90" s="288"/>
      <c r="N90" s="342"/>
      <c r="O90" s="288"/>
      <c r="P90" s="288"/>
      <c r="Q90" s="288"/>
      <c r="R90" s="288"/>
      <c r="S90" s="288"/>
      <c r="T90" s="337"/>
      <c r="U90" s="288"/>
      <c r="V90" s="338">
        <f>3497+4544-397-712</f>
        <v>6932</v>
      </c>
      <c r="W90" s="291"/>
      <c r="X90" s="5"/>
    </row>
    <row r="91" spans="1:24" ht="15.6" x14ac:dyDescent="0.3">
      <c r="A91" s="340"/>
      <c r="B91" s="288" t="s">
        <v>211</v>
      </c>
      <c r="C91" s="288"/>
      <c r="D91" s="288"/>
      <c r="E91" s="288"/>
      <c r="F91" s="288"/>
      <c r="G91" s="288"/>
      <c r="H91" s="325"/>
      <c r="I91" s="325"/>
      <c r="J91" s="325"/>
      <c r="K91" s="341"/>
      <c r="L91" s="325"/>
      <c r="M91" s="288"/>
      <c r="N91" s="342"/>
      <c r="O91" s="288"/>
      <c r="P91" s="288"/>
      <c r="Q91" s="288"/>
      <c r="R91" s="288"/>
      <c r="S91" s="288"/>
      <c r="T91" s="337"/>
      <c r="U91" s="288"/>
      <c r="V91" s="338">
        <f>31+23</f>
        <v>54</v>
      </c>
      <c r="W91" s="291"/>
      <c r="X91" s="5"/>
    </row>
    <row r="92" spans="1:24" ht="15.6" x14ac:dyDescent="0.3">
      <c r="A92" s="340"/>
      <c r="B92" s="288" t="s">
        <v>212</v>
      </c>
      <c r="C92" s="288"/>
      <c r="D92" s="288"/>
      <c r="E92" s="288"/>
      <c r="F92" s="288"/>
      <c r="G92" s="288"/>
      <c r="H92" s="325"/>
      <c r="I92" s="325"/>
      <c r="J92" s="325"/>
      <c r="K92" s="341"/>
      <c r="L92" s="325"/>
      <c r="M92" s="288"/>
      <c r="N92" s="342"/>
      <c r="O92" s="288"/>
      <c r="P92" s="288"/>
      <c r="Q92" s="288"/>
      <c r="R92" s="288"/>
      <c r="S92" s="288"/>
      <c r="T92" s="337"/>
      <c r="U92" s="288"/>
      <c r="V92" s="338">
        <v>25</v>
      </c>
      <c r="W92" s="291"/>
      <c r="X92" s="5"/>
    </row>
    <row r="93" spans="1:24" ht="15.6" x14ac:dyDescent="0.3">
      <c r="A93" s="340"/>
      <c r="B93" s="288" t="s">
        <v>272</v>
      </c>
      <c r="C93" s="288"/>
      <c r="D93" s="288"/>
      <c r="E93" s="288"/>
      <c r="F93" s="288"/>
      <c r="G93" s="288"/>
      <c r="H93" s="325"/>
      <c r="I93" s="325"/>
      <c r="J93" s="325"/>
      <c r="K93" s="341"/>
      <c r="L93" s="325"/>
      <c r="M93" s="288"/>
      <c r="N93" s="342"/>
      <c r="O93" s="288"/>
      <c r="P93" s="288"/>
      <c r="Q93" s="288"/>
      <c r="R93" s="288"/>
      <c r="S93" s="288"/>
      <c r="T93" s="337"/>
      <c r="U93" s="288"/>
      <c r="V93" s="338">
        <v>0</v>
      </c>
      <c r="W93" s="291"/>
      <c r="X93" s="5"/>
    </row>
    <row r="94" spans="1:24" ht="15.6" x14ac:dyDescent="0.3">
      <c r="A94" s="340"/>
      <c r="B94" s="288" t="s">
        <v>274</v>
      </c>
      <c r="C94" s="288"/>
      <c r="D94" s="288"/>
      <c r="E94" s="288"/>
      <c r="F94" s="288"/>
      <c r="G94" s="288"/>
      <c r="H94" s="325"/>
      <c r="I94" s="325"/>
      <c r="J94" s="325"/>
      <c r="K94" s="341"/>
      <c r="L94" s="325"/>
      <c r="M94" s="288"/>
      <c r="N94" s="342"/>
      <c r="O94" s="288"/>
      <c r="P94" s="288"/>
      <c r="Q94" s="288"/>
      <c r="R94" s="288"/>
      <c r="S94" s="288"/>
      <c r="T94" s="337"/>
      <c r="U94" s="288"/>
      <c r="V94" s="338">
        <v>0</v>
      </c>
      <c r="W94" s="291"/>
      <c r="X94" s="5"/>
    </row>
    <row r="95" spans="1:24" ht="15.6" x14ac:dyDescent="0.3">
      <c r="A95" s="340"/>
      <c r="B95" s="288" t="s">
        <v>135</v>
      </c>
      <c r="C95" s="288"/>
      <c r="D95" s="288"/>
      <c r="E95" s="288"/>
      <c r="F95" s="288"/>
      <c r="G95" s="288"/>
      <c r="H95" s="288"/>
      <c r="I95" s="288"/>
      <c r="J95" s="288"/>
      <c r="K95" s="288"/>
      <c r="L95" s="288"/>
      <c r="M95" s="288"/>
      <c r="N95" s="288"/>
      <c r="O95" s="288"/>
      <c r="P95" s="288"/>
      <c r="Q95" s="288"/>
      <c r="R95" s="288"/>
      <c r="S95" s="288"/>
      <c r="T95" s="337"/>
      <c r="U95" s="288"/>
      <c r="V95" s="338">
        <v>0</v>
      </c>
      <c r="W95" s="291"/>
      <c r="X95" s="5"/>
    </row>
    <row r="96" spans="1:24" ht="15.6" x14ac:dyDescent="0.3">
      <c r="A96" s="340"/>
      <c r="B96" s="288" t="s">
        <v>268</v>
      </c>
      <c r="C96" s="288"/>
      <c r="D96" s="288"/>
      <c r="E96" s="288"/>
      <c r="F96" s="288"/>
      <c r="G96" s="288"/>
      <c r="H96" s="288"/>
      <c r="I96" s="288"/>
      <c r="J96" s="288"/>
      <c r="K96" s="288"/>
      <c r="L96" s="288"/>
      <c r="M96" s="288"/>
      <c r="N96" s="288"/>
      <c r="O96" s="288"/>
      <c r="P96" s="288"/>
      <c r="Q96" s="288"/>
      <c r="R96" s="288"/>
      <c r="S96" s="288"/>
      <c r="T96" s="337"/>
      <c r="U96" s="288"/>
      <c r="V96" s="338">
        <v>462</v>
      </c>
      <c r="W96" s="291"/>
      <c r="X96" s="5"/>
    </row>
    <row r="97" spans="1:25" ht="15.6" x14ac:dyDescent="0.3">
      <c r="A97" s="340"/>
      <c r="B97" s="288" t="s">
        <v>30</v>
      </c>
      <c r="C97" s="288"/>
      <c r="D97" s="288"/>
      <c r="E97" s="288"/>
      <c r="F97" s="288"/>
      <c r="G97" s="288"/>
      <c r="H97" s="288"/>
      <c r="I97" s="288"/>
      <c r="J97" s="288"/>
      <c r="K97" s="288"/>
      <c r="L97" s="288"/>
      <c r="M97" s="288"/>
      <c r="N97" s="288"/>
      <c r="O97" s="288"/>
      <c r="P97" s="288"/>
      <c r="Q97" s="288"/>
      <c r="R97" s="288"/>
      <c r="S97" s="288"/>
      <c r="T97" s="337">
        <f>SUM(T88:T96)</f>
        <v>6017</v>
      </c>
      <c r="U97" s="288"/>
      <c r="V97" s="337">
        <f>SUM(V88:V96)</f>
        <v>7473</v>
      </c>
      <c r="W97" s="291"/>
      <c r="X97" s="5"/>
    </row>
    <row r="98" spans="1:25" ht="15.6" x14ac:dyDescent="0.3">
      <c r="A98" s="340"/>
      <c r="B98" s="288" t="s">
        <v>161</v>
      </c>
      <c r="C98" s="288"/>
      <c r="D98" s="288"/>
      <c r="E98" s="288"/>
      <c r="F98" s="288"/>
      <c r="G98" s="288"/>
      <c r="H98" s="288"/>
      <c r="I98" s="288"/>
      <c r="J98" s="288"/>
      <c r="K98" s="288"/>
      <c r="L98" s="288"/>
      <c r="M98" s="288"/>
      <c r="N98" s="288"/>
      <c r="O98" s="288"/>
      <c r="P98" s="288"/>
      <c r="Q98" s="288"/>
      <c r="R98" s="288"/>
      <c r="S98" s="288"/>
      <c r="T98" s="337">
        <f>-V98</f>
        <v>-1</v>
      </c>
      <c r="U98" s="288"/>
      <c r="V98" s="337">
        <v>1</v>
      </c>
      <c r="W98" s="291"/>
      <c r="X98" s="5"/>
    </row>
    <row r="99" spans="1:25" ht="15.6" x14ac:dyDescent="0.3">
      <c r="A99" s="340"/>
      <c r="B99" s="288" t="s">
        <v>31</v>
      </c>
      <c r="C99" s="288"/>
      <c r="D99" s="288"/>
      <c r="E99" s="288"/>
      <c r="F99" s="288"/>
      <c r="G99" s="288"/>
      <c r="H99" s="288"/>
      <c r="I99" s="288"/>
      <c r="J99" s="288"/>
      <c r="K99" s="288"/>
      <c r="L99" s="288"/>
      <c r="M99" s="288"/>
      <c r="N99" s="288"/>
      <c r="O99" s="288"/>
      <c r="P99" s="288"/>
      <c r="Q99" s="288"/>
      <c r="R99" s="288"/>
      <c r="S99" s="288"/>
      <c r="T99" s="337">
        <f>-V99</f>
        <v>0</v>
      </c>
      <c r="U99" s="288"/>
      <c r="V99" s="338">
        <v>0</v>
      </c>
      <c r="W99" s="291"/>
      <c r="X99" s="5"/>
    </row>
    <row r="100" spans="1:25" ht="15.6" x14ac:dyDescent="0.3">
      <c r="A100" s="340"/>
      <c r="B100" s="288" t="s">
        <v>283</v>
      </c>
      <c r="C100" s="288"/>
      <c r="D100" s="288"/>
      <c r="E100" s="288"/>
      <c r="F100" s="288"/>
      <c r="G100" s="288"/>
      <c r="H100" s="288"/>
      <c r="I100" s="288"/>
      <c r="J100" s="288"/>
      <c r="K100" s="288"/>
      <c r="L100" s="288"/>
      <c r="M100" s="288"/>
      <c r="N100" s="288"/>
      <c r="O100" s="288"/>
      <c r="P100" s="288"/>
      <c r="Q100" s="288"/>
      <c r="R100" s="288"/>
      <c r="S100" s="288"/>
      <c r="T100" s="337"/>
      <c r="U100" s="288"/>
      <c r="V100" s="338">
        <v>-61</v>
      </c>
      <c r="W100" s="291"/>
      <c r="X100" s="5"/>
    </row>
    <row r="101" spans="1:25" ht="15.6" x14ac:dyDescent="0.3">
      <c r="A101" s="340"/>
      <c r="B101" s="288" t="s">
        <v>32</v>
      </c>
      <c r="C101" s="288"/>
      <c r="D101" s="288"/>
      <c r="E101" s="288"/>
      <c r="F101" s="288"/>
      <c r="G101" s="288"/>
      <c r="H101" s="288"/>
      <c r="I101" s="288"/>
      <c r="J101" s="288"/>
      <c r="K101" s="288"/>
      <c r="L101" s="288"/>
      <c r="M101" s="288"/>
      <c r="N101" s="288"/>
      <c r="O101" s="288"/>
      <c r="P101" s="288"/>
      <c r="Q101" s="288"/>
      <c r="R101" s="288"/>
      <c r="S101" s="288"/>
      <c r="T101" s="337">
        <f>T97+T99+T98</f>
        <v>6016</v>
      </c>
      <c r="U101" s="288"/>
      <c r="V101" s="337">
        <f>V97+V99+V98+V100</f>
        <v>7413</v>
      </c>
      <c r="W101" s="291"/>
      <c r="X101" s="5"/>
    </row>
    <row r="102" spans="1:25" ht="15.6" x14ac:dyDescent="0.3">
      <c r="A102" s="287"/>
      <c r="B102" s="343" t="s">
        <v>33</v>
      </c>
      <c r="C102" s="314"/>
      <c r="D102" s="314"/>
      <c r="E102" s="314"/>
      <c r="F102" s="314"/>
      <c r="G102" s="314"/>
      <c r="H102" s="314"/>
      <c r="I102" s="314"/>
      <c r="J102" s="314"/>
      <c r="K102" s="314"/>
      <c r="L102" s="314"/>
      <c r="M102" s="314"/>
      <c r="N102" s="314"/>
      <c r="O102" s="314"/>
      <c r="P102" s="314"/>
      <c r="Q102" s="314"/>
      <c r="R102" s="314"/>
      <c r="S102" s="314"/>
      <c r="T102" s="344"/>
      <c r="U102" s="314"/>
      <c r="V102" s="345"/>
      <c r="W102" s="318"/>
      <c r="X102" s="5"/>
    </row>
    <row r="103" spans="1:25" ht="15.6" x14ac:dyDescent="0.3">
      <c r="A103" s="340">
        <v>1</v>
      </c>
      <c r="B103" s="288" t="s">
        <v>34</v>
      </c>
      <c r="C103" s="288"/>
      <c r="D103" s="288"/>
      <c r="E103" s="288"/>
      <c r="F103" s="288"/>
      <c r="G103" s="288"/>
      <c r="H103" s="288"/>
      <c r="I103" s="288"/>
      <c r="J103" s="288"/>
      <c r="K103" s="288"/>
      <c r="L103" s="288"/>
      <c r="M103" s="288"/>
      <c r="N103" s="288"/>
      <c r="O103" s="288"/>
      <c r="P103" s="288"/>
      <c r="Q103" s="288"/>
      <c r="R103" s="288"/>
      <c r="S103" s="288"/>
      <c r="T103" s="288"/>
      <c r="U103" s="288"/>
      <c r="V103" s="338">
        <v>0</v>
      </c>
      <c r="W103" s="291"/>
      <c r="X103" s="5"/>
    </row>
    <row r="104" spans="1:25" ht="15.6" x14ac:dyDescent="0.3">
      <c r="A104" s="340">
        <f>+A103+1</f>
        <v>2</v>
      </c>
      <c r="B104" s="288" t="s">
        <v>225</v>
      </c>
      <c r="C104" s="288"/>
      <c r="D104" s="288"/>
      <c r="E104" s="288"/>
      <c r="F104" s="288"/>
      <c r="G104" s="288"/>
      <c r="H104" s="288"/>
      <c r="I104" s="288"/>
      <c r="J104" s="288"/>
      <c r="K104" s="288"/>
      <c r="L104" s="288"/>
      <c r="M104" s="288"/>
      <c r="N104" s="288"/>
      <c r="O104" s="288"/>
      <c r="P104" s="288"/>
      <c r="Q104" s="288"/>
      <c r="R104" s="288"/>
      <c r="S104" s="288"/>
      <c r="T104" s="288"/>
      <c r="U104" s="288"/>
      <c r="V104" s="338">
        <v>-2</v>
      </c>
      <c r="W104" s="291"/>
      <c r="X104" s="5"/>
    </row>
    <row r="105" spans="1:25" ht="15.6" x14ac:dyDescent="0.3">
      <c r="A105" s="340">
        <f>+A104+1</f>
        <v>3</v>
      </c>
      <c r="B105" s="288" t="s">
        <v>204</v>
      </c>
      <c r="C105" s="288"/>
      <c r="D105" s="288"/>
      <c r="E105" s="288"/>
      <c r="F105" s="288"/>
      <c r="G105" s="288"/>
      <c r="H105" s="288"/>
      <c r="I105" s="288"/>
      <c r="J105" s="288"/>
      <c r="K105" s="288"/>
      <c r="L105" s="288"/>
      <c r="M105" s="288"/>
      <c r="N105" s="288"/>
      <c r="O105" s="288"/>
      <c r="P105" s="288"/>
      <c r="Q105" s="288"/>
      <c r="R105" s="288"/>
      <c r="S105" s="288"/>
      <c r="T105" s="288"/>
      <c r="U105" s="288"/>
      <c r="V105" s="338">
        <f>-140-258-14</f>
        <v>-412</v>
      </c>
      <c r="W105" s="291"/>
      <c r="X105" s="5"/>
    </row>
    <row r="106" spans="1:25" ht="15.6" x14ac:dyDescent="0.3">
      <c r="A106" s="340" t="s">
        <v>127</v>
      </c>
      <c r="B106" s="288" t="s">
        <v>116</v>
      </c>
      <c r="C106" s="288"/>
      <c r="D106" s="288"/>
      <c r="E106" s="288"/>
      <c r="F106" s="288"/>
      <c r="G106" s="288"/>
      <c r="H106" s="288"/>
      <c r="I106" s="288"/>
      <c r="J106" s="288"/>
      <c r="K106" s="288"/>
      <c r="L106" s="288"/>
      <c r="M106" s="288"/>
      <c r="N106" s="288"/>
      <c r="O106" s="288"/>
      <c r="P106" s="288"/>
      <c r="Q106" s="288"/>
      <c r="R106" s="288"/>
      <c r="S106" s="288"/>
      <c r="T106" s="288"/>
      <c r="U106" s="288"/>
      <c r="V106" s="338">
        <v>0</v>
      </c>
      <c r="W106" s="291"/>
      <c r="X106" s="5"/>
    </row>
    <row r="107" spans="1:25" ht="15.6" x14ac:dyDescent="0.3">
      <c r="A107" s="340" t="s">
        <v>128</v>
      </c>
      <c r="B107" s="288" t="s">
        <v>222</v>
      </c>
      <c r="C107" s="288"/>
      <c r="D107" s="288"/>
      <c r="E107" s="288"/>
      <c r="F107" s="288"/>
      <c r="G107" s="288"/>
      <c r="H107" s="288"/>
      <c r="I107" s="288"/>
      <c r="J107" s="288"/>
      <c r="K107" s="288"/>
      <c r="L107" s="288"/>
      <c r="M107" s="288"/>
      <c r="N107" s="288"/>
      <c r="O107" s="288"/>
      <c r="P107" s="288"/>
      <c r="Q107" s="288"/>
      <c r="R107" s="288"/>
      <c r="S107" s="288"/>
      <c r="T107" s="288"/>
      <c r="U107" s="288"/>
      <c r="V107" s="338">
        <f>185-1975</f>
        <v>-1790</v>
      </c>
      <c r="W107" s="291"/>
      <c r="X107" s="5"/>
      <c r="Y107" s="109"/>
    </row>
    <row r="108" spans="1:25" ht="15.6" x14ac:dyDescent="0.3">
      <c r="A108" s="340" t="s">
        <v>150</v>
      </c>
      <c r="B108" s="288" t="s">
        <v>184</v>
      </c>
      <c r="C108" s="288"/>
      <c r="D108" s="288"/>
      <c r="E108" s="288"/>
      <c r="F108" s="288"/>
      <c r="G108" s="288"/>
      <c r="H108" s="288"/>
      <c r="I108" s="288"/>
      <c r="J108" s="288"/>
      <c r="K108" s="288"/>
      <c r="L108" s="288"/>
      <c r="M108" s="288"/>
      <c r="N108" s="288"/>
      <c r="O108" s="288"/>
      <c r="P108" s="288"/>
      <c r="Q108" s="288"/>
      <c r="R108" s="288"/>
      <c r="S108" s="288"/>
      <c r="T108" s="288"/>
      <c r="U108" s="288"/>
      <c r="V108" s="338">
        <v>-185</v>
      </c>
      <c r="W108" s="291"/>
      <c r="X108" s="5"/>
      <c r="Y108" s="109"/>
    </row>
    <row r="109" spans="1:25" ht="15.6" x14ac:dyDescent="0.3">
      <c r="A109" s="340" t="s">
        <v>236</v>
      </c>
      <c r="B109" s="288" t="s">
        <v>238</v>
      </c>
      <c r="C109" s="288"/>
      <c r="D109" s="288"/>
      <c r="E109" s="288"/>
      <c r="F109" s="288"/>
      <c r="G109" s="288"/>
      <c r="H109" s="288"/>
      <c r="I109" s="288"/>
      <c r="J109" s="288"/>
      <c r="K109" s="288"/>
      <c r="L109" s="288"/>
      <c r="M109" s="288"/>
      <c r="N109" s="288"/>
      <c r="O109" s="288"/>
      <c r="P109" s="288"/>
      <c r="Q109" s="288"/>
      <c r="R109" s="288"/>
      <c r="S109" s="288"/>
      <c r="T109" s="288"/>
      <c r="U109" s="288"/>
      <c r="V109" s="338">
        <v>-1</v>
      </c>
      <c r="W109" s="291"/>
      <c r="X109" s="5"/>
    </row>
    <row r="110" spans="1:25" ht="15.6" x14ac:dyDescent="0.3">
      <c r="A110" s="340" t="s">
        <v>205</v>
      </c>
      <c r="B110" s="288" t="s">
        <v>185</v>
      </c>
      <c r="C110" s="288"/>
      <c r="D110" s="288"/>
      <c r="E110" s="288"/>
      <c r="F110" s="288"/>
      <c r="G110" s="288"/>
      <c r="H110" s="288"/>
      <c r="I110" s="288"/>
      <c r="J110" s="288"/>
      <c r="K110" s="288"/>
      <c r="L110" s="288"/>
      <c r="M110" s="288"/>
      <c r="N110" s="288"/>
      <c r="O110" s="288"/>
      <c r="P110" s="288"/>
      <c r="Q110" s="288"/>
      <c r="R110" s="288"/>
      <c r="S110" s="288"/>
      <c r="T110" s="288"/>
      <c r="U110" s="288"/>
      <c r="V110" s="338">
        <v>-162</v>
      </c>
      <c r="W110" s="291"/>
      <c r="X110" s="5"/>
      <c r="Y110" s="109"/>
    </row>
    <row r="111" spans="1:25" ht="15.6" x14ac:dyDescent="0.3">
      <c r="A111" s="340" t="s">
        <v>206</v>
      </c>
      <c r="B111" s="288" t="s">
        <v>186</v>
      </c>
      <c r="C111" s="288"/>
      <c r="D111" s="288"/>
      <c r="E111" s="288"/>
      <c r="F111" s="288"/>
      <c r="G111" s="288"/>
      <c r="H111" s="288"/>
      <c r="I111" s="288"/>
      <c r="J111" s="288"/>
      <c r="K111" s="288"/>
      <c r="L111" s="288"/>
      <c r="M111" s="288"/>
      <c r="N111" s="288"/>
      <c r="O111" s="288"/>
      <c r="P111" s="288"/>
      <c r="Q111" s="288"/>
      <c r="R111" s="288"/>
      <c r="S111" s="288"/>
      <c r="T111" s="288"/>
      <c r="U111" s="288"/>
      <c r="V111" s="338">
        <v>-131</v>
      </c>
      <c r="W111" s="291"/>
      <c r="X111" s="179"/>
      <c r="Y111" s="109"/>
    </row>
    <row r="112" spans="1:25" ht="15.6" x14ac:dyDescent="0.3">
      <c r="A112" s="340" t="s">
        <v>207</v>
      </c>
      <c r="B112" s="288" t="s">
        <v>196</v>
      </c>
      <c r="C112" s="288"/>
      <c r="D112" s="288"/>
      <c r="E112" s="288"/>
      <c r="F112" s="288"/>
      <c r="G112" s="288"/>
      <c r="H112" s="288"/>
      <c r="I112" s="288"/>
      <c r="J112" s="288"/>
      <c r="K112" s="288"/>
      <c r="L112" s="288"/>
      <c r="M112" s="288"/>
      <c r="N112" s="288"/>
      <c r="O112" s="288"/>
      <c r="P112" s="288"/>
      <c r="Q112" s="288"/>
      <c r="R112" s="288"/>
      <c r="S112" s="288"/>
      <c r="T112" s="288"/>
      <c r="U112" s="288"/>
      <c r="V112" s="338">
        <v>-351</v>
      </c>
      <c r="W112" s="291"/>
      <c r="X112" s="5"/>
      <c r="Y112" s="109"/>
    </row>
    <row r="113" spans="1:25" ht="15.6" x14ac:dyDescent="0.3">
      <c r="A113" s="340" t="s">
        <v>224</v>
      </c>
      <c r="B113" s="288" t="s">
        <v>223</v>
      </c>
      <c r="C113" s="288"/>
      <c r="D113" s="288"/>
      <c r="E113" s="288"/>
      <c r="F113" s="288"/>
      <c r="G113" s="288"/>
      <c r="H113" s="288"/>
      <c r="I113" s="288"/>
      <c r="J113" s="288"/>
      <c r="K113" s="288"/>
      <c r="L113" s="288"/>
      <c r="M113" s="288"/>
      <c r="N113" s="288"/>
      <c r="O113" s="288"/>
      <c r="P113" s="288"/>
      <c r="Q113" s="288"/>
      <c r="R113" s="288"/>
      <c r="S113" s="288"/>
      <c r="T113" s="288"/>
      <c r="U113" s="288"/>
      <c r="V113" s="338">
        <v>-70</v>
      </c>
      <c r="W113" s="291"/>
      <c r="X113" s="5"/>
      <c r="Y113" s="109"/>
    </row>
    <row r="114" spans="1:25" ht="15.6" x14ac:dyDescent="0.3">
      <c r="A114" s="340">
        <v>7</v>
      </c>
      <c r="B114" s="288" t="s">
        <v>35</v>
      </c>
      <c r="C114" s="288"/>
      <c r="D114" s="288"/>
      <c r="E114" s="288"/>
      <c r="F114" s="288"/>
      <c r="G114" s="288"/>
      <c r="H114" s="288"/>
      <c r="I114" s="288"/>
      <c r="J114" s="288"/>
      <c r="K114" s="288"/>
      <c r="L114" s="288"/>
      <c r="M114" s="288"/>
      <c r="N114" s="288"/>
      <c r="O114" s="288"/>
      <c r="P114" s="288"/>
      <c r="Q114" s="288"/>
      <c r="R114" s="288"/>
      <c r="S114" s="288"/>
      <c r="T114" s="288"/>
      <c r="U114" s="288"/>
      <c r="V114" s="338">
        <v>-10</v>
      </c>
      <c r="W114" s="291"/>
      <c r="X114" s="5"/>
    </row>
    <row r="115" spans="1:25" ht="15.6" x14ac:dyDescent="0.3">
      <c r="A115" s="340">
        <f t="shared" ref="A115:A121" si="0">+A114+1</f>
        <v>8</v>
      </c>
      <c r="B115" s="288" t="s">
        <v>45</v>
      </c>
      <c r="C115" s="288"/>
      <c r="D115" s="288"/>
      <c r="E115" s="288"/>
      <c r="F115" s="288"/>
      <c r="G115" s="288"/>
      <c r="H115" s="288"/>
      <c r="I115" s="288"/>
      <c r="J115" s="288"/>
      <c r="K115" s="288"/>
      <c r="L115" s="288"/>
      <c r="M115" s="288"/>
      <c r="N115" s="288"/>
      <c r="O115" s="288"/>
      <c r="P115" s="288"/>
      <c r="Q115" s="288"/>
      <c r="R115" s="288"/>
      <c r="S115" s="288"/>
      <c r="T115" s="337">
        <f>-V115</f>
        <v>63</v>
      </c>
      <c r="U115" s="288"/>
      <c r="V115" s="338">
        <v>-63</v>
      </c>
      <c r="W115" s="291"/>
      <c r="X115" s="5"/>
    </row>
    <row r="116" spans="1:25" ht="15.6" x14ac:dyDescent="0.3">
      <c r="A116" s="340">
        <f t="shared" si="0"/>
        <v>9</v>
      </c>
      <c r="B116" s="288" t="s">
        <v>125</v>
      </c>
      <c r="C116" s="288"/>
      <c r="D116" s="288"/>
      <c r="E116" s="288"/>
      <c r="F116" s="288"/>
      <c r="G116" s="288"/>
      <c r="H116" s="288"/>
      <c r="I116" s="288"/>
      <c r="J116" s="288"/>
      <c r="K116" s="288"/>
      <c r="L116" s="288"/>
      <c r="M116" s="288"/>
      <c r="N116" s="288"/>
      <c r="O116" s="288"/>
      <c r="P116" s="288"/>
      <c r="Q116" s="288"/>
      <c r="R116" s="288"/>
      <c r="S116" s="288"/>
      <c r="T116" s="288"/>
      <c r="U116" s="288"/>
      <c r="V116" s="338">
        <v>0</v>
      </c>
      <c r="W116" s="291"/>
      <c r="X116" s="5"/>
    </row>
    <row r="117" spans="1:25" ht="15.6" x14ac:dyDescent="0.3">
      <c r="A117" s="340">
        <f t="shared" si="0"/>
        <v>10</v>
      </c>
      <c r="B117" s="288" t="s">
        <v>240</v>
      </c>
      <c r="C117" s="288"/>
      <c r="D117" s="288"/>
      <c r="E117" s="288"/>
      <c r="F117" s="288"/>
      <c r="G117" s="288"/>
      <c r="H117" s="288"/>
      <c r="I117" s="288"/>
      <c r="J117" s="288"/>
      <c r="K117" s="288"/>
      <c r="L117" s="288"/>
      <c r="M117" s="288"/>
      <c r="N117" s="288"/>
      <c r="O117" s="288"/>
      <c r="P117" s="288"/>
      <c r="Q117" s="288"/>
      <c r="R117" s="288"/>
      <c r="S117" s="288"/>
      <c r="T117" s="288"/>
      <c r="U117" s="288"/>
      <c r="V117" s="338">
        <v>0</v>
      </c>
      <c r="W117" s="291"/>
      <c r="X117" s="5"/>
    </row>
    <row r="118" spans="1:25" ht="15.6" x14ac:dyDescent="0.3">
      <c r="A118" s="340">
        <f t="shared" si="0"/>
        <v>11</v>
      </c>
      <c r="B118" s="288" t="s">
        <v>36</v>
      </c>
      <c r="C118" s="288"/>
      <c r="D118" s="288"/>
      <c r="E118" s="288"/>
      <c r="F118" s="288"/>
      <c r="G118" s="288"/>
      <c r="H118" s="288"/>
      <c r="I118" s="288"/>
      <c r="J118" s="288"/>
      <c r="K118" s="288"/>
      <c r="L118" s="288"/>
      <c r="M118" s="288"/>
      <c r="N118" s="288"/>
      <c r="O118" s="288"/>
      <c r="P118" s="288"/>
      <c r="Q118" s="288"/>
      <c r="R118" s="288"/>
      <c r="S118" s="288"/>
      <c r="T118" s="288"/>
      <c r="U118" s="288"/>
      <c r="V118" s="338">
        <v>0</v>
      </c>
      <c r="W118" s="291"/>
      <c r="X118" s="5"/>
    </row>
    <row r="119" spans="1:25" ht="15.6" x14ac:dyDescent="0.3">
      <c r="A119" s="340">
        <f t="shared" si="0"/>
        <v>12</v>
      </c>
      <c r="B119" s="288" t="s">
        <v>239</v>
      </c>
      <c r="C119" s="288"/>
      <c r="D119" s="288"/>
      <c r="E119" s="288"/>
      <c r="F119" s="288"/>
      <c r="G119" s="288"/>
      <c r="H119" s="288"/>
      <c r="I119" s="288"/>
      <c r="J119" s="288"/>
      <c r="K119" s="288"/>
      <c r="L119" s="288"/>
      <c r="M119" s="288"/>
      <c r="N119" s="288"/>
      <c r="O119" s="288"/>
      <c r="P119" s="288"/>
      <c r="Q119" s="288"/>
      <c r="R119" s="288"/>
      <c r="S119" s="288"/>
      <c r="T119" s="288"/>
      <c r="U119" s="288"/>
      <c r="V119" s="338">
        <v>0</v>
      </c>
      <c r="W119" s="291"/>
      <c r="X119" s="5"/>
    </row>
    <row r="120" spans="1:25" ht="15.6" x14ac:dyDescent="0.3">
      <c r="A120" s="340">
        <f t="shared" si="0"/>
        <v>13</v>
      </c>
      <c r="B120" s="288" t="s">
        <v>149</v>
      </c>
      <c r="C120" s="288"/>
      <c r="D120" s="288"/>
      <c r="E120" s="288"/>
      <c r="F120" s="288"/>
      <c r="G120" s="288"/>
      <c r="H120" s="288"/>
      <c r="I120" s="288"/>
      <c r="J120" s="288"/>
      <c r="K120" s="288"/>
      <c r="L120" s="288"/>
      <c r="M120" s="288"/>
      <c r="N120" s="288"/>
      <c r="O120" s="288"/>
      <c r="P120" s="288"/>
      <c r="Q120" s="288"/>
      <c r="R120" s="288"/>
      <c r="S120" s="288"/>
      <c r="T120" s="288"/>
      <c r="U120" s="288"/>
      <c r="V120" s="338">
        <v>-698</v>
      </c>
      <c r="W120" s="291"/>
      <c r="X120" s="5"/>
    </row>
    <row r="121" spans="1:25" ht="15.6" x14ac:dyDescent="0.3">
      <c r="A121" s="340">
        <f t="shared" si="0"/>
        <v>14</v>
      </c>
      <c r="B121" s="288" t="s">
        <v>126</v>
      </c>
      <c r="C121" s="288"/>
      <c r="D121" s="288"/>
      <c r="E121" s="288"/>
      <c r="F121" s="288"/>
      <c r="G121" s="288"/>
      <c r="H121" s="288"/>
      <c r="I121" s="288"/>
      <c r="J121" s="288"/>
      <c r="K121" s="288"/>
      <c r="L121" s="288"/>
      <c r="M121" s="288"/>
      <c r="N121" s="288"/>
      <c r="O121" s="288"/>
      <c r="P121" s="288"/>
      <c r="Q121" s="288"/>
      <c r="R121" s="288"/>
      <c r="S121" s="288"/>
      <c r="T121" s="288"/>
      <c r="U121" s="288"/>
      <c r="V121" s="338">
        <f>-V101-SUM(V103:V120)</f>
        <v>-3538</v>
      </c>
      <c r="W121" s="291"/>
      <c r="X121" s="5"/>
    </row>
    <row r="122" spans="1:25" ht="15.6" x14ac:dyDescent="0.3">
      <c r="A122" s="287"/>
      <c r="B122" s="343" t="s">
        <v>37</v>
      </c>
      <c r="C122" s="314"/>
      <c r="D122" s="314"/>
      <c r="E122" s="314"/>
      <c r="F122" s="314"/>
      <c r="G122" s="314"/>
      <c r="H122" s="314"/>
      <c r="I122" s="314"/>
      <c r="J122" s="314"/>
      <c r="K122" s="314"/>
      <c r="L122" s="314"/>
      <c r="M122" s="314"/>
      <c r="N122" s="314"/>
      <c r="O122" s="314"/>
      <c r="P122" s="314"/>
      <c r="Q122" s="314"/>
      <c r="R122" s="314"/>
      <c r="S122" s="314"/>
      <c r="T122" s="314"/>
      <c r="U122" s="314"/>
      <c r="V122" s="346"/>
      <c r="W122" s="318"/>
      <c r="X122" s="5"/>
    </row>
    <row r="123" spans="1:25" ht="15.6" x14ac:dyDescent="0.3">
      <c r="A123" s="340"/>
      <c r="B123" s="288" t="s">
        <v>173</v>
      </c>
      <c r="C123" s="288"/>
      <c r="D123" s="288"/>
      <c r="E123" s="288"/>
      <c r="F123" s="288"/>
      <c r="G123" s="288"/>
      <c r="H123" s="288"/>
      <c r="I123" s="288"/>
      <c r="J123" s="288"/>
      <c r="K123" s="288"/>
      <c r="L123" s="288"/>
      <c r="M123" s="288"/>
      <c r="N123" s="288"/>
      <c r="O123" s="288"/>
      <c r="P123" s="288"/>
      <c r="Q123" s="288"/>
      <c r="R123" s="288"/>
      <c r="S123" s="288"/>
      <c r="T123" s="337">
        <f>-T189</f>
        <v>0</v>
      </c>
      <c r="U123" s="337"/>
      <c r="V123" s="338"/>
      <c r="W123" s="291"/>
      <c r="X123" s="5"/>
    </row>
    <row r="124" spans="1:25" ht="15.6" x14ac:dyDescent="0.3">
      <c r="A124" s="340"/>
      <c r="B124" s="288" t="s">
        <v>174</v>
      </c>
      <c r="C124" s="288"/>
      <c r="D124" s="288"/>
      <c r="E124" s="288"/>
      <c r="F124" s="288"/>
      <c r="G124" s="288"/>
      <c r="H124" s="288"/>
      <c r="I124" s="288"/>
      <c r="J124" s="288"/>
      <c r="K124" s="288"/>
      <c r="L124" s="288"/>
      <c r="M124" s="288"/>
      <c r="N124" s="288"/>
      <c r="O124" s="288"/>
      <c r="P124" s="288"/>
      <c r="Q124" s="288"/>
      <c r="R124" s="288"/>
      <c r="S124" s="288"/>
      <c r="T124" s="337">
        <v>0</v>
      </c>
      <c r="U124" s="337"/>
      <c r="V124" s="338"/>
      <c r="W124" s="291"/>
      <c r="X124" s="5"/>
    </row>
    <row r="125" spans="1:25" ht="15.6" x14ac:dyDescent="0.3">
      <c r="A125" s="340"/>
      <c r="B125" s="288" t="s">
        <v>38</v>
      </c>
      <c r="C125" s="288"/>
      <c r="D125" s="288"/>
      <c r="E125" s="288"/>
      <c r="F125" s="288"/>
      <c r="G125" s="288"/>
      <c r="H125" s="288"/>
      <c r="I125" s="288"/>
      <c r="J125" s="288"/>
      <c r="K125" s="288"/>
      <c r="L125" s="288"/>
      <c r="M125" s="288"/>
      <c r="N125" s="288"/>
      <c r="O125" s="288"/>
      <c r="P125" s="288"/>
      <c r="Q125" s="288"/>
      <c r="R125" s="288"/>
      <c r="S125" s="288"/>
      <c r="T125" s="337">
        <f>-S189</f>
        <v>-20</v>
      </c>
      <c r="U125" s="337"/>
      <c r="V125" s="338"/>
      <c r="W125" s="291"/>
      <c r="X125" s="5"/>
    </row>
    <row r="126" spans="1:25" ht="15.6" x14ac:dyDescent="0.3">
      <c r="A126" s="340"/>
      <c r="B126" s="288" t="s">
        <v>197</v>
      </c>
      <c r="C126" s="288"/>
      <c r="D126" s="288"/>
      <c r="E126" s="288"/>
      <c r="F126" s="288"/>
      <c r="G126" s="288"/>
      <c r="H126" s="288"/>
      <c r="I126" s="288"/>
      <c r="J126" s="288"/>
      <c r="K126" s="288"/>
      <c r="L126" s="288"/>
      <c r="M126" s="288"/>
      <c r="N126" s="288"/>
      <c r="O126" s="288"/>
      <c r="P126" s="288"/>
      <c r="Q126" s="288"/>
      <c r="R126" s="288"/>
      <c r="S126" s="288"/>
      <c r="T126" s="337">
        <v>-3684</v>
      </c>
      <c r="U126" s="337"/>
      <c r="V126" s="338"/>
      <c r="W126" s="291"/>
      <c r="X126" s="5"/>
    </row>
    <row r="127" spans="1:25" ht="15.6" x14ac:dyDescent="0.3">
      <c r="A127" s="340"/>
      <c r="B127" s="288" t="s">
        <v>195</v>
      </c>
      <c r="C127" s="288"/>
      <c r="D127" s="288"/>
      <c r="E127" s="288"/>
      <c r="F127" s="288"/>
      <c r="G127" s="288"/>
      <c r="H127" s="288"/>
      <c r="I127" s="288"/>
      <c r="J127" s="288"/>
      <c r="K127" s="288"/>
      <c r="L127" s="288"/>
      <c r="M127" s="288"/>
      <c r="N127" s="288"/>
      <c r="O127" s="288"/>
      <c r="P127" s="288"/>
      <c r="Q127" s="288"/>
      <c r="R127" s="288"/>
      <c r="S127" s="288"/>
      <c r="T127" s="337">
        <v>-594</v>
      </c>
      <c r="U127" s="337"/>
      <c r="V127" s="338"/>
      <c r="W127" s="291"/>
      <c r="X127" s="5"/>
    </row>
    <row r="128" spans="1:25" ht="15.6" x14ac:dyDescent="0.3">
      <c r="A128" s="340"/>
      <c r="B128" s="288" t="s">
        <v>194</v>
      </c>
      <c r="C128" s="288"/>
      <c r="D128" s="288"/>
      <c r="E128" s="288"/>
      <c r="F128" s="288"/>
      <c r="G128" s="288"/>
      <c r="H128" s="288"/>
      <c r="I128" s="288"/>
      <c r="J128" s="288"/>
      <c r="K128" s="288"/>
      <c r="L128" s="288"/>
      <c r="M128" s="288"/>
      <c r="N128" s="288"/>
      <c r="O128" s="288"/>
      <c r="P128" s="288"/>
      <c r="Q128" s="288"/>
      <c r="R128" s="288"/>
      <c r="S128" s="288"/>
      <c r="T128" s="337">
        <v>-799</v>
      </c>
      <c r="U128" s="337"/>
      <c r="V128" s="338"/>
      <c r="W128" s="291"/>
      <c r="X128" s="5"/>
    </row>
    <row r="129" spans="1:24" ht="15.6" x14ac:dyDescent="0.3">
      <c r="A129" s="340"/>
      <c r="B129" s="288" t="s">
        <v>226</v>
      </c>
      <c r="C129" s="288"/>
      <c r="D129" s="288"/>
      <c r="E129" s="288"/>
      <c r="F129" s="288"/>
      <c r="G129" s="288"/>
      <c r="H129" s="288"/>
      <c r="I129" s="288"/>
      <c r="J129" s="288"/>
      <c r="K129" s="288"/>
      <c r="L129" s="288"/>
      <c r="M129" s="288"/>
      <c r="N129" s="288"/>
      <c r="O129" s="288"/>
      <c r="P129" s="288"/>
      <c r="Q129" s="288"/>
      <c r="R129" s="288"/>
      <c r="S129" s="288"/>
      <c r="T129" s="337">
        <v>-982</v>
      </c>
      <c r="U129" s="337"/>
      <c r="V129" s="338"/>
      <c r="W129" s="291"/>
      <c r="X129" s="5"/>
    </row>
    <row r="130" spans="1:24" ht="15.6" x14ac:dyDescent="0.3">
      <c r="A130" s="340"/>
      <c r="B130" s="288" t="s">
        <v>189</v>
      </c>
      <c r="C130" s="288"/>
      <c r="D130" s="288"/>
      <c r="E130" s="288"/>
      <c r="F130" s="288"/>
      <c r="G130" s="288"/>
      <c r="H130" s="288"/>
      <c r="I130" s="288"/>
      <c r="J130" s="288"/>
      <c r="K130" s="288"/>
      <c r="L130" s="288"/>
      <c r="M130" s="288"/>
      <c r="N130" s="288"/>
      <c r="O130" s="288"/>
      <c r="P130" s="288"/>
      <c r="Q130" s="288"/>
      <c r="R130" s="288"/>
      <c r="S130" s="288"/>
      <c r="T130" s="337">
        <v>0</v>
      </c>
      <c r="U130" s="337"/>
      <c r="V130" s="338"/>
      <c r="W130" s="291"/>
      <c r="X130" s="5"/>
    </row>
    <row r="131" spans="1:24" ht="15.6" x14ac:dyDescent="0.3">
      <c r="A131" s="340"/>
      <c r="B131" s="288" t="s">
        <v>188</v>
      </c>
      <c r="C131" s="288"/>
      <c r="D131" s="288"/>
      <c r="E131" s="288"/>
      <c r="F131" s="288"/>
      <c r="G131" s="288"/>
      <c r="H131" s="288"/>
      <c r="I131" s="288"/>
      <c r="J131" s="288"/>
      <c r="K131" s="288"/>
      <c r="L131" s="288"/>
      <c r="M131" s="288"/>
      <c r="N131" s="288"/>
      <c r="O131" s="288"/>
      <c r="P131" s="288"/>
      <c r="Q131" s="288"/>
      <c r="R131" s="288"/>
      <c r="S131" s="288"/>
      <c r="T131" s="337">
        <v>0</v>
      </c>
      <c r="U131" s="337"/>
      <c r="V131" s="338"/>
      <c r="W131" s="291"/>
      <c r="X131" s="5"/>
    </row>
    <row r="132" spans="1:24" ht="15.6" x14ac:dyDescent="0.3">
      <c r="A132" s="340"/>
      <c r="B132" s="288" t="s">
        <v>227</v>
      </c>
      <c r="C132" s="288"/>
      <c r="D132" s="288"/>
      <c r="E132" s="288"/>
      <c r="F132" s="288"/>
      <c r="G132" s="288"/>
      <c r="H132" s="288"/>
      <c r="I132" s="288"/>
      <c r="J132" s="288"/>
      <c r="K132" s="288"/>
      <c r="L132" s="288"/>
      <c r="M132" s="288"/>
      <c r="N132" s="288"/>
      <c r="O132" s="288"/>
      <c r="P132" s="288"/>
      <c r="Q132" s="288"/>
      <c r="R132" s="288"/>
      <c r="S132" s="288"/>
      <c r="T132" s="337">
        <v>0</v>
      </c>
      <c r="U132" s="337"/>
      <c r="V132" s="338"/>
      <c r="W132" s="291"/>
      <c r="X132" s="5"/>
    </row>
    <row r="133" spans="1:24" ht="15.6" x14ac:dyDescent="0.3">
      <c r="A133" s="340"/>
      <c r="B133" s="288" t="s">
        <v>187</v>
      </c>
      <c r="C133" s="288"/>
      <c r="D133" s="288"/>
      <c r="E133" s="288"/>
      <c r="F133" s="288"/>
      <c r="G133" s="288"/>
      <c r="H133" s="288"/>
      <c r="I133" s="288"/>
      <c r="J133" s="288"/>
      <c r="K133" s="288"/>
      <c r="L133" s="288"/>
      <c r="M133" s="288"/>
      <c r="N133" s="288"/>
      <c r="O133" s="288"/>
      <c r="P133" s="288"/>
      <c r="Q133" s="288"/>
      <c r="R133" s="288"/>
      <c r="S133" s="288"/>
      <c r="T133" s="337">
        <v>0</v>
      </c>
      <c r="U133" s="337"/>
      <c r="V133" s="338"/>
      <c r="W133" s="291"/>
      <c r="X133" s="5"/>
    </row>
    <row r="134" spans="1:24" ht="15.6" x14ac:dyDescent="0.3">
      <c r="A134" s="340"/>
      <c r="B134" s="288" t="s">
        <v>39</v>
      </c>
      <c r="C134" s="288"/>
      <c r="D134" s="288"/>
      <c r="E134" s="288"/>
      <c r="F134" s="288"/>
      <c r="G134" s="288"/>
      <c r="H134" s="288"/>
      <c r="I134" s="288"/>
      <c r="J134" s="288"/>
      <c r="K134" s="288"/>
      <c r="L134" s="288"/>
      <c r="M134" s="288"/>
      <c r="N134" s="288"/>
      <c r="O134" s="288"/>
      <c r="P134" s="288"/>
      <c r="Q134" s="288"/>
      <c r="R134" s="288"/>
      <c r="S134" s="288"/>
      <c r="T134" s="337">
        <f>SUM(T123:T133)</f>
        <v>-6079</v>
      </c>
      <c r="U134" s="337"/>
      <c r="V134" s="337">
        <f>SUM(V102:V131)</f>
        <v>-7413</v>
      </c>
      <c r="W134" s="291"/>
      <c r="X134" s="5"/>
    </row>
    <row r="135" spans="1:24" ht="15.6" x14ac:dyDescent="0.3">
      <c r="A135" s="340"/>
      <c r="B135" s="288" t="s">
        <v>40</v>
      </c>
      <c r="C135" s="288"/>
      <c r="D135" s="288"/>
      <c r="E135" s="288"/>
      <c r="F135" s="288"/>
      <c r="G135" s="288"/>
      <c r="H135" s="288"/>
      <c r="I135" s="288"/>
      <c r="J135" s="288"/>
      <c r="K135" s="288"/>
      <c r="L135" s="288"/>
      <c r="M135" s="288"/>
      <c r="N135" s="288"/>
      <c r="O135" s="288"/>
      <c r="P135" s="288"/>
      <c r="Q135" s="288"/>
      <c r="R135" s="288"/>
      <c r="S135" s="288"/>
      <c r="T135" s="337">
        <f>T101+T134+T115</f>
        <v>0</v>
      </c>
      <c r="U135" s="337"/>
      <c r="V135" s="337">
        <f>V101+V134</f>
        <v>0</v>
      </c>
      <c r="W135" s="291"/>
      <c r="X135" s="5"/>
    </row>
    <row r="136" spans="1:24" ht="15.6" x14ac:dyDescent="0.3">
      <c r="A136" s="243"/>
      <c r="B136" s="284"/>
      <c r="C136" s="284"/>
      <c r="D136" s="284"/>
      <c r="E136" s="284"/>
      <c r="F136" s="284"/>
      <c r="G136" s="284"/>
      <c r="H136" s="284"/>
      <c r="I136" s="284"/>
      <c r="J136" s="284"/>
      <c r="K136" s="284"/>
      <c r="L136" s="284"/>
      <c r="M136" s="284"/>
      <c r="N136" s="284"/>
      <c r="O136" s="284"/>
      <c r="P136" s="284"/>
      <c r="Q136" s="284"/>
      <c r="R136" s="284"/>
      <c r="S136" s="284"/>
      <c r="T136" s="339"/>
      <c r="U136" s="339"/>
      <c r="V136" s="339"/>
      <c r="W136" s="284"/>
      <c r="X136" s="5"/>
    </row>
    <row r="137" spans="1:24" ht="15.6" x14ac:dyDescent="0.3">
      <c r="A137" s="243"/>
      <c r="B137" s="224"/>
      <c r="C137" s="224"/>
      <c r="D137" s="224"/>
      <c r="E137" s="224"/>
      <c r="F137" s="224"/>
      <c r="G137" s="224"/>
      <c r="H137" s="224"/>
      <c r="I137" s="224"/>
      <c r="J137" s="224"/>
      <c r="K137" s="224"/>
      <c r="L137" s="224"/>
      <c r="M137" s="224"/>
      <c r="N137" s="224"/>
      <c r="O137" s="224"/>
      <c r="P137" s="224"/>
      <c r="Q137" s="224"/>
      <c r="R137" s="224"/>
      <c r="S137" s="224"/>
      <c r="T137" s="224"/>
      <c r="U137" s="224"/>
      <c r="V137" s="244"/>
      <c r="W137" s="224"/>
      <c r="X137" s="5"/>
    </row>
    <row r="138" spans="1:24" ht="18" thickBot="1" x14ac:dyDescent="0.35">
      <c r="A138" s="245"/>
      <c r="B138" s="237" t="str">
        <f>B64</f>
        <v>PM14 INVESTOR REPORT QUARTER ENDING NOVEMBER 2012</v>
      </c>
      <c r="C138" s="238"/>
      <c r="D138" s="238"/>
      <c r="E138" s="238"/>
      <c r="F138" s="238"/>
      <c r="G138" s="238"/>
      <c r="H138" s="238"/>
      <c r="I138" s="238"/>
      <c r="J138" s="238"/>
      <c r="K138" s="238"/>
      <c r="L138" s="238"/>
      <c r="M138" s="238"/>
      <c r="N138" s="238"/>
      <c r="O138" s="238"/>
      <c r="P138" s="238"/>
      <c r="Q138" s="238"/>
      <c r="R138" s="238"/>
      <c r="S138" s="238"/>
      <c r="T138" s="238"/>
      <c r="U138" s="238"/>
      <c r="V138" s="246"/>
      <c r="W138" s="240"/>
      <c r="X138" s="5"/>
    </row>
    <row r="139" spans="1:24" ht="15.6" x14ac:dyDescent="0.3">
      <c r="A139" s="273"/>
      <c r="B139" s="403" t="s">
        <v>41</v>
      </c>
      <c r="C139" s="274"/>
      <c r="D139" s="274"/>
      <c r="E139" s="274"/>
      <c r="F139" s="274"/>
      <c r="G139" s="274"/>
      <c r="H139" s="274"/>
      <c r="I139" s="274"/>
      <c r="J139" s="274"/>
      <c r="K139" s="274"/>
      <c r="L139" s="274"/>
      <c r="M139" s="274"/>
      <c r="N139" s="274"/>
      <c r="O139" s="274"/>
      <c r="P139" s="274"/>
      <c r="Q139" s="274"/>
      <c r="R139" s="274"/>
      <c r="S139" s="274"/>
      <c r="T139" s="274"/>
      <c r="U139" s="274"/>
      <c r="V139" s="275"/>
      <c r="W139" s="274"/>
      <c r="X139" s="5"/>
    </row>
    <row r="140" spans="1:24" ht="15.6" x14ac:dyDescent="0.3">
      <c r="A140" s="183"/>
      <c r="B140" s="195"/>
      <c r="C140" s="185"/>
      <c r="D140" s="185"/>
      <c r="E140" s="185"/>
      <c r="F140" s="185"/>
      <c r="G140" s="185"/>
      <c r="H140" s="185"/>
      <c r="I140" s="185"/>
      <c r="J140" s="185"/>
      <c r="K140" s="185"/>
      <c r="L140" s="185"/>
      <c r="M140" s="185"/>
      <c r="N140" s="185"/>
      <c r="O140" s="185"/>
      <c r="P140" s="185"/>
      <c r="Q140" s="185"/>
      <c r="R140" s="185"/>
      <c r="S140" s="185"/>
      <c r="T140" s="185"/>
      <c r="U140" s="185"/>
      <c r="V140" s="201"/>
      <c r="W140" s="185"/>
      <c r="X140" s="5"/>
    </row>
    <row r="141" spans="1:24" ht="15.6" x14ac:dyDescent="0.3">
      <c r="A141" s="183"/>
      <c r="B141" s="208" t="s">
        <v>42</v>
      </c>
      <c r="C141" s="185"/>
      <c r="D141" s="185"/>
      <c r="E141" s="185"/>
      <c r="F141" s="185"/>
      <c r="G141" s="185"/>
      <c r="H141" s="185"/>
      <c r="I141" s="185"/>
      <c r="J141" s="185"/>
      <c r="K141" s="185"/>
      <c r="L141" s="185"/>
      <c r="M141" s="185"/>
      <c r="N141" s="185"/>
      <c r="O141" s="185"/>
      <c r="P141" s="185"/>
      <c r="Q141" s="185"/>
      <c r="R141" s="185"/>
      <c r="S141" s="185"/>
      <c r="T141" s="185"/>
      <c r="U141" s="185"/>
      <c r="V141" s="201"/>
      <c r="W141" s="185"/>
      <c r="X141" s="5"/>
    </row>
    <row r="142" spans="1:24" ht="15.6" x14ac:dyDescent="0.3">
      <c r="A142" s="287"/>
      <c r="B142" s="288" t="s">
        <v>43</v>
      </c>
      <c r="C142" s="288"/>
      <c r="D142" s="288"/>
      <c r="E142" s="288"/>
      <c r="F142" s="288"/>
      <c r="G142" s="288"/>
      <c r="H142" s="288"/>
      <c r="I142" s="288"/>
      <c r="J142" s="288"/>
      <c r="K142" s="288"/>
      <c r="L142" s="288"/>
      <c r="M142" s="288"/>
      <c r="N142" s="288"/>
      <c r="O142" s="288"/>
      <c r="P142" s="288"/>
      <c r="Q142" s="288"/>
      <c r="R142" s="288"/>
      <c r="S142" s="288"/>
      <c r="T142" s="288"/>
      <c r="U142" s="288"/>
      <c r="V142" s="338">
        <f>+V34*0.019</f>
        <v>28505.224999999999</v>
      </c>
      <c r="W142" s="291"/>
      <c r="X142" s="5"/>
    </row>
    <row r="143" spans="1:24" ht="15.6" x14ac:dyDescent="0.3">
      <c r="A143" s="287"/>
      <c r="B143" s="288" t="s">
        <v>44</v>
      </c>
      <c r="C143" s="288"/>
      <c r="D143" s="288"/>
      <c r="E143" s="288"/>
      <c r="F143" s="288"/>
      <c r="G143" s="288"/>
      <c r="H143" s="288"/>
      <c r="I143" s="288"/>
      <c r="J143" s="288"/>
      <c r="K143" s="288"/>
      <c r="L143" s="288"/>
      <c r="M143" s="288"/>
      <c r="N143" s="288"/>
      <c r="O143" s="288"/>
      <c r="P143" s="288"/>
      <c r="Q143" s="288"/>
      <c r="R143" s="288"/>
      <c r="S143" s="288"/>
      <c r="T143" s="288"/>
      <c r="U143" s="288"/>
      <c r="V143" s="338">
        <v>28505</v>
      </c>
      <c r="W143" s="291"/>
      <c r="X143" s="5"/>
    </row>
    <row r="144" spans="1:24" ht="15.6" x14ac:dyDescent="0.3">
      <c r="A144" s="287"/>
      <c r="B144" s="288" t="s">
        <v>136</v>
      </c>
      <c r="C144" s="288"/>
      <c r="D144" s="288"/>
      <c r="E144" s="288"/>
      <c r="F144" s="288"/>
      <c r="G144" s="288"/>
      <c r="H144" s="288"/>
      <c r="I144" s="288"/>
      <c r="J144" s="288"/>
      <c r="K144" s="288"/>
      <c r="L144" s="288"/>
      <c r="M144" s="288"/>
      <c r="N144" s="288"/>
      <c r="O144" s="288"/>
      <c r="P144" s="288"/>
      <c r="Q144" s="288"/>
      <c r="R144" s="288"/>
      <c r="S144" s="288"/>
      <c r="T144" s="288"/>
      <c r="U144" s="288"/>
      <c r="V144" s="338"/>
      <c r="W144" s="291"/>
      <c r="X144" s="5"/>
    </row>
    <row r="145" spans="1:25" ht="15.6" x14ac:dyDescent="0.3">
      <c r="A145" s="287"/>
      <c r="B145" s="288" t="s">
        <v>123</v>
      </c>
      <c r="C145" s="288"/>
      <c r="D145" s="288"/>
      <c r="E145" s="288"/>
      <c r="F145" s="288"/>
      <c r="G145" s="288"/>
      <c r="H145" s="288"/>
      <c r="I145" s="288"/>
      <c r="J145" s="288"/>
      <c r="K145" s="288"/>
      <c r="L145" s="288"/>
      <c r="M145" s="288"/>
      <c r="N145" s="288"/>
      <c r="O145" s="288"/>
      <c r="P145" s="288"/>
      <c r="Q145" s="288"/>
      <c r="R145" s="288"/>
      <c r="S145" s="288"/>
      <c r="T145" s="288"/>
      <c r="U145" s="288"/>
      <c r="V145" s="338">
        <v>0</v>
      </c>
      <c r="W145" s="291"/>
      <c r="X145" s="5"/>
    </row>
    <row r="146" spans="1:25" ht="15.6" x14ac:dyDescent="0.3">
      <c r="A146" s="287"/>
      <c r="B146" s="288" t="s">
        <v>124</v>
      </c>
      <c r="C146" s="288"/>
      <c r="D146" s="288"/>
      <c r="E146" s="288"/>
      <c r="F146" s="288"/>
      <c r="G146" s="288"/>
      <c r="H146" s="288"/>
      <c r="I146" s="288"/>
      <c r="J146" s="288"/>
      <c r="K146" s="288"/>
      <c r="L146" s="288"/>
      <c r="M146" s="288"/>
      <c r="N146" s="288"/>
      <c r="O146" s="288"/>
      <c r="P146" s="288"/>
      <c r="Q146" s="288"/>
      <c r="R146" s="288"/>
      <c r="S146" s="288"/>
      <c r="T146" s="288"/>
      <c r="U146" s="288"/>
      <c r="V146" s="338">
        <v>0</v>
      </c>
      <c r="W146" s="291"/>
      <c r="X146" s="5"/>
    </row>
    <row r="147" spans="1:25" ht="15.6" x14ac:dyDescent="0.3">
      <c r="A147" s="287"/>
      <c r="B147" s="288" t="s">
        <v>175</v>
      </c>
      <c r="C147" s="288"/>
      <c r="D147" s="288"/>
      <c r="E147" s="288"/>
      <c r="F147" s="288"/>
      <c r="G147" s="288"/>
      <c r="H147" s="288"/>
      <c r="I147" s="288"/>
      <c r="J147" s="288"/>
      <c r="K147" s="288"/>
      <c r="L147" s="288"/>
      <c r="M147" s="288"/>
      <c r="N147" s="288"/>
      <c r="O147" s="288"/>
      <c r="P147" s="288"/>
      <c r="Q147" s="288"/>
      <c r="R147" s="288"/>
      <c r="S147" s="288"/>
      <c r="T147" s="288"/>
      <c r="U147" s="288"/>
      <c r="V147" s="338">
        <v>0</v>
      </c>
      <c r="W147" s="291"/>
      <c r="X147" s="5"/>
    </row>
    <row r="148" spans="1:25" ht="15.6" x14ac:dyDescent="0.3">
      <c r="A148" s="287"/>
      <c r="B148" s="288" t="s">
        <v>45</v>
      </c>
      <c r="C148" s="288"/>
      <c r="D148" s="288"/>
      <c r="E148" s="288"/>
      <c r="F148" s="288"/>
      <c r="G148" s="288"/>
      <c r="H148" s="288"/>
      <c r="I148" s="288"/>
      <c r="J148" s="288"/>
      <c r="K148" s="288"/>
      <c r="L148" s="288"/>
      <c r="M148" s="288"/>
      <c r="N148" s="288"/>
      <c r="O148" s="288"/>
      <c r="P148" s="288"/>
      <c r="Q148" s="288"/>
      <c r="R148" s="288"/>
      <c r="S148" s="288"/>
      <c r="T148" s="288"/>
      <c r="U148" s="288"/>
      <c r="V148" s="338">
        <v>0</v>
      </c>
      <c r="W148" s="291"/>
      <c r="X148" s="5"/>
    </row>
    <row r="149" spans="1:25" ht="15.6" x14ac:dyDescent="0.3">
      <c r="A149" s="287"/>
      <c r="B149" s="288" t="s">
        <v>129</v>
      </c>
      <c r="C149" s="288"/>
      <c r="D149" s="288"/>
      <c r="E149" s="288"/>
      <c r="F149" s="288"/>
      <c r="G149" s="288"/>
      <c r="H149" s="288"/>
      <c r="I149" s="288"/>
      <c r="J149" s="288"/>
      <c r="K149" s="288"/>
      <c r="L149" s="288"/>
      <c r="M149" s="288"/>
      <c r="N149" s="288"/>
      <c r="O149" s="288"/>
      <c r="P149" s="288"/>
      <c r="Q149" s="288"/>
      <c r="R149" s="288"/>
      <c r="S149" s="288"/>
      <c r="T149" s="288"/>
      <c r="U149" s="288"/>
      <c r="V149" s="338">
        <v>0</v>
      </c>
      <c r="W149" s="291"/>
      <c r="X149" s="5"/>
    </row>
    <row r="150" spans="1:25" ht="15.6" x14ac:dyDescent="0.3">
      <c r="A150" s="287"/>
      <c r="B150" s="288" t="s">
        <v>267</v>
      </c>
      <c r="C150" s="288"/>
      <c r="D150" s="288"/>
      <c r="E150" s="288"/>
      <c r="F150" s="288"/>
      <c r="G150" s="288"/>
      <c r="H150" s="288"/>
      <c r="I150" s="288"/>
      <c r="J150" s="288"/>
      <c r="K150" s="288"/>
      <c r="L150" s="288"/>
      <c r="M150" s="288"/>
      <c r="N150" s="288"/>
      <c r="O150" s="288"/>
      <c r="P150" s="288"/>
      <c r="Q150" s="288"/>
      <c r="R150" s="288"/>
      <c r="S150" s="288"/>
      <c r="T150" s="288"/>
      <c r="U150" s="288"/>
      <c r="V150" s="338">
        <v>0</v>
      </c>
      <c r="W150" s="291"/>
      <c r="X150" s="5"/>
      <c r="Y150" s="109"/>
    </row>
    <row r="151" spans="1:25" ht="15.6" x14ac:dyDescent="0.3">
      <c r="A151" s="287"/>
      <c r="B151" s="288" t="s">
        <v>46</v>
      </c>
      <c r="C151" s="288"/>
      <c r="D151" s="288"/>
      <c r="E151" s="288"/>
      <c r="F151" s="288"/>
      <c r="G151" s="288"/>
      <c r="H151" s="288"/>
      <c r="I151" s="288"/>
      <c r="J151" s="288"/>
      <c r="K151" s="288"/>
      <c r="L151" s="288"/>
      <c r="M151" s="288"/>
      <c r="N151" s="288"/>
      <c r="O151" s="288"/>
      <c r="P151" s="288"/>
      <c r="Q151" s="288"/>
      <c r="R151" s="288"/>
      <c r="S151" s="288"/>
      <c r="T151" s="288"/>
      <c r="U151" s="288"/>
      <c r="V151" s="338">
        <f>SUM(V143:V150)</f>
        <v>28505</v>
      </c>
      <c r="W151" s="291"/>
      <c r="X151" s="5"/>
    </row>
    <row r="152" spans="1:25" ht="15.6" x14ac:dyDescent="0.3">
      <c r="A152" s="287"/>
      <c r="B152" s="314"/>
      <c r="C152" s="314"/>
      <c r="D152" s="314"/>
      <c r="E152" s="314"/>
      <c r="F152" s="314"/>
      <c r="G152" s="314"/>
      <c r="H152" s="314"/>
      <c r="I152" s="314"/>
      <c r="J152" s="314"/>
      <c r="K152" s="314"/>
      <c r="L152" s="314"/>
      <c r="M152" s="314"/>
      <c r="N152" s="314"/>
      <c r="O152" s="314"/>
      <c r="P152" s="314"/>
      <c r="Q152" s="314"/>
      <c r="R152" s="314"/>
      <c r="S152" s="314"/>
      <c r="T152" s="314"/>
      <c r="U152" s="314"/>
      <c r="V152" s="345"/>
      <c r="W152" s="318"/>
      <c r="X152" s="5"/>
    </row>
    <row r="153" spans="1:25" ht="15.6" x14ac:dyDescent="0.3">
      <c r="A153" s="287"/>
      <c r="B153" s="343" t="s">
        <v>237</v>
      </c>
      <c r="C153" s="314"/>
      <c r="D153" s="314"/>
      <c r="E153" s="314"/>
      <c r="F153" s="314"/>
      <c r="G153" s="314"/>
      <c r="H153" s="314"/>
      <c r="I153" s="314"/>
      <c r="J153" s="314"/>
      <c r="K153" s="314"/>
      <c r="L153" s="314"/>
      <c r="M153" s="314"/>
      <c r="N153" s="314"/>
      <c r="O153" s="314"/>
      <c r="P153" s="314"/>
      <c r="Q153" s="314"/>
      <c r="R153" s="314"/>
      <c r="S153" s="314"/>
      <c r="T153" s="314"/>
      <c r="U153" s="314"/>
      <c r="V153" s="345"/>
      <c r="W153" s="318"/>
      <c r="X153" s="5"/>
    </row>
    <row r="154" spans="1:25" ht="15.6" x14ac:dyDescent="0.3">
      <c r="A154" s="287"/>
      <c r="B154" s="288" t="s">
        <v>155</v>
      </c>
      <c r="C154" s="288"/>
      <c r="D154" s="288"/>
      <c r="E154" s="288"/>
      <c r="F154" s="288"/>
      <c r="G154" s="288"/>
      <c r="H154" s="288"/>
      <c r="I154" s="288"/>
      <c r="J154" s="288"/>
      <c r="K154" s="288"/>
      <c r="L154" s="288"/>
      <c r="M154" s="288"/>
      <c r="N154" s="288"/>
      <c r="O154" s="288"/>
      <c r="P154" s="288"/>
      <c r="Q154" s="288"/>
      <c r="R154" s="288"/>
      <c r="S154" s="288"/>
      <c r="T154" s="288"/>
      <c r="U154" s="288"/>
      <c r="V154" s="338">
        <v>7500</v>
      </c>
      <c r="W154" s="291"/>
      <c r="X154" s="5"/>
    </row>
    <row r="155" spans="1:25" ht="15.6" x14ac:dyDescent="0.3">
      <c r="A155" s="287"/>
      <c r="B155" s="288" t="s">
        <v>172</v>
      </c>
      <c r="C155" s="288"/>
      <c r="D155" s="288"/>
      <c r="E155" s="288"/>
      <c r="F155" s="288"/>
      <c r="G155" s="288"/>
      <c r="H155" s="288"/>
      <c r="I155" s="288"/>
      <c r="J155" s="288"/>
      <c r="K155" s="288"/>
      <c r="L155" s="288"/>
      <c r="M155" s="288"/>
      <c r="N155" s="288"/>
      <c r="O155" s="288"/>
      <c r="P155" s="288"/>
      <c r="Q155" s="288"/>
      <c r="R155" s="288"/>
      <c r="S155" s="288"/>
      <c r="T155" s="288"/>
      <c r="U155" s="288"/>
      <c r="V155" s="338">
        <v>0</v>
      </c>
      <c r="W155" s="291"/>
      <c r="X155" s="5"/>
    </row>
    <row r="156" spans="1:25" ht="15.6" x14ac:dyDescent="0.3">
      <c r="A156" s="287"/>
      <c r="B156" s="288" t="s">
        <v>305</v>
      </c>
      <c r="C156" s="288"/>
      <c r="D156" s="288"/>
      <c r="E156" s="288"/>
      <c r="F156" s="288"/>
      <c r="G156" s="288"/>
      <c r="H156" s="288"/>
      <c r="I156" s="288"/>
      <c r="J156" s="288"/>
      <c r="K156" s="288"/>
      <c r="L156" s="288"/>
      <c r="M156" s="288"/>
      <c r="N156" s="288"/>
      <c r="O156" s="288"/>
      <c r="P156" s="288"/>
      <c r="Q156" s="288"/>
      <c r="R156" s="288"/>
      <c r="S156" s="288"/>
      <c r="T156" s="288"/>
      <c r="U156" s="288"/>
      <c r="V156" s="338">
        <v>2101</v>
      </c>
      <c r="W156" s="291"/>
      <c r="X156" s="5"/>
    </row>
    <row r="157" spans="1:25" ht="15.6" x14ac:dyDescent="0.3">
      <c r="A157" s="287"/>
      <c r="B157" s="288"/>
      <c r="C157" s="288"/>
      <c r="D157" s="288"/>
      <c r="E157" s="288"/>
      <c r="F157" s="288"/>
      <c r="G157" s="288"/>
      <c r="H157" s="288"/>
      <c r="I157" s="288"/>
      <c r="J157" s="288"/>
      <c r="K157" s="288"/>
      <c r="L157" s="288"/>
      <c r="M157" s="288"/>
      <c r="N157" s="288"/>
      <c r="O157" s="288"/>
      <c r="P157" s="288"/>
      <c r="Q157" s="288"/>
      <c r="R157" s="288"/>
      <c r="S157" s="288"/>
      <c r="T157" s="288"/>
      <c r="U157" s="288"/>
      <c r="V157" s="338"/>
      <c r="W157" s="291"/>
      <c r="X157" s="5"/>
    </row>
    <row r="158" spans="1:25" ht="15.6" x14ac:dyDescent="0.3">
      <c r="A158" s="183"/>
      <c r="B158" s="198"/>
      <c r="C158" s="198"/>
      <c r="D158" s="198"/>
      <c r="E158" s="198"/>
      <c r="F158" s="198"/>
      <c r="G158" s="198"/>
      <c r="H158" s="198"/>
      <c r="I158" s="198"/>
      <c r="J158" s="198"/>
      <c r="K158" s="198"/>
      <c r="L158" s="198"/>
      <c r="M158" s="198"/>
      <c r="N158" s="198"/>
      <c r="O158" s="198"/>
      <c r="P158" s="198"/>
      <c r="Q158" s="198"/>
      <c r="R158" s="198"/>
      <c r="S158" s="198"/>
      <c r="T158" s="198"/>
      <c r="U158" s="198"/>
      <c r="V158" s="347"/>
      <c r="W158" s="198"/>
      <c r="X158" s="5"/>
    </row>
    <row r="159" spans="1:25" ht="15.6" x14ac:dyDescent="0.3">
      <c r="A159" s="183"/>
      <c r="B159" s="208" t="s">
        <v>24</v>
      </c>
      <c r="C159" s="185"/>
      <c r="D159" s="185"/>
      <c r="E159" s="185"/>
      <c r="F159" s="185"/>
      <c r="G159" s="185"/>
      <c r="H159" s="185"/>
      <c r="I159" s="185"/>
      <c r="J159" s="185"/>
      <c r="K159" s="185"/>
      <c r="L159" s="185"/>
      <c r="M159" s="185"/>
      <c r="N159" s="185"/>
      <c r="O159" s="185"/>
      <c r="P159" s="185"/>
      <c r="Q159" s="185"/>
      <c r="R159" s="185"/>
      <c r="S159" s="185"/>
      <c r="T159" s="185"/>
      <c r="U159" s="185"/>
      <c r="V159" s="201"/>
      <c r="W159" s="185"/>
      <c r="X159" s="5"/>
    </row>
    <row r="160" spans="1:25" ht="15.6" x14ac:dyDescent="0.3">
      <c r="A160" s="287"/>
      <c r="B160" s="288" t="s">
        <v>47</v>
      </c>
      <c r="C160" s="288"/>
      <c r="D160" s="288"/>
      <c r="E160" s="288"/>
      <c r="F160" s="288"/>
      <c r="G160" s="288"/>
      <c r="H160" s="288"/>
      <c r="I160" s="288"/>
      <c r="J160" s="288"/>
      <c r="K160" s="288"/>
      <c r="L160" s="288"/>
      <c r="M160" s="288"/>
      <c r="N160" s="288"/>
      <c r="O160" s="288"/>
      <c r="P160" s="288"/>
      <c r="Q160" s="288"/>
      <c r="R160" s="288"/>
      <c r="S160" s="288"/>
      <c r="T160" s="288"/>
      <c r="U160" s="288"/>
      <c r="V160" s="348" t="s">
        <v>118</v>
      </c>
      <c r="W160" s="291"/>
      <c r="X160" s="5"/>
    </row>
    <row r="161" spans="1:256" ht="15.6" x14ac:dyDescent="0.3">
      <c r="A161" s="287"/>
      <c r="B161" s="288" t="s">
        <v>48</v>
      </c>
      <c r="C161" s="290"/>
      <c r="D161" s="290"/>
      <c r="E161" s="290"/>
      <c r="F161" s="290"/>
      <c r="G161" s="290"/>
      <c r="H161" s="290"/>
      <c r="I161" s="290"/>
      <c r="J161" s="290"/>
      <c r="K161" s="290"/>
      <c r="L161" s="290"/>
      <c r="M161" s="290"/>
      <c r="N161" s="290"/>
      <c r="O161" s="290"/>
      <c r="P161" s="290"/>
      <c r="Q161" s="290"/>
      <c r="R161" s="290"/>
      <c r="S161" s="290"/>
      <c r="T161" s="290"/>
      <c r="U161" s="290"/>
      <c r="V161" s="348" t="s">
        <v>118</v>
      </c>
      <c r="W161" s="291"/>
      <c r="X161" s="5"/>
    </row>
    <row r="162" spans="1:256" ht="15.6" x14ac:dyDescent="0.3">
      <c r="A162" s="287"/>
      <c r="B162" s="288" t="s">
        <v>49</v>
      </c>
      <c r="C162" s="288"/>
      <c r="D162" s="288"/>
      <c r="E162" s="288"/>
      <c r="F162" s="288"/>
      <c r="G162" s="288"/>
      <c r="H162" s="288"/>
      <c r="I162" s="288"/>
      <c r="J162" s="288"/>
      <c r="K162" s="288"/>
      <c r="L162" s="288"/>
      <c r="M162" s="288"/>
      <c r="N162" s="288"/>
      <c r="O162" s="288"/>
      <c r="P162" s="288"/>
      <c r="Q162" s="288"/>
      <c r="R162" s="288"/>
      <c r="S162" s="288"/>
      <c r="T162" s="288"/>
      <c r="U162" s="288"/>
      <c r="V162" s="348" t="s">
        <v>118</v>
      </c>
      <c r="W162" s="291"/>
      <c r="X162" s="5"/>
    </row>
    <row r="163" spans="1:256" ht="15.6" x14ac:dyDescent="0.3">
      <c r="A163" s="287"/>
      <c r="B163" s="288" t="s">
        <v>50</v>
      </c>
      <c r="C163" s="288"/>
      <c r="D163" s="288"/>
      <c r="E163" s="288"/>
      <c r="F163" s="288"/>
      <c r="G163" s="288"/>
      <c r="H163" s="288"/>
      <c r="I163" s="288"/>
      <c r="J163" s="288"/>
      <c r="K163" s="288"/>
      <c r="L163" s="288"/>
      <c r="M163" s="288"/>
      <c r="N163" s="288"/>
      <c r="O163" s="288"/>
      <c r="P163" s="288"/>
      <c r="Q163" s="288"/>
      <c r="R163" s="288"/>
      <c r="S163" s="288"/>
      <c r="T163" s="288"/>
      <c r="U163" s="288"/>
      <c r="V163" s="348" t="s">
        <v>118</v>
      </c>
      <c r="W163" s="291"/>
      <c r="X163" s="5"/>
    </row>
    <row r="164" spans="1:256" ht="15.6" x14ac:dyDescent="0.3">
      <c r="A164" s="183"/>
      <c r="B164" s="198"/>
      <c r="C164" s="198"/>
      <c r="D164" s="198"/>
      <c r="E164" s="198"/>
      <c r="F164" s="198"/>
      <c r="G164" s="198"/>
      <c r="H164" s="198"/>
      <c r="I164" s="198"/>
      <c r="J164" s="198"/>
      <c r="K164" s="198"/>
      <c r="L164" s="198"/>
      <c r="M164" s="198"/>
      <c r="N164" s="198"/>
      <c r="O164" s="198"/>
      <c r="P164" s="198"/>
      <c r="Q164" s="198"/>
      <c r="R164" s="198"/>
      <c r="S164" s="198"/>
      <c r="T164" s="198"/>
      <c r="U164" s="198"/>
      <c r="V164" s="347"/>
      <c r="W164" s="198"/>
      <c r="X164" s="5"/>
    </row>
    <row r="165" spans="1:256" ht="15.6" x14ac:dyDescent="0.3">
      <c r="A165" s="183"/>
      <c r="B165" s="208" t="s">
        <v>51</v>
      </c>
      <c r="C165" s="185"/>
      <c r="D165" s="185"/>
      <c r="E165" s="185"/>
      <c r="F165" s="185"/>
      <c r="G165" s="185"/>
      <c r="H165" s="185"/>
      <c r="I165" s="185"/>
      <c r="J165" s="185"/>
      <c r="K165" s="185"/>
      <c r="L165" s="185"/>
      <c r="M165" s="185"/>
      <c r="N165" s="185"/>
      <c r="O165" s="185"/>
      <c r="P165" s="185"/>
      <c r="Q165" s="185"/>
      <c r="R165" s="185"/>
      <c r="S165" s="185"/>
      <c r="T165" s="185"/>
      <c r="U165" s="185"/>
      <c r="V165" s="209"/>
      <c r="W165" s="185"/>
      <c r="X165" s="5"/>
    </row>
    <row r="166" spans="1:256" ht="15.6" x14ac:dyDescent="0.3">
      <c r="A166" s="287"/>
      <c r="B166" s="288" t="s">
        <v>52</v>
      </c>
      <c r="C166" s="288"/>
      <c r="D166" s="288"/>
      <c r="E166" s="288"/>
      <c r="F166" s="288"/>
      <c r="G166" s="288"/>
      <c r="H166" s="288"/>
      <c r="I166" s="288"/>
      <c r="J166" s="288"/>
      <c r="K166" s="288"/>
      <c r="L166" s="288"/>
      <c r="M166" s="288"/>
      <c r="N166" s="288"/>
      <c r="O166" s="288"/>
      <c r="P166" s="288"/>
      <c r="Q166" s="288"/>
      <c r="R166" s="288"/>
      <c r="S166" s="288"/>
      <c r="T166" s="288"/>
      <c r="U166" s="288"/>
      <c r="V166" s="338">
        <v>0</v>
      </c>
      <c r="W166" s="291"/>
      <c r="X166" s="5"/>
    </row>
    <row r="167" spans="1:256" ht="15.6" x14ac:dyDescent="0.3">
      <c r="A167" s="287"/>
      <c r="B167" s="288" t="s">
        <v>53</v>
      </c>
      <c r="C167" s="288"/>
      <c r="D167" s="288"/>
      <c r="E167" s="288"/>
      <c r="F167" s="288"/>
      <c r="G167" s="288"/>
      <c r="H167" s="288"/>
      <c r="I167" s="288"/>
      <c r="J167" s="288"/>
      <c r="K167" s="288"/>
      <c r="L167" s="288"/>
      <c r="M167" s="288"/>
      <c r="N167" s="288"/>
      <c r="O167" s="288"/>
      <c r="P167" s="288"/>
      <c r="Q167" s="288"/>
      <c r="R167" s="288"/>
      <c r="S167" s="288"/>
      <c r="T167" s="288"/>
      <c r="U167" s="288"/>
      <c r="V167" s="338">
        <v>63</v>
      </c>
      <c r="W167" s="291"/>
      <c r="X167" s="5"/>
    </row>
    <row r="168" spans="1:256" ht="15.6" x14ac:dyDescent="0.3">
      <c r="A168" s="287"/>
      <c r="B168" s="288" t="s">
        <v>54</v>
      </c>
      <c r="C168" s="288"/>
      <c r="D168" s="288"/>
      <c r="E168" s="288"/>
      <c r="F168" s="288"/>
      <c r="G168" s="288"/>
      <c r="H168" s="288"/>
      <c r="I168" s="288"/>
      <c r="J168" s="288"/>
      <c r="K168" s="288"/>
      <c r="L168" s="288"/>
      <c r="M168" s="288"/>
      <c r="N168" s="288"/>
      <c r="O168" s="288"/>
      <c r="P168" s="288"/>
      <c r="Q168" s="288"/>
      <c r="R168" s="288"/>
      <c r="S168" s="288"/>
      <c r="T168" s="288"/>
      <c r="U168" s="288"/>
      <c r="V168" s="338">
        <f>V167+V166</f>
        <v>63</v>
      </c>
      <c r="W168" s="291"/>
      <c r="X168" s="5"/>
    </row>
    <row r="169" spans="1:256" ht="15.6" x14ac:dyDescent="0.3">
      <c r="A169" s="287"/>
      <c r="B169" s="288" t="s">
        <v>315</v>
      </c>
      <c r="C169" s="288"/>
      <c r="D169" s="288"/>
      <c r="E169" s="288"/>
      <c r="F169" s="288"/>
      <c r="G169" s="288"/>
      <c r="H169" s="288"/>
      <c r="I169" s="288"/>
      <c r="J169" s="288"/>
      <c r="K169" s="288"/>
      <c r="L169" s="288"/>
      <c r="M169" s="288"/>
      <c r="N169" s="288"/>
      <c r="O169" s="288"/>
      <c r="P169" s="288"/>
      <c r="Q169" s="288"/>
      <c r="R169" s="288"/>
      <c r="S169" s="288"/>
      <c r="T169" s="288"/>
      <c r="U169" s="288"/>
      <c r="V169" s="338">
        <f>V115</f>
        <v>-63</v>
      </c>
      <c r="W169" s="291"/>
      <c r="X169" s="5"/>
    </row>
    <row r="170" spans="1:256" ht="15.6" x14ac:dyDescent="0.3">
      <c r="A170" s="287"/>
      <c r="B170" s="288" t="s">
        <v>55</v>
      </c>
      <c r="C170" s="288"/>
      <c r="D170" s="288"/>
      <c r="E170" s="288"/>
      <c r="F170" s="288"/>
      <c r="G170" s="288"/>
      <c r="H170" s="288"/>
      <c r="I170" s="288"/>
      <c r="J170" s="288"/>
      <c r="K170" s="288"/>
      <c r="L170" s="288"/>
      <c r="M170" s="288"/>
      <c r="N170" s="288"/>
      <c r="O170" s="288"/>
      <c r="P170" s="288"/>
      <c r="Q170" s="288"/>
      <c r="R170" s="288"/>
      <c r="S170" s="288"/>
      <c r="T170" s="288"/>
      <c r="U170" s="288"/>
      <c r="V170" s="338">
        <f>V168+V169</f>
        <v>0</v>
      </c>
      <c r="W170" s="291"/>
      <c r="X170" s="5"/>
    </row>
    <row r="171" spans="1:256" ht="15.6" x14ac:dyDescent="0.3">
      <c r="A171" s="287"/>
      <c r="B171" s="288" t="s">
        <v>283</v>
      </c>
      <c r="C171" s="288"/>
      <c r="D171" s="288"/>
      <c r="E171" s="288"/>
      <c r="F171" s="288"/>
      <c r="G171" s="288"/>
      <c r="H171" s="288"/>
      <c r="I171" s="288"/>
      <c r="J171" s="288"/>
      <c r="K171" s="288"/>
      <c r="L171" s="288"/>
      <c r="M171" s="288"/>
      <c r="N171" s="288"/>
      <c r="O171" s="288"/>
      <c r="P171" s="288"/>
      <c r="Q171" s="288"/>
      <c r="R171" s="288"/>
      <c r="S171" s="288"/>
      <c r="T171" s="288"/>
      <c r="U171" s="288"/>
      <c r="V171" s="338">
        <f>-V100</f>
        <v>61</v>
      </c>
      <c r="W171" s="291"/>
      <c r="X171" s="5"/>
    </row>
    <row r="172" spans="1:256" ht="16.2" thickBot="1" x14ac:dyDescent="0.35">
      <c r="A172" s="183"/>
      <c r="B172" s="284"/>
      <c r="C172" s="284"/>
      <c r="D172" s="284"/>
      <c r="E172" s="284"/>
      <c r="F172" s="284"/>
      <c r="G172" s="284"/>
      <c r="H172" s="284"/>
      <c r="I172" s="284"/>
      <c r="J172" s="284"/>
      <c r="K172" s="284"/>
      <c r="L172" s="284"/>
      <c r="M172" s="284"/>
      <c r="N172" s="284"/>
      <c r="O172" s="284"/>
      <c r="P172" s="284"/>
      <c r="Q172" s="284"/>
      <c r="R172" s="284"/>
      <c r="S172" s="284"/>
      <c r="T172" s="284"/>
      <c r="U172" s="284"/>
      <c r="V172" s="349"/>
      <c r="W172" s="284"/>
      <c r="X172" s="5"/>
    </row>
    <row r="173" spans="1:256" ht="15.6" x14ac:dyDescent="0.3">
      <c r="A173" s="180"/>
      <c r="B173" s="247"/>
      <c r="C173" s="247"/>
      <c r="D173" s="247"/>
      <c r="E173" s="247"/>
      <c r="F173" s="247"/>
      <c r="G173" s="247"/>
      <c r="H173" s="247"/>
      <c r="I173" s="247"/>
      <c r="J173" s="247"/>
      <c r="K173" s="247"/>
      <c r="L173" s="247"/>
      <c r="M173" s="247"/>
      <c r="N173" s="247"/>
      <c r="O173" s="247"/>
      <c r="P173" s="247"/>
      <c r="Q173" s="247"/>
      <c r="R173" s="247"/>
      <c r="S173" s="247"/>
      <c r="T173" s="247"/>
      <c r="U173" s="247"/>
      <c r="V173" s="248"/>
      <c r="W173" s="247"/>
      <c r="X173" s="5"/>
    </row>
    <row r="174" spans="1:256" s="161" customFormat="1" ht="15.6" x14ac:dyDescent="0.3">
      <c r="A174" s="183"/>
      <c r="B174" s="208" t="s">
        <v>269</v>
      </c>
      <c r="C174" s="198"/>
      <c r="D174" s="198"/>
      <c r="E174" s="198"/>
      <c r="F174" s="198"/>
      <c r="G174" s="198"/>
      <c r="H174" s="198"/>
      <c r="I174" s="198"/>
      <c r="J174" s="198"/>
      <c r="K174" s="198"/>
      <c r="L174" s="198"/>
      <c r="M174" s="198"/>
      <c r="N174" s="198"/>
      <c r="O174" s="198"/>
      <c r="P174" s="198"/>
      <c r="Q174" s="198"/>
      <c r="R174" s="198"/>
      <c r="S174" s="198"/>
      <c r="T174" s="198"/>
      <c r="U174" s="198"/>
      <c r="V174" s="210"/>
      <c r="W174" s="198"/>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5.6" x14ac:dyDescent="0.3">
      <c r="A175" s="287"/>
      <c r="B175" s="288" t="s">
        <v>270</v>
      </c>
      <c r="C175" s="288"/>
      <c r="D175" s="288"/>
      <c r="E175" s="288"/>
      <c r="F175" s="288"/>
      <c r="G175" s="288"/>
      <c r="H175" s="288"/>
      <c r="I175" s="288"/>
      <c r="J175" s="288"/>
      <c r="K175" s="288"/>
      <c r="L175" s="288"/>
      <c r="M175" s="288"/>
      <c r="N175" s="288"/>
      <c r="O175" s="288"/>
      <c r="P175" s="288"/>
      <c r="Q175" s="288"/>
      <c r="R175" s="288"/>
      <c r="S175" s="288"/>
      <c r="T175" s="288"/>
      <c r="U175" s="288"/>
      <c r="V175" s="338">
        <f>+'Aug 08'!V177</f>
        <v>0</v>
      </c>
      <c r="W175" s="291"/>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3" customFormat="1" ht="15.6" x14ac:dyDescent="0.3">
      <c r="A176" s="287"/>
      <c r="B176" s="288" t="s">
        <v>273</v>
      </c>
      <c r="C176" s="288"/>
      <c r="D176" s="288"/>
      <c r="E176" s="288"/>
      <c r="F176" s="288"/>
      <c r="G176" s="288"/>
      <c r="H176" s="288"/>
      <c r="I176" s="288"/>
      <c r="J176" s="288"/>
      <c r="K176" s="288"/>
      <c r="L176" s="288"/>
      <c r="M176" s="288"/>
      <c r="N176" s="288"/>
      <c r="O176" s="288"/>
      <c r="P176" s="288"/>
      <c r="Q176" s="288"/>
      <c r="R176" s="288"/>
      <c r="S176" s="288"/>
      <c r="T176" s="288"/>
      <c r="U176" s="288"/>
      <c r="V176" s="338">
        <f>+V94</f>
        <v>0</v>
      </c>
      <c r="W176" s="291"/>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s="163" customFormat="1" ht="15.6" x14ac:dyDescent="0.3">
      <c r="A177" s="287"/>
      <c r="B177" s="288" t="s">
        <v>271</v>
      </c>
      <c r="C177" s="288"/>
      <c r="D177" s="288"/>
      <c r="E177" s="288"/>
      <c r="F177" s="288"/>
      <c r="G177" s="288"/>
      <c r="H177" s="288"/>
      <c r="I177" s="288"/>
      <c r="J177" s="288"/>
      <c r="K177" s="288"/>
      <c r="L177" s="288"/>
      <c r="M177" s="288"/>
      <c r="N177" s="288"/>
      <c r="O177" s="288"/>
      <c r="P177" s="288"/>
      <c r="Q177" s="288"/>
      <c r="R177" s="288"/>
      <c r="S177" s="288"/>
      <c r="T177" s="288"/>
      <c r="U177" s="288"/>
      <c r="V177" s="338">
        <f>+V175-V176</f>
        <v>0</v>
      </c>
      <c r="W177" s="291"/>
      <c r="X177" s="5"/>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s="166" customFormat="1" ht="16.2" thickBot="1" x14ac:dyDescent="0.35">
      <c r="A178" s="199"/>
      <c r="B178" s="198"/>
      <c r="C178" s="198"/>
      <c r="D178" s="198"/>
      <c r="E178" s="198"/>
      <c r="F178" s="198"/>
      <c r="G178" s="198"/>
      <c r="H178" s="198"/>
      <c r="I178" s="198"/>
      <c r="J178" s="198"/>
      <c r="K178" s="198"/>
      <c r="L178" s="198"/>
      <c r="M178" s="198"/>
      <c r="N178" s="198"/>
      <c r="O178" s="198"/>
      <c r="P178" s="198"/>
      <c r="Q178" s="198"/>
      <c r="R178" s="198"/>
      <c r="S178" s="198"/>
      <c r="T178" s="198"/>
      <c r="U178" s="198"/>
      <c r="V178" s="347"/>
      <c r="W178" s="198"/>
      <c r="X178" s="5"/>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s="167" customFormat="1" ht="15.6" x14ac:dyDescent="0.3">
      <c r="A179" s="180"/>
      <c r="B179" s="181"/>
      <c r="C179" s="181"/>
      <c r="D179" s="181"/>
      <c r="E179" s="181"/>
      <c r="F179" s="181"/>
      <c r="G179" s="181"/>
      <c r="H179" s="181"/>
      <c r="I179" s="181"/>
      <c r="J179" s="181"/>
      <c r="K179" s="181"/>
      <c r="L179" s="181"/>
      <c r="M179" s="181"/>
      <c r="N179" s="181"/>
      <c r="O179" s="181"/>
      <c r="P179" s="181"/>
      <c r="Q179" s="181"/>
      <c r="R179" s="181"/>
      <c r="S179" s="181"/>
      <c r="T179" s="181"/>
      <c r="U179" s="181"/>
      <c r="V179" s="200"/>
      <c r="W179" s="181"/>
      <c r="X179" s="5"/>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ht="15.6" x14ac:dyDescent="0.3">
      <c r="A180" s="183"/>
      <c r="B180" s="208" t="s">
        <v>56</v>
      </c>
      <c r="C180" s="185"/>
      <c r="D180" s="185"/>
      <c r="E180" s="185"/>
      <c r="F180" s="185"/>
      <c r="G180" s="185"/>
      <c r="H180" s="185"/>
      <c r="I180" s="185"/>
      <c r="J180" s="185"/>
      <c r="K180" s="185"/>
      <c r="L180" s="185"/>
      <c r="M180" s="185"/>
      <c r="N180" s="185"/>
      <c r="O180" s="185"/>
      <c r="P180" s="185"/>
      <c r="Q180" s="185"/>
      <c r="R180" s="185"/>
      <c r="S180" s="185"/>
      <c r="T180" s="185"/>
      <c r="U180" s="185"/>
      <c r="V180" s="201"/>
      <c r="W180" s="185"/>
      <c r="X180" s="5"/>
    </row>
    <row r="181" spans="1:256" ht="15.6" x14ac:dyDescent="0.3">
      <c r="A181" s="183"/>
      <c r="B181" s="195"/>
      <c r="C181" s="185"/>
      <c r="D181" s="185"/>
      <c r="E181" s="185"/>
      <c r="F181" s="185"/>
      <c r="G181" s="185"/>
      <c r="H181" s="185"/>
      <c r="I181" s="185"/>
      <c r="J181" s="185"/>
      <c r="K181" s="185"/>
      <c r="L181" s="185"/>
      <c r="M181" s="185"/>
      <c r="N181" s="185"/>
      <c r="O181" s="185"/>
      <c r="P181" s="185"/>
      <c r="Q181" s="185"/>
      <c r="R181" s="185"/>
      <c r="S181" s="185"/>
      <c r="T181" s="185"/>
      <c r="U181" s="185"/>
      <c r="V181" s="201"/>
      <c r="W181" s="185"/>
      <c r="X181" s="5"/>
    </row>
    <row r="182" spans="1:256" ht="15.6" x14ac:dyDescent="0.3">
      <c r="A182" s="287"/>
      <c r="B182" s="288" t="s">
        <v>57</v>
      </c>
      <c r="C182" s="288"/>
      <c r="D182" s="288"/>
      <c r="E182" s="288"/>
      <c r="F182" s="288"/>
      <c r="G182" s="288"/>
      <c r="H182" s="288"/>
      <c r="I182" s="288"/>
      <c r="J182" s="288"/>
      <c r="K182" s="288"/>
      <c r="L182" s="288"/>
      <c r="M182" s="288"/>
      <c r="N182" s="288"/>
      <c r="O182" s="288"/>
      <c r="P182" s="288"/>
      <c r="Q182" s="288"/>
      <c r="R182" s="288"/>
      <c r="S182" s="288"/>
      <c r="T182" s="288"/>
      <c r="U182" s="288"/>
      <c r="V182" s="338">
        <f>V71</f>
        <v>1108092</v>
      </c>
      <c r="W182" s="291"/>
      <c r="X182" s="5"/>
    </row>
    <row r="183" spans="1:256" ht="15.6" x14ac:dyDescent="0.3">
      <c r="A183" s="287"/>
      <c r="B183" s="288" t="s">
        <v>58</v>
      </c>
      <c r="C183" s="288"/>
      <c r="D183" s="288"/>
      <c r="E183" s="288"/>
      <c r="F183" s="288"/>
      <c r="G183" s="288"/>
      <c r="H183" s="288"/>
      <c r="I183" s="288"/>
      <c r="J183" s="288"/>
      <c r="K183" s="288"/>
      <c r="L183" s="288"/>
      <c r="M183" s="288"/>
      <c r="N183" s="288"/>
      <c r="O183" s="288"/>
      <c r="P183" s="288"/>
      <c r="Q183" s="288"/>
      <c r="R183" s="288"/>
      <c r="S183" s="288"/>
      <c r="T183" s="288"/>
      <c r="U183" s="288"/>
      <c r="V183" s="338">
        <f>V84</f>
        <v>1108092</v>
      </c>
      <c r="W183" s="291"/>
      <c r="X183" s="5"/>
    </row>
    <row r="184" spans="1:256" ht="16.2" thickBot="1" x14ac:dyDescent="0.35">
      <c r="A184" s="183"/>
      <c r="B184" s="198"/>
      <c r="C184" s="198"/>
      <c r="D184" s="198"/>
      <c r="E184" s="198"/>
      <c r="F184" s="198"/>
      <c r="G184" s="198"/>
      <c r="H184" s="198"/>
      <c r="I184" s="198"/>
      <c r="J184" s="198"/>
      <c r="K184" s="198"/>
      <c r="L184" s="198"/>
      <c r="M184" s="198"/>
      <c r="N184" s="198"/>
      <c r="O184" s="198"/>
      <c r="P184" s="198"/>
      <c r="Q184" s="198"/>
      <c r="R184" s="198"/>
      <c r="S184" s="198"/>
      <c r="T184" s="198"/>
      <c r="U184" s="198"/>
      <c r="V184" s="347"/>
      <c r="W184" s="198"/>
      <c r="X184" s="5"/>
    </row>
    <row r="185" spans="1:256" ht="15.6" x14ac:dyDescent="0.3">
      <c r="A185" s="180"/>
      <c r="B185" s="181"/>
      <c r="C185" s="181"/>
      <c r="D185" s="181"/>
      <c r="E185" s="181"/>
      <c r="F185" s="181"/>
      <c r="G185" s="181"/>
      <c r="H185" s="181"/>
      <c r="I185" s="181"/>
      <c r="J185" s="181"/>
      <c r="K185" s="181"/>
      <c r="L185" s="181"/>
      <c r="M185" s="181"/>
      <c r="N185" s="181"/>
      <c r="O185" s="181"/>
      <c r="P185" s="181"/>
      <c r="Q185" s="181"/>
      <c r="R185" s="181"/>
      <c r="S185" s="181"/>
      <c r="T185" s="181"/>
      <c r="U185" s="181"/>
      <c r="V185" s="200"/>
      <c r="W185" s="181"/>
      <c r="X185" s="5"/>
    </row>
    <row r="186" spans="1:256" ht="15.6" x14ac:dyDescent="0.3">
      <c r="A186" s="183"/>
      <c r="B186" s="208" t="s">
        <v>59</v>
      </c>
      <c r="C186" s="205"/>
      <c r="D186" s="205"/>
      <c r="E186" s="205"/>
      <c r="F186" s="205"/>
      <c r="G186" s="205"/>
      <c r="H186" s="211"/>
      <c r="I186" s="211"/>
      <c r="J186" s="211"/>
      <c r="K186" s="211"/>
      <c r="L186" s="211"/>
      <c r="M186" s="211"/>
      <c r="N186" s="211"/>
      <c r="O186" s="211"/>
      <c r="P186" s="211"/>
      <c r="Q186" s="211"/>
      <c r="R186" s="211"/>
      <c r="S186" s="211" t="s">
        <v>101</v>
      </c>
      <c r="T186" s="211" t="s">
        <v>176</v>
      </c>
      <c r="U186" s="187"/>
      <c r="V186" s="212" t="s">
        <v>114</v>
      </c>
      <c r="W186" s="213"/>
      <c r="X186" s="5"/>
    </row>
    <row r="187" spans="1:256" ht="15.6" x14ac:dyDescent="0.3">
      <c r="A187" s="287"/>
      <c r="B187" s="288" t="s">
        <v>60</v>
      </c>
      <c r="C187" s="288"/>
      <c r="D187" s="288"/>
      <c r="E187" s="288"/>
      <c r="F187" s="288"/>
      <c r="G187" s="288"/>
      <c r="H187" s="288"/>
      <c r="I187" s="288"/>
      <c r="J187" s="288"/>
      <c r="K187" s="288"/>
      <c r="L187" s="288"/>
      <c r="M187" s="288"/>
      <c r="N187" s="288"/>
      <c r="O187" s="288"/>
      <c r="P187" s="288"/>
      <c r="Q187" s="288"/>
      <c r="R187" s="288"/>
      <c r="S187" s="338">
        <f>+V34*0.16</f>
        <v>240044</v>
      </c>
      <c r="T187" s="325"/>
      <c r="U187" s="288"/>
      <c r="V187" s="338"/>
      <c r="W187" s="291"/>
      <c r="X187" s="5"/>
    </row>
    <row r="188" spans="1:256" ht="15.6" x14ac:dyDescent="0.3">
      <c r="A188" s="287"/>
      <c r="B188" s="288" t="s">
        <v>61</v>
      </c>
      <c r="C188" s="288"/>
      <c r="D188" s="288"/>
      <c r="E188" s="288"/>
      <c r="F188" s="288"/>
      <c r="G188" s="288"/>
      <c r="H188" s="288"/>
      <c r="I188" s="288"/>
      <c r="J188" s="288"/>
      <c r="K188" s="288"/>
      <c r="L188" s="288"/>
      <c r="M188" s="288"/>
      <c r="N188" s="288"/>
      <c r="O188" s="288"/>
      <c r="P188" s="288"/>
      <c r="Q188" s="288"/>
      <c r="R188" s="288"/>
      <c r="S188" s="338">
        <f>+'Aug 12'!S190</f>
        <v>24203</v>
      </c>
      <c r="T188" s="338">
        <f>+'Aug 12'!T190</f>
        <v>6013</v>
      </c>
      <c r="U188" s="288"/>
      <c r="V188" s="338">
        <f>S188+T188</f>
        <v>30216</v>
      </c>
      <c r="W188" s="291"/>
      <c r="X188" s="5"/>
    </row>
    <row r="189" spans="1:256" ht="15.6" x14ac:dyDescent="0.3">
      <c r="A189" s="287"/>
      <c r="B189" s="288" t="s">
        <v>62</v>
      </c>
      <c r="C189" s="288"/>
      <c r="D189" s="288"/>
      <c r="E189" s="288"/>
      <c r="F189" s="288"/>
      <c r="G189" s="288"/>
      <c r="H189" s="288"/>
      <c r="I189" s="288"/>
      <c r="J189" s="288"/>
      <c r="K189" s="288"/>
      <c r="L189" s="288"/>
      <c r="M189" s="288"/>
      <c r="N189" s="288"/>
      <c r="O189" s="288"/>
      <c r="P189" s="288"/>
      <c r="Q189" s="288"/>
      <c r="R189" s="288"/>
      <c r="S189" s="337">
        <v>20</v>
      </c>
      <c r="T189" s="337">
        <v>0</v>
      </c>
      <c r="U189" s="288"/>
      <c r="V189" s="338">
        <f>S189+T189</f>
        <v>20</v>
      </c>
      <c r="W189" s="291"/>
      <c r="X189" s="5"/>
    </row>
    <row r="190" spans="1:256" ht="15.6" x14ac:dyDescent="0.3">
      <c r="A190" s="287"/>
      <c r="B190" s="288" t="s">
        <v>63</v>
      </c>
      <c r="C190" s="288"/>
      <c r="D190" s="288"/>
      <c r="E190" s="288"/>
      <c r="F190" s="288"/>
      <c r="G190" s="288"/>
      <c r="H190" s="288"/>
      <c r="I190" s="288"/>
      <c r="J190" s="288"/>
      <c r="K190" s="288"/>
      <c r="L190" s="288"/>
      <c r="M190" s="288"/>
      <c r="N190" s="288"/>
      <c r="O190" s="288"/>
      <c r="P190" s="288"/>
      <c r="Q190" s="288"/>
      <c r="R190" s="288"/>
      <c r="S190" s="338">
        <f>S188+S189</f>
        <v>24223</v>
      </c>
      <c r="T190" s="338">
        <f>T189+T188</f>
        <v>6013</v>
      </c>
      <c r="U190" s="288"/>
      <c r="V190" s="338">
        <f>S190+T190</f>
        <v>30236</v>
      </c>
      <c r="W190" s="291"/>
      <c r="X190" s="5"/>
    </row>
    <row r="191" spans="1:256" ht="15.6" x14ac:dyDescent="0.3">
      <c r="A191" s="287"/>
      <c r="B191" s="288" t="s">
        <v>64</v>
      </c>
      <c r="C191" s="288"/>
      <c r="D191" s="288"/>
      <c r="E191" s="288"/>
      <c r="F191" s="288"/>
      <c r="G191" s="288"/>
      <c r="H191" s="288"/>
      <c r="I191" s="288"/>
      <c r="J191" s="288"/>
      <c r="K191" s="288"/>
      <c r="L191" s="288"/>
      <c r="M191" s="288"/>
      <c r="N191" s="288"/>
      <c r="O191" s="288"/>
      <c r="P191" s="288"/>
      <c r="Q191" s="288"/>
      <c r="R191" s="288"/>
      <c r="S191" s="338">
        <f>S187-S190-T190</f>
        <v>209808</v>
      </c>
      <c r="T191" s="325"/>
      <c r="U191" s="288"/>
      <c r="V191" s="338"/>
      <c r="W191" s="291"/>
      <c r="X191" s="5"/>
    </row>
    <row r="192" spans="1:256" ht="16.2" thickBot="1" x14ac:dyDescent="0.35">
      <c r="A192" s="183"/>
      <c r="B192" s="198"/>
      <c r="C192" s="198"/>
      <c r="D192" s="198"/>
      <c r="E192" s="198"/>
      <c r="F192" s="198"/>
      <c r="G192" s="198"/>
      <c r="H192" s="198"/>
      <c r="I192" s="198"/>
      <c r="J192" s="198"/>
      <c r="K192" s="198"/>
      <c r="L192" s="198"/>
      <c r="M192" s="198"/>
      <c r="N192" s="198"/>
      <c r="O192" s="198"/>
      <c r="P192" s="198"/>
      <c r="Q192" s="198"/>
      <c r="R192" s="198"/>
      <c r="S192" s="198"/>
      <c r="T192" s="198"/>
      <c r="U192" s="198"/>
      <c r="V192" s="347"/>
      <c r="W192" s="198"/>
      <c r="X192" s="5"/>
    </row>
    <row r="193" spans="1:24" ht="15.6" x14ac:dyDescent="0.3">
      <c r="A193" s="180"/>
      <c r="B193" s="181"/>
      <c r="C193" s="181"/>
      <c r="D193" s="181"/>
      <c r="E193" s="181"/>
      <c r="F193" s="181"/>
      <c r="G193" s="181"/>
      <c r="H193" s="181"/>
      <c r="I193" s="181"/>
      <c r="J193" s="181"/>
      <c r="K193" s="181"/>
      <c r="L193" s="181"/>
      <c r="M193" s="181"/>
      <c r="N193" s="181"/>
      <c r="O193" s="181"/>
      <c r="P193" s="181"/>
      <c r="Q193" s="181"/>
      <c r="R193" s="181"/>
      <c r="S193" s="181"/>
      <c r="T193" s="181"/>
      <c r="U193" s="181"/>
      <c r="V193" s="200"/>
      <c r="W193" s="181"/>
      <c r="X193" s="5"/>
    </row>
    <row r="194" spans="1:24" ht="15.6" x14ac:dyDescent="0.3">
      <c r="A194" s="183"/>
      <c r="B194" s="208" t="s">
        <v>65</v>
      </c>
      <c r="C194" s="185"/>
      <c r="D194" s="185"/>
      <c r="E194" s="185"/>
      <c r="F194" s="185"/>
      <c r="G194" s="185"/>
      <c r="H194" s="185"/>
      <c r="I194" s="185"/>
      <c r="J194" s="185"/>
      <c r="K194" s="185"/>
      <c r="L194" s="185"/>
      <c r="M194" s="185"/>
      <c r="N194" s="185"/>
      <c r="O194" s="185"/>
      <c r="P194" s="185"/>
      <c r="Q194" s="185"/>
      <c r="R194" s="185"/>
      <c r="S194" s="185"/>
      <c r="T194" s="185"/>
      <c r="U194" s="185"/>
      <c r="V194" s="214"/>
      <c r="W194" s="185"/>
      <c r="X194" s="5"/>
    </row>
    <row r="195" spans="1:24" ht="15.6" x14ac:dyDescent="0.3">
      <c r="A195" s="287"/>
      <c r="B195" s="288" t="s">
        <v>66</v>
      </c>
      <c r="C195" s="288"/>
      <c r="D195" s="288"/>
      <c r="E195" s="288"/>
      <c r="F195" s="288"/>
      <c r="G195" s="288"/>
      <c r="H195" s="288"/>
      <c r="I195" s="288"/>
      <c r="J195" s="288"/>
      <c r="K195" s="288"/>
      <c r="L195" s="288"/>
      <c r="M195" s="288"/>
      <c r="N195" s="288"/>
      <c r="O195" s="288"/>
      <c r="P195" s="288"/>
      <c r="Q195" s="288"/>
      <c r="R195" s="288"/>
      <c r="S195" s="288"/>
      <c r="T195" s="288"/>
      <c r="U195" s="288"/>
      <c r="V195" s="348">
        <f>(V101+V103+V104+V105+V106)/-(V107+V108)</f>
        <v>3.5437974683544304</v>
      </c>
      <c r="W195" s="291" t="s">
        <v>115</v>
      </c>
      <c r="X195" s="5"/>
    </row>
    <row r="196" spans="1:24" ht="15.6" x14ac:dyDescent="0.3">
      <c r="A196" s="287"/>
      <c r="B196" s="288" t="s">
        <v>67</v>
      </c>
      <c r="C196" s="288"/>
      <c r="D196" s="288"/>
      <c r="E196" s="288"/>
      <c r="F196" s="288"/>
      <c r="G196" s="288"/>
      <c r="H196" s="288"/>
      <c r="I196" s="288"/>
      <c r="J196" s="288"/>
      <c r="K196" s="288"/>
      <c r="L196" s="288"/>
      <c r="M196" s="288"/>
      <c r="N196" s="288"/>
      <c r="O196" s="288"/>
      <c r="P196" s="288"/>
      <c r="Q196" s="288"/>
      <c r="R196" s="288"/>
      <c r="S196" s="288"/>
      <c r="T196" s="288"/>
      <c r="U196" s="288"/>
      <c r="V196" s="350">
        <v>1.74</v>
      </c>
      <c r="W196" s="291" t="s">
        <v>115</v>
      </c>
      <c r="X196" s="5"/>
    </row>
    <row r="197" spans="1:24" ht="15.6" x14ac:dyDescent="0.3">
      <c r="A197" s="287"/>
      <c r="B197" s="288" t="s">
        <v>68</v>
      </c>
      <c r="C197" s="288"/>
      <c r="D197" s="288"/>
      <c r="E197" s="288"/>
      <c r="F197" s="288"/>
      <c r="G197" s="288"/>
      <c r="H197" s="288"/>
      <c r="I197" s="288"/>
      <c r="J197" s="288"/>
      <c r="K197" s="288"/>
      <c r="L197" s="288"/>
      <c r="M197" s="288"/>
      <c r="N197" s="288"/>
      <c r="O197" s="288"/>
      <c r="P197" s="288"/>
      <c r="Q197" s="288"/>
      <c r="R197" s="288"/>
      <c r="S197" s="288"/>
      <c r="T197" s="288"/>
      <c r="U197" s="288"/>
      <c r="V197" s="348">
        <f>(V101+V103+V104+V105+V106+V107+V108)/-(V110+V111)</f>
        <v>17.146757679180887</v>
      </c>
      <c r="W197" s="291" t="s">
        <v>115</v>
      </c>
      <c r="X197" s="5"/>
    </row>
    <row r="198" spans="1:24" ht="15.6" x14ac:dyDescent="0.3">
      <c r="A198" s="287"/>
      <c r="B198" s="288" t="s">
        <v>69</v>
      </c>
      <c r="C198" s="288"/>
      <c r="D198" s="288"/>
      <c r="E198" s="288"/>
      <c r="F198" s="288"/>
      <c r="G198" s="288"/>
      <c r="H198" s="288"/>
      <c r="I198" s="288"/>
      <c r="J198" s="288"/>
      <c r="K198" s="288"/>
      <c r="L198" s="288"/>
      <c r="M198" s="288"/>
      <c r="N198" s="288"/>
      <c r="O198" s="288"/>
      <c r="P198" s="288"/>
      <c r="Q198" s="288"/>
      <c r="R198" s="288"/>
      <c r="S198" s="288"/>
      <c r="T198" s="288"/>
      <c r="U198" s="288"/>
      <c r="V198" s="350">
        <v>7.14</v>
      </c>
      <c r="W198" s="291" t="s">
        <v>115</v>
      </c>
      <c r="X198" s="5"/>
    </row>
    <row r="199" spans="1:24" ht="15.6" x14ac:dyDescent="0.3">
      <c r="A199" s="287"/>
      <c r="B199" s="288" t="s">
        <v>198</v>
      </c>
      <c r="C199" s="288"/>
      <c r="D199" s="288"/>
      <c r="E199" s="288"/>
      <c r="F199" s="288"/>
      <c r="G199" s="288"/>
      <c r="H199" s="288"/>
      <c r="I199" s="288"/>
      <c r="J199" s="288"/>
      <c r="K199" s="288"/>
      <c r="L199" s="288"/>
      <c r="M199" s="288"/>
      <c r="N199" s="288"/>
      <c r="O199" s="288"/>
      <c r="P199" s="288"/>
      <c r="Q199" s="288"/>
      <c r="R199" s="288"/>
      <c r="S199" s="288"/>
      <c r="T199" s="288"/>
      <c r="U199" s="288"/>
      <c r="V199" s="348">
        <f>(V101+V103+V104+V105+V106+V107+V108+V110+V111)/-(V112+V113)</f>
        <v>11.237529691211401</v>
      </c>
      <c r="W199" s="291" t="s">
        <v>115</v>
      </c>
      <c r="X199" s="5"/>
    </row>
    <row r="200" spans="1:24" ht="15.6" x14ac:dyDescent="0.3">
      <c r="A200" s="287"/>
      <c r="B200" s="288" t="s">
        <v>199</v>
      </c>
      <c r="C200" s="288"/>
      <c r="D200" s="288"/>
      <c r="E200" s="288"/>
      <c r="F200" s="288"/>
      <c r="G200" s="288"/>
      <c r="H200" s="288"/>
      <c r="I200" s="288"/>
      <c r="J200" s="288"/>
      <c r="K200" s="288"/>
      <c r="L200" s="288"/>
      <c r="M200" s="288"/>
      <c r="N200" s="288"/>
      <c r="O200" s="288"/>
      <c r="P200" s="288"/>
      <c r="Q200" s="288"/>
      <c r="R200" s="288"/>
      <c r="S200" s="288"/>
      <c r="T200" s="288"/>
      <c r="U200" s="288"/>
      <c r="V200" s="350">
        <v>5.61</v>
      </c>
      <c r="W200" s="291" t="s">
        <v>115</v>
      </c>
      <c r="X200" s="5"/>
    </row>
    <row r="201" spans="1:24" ht="15.6" x14ac:dyDescent="0.3">
      <c r="A201" s="287"/>
      <c r="B201" s="314"/>
      <c r="C201" s="314"/>
      <c r="D201" s="314"/>
      <c r="E201" s="314"/>
      <c r="F201" s="314"/>
      <c r="G201" s="314"/>
      <c r="H201" s="314"/>
      <c r="I201" s="314"/>
      <c r="J201" s="314"/>
      <c r="K201" s="314"/>
      <c r="L201" s="314"/>
      <c r="M201" s="314"/>
      <c r="N201" s="314"/>
      <c r="O201" s="314"/>
      <c r="P201" s="314"/>
      <c r="Q201" s="314"/>
      <c r="R201" s="314"/>
      <c r="S201" s="314"/>
      <c r="T201" s="314"/>
      <c r="U201" s="314"/>
      <c r="V201" s="314"/>
      <c r="W201" s="318"/>
      <c r="X201" s="5"/>
    </row>
    <row r="202" spans="1:24" ht="15.6" x14ac:dyDescent="0.3">
      <c r="A202" s="183"/>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5"/>
    </row>
    <row r="203" spans="1:24" ht="15.6" x14ac:dyDescent="0.3">
      <c r="A203" s="183"/>
      <c r="B203" s="185"/>
      <c r="C203" s="185"/>
      <c r="D203" s="185"/>
      <c r="E203" s="185"/>
      <c r="F203" s="185"/>
      <c r="G203" s="185"/>
      <c r="H203" s="185"/>
      <c r="I203" s="185"/>
      <c r="J203" s="185"/>
      <c r="K203" s="185"/>
      <c r="L203" s="185"/>
      <c r="M203" s="185"/>
      <c r="N203" s="185"/>
      <c r="O203" s="185"/>
      <c r="P203" s="185"/>
      <c r="Q203" s="185"/>
      <c r="R203" s="185"/>
      <c r="S203" s="185"/>
      <c r="T203" s="185"/>
      <c r="U203" s="185"/>
      <c r="V203" s="185"/>
      <c r="W203" s="185"/>
      <c r="X203" s="5"/>
    </row>
    <row r="204" spans="1:24" ht="18" thickBot="1" x14ac:dyDescent="0.35">
      <c r="A204" s="199"/>
      <c r="B204" s="237" t="str">
        <f>B138</f>
        <v>PM14 INVESTOR REPORT QUARTER ENDING NOVEMBER 2012</v>
      </c>
      <c r="C204" s="215"/>
      <c r="D204" s="215"/>
      <c r="E204" s="215"/>
      <c r="F204" s="215"/>
      <c r="G204" s="215"/>
      <c r="H204" s="215"/>
      <c r="I204" s="215"/>
      <c r="J204" s="215"/>
      <c r="K204" s="215"/>
      <c r="L204" s="215"/>
      <c r="M204" s="215"/>
      <c r="N204" s="215"/>
      <c r="O204" s="215"/>
      <c r="P204" s="215"/>
      <c r="Q204" s="215"/>
      <c r="R204" s="215"/>
      <c r="S204" s="215"/>
      <c r="T204" s="215"/>
      <c r="U204" s="215"/>
      <c r="V204" s="215"/>
      <c r="W204" s="216"/>
      <c r="X204" s="5"/>
    </row>
    <row r="205" spans="1:24" ht="15.6" x14ac:dyDescent="0.3">
      <c r="A205" s="273"/>
      <c r="B205" s="403" t="s">
        <v>70</v>
      </c>
      <c r="C205" s="404"/>
      <c r="D205" s="404"/>
      <c r="E205" s="404"/>
      <c r="F205" s="404"/>
      <c r="G205" s="405"/>
      <c r="H205" s="405"/>
      <c r="I205" s="405"/>
      <c r="J205" s="405"/>
      <c r="K205" s="405"/>
      <c r="L205" s="405"/>
      <c r="M205" s="405"/>
      <c r="N205" s="405"/>
      <c r="O205" s="405"/>
      <c r="P205" s="405"/>
      <c r="Q205" s="405"/>
      <c r="R205" s="405"/>
      <c r="S205" s="405"/>
      <c r="T205" s="405">
        <v>41243</v>
      </c>
      <c r="U205" s="274"/>
      <c r="V205" s="274"/>
      <c r="W205" s="274"/>
      <c r="X205" s="5"/>
    </row>
    <row r="206" spans="1:24" ht="15.6" x14ac:dyDescent="0.3">
      <c r="A206" s="217"/>
      <c r="B206" s="230"/>
      <c r="C206" s="249"/>
      <c r="D206" s="249"/>
      <c r="E206" s="249"/>
      <c r="F206" s="249"/>
      <c r="G206" s="229"/>
      <c r="H206" s="229"/>
      <c r="I206" s="229"/>
      <c r="J206" s="229"/>
      <c r="K206" s="229"/>
      <c r="L206" s="229"/>
      <c r="M206" s="229"/>
      <c r="N206" s="229"/>
      <c r="O206" s="229"/>
      <c r="P206" s="229"/>
      <c r="Q206" s="229"/>
      <c r="R206" s="229"/>
      <c r="S206" s="229"/>
      <c r="T206" s="229"/>
      <c r="U206" s="224"/>
      <c r="V206" s="224"/>
      <c r="W206" s="224"/>
      <c r="X206" s="5"/>
    </row>
    <row r="207" spans="1:24" ht="15.6" x14ac:dyDescent="0.3">
      <c r="A207" s="352"/>
      <c r="B207" s="288" t="s">
        <v>71</v>
      </c>
      <c r="C207" s="353"/>
      <c r="D207" s="353"/>
      <c r="E207" s="353"/>
      <c r="F207" s="353"/>
      <c r="G207" s="330"/>
      <c r="H207" s="330"/>
      <c r="I207" s="330"/>
      <c r="J207" s="330"/>
      <c r="K207" s="330"/>
      <c r="L207" s="330"/>
      <c r="M207" s="330"/>
      <c r="N207" s="330"/>
      <c r="O207" s="330"/>
      <c r="P207" s="330"/>
      <c r="Q207" s="330"/>
      <c r="R207" s="330"/>
      <c r="S207" s="330"/>
      <c r="T207" s="321">
        <v>5.2819999999999999E-2</v>
      </c>
      <c r="U207" s="288"/>
      <c r="V207" s="288"/>
      <c r="W207" s="291"/>
      <c r="X207" s="5"/>
    </row>
    <row r="208" spans="1:24" ht="15.6" x14ac:dyDescent="0.3">
      <c r="A208" s="352"/>
      <c r="B208" s="288" t="s">
        <v>151</v>
      </c>
      <c r="C208" s="353"/>
      <c r="D208" s="353"/>
      <c r="E208" s="353"/>
      <c r="F208" s="353"/>
      <c r="G208" s="330"/>
      <c r="H208" s="330"/>
      <c r="I208" s="330"/>
      <c r="J208" s="330"/>
      <c r="K208" s="330"/>
      <c r="L208" s="330"/>
      <c r="M208" s="330"/>
      <c r="N208" s="330"/>
      <c r="O208" s="330"/>
      <c r="P208" s="330"/>
      <c r="Q208" s="330"/>
      <c r="R208" s="330"/>
      <c r="S208" s="330"/>
      <c r="T208" s="321">
        <v>5.7799999999999997E-2</v>
      </c>
      <c r="U208" s="288"/>
      <c r="V208" s="288"/>
      <c r="W208" s="291"/>
      <c r="X208" s="5"/>
    </row>
    <row r="209" spans="1:24" ht="15.6" x14ac:dyDescent="0.3">
      <c r="A209" s="352"/>
      <c r="B209" s="288" t="s">
        <v>72</v>
      </c>
      <c r="C209" s="353"/>
      <c r="D209" s="353"/>
      <c r="E209" s="353"/>
      <c r="F209" s="353"/>
      <c r="G209" s="330"/>
      <c r="H209" s="330"/>
      <c r="I209" s="330"/>
      <c r="J209" s="330"/>
      <c r="K209" s="330"/>
      <c r="L209" s="330"/>
      <c r="M209" s="330"/>
      <c r="N209" s="330"/>
      <c r="O209" s="330"/>
      <c r="P209" s="330"/>
      <c r="Q209" s="330"/>
      <c r="R209" s="330"/>
      <c r="S209" s="330"/>
      <c r="T209" s="321">
        <f>T207-T208</f>
        <v>-4.9799999999999983E-3</v>
      </c>
      <c r="U209" s="288"/>
      <c r="V209" s="288"/>
      <c r="W209" s="291"/>
      <c r="X209" s="5"/>
    </row>
    <row r="210" spans="1:24" ht="15.6" x14ac:dyDescent="0.3">
      <c r="A210" s="352"/>
      <c r="B210" s="288" t="s">
        <v>73</v>
      </c>
      <c r="C210" s="353"/>
      <c r="D210" s="353"/>
      <c r="E210" s="353"/>
      <c r="F210" s="353"/>
      <c r="G210" s="330"/>
      <c r="H210" s="330"/>
      <c r="I210" s="330"/>
      <c r="J210" s="330"/>
      <c r="K210" s="330"/>
      <c r="L210" s="330"/>
      <c r="M210" s="330"/>
      <c r="N210" s="330"/>
      <c r="O210" s="330"/>
      <c r="P210" s="330"/>
      <c r="Q210" s="330"/>
      <c r="R210" s="330"/>
      <c r="S210" s="330"/>
      <c r="T210" s="321">
        <v>2.4340000000000001E-2</v>
      </c>
      <c r="U210" s="288"/>
      <c r="V210" s="288"/>
      <c r="W210" s="291"/>
      <c r="X210" s="5"/>
    </row>
    <row r="211" spans="1:24" ht="15.6" x14ac:dyDescent="0.3">
      <c r="A211" s="352"/>
      <c r="B211" s="288" t="s">
        <v>219</v>
      </c>
      <c r="C211" s="353"/>
      <c r="D211" s="353"/>
      <c r="E211" s="353"/>
      <c r="F211" s="353"/>
      <c r="G211" s="330"/>
      <c r="H211" s="330"/>
      <c r="I211" s="330"/>
      <c r="J211" s="330"/>
      <c r="K211" s="330"/>
      <c r="L211" s="330"/>
      <c r="M211" s="330"/>
      <c r="N211" s="330"/>
      <c r="O211" s="330"/>
      <c r="P211" s="330"/>
      <c r="Q211" s="330"/>
      <c r="R211" s="330"/>
      <c r="S211" s="330"/>
      <c r="T211" s="321">
        <f>V43</f>
        <v>9.6846972628614244E-3</v>
      </c>
      <c r="U211" s="288"/>
      <c r="V211" s="288"/>
      <c r="W211" s="291"/>
      <c r="X211" s="5"/>
    </row>
    <row r="212" spans="1:24" ht="15.6" x14ac:dyDescent="0.3">
      <c r="A212" s="352"/>
      <c r="B212" s="288" t="s">
        <v>74</v>
      </c>
      <c r="C212" s="353"/>
      <c r="D212" s="353"/>
      <c r="E212" s="353"/>
      <c r="F212" s="353"/>
      <c r="G212" s="330"/>
      <c r="H212" s="330"/>
      <c r="I212" s="330"/>
      <c r="J212" s="330"/>
      <c r="K212" s="330"/>
      <c r="L212" s="330"/>
      <c r="M212" s="330"/>
      <c r="N212" s="330"/>
      <c r="O212" s="330"/>
      <c r="P212" s="330"/>
      <c r="Q212" s="330"/>
      <c r="R212" s="330"/>
      <c r="S212" s="330"/>
      <c r="T212" s="321">
        <f>T210-T211</f>
        <v>1.4655302737138576E-2</v>
      </c>
      <c r="U212" s="288"/>
      <c r="V212" s="288"/>
      <c r="W212" s="291"/>
      <c r="X212" s="5"/>
    </row>
    <row r="213" spans="1:24" ht="15.6" x14ac:dyDescent="0.3">
      <c r="A213" s="352"/>
      <c r="B213" s="288" t="s">
        <v>242</v>
      </c>
      <c r="C213" s="353"/>
      <c r="D213" s="353"/>
      <c r="E213" s="353"/>
      <c r="F213" s="353"/>
      <c r="G213" s="330"/>
      <c r="H213" s="330"/>
      <c r="I213" s="330"/>
      <c r="J213" s="330"/>
      <c r="K213" s="330"/>
      <c r="L213" s="330"/>
      <c r="M213" s="330"/>
      <c r="N213" s="330"/>
      <c r="O213" s="330"/>
      <c r="P213" s="330"/>
      <c r="Q213" s="330"/>
      <c r="R213" s="330"/>
      <c r="S213" s="330"/>
      <c r="T213" s="321">
        <f>V101/N71</f>
        <v>6.6534966983828941E-3</v>
      </c>
      <c r="U213" s="288"/>
      <c r="V213" s="288"/>
      <c r="W213" s="291"/>
      <c r="X213" s="5"/>
    </row>
    <row r="214" spans="1:24" ht="15.6" x14ac:dyDescent="0.3">
      <c r="A214" s="352"/>
      <c r="B214" s="288" t="s">
        <v>208</v>
      </c>
      <c r="C214" s="353"/>
      <c r="D214" s="353"/>
      <c r="E214" s="353"/>
      <c r="F214" s="353"/>
      <c r="G214" s="330"/>
      <c r="H214" s="330"/>
      <c r="I214" s="330"/>
      <c r="J214" s="330"/>
      <c r="K214" s="330"/>
      <c r="L214" s="330"/>
      <c r="M214" s="330"/>
      <c r="N214" s="330"/>
      <c r="O214" s="330"/>
      <c r="P214" s="330"/>
      <c r="Q214" s="330"/>
      <c r="R214" s="330"/>
      <c r="S214" s="330"/>
      <c r="T214" s="354">
        <v>51014</v>
      </c>
      <c r="U214" s="288"/>
      <c r="V214" s="288"/>
      <c r="W214" s="291"/>
      <c r="X214" s="5"/>
    </row>
    <row r="215" spans="1:24" ht="15.6" x14ac:dyDescent="0.3">
      <c r="A215" s="352"/>
      <c r="B215" s="288" t="s">
        <v>209</v>
      </c>
      <c r="C215" s="353"/>
      <c r="D215" s="353"/>
      <c r="E215" s="353"/>
      <c r="F215" s="353"/>
      <c r="G215" s="330"/>
      <c r="H215" s="330"/>
      <c r="I215" s="330"/>
      <c r="J215" s="330"/>
      <c r="K215" s="330"/>
      <c r="L215" s="330"/>
      <c r="M215" s="330"/>
      <c r="N215" s="330"/>
      <c r="O215" s="330"/>
      <c r="P215" s="330"/>
      <c r="Q215" s="330"/>
      <c r="R215" s="330"/>
      <c r="S215" s="330"/>
      <c r="T215" s="354">
        <v>51014</v>
      </c>
      <c r="U215" s="288"/>
      <c r="V215" s="288"/>
      <c r="W215" s="291"/>
      <c r="X215" s="5"/>
    </row>
    <row r="216" spans="1:24" ht="15.6" x14ac:dyDescent="0.3">
      <c r="A216" s="352"/>
      <c r="B216" s="288" t="s">
        <v>210</v>
      </c>
      <c r="C216" s="353"/>
      <c r="D216" s="353"/>
      <c r="E216" s="353"/>
      <c r="F216" s="353"/>
      <c r="G216" s="330"/>
      <c r="H216" s="330"/>
      <c r="I216" s="330"/>
      <c r="J216" s="330"/>
      <c r="K216" s="330"/>
      <c r="L216" s="330"/>
      <c r="M216" s="330"/>
      <c r="N216" s="330"/>
      <c r="O216" s="330"/>
      <c r="P216" s="330"/>
      <c r="Q216" s="330"/>
      <c r="R216" s="330"/>
      <c r="S216" s="330"/>
      <c r="T216" s="354">
        <v>51014</v>
      </c>
      <c r="U216" s="288"/>
      <c r="V216" s="288"/>
      <c r="W216" s="291"/>
      <c r="X216" s="5"/>
    </row>
    <row r="217" spans="1:24" ht="15.6" x14ac:dyDescent="0.3">
      <c r="A217" s="352"/>
      <c r="B217" s="288" t="s">
        <v>75</v>
      </c>
      <c r="C217" s="353"/>
      <c r="D217" s="353"/>
      <c r="E217" s="353"/>
      <c r="F217" s="353"/>
      <c r="G217" s="330"/>
      <c r="H217" s="330"/>
      <c r="I217" s="330"/>
      <c r="J217" s="330"/>
      <c r="K217" s="330"/>
      <c r="L217" s="330"/>
      <c r="M217" s="330"/>
      <c r="N217" s="330"/>
      <c r="O217" s="330"/>
      <c r="P217" s="330"/>
      <c r="Q217" s="330"/>
      <c r="R217" s="330"/>
      <c r="S217" s="330"/>
      <c r="T217" s="327">
        <v>20.66</v>
      </c>
      <c r="U217" s="288" t="s">
        <v>110</v>
      </c>
      <c r="V217" s="288"/>
      <c r="W217" s="291"/>
      <c r="X217" s="5"/>
    </row>
    <row r="218" spans="1:24" ht="15.6" x14ac:dyDescent="0.3">
      <c r="A218" s="352"/>
      <c r="B218" s="288" t="s">
        <v>76</v>
      </c>
      <c r="C218" s="353"/>
      <c r="D218" s="353"/>
      <c r="E218" s="353"/>
      <c r="F218" s="353"/>
      <c r="G218" s="330"/>
      <c r="H218" s="330"/>
      <c r="I218" s="330"/>
      <c r="J218" s="330"/>
      <c r="K218" s="330"/>
      <c r="L218" s="330"/>
      <c r="M218" s="330"/>
      <c r="N218" s="330"/>
      <c r="O218" s="330"/>
      <c r="P218" s="330"/>
      <c r="Q218" s="330"/>
      <c r="R218" s="330"/>
      <c r="S218" s="330"/>
      <c r="T218" s="327">
        <v>15.68</v>
      </c>
      <c r="U218" s="288" t="s">
        <v>110</v>
      </c>
      <c r="V218" s="288"/>
      <c r="W218" s="291"/>
      <c r="X218" s="5"/>
    </row>
    <row r="219" spans="1:24" ht="15.6" x14ac:dyDescent="0.3">
      <c r="A219" s="352"/>
      <c r="B219" s="288" t="s">
        <v>77</v>
      </c>
      <c r="C219" s="353"/>
      <c r="D219" s="353"/>
      <c r="E219" s="353"/>
      <c r="F219" s="353"/>
      <c r="G219" s="330"/>
      <c r="H219" s="330"/>
      <c r="I219" s="330"/>
      <c r="J219" s="330"/>
      <c r="K219" s="330"/>
      <c r="L219" s="330"/>
      <c r="M219" s="330"/>
      <c r="N219" s="330"/>
      <c r="O219" s="330"/>
      <c r="P219" s="330"/>
      <c r="Q219" s="330"/>
      <c r="R219" s="330"/>
      <c r="S219" s="330"/>
      <c r="T219" s="321">
        <f>+P68/N68</f>
        <v>5.4570700021810328E-3</v>
      </c>
      <c r="U219" s="288"/>
      <c r="V219" s="288"/>
      <c r="W219" s="291"/>
      <c r="X219" s="5"/>
    </row>
    <row r="220" spans="1:24" ht="15.6" x14ac:dyDescent="0.3">
      <c r="A220" s="352"/>
      <c r="B220" s="288" t="s">
        <v>78</v>
      </c>
      <c r="C220" s="353"/>
      <c r="D220" s="353"/>
      <c r="E220" s="353"/>
      <c r="F220" s="353"/>
      <c r="G220" s="330"/>
      <c r="H220" s="330"/>
      <c r="I220" s="330"/>
      <c r="J220" s="330"/>
      <c r="K220" s="330"/>
      <c r="L220" s="330"/>
      <c r="M220" s="330"/>
      <c r="N220" s="330"/>
      <c r="O220" s="330"/>
      <c r="P220" s="330"/>
      <c r="Q220" s="330"/>
      <c r="R220" s="330"/>
      <c r="S220" s="330"/>
      <c r="T220" s="321">
        <v>5.5500000000000001E-2</v>
      </c>
      <c r="U220" s="288"/>
      <c r="V220" s="288"/>
      <c r="W220" s="291"/>
      <c r="X220" s="5"/>
    </row>
    <row r="221" spans="1:24" ht="15.6" x14ac:dyDescent="0.3">
      <c r="A221" s="217"/>
      <c r="B221" s="284"/>
      <c r="C221" s="284"/>
      <c r="D221" s="284"/>
      <c r="E221" s="284"/>
      <c r="F221" s="284"/>
      <c r="G221" s="284"/>
      <c r="H221" s="284"/>
      <c r="I221" s="284"/>
      <c r="J221" s="284"/>
      <c r="K221" s="284"/>
      <c r="L221" s="284"/>
      <c r="M221" s="284"/>
      <c r="N221" s="284"/>
      <c r="O221" s="284"/>
      <c r="P221" s="284"/>
      <c r="Q221" s="284"/>
      <c r="R221" s="284"/>
      <c r="S221" s="284"/>
      <c r="T221" s="349"/>
      <c r="U221" s="284"/>
      <c r="V221" s="351"/>
      <c r="W221" s="284"/>
      <c r="X221" s="5"/>
    </row>
    <row r="222" spans="1:24" ht="15.6" x14ac:dyDescent="0.3">
      <c r="A222" s="278"/>
      <c r="B222" s="399" t="s">
        <v>79</v>
      </c>
      <c r="C222" s="400"/>
      <c r="D222" s="400"/>
      <c r="E222" s="400"/>
      <c r="F222" s="406"/>
      <c r="G222" s="400"/>
      <c r="H222" s="400"/>
      <c r="I222" s="400"/>
      <c r="J222" s="400"/>
      <c r="K222" s="400"/>
      <c r="L222" s="400"/>
      <c r="M222" s="400"/>
      <c r="N222" s="400"/>
      <c r="O222" s="400"/>
      <c r="P222" s="400"/>
      <c r="Q222" s="400"/>
      <c r="R222" s="400"/>
      <c r="S222" s="400" t="s">
        <v>102</v>
      </c>
      <c r="T222" s="406" t="s">
        <v>108</v>
      </c>
      <c r="U222" s="263"/>
      <c r="V222" s="263"/>
      <c r="W222" s="263"/>
      <c r="X222" s="5"/>
    </row>
    <row r="223" spans="1:24" ht="15.6" x14ac:dyDescent="0.3">
      <c r="A223" s="218"/>
      <c r="B223" s="231" t="s">
        <v>80</v>
      </c>
      <c r="C223" s="234"/>
      <c r="D223" s="234"/>
      <c r="E223" s="234"/>
      <c r="F223" s="231"/>
      <c r="G223" s="231"/>
      <c r="H223" s="233"/>
      <c r="I223" s="233"/>
      <c r="J223" s="233"/>
      <c r="K223" s="233"/>
      <c r="L223" s="233"/>
      <c r="M223" s="233"/>
      <c r="N223" s="233"/>
      <c r="O223" s="233"/>
      <c r="P223" s="233"/>
      <c r="Q223" s="233"/>
      <c r="R223" s="233"/>
      <c r="S223" s="233">
        <v>8</v>
      </c>
      <c r="T223" s="251">
        <v>849</v>
      </c>
      <c r="U223" s="231"/>
      <c r="V223" s="250"/>
      <c r="W223" s="252"/>
      <c r="X223" s="5"/>
    </row>
    <row r="224" spans="1:24" ht="15.6" x14ac:dyDescent="0.3">
      <c r="A224" s="362"/>
      <c r="B224" s="288" t="s">
        <v>145</v>
      </c>
      <c r="C224" s="337"/>
      <c r="D224" s="337"/>
      <c r="E224" s="337"/>
      <c r="F224" s="288"/>
      <c r="G224" s="288"/>
      <c r="H224" s="296"/>
      <c r="I224" s="296"/>
      <c r="J224" s="296"/>
      <c r="K224" s="296"/>
      <c r="L224" s="296"/>
      <c r="M224" s="296"/>
      <c r="N224" s="296"/>
      <c r="O224" s="296"/>
      <c r="P224" s="296"/>
      <c r="Q224" s="296"/>
      <c r="R224" s="296"/>
      <c r="S224" s="363">
        <f>+R276</f>
        <v>187</v>
      </c>
      <c r="T224" s="364">
        <f>+T276</f>
        <v>26336</v>
      </c>
      <c r="U224" s="288"/>
      <c r="V224" s="365"/>
      <c r="W224" s="366"/>
      <c r="X224" s="5"/>
    </row>
    <row r="225" spans="1:24" ht="15.6" x14ac:dyDescent="0.3">
      <c r="A225" s="362"/>
      <c r="B225" s="288" t="s">
        <v>81</v>
      </c>
      <c r="C225" s="337"/>
      <c r="D225" s="337"/>
      <c r="E225" s="337"/>
      <c r="F225" s="288"/>
      <c r="G225" s="288"/>
      <c r="H225" s="296"/>
      <c r="I225" s="296"/>
      <c r="J225" s="296"/>
      <c r="K225" s="296"/>
      <c r="L225" s="296"/>
      <c r="M225" s="296"/>
      <c r="N225" s="296"/>
      <c r="O225" s="296"/>
      <c r="P225" s="296"/>
      <c r="Q225" s="296"/>
      <c r="R225" s="296"/>
      <c r="S225" s="363">
        <f>+R288</f>
        <v>0</v>
      </c>
      <c r="T225" s="364">
        <f>+T288</f>
        <v>0</v>
      </c>
      <c r="U225" s="288"/>
      <c r="V225" s="365"/>
      <c r="W225" s="366"/>
      <c r="X225" s="5"/>
    </row>
    <row r="226" spans="1:24" ht="15.6" x14ac:dyDescent="0.3">
      <c r="A226" s="362"/>
      <c r="B226" s="313" t="s">
        <v>82</v>
      </c>
      <c r="C226" s="367"/>
      <c r="D226" s="367"/>
      <c r="E226" s="367"/>
      <c r="F226" s="314"/>
      <c r="G226" s="314"/>
      <c r="H226" s="314"/>
      <c r="I226" s="314"/>
      <c r="J226" s="314"/>
      <c r="K226" s="314"/>
      <c r="L226" s="314"/>
      <c r="M226" s="314"/>
      <c r="N226" s="314"/>
      <c r="O226" s="314"/>
      <c r="P226" s="314"/>
      <c r="Q226" s="314"/>
      <c r="R226" s="314"/>
      <c r="S226" s="314"/>
      <c r="T226" s="364">
        <v>0</v>
      </c>
      <c r="U226" s="314"/>
      <c r="V226" s="369"/>
      <c r="W226" s="370"/>
      <c r="X226" s="5"/>
    </row>
    <row r="227" spans="1:24" ht="15.6" x14ac:dyDescent="0.3">
      <c r="A227" s="362"/>
      <c r="B227" s="313" t="s">
        <v>243</v>
      </c>
      <c r="C227" s="367"/>
      <c r="D227" s="367"/>
      <c r="E227" s="367"/>
      <c r="F227" s="314"/>
      <c r="G227" s="314"/>
      <c r="H227" s="314"/>
      <c r="I227" s="314"/>
      <c r="J227" s="314"/>
      <c r="K227" s="314"/>
      <c r="L227" s="314"/>
      <c r="M227" s="314"/>
      <c r="N227" s="314"/>
      <c r="O227" s="314"/>
      <c r="P227" s="314"/>
      <c r="Q227" s="314"/>
      <c r="R227" s="314"/>
      <c r="S227" s="314"/>
      <c r="T227" s="364">
        <f>+N81</f>
        <v>0</v>
      </c>
      <c r="U227" s="314"/>
      <c r="V227" s="369"/>
      <c r="W227" s="370"/>
      <c r="X227" s="5"/>
    </row>
    <row r="228" spans="1:24" ht="15.6" x14ac:dyDescent="0.3">
      <c r="A228" s="371"/>
      <c r="B228" s="313" t="s">
        <v>83</v>
      </c>
      <c r="C228" s="372"/>
      <c r="D228" s="372"/>
      <c r="E228" s="372"/>
      <c r="F228" s="372"/>
      <c r="G228" s="314"/>
      <c r="H228" s="314"/>
      <c r="I228" s="314"/>
      <c r="J228" s="314"/>
      <c r="K228" s="314"/>
      <c r="L228" s="314"/>
      <c r="M228" s="314"/>
      <c r="N228" s="314"/>
      <c r="O228" s="314"/>
      <c r="P228" s="314"/>
      <c r="Q228" s="314"/>
      <c r="R228" s="314"/>
      <c r="S228" s="314"/>
      <c r="T228" s="368"/>
      <c r="U228" s="314"/>
      <c r="V228" s="369"/>
      <c r="W228" s="373"/>
      <c r="X228" s="5"/>
    </row>
    <row r="229" spans="1:24" ht="15.6" x14ac:dyDescent="0.3">
      <c r="A229" s="371"/>
      <c r="B229" s="288" t="s">
        <v>84</v>
      </c>
      <c r="C229" s="288"/>
      <c r="D229" s="288"/>
      <c r="E229" s="288"/>
      <c r="F229" s="288"/>
      <c r="G229" s="288"/>
      <c r="H229" s="288"/>
      <c r="I229" s="288"/>
      <c r="J229" s="288"/>
      <c r="K229" s="288"/>
      <c r="L229" s="288"/>
      <c r="M229" s="288"/>
      <c r="N229" s="288"/>
      <c r="O229" s="288"/>
      <c r="P229" s="288"/>
      <c r="Q229" s="288"/>
      <c r="R229" s="288"/>
      <c r="S229" s="296"/>
      <c r="T229" s="364">
        <f>V167</f>
        <v>63</v>
      </c>
      <c r="U229" s="288"/>
      <c r="V229" s="365"/>
      <c r="W229" s="378"/>
      <c r="X229" s="5"/>
    </row>
    <row r="230" spans="1:24" ht="15.6" x14ac:dyDescent="0.3">
      <c r="A230" s="362"/>
      <c r="B230" s="288" t="s">
        <v>85</v>
      </c>
      <c r="C230" s="337"/>
      <c r="D230" s="337"/>
      <c r="E230" s="337"/>
      <c r="F230" s="337"/>
      <c r="G230" s="288"/>
      <c r="H230" s="288"/>
      <c r="I230" s="288"/>
      <c r="J230" s="288"/>
      <c r="K230" s="288"/>
      <c r="L230" s="288"/>
      <c r="M230" s="288"/>
      <c r="N230" s="288"/>
      <c r="O230" s="288"/>
      <c r="P230" s="288"/>
      <c r="Q230" s="288"/>
      <c r="R230" s="288"/>
      <c r="S230" s="296"/>
      <c r="T230" s="364">
        <f>'Aug 12'!T230+T229</f>
        <v>3819</v>
      </c>
      <c r="U230" s="288"/>
      <c r="V230" s="365"/>
      <c r="W230" s="378"/>
      <c r="X230" s="5"/>
    </row>
    <row r="231" spans="1:24" ht="15.6" x14ac:dyDescent="0.3">
      <c r="A231" s="371"/>
      <c r="B231" s="313" t="s">
        <v>295</v>
      </c>
      <c r="C231" s="372"/>
      <c r="D231" s="372"/>
      <c r="E231" s="372"/>
      <c r="F231" s="372"/>
      <c r="G231" s="314"/>
      <c r="H231" s="314"/>
      <c r="I231" s="314"/>
      <c r="J231" s="314"/>
      <c r="K231" s="314"/>
      <c r="L231" s="314"/>
      <c r="M231" s="314"/>
      <c r="N231" s="314"/>
      <c r="O231" s="314"/>
      <c r="P231" s="314"/>
      <c r="Q231" s="314"/>
      <c r="R231" s="314"/>
      <c r="S231" s="316"/>
      <c r="T231" s="368"/>
      <c r="U231" s="314"/>
      <c r="V231" s="369"/>
      <c r="W231" s="373"/>
      <c r="X231" s="5"/>
    </row>
    <row r="232" spans="1:24" ht="15.6" x14ac:dyDescent="0.3">
      <c r="A232" s="371"/>
      <c r="B232" s="288" t="s">
        <v>291</v>
      </c>
      <c r="C232" s="288"/>
      <c r="D232" s="288"/>
      <c r="E232" s="288"/>
      <c r="F232" s="288"/>
      <c r="G232" s="288"/>
      <c r="H232" s="288"/>
      <c r="I232" s="288"/>
      <c r="J232" s="288"/>
      <c r="K232" s="288"/>
      <c r="L232" s="288"/>
      <c r="M232" s="288"/>
      <c r="N232" s="288"/>
      <c r="O232" s="288"/>
      <c r="P232" s="288"/>
      <c r="Q232" s="288"/>
      <c r="R232" s="288"/>
      <c r="S232" s="296">
        <v>0</v>
      </c>
      <c r="T232" s="364">
        <v>0</v>
      </c>
      <c r="U232" s="288"/>
      <c r="V232" s="365"/>
      <c r="W232" s="378"/>
      <c r="X232" s="5"/>
    </row>
    <row r="233" spans="1:24" ht="15.6" x14ac:dyDescent="0.3">
      <c r="A233" s="362"/>
      <c r="B233" s="288" t="s">
        <v>86</v>
      </c>
      <c r="C233" s="325"/>
      <c r="D233" s="325"/>
      <c r="E233" s="325"/>
      <c r="F233" s="379"/>
      <c r="G233" s="288"/>
      <c r="H233" s="288"/>
      <c r="I233" s="288"/>
      <c r="J233" s="288"/>
      <c r="K233" s="288"/>
      <c r="L233" s="288"/>
      <c r="M233" s="288"/>
      <c r="N233" s="288"/>
      <c r="O233" s="288"/>
      <c r="P233" s="288"/>
      <c r="Q233" s="288"/>
      <c r="R233" s="288"/>
      <c r="S233" s="288"/>
      <c r="T233" s="380">
        <v>0</v>
      </c>
      <c r="U233" s="288"/>
      <c r="V233" s="365"/>
      <c r="W233" s="378"/>
      <c r="X233" s="5"/>
    </row>
    <row r="234" spans="1:24" ht="15.6" x14ac:dyDescent="0.3">
      <c r="A234" s="362"/>
      <c r="B234" s="288" t="s">
        <v>87</v>
      </c>
      <c r="C234" s="325"/>
      <c r="D234" s="325"/>
      <c r="E234" s="325"/>
      <c r="F234" s="379"/>
      <c r="G234" s="288"/>
      <c r="H234" s="288"/>
      <c r="I234" s="288"/>
      <c r="J234" s="288"/>
      <c r="K234" s="288"/>
      <c r="L234" s="288"/>
      <c r="M234" s="288"/>
      <c r="N234" s="288"/>
      <c r="O234" s="288"/>
      <c r="P234" s="288"/>
      <c r="Q234" s="288"/>
      <c r="R234" s="288"/>
      <c r="S234" s="288"/>
      <c r="T234" s="380">
        <v>0</v>
      </c>
      <c r="U234" s="288"/>
      <c r="V234" s="365"/>
      <c r="W234" s="378"/>
      <c r="X234" s="5"/>
    </row>
    <row r="235" spans="1:24" ht="15.6" x14ac:dyDescent="0.3">
      <c r="A235" s="362"/>
      <c r="B235" s="313" t="s">
        <v>217</v>
      </c>
      <c r="C235" s="381"/>
      <c r="D235" s="381"/>
      <c r="E235" s="381"/>
      <c r="F235" s="382"/>
      <c r="G235" s="314"/>
      <c r="H235" s="314"/>
      <c r="I235" s="314"/>
      <c r="J235" s="314"/>
      <c r="K235" s="314"/>
      <c r="L235" s="314"/>
      <c r="M235" s="314"/>
      <c r="N235" s="314"/>
      <c r="O235" s="314"/>
      <c r="P235" s="314"/>
      <c r="Q235" s="314"/>
      <c r="R235" s="314"/>
      <c r="S235" s="314"/>
      <c r="T235" s="383"/>
      <c r="U235" s="314"/>
      <c r="V235" s="369"/>
      <c r="W235" s="373"/>
      <c r="X235" s="5"/>
    </row>
    <row r="236" spans="1:24" ht="15.6" x14ac:dyDescent="0.3">
      <c r="A236" s="362"/>
      <c r="B236" s="288" t="s">
        <v>291</v>
      </c>
      <c r="C236" s="381"/>
      <c r="D236" s="381"/>
      <c r="E236" s="381"/>
      <c r="F236" s="382"/>
      <c r="G236" s="314"/>
      <c r="H236" s="314"/>
      <c r="I236" s="314"/>
      <c r="J236" s="314"/>
      <c r="K236" s="314"/>
      <c r="L236" s="314"/>
      <c r="M236" s="314"/>
      <c r="N236" s="314"/>
      <c r="O236" s="314"/>
      <c r="P236" s="314"/>
      <c r="Q236" s="314"/>
      <c r="R236" s="314"/>
      <c r="S236" s="296">
        <v>3</v>
      </c>
      <c r="T236" s="364">
        <v>513</v>
      </c>
      <c r="U236" s="314"/>
      <c r="V236" s="369"/>
      <c r="W236" s="373"/>
      <c r="X236" s="5"/>
    </row>
    <row r="237" spans="1:24" ht="15.6" x14ac:dyDescent="0.3">
      <c r="A237" s="362"/>
      <c r="B237" s="288" t="s">
        <v>218</v>
      </c>
      <c r="C237" s="381"/>
      <c r="D237" s="381"/>
      <c r="E237" s="381"/>
      <c r="F237" s="382"/>
      <c r="G237" s="314"/>
      <c r="H237" s="314"/>
      <c r="I237" s="314"/>
      <c r="J237" s="314"/>
      <c r="K237" s="314"/>
      <c r="L237" s="314"/>
      <c r="M237" s="314"/>
      <c r="N237" s="314"/>
      <c r="O237" s="314"/>
      <c r="P237" s="314"/>
      <c r="Q237" s="314"/>
      <c r="R237" s="314"/>
      <c r="S237" s="288"/>
      <c r="T237" s="380">
        <v>0.86</v>
      </c>
      <c r="U237" s="314"/>
      <c r="V237" s="369"/>
      <c r="W237" s="373"/>
      <c r="X237" s="5"/>
    </row>
    <row r="238" spans="1:24" ht="15.6" x14ac:dyDescent="0.3">
      <c r="A238" s="362"/>
      <c r="B238" s="372"/>
      <c r="C238" s="381"/>
      <c r="D238" s="381"/>
      <c r="E238" s="381"/>
      <c r="F238" s="382"/>
      <c r="G238" s="314"/>
      <c r="H238" s="314"/>
      <c r="I238" s="314"/>
      <c r="J238" s="314"/>
      <c r="K238" s="314"/>
      <c r="L238" s="314"/>
      <c r="M238" s="314"/>
      <c r="N238" s="314"/>
      <c r="O238" s="314"/>
      <c r="P238" s="314"/>
      <c r="Q238" s="314"/>
      <c r="R238" s="314"/>
      <c r="S238" s="314"/>
      <c r="T238" s="383"/>
      <c r="U238" s="314"/>
      <c r="V238" s="369"/>
      <c r="W238" s="373"/>
      <c r="X238" s="5"/>
    </row>
    <row r="239" spans="1:24" ht="15.6" x14ac:dyDescent="0.3">
      <c r="A239" s="362"/>
      <c r="B239" s="372"/>
      <c r="C239" s="381"/>
      <c r="D239" s="381"/>
      <c r="E239" s="381"/>
      <c r="F239" s="382"/>
      <c r="G239" s="314"/>
      <c r="H239" s="314"/>
      <c r="I239" s="314"/>
      <c r="J239" s="314"/>
      <c r="K239" s="314"/>
      <c r="L239" s="314"/>
      <c r="M239" s="314"/>
      <c r="N239" s="314"/>
      <c r="O239" s="314"/>
      <c r="P239" s="314"/>
      <c r="Q239" s="314"/>
      <c r="R239" s="314"/>
      <c r="S239" s="314"/>
      <c r="T239" s="383"/>
      <c r="U239" s="314"/>
      <c r="V239" s="369"/>
      <c r="W239" s="373"/>
      <c r="X239" s="5"/>
    </row>
    <row r="240" spans="1:24" ht="17.399999999999999" x14ac:dyDescent="0.3">
      <c r="A240" s="362"/>
      <c r="B240" s="384" t="s">
        <v>168</v>
      </c>
      <c r="C240" s="381"/>
      <c r="D240" s="381"/>
      <c r="E240" s="381"/>
      <c r="F240" s="382"/>
      <c r="G240" s="314"/>
      <c r="H240" s="314"/>
      <c r="I240" s="314"/>
      <c r="J240" s="314"/>
      <c r="K240" s="314"/>
      <c r="L240" s="314"/>
      <c r="M240" s="314"/>
      <c r="N240" s="314"/>
      <c r="O240" s="314"/>
      <c r="P240" s="385" t="s">
        <v>167</v>
      </c>
      <c r="Q240" s="314"/>
      <c r="R240" s="314"/>
      <c r="S240" s="314"/>
      <c r="T240" s="383"/>
      <c r="U240" s="314"/>
      <c r="V240" s="369"/>
      <c r="W240" s="373"/>
      <c r="X240" s="5"/>
    </row>
    <row r="241" spans="1:25" ht="15.6" x14ac:dyDescent="0.3">
      <c r="A241" s="355"/>
      <c r="B241" s="356"/>
      <c r="C241" s="357"/>
      <c r="D241" s="357"/>
      <c r="E241" s="357"/>
      <c r="F241" s="358"/>
      <c r="G241" s="198"/>
      <c r="H241" s="198"/>
      <c r="I241" s="198"/>
      <c r="J241" s="198"/>
      <c r="K241" s="198"/>
      <c r="L241" s="198"/>
      <c r="M241" s="198"/>
      <c r="N241" s="198"/>
      <c r="O241" s="198"/>
      <c r="P241" s="198"/>
      <c r="Q241" s="198"/>
      <c r="R241" s="198"/>
      <c r="S241" s="198"/>
      <c r="T241" s="359"/>
      <c r="U241" s="198"/>
      <c r="V241" s="360"/>
      <c r="W241" s="361"/>
      <c r="X241" s="5"/>
    </row>
    <row r="242" spans="1:25" ht="15.6" x14ac:dyDescent="0.3">
      <c r="A242" s="262"/>
      <c r="B242" s="399" t="s">
        <v>308</v>
      </c>
      <c r="C242" s="400"/>
      <c r="D242" s="400"/>
      <c r="E242" s="400"/>
      <c r="F242" s="406"/>
      <c r="G242" s="400"/>
      <c r="H242" s="400"/>
      <c r="I242" s="400"/>
      <c r="J242" s="400"/>
      <c r="K242" s="400"/>
      <c r="L242" s="400"/>
      <c r="M242" s="400"/>
      <c r="N242" s="400"/>
      <c r="O242" s="400"/>
      <c r="P242" s="400"/>
      <c r="Q242" s="400"/>
      <c r="R242" s="406" t="s">
        <v>102</v>
      </c>
      <c r="S242" s="400" t="s">
        <v>103</v>
      </c>
      <c r="T242" s="406" t="s">
        <v>109</v>
      </c>
      <c r="U242" s="400" t="s">
        <v>103</v>
      </c>
      <c r="V242" s="263"/>
      <c r="W242" s="399"/>
      <c r="X242" s="5"/>
    </row>
    <row r="243" spans="1:25" ht="15.6" x14ac:dyDescent="0.3">
      <c r="A243" s="197"/>
      <c r="B243" s="234" t="s">
        <v>88</v>
      </c>
      <c r="C243" s="253"/>
      <c r="D243" s="253"/>
      <c r="E243" s="253"/>
      <c r="F243" s="231"/>
      <c r="G243" s="253"/>
      <c r="H243" s="253"/>
      <c r="I243" s="253"/>
      <c r="J243" s="253"/>
      <c r="K243" s="253"/>
      <c r="L243" s="253"/>
      <c r="M243" s="253"/>
      <c r="N243" s="253"/>
      <c r="O243" s="253"/>
      <c r="P243" s="253"/>
      <c r="Q243" s="253"/>
      <c r="R243" s="234">
        <f t="shared" ref="R243:R250" si="1">+R255+R267+R279</f>
        <v>7841</v>
      </c>
      <c r="S243" s="254">
        <f t="shared" ref="S243:S250" si="2">R243/$R$252</f>
        <v>0.99065066329753637</v>
      </c>
      <c r="T243" s="241">
        <f t="shared" ref="T243:T250" si="3">+T255+T267+T279</f>
        <v>1094728</v>
      </c>
      <c r="U243" s="254">
        <f t="shared" ref="U243:U250" si="4">T243/$T$252</f>
        <v>0.98793962956144432</v>
      </c>
      <c r="V243" s="250"/>
      <c r="W243" s="232"/>
      <c r="X243" s="5"/>
    </row>
    <row r="244" spans="1:25" ht="15.6" x14ac:dyDescent="0.3">
      <c r="A244" s="287"/>
      <c r="B244" s="337" t="s">
        <v>89</v>
      </c>
      <c r="C244" s="389"/>
      <c r="D244" s="389"/>
      <c r="E244" s="389"/>
      <c r="F244" s="288"/>
      <c r="G244" s="390"/>
      <c r="H244" s="389"/>
      <c r="I244" s="389"/>
      <c r="J244" s="389"/>
      <c r="K244" s="389"/>
      <c r="L244" s="389"/>
      <c r="M244" s="389"/>
      <c r="N244" s="389"/>
      <c r="O244" s="389"/>
      <c r="P244" s="389"/>
      <c r="Q244" s="389"/>
      <c r="R244" s="337">
        <f t="shared" si="1"/>
        <v>31</v>
      </c>
      <c r="S244" s="390">
        <f t="shared" si="2"/>
        <v>3.9166140240050537E-3</v>
      </c>
      <c r="T244" s="338">
        <f t="shared" si="3"/>
        <v>7288</v>
      </c>
      <c r="U244" s="390">
        <f t="shared" si="4"/>
        <v>6.5770712179133144E-3</v>
      </c>
      <c r="V244" s="365"/>
      <c r="W244" s="378"/>
      <c r="X244" s="5"/>
      <c r="Y244" s="109"/>
    </row>
    <row r="245" spans="1:25" ht="15.6" x14ac:dyDescent="0.3">
      <c r="A245" s="287"/>
      <c r="B245" s="337" t="s">
        <v>90</v>
      </c>
      <c r="C245" s="389"/>
      <c r="D245" s="389"/>
      <c r="E245" s="389"/>
      <c r="F245" s="288"/>
      <c r="G245" s="390"/>
      <c r="H245" s="389"/>
      <c r="I245" s="389"/>
      <c r="J245" s="389"/>
      <c r="K245" s="389"/>
      <c r="L245" s="389"/>
      <c r="M245" s="389"/>
      <c r="N245" s="389"/>
      <c r="O245" s="389"/>
      <c r="P245" s="389"/>
      <c r="Q245" s="389"/>
      <c r="R245" s="337">
        <f t="shared" si="1"/>
        <v>7</v>
      </c>
      <c r="S245" s="390">
        <f t="shared" si="2"/>
        <v>8.8439671509791531E-4</v>
      </c>
      <c r="T245" s="338">
        <f t="shared" si="3"/>
        <v>898</v>
      </c>
      <c r="U245" s="390">
        <f t="shared" si="4"/>
        <v>8.1040202438064713E-4</v>
      </c>
      <c r="V245" s="365"/>
      <c r="W245" s="378"/>
      <c r="X245" s="5"/>
    </row>
    <row r="246" spans="1:25" ht="15.6" x14ac:dyDescent="0.3">
      <c r="A246" s="287"/>
      <c r="B246" s="337" t="s">
        <v>156</v>
      </c>
      <c r="C246" s="389"/>
      <c r="D246" s="389"/>
      <c r="E246" s="389"/>
      <c r="F246" s="288"/>
      <c r="G246" s="390"/>
      <c r="H246" s="389"/>
      <c r="I246" s="389"/>
      <c r="J246" s="389"/>
      <c r="K246" s="389"/>
      <c r="L246" s="389"/>
      <c r="M246" s="389"/>
      <c r="N246" s="389"/>
      <c r="O246" s="389"/>
      <c r="P246" s="389"/>
      <c r="Q246" s="389"/>
      <c r="R246" s="337">
        <f t="shared" si="1"/>
        <v>5</v>
      </c>
      <c r="S246" s="390">
        <f t="shared" si="2"/>
        <v>6.3171193935565378E-4</v>
      </c>
      <c r="T246" s="338">
        <f t="shared" si="3"/>
        <v>737</v>
      </c>
      <c r="U246" s="390">
        <f t="shared" si="4"/>
        <v>6.651072293636269E-4</v>
      </c>
      <c r="V246" s="365"/>
      <c r="W246" s="378"/>
      <c r="X246" s="5"/>
      <c r="Y246" s="109"/>
    </row>
    <row r="247" spans="1:25" ht="15.6" x14ac:dyDescent="0.3">
      <c r="A247" s="287"/>
      <c r="B247" s="337" t="s">
        <v>157</v>
      </c>
      <c r="C247" s="389"/>
      <c r="D247" s="389"/>
      <c r="E247" s="389"/>
      <c r="F247" s="288"/>
      <c r="G247" s="390"/>
      <c r="H247" s="389"/>
      <c r="I247" s="389"/>
      <c r="J247" s="389"/>
      <c r="K247" s="389"/>
      <c r="L247" s="389"/>
      <c r="M247" s="389"/>
      <c r="N247" s="389"/>
      <c r="O247" s="389"/>
      <c r="P247" s="389"/>
      <c r="Q247" s="389"/>
      <c r="R247" s="337">
        <f t="shared" si="1"/>
        <v>0</v>
      </c>
      <c r="S247" s="390">
        <f t="shared" si="2"/>
        <v>0</v>
      </c>
      <c r="T247" s="338">
        <f t="shared" si="3"/>
        <v>0</v>
      </c>
      <c r="U247" s="390">
        <f t="shared" si="4"/>
        <v>0</v>
      </c>
      <c r="V247" s="365"/>
      <c r="W247" s="378"/>
      <c r="X247" s="5"/>
    </row>
    <row r="248" spans="1:25" ht="15.6" x14ac:dyDescent="0.3">
      <c r="A248" s="287"/>
      <c r="B248" s="337" t="s">
        <v>158</v>
      </c>
      <c r="C248" s="389"/>
      <c r="D248" s="389"/>
      <c r="E248" s="389"/>
      <c r="F248" s="288"/>
      <c r="G248" s="390"/>
      <c r="H248" s="389"/>
      <c r="I248" s="389"/>
      <c r="J248" s="389"/>
      <c r="K248" s="389"/>
      <c r="L248" s="389"/>
      <c r="M248" s="389"/>
      <c r="N248" s="389"/>
      <c r="O248" s="389"/>
      <c r="P248" s="389"/>
      <c r="Q248" s="389"/>
      <c r="R248" s="337">
        <f t="shared" si="1"/>
        <v>1</v>
      </c>
      <c r="S248" s="390">
        <f t="shared" si="2"/>
        <v>1.2634238787113077E-4</v>
      </c>
      <c r="T248" s="338">
        <f t="shared" si="3"/>
        <v>146</v>
      </c>
      <c r="U248" s="390">
        <f t="shared" si="4"/>
        <v>1.3175801287257737E-4</v>
      </c>
      <c r="V248" s="365"/>
      <c r="W248" s="378"/>
      <c r="X248" s="5"/>
      <c r="Y248" s="109"/>
    </row>
    <row r="249" spans="1:25" ht="15.6" x14ac:dyDescent="0.3">
      <c r="A249" s="287"/>
      <c r="B249" s="337" t="s">
        <v>159</v>
      </c>
      <c r="C249" s="389"/>
      <c r="D249" s="389"/>
      <c r="E249" s="389"/>
      <c r="F249" s="288"/>
      <c r="G249" s="390"/>
      <c r="H249" s="389"/>
      <c r="I249" s="389"/>
      <c r="J249" s="389"/>
      <c r="K249" s="389"/>
      <c r="L249" s="389"/>
      <c r="M249" s="389"/>
      <c r="N249" s="389"/>
      <c r="O249" s="389"/>
      <c r="P249" s="389"/>
      <c r="Q249" s="389"/>
      <c r="R249" s="337">
        <f t="shared" si="1"/>
        <v>11</v>
      </c>
      <c r="S249" s="390">
        <f t="shared" si="2"/>
        <v>1.3897662665824384E-3</v>
      </c>
      <c r="T249" s="338">
        <f t="shared" si="3"/>
        <v>1447</v>
      </c>
      <c r="U249" s="390">
        <f t="shared" si="4"/>
        <v>1.3058482508672565E-3</v>
      </c>
      <c r="V249" s="365"/>
      <c r="W249" s="378"/>
      <c r="X249" s="5"/>
    </row>
    <row r="250" spans="1:25" ht="15.6" x14ac:dyDescent="0.3">
      <c r="A250" s="287"/>
      <c r="B250" s="337" t="s">
        <v>160</v>
      </c>
      <c r="C250" s="389"/>
      <c r="D250" s="389"/>
      <c r="E250" s="389"/>
      <c r="F250" s="288"/>
      <c r="G250" s="390"/>
      <c r="H250" s="389"/>
      <c r="I250" s="389"/>
      <c r="J250" s="389"/>
      <c r="K250" s="389"/>
      <c r="L250" s="389"/>
      <c r="M250" s="389"/>
      <c r="N250" s="389"/>
      <c r="O250" s="389"/>
      <c r="P250" s="389"/>
      <c r="Q250" s="389"/>
      <c r="R250" s="339">
        <f t="shared" si="1"/>
        <v>19</v>
      </c>
      <c r="S250" s="393">
        <f t="shared" si="2"/>
        <v>2.4005053695514847E-3</v>
      </c>
      <c r="T250" s="394">
        <f t="shared" si="3"/>
        <v>2848</v>
      </c>
      <c r="U250" s="393">
        <f t="shared" si="4"/>
        <v>2.5701837031582215E-3</v>
      </c>
      <c r="V250" s="365"/>
      <c r="W250" s="378"/>
      <c r="X250" s="5"/>
      <c r="Y250" s="109"/>
    </row>
    <row r="251" spans="1:25" ht="15.6" x14ac:dyDescent="0.3">
      <c r="A251" s="287"/>
      <c r="B251" s="337"/>
      <c r="C251" s="389"/>
      <c r="D251" s="389"/>
      <c r="E251" s="389"/>
      <c r="F251" s="288"/>
      <c r="G251" s="390"/>
      <c r="H251" s="389"/>
      <c r="I251" s="389"/>
      <c r="J251" s="389"/>
      <c r="K251" s="389"/>
      <c r="L251" s="389"/>
      <c r="M251" s="389"/>
      <c r="N251" s="389"/>
      <c r="O251" s="389"/>
      <c r="P251" s="389"/>
      <c r="Q251" s="389"/>
      <c r="R251" s="337"/>
      <c r="S251" s="390"/>
      <c r="T251" s="338"/>
      <c r="U251" s="390"/>
      <c r="V251" s="365"/>
      <c r="W251" s="378"/>
      <c r="X251" s="5"/>
    </row>
    <row r="252" spans="1:25" ht="15.6" x14ac:dyDescent="0.3">
      <c r="A252" s="287"/>
      <c r="B252" s="288"/>
      <c r="C252" s="288"/>
      <c r="D252" s="288"/>
      <c r="E252" s="288"/>
      <c r="F252" s="288"/>
      <c r="G252" s="288"/>
      <c r="H252" s="391"/>
      <c r="I252" s="391"/>
      <c r="J252" s="391"/>
      <c r="K252" s="391"/>
      <c r="L252" s="391"/>
      <c r="M252" s="391"/>
      <c r="N252" s="391"/>
      <c r="O252" s="391"/>
      <c r="P252" s="391"/>
      <c r="Q252" s="391"/>
      <c r="R252" s="337">
        <f>SUM(R243:R251)</f>
        <v>7915</v>
      </c>
      <c r="S252" s="390">
        <f>SUM(S243:S251)</f>
        <v>1</v>
      </c>
      <c r="T252" s="338">
        <f>SUM(T243:T251)</f>
        <v>1108092</v>
      </c>
      <c r="U252" s="390">
        <f>SUM(U243:U251)</f>
        <v>0.99999999999999989</v>
      </c>
      <c r="V252" s="288"/>
      <c r="W252" s="291"/>
      <c r="X252" s="5"/>
    </row>
    <row r="253" spans="1:25" ht="15.6" x14ac:dyDescent="0.3">
      <c r="A253" s="183"/>
      <c r="B253" s="198"/>
      <c r="C253" s="198"/>
      <c r="D253" s="198"/>
      <c r="E253" s="198"/>
      <c r="F253" s="198"/>
      <c r="G253" s="198"/>
      <c r="H253" s="386"/>
      <c r="I253" s="386"/>
      <c r="J253" s="386"/>
      <c r="K253" s="386"/>
      <c r="L253" s="386"/>
      <c r="M253" s="386"/>
      <c r="N253" s="386"/>
      <c r="O253" s="386"/>
      <c r="P253" s="386"/>
      <c r="Q253" s="386"/>
      <c r="R253" s="335"/>
      <c r="S253" s="387"/>
      <c r="T253" s="388"/>
      <c r="U253" s="387"/>
      <c r="V253" s="198"/>
      <c r="W253" s="198"/>
      <c r="X253" s="5"/>
    </row>
    <row r="254" spans="1:25" ht="15.6" x14ac:dyDescent="0.3">
      <c r="A254" s="262"/>
      <c r="B254" s="399" t="s">
        <v>162</v>
      </c>
      <c r="C254" s="400"/>
      <c r="D254" s="400"/>
      <c r="E254" s="400"/>
      <c r="F254" s="406"/>
      <c r="G254" s="400"/>
      <c r="H254" s="400"/>
      <c r="I254" s="400"/>
      <c r="J254" s="400"/>
      <c r="K254" s="400"/>
      <c r="L254" s="400"/>
      <c r="M254" s="400"/>
      <c r="N254" s="400"/>
      <c r="O254" s="400"/>
      <c r="P254" s="400"/>
      <c r="Q254" s="400"/>
      <c r="R254" s="406" t="s">
        <v>102</v>
      </c>
      <c r="S254" s="400" t="s">
        <v>103</v>
      </c>
      <c r="T254" s="406" t="s">
        <v>109</v>
      </c>
      <c r="U254" s="400" t="s">
        <v>103</v>
      </c>
      <c r="V254" s="263"/>
      <c r="W254" s="399"/>
      <c r="X254" s="5"/>
    </row>
    <row r="255" spans="1:25" ht="15.6" x14ac:dyDescent="0.3">
      <c r="A255" s="197"/>
      <c r="B255" s="234" t="s">
        <v>88</v>
      </c>
      <c r="C255" s="253"/>
      <c r="D255" s="253"/>
      <c r="E255" s="253"/>
      <c r="F255" s="231"/>
      <c r="G255" s="253"/>
      <c r="H255" s="253"/>
      <c r="I255" s="253"/>
      <c r="J255" s="253"/>
      <c r="K255" s="253"/>
      <c r="L255" s="253"/>
      <c r="M255" s="253"/>
      <c r="N255" s="253"/>
      <c r="O255" s="253"/>
      <c r="P255" s="253"/>
      <c r="Q255" s="253"/>
      <c r="R255" s="234">
        <v>7699</v>
      </c>
      <c r="S255" s="254">
        <f t="shared" ref="S255:S262" si="5">R255/$R$264</f>
        <v>0.9962474120082816</v>
      </c>
      <c r="T255" s="241">
        <v>1075012</v>
      </c>
      <c r="U255" s="254">
        <f t="shared" ref="U255:U262" si="6">T255/$T$264</f>
        <v>0.99376569207843546</v>
      </c>
      <c r="V255" s="250"/>
      <c r="W255" s="232"/>
      <c r="X255" s="5"/>
    </row>
    <row r="256" spans="1:25" ht="15.6" x14ac:dyDescent="0.3">
      <c r="A256" s="287"/>
      <c r="B256" s="337" t="s">
        <v>89</v>
      </c>
      <c r="C256" s="389"/>
      <c r="D256" s="389"/>
      <c r="E256" s="389"/>
      <c r="F256" s="288"/>
      <c r="G256" s="390"/>
      <c r="H256" s="389"/>
      <c r="I256" s="389"/>
      <c r="J256" s="389"/>
      <c r="K256" s="389"/>
      <c r="L256" s="389"/>
      <c r="M256" s="389"/>
      <c r="N256" s="389"/>
      <c r="O256" s="389"/>
      <c r="P256" s="389"/>
      <c r="Q256" s="389"/>
      <c r="R256" s="337">
        <v>23</v>
      </c>
      <c r="S256" s="390">
        <f t="shared" si="5"/>
        <v>2.976190476190476E-3</v>
      </c>
      <c r="T256" s="338">
        <v>6051</v>
      </c>
      <c r="U256" s="390">
        <f t="shared" si="6"/>
        <v>5.5936828637881374E-3</v>
      </c>
      <c r="V256" s="365"/>
      <c r="W256" s="378"/>
      <c r="X256" s="5"/>
      <c r="Y256" s="109"/>
    </row>
    <row r="257" spans="1:25" ht="15.6" x14ac:dyDescent="0.3">
      <c r="A257" s="287"/>
      <c r="B257" s="337" t="s">
        <v>90</v>
      </c>
      <c r="C257" s="389"/>
      <c r="D257" s="389"/>
      <c r="E257" s="389"/>
      <c r="F257" s="288"/>
      <c r="G257" s="390"/>
      <c r="H257" s="389"/>
      <c r="I257" s="389"/>
      <c r="J257" s="389"/>
      <c r="K257" s="389"/>
      <c r="L257" s="389"/>
      <c r="M257" s="389"/>
      <c r="N257" s="389"/>
      <c r="O257" s="389"/>
      <c r="P257" s="389"/>
      <c r="Q257" s="389"/>
      <c r="R257" s="337">
        <v>3</v>
      </c>
      <c r="S257" s="390">
        <f t="shared" si="5"/>
        <v>3.8819875776397513E-4</v>
      </c>
      <c r="T257" s="338">
        <v>443</v>
      </c>
      <c r="U257" s="390">
        <f t="shared" si="6"/>
        <v>4.0951933707786227E-4</v>
      </c>
      <c r="V257" s="365"/>
      <c r="W257" s="378"/>
      <c r="X257" s="5"/>
    </row>
    <row r="258" spans="1:25" ht="15.6" x14ac:dyDescent="0.3">
      <c r="A258" s="287"/>
      <c r="B258" s="337" t="s">
        <v>156</v>
      </c>
      <c r="C258" s="389"/>
      <c r="D258" s="389"/>
      <c r="E258" s="389"/>
      <c r="F258" s="288"/>
      <c r="G258" s="390"/>
      <c r="H258" s="389"/>
      <c r="I258" s="389"/>
      <c r="J258" s="389"/>
      <c r="K258" s="389"/>
      <c r="L258" s="389"/>
      <c r="M258" s="389"/>
      <c r="N258" s="389"/>
      <c r="O258" s="389"/>
      <c r="P258" s="389"/>
      <c r="Q258" s="389"/>
      <c r="R258" s="337">
        <v>0</v>
      </c>
      <c r="S258" s="390">
        <f t="shared" si="5"/>
        <v>0</v>
      </c>
      <c r="T258" s="338">
        <v>0</v>
      </c>
      <c r="U258" s="390">
        <f t="shared" si="6"/>
        <v>0</v>
      </c>
      <c r="V258" s="365"/>
      <c r="W258" s="378"/>
      <c r="X258" s="5"/>
      <c r="Y258" s="109"/>
    </row>
    <row r="259" spans="1:25" ht="15.6" x14ac:dyDescent="0.3">
      <c r="A259" s="287"/>
      <c r="B259" s="337" t="s">
        <v>157</v>
      </c>
      <c r="C259" s="389"/>
      <c r="D259" s="389"/>
      <c r="E259" s="389"/>
      <c r="F259" s="288"/>
      <c r="G259" s="390"/>
      <c r="H259" s="389"/>
      <c r="I259" s="389"/>
      <c r="J259" s="389"/>
      <c r="K259" s="389"/>
      <c r="L259" s="389"/>
      <c r="M259" s="389"/>
      <c r="N259" s="389"/>
      <c r="O259" s="389"/>
      <c r="P259" s="389"/>
      <c r="Q259" s="389"/>
      <c r="R259" s="337">
        <v>0</v>
      </c>
      <c r="S259" s="390">
        <f t="shared" si="5"/>
        <v>0</v>
      </c>
      <c r="T259" s="338">
        <v>0</v>
      </c>
      <c r="U259" s="390">
        <f t="shared" si="6"/>
        <v>0</v>
      </c>
      <c r="V259" s="365"/>
      <c r="W259" s="378"/>
      <c r="X259" s="5"/>
    </row>
    <row r="260" spans="1:25" ht="15.6" x14ac:dyDescent="0.3">
      <c r="A260" s="287"/>
      <c r="B260" s="337" t="s">
        <v>158</v>
      </c>
      <c r="C260" s="389"/>
      <c r="D260" s="389"/>
      <c r="E260" s="389"/>
      <c r="F260" s="288"/>
      <c r="G260" s="390"/>
      <c r="H260" s="389"/>
      <c r="I260" s="389"/>
      <c r="J260" s="389"/>
      <c r="K260" s="389"/>
      <c r="L260" s="389"/>
      <c r="M260" s="389"/>
      <c r="N260" s="389"/>
      <c r="O260" s="389"/>
      <c r="P260" s="389"/>
      <c r="Q260" s="389"/>
      <c r="R260" s="337">
        <v>0</v>
      </c>
      <c r="S260" s="390">
        <f t="shared" si="5"/>
        <v>0</v>
      </c>
      <c r="T260" s="338">
        <v>0</v>
      </c>
      <c r="U260" s="390">
        <f t="shared" si="6"/>
        <v>0</v>
      </c>
      <c r="V260" s="365"/>
      <c r="W260" s="378"/>
      <c r="X260" s="5"/>
      <c r="Y260" s="109"/>
    </row>
    <row r="261" spans="1:25" ht="15.6" x14ac:dyDescent="0.3">
      <c r="A261" s="287"/>
      <c r="B261" s="337" t="s">
        <v>159</v>
      </c>
      <c r="C261" s="389"/>
      <c r="D261" s="389"/>
      <c r="E261" s="389"/>
      <c r="F261" s="288"/>
      <c r="G261" s="390"/>
      <c r="H261" s="389"/>
      <c r="I261" s="389"/>
      <c r="J261" s="389"/>
      <c r="K261" s="389"/>
      <c r="L261" s="389"/>
      <c r="M261" s="389"/>
      <c r="N261" s="389"/>
      <c r="O261" s="389"/>
      <c r="P261" s="389"/>
      <c r="Q261" s="389"/>
      <c r="R261" s="337">
        <v>2</v>
      </c>
      <c r="S261" s="390">
        <f t="shared" si="5"/>
        <v>2.5879917184265012E-4</v>
      </c>
      <c r="T261" s="338">
        <v>108</v>
      </c>
      <c r="U261" s="390">
        <f t="shared" si="6"/>
        <v>9.983767134178132E-5</v>
      </c>
      <c r="V261" s="365"/>
      <c r="W261" s="378"/>
      <c r="X261" s="5"/>
    </row>
    <row r="262" spans="1:25" ht="15.6" x14ac:dyDescent="0.3">
      <c r="A262" s="287"/>
      <c r="B262" s="337" t="s">
        <v>160</v>
      </c>
      <c r="C262" s="389"/>
      <c r="D262" s="389"/>
      <c r="E262" s="389"/>
      <c r="F262" s="288"/>
      <c r="G262" s="390"/>
      <c r="H262" s="389"/>
      <c r="I262" s="389"/>
      <c r="J262" s="389"/>
      <c r="K262" s="389"/>
      <c r="L262" s="389"/>
      <c r="M262" s="389"/>
      <c r="N262" s="389"/>
      <c r="O262" s="389"/>
      <c r="P262" s="389"/>
      <c r="Q262" s="389"/>
      <c r="R262" s="337">
        <v>1</v>
      </c>
      <c r="S262" s="390">
        <f t="shared" si="5"/>
        <v>1.2939958592132506E-4</v>
      </c>
      <c r="T262" s="338">
        <v>142</v>
      </c>
      <c r="U262" s="390">
        <f t="shared" si="6"/>
        <v>1.3126804935678657E-4</v>
      </c>
      <c r="V262" s="365"/>
      <c r="W262" s="378"/>
      <c r="X262" s="5"/>
      <c r="Y262" s="109"/>
    </row>
    <row r="263" spans="1:25" ht="15.6" x14ac:dyDescent="0.3">
      <c r="A263" s="287"/>
      <c r="B263" s="337"/>
      <c r="C263" s="389"/>
      <c r="D263" s="389"/>
      <c r="E263" s="389"/>
      <c r="F263" s="288"/>
      <c r="G263" s="390"/>
      <c r="H263" s="389"/>
      <c r="I263" s="389"/>
      <c r="J263" s="389"/>
      <c r="K263" s="389"/>
      <c r="L263" s="389"/>
      <c r="M263" s="389"/>
      <c r="N263" s="389"/>
      <c r="O263" s="389"/>
      <c r="P263" s="389"/>
      <c r="Q263" s="389"/>
      <c r="R263" s="337"/>
      <c r="S263" s="390"/>
      <c r="T263" s="338"/>
      <c r="U263" s="390"/>
      <c r="V263" s="365"/>
      <c r="W263" s="378"/>
      <c r="X263" s="5"/>
    </row>
    <row r="264" spans="1:25" ht="15.6" x14ac:dyDescent="0.3">
      <c r="A264" s="287"/>
      <c r="B264" s="288"/>
      <c r="C264" s="288"/>
      <c r="D264" s="288"/>
      <c r="E264" s="288"/>
      <c r="F264" s="288"/>
      <c r="G264" s="288"/>
      <c r="H264" s="391"/>
      <c r="I264" s="391"/>
      <c r="J264" s="391"/>
      <c r="K264" s="391"/>
      <c r="L264" s="391"/>
      <c r="M264" s="391"/>
      <c r="N264" s="391"/>
      <c r="O264" s="391"/>
      <c r="P264" s="391"/>
      <c r="Q264" s="391"/>
      <c r="R264" s="337">
        <f>SUM(R255:R263)</f>
        <v>7728</v>
      </c>
      <c r="S264" s="390">
        <f>SUM(S255:S263)</f>
        <v>1</v>
      </c>
      <c r="T264" s="338">
        <f>SUM(T255:T263)</f>
        <v>1081756</v>
      </c>
      <c r="U264" s="390">
        <f>SUM(U255:U263)</f>
        <v>1</v>
      </c>
      <c r="V264" s="288"/>
      <c r="W264" s="291"/>
      <c r="X264" s="5"/>
    </row>
    <row r="265" spans="1:25" ht="15.6" x14ac:dyDescent="0.3">
      <c r="A265" s="183"/>
      <c r="B265" s="198"/>
      <c r="C265" s="198"/>
      <c r="D265" s="198"/>
      <c r="E265" s="198"/>
      <c r="F265" s="198"/>
      <c r="G265" s="198"/>
      <c r="H265" s="386"/>
      <c r="I265" s="386"/>
      <c r="J265" s="386"/>
      <c r="K265" s="386"/>
      <c r="L265" s="386"/>
      <c r="M265" s="386"/>
      <c r="N265" s="386"/>
      <c r="O265" s="386"/>
      <c r="P265" s="386"/>
      <c r="Q265" s="386"/>
      <c r="R265" s="335"/>
      <c r="S265" s="387"/>
      <c r="T265" s="388"/>
      <c r="U265" s="387"/>
      <c r="V265" s="198"/>
      <c r="W265" s="198"/>
      <c r="X265" s="5"/>
    </row>
    <row r="266" spans="1:25" ht="15.6" x14ac:dyDescent="0.3">
      <c r="A266" s="280"/>
      <c r="B266" s="399" t="s">
        <v>275</v>
      </c>
      <c r="C266" s="400"/>
      <c r="D266" s="400"/>
      <c r="E266" s="400"/>
      <c r="F266" s="406"/>
      <c r="G266" s="400"/>
      <c r="H266" s="400"/>
      <c r="I266" s="400"/>
      <c r="J266" s="400"/>
      <c r="K266" s="400"/>
      <c r="L266" s="400"/>
      <c r="M266" s="400"/>
      <c r="N266" s="400"/>
      <c r="O266" s="400"/>
      <c r="P266" s="400"/>
      <c r="Q266" s="400"/>
      <c r="R266" s="406" t="s">
        <v>102</v>
      </c>
      <c r="S266" s="400" t="s">
        <v>103</v>
      </c>
      <c r="T266" s="406" t="s">
        <v>109</v>
      </c>
      <c r="U266" s="400" t="s">
        <v>103</v>
      </c>
      <c r="V266" s="281"/>
      <c r="W266" s="282"/>
      <c r="X266" s="5"/>
    </row>
    <row r="267" spans="1:25" ht="15.6" x14ac:dyDescent="0.3">
      <c r="A267" s="197"/>
      <c r="B267" s="234" t="s">
        <v>88</v>
      </c>
      <c r="C267" s="253"/>
      <c r="D267" s="253"/>
      <c r="E267" s="253"/>
      <c r="F267" s="231"/>
      <c r="G267" s="253"/>
      <c r="H267" s="253"/>
      <c r="I267" s="253"/>
      <c r="J267" s="253"/>
      <c r="K267" s="253"/>
      <c r="L267" s="253"/>
      <c r="M267" s="253"/>
      <c r="N267" s="253"/>
      <c r="O267" s="253"/>
      <c r="P267" s="253"/>
      <c r="Q267" s="253"/>
      <c r="R267" s="234">
        <v>142</v>
      </c>
      <c r="S267" s="254">
        <f t="shared" ref="S267:S274" si="7">R267/$R$276</f>
        <v>0.75935828877005351</v>
      </c>
      <c r="T267" s="241">
        <v>19716</v>
      </c>
      <c r="U267" s="254">
        <f t="shared" ref="U267:U274" si="8">T267/$T$276</f>
        <v>0.74863304981773993</v>
      </c>
      <c r="V267" s="231"/>
      <c r="W267" s="231"/>
      <c r="X267" s="5"/>
    </row>
    <row r="268" spans="1:25" ht="15.6" x14ac:dyDescent="0.3">
      <c r="A268" s="287"/>
      <c r="B268" s="337" t="s">
        <v>89</v>
      </c>
      <c r="C268" s="389"/>
      <c r="D268" s="389"/>
      <c r="E268" s="389"/>
      <c r="F268" s="288"/>
      <c r="G268" s="390"/>
      <c r="H268" s="389"/>
      <c r="I268" s="389"/>
      <c r="J268" s="389"/>
      <c r="K268" s="389"/>
      <c r="L268" s="389"/>
      <c r="M268" s="389"/>
      <c r="N268" s="389"/>
      <c r="O268" s="389"/>
      <c r="P268" s="389"/>
      <c r="Q268" s="389"/>
      <c r="R268" s="337">
        <v>8</v>
      </c>
      <c r="S268" s="390">
        <f t="shared" si="7"/>
        <v>4.2780748663101602E-2</v>
      </c>
      <c r="T268" s="338">
        <v>1237</v>
      </c>
      <c r="U268" s="390">
        <f t="shared" si="8"/>
        <v>4.696992709599028E-2</v>
      </c>
      <c r="V268" s="288"/>
      <c r="W268" s="291"/>
      <c r="X268" s="5"/>
    </row>
    <row r="269" spans="1:25" ht="15.6" x14ac:dyDescent="0.3">
      <c r="A269" s="287"/>
      <c r="B269" s="337" t="s">
        <v>90</v>
      </c>
      <c r="C269" s="389"/>
      <c r="D269" s="389"/>
      <c r="E269" s="389"/>
      <c r="F269" s="288"/>
      <c r="G269" s="390"/>
      <c r="H269" s="389"/>
      <c r="I269" s="389"/>
      <c r="J269" s="389"/>
      <c r="K269" s="389"/>
      <c r="L269" s="389"/>
      <c r="M269" s="389"/>
      <c r="N269" s="389"/>
      <c r="O269" s="389"/>
      <c r="P269" s="389"/>
      <c r="Q269" s="389"/>
      <c r="R269" s="337">
        <v>4</v>
      </c>
      <c r="S269" s="390">
        <f t="shared" si="7"/>
        <v>2.1390374331550801E-2</v>
      </c>
      <c r="T269" s="338">
        <v>455</v>
      </c>
      <c r="U269" s="390">
        <f t="shared" si="8"/>
        <v>1.7276731470230861E-2</v>
      </c>
      <c r="V269" s="288"/>
      <c r="W269" s="291"/>
      <c r="X269" s="5"/>
    </row>
    <row r="270" spans="1:25" ht="15.6" x14ac:dyDescent="0.3">
      <c r="A270" s="287"/>
      <c r="B270" s="337" t="s">
        <v>156</v>
      </c>
      <c r="C270" s="389"/>
      <c r="D270" s="389"/>
      <c r="E270" s="389"/>
      <c r="F270" s="288"/>
      <c r="G270" s="390"/>
      <c r="H270" s="389"/>
      <c r="I270" s="389"/>
      <c r="J270" s="389"/>
      <c r="K270" s="389"/>
      <c r="L270" s="389"/>
      <c r="M270" s="389"/>
      <c r="N270" s="389"/>
      <c r="O270" s="389"/>
      <c r="P270" s="389"/>
      <c r="Q270" s="389"/>
      <c r="R270" s="337">
        <v>5</v>
      </c>
      <c r="S270" s="390">
        <f t="shared" si="7"/>
        <v>2.6737967914438502E-2</v>
      </c>
      <c r="T270" s="338">
        <v>737</v>
      </c>
      <c r="U270" s="390">
        <f t="shared" si="8"/>
        <v>2.7984507897934385E-2</v>
      </c>
      <c r="V270" s="288"/>
      <c r="W270" s="291"/>
      <c r="X270" s="5"/>
    </row>
    <row r="271" spans="1:25" ht="15.6" x14ac:dyDescent="0.3">
      <c r="A271" s="287"/>
      <c r="B271" s="337" t="s">
        <v>157</v>
      </c>
      <c r="C271" s="389"/>
      <c r="D271" s="389"/>
      <c r="E271" s="389"/>
      <c r="F271" s="288"/>
      <c r="G271" s="390"/>
      <c r="H271" s="389"/>
      <c r="I271" s="389"/>
      <c r="J271" s="389"/>
      <c r="K271" s="389"/>
      <c r="L271" s="389"/>
      <c r="M271" s="389"/>
      <c r="N271" s="389"/>
      <c r="O271" s="389"/>
      <c r="P271" s="389"/>
      <c r="Q271" s="389"/>
      <c r="R271" s="337">
        <v>0</v>
      </c>
      <c r="S271" s="390">
        <f t="shared" si="7"/>
        <v>0</v>
      </c>
      <c r="T271" s="338">
        <v>0</v>
      </c>
      <c r="U271" s="390">
        <f t="shared" si="8"/>
        <v>0</v>
      </c>
      <c r="V271" s="288"/>
      <c r="W271" s="291"/>
      <c r="X271" s="5"/>
    </row>
    <row r="272" spans="1:25" ht="15.6" x14ac:dyDescent="0.3">
      <c r="A272" s="287"/>
      <c r="B272" s="337" t="s">
        <v>158</v>
      </c>
      <c r="C272" s="389"/>
      <c r="D272" s="389"/>
      <c r="E272" s="389"/>
      <c r="F272" s="288"/>
      <c r="G272" s="390"/>
      <c r="H272" s="389"/>
      <c r="I272" s="389"/>
      <c r="J272" s="389"/>
      <c r="K272" s="389"/>
      <c r="L272" s="389"/>
      <c r="M272" s="389"/>
      <c r="N272" s="389"/>
      <c r="O272" s="389"/>
      <c r="P272" s="389"/>
      <c r="Q272" s="389"/>
      <c r="R272" s="337">
        <v>1</v>
      </c>
      <c r="S272" s="390">
        <f t="shared" si="7"/>
        <v>5.3475935828877002E-3</v>
      </c>
      <c r="T272" s="338">
        <v>146</v>
      </c>
      <c r="U272" s="390">
        <f t="shared" si="8"/>
        <v>5.5437424058323208E-3</v>
      </c>
      <c r="V272" s="288"/>
      <c r="W272" s="291"/>
      <c r="X272" s="5"/>
    </row>
    <row r="273" spans="1:24" ht="15.6" x14ac:dyDescent="0.3">
      <c r="A273" s="287"/>
      <c r="B273" s="337" t="s">
        <v>159</v>
      </c>
      <c r="C273" s="389"/>
      <c r="D273" s="389"/>
      <c r="E273" s="389"/>
      <c r="F273" s="288"/>
      <c r="G273" s="390"/>
      <c r="H273" s="389"/>
      <c r="I273" s="389"/>
      <c r="J273" s="389"/>
      <c r="K273" s="389"/>
      <c r="L273" s="389"/>
      <c r="M273" s="389"/>
      <c r="N273" s="389"/>
      <c r="O273" s="389"/>
      <c r="P273" s="389"/>
      <c r="Q273" s="389"/>
      <c r="R273" s="337">
        <v>9</v>
      </c>
      <c r="S273" s="390">
        <f t="shared" si="7"/>
        <v>4.8128342245989303E-2</v>
      </c>
      <c r="T273" s="338">
        <v>1339</v>
      </c>
      <c r="U273" s="390">
        <f t="shared" si="8"/>
        <v>5.0842952612393681E-2</v>
      </c>
      <c r="V273" s="288"/>
      <c r="W273" s="291"/>
      <c r="X273" s="5"/>
    </row>
    <row r="274" spans="1:24" ht="15.6" x14ac:dyDescent="0.3">
      <c r="A274" s="287"/>
      <c r="B274" s="337" t="s">
        <v>160</v>
      </c>
      <c r="C274" s="389"/>
      <c r="D274" s="389"/>
      <c r="E274" s="389"/>
      <c r="F274" s="288"/>
      <c r="G274" s="390"/>
      <c r="H274" s="389"/>
      <c r="I274" s="389"/>
      <c r="J274" s="389"/>
      <c r="K274" s="389"/>
      <c r="L274" s="389"/>
      <c r="M274" s="389"/>
      <c r="N274" s="389"/>
      <c r="O274" s="389"/>
      <c r="P274" s="389"/>
      <c r="Q274" s="389"/>
      <c r="R274" s="337">
        <v>18</v>
      </c>
      <c r="S274" s="390">
        <f t="shared" si="7"/>
        <v>9.6256684491978606E-2</v>
      </c>
      <c r="T274" s="338">
        <v>2706</v>
      </c>
      <c r="U274" s="390">
        <f t="shared" si="8"/>
        <v>0.10274908869987849</v>
      </c>
      <c r="V274" s="288"/>
      <c r="W274" s="291"/>
      <c r="X274" s="5"/>
    </row>
    <row r="275" spans="1:24" ht="15.6" x14ac:dyDescent="0.3">
      <c r="A275" s="287"/>
      <c r="B275" s="337"/>
      <c r="C275" s="389"/>
      <c r="D275" s="389"/>
      <c r="E275" s="389"/>
      <c r="F275" s="288"/>
      <c r="G275" s="390"/>
      <c r="H275" s="389"/>
      <c r="I275" s="389"/>
      <c r="J275" s="389"/>
      <c r="K275" s="389"/>
      <c r="L275" s="389"/>
      <c r="M275" s="389"/>
      <c r="N275" s="389"/>
      <c r="O275" s="389"/>
      <c r="P275" s="389"/>
      <c r="Q275" s="389"/>
      <c r="R275" s="337"/>
      <c r="S275" s="390"/>
      <c r="T275" s="338"/>
      <c r="U275" s="390"/>
      <c r="V275" s="288"/>
      <c r="W275" s="291"/>
      <c r="X275" s="5"/>
    </row>
    <row r="276" spans="1:24" ht="15.6" x14ac:dyDescent="0.3">
      <c r="A276" s="287"/>
      <c r="B276" s="288"/>
      <c r="C276" s="288"/>
      <c r="D276" s="288"/>
      <c r="E276" s="288"/>
      <c r="F276" s="288"/>
      <c r="G276" s="288"/>
      <c r="H276" s="391"/>
      <c r="I276" s="391"/>
      <c r="J276" s="391"/>
      <c r="K276" s="391"/>
      <c r="L276" s="391"/>
      <c r="M276" s="391"/>
      <c r="N276" s="391"/>
      <c r="O276" s="391"/>
      <c r="P276" s="391"/>
      <c r="Q276" s="391"/>
      <c r="R276" s="337">
        <f>SUM(R267:R275)</f>
        <v>187</v>
      </c>
      <c r="S276" s="390">
        <f>SUM(S267:S275)</f>
        <v>1</v>
      </c>
      <c r="T276" s="338">
        <f>SUM(T267:T275)</f>
        <v>26336</v>
      </c>
      <c r="U276" s="390">
        <f>SUM(U267:U275)</f>
        <v>1</v>
      </c>
      <c r="V276" s="288"/>
      <c r="W276" s="291"/>
      <c r="X276" s="5"/>
    </row>
    <row r="277" spans="1:24" ht="15.6" x14ac:dyDescent="0.3">
      <c r="A277" s="183"/>
      <c r="B277" s="284"/>
      <c r="C277" s="284"/>
      <c r="D277" s="284"/>
      <c r="E277" s="284"/>
      <c r="F277" s="284"/>
      <c r="G277" s="284"/>
      <c r="H277" s="392"/>
      <c r="I277" s="392"/>
      <c r="J277" s="392"/>
      <c r="K277" s="392"/>
      <c r="L277" s="392"/>
      <c r="M277" s="392"/>
      <c r="N277" s="392"/>
      <c r="O277" s="392"/>
      <c r="P277" s="392"/>
      <c r="Q277" s="392"/>
      <c r="R277" s="339"/>
      <c r="S277" s="393"/>
      <c r="T277" s="394"/>
      <c r="U277" s="393"/>
      <c r="V277" s="284"/>
      <c r="W277" s="284"/>
      <c r="X277" s="5"/>
    </row>
    <row r="278" spans="1:24" ht="15.6" x14ac:dyDescent="0.3">
      <c r="A278" s="280"/>
      <c r="B278" s="399" t="s">
        <v>163</v>
      </c>
      <c r="C278" s="281"/>
      <c r="D278" s="281"/>
      <c r="E278" s="281"/>
      <c r="F278" s="281"/>
      <c r="G278" s="281"/>
      <c r="H278" s="283"/>
      <c r="I278" s="283"/>
      <c r="J278" s="283"/>
      <c r="K278" s="283"/>
      <c r="L278" s="283"/>
      <c r="M278" s="283"/>
      <c r="N278" s="283"/>
      <c r="O278" s="283"/>
      <c r="P278" s="283"/>
      <c r="Q278" s="283"/>
      <c r="R278" s="406" t="s">
        <v>102</v>
      </c>
      <c r="S278" s="400" t="s">
        <v>103</v>
      </c>
      <c r="T278" s="406" t="s">
        <v>109</v>
      </c>
      <c r="U278" s="400" t="s">
        <v>103</v>
      </c>
      <c r="V278" s="281"/>
      <c r="W278" s="282"/>
      <c r="X278" s="5"/>
    </row>
    <row r="279" spans="1:24" ht="15.6" x14ac:dyDescent="0.3">
      <c r="A279" s="197"/>
      <c r="B279" s="234" t="s">
        <v>88</v>
      </c>
      <c r="C279" s="231"/>
      <c r="D279" s="231"/>
      <c r="E279" s="231"/>
      <c r="F279" s="231"/>
      <c r="G279" s="231"/>
      <c r="H279" s="255"/>
      <c r="I279" s="255"/>
      <c r="J279" s="255"/>
      <c r="K279" s="255"/>
      <c r="L279" s="255"/>
      <c r="M279" s="255"/>
      <c r="N279" s="255"/>
      <c r="O279" s="255"/>
      <c r="P279" s="255"/>
      <c r="Q279" s="255"/>
      <c r="R279" s="234">
        <v>0</v>
      </c>
      <c r="S279" s="254">
        <v>0</v>
      </c>
      <c r="T279" s="241">
        <v>0</v>
      </c>
      <c r="U279" s="254">
        <v>0</v>
      </c>
      <c r="V279" s="231"/>
      <c r="W279" s="231"/>
      <c r="X279" s="5"/>
    </row>
    <row r="280" spans="1:24" ht="15.6" x14ac:dyDescent="0.3">
      <c r="A280" s="287"/>
      <c r="B280" s="337" t="s">
        <v>89</v>
      </c>
      <c r="C280" s="288"/>
      <c r="D280" s="288"/>
      <c r="E280" s="288"/>
      <c r="F280" s="288"/>
      <c r="G280" s="288"/>
      <c r="H280" s="391"/>
      <c r="I280" s="391"/>
      <c r="J280" s="391"/>
      <c r="K280" s="391"/>
      <c r="L280" s="391"/>
      <c r="M280" s="391"/>
      <c r="N280" s="391"/>
      <c r="O280" s="391"/>
      <c r="P280" s="391"/>
      <c r="Q280" s="391"/>
      <c r="R280" s="337">
        <v>0</v>
      </c>
      <c r="S280" s="390">
        <v>0</v>
      </c>
      <c r="T280" s="338">
        <v>0</v>
      </c>
      <c r="U280" s="390">
        <v>0</v>
      </c>
      <c r="V280" s="288"/>
      <c r="W280" s="291"/>
      <c r="X280" s="5"/>
    </row>
    <row r="281" spans="1:24" ht="15.6" x14ac:dyDescent="0.3">
      <c r="A281" s="287"/>
      <c r="B281" s="337" t="s">
        <v>90</v>
      </c>
      <c r="C281" s="288"/>
      <c r="D281" s="288"/>
      <c r="E281" s="288"/>
      <c r="F281" s="288"/>
      <c r="G281" s="288"/>
      <c r="H281" s="391"/>
      <c r="I281" s="391"/>
      <c r="J281" s="391"/>
      <c r="K281" s="391"/>
      <c r="L281" s="391"/>
      <c r="M281" s="391"/>
      <c r="N281" s="391"/>
      <c r="O281" s="391"/>
      <c r="P281" s="391"/>
      <c r="Q281" s="391"/>
      <c r="R281" s="337">
        <v>0</v>
      </c>
      <c r="S281" s="390">
        <v>0</v>
      </c>
      <c r="T281" s="338">
        <v>0</v>
      </c>
      <c r="U281" s="390">
        <v>0</v>
      </c>
      <c r="V281" s="288"/>
      <c r="W281" s="291"/>
      <c r="X281" s="5"/>
    </row>
    <row r="282" spans="1:24" ht="15.6" x14ac:dyDescent="0.3">
      <c r="A282" s="287"/>
      <c r="B282" s="337" t="s">
        <v>156</v>
      </c>
      <c r="C282" s="288"/>
      <c r="D282" s="288"/>
      <c r="E282" s="288"/>
      <c r="F282" s="288"/>
      <c r="G282" s="288"/>
      <c r="H282" s="391"/>
      <c r="I282" s="391"/>
      <c r="J282" s="391"/>
      <c r="K282" s="391"/>
      <c r="L282" s="391"/>
      <c r="M282" s="391"/>
      <c r="N282" s="391"/>
      <c r="O282" s="391"/>
      <c r="P282" s="391"/>
      <c r="Q282" s="391"/>
      <c r="R282" s="337">
        <v>0</v>
      </c>
      <c r="S282" s="390">
        <v>0</v>
      </c>
      <c r="T282" s="338">
        <v>0</v>
      </c>
      <c r="U282" s="390">
        <v>0</v>
      </c>
      <c r="V282" s="288"/>
      <c r="W282" s="291"/>
      <c r="X282" s="5"/>
    </row>
    <row r="283" spans="1:24" ht="15.6" x14ac:dyDescent="0.3">
      <c r="A283" s="287"/>
      <c r="B283" s="337" t="s">
        <v>157</v>
      </c>
      <c r="C283" s="288"/>
      <c r="D283" s="288"/>
      <c r="E283" s="288"/>
      <c r="F283" s="288"/>
      <c r="G283" s="288"/>
      <c r="H283" s="391"/>
      <c r="I283" s="391"/>
      <c r="J283" s="391"/>
      <c r="K283" s="391"/>
      <c r="L283" s="391"/>
      <c r="M283" s="391"/>
      <c r="N283" s="391"/>
      <c r="O283" s="391"/>
      <c r="P283" s="391"/>
      <c r="Q283" s="391"/>
      <c r="R283" s="337">
        <v>0</v>
      </c>
      <c r="S283" s="390">
        <v>0</v>
      </c>
      <c r="T283" s="338">
        <v>0</v>
      </c>
      <c r="U283" s="390">
        <v>0</v>
      </c>
      <c r="V283" s="288"/>
      <c r="W283" s="291"/>
      <c r="X283" s="5"/>
    </row>
    <row r="284" spans="1:24" ht="15.6" x14ac:dyDescent="0.3">
      <c r="A284" s="287"/>
      <c r="B284" s="337" t="s">
        <v>158</v>
      </c>
      <c r="C284" s="288"/>
      <c r="D284" s="288"/>
      <c r="E284" s="288"/>
      <c r="F284" s="288"/>
      <c r="G284" s="288"/>
      <c r="H284" s="391"/>
      <c r="I284" s="391"/>
      <c r="J284" s="391"/>
      <c r="K284" s="391"/>
      <c r="L284" s="391"/>
      <c r="M284" s="391"/>
      <c r="N284" s="391"/>
      <c r="O284" s="391"/>
      <c r="P284" s="391"/>
      <c r="Q284" s="391"/>
      <c r="R284" s="337">
        <v>0</v>
      </c>
      <c r="S284" s="390">
        <v>0</v>
      </c>
      <c r="T284" s="338">
        <v>0</v>
      </c>
      <c r="U284" s="390">
        <v>0</v>
      </c>
      <c r="V284" s="288"/>
      <c r="W284" s="291"/>
      <c r="X284" s="5"/>
    </row>
    <row r="285" spans="1:24" ht="15.6" x14ac:dyDescent="0.3">
      <c r="A285" s="287"/>
      <c r="B285" s="337" t="s">
        <v>159</v>
      </c>
      <c r="C285" s="288"/>
      <c r="D285" s="288"/>
      <c r="E285" s="288"/>
      <c r="F285" s="288"/>
      <c r="G285" s="288"/>
      <c r="H285" s="391"/>
      <c r="I285" s="391"/>
      <c r="J285" s="391"/>
      <c r="K285" s="391"/>
      <c r="L285" s="391"/>
      <c r="M285" s="391"/>
      <c r="N285" s="391"/>
      <c r="O285" s="391"/>
      <c r="P285" s="391"/>
      <c r="Q285" s="391"/>
      <c r="R285" s="337">
        <v>0</v>
      </c>
      <c r="S285" s="390">
        <v>0</v>
      </c>
      <c r="T285" s="338">
        <v>0</v>
      </c>
      <c r="U285" s="390">
        <v>0</v>
      </c>
      <c r="V285" s="288"/>
      <c r="W285" s="291"/>
      <c r="X285" s="5"/>
    </row>
    <row r="286" spans="1:24" ht="15.6" x14ac:dyDescent="0.3">
      <c r="A286" s="287"/>
      <c r="B286" s="337" t="s">
        <v>160</v>
      </c>
      <c r="C286" s="288"/>
      <c r="D286" s="288"/>
      <c r="E286" s="288"/>
      <c r="F286" s="288"/>
      <c r="G286" s="288"/>
      <c r="H286" s="391"/>
      <c r="I286" s="391"/>
      <c r="J286" s="391"/>
      <c r="K286" s="391"/>
      <c r="L286" s="391"/>
      <c r="M286" s="391"/>
      <c r="N286" s="391"/>
      <c r="O286" s="391"/>
      <c r="P286" s="391"/>
      <c r="Q286" s="391"/>
      <c r="R286" s="337">
        <v>0</v>
      </c>
      <c r="S286" s="390">
        <v>0</v>
      </c>
      <c r="T286" s="338">
        <v>0</v>
      </c>
      <c r="U286" s="390">
        <v>0</v>
      </c>
      <c r="V286" s="288"/>
      <c r="W286" s="291"/>
      <c r="X286" s="5"/>
    </row>
    <row r="287" spans="1:24" ht="15.6" x14ac:dyDescent="0.3">
      <c r="A287" s="287"/>
      <c r="B287" s="337"/>
      <c r="C287" s="288"/>
      <c r="D287" s="288"/>
      <c r="E287" s="288"/>
      <c r="F287" s="288"/>
      <c r="G287" s="288"/>
      <c r="H287" s="391"/>
      <c r="I287" s="391"/>
      <c r="J287" s="391"/>
      <c r="K287" s="391"/>
      <c r="L287" s="391"/>
      <c r="M287" s="391"/>
      <c r="N287" s="391"/>
      <c r="O287" s="391"/>
      <c r="P287" s="391"/>
      <c r="Q287" s="391"/>
      <c r="R287" s="337"/>
      <c r="S287" s="390"/>
      <c r="T287" s="338"/>
      <c r="U287" s="390"/>
      <c r="V287" s="288"/>
      <c r="W287" s="291"/>
      <c r="X287" s="5"/>
    </row>
    <row r="288" spans="1:24" ht="15.6" x14ac:dyDescent="0.3">
      <c r="A288" s="287"/>
      <c r="B288" s="288" t="s">
        <v>114</v>
      </c>
      <c r="C288" s="288"/>
      <c r="D288" s="288"/>
      <c r="E288" s="288"/>
      <c r="F288" s="288"/>
      <c r="G288" s="288"/>
      <c r="H288" s="391"/>
      <c r="I288" s="391"/>
      <c r="J288" s="391"/>
      <c r="K288" s="391"/>
      <c r="L288" s="391"/>
      <c r="M288" s="391"/>
      <c r="N288" s="391"/>
      <c r="O288" s="391"/>
      <c r="P288" s="391"/>
      <c r="Q288" s="391"/>
      <c r="R288" s="337">
        <f>SUM(R279:R286)</f>
        <v>0</v>
      </c>
      <c r="S288" s="390">
        <f>SUM(S279:S287)</f>
        <v>0</v>
      </c>
      <c r="T288" s="338">
        <f>SUM(T279:T286)</f>
        <v>0</v>
      </c>
      <c r="U288" s="390">
        <f>SUM(U279:U287)</f>
        <v>0</v>
      </c>
      <c r="V288" s="288"/>
      <c r="W288" s="291"/>
      <c r="X288" s="5"/>
    </row>
    <row r="289" spans="1:24" ht="15.6" x14ac:dyDescent="0.3">
      <c r="A289" s="287"/>
      <c r="B289" s="288"/>
      <c r="C289" s="288"/>
      <c r="D289" s="288"/>
      <c r="E289" s="288"/>
      <c r="F289" s="288"/>
      <c r="G289" s="288"/>
      <c r="H289" s="391"/>
      <c r="I289" s="391"/>
      <c r="J289" s="391"/>
      <c r="K289" s="391"/>
      <c r="L289" s="391"/>
      <c r="M289" s="391"/>
      <c r="N289" s="391"/>
      <c r="O289" s="391"/>
      <c r="P289" s="391"/>
      <c r="Q289" s="391"/>
      <c r="R289" s="337"/>
      <c r="S289" s="390"/>
      <c r="T289" s="338"/>
      <c r="U289" s="390"/>
      <c r="V289" s="288"/>
      <c r="W289" s="291"/>
      <c r="X289" s="5"/>
    </row>
    <row r="290" spans="1:24" ht="15.6" x14ac:dyDescent="0.3">
      <c r="A290" s="287"/>
      <c r="B290" s="295" t="s">
        <v>164</v>
      </c>
      <c r="C290" s="288"/>
      <c r="D290" s="288"/>
      <c r="E290" s="288"/>
      <c r="F290" s="288"/>
      <c r="G290" s="288"/>
      <c r="H290" s="391"/>
      <c r="I290" s="391"/>
      <c r="J290" s="391"/>
      <c r="K290" s="391"/>
      <c r="L290" s="391"/>
      <c r="M290" s="391"/>
      <c r="N290" s="391"/>
      <c r="O290" s="391"/>
      <c r="P290" s="391"/>
      <c r="Q290" s="391"/>
      <c r="R290" s="407">
        <f>R288+R276+R264</f>
        <v>7915</v>
      </c>
      <c r="S290" s="390"/>
      <c r="T290" s="396">
        <f>+T288+T276+T264</f>
        <v>1108092</v>
      </c>
      <c r="U290" s="390"/>
      <c r="V290" s="288"/>
      <c r="W290" s="291"/>
      <c r="X290" s="5"/>
    </row>
    <row r="291" spans="1:24" ht="15.6" x14ac:dyDescent="0.3">
      <c r="A291" s="183"/>
      <c r="B291" s="284"/>
      <c r="C291" s="284"/>
      <c r="D291" s="284"/>
      <c r="E291" s="284"/>
      <c r="F291" s="284"/>
      <c r="G291" s="284"/>
      <c r="H291" s="392"/>
      <c r="I291" s="392"/>
      <c r="J291" s="392"/>
      <c r="K291" s="392"/>
      <c r="L291" s="392"/>
      <c r="M291" s="392"/>
      <c r="N291" s="392"/>
      <c r="O291" s="392"/>
      <c r="P291" s="392"/>
      <c r="Q291" s="392"/>
      <c r="R291" s="392"/>
      <c r="S291" s="392"/>
      <c r="T291" s="394"/>
      <c r="U291" s="392"/>
      <c r="V291" s="284"/>
      <c r="W291" s="284"/>
      <c r="X291" s="5"/>
    </row>
    <row r="292" spans="1:24" ht="15.6" x14ac:dyDescent="0.3">
      <c r="A292" s="183"/>
      <c r="B292" s="224"/>
      <c r="C292" s="224"/>
      <c r="D292" s="224"/>
      <c r="E292" s="224"/>
      <c r="F292" s="224"/>
      <c r="G292" s="224"/>
      <c r="H292" s="256"/>
      <c r="I292" s="256"/>
      <c r="J292" s="256"/>
      <c r="K292" s="256"/>
      <c r="L292" s="256"/>
      <c r="M292" s="256"/>
      <c r="N292" s="256"/>
      <c r="O292" s="256"/>
      <c r="P292" s="256"/>
      <c r="Q292" s="256"/>
      <c r="R292" s="256"/>
      <c r="S292" s="256"/>
      <c r="T292" s="257"/>
      <c r="U292" s="256"/>
      <c r="V292" s="224"/>
      <c r="W292" s="224"/>
      <c r="X292" s="5"/>
    </row>
    <row r="293" spans="1:24" ht="15.6" x14ac:dyDescent="0.3">
      <c r="A293" s="219"/>
      <c r="B293" s="222" t="s">
        <v>91</v>
      </c>
      <c r="C293" s="224"/>
      <c r="D293" s="224"/>
      <c r="E293" s="224"/>
      <c r="F293" s="228" t="s">
        <v>97</v>
      </c>
      <c r="G293" s="224"/>
      <c r="H293" s="222" t="s">
        <v>99</v>
      </c>
      <c r="I293" s="222"/>
      <c r="J293" s="222"/>
      <c r="K293" s="258"/>
      <c r="L293" s="258"/>
      <c r="M293" s="258"/>
      <c r="N293" s="258"/>
      <c r="O293" s="258"/>
      <c r="P293" s="258"/>
      <c r="Q293" s="258"/>
      <c r="R293" s="258"/>
      <c r="S293" s="258"/>
      <c r="T293" s="258"/>
      <c r="U293" s="258"/>
      <c r="V293" s="258"/>
      <c r="W293" s="258"/>
      <c r="X293" s="5"/>
    </row>
    <row r="294" spans="1:24" ht="15.6" x14ac:dyDescent="0.3">
      <c r="A294" s="219"/>
      <c r="B294" s="258"/>
      <c r="C294" s="224"/>
      <c r="D294" s="224"/>
      <c r="E294" s="224"/>
      <c r="F294" s="224"/>
      <c r="G294" s="224"/>
      <c r="H294" s="224"/>
      <c r="I294" s="224"/>
      <c r="J294" s="224"/>
      <c r="K294" s="258"/>
      <c r="L294" s="258"/>
      <c r="M294" s="258"/>
      <c r="N294" s="258"/>
      <c r="O294" s="258"/>
      <c r="P294" s="258"/>
      <c r="Q294" s="258"/>
      <c r="R294" s="258"/>
      <c r="S294" s="258"/>
      <c r="T294" s="258"/>
      <c r="U294" s="258"/>
      <c r="V294" s="258"/>
      <c r="W294" s="258"/>
      <c r="X294" s="5"/>
    </row>
    <row r="295" spans="1:24" ht="15.6" x14ac:dyDescent="0.3">
      <c r="A295" s="219"/>
      <c r="B295" s="222" t="s">
        <v>92</v>
      </c>
      <c r="C295" s="222"/>
      <c r="D295" s="222"/>
      <c r="E295" s="222"/>
      <c r="F295" s="259" t="s">
        <v>148</v>
      </c>
      <c r="G295" s="222"/>
      <c r="H295" s="222" t="s">
        <v>152</v>
      </c>
      <c r="I295" s="222"/>
      <c r="J295" s="222"/>
      <c r="K295" s="258"/>
      <c r="L295" s="258"/>
      <c r="M295" s="258"/>
      <c r="N295" s="258"/>
      <c r="O295" s="258"/>
      <c r="P295" s="258"/>
      <c r="Q295" s="258"/>
      <c r="R295" s="258"/>
      <c r="S295" s="258"/>
      <c r="T295" s="258"/>
      <c r="U295" s="258"/>
      <c r="V295" s="258"/>
      <c r="W295" s="258"/>
      <c r="X295" s="5"/>
    </row>
    <row r="296" spans="1:24" ht="15.6" x14ac:dyDescent="0.3">
      <c r="A296" s="219"/>
      <c r="B296" s="222" t="s">
        <v>277</v>
      </c>
      <c r="C296" s="222"/>
      <c r="D296" s="222"/>
      <c r="E296" s="222"/>
      <c r="F296" s="259" t="s">
        <v>278</v>
      </c>
      <c r="G296" s="222"/>
      <c r="H296" s="222" t="s">
        <v>279</v>
      </c>
      <c r="I296" s="258"/>
      <c r="J296" s="222"/>
      <c r="K296" s="258"/>
      <c r="L296" s="258"/>
      <c r="M296" s="258"/>
      <c r="N296" s="258"/>
      <c r="O296" s="258"/>
      <c r="P296" s="258"/>
      <c r="Q296" s="258"/>
      <c r="R296" s="258"/>
      <c r="S296" s="258"/>
      <c r="T296" s="258"/>
      <c r="U296" s="258"/>
      <c r="V296" s="258"/>
      <c r="W296" s="258"/>
      <c r="X296" s="5"/>
    </row>
    <row r="297" spans="1:24" ht="15.6" x14ac:dyDescent="0.3">
      <c r="A297" s="219"/>
      <c r="B297" s="222" t="s">
        <v>93</v>
      </c>
      <c r="C297" s="222"/>
      <c r="D297" s="222"/>
      <c r="E297" s="222"/>
      <c r="F297" s="259" t="s">
        <v>147</v>
      </c>
      <c r="G297" s="222"/>
      <c r="H297" s="222" t="s">
        <v>153</v>
      </c>
      <c r="I297" s="222"/>
      <c r="J297" s="222"/>
      <c r="K297" s="258"/>
      <c r="L297" s="258"/>
      <c r="M297" s="258"/>
      <c r="N297" s="258"/>
      <c r="O297" s="258"/>
      <c r="P297" s="258"/>
      <c r="Q297" s="258"/>
      <c r="R297" s="258"/>
      <c r="S297" s="258"/>
      <c r="T297" s="258"/>
      <c r="U297" s="258"/>
      <c r="V297" s="258"/>
      <c r="W297" s="258"/>
      <c r="X297" s="5"/>
    </row>
    <row r="298" spans="1:24" ht="15.6" x14ac:dyDescent="0.3">
      <c r="A298" s="219"/>
      <c r="B298" s="222"/>
      <c r="C298" s="222"/>
      <c r="D298" s="222"/>
      <c r="E298" s="222"/>
      <c r="F298" s="222"/>
      <c r="G298" s="260"/>
      <c r="H298" s="258"/>
      <c r="I298" s="258"/>
      <c r="J298" s="258"/>
      <c r="K298" s="258"/>
      <c r="L298" s="258"/>
      <c r="M298" s="258"/>
      <c r="N298" s="258"/>
      <c r="O298" s="258"/>
      <c r="P298" s="258"/>
      <c r="Q298" s="258"/>
      <c r="R298" s="258"/>
      <c r="S298" s="258"/>
      <c r="T298" s="258"/>
      <c r="U298" s="258"/>
      <c r="V298" s="258"/>
      <c r="W298" s="258"/>
      <c r="X298" s="5"/>
    </row>
    <row r="299" spans="1:24" ht="15.6" x14ac:dyDescent="0.3">
      <c r="A299" s="219"/>
      <c r="B299" s="222"/>
      <c r="C299" s="222"/>
      <c r="D299" s="222"/>
      <c r="E299" s="222"/>
      <c r="F299" s="222"/>
      <c r="G299" s="260"/>
      <c r="H299" s="258"/>
      <c r="I299" s="258"/>
      <c r="J299" s="258"/>
      <c r="K299" s="258"/>
      <c r="L299" s="258"/>
      <c r="M299" s="258"/>
      <c r="N299" s="258"/>
      <c r="O299" s="258"/>
      <c r="P299" s="258"/>
      <c r="Q299" s="258"/>
      <c r="R299" s="258"/>
      <c r="S299" s="258"/>
      <c r="T299" s="258"/>
      <c r="U299" s="258"/>
      <c r="V299" s="258"/>
      <c r="W299" s="258"/>
      <c r="X299" s="5"/>
    </row>
    <row r="300" spans="1:24" ht="18" thickBot="1" x14ac:dyDescent="0.35">
      <c r="A300" s="219"/>
      <c r="B300" s="261" t="str">
        <f>B204</f>
        <v>PM14 INVESTOR REPORT QUARTER ENDING NOVEMBER 2012</v>
      </c>
      <c r="C300" s="222"/>
      <c r="D300" s="222"/>
      <c r="E300" s="222"/>
      <c r="F300" s="222"/>
      <c r="G300" s="260"/>
      <c r="H300" s="258"/>
      <c r="I300" s="258"/>
      <c r="J300" s="258"/>
      <c r="K300" s="258"/>
      <c r="L300" s="258"/>
      <c r="M300" s="258"/>
      <c r="N300" s="258"/>
      <c r="O300" s="258"/>
      <c r="P300" s="258"/>
      <c r="Q300" s="258"/>
      <c r="R300" s="258"/>
      <c r="S300" s="258"/>
      <c r="T300" s="258"/>
      <c r="U300" s="258"/>
      <c r="V300" s="258"/>
      <c r="W300" s="258"/>
      <c r="X300" s="5"/>
    </row>
    <row r="301" spans="1:24" x14ac:dyDescent="0.25">
      <c r="A301" s="100"/>
      <c r="B301" s="100"/>
      <c r="C301" s="100"/>
      <c r="D301" s="100"/>
      <c r="E301" s="100"/>
      <c r="F301" s="100"/>
      <c r="G301" s="100"/>
      <c r="H301" s="100"/>
      <c r="I301" s="100"/>
      <c r="J301" s="100"/>
      <c r="K301" s="100"/>
      <c r="L301" s="100"/>
      <c r="M301" s="100"/>
      <c r="N301" s="100"/>
      <c r="O301" s="100"/>
      <c r="P301" s="100"/>
      <c r="Q301" s="100"/>
      <c r="R301" s="100"/>
      <c r="S301" s="100"/>
      <c r="T301" s="100"/>
      <c r="U301" s="100"/>
      <c r="V301" s="100"/>
      <c r="W301" s="100"/>
    </row>
  </sheetData>
  <hyperlinks>
    <hyperlink ref="P240" r:id="rId1" xr:uid="{00000000-0004-0000-1500-000000000000}"/>
    <hyperlink ref="I9" r:id="rId2" xr:uid="{00000000-0004-0000-15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8" max="14" man="1"/>
    <brk id="204" max="14" man="1"/>
  </rowBreaks>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theme="6"/>
  </sheetPr>
  <dimension ref="A1:IV301"/>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80"/>
      <c r="B1" s="220" t="s">
        <v>244</v>
      </c>
      <c r="C1" s="181"/>
      <c r="D1" s="181"/>
      <c r="E1" s="181"/>
      <c r="F1" s="181"/>
      <c r="G1" s="181"/>
      <c r="H1" s="181"/>
      <c r="I1" s="181"/>
      <c r="J1" s="181"/>
      <c r="K1" s="181"/>
      <c r="L1" s="181"/>
      <c r="M1" s="181"/>
      <c r="N1" s="181"/>
      <c r="O1" s="181"/>
      <c r="P1" s="181"/>
      <c r="Q1" s="181"/>
      <c r="R1" s="181"/>
      <c r="S1" s="181"/>
      <c r="T1" s="181"/>
      <c r="U1" s="181"/>
      <c r="V1" s="181"/>
      <c r="W1" s="181"/>
      <c r="X1" s="5"/>
    </row>
    <row r="2" spans="1:24" ht="15.6" x14ac:dyDescent="0.3">
      <c r="A2" s="183"/>
      <c r="B2" s="184"/>
      <c r="C2" s="185"/>
      <c r="D2" s="185"/>
      <c r="E2" s="185"/>
      <c r="F2" s="185"/>
      <c r="G2" s="185"/>
      <c r="H2" s="185"/>
      <c r="I2" s="185"/>
      <c r="J2" s="185"/>
      <c r="K2" s="185"/>
      <c r="L2" s="185"/>
      <c r="M2" s="185"/>
      <c r="N2" s="185"/>
      <c r="O2" s="185"/>
      <c r="P2" s="185"/>
      <c r="Q2" s="185"/>
      <c r="R2" s="185"/>
      <c r="S2" s="185"/>
      <c r="T2" s="185"/>
      <c r="U2" s="185"/>
      <c r="V2" s="185"/>
      <c r="W2" s="185"/>
      <c r="X2" s="5"/>
    </row>
    <row r="3" spans="1:24" ht="15.6" x14ac:dyDescent="0.3">
      <c r="A3" s="186"/>
      <c r="B3" s="187" t="s">
        <v>245</v>
      </c>
      <c r="C3" s="185"/>
      <c r="D3" s="185"/>
      <c r="E3" s="185"/>
      <c r="F3" s="185"/>
      <c r="G3" s="185"/>
      <c r="H3" s="185"/>
      <c r="I3" s="185"/>
      <c r="J3" s="185"/>
      <c r="K3" s="185"/>
      <c r="L3" s="185"/>
      <c r="M3" s="185"/>
      <c r="N3" s="185"/>
      <c r="O3" s="185"/>
      <c r="P3" s="185"/>
      <c r="Q3" s="185"/>
      <c r="R3" s="185"/>
      <c r="S3" s="185"/>
      <c r="T3" s="185"/>
      <c r="U3" s="185"/>
      <c r="V3" s="185"/>
      <c r="W3" s="185"/>
      <c r="X3" s="5"/>
    </row>
    <row r="4" spans="1:24" ht="15.6" x14ac:dyDescent="0.3">
      <c r="A4" s="183"/>
      <c r="B4" s="184"/>
      <c r="C4" s="185"/>
      <c r="D4" s="185"/>
      <c r="E4" s="185"/>
      <c r="F4" s="185"/>
      <c r="G4" s="185"/>
      <c r="H4" s="185"/>
      <c r="I4" s="185"/>
      <c r="J4" s="185"/>
      <c r="K4" s="185"/>
      <c r="L4" s="185"/>
      <c r="M4" s="185"/>
      <c r="N4" s="185"/>
      <c r="O4" s="185"/>
      <c r="P4" s="185"/>
      <c r="Q4" s="185"/>
      <c r="R4" s="185"/>
      <c r="S4" s="185"/>
      <c r="T4" s="185"/>
      <c r="U4" s="185"/>
      <c r="V4" s="185"/>
      <c r="W4" s="185"/>
      <c r="X4" s="5"/>
    </row>
    <row r="5" spans="1:24" ht="15.6" x14ac:dyDescent="0.3">
      <c r="A5" s="183"/>
      <c r="B5" s="221" t="s">
        <v>137</v>
      </c>
      <c r="C5" s="185"/>
      <c r="D5" s="185"/>
      <c r="E5" s="185"/>
      <c r="F5" s="185"/>
      <c r="G5" s="185"/>
      <c r="H5" s="185"/>
      <c r="I5" s="185"/>
      <c r="J5" s="185"/>
      <c r="K5" s="185"/>
      <c r="L5" s="185"/>
      <c r="M5" s="185"/>
      <c r="N5" s="185"/>
      <c r="O5" s="185"/>
      <c r="P5" s="185"/>
      <c r="Q5" s="185"/>
      <c r="R5" s="185"/>
      <c r="S5" s="185"/>
      <c r="T5" s="185"/>
      <c r="U5" s="185"/>
      <c r="V5" s="185"/>
      <c r="W5" s="185"/>
      <c r="X5" s="5"/>
    </row>
    <row r="6" spans="1:24" ht="15.6" x14ac:dyDescent="0.3">
      <c r="A6" s="183"/>
      <c r="B6" s="221" t="s">
        <v>139</v>
      </c>
      <c r="C6" s="185"/>
      <c r="D6" s="185"/>
      <c r="E6" s="185"/>
      <c r="F6" s="185"/>
      <c r="G6" s="185"/>
      <c r="H6" s="185"/>
      <c r="I6" s="185"/>
      <c r="J6" s="185"/>
      <c r="K6" s="185"/>
      <c r="L6" s="185"/>
      <c r="M6" s="185"/>
      <c r="N6" s="185"/>
      <c r="O6" s="185"/>
      <c r="P6" s="185"/>
      <c r="Q6" s="185"/>
      <c r="R6" s="185"/>
      <c r="S6" s="185"/>
      <c r="T6" s="185"/>
      <c r="U6" s="185"/>
      <c r="V6" s="185"/>
      <c r="W6" s="185"/>
      <c r="X6" s="5"/>
    </row>
    <row r="7" spans="1:24" ht="15.6" x14ac:dyDescent="0.3">
      <c r="A7" s="183"/>
      <c r="B7" s="221" t="s">
        <v>138</v>
      </c>
      <c r="C7" s="185"/>
      <c r="D7" s="185"/>
      <c r="E7" s="185"/>
      <c r="F7" s="185"/>
      <c r="G7" s="185"/>
      <c r="H7" s="185"/>
      <c r="I7" s="185"/>
      <c r="J7" s="185"/>
      <c r="K7" s="185"/>
      <c r="L7" s="185"/>
      <c r="M7" s="185"/>
      <c r="N7" s="185"/>
      <c r="O7" s="185"/>
      <c r="P7" s="185"/>
      <c r="Q7" s="185"/>
      <c r="R7" s="185"/>
      <c r="S7" s="185"/>
      <c r="T7" s="185"/>
      <c r="U7" s="185"/>
      <c r="V7" s="185"/>
      <c r="W7" s="185"/>
      <c r="X7" s="5"/>
    </row>
    <row r="8" spans="1:24" ht="15.6" x14ac:dyDescent="0.3">
      <c r="A8" s="183"/>
      <c r="B8" s="188"/>
      <c r="C8" s="185"/>
      <c r="D8" s="185"/>
      <c r="E8" s="185"/>
      <c r="F8" s="185"/>
      <c r="G8" s="185"/>
      <c r="H8" s="185"/>
      <c r="I8" s="185"/>
      <c r="J8" s="185"/>
      <c r="K8" s="185"/>
      <c r="L8" s="185"/>
      <c r="M8" s="185"/>
      <c r="N8" s="185"/>
      <c r="O8" s="185"/>
      <c r="P8" s="185"/>
      <c r="Q8" s="185"/>
      <c r="R8" s="185"/>
      <c r="S8" s="185"/>
      <c r="T8" s="185"/>
      <c r="U8" s="185"/>
      <c r="V8" s="185"/>
      <c r="W8" s="185"/>
      <c r="X8" s="5"/>
    </row>
    <row r="9" spans="1:24" ht="17.399999999999999" x14ac:dyDescent="0.3">
      <c r="A9" s="183"/>
      <c r="B9" s="189" t="s">
        <v>166</v>
      </c>
      <c r="C9" s="185"/>
      <c r="D9" s="185"/>
      <c r="E9" s="185"/>
      <c r="F9" s="185"/>
      <c r="G9" s="185"/>
      <c r="H9" s="185"/>
      <c r="I9" s="190" t="s">
        <v>167</v>
      </c>
      <c r="J9" s="185"/>
      <c r="K9" s="185"/>
      <c r="L9" s="190"/>
      <c r="M9" s="185"/>
      <c r="N9" s="190"/>
      <c r="O9" s="185"/>
      <c r="P9" s="185"/>
      <c r="Q9" s="185"/>
      <c r="R9" s="185"/>
      <c r="S9" s="185"/>
      <c r="T9" s="185"/>
      <c r="U9" s="185"/>
      <c r="V9" s="185"/>
      <c r="W9" s="185"/>
      <c r="X9" s="5"/>
    </row>
    <row r="10" spans="1:24" ht="15.6" x14ac:dyDescent="0.3">
      <c r="A10" s="183"/>
      <c r="B10" s="188"/>
      <c r="C10" s="191"/>
      <c r="D10" s="191"/>
      <c r="E10" s="191"/>
      <c r="F10" s="185"/>
      <c r="G10" s="185"/>
      <c r="H10" s="185"/>
      <c r="I10" s="185"/>
      <c r="J10" s="185"/>
      <c r="K10" s="185"/>
      <c r="L10" s="185"/>
      <c r="M10" s="185"/>
      <c r="N10" s="185"/>
      <c r="O10" s="185"/>
      <c r="P10" s="185"/>
      <c r="Q10" s="185"/>
      <c r="R10" s="185"/>
      <c r="S10" s="185"/>
      <c r="T10" s="185"/>
      <c r="U10" s="185"/>
      <c r="V10" s="185"/>
      <c r="W10" s="185"/>
      <c r="X10" s="5"/>
    </row>
    <row r="11" spans="1:24" ht="15.6" x14ac:dyDescent="0.3">
      <c r="A11" s="183"/>
      <c r="B11" s="222" t="s">
        <v>0</v>
      </c>
      <c r="C11" s="185"/>
      <c r="D11" s="185"/>
      <c r="E11" s="185"/>
      <c r="F11" s="185"/>
      <c r="G11" s="185"/>
      <c r="H11" s="185"/>
      <c r="I11" s="185"/>
      <c r="J11" s="185"/>
      <c r="K11" s="185"/>
      <c r="L11" s="185"/>
      <c r="M11" s="185"/>
      <c r="N11" s="185"/>
      <c r="O11" s="185"/>
      <c r="P11" s="185"/>
      <c r="Q11" s="185"/>
      <c r="R11" s="185"/>
      <c r="S11" s="185"/>
      <c r="T11" s="185"/>
      <c r="U11" s="185"/>
      <c r="V11" s="185"/>
      <c r="W11" s="185"/>
      <c r="X11" s="5"/>
    </row>
    <row r="12" spans="1:24" ht="16.2" thickBot="1" x14ac:dyDescent="0.35">
      <c r="A12" s="183"/>
      <c r="B12" s="191"/>
      <c r="C12" s="185"/>
      <c r="D12" s="185"/>
      <c r="E12" s="185"/>
      <c r="F12" s="185"/>
      <c r="G12" s="185"/>
      <c r="H12" s="185"/>
      <c r="I12" s="185"/>
      <c r="J12" s="185"/>
      <c r="K12" s="185"/>
      <c r="L12" s="185"/>
      <c r="M12" s="185"/>
      <c r="N12" s="185"/>
      <c r="O12" s="185"/>
      <c r="P12" s="185"/>
      <c r="Q12" s="185"/>
      <c r="R12" s="185"/>
      <c r="S12" s="185"/>
      <c r="T12" s="185"/>
      <c r="U12" s="185"/>
      <c r="V12" s="185"/>
      <c r="W12" s="185"/>
      <c r="X12" s="5"/>
    </row>
    <row r="13" spans="1:24" ht="15.6" x14ac:dyDescent="0.3">
      <c r="A13" s="180"/>
      <c r="B13" s="181"/>
      <c r="C13" s="181"/>
      <c r="D13" s="181"/>
      <c r="E13" s="181"/>
      <c r="F13" s="181"/>
      <c r="G13" s="181"/>
      <c r="H13" s="181"/>
      <c r="I13" s="181"/>
      <c r="J13" s="181"/>
      <c r="K13" s="181"/>
      <c r="L13" s="181"/>
      <c r="M13" s="181"/>
      <c r="N13" s="181"/>
      <c r="O13" s="181"/>
      <c r="P13" s="181"/>
      <c r="Q13" s="181"/>
      <c r="R13" s="181"/>
      <c r="S13" s="181"/>
      <c r="T13" s="181"/>
      <c r="U13" s="181"/>
      <c r="V13" s="181"/>
      <c r="W13" s="181"/>
      <c r="X13" s="5"/>
    </row>
    <row r="14" spans="1:24" ht="15.6" x14ac:dyDescent="0.3">
      <c r="A14" s="183"/>
      <c r="B14" s="222" t="s">
        <v>1</v>
      </c>
      <c r="C14" s="192"/>
      <c r="D14" s="192"/>
      <c r="E14" s="192"/>
      <c r="F14" s="192"/>
      <c r="G14" s="192"/>
      <c r="H14" s="192"/>
      <c r="I14" s="192"/>
      <c r="J14" s="192"/>
      <c r="K14" s="192"/>
      <c r="L14" s="192"/>
      <c r="M14" s="192"/>
      <c r="N14" s="192"/>
      <c r="O14" s="192"/>
      <c r="P14" s="192"/>
      <c r="Q14" s="192"/>
      <c r="R14" s="224"/>
      <c r="S14" s="224"/>
      <c r="T14" s="224"/>
      <c r="U14" s="224"/>
      <c r="V14" s="225" t="s">
        <v>246</v>
      </c>
      <c r="W14" s="192"/>
      <c r="X14" s="5"/>
    </row>
    <row r="15" spans="1:24" ht="15.6" x14ac:dyDescent="0.3">
      <c r="A15" s="183"/>
      <c r="B15" s="222" t="s">
        <v>2</v>
      </c>
      <c r="C15" s="192"/>
      <c r="D15" s="192"/>
      <c r="E15" s="192"/>
      <c r="F15" s="192"/>
      <c r="G15" s="192"/>
      <c r="H15" s="193"/>
      <c r="I15" s="193"/>
      <c r="J15" s="193"/>
      <c r="K15" s="193"/>
      <c r="L15" s="193"/>
      <c r="M15" s="193"/>
      <c r="N15" s="193"/>
      <c r="O15" s="193"/>
      <c r="P15" s="193"/>
      <c r="Q15" s="193"/>
      <c r="R15" s="226" t="s">
        <v>104</v>
      </c>
      <c r="S15" s="227">
        <v>0.38300000000000001</v>
      </c>
      <c r="T15" s="228" t="s">
        <v>140</v>
      </c>
      <c r="U15" s="227">
        <v>0.61699999999999999</v>
      </c>
      <c r="V15" s="225"/>
      <c r="W15" s="192"/>
      <c r="X15" s="5"/>
    </row>
    <row r="16" spans="1:24" ht="15.6" x14ac:dyDescent="0.3">
      <c r="A16" s="183"/>
      <c r="B16" s="222" t="s">
        <v>3</v>
      </c>
      <c r="C16" s="192"/>
      <c r="D16" s="192"/>
      <c r="E16" s="192"/>
      <c r="F16" s="192"/>
      <c r="G16" s="192"/>
      <c r="H16" s="193"/>
      <c r="I16" s="193"/>
      <c r="J16" s="193"/>
      <c r="K16" s="193"/>
      <c r="L16" s="193"/>
      <c r="M16" s="193"/>
      <c r="N16" s="193"/>
      <c r="O16" s="193"/>
      <c r="P16" s="193"/>
      <c r="Q16" s="193"/>
      <c r="R16" s="226" t="s">
        <v>104</v>
      </c>
      <c r="S16" s="227">
        <v>0.45900000000000002</v>
      </c>
      <c r="T16" s="228" t="s">
        <v>140</v>
      </c>
      <c r="U16" s="227">
        <v>0.54100000000000004</v>
      </c>
      <c r="V16" s="225"/>
      <c r="W16" s="192"/>
      <c r="X16" s="5"/>
    </row>
    <row r="17" spans="1:24" ht="15.6" x14ac:dyDescent="0.3">
      <c r="A17" s="183"/>
      <c r="B17" s="222" t="s">
        <v>4</v>
      </c>
      <c r="C17" s="192"/>
      <c r="D17" s="192"/>
      <c r="E17" s="192"/>
      <c r="F17" s="192"/>
      <c r="G17" s="192"/>
      <c r="H17" s="192"/>
      <c r="I17" s="192"/>
      <c r="J17" s="192"/>
      <c r="K17" s="192"/>
      <c r="L17" s="192"/>
      <c r="M17" s="192"/>
      <c r="N17" s="192"/>
      <c r="O17" s="192"/>
      <c r="P17" s="192"/>
      <c r="Q17" s="192"/>
      <c r="R17" s="224"/>
      <c r="S17" s="224"/>
      <c r="T17" s="224"/>
      <c r="U17" s="224"/>
      <c r="V17" s="229">
        <v>39163</v>
      </c>
      <c r="W17" s="192"/>
      <c r="X17" s="5"/>
    </row>
    <row r="18" spans="1:24" ht="15.6" x14ac:dyDescent="0.3">
      <c r="A18" s="183"/>
      <c r="B18" s="222" t="s">
        <v>5</v>
      </c>
      <c r="C18" s="192"/>
      <c r="D18" s="192"/>
      <c r="E18" s="192"/>
      <c r="F18" s="192"/>
      <c r="G18" s="192"/>
      <c r="H18" s="192"/>
      <c r="I18" s="192"/>
      <c r="J18" s="192"/>
      <c r="K18" s="192"/>
      <c r="L18" s="192"/>
      <c r="M18" s="192"/>
      <c r="N18" s="192"/>
      <c r="O18" s="192"/>
      <c r="P18" s="192"/>
      <c r="Q18" s="192"/>
      <c r="R18" s="224"/>
      <c r="S18" s="224"/>
      <c r="T18" s="224"/>
      <c r="U18" s="224"/>
      <c r="V18" s="229">
        <v>41355</v>
      </c>
      <c r="W18" s="192"/>
      <c r="X18" s="5"/>
    </row>
    <row r="19" spans="1:24" ht="15.6" x14ac:dyDescent="0.3">
      <c r="A19" s="183"/>
      <c r="B19" s="185"/>
      <c r="C19" s="185"/>
      <c r="D19" s="185"/>
      <c r="E19" s="185"/>
      <c r="F19" s="185"/>
      <c r="G19" s="185"/>
      <c r="H19" s="185"/>
      <c r="I19" s="185"/>
      <c r="J19" s="185"/>
      <c r="K19" s="185"/>
      <c r="L19" s="185"/>
      <c r="M19" s="185"/>
      <c r="N19" s="185"/>
      <c r="O19" s="185"/>
      <c r="P19" s="185"/>
      <c r="Q19" s="185"/>
      <c r="R19" s="185"/>
      <c r="S19" s="185"/>
      <c r="T19" s="185"/>
      <c r="U19" s="185"/>
      <c r="V19" s="194"/>
      <c r="W19" s="185"/>
      <c r="X19" s="5"/>
    </row>
    <row r="20" spans="1:24" ht="15.6" x14ac:dyDescent="0.3">
      <c r="A20" s="183"/>
      <c r="B20" s="230" t="s">
        <v>6</v>
      </c>
      <c r="C20" s="185"/>
      <c r="D20" s="185"/>
      <c r="E20" s="185"/>
      <c r="F20" s="185"/>
      <c r="G20" s="185"/>
      <c r="H20" s="185"/>
      <c r="I20" s="185"/>
      <c r="J20" s="185"/>
      <c r="K20" s="185"/>
      <c r="L20" s="185"/>
      <c r="M20" s="185"/>
      <c r="N20" s="185"/>
      <c r="O20" s="185"/>
      <c r="P20" s="185"/>
      <c r="Q20" s="185"/>
      <c r="R20" s="185"/>
      <c r="S20" s="185"/>
      <c r="T20" s="223" t="s">
        <v>105</v>
      </c>
      <c r="U20" s="185"/>
      <c r="V20" s="182"/>
      <c r="W20" s="185"/>
      <c r="X20" s="5"/>
    </row>
    <row r="21" spans="1:24" ht="15.6" x14ac:dyDescent="0.3">
      <c r="A21" s="183"/>
      <c r="B21" s="185"/>
      <c r="C21" s="185"/>
      <c r="D21" s="185"/>
      <c r="E21" s="185"/>
      <c r="F21" s="185"/>
      <c r="G21" s="185"/>
      <c r="H21" s="185"/>
      <c r="I21" s="185"/>
      <c r="J21" s="185"/>
      <c r="K21" s="185"/>
      <c r="L21" s="185"/>
      <c r="M21" s="185"/>
      <c r="N21" s="185"/>
      <c r="O21" s="185"/>
      <c r="P21" s="185"/>
      <c r="Q21" s="185"/>
      <c r="R21" s="185"/>
      <c r="S21" s="185"/>
      <c r="T21" s="185"/>
      <c r="U21" s="185"/>
      <c r="V21" s="196"/>
      <c r="W21" s="185"/>
      <c r="X21" s="5"/>
    </row>
    <row r="22" spans="1:24" ht="15.6" x14ac:dyDescent="0.3">
      <c r="A22" s="262"/>
      <c r="B22" s="263"/>
      <c r="C22" s="264"/>
      <c r="D22" s="264" t="s">
        <v>177</v>
      </c>
      <c r="E22" s="264"/>
      <c r="F22" s="264" t="s">
        <v>178</v>
      </c>
      <c r="G22" s="264"/>
      <c r="H22" s="264" t="s">
        <v>179</v>
      </c>
      <c r="I22" s="264"/>
      <c r="J22" s="264" t="s">
        <v>220</v>
      </c>
      <c r="K22" s="264"/>
      <c r="L22" s="264" t="s">
        <v>180</v>
      </c>
      <c r="M22" s="264"/>
      <c r="N22" s="264" t="s">
        <v>181</v>
      </c>
      <c r="O22" s="264"/>
      <c r="P22" s="264" t="s">
        <v>221</v>
      </c>
      <c r="Q22" s="264"/>
      <c r="R22" s="264" t="s">
        <v>182</v>
      </c>
      <c r="S22" s="266"/>
      <c r="T22" s="266"/>
      <c r="U22" s="267"/>
      <c r="V22" s="267"/>
      <c r="W22" s="263"/>
      <c r="X22" s="5"/>
    </row>
    <row r="23" spans="1:24" ht="15.6" x14ac:dyDescent="0.3">
      <c r="A23" s="287"/>
      <c r="B23" s="288" t="s">
        <v>7</v>
      </c>
      <c r="C23" s="289"/>
      <c r="D23" s="289" t="s">
        <v>213</v>
      </c>
      <c r="E23" s="289"/>
      <c r="F23" s="289" t="s">
        <v>141</v>
      </c>
      <c r="G23" s="289"/>
      <c r="H23" s="289" t="s">
        <v>141</v>
      </c>
      <c r="I23" s="289"/>
      <c r="J23" s="289" t="s">
        <v>141</v>
      </c>
      <c r="K23" s="289"/>
      <c r="L23" s="289" t="s">
        <v>183</v>
      </c>
      <c r="M23" s="289"/>
      <c r="N23" s="289" t="s">
        <v>183</v>
      </c>
      <c r="O23" s="289"/>
      <c r="P23" s="289" t="s">
        <v>142</v>
      </c>
      <c r="Q23" s="289"/>
      <c r="R23" s="289" t="s">
        <v>142</v>
      </c>
      <c r="S23" s="289"/>
      <c r="T23" s="289"/>
      <c r="U23" s="290"/>
      <c r="V23" s="290"/>
      <c r="W23" s="291"/>
      <c r="X23" s="5"/>
    </row>
    <row r="24" spans="1:24" ht="15.6" x14ac:dyDescent="0.3">
      <c r="A24" s="287"/>
      <c r="B24" s="288" t="s">
        <v>8</v>
      </c>
      <c r="C24" s="289"/>
      <c r="D24" s="289" t="s">
        <v>214</v>
      </c>
      <c r="E24" s="289"/>
      <c r="F24" s="289" t="s">
        <v>143</v>
      </c>
      <c r="G24" s="289"/>
      <c r="H24" s="289" t="s">
        <v>143</v>
      </c>
      <c r="I24" s="289"/>
      <c r="J24" s="289" t="s">
        <v>143</v>
      </c>
      <c r="K24" s="289"/>
      <c r="L24" s="289" t="s">
        <v>165</v>
      </c>
      <c r="M24" s="289"/>
      <c r="N24" s="289" t="s">
        <v>165</v>
      </c>
      <c r="O24" s="289"/>
      <c r="P24" s="289" t="s">
        <v>144</v>
      </c>
      <c r="Q24" s="289"/>
      <c r="R24" s="289" t="s">
        <v>144</v>
      </c>
      <c r="S24" s="289"/>
      <c r="T24" s="289"/>
      <c r="U24" s="290"/>
      <c r="V24" s="290"/>
      <c r="W24" s="291"/>
      <c r="X24" s="5"/>
    </row>
    <row r="25" spans="1:24" ht="15.6" x14ac:dyDescent="0.3">
      <c r="A25" s="292"/>
      <c r="B25" s="288" t="s">
        <v>190</v>
      </c>
      <c r="C25" s="398"/>
      <c r="D25" s="289" t="s">
        <v>215</v>
      </c>
      <c r="E25" s="289"/>
      <c r="F25" s="289" t="s">
        <v>143</v>
      </c>
      <c r="G25" s="289"/>
      <c r="H25" s="289" t="s">
        <v>143</v>
      </c>
      <c r="I25" s="289"/>
      <c r="J25" s="289" t="s">
        <v>143</v>
      </c>
      <c r="K25" s="289"/>
      <c r="L25" s="289" t="s">
        <v>293</v>
      </c>
      <c r="M25" s="289"/>
      <c r="N25" s="289" t="s">
        <v>293</v>
      </c>
      <c r="O25" s="289"/>
      <c r="P25" s="289" t="s">
        <v>144</v>
      </c>
      <c r="Q25" s="289"/>
      <c r="R25" s="289" t="s">
        <v>144</v>
      </c>
      <c r="S25" s="398"/>
      <c r="T25" s="289"/>
      <c r="U25" s="290"/>
      <c r="V25" s="290"/>
      <c r="W25" s="291"/>
      <c r="X25" s="5"/>
    </row>
    <row r="26" spans="1:24" ht="15.6" x14ac:dyDescent="0.3">
      <c r="A26" s="292"/>
      <c r="B26" s="295" t="s">
        <v>9</v>
      </c>
      <c r="C26" s="398"/>
      <c r="D26" s="398" t="s">
        <v>332</v>
      </c>
      <c r="E26" s="398"/>
      <c r="F26" s="398" t="s">
        <v>333</v>
      </c>
      <c r="G26" s="398"/>
      <c r="H26" s="398" t="s">
        <v>333</v>
      </c>
      <c r="I26" s="398"/>
      <c r="J26" s="398" t="s">
        <v>333</v>
      </c>
      <c r="K26" s="398"/>
      <c r="L26" s="398" t="s">
        <v>334</v>
      </c>
      <c r="M26" s="398"/>
      <c r="N26" s="398" t="s">
        <v>334</v>
      </c>
      <c r="O26" s="398"/>
      <c r="P26" s="398" t="s">
        <v>335</v>
      </c>
      <c r="Q26" s="398"/>
      <c r="R26" s="398" t="s">
        <v>335</v>
      </c>
      <c r="S26" s="398"/>
      <c r="T26" s="289"/>
      <c r="U26" s="290"/>
      <c r="V26" s="290"/>
      <c r="W26" s="291"/>
      <c r="X26" s="5"/>
    </row>
    <row r="27" spans="1:24" ht="15.6" x14ac:dyDescent="0.3">
      <c r="A27" s="287"/>
      <c r="B27" s="295" t="s">
        <v>191</v>
      </c>
      <c r="C27" s="289"/>
      <c r="D27" s="398" t="s">
        <v>317</v>
      </c>
      <c r="E27" s="398"/>
      <c r="F27" s="398" t="s">
        <v>143</v>
      </c>
      <c r="G27" s="398"/>
      <c r="H27" s="398" t="s">
        <v>143</v>
      </c>
      <c r="I27" s="398"/>
      <c r="J27" s="398" t="s">
        <v>143</v>
      </c>
      <c r="K27" s="398"/>
      <c r="L27" s="398" t="s">
        <v>319</v>
      </c>
      <c r="M27" s="398"/>
      <c r="N27" s="398" t="s">
        <v>319</v>
      </c>
      <c r="O27" s="398"/>
      <c r="P27" s="398" t="s">
        <v>320</v>
      </c>
      <c r="Q27" s="398"/>
      <c r="R27" s="398" t="s">
        <v>320</v>
      </c>
      <c r="S27" s="289"/>
      <c r="T27" s="296"/>
      <c r="U27" s="290"/>
      <c r="V27" s="290"/>
      <c r="W27" s="291"/>
      <c r="X27" s="5"/>
    </row>
    <row r="28" spans="1:24" ht="15.6" x14ac:dyDescent="0.3">
      <c r="A28" s="287"/>
      <c r="B28" s="295" t="s">
        <v>192</v>
      </c>
      <c r="C28" s="289"/>
      <c r="D28" s="398" t="s">
        <v>314</v>
      </c>
      <c r="E28" s="398"/>
      <c r="F28" s="398" t="s">
        <v>143</v>
      </c>
      <c r="G28" s="398"/>
      <c r="H28" s="398" t="s">
        <v>143</v>
      </c>
      <c r="I28" s="398"/>
      <c r="J28" s="398" t="s">
        <v>143</v>
      </c>
      <c r="K28" s="398"/>
      <c r="L28" s="398" t="s">
        <v>293</v>
      </c>
      <c r="M28" s="398"/>
      <c r="N28" s="398" t="s">
        <v>293</v>
      </c>
      <c r="O28" s="398"/>
      <c r="P28" s="398" t="s">
        <v>144</v>
      </c>
      <c r="Q28" s="398"/>
      <c r="R28" s="398" t="s">
        <v>144</v>
      </c>
      <c r="S28" s="289"/>
      <c r="T28" s="296"/>
      <c r="U28" s="290"/>
      <c r="V28" s="290"/>
      <c r="W28" s="291"/>
      <c r="X28" s="5"/>
    </row>
    <row r="29" spans="1:24" ht="15.6" x14ac:dyDescent="0.3">
      <c r="A29" s="287"/>
      <c r="B29" s="288" t="s">
        <v>10</v>
      </c>
      <c r="C29" s="298"/>
      <c r="D29" s="289" t="s">
        <v>249</v>
      </c>
      <c r="E29" s="289"/>
      <c r="F29" s="296" t="s">
        <v>250</v>
      </c>
      <c r="G29" s="289"/>
      <c r="H29" s="289" t="s">
        <v>251</v>
      </c>
      <c r="I29" s="289"/>
      <c r="J29" s="289" t="s">
        <v>253</v>
      </c>
      <c r="K29" s="289"/>
      <c r="L29" s="289" t="s">
        <v>254</v>
      </c>
      <c r="M29" s="289"/>
      <c r="N29" s="289" t="s">
        <v>255</v>
      </c>
      <c r="O29" s="289"/>
      <c r="P29" s="289" t="s">
        <v>256</v>
      </c>
      <c r="Q29" s="289"/>
      <c r="R29" s="289" t="s">
        <v>257</v>
      </c>
      <c r="S29" s="299"/>
      <c r="T29" s="299"/>
      <c r="U29" s="300"/>
      <c r="V29" s="299"/>
      <c r="W29" s="301"/>
      <c r="X29" s="5"/>
    </row>
    <row r="30" spans="1:24" ht="15.6" x14ac:dyDescent="0.3">
      <c r="A30" s="287"/>
      <c r="B30" s="288" t="s">
        <v>10</v>
      </c>
      <c r="C30" s="298"/>
      <c r="D30" s="289" t="s">
        <v>248</v>
      </c>
      <c r="E30" s="289"/>
      <c r="F30" s="296" t="s">
        <v>118</v>
      </c>
      <c r="G30" s="289"/>
      <c r="H30" s="289" t="s">
        <v>118</v>
      </c>
      <c r="I30" s="289"/>
      <c r="J30" s="289" t="s">
        <v>252</v>
      </c>
      <c r="K30" s="289"/>
      <c r="L30" s="289" t="s">
        <v>118</v>
      </c>
      <c r="M30" s="289"/>
      <c r="N30" s="289" t="s">
        <v>118</v>
      </c>
      <c r="O30" s="289"/>
      <c r="P30" s="289" t="s">
        <v>118</v>
      </c>
      <c r="Q30" s="289"/>
      <c r="R30" s="289" t="s">
        <v>118</v>
      </c>
      <c r="S30" s="299"/>
      <c r="T30" s="299"/>
      <c r="U30" s="300"/>
      <c r="V30" s="299"/>
      <c r="W30" s="301"/>
      <c r="X30" s="5"/>
    </row>
    <row r="31" spans="1:24" ht="15.6" x14ac:dyDescent="0.3">
      <c r="A31" s="292"/>
      <c r="B31" s="288" t="s">
        <v>133</v>
      </c>
      <c r="C31" s="302"/>
      <c r="D31" s="303">
        <v>1500000</v>
      </c>
      <c r="E31" s="298"/>
      <c r="F31" s="299">
        <v>125000</v>
      </c>
      <c r="G31" s="299"/>
      <c r="H31" s="304">
        <v>246000</v>
      </c>
      <c r="I31" s="304"/>
      <c r="J31" s="303">
        <v>400000</v>
      </c>
      <c r="K31" s="299"/>
      <c r="L31" s="299">
        <v>51900</v>
      </c>
      <c r="M31" s="299"/>
      <c r="N31" s="304">
        <v>88800</v>
      </c>
      <c r="O31" s="299"/>
      <c r="P31" s="299">
        <v>20000</v>
      </c>
      <c r="Q31" s="299"/>
      <c r="R31" s="304">
        <v>135500</v>
      </c>
      <c r="S31" s="305"/>
      <c r="T31" s="305"/>
      <c r="U31" s="306"/>
      <c r="V31" s="305"/>
      <c r="W31" s="301"/>
      <c r="X31" s="5"/>
    </row>
    <row r="32" spans="1:24" ht="15.6" x14ac:dyDescent="0.3">
      <c r="A32" s="287"/>
      <c r="B32" s="288" t="s">
        <v>132</v>
      </c>
      <c r="C32" s="298"/>
      <c r="D32" s="303">
        <f>D31*D38</f>
        <v>1038630</v>
      </c>
      <c r="E32" s="298"/>
      <c r="F32" s="299">
        <f>F31*F38</f>
        <v>86552.625</v>
      </c>
      <c r="G32" s="299"/>
      <c r="H32" s="304">
        <f>H31*H38</f>
        <v>170335.56599999999</v>
      </c>
      <c r="I32" s="304"/>
      <c r="J32" s="303">
        <f>J31*J38</f>
        <v>276968</v>
      </c>
      <c r="K32" s="299"/>
      <c r="L32" s="299">
        <f>+L31</f>
        <v>51900</v>
      </c>
      <c r="M32" s="299"/>
      <c r="N32" s="304">
        <f>+N31</f>
        <v>88800</v>
      </c>
      <c r="O32" s="299"/>
      <c r="P32" s="299">
        <f>+P31</f>
        <v>20000</v>
      </c>
      <c r="Q32" s="299"/>
      <c r="R32" s="304">
        <f>+R31</f>
        <v>135500</v>
      </c>
      <c r="S32" s="299"/>
      <c r="T32" s="299"/>
      <c r="U32" s="300"/>
      <c r="V32" s="299"/>
      <c r="W32" s="301"/>
      <c r="X32" s="5"/>
    </row>
    <row r="33" spans="1:24" ht="15.6" x14ac:dyDescent="0.3">
      <c r="A33" s="287"/>
      <c r="B33" s="295" t="s">
        <v>134</v>
      </c>
      <c r="C33" s="298"/>
      <c r="D33" s="307">
        <f>D37*D31</f>
        <v>1032402.9</v>
      </c>
      <c r="E33" s="302"/>
      <c r="F33" s="305">
        <f>F37*F31</f>
        <v>86033.700000000012</v>
      </c>
      <c r="G33" s="305"/>
      <c r="H33" s="308">
        <f>H31*H37</f>
        <v>169314.3216</v>
      </c>
      <c r="I33" s="308"/>
      <c r="J33" s="307">
        <f>J37*J31</f>
        <v>275307.44</v>
      </c>
      <c r="K33" s="305"/>
      <c r="L33" s="305">
        <f>L31*L37</f>
        <v>51900</v>
      </c>
      <c r="M33" s="305"/>
      <c r="N33" s="308">
        <f>N31*N37</f>
        <v>88800</v>
      </c>
      <c r="O33" s="305"/>
      <c r="P33" s="305">
        <f>P31*P37</f>
        <v>20000</v>
      </c>
      <c r="Q33" s="305"/>
      <c r="R33" s="308">
        <f>R31*R37</f>
        <v>135500</v>
      </c>
      <c r="S33" s="299"/>
      <c r="T33" s="299"/>
      <c r="U33" s="300"/>
      <c r="V33" s="299"/>
      <c r="W33" s="301"/>
      <c r="X33" s="5"/>
    </row>
    <row r="34" spans="1:24" ht="15.6" x14ac:dyDescent="0.3">
      <c r="A34" s="292"/>
      <c r="B34" s="288" t="s">
        <v>296</v>
      </c>
      <c r="C34" s="302"/>
      <c r="D34" s="299">
        <v>775194</v>
      </c>
      <c r="E34" s="298"/>
      <c r="F34" s="299">
        <v>125000</v>
      </c>
      <c r="G34" s="299"/>
      <c r="H34" s="299">
        <v>168148</v>
      </c>
      <c r="I34" s="299"/>
      <c r="J34" s="299">
        <v>206718</v>
      </c>
      <c r="K34" s="299"/>
      <c r="L34" s="299">
        <v>51900</v>
      </c>
      <c r="M34" s="299"/>
      <c r="N34" s="299">
        <v>60697</v>
      </c>
      <c r="O34" s="299"/>
      <c r="P34" s="299">
        <v>20000</v>
      </c>
      <c r="Q34" s="299"/>
      <c r="R34" s="299">
        <v>92618</v>
      </c>
      <c r="S34" s="305"/>
      <c r="T34" s="305"/>
      <c r="U34" s="306"/>
      <c r="V34" s="299">
        <f>SUM(C34:R34)</f>
        <v>1500275</v>
      </c>
      <c r="W34" s="301"/>
      <c r="X34" s="5"/>
    </row>
    <row r="35" spans="1:24" ht="15.6" x14ac:dyDescent="0.3">
      <c r="A35" s="292"/>
      <c r="B35" s="288" t="s">
        <v>297</v>
      </c>
      <c r="C35" s="302"/>
      <c r="D35" s="299">
        <f>D34*D38</f>
        <v>536759.82948000007</v>
      </c>
      <c r="E35" s="298"/>
      <c r="F35" s="299">
        <f>F34*F38</f>
        <v>86552.625</v>
      </c>
      <c r="G35" s="299"/>
      <c r="H35" s="299">
        <f>H34*H38</f>
        <v>116429.20630799999</v>
      </c>
      <c r="I35" s="299"/>
      <c r="J35" s="299">
        <f>J34*J38</f>
        <v>143135.67756000001</v>
      </c>
      <c r="K35" s="299"/>
      <c r="L35" s="299">
        <f>+L34</f>
        <v>51900</v>
      </c>
      <c r="M35" s="299"/>
      <c r="N35" s="299">
        <f>+N34</f>
        <v>60697</v>
      </c>
      <c r="O35" s="299"/>
      <c r="P35" s="299">
        <f>+P34</f>
        <v>20000</v>
      </c>
      <c r="Q35" s="299"/>
      <c r="R35" s="299">
        <f>+R34</f>
        <v>92618</v>
      </c>
      <c r="S35" s="299"/>
      <c r="T35" s="299"/>
      <c r="U35" s="300"/>
      <c r="V35" s="299">
        <f>SUM(C35:R35)</f>
        <v>1108092.3383480001</v>
      </c>
      <c r="W35" s="301"/>
      <c r="X35" s="5"/>
    </row>
    <row r="36" spans="1:24" ht="15.6" x14ac:dyDescent="0.3">
      <c r="A36" s="292"/>
      <c r="B36" s="295" t="s">
        <v>298</v>
      </c>
      <c r="C36" s="302"/>
      <c r="D36" s="305">
        <f>D34*D37</f>
        <v>533541.68910840002</v>
      </c>
      <c r="E36" s="302"/>
      <c r="F36" s="305">
        <f>F34*F37</f>
        <v>86033.700000000012</v>
      </c>
      <c r="G36" s="305"/>
      <c r="H36" s="305">
        <f>H34*H37</f>
        <v>115731.15670080001</v>
      </c>
      <c r="I36" s="305"/>
      <c r="J36" s="305">
        <f>J34*J37</f>
        <v>142277.5084548</v>
      </c>
      <c r="K36" s="305"/>
      <c r="L36" s="305">
        <f>L34*L37</f>
        <v>51900</v>
      </c>
      <c r="M36" s="305"/>
      <c r="N36" s="305">
        <f>N34*N37</f>
        <v>60697</v>
      </c>
      <c r="O36" s="305"/>
      <c r="P36" s="305">
        <f>P34*P37</f>
        <v>20000</v>
      </c>
      <c r="Q36" s="305"/>
      <c r="R36" s="305">
        <f>R34*R37</f>
        <v>92618</v>
      </c>
      <c r="S36" s="328"/>
      <c r="T36" s="328"/>
      <c r="U36" s="300"/>
      <c r="V36" s="305">
        <f>SUM(C36:R36)</f>
        <v>1102799.0542640002</v>
      </c>
      <c r="W36" s="301"/>
      <c r="X36" s="5"/>
    </row>
    <row r="37" spans="1:24" ht="15.6" x14ac:dyDescent="0.3">
      <c r="A37" s="287"/>
      <c r="B37" s="313" t="s">
        <v>130</v>
      </c>
      <c r="C37" s="314"/>
      <c r="D37" s="315">
        <v>0.68826860000000001</v>
      </c>
      <c r="E37" s="315"/>
      <c r="F37" s="315">
        <v>0.68826960000000004</v>
      </c>
      <c r="G37" s="315"/>
      <c r="H37" s="315">
        <v>0.68826960000000004</v>
      </c>
      <c r="I37" s="315"/>
      <c r="J37" s="315">
        <v>0.68826860000000001</v>
      </c>
      <c r="K37" s="315"/>
      <c r="L37" s="315">
        <v>1</v>
      </c>
      <c r="M37" s="315"/>
      <c r="N37" s="315">
        <v>1</v>
      </c>
      <c r="O37" s="315"/>
      <c r="P37" s="315">
        <v>1</v>
      </c>
      <c r="Q37" s="315"/>
      <c r="R37" s="315">
        <v>1</v>
      </c>
      <c r="S37" s="316"/>
      <c r="T37" s="316"/>
      <c r="U37" s="317"/>
      <c r="V37" s="317"/>
      <c r="W37" s="318"/>
      <c r="X37" s="5"/>
    </row>
    <row r="38" spans="1:24" ht="15.6" x14ac:dyDescent="0.3">
      <c r="A38" s="287"/>
      <c r="B38" s="313" t="s">
        <v>131</v>
      </c>
      <c r="C38" s="314"/>
      <c r="D38" s="315">
        <v>0.69242000000000004</v>
      </c>
      <c r="E38" s="315"/>
      <c r="F38" s="315">
        <v>0.69242099999999995</v>
      </c>
      <c r="G38" s="315"/>
      <c r="H38" s="315">
        <v>0.69242099999999995</v>
      </c>
      <c r="I38" s="315"/>
      <c r="J38" s="315">
        <v>0.69242000000000004</v>
      </c>
      <c r="K38" s="315"/>
      <c r="L38" s="315">
        <v>1</v>
      </c>
      <c r="M38" s="315"/>
      <c r="N38" s="315">
        <v>1</v>
      </c>
      <c r="O38" s="315"/>
      <c r="P38" s="315">
        <v>1</v>
      </c>
      <c r="Q38" s="315"/>
      <c r="R38" s="315">
        <v>1</v>
      </c>
      <c r="S38" s="319"/>
      <c r="T38" s="320"/>
      <c r="U38" s="317"/>
      <c r="V38" s="319"/>
      <c r="W38" s="318"/>
      <c r="X38" s="5"/>
    </row>
    <row r="39" spans="1:24" ht="15.6" x14ac:dyDescent="0.3">
      <c r="A39" s="287"/>
      <c r="B39" s="288" t="s">
        <v>11</v>
      </c>
      <c r="C39" s="288"/>
      <c r="D39" s="296" t="s">
        <v>321</v>
      </c>
      <c r="E39" s="288"/>
      <c r="F39" s="296" t="s">
        <v>231</v>
      </c>
      <c r="G39" s="296"/>
      <c r="H39" s="296" t="s">
        <v>231</v>
      </c>
      <c r="I39" s="296"/>
      <c r="J39" s="296" t="s">
        <v>231</v>
      </c>
      <c r="K39" s="296"/>
      <c r="L39" s="296" t="s">
        <v>265</v>
      </c>
      <c r="M39" s="296"/>
      <c r="N39" s="296" t="s">
        <v>265</v>
      </c>
      <c r="O39" s="296"/>
      <c r="P39" s="296" t="s">
        <v>266</v>
      </c>
      <c r="Q39" s="296"/>
      <c r="R39" s="296" t="s">
        <v>266</v>
      </c>
      <c r="S39" s="321"/>
      <c r="T39" s="322"/>
      <c r="U39" s="290"/>
      <c r="V39" s="290"/>
      <c r="W39" s="291"/>
      <c r="X39" s="5"/>
    </row>
    <row r="40" spans="1:24" ht="15.6" x14ac:dyDescent="0.3">
      <c r="A40" s="287"/>
      <c r="B40" s="288" t="s">
        <v>12</v>
      </c>
      <c r="C40" s="288"/>
      <c r="D40" s="322">
        <v>4.0119999999999999E-3</v>
      </c>
      <c r="E40" s="288"/>
      <c r="F40" s="322">
        <v>7.1875000000000003E-3</v>
      </c>
      <c r="G40" s="321"/>
      <c r="H40" s="322">
        <v>3.8300000000000001E-3</v>
      </c>
      <c r="I40" s="322"/>
      <c r="J40" s="322">
        <v>5.0800000000000003E-3</v>
      </c>
      <c r="K40" s="321"/>
      <c r="L40" s="322">
        <v>8.7875000000000002E-3</v>
      </c>
      <c r="M40" s="321"/>
      <c r="N40" s="322">
        <v>5.4299999999999999E-3</v>
      </c>
      <c r="O40" s="321"/>
      <c r="P40" s="322">
        <v>1.27875E-2</v>
      </c>
      <c r="Q40" s="321"/>
      <c r="R40" s="322">
        <v>9.4299999999999991E-3</v>
      </c>
      <c r="S40" s="321"/>
      <c r="T40" s="322"/>
      <c r="U40" s="290"/>
      <c r="V40" s="296"/>
      <c r="W40" s="291"/>
      <c r="X40" s="5"/>
    </row>
    <row r="41" spans="1:24" ht="15.6" x14ac:dyDescent="0.3">
      <c r="A41" s="287"/>
      <c r="B41" s="288" t="s">
        <v>13</v>
      </c>
      <c r="C41" s="288"/>
      <c r="D41" s="322">
        <v>4.0800000000000003E-3</v>
      </c>
      <c r="E41" s="288"/>
      <c r="F41" s="322">
        <v>8.5313000000000003E-3</v>
      </c>
      <c r="G41" s="321"/>
      <c r="H41" s="322">
        <v>4.5199999999999997E-3</v>
      </c>
      <c r="I41" s="322"/>
      <c r="J41" s="322">
        <v>5.8875000000000004E-3</v>
      </c>
      <c r="K41" s="321"/>
      <c r="L41" s="322">
        <v>1.0131299999999999E-2</v>
      </c>
      <c r="M41" s="321"/>
      <c r="N41" s="322">
        <v>6.1199999999999996E-3</v>
      </c>
      <c r="O41" s="321"/>
      <c r="P41" s="322">
        <v>1.4131299999999999E-2</v>
      </c>
      <c r="Q41" s="321"/>
      <c r="R41" s="322">
        <v>1.0120000000000001E-2</v>
      </c>
      <c r="S41" s="321"/>
      <c r="T41" s="322"/>
      <c r="U41" s="290"/>
      <c r="V41" s="321" t="s">
        <v>193</v>
      </c>
      <c r="W41" s="291"/>
      <c r="X41" s="5"/>
    </row>
    <row r="42" spans="1:24" ht="15.6" x14ac:dyDescent="0.3">
      <c r="A42" s="287"/>
      <c r="B42" s="288" t="s">
        <v>299</v>
      </c>
      <c r="C42" s="288"/>
      <c r="D42" s="296" t="s">
        <v>322</v>
      </c>
      <c r="E42" s="288"/>
      <c r="F42" s="296" t="s">
        <v>231</v>
      </c>
      <c r="G42" s="296"/>
      <c r="H42" s="296" t="s">
        <v>323</v>
      </c>
      <c r="I42" s="296"/>
      <c r="J42" s="296" t="s">
        <v>324</v>
      </c>
      <c r="K42" s="296"/>
      <c r="L42" s="296" t="s">
        <v>265</v>
      </c>
      <c r="M42" s="296"/>
      <c r="N42" s="296" t="s">
        <v>234</v>
      </c>
      <c r="O42" s="296"/>
      <c r="P42" s="296" t="s">
        <v>266</v>
      </c>
      <c r="Q42" s="296"/>
      <c r="R42" s="296" t="s">
        <v>264</v>
      </c>
      <c r="S42" s="321"/>
      <c r="T42" s="322"/>
      <c r="U42" s="290"/>
      <c r="V42" s="290"/>
      <c r="W42" s="291"/>
      <c r="X42" s="5"/>
    </row>
    <row r="43" spans="1:24" ht="15.6" x14ac:dyDescent="0.3">
      <c r="A43" s="287"/>
      <c r="B43" s="288" t="s">
        <v>300</v>
      </c>
      <c r="C43" s="323"/>
      <c r="D43" s="322">
        <v>7.5614999999999996E-3</v>
      </c>
      <c r="E43" s="322"/>
      <c r="F43" s="322">
        <f>+F40</f>
        <v>7.1875000000000003E-3</v>
      </c>
      <c r="G43" s="322"/>
      <c r="H43" s="322">
        <v>7.4675000000000002E-3</v>
      </c>
      <c r="I43" s="322"/>
      <c r="J43" s="322">
        <v>7.9135000000000004E-3</v>
      </c>
      <c r="K43" s="322"/>
      <c r="L43" s="322">
        <f>+L40</f>
        <v>8.7875000000000002E-3</v>
      </c>
      <c r="M43" s="322"/>
      <c r="N43" s="322">
        <v>9.3795000000000007E-3</v>
      </c>
      <c r="O43" s="322"/>
      <c r="P43" s="322">
        <f>+P40</f>
        <v>1.27875E-2</v>
      </c>
      <c r="Q43" s="321"/>
      <c r="R43" s="322">
        <v>1.3853499999999999E-2</v>
      </c>
      <c r="S43" s="296"/>
      <c r="T43" s="296"/>
      <c r="U43" s="290"/>
      <c r="V43" s="321">
        <f>SUMPRODUCT(D43:R43,D35:R35)/V35</f>
        <v>8.345114959970484E-3</v>
      </c>
      <c r="W43" s="291"/>
      <c r="X43" s="5"/>
    </row>
    <row r="44" spans="1:24" ht="15.6" x14ac:dyDescent="0.3">
      <c r="A44" s="287"/>
      <c r="B44" s="288" t="s">
        <v>301</v>
      </c>
      <c r="C44" s="323"/>
      <c r="D44" s="322">
        <v>8.9052999999999997E-3</v>
      </c>
      <c r="E44" s="322"/>
      <c r="F44" s="322">
        <f>+F41</f>
        <v>8.5313000000000003E-3</v>
      </c>
      <c r="G44" s="322"/>
      <c r="H44" s="322">
        <v>8.8112999999999993E-3</v>
      </c>
      <c r="I44" s="322"/>
      <c r="J44" s="322">
        <v>9.2572999999999996E-3</v>
      </c>
      <c r="K44" s="322"/>
      <c r="L44" s="322">
        <f>+L41</f>
        <v>1.0131299999999999E-2</v>
      </c>
      <c r="M44" s="322"/>
      <c r="N44" s="322">
        <v>1.07233E-2</v>
      </c>
      <c r="O44" s="322"/>
      <c r="P44" s="322">
        <f>+P41</f>
        <v>1.4131299999999999E-2</v>
      </c>
      <c r="Q44" s="321"/>
      <c r="R44" s="322">
        <v>1.51973E-2</v>
      </c>
      <c r="S44" s="296"/>
      <c r="T44" s="296"/>
      <c r="U44" s="290"/>
      <c r="V44" s="290"/>
      <c r="W44" s="291"/>
      <c r="X44" s="5"/>
    </row>
    <row r="45" spans="1:24" ht="15.6" x14ac:dyDescent="0.3">
      <c r="A45" s="287"/>
      <c r="B45" s="288" t="s">
        <v>14</v>
      </c>
      <c r="C45" s="288"/>
      <c r="D45" s="323">
        <v>40617</v>
      </c>
      <c r="E45" s="323"/>
      <c r="F45" s="323">
        <v>40617</v>
      </c>
      <c r="G45" s="323"/>
      <c r="H45" s="323">
        <v>40617</v>
      </c>
      <c r="I45" s="323"/>
      <c r="J45" s="323">
        <v>40617</v>
      </c>
      <c r="K45" s="323"/>
      <c r="L45" s="323">
        <v>40617</v>
      </c>
      <c r="M45" s="323"/>
      <c r="N45" s="323">
        <v>40617</v>
      </c>
      <c r="O45" s="323"/>
      <c r="P45" s="323">
        <v>40617</v>
      </c>
      <c r="Q45" s="323"/>
      <c r="R45" s="323">
        <v>40617</v>
      </c>
      <c r="S45" s="296"/>
      <c r="T45" s="296"/>
      <c r="U45" s="290"/>
      <c r="V45" s="290"/>
      <c r="W45" s="291"/>
      <c r="X45" s="5"/>
    </row>
    <row r="46" spans="1:24" ht="15.6" x14ac:dyDescent="0.3">
      <c r="A46" s="287"/>
      <c r="B46" s="288" t="s">
        <v>15</v>
      </c>
      <c r="C46" s="288"/>
      <c r="D46" s="323">
        <v>40983</v>
      </c>
      <c r="E46" s="323"/>
      <c r="F46" s="323">
        <v>40983</v>
      </c>
      <c r="G46" s="323"/>
      <c r="H46" s="323">
        <v>40983</v>
      </c>
      <c r="I46" s="323"/>
      <c r="J46" s="323">
        <v>40983</v>
      </c>
      <c r="K46" s="296"/>
      <c r="L46" s="323">
        <v>40983</v>
      </c>
      <c r="M46" s="296"/>
      <c r="N46" s="323">
        <v>40983</v>
      </c>
      <c r="O46" s="296"/>
      <c r="P46" s="323">
        <v>40983</v>
      </c>
      <c r="Q46" s="296"/>
      <c r="R46" s="323">
        <v>40983</v>
      </c>
      <c r="S46" s="296"/>
      <c r="T46" s="296"/>
      <c r="U46" s="290"/>
      <c r="V46" s="290"/>
      <c r="W46" s="291"/>
      <c r="X46" s="5"/>
    </row>
    <row r="47" spans="1:24" ht="15.6" x14ac:dyDescent="0.3">
      <c r="A47" s="287"/>
      <c r="B47" s="288" t="s">
        <v>119</v>
      </c>
      <c r="C47" s="288"/>
      <c r="D47" s="296" t="s">
        <v>231</v>
      </c>
      <c r="E47" s="288"/>
      <c r="F47" s="296" t="s">
        <v>231</v>
      </c>
      <c r="G47" s="296"/>
      <c r="H47" s="296" t="s">
        <v>231</v>
      </c>
      <c r="I47" s="296"/>
      <c r="J47" s="296" t="s">
        <v>231</v>
      </c>
      <c r="K47" s="296"/>
      <c r="L47" s="296" t="s">
        <v>265</v>
      </c>
      <c r="M47" s="296"/>
      <c r="N47" s="296" t="s">
        <v>265</v>
      </c>
      <c r="O47" s="296"/>
      <c r="P47" s="296" t="s">
        <v>266</v>
      </c>
      <c r="Q47" s="296"/>
      <c r="R47" s="296" t="s">
        <v>266</v>
      </c>
      <c r="S47" s="325"/>
      <c r="T47" s="325"/>
      <c r="U47" s="325"/>
      <c r="V47" s="325"/>
      <c r="W47" s="291"/>
      <c r="X47" s="5"/>
    </row>
    <row r="48" spans="1:24" ht="15.6" x14ac:dyDescent="0.3">
      <c r="A48" s="287"/>
      <c r="B48" s="288" t="s">
        <v>302</v>
      </c>
      <c r="C48" s="288"/>
      <c r="D48" s="296" t="s">
        <v>325</v>
      </c>
      <c r="E48" s="288"/>
      <c r="F48" s="296" t="s">
        <v>231</v>
      </c>
      <c r="G48" s="296"/>
      <c r="H48" s="296" t="s">
        <v>262</v>
      </c>
      <c r="I48" s="296"/>
      <c r="J48" s="296" t="s">
        <v>263</v>
      </c>
      <c r="K48" s="296"/>
      <c r="L48" s="296" t="s">
        <v>265</v>
      </c>
      <c r="M48" s="296"/>
      <c r="N48" s="296" t="s">
        <v>234</v>
      </c>
      <c r="O48" s="296"/>
      <c r="P48" s="296" t="s">
        <v>266</v>
      </c>
      <c r="Q48" s="296"/>
      <c r="R48" s="296" t="s">
        <v>264</v>
      </c>
      <c r="S48" s="288"/>
      <c r="T48" s="288"/>
      <c r="U48" s="288"/>
      <c r="V48" s="321"/>
      <c r="W48" s="291"/>
      <c r="X48" s="5"/>
    </row>
    <row r="49" spans="1:25" ht="15.6" x14ac:dyDescent="0.3">
      <c r="A49" s="287"/>
      <c r="B49" s="288"/>
      <c r="C49" s="288"/>
      <c r="D49" s="296"/>
      <c r="E49" s="288"/>
      <c r="F49" s="296"/>
      <c r="G49" s="296"/>
      <c r="H49" s="296"/>
      <c r="I49" s="296"/>
      <c r="J49" s="296"/>
      <c r="K49" s="296"/>
      <c r="L49" s="296"/>
      <c r="M49" s="296"/>
      <c r="N49" s="296"/>
      <c r="O49" s="296"/>
      <c r="P49" s="296"/>
      <c r="Q49" s="296"/>
      <c r="R49" s="296"/>
      <c r="S49" s="288"/>
      <c r="T49" s="288"/>
      <c r="U49" s="288"/>
      <c r="V49" s="321" t="s">
        <v>193</v>
      </c>
      <c r="W49" s="291"/>
      <c r="X49" s="5"/>
    </row>
    <row r="50" spans="1:25" ht="15.6" x14ac:dyDescent="0.3">
      <c r="A50" s="287"/>
      <c r="B50" s="288" t="s">
        <v>169</v>
      </c>
      <c r="C50" s="288"/>
      <c r="D50" s="296"/>
      <c r="E50" s="288"/>
      <c r="F50" s="296"/>
      <c r="G50" s="296"/>
      <c r="H50" s="296"/>
      <c r="I50" s="296"/>
      <c r="J50" s="296"/>
      <c r="K50" s="296"/>
      <c r="L50" s="296"/>
      <c r="M50" s="296"/>
      <c r="N50" s="296"/>
      <c r="O50" s="296"/>
      <c r="P50" s="296"/>
      <c r="Q50" s="296"/>
      <c r="R50" s="296"/>
      <c r="S50" s="288"/>
      <c r="T50" s="288"/>
      <c r="U50" s="288"/>
      <c r="V50" s="321">
        <f>SUM(L34:R34)/SUM(D34:J34)</f>
        <v>0.17663090364375009</v>
      </c>
      <c r="W50" s="291"/>
      <c r="X50" s="5"/>
    </row>
    <row r="51" spans="1:25" ht="15.6" x14ac:dyDescent="0.3">
      <c r="A51" s="287"/>
      <c r="B51" s="288" t="s">
        <v>170</v>
      </c>
      <c r="C51" s="288"/>
      <c r="D51" s="288"/>
      <c r="E51" s="288"/>
      <c r="F51" s="326"/>
      <c r="G51" s="288"/>
      <c r="H51" s="288"/>
      <c r="I51" s="288"/>
      <c r="J51" s="288"/>
      <c r="K51" s="288"/>
      <c r="L51" s="288"/>
      <c r="M51" s="288"/>
      <c r="N51" s="288"/>
      <c r="O51" s="288"/>
      <c r="P51" s="288"/>
      <c r="Q51" s="288"/>
      <c r="R51" s="288"/>
      <c r="S51" s="288"/>
      <c r="T51" s="288"/>
      <c r="U51" s="288"/>
      <c r="V51" s="321">
        <f>SUM(L36:R36)/SUM(D36:J36)</f>
        <v>0.25663068842890513</v>
      </c>
      <c r="W51" s="291"/>
      <c r="X51" s="5"/>
    </row>
    <row r="52" spans="1:25" ht="15.6" x14ac:dyDescent="0.3">
      <c r="A52" s="287"/>
      <c r="B52" s="288" t="s">
        <v>171</v>
      </c>
      <c r="C52" s="288"/>
      <c r="D52" s="288"/>
      <c r="E52" s="288"/>
      <c r="F52" s="288"/>
      <c r="G52" s="288"/>
      <c r="H52" s="288"/>
      <c r="I52" s="288"/>
      <c r="J52" s="288"/>
      <c r="K52" s="288"/>
      <c r="L52" s="288"/>
      <c r="M52" s="288"/>
      <c r="N52" s="288"/>
      <c r="O52" s="288"/>
      <c r="P52" s="288"/>
      <c r="Q52" s="288"/>
      <c r="R52" s="288"/>
      <c r="S52" s="288"/>
      <c r="T52" s="296"/>
      <c r="U52" s="296"/>
      <c r="V52" s="299" t="s">
        <v>276</v>
      </c>
      <c r="W52" s="291"/>
      <c r="X52" s="5"/>
    </row>
    <row r="53" spans="1:25" ht="15.6" x14ac:dyDescent="0.3">
      <c r="A53" s="287"/>
      <c r="B53" s="288"/>
      <c r="C53" s="288"/>
      <c r="D53" s="288"/>
      <c r="E53" s="288"/>
      <c r="F53" s="288"/>
      <c r="G53" s="288"/>
      <c r="H53" s="288"/>
      <c r="I53" s="288"/>
      <c r="J53" s="288"/>
      <c r="K53" s="288"/>
      <c r="L53" s="288"/>
      <c r="M53" s="288"/>
      <c r="N53" s="288"/>
      <c r="O53" s="288"/>
      <c r="P53" s="288"/>
      <c r="Q53" s="288"/>
      <c r="R53" s="288"/>
      <c r="S53" s="288"/>
      <c r="T53" s="288"/>
      <c r="U53" s="288"/>
      <c r="V53" s="327"/>
      <c r="W53" s="291"/>
      <c r="X53" s="5"/>
    </row>
    <row r="54" spans="1:25" ht="15.6" x14ac:dyDescent="0.3">
      <c r="A54" s="287"/>
      <c r="B54" s="288" t="s">
        <v>202</v>
      </c>
      <c r="C54" s="288"/>
      <c r="D54" s="288"/>
      <c r="E54" s="288"/>
      <c r="F54" s="288"/>
      <c r="G54" s="288"/>
      <c r="H54" s="288"/>
      <c r="I54" s="288"/>
      <c r="J54" s="288"/>
      <c r="K54" s="288"/>
      <c r="L54" s="288"/>
      <c r="M54" s="288"/>
      <c r="N54" s="288"/>
      <c r="O54" s="288"/>
      <c r="P54" s="288"/>
      <c r="Q54" s="288"/>
      <c r="R54" s="288"/>
      <c r="S54" s="288"/>
      <c r="T54" s="288"/>
      <c r="U54" s="288"/>
      <c r="V54" s="328" t="s">
        <v>203</v>
      </c>
      <c r="W54" s="291"/>
      <c r="X54" s="5"/>
    </row>
    <row r="55" spans="1:25" ht="15.6" x14ac:dyDescent="0.3">
      <c r="A55" s="287"/>
      <c r="B55" s="288" t="s">
        <v>280</v>
      </c>
      <c r="C55" s="288"/>
      <c r="D55" s="288"/>
      <c r="E55" s="288"/>
      <c r="F55" s="288"/>
      <c r="G55" s="288"/>
      <c r="H55" s="288"/>
      <c r="I55" s="288"/>
      <c r="J55" s="288"/>
      <c r="K55" s="288"/>
      <c r="L55" s="288"/>
      <c r="M55" s="288"/>
      <c r="N55" s="288"/>
      <c r="O55" s="288"/>
      <c r="P55" s="288"/>
      <c r="Q55" s="288"/>
      <c r="R55" s="288"/>
      <c r="S55" s="288"/>
      <c r="T55" s="296"/>
      <c r="U55" s="296"/>
      <c r="V55" s="329" t="s">
        <v>111</v>
      </c>
      <c r="W55" s="291"/>
      <c r="X55" s="5"/>
    </row>
    <row r="56" spans="1:25" ht="15.6" x14ac:dyDescent="0.3">
      <c r="A56" s="287"/>
      <c r="B56" s="295" t="s">
        <v>201</v>
      </c>
      <c r="C56" s="295"/>
      <c r="D56" s="295"/>
      <c r="E56" s="295"/>
      <c r="F56" s="295"/>
      <c r="G56" s="295"/>
      <c r="H56" s="295"/>
      <c r="I56" s="295"/>
      <c r="J56" s="295"/>
      <c r="K56" s="295"/>
      <c r="L56" s="295"/>
      <c r="M56" s="295"/>
      <c r="N56" s="295"/>
      <c r="O56" s="295"/>
      <c r="P56" s="295"/>
      <c r="Q56" s="295"/>
      <c r="R56" s="295"/>
      <c r="S56" s="295"/>
      <c r="T56" s="330"/>
      <c r="U56" s="330"/>
      <c r="V56" s="331">
        <v>41348</v>
      </c>
      <c r="W56" s="291"/>
      <c r="X56" s="5"/>
    </row>
    <row r="57" spans="1:25" ht="15.6" x14ac:dyDescent="0.3">
      <c r="A57" s="287"/>
      <c r="B57" s="288" t="s">
        <v>121</v>
      </c>
      <c r="C57" s="288"/>
      <c r="D57" s="288"/>
      <c r="E57" s="288"/>
      <c r="F57" s="288"/>
      <c r="G57" s="288"/>
      <c r="H57" s="332"/>
      <c r="I57" s="332"/>
      <c r="J57" s="332"/>
      <c r="K57" s="332"/>
      <c r="L57" s="332"/>
      <c r="M57" s="332"/>
      <c r="N57" s="332"/>
      <c r="O57" s="332"/>
      <c r="P57" s="332"/>
      <c r="Q57" s="332"/>
      <c r="R57" s="288">
        <f>+V57-T57+1</f>
        <v>91</v>
      </c>
      <c r="S57" s="332"/>
      <c r="T57" s="333">
        <v>41169</v>
      </c>
      <c r="U57" s="334"/>
      <c r="V57" s="333">
        <v>41259</v>
      </c>
      <c r="W57" s="291"/>
      <c r="X57" s="5"/>
    </row>
    <row r="58" spans="1:25" ht="15.6" x14ac:dyDescent="0.3">
      <c r="A58" s="287"/>
      <c r="B58" s="288" t="s">
        <v>122</v>
      </c>
      <c r="C58" s="288"/>
      <c r="D58" s="288"/>
      <c r="E58" s="288"/>
      <c r="F58" s="288"/>
      <c r="G58" s="288"/>
      <c r="H58" s="288"/>
      <c r="I58" s="288"/>
      <c r="J58" s="288"/>
      <c r="K58" s="288"/>
      <c r="L58" s="288"/>
      <c r="M58" s="288"/>
      <c r="N58" s="288"/>
      <c r="O58" s="288"/>
      <c r="P58" s="288"/>
      <c r="Q58" s="288"/>
      <c r="R58" s="288">
        <f>+V58-T58+1</f>
        <v>88</v>
      </c>
      <c r="S58" s="288"/>
      <c r="T58" s="333">
        <v>41260</v>
      </c>
      <c r="U58" s="334"/>
      <c r="V58" s="333">
        <v>41347</v>
      </c>
      <c r="W58" s="291"/>
      <c r="X58" s="5"/>
    </row>
    <row r="59" spans="1:25" ht="15.6" x14ac:dyDescent="0.3">
      <c r="A59" s="287"/>
      <c r="B59" s="288" t="s">
        <v>229</v>
      </c>
      <c r="C59" s="288"/>
      <c r="D59" s="288"/>
      <c r="E59" s="288"/>
      <c r="F59" s="288"/>
      <c r="G59" s="288"/>
      <c r="H59" s="288"/>
      <c r="I59" s="288"/>
      <c r="J59" s="288"/>
      <c r="K59" s="288"/>
      <c r="L59" s="288"/>
      <c r="M59" s="288"/>
      <c r="N59" s="288"/>
      <c r="O59" s="288"/>
      <c r="P59" s="288"/>
      <c r="Q59" s="288"/>
      <c r="R59" s="288"/>
      <c r="S59" s="288"/>
      <c r="T59" s="333"/>
      <c r="U59" s="334"/>
      <c r="V59" s="333" t="s">
        <v>120</v>
      </c>
      <c r="W59" s="291"/>
      <c r="X59" s="5"/>
    </row>
    <row r="60" spans="1:25" ht="15.6" x14ac:dyDescent="0.3">
      <c r="A60" s="287"/>
      <c r="B60" s="288" t="s">
        <v>228</v>
      </c>
      <c r="C60" s="288"/>
      <c r="D60" s="288"/>
      <c r="E60" s="288"/>
      <c r="F60" s="288"/>
      <c r="G60" s="288"/>
      <c r="H60" s="288"/>
      <c r="I60" s="288"/>
      <c r="J60" s="288"/>
      <c r="K60" s="288"/>
      <c r="L60" s="288"/>
      <c r="M60" s="288"/>
      <c r="N60" s="288"/>
      <c r="O60" s="288"/>
      <c r="P60" s="288"/>
      <c r="Q60" s="288"/>
      <c r="R60" s="288"/>
      <c r="S60" s="288"/>
      <c r="T60" s="333"/>
      <c r="U60" s="334"/>
      <c r="V60" s="333" t="s">
        <v>154</v>
      </c>
      <c r="W60" s="291"/>
      <c r="X60" s="5"/>
      <c r="Y60" s="134"/>
    </row>
    <row r="61" spans="1:25" ht="15.6" x14ac:dyDescent="0.3">
      <c r="A61" s="287"/>
      <c r="B61" s="288" t="s">
        <v>16</v>
      </c>
      <c r="C61" s="288"/>
      <c r="D61" s="288"/>
      <c r="E61" s="288"/>
      <c r="F61" s="288"/>
      <c r="G61" s="288"/>
      <c r="H61" s="288"/>
      <c r="I61" s="288"/>
      <c r="J61" s="288"/>
      <c r="K61" s="288"/>
      <c r="L61" s="288"/>
      <c r="M61" s="288"/>
      <c r="N61" s="288"/>
      <c r="O61" s="288"/>
      <c r="P61" s="288"/>
      <c r="Q61" s="288"/>
      <c r="R61" s="288"/>
      <c r="S61" s="288"/>
      <c r="T61" s="333"/>
      <c r="U61" s="334"/>
      <c r="V61" s="333">
        <v>41334</v>
      </c>
      <c r="W61" s="291"/>
      <c r="X61" s="5"/>
    </row>
    <row r="62" spans="1:25" ht="15.6" x14ac:dyDescent="0.3">
      <c r="A62" s="183"/>
      <c r="B62" s="284"/>
      <c r="C62" s="284"/>
      <c r="D62" s="284"/>
      <c r="E62" s="284"/>
      <c r="F62" s="284"/>
      <c r="G62" s="284"/>
      <c r="H62" s="284"/>
      <c r="I62" s="284"/>
      <c r="J62" s="284"/>
      <c r="K62" s="284"/>
      <c r="L62" s="284"/>
      <c r="M62" s="284"/>
      <c r="N62" s="284"/>
      <c r="O62" s="284"/>
      <c r="P62" s="284"/>
      <c r="Q62" s="284"/>
      <c r="R62" s="284"/>
      <c r="S62" s="284"/>
      <c r="T62" s="285"/>
      <c r="U62" s="286"/>
      <c r="V62" s="285"/>
      <c r="W62" s="284"/>
      <c r="X62" s="5"/>
    </row>
    <row r="63" spans="1:25" ht="15.6" x14ac:dyDescent="0.3">
      <c r="A63" s="183"/>
      <c r="B63" s="224"/>
      <c r="C63" s="224"/>
      <c r="D63" s="224"/>
      <c r="E63" s="224"/>
      <c r="F63" s="224"/>
      <c r="G63" s="224"/>
      <c r="H63" s="224"/>
      <c r="I63" s="224"/>
      <c r="J63" s="224"/>
      <c r="K63" s="224"/>
      <c r="L63" s="224"/>
      <c r="M63" s="224"/>
      <c r="N63" s="224"/>
      <c r="O63" s="224"/>
      <c r="P63" s="224"/>
      <c r="Q63" s="224"/>
      <c r="R63" s="224"/>
      <c r="S63" s="224"/>
      <c r="T63" s="235"/>
      <c r="U63" s="236"/>
      <c r="V63" s="235"/>
      <c r="W63" s="224"/>
      <c r="X63" s="5"/>
    </row>
    <row r="64" spans="1:25" ht="18" thickBot="1" x14ac:dyDescent="0.35">
      <c r="A64" s="199"/>
      <c r="B64" s="237" t="s">
        <v>329</v>
      </c>
      <c r="C64" s="238"/>
      <c r="D64" s="238"/>
      <c r="E64" s="238"/>
      <c r="F64" s="238"/>
      <c r="G64" s="238"/>
      <c r="H64" s="238"/>
      <c r="I64" s="238"/>
      <c r="J64" s="238"/>
      <c r="K64" s="238"/>
      <c r="L64" s="238"/>
      <c r="M64" s="238"/>
      <c r="N64" s="238"/>
      <c r="O64" s="238"/>
      <c r="P64" s="238"/>
      <c r="Q64" s="238"/>
      <c r="R64" s="238"/>
      <c r="S64" s="238"/>
      <c r="T64" s="238"/>
      <c r="U64" s="238"/>
      <c r="V64" s="239"/>
      <c r="W64" s="240"/>
      <c r="X64" s="5"/>
    </row>
    <row r="65" spans="1:24" ht="15.6" x14ac:dyDescent="0.3">
      <c r="A65" s="262"/>
      <c r="B65" s="399" t="s">
        <v>17</v>
      </c>
      <c r="C65" s="263"/>
      <c r="D65" s="263"/>
      <c r="E65" s="263"/>
      <c r="F65" s="263"/>
      <c r="G65" s="263"/>
      <c r="H65" s="263"/>
      <c r="I65" s="263"/>
      <c r="J65" s="263"/>
      <c r="K65" s="263"/>
      <c r="L65" s="263"/>
      <c r="M65" s="263"/>
      <c r="N65" s="263"/>
      <c r="O65" s="263"/>
      <c r="P65" s="263"/>
      <c r="Q65" s="263"/>
      <c r="R65" s="263"/>
      <c r="S65" s="263"/>
      <c r="T65" s="263"/>
      <c r="U65" s="263"/>
      <c r="V65" s="268"/>
      <c r="W65" s="263"/>
      <c r="X65" s="5"/>
    </row>
    <row r="66" spans="1:24" ht="15.6" x14ac:dyDescent="0.3">
      <c r="A66" s="183"/>
      <c r="B66" s="191"/>
      <c r="C66" s="185"/>
      <c r="D66" s="185"/>
      <c r="E66" s="185"/>
      <c r="F66" s="185"/>
      <c r="G66" s="185"/>
      <c r="H66" s="185"/>
      <c r="I66" s="185"/>
      <c r="J66" s="185"/>
      <c r="K66" s="185"/>
      <c r="L66" s="185"/>
      <c r="M66" s="185"/>
      <c r="N66" s="185"/>
      <c r="O66" s="185"/>
      <c r="P66" s="185"/>
      <c r="Q66" s="185"/>
      <c r="R66" s="185"/>
      <c r="S66" s="185"/>
      <c r="T66" s="185"/>
      <c r="U66" s="185"/>
      <c r="V66" s="201"/>
      <c r="W66" s="185"/>
      <c r="X66" s="5"/>
    </row>
    <row r="67" spans="1:24" ht="46.8" x14ac:dyDescent="0.3">
      <c r="A67" s="183"/>
      <c r="B67" s="202" t="s">
        <v>18</v>
      </c>
      <c r="C67" s="203"/>
      <c r="D67" s="203"/>
      <c r="E67" s="203"/>
      <c r="F67" s="203"/>
      <c r="G67" s="203"/>
      <c r="H67" s="203"/>
      <c r="I67" s="203"/>
      <c r="J67" s="203"/>
      <c r="K67" s="203"/>
      <c r="L67" s="203" t="s">
        <v>94</v>
      </c>
      <c r="M67" s="203"/>
      <c r="N67" s="203" t="s">
        <v>96</v>
      </c>
      <c r="O67" s="203"/>
      <c r="P67" s="203" t="s">
        <v>98</v>
      </c>
      <c r="Q67" s="203"/>
      <c r="R67" s="203" t="s">
        <v>100</v>
      </c>
      <c r="S67" s="203"/>
      <c r="T67" s="203" t="s">
        <v>106</v>
      </c>
      <c r="U67" s="203"/>
      <c r="V67" s="204" t="s">
        <v>112</v>
      </c>
      <c r="W67" s="205"/>
      <c r="X67" s="5"/>
    </row>
    <row r="68" spans="1:24" ht="15.6" x14ac:dyDescent="0.3">
      <c r="A68" s="287"/>
      <c r="B68" s="288" t="s">
        <v>19</v>
      </c>
      <c r="C68" s="337"/>
      <c r="D68" s="337"/>
      <c r="E68" s="337"/>
      <c r="F68" s="337"/>
      <c r="G68" s="337"/>
      <c r="H68" s="337"/>
      <c r="I68" s="337"/>
      <c r="J68" s="337"/>
      <c r="K68" s="337"/>
      <c r="L68" s="337">
        <v>1158015</v>
      </c>
      <c r="M68" s="337"/>
      <c r="N68" s="338">
        <v>1108092</v>
      </c>
      <c r="O68" s="337"/>
      <c r="P68" s="337">
        <f>5293+27</f>
        <v>5320</v>
      </c>
      <c r="Q68" s="337"/>
      <c r="R68" s="337">
        <v>27</v>
      </c>
      <c r="S68" s="337"/>
      <c r="T68" s="337">
        <v>0</v>
      </c>
      <c r="U68" s="337"/>
      <c r="V68" s="338">
        <f>+N68-P68+R68-T68</f>
        <v>1102799</v>
      </c>
      <c r="W68" s="291"/>
      <c r="X68" s="5"/>
    </row>
    <row r="69" spans="1:24" ht="15.6" x14ac:dyDescent="0.3">
      <c r="A69" s="287"/>
      <c r="B69" s="288" t="s">
        <v>20</v>
      </c>
      <c r="C69" s="337"/>
      <c r="D69" s="337"/>
      <c r="E69" s="337"/>
      <c r="F69" s="337"/>
      <c r="G69" s="337"/>
      <c r="H69" s="337"/>
      <c r="I69" s="337"/>
      <c r="J69" s="337"/>
      <c r="K69" s="337"/>
      <c r="L69" s="337">
        <v>15</v>
      </c>
      <c r="M69" s="337"/>
      <c r="N69" s="338">
        <v>0</v>
      </c>
      <c r="O69" s="337"/>
      <c r="P69" s="337">
        <v>0</v>
      </c>
      <c r="Q69" s="337"/>
      <c r="R69" s="337">
        <v>0</v>
      </c>
      <c r="S69" s="337"/>
      <c r="T69" s="337">
        <v>0</v>
      </c>
      <c r="U69" s="337"/>
      <c r="V69" s="338">
        <v>0</v>
      </c>
      <c r="W69" s="291"/>
      <c r="X69" s="5"/>
    </row>
    <row r="70" spans="1:24" ht="15.6" x14ac:dyDescent="0.3">
      <c r="A70" s="287"/>
      <c r="B70" s="288"/>
      <c r="C70" s="337"/>
      <c r="D70" s="337"/>
      <c r="E70" s="337"/>
      <c r="F70" s="337"/>
      <c r="G70" s="337"/>
      <c r="H70" s="337"/>
      <c r="I70" s="337"/>
      <c r="J70" s="337"/>
      <c r="K70" s="337"/>
      <c r="L70" s="337"/>
      <c r="M70" s="337"/>
      <c r="N70" s="338"/>
      <c r="O70" s="337"/>
      <c r="P70" s="337"/>
      <c r="Q70" s="337"/>
      <c r="R70" s="337"/>
      <c r="S70" s="337"/>
      <c r="T70" s="337"/>
      <c r="U70" s="337"/>
      <c r="V70" s="338"/>
      <c r="W70" s="291"/>
      <c r="X70" s="5"/>
    </row>
    <row r="71" spans="1:24" ht="15.6" x14ac:dyDescent="0.3">
      <c r="A71" s="287"/>
      <c r="B71" s="288" t="s">
        <v>21</v>
      </c>
      <c r="C71" s="337"/>
      <c r="D71" s="337"/>
      <c r="E71" s="337"/>
      <c r="F71" s="337"/>
      <c r="G71" s="337"/>
      <c r="H71" s="337"/>
      <c r="I71" s="337"/>
      <c r="J71" s="337"/>
      <c r="K71" s="337"/>
      <c r="L71" s="337">
        <f>SUM(L68:L70)</f>
        <v>1158030</v>
      </c>
      <c r="M71" s="337"/>
      <c r="N71" s="337">
        <f>N68+N69</f>
        <v>1108092</v>
      </c>
      <c r="O71" s="337"/>
      <c r="P71" s="337">
        <f>SUM(P68:P70)</f>
        <v>5320</v>
      </c>
      <c r="Q71" s="337"/>
      <c r="R71" s="337">
        <f>SUM(R68:R70)</f>
        <v>27</v>
      </c>
      <c r="S71" s="337"/>
      <c r="T71" s="337">
        <f>SUM(T68:T70)</f>
        <v>0</v>
      </c>
      <c r="U71" s="337"/>
      <c r="V71" s="337">
        <f>SUM(V68:V70)</f>
        <v>1102799</v>
      </c>
      <c r="W71" s="291"/>
      <c r="X71" s="5"/>
    </row>
    <row r="72" spans="1:24" ht="15.6" x14ac:dyDescent="0.3">
      <c r="A72" s="183"/>
      <c r="B72" s="198"/>
      <c r="C72" s="335"/>
      <c r="D72" s="335"/>
      <c r="E72" s="335"/>
      <c r="F72" s="335"/>
      <c r="G72" s="335"/>
      <c r="H72" s="335"/>
      <c r="I72" s="335"/>
      <c r="J72" s="335"/>
      <c r="K72" s="335"/>
      <c r="L72" s="335"/>
      <c r="M72" s="335"/>
      <c r="N72" s="335"/>
      <c r="O72" s="335"/>
      <c r="P72" s="335"/>
      <c r="Q72" s="335"/>
      <c r="R72" s="335"/>
      <c r="S72" s="335"/>
      <c r="T72" s="335"/>
      <c r="U72" s="335"/>
      <c r="V72" s="336"/>
      <c r="W72" s="198"/>
      <c r="X72" s="5"/>
    </row>
    <row r="73" spans="1:24" ht="15.6" x14ac:dyDescent="0.3">
      <c r="A73" s="183"/>
      <c r="B73" s="187" t="s">
        <v>22</v>
      </c>
      <c r="C73" s="206"/>
      <c r="D73" s="206"/>
      <c r="E73" s="206"/>
      <c r="F73" s="206"/>
      <c r="G73" s="206"/>
      <c r="H73" s="206"/>
      <c r="I73" s="206"/>
      <c r="J73" s="206"/>
      <c r="K73" s="206"/>
      <c r="L73" s="206"/>
      <c r="M73" s="206"/>
      <c r="N73" s="206"/>
      <c r="O73" s="206"/>
      <c r="P73" s="206"/>
      <c r="Q73" s="206"/>
      <c r="R73" s="206"/>
      <c r="S73" s="206"/>
      <c r="T73" s="206"/>
      <c r="U73" s="206"/>
      <c r="V73" s="207"/>
      <c r="W73" s="185"/>
      <c r="X73" s="5"/>
    </row>
    <row r="74" spans="1:24" ht="15.6" x14ac:dyDescent="0.3">
      <c r="A74" s="183"/>
      <c r="B74" s="185"/>
      <c r="C74" s="206"/>
      <c r="D74" s="206"/>
      <c r="E74" s="206"/>
      <c r="F74" s="206"/>
      <c r="G74" s="206"/>
      <c r="H74" s="206"/>
      <c r="I74" s="206"/>
      <c r="J74" s="206"/>
      <c r="K74" s="206"/>
      <c r="L74" s="206"/>
      <c r="M74" s="206"/>
      <c r="N74" s="206"/>
      <c r="O74" s="206"/>
      <c r="P74" s="206"/>
      <c r="Q74" s="206"/>
      <c r="R74" s="206"/>
      <c r="S74" s="206"/>
      <c r="T74" s="206"/>
      <c r="U74" s="206"/>
      <c r="V74" s="207"/>
      <c r="W74" s="185"/>
      <c r="X74" s="5"/>
    </row>
    <row r="75" spans="1:24" ht="15.6" x14ac:dyDescent="0.3">
      <c r="A75" s="340"/>
      <c r="B75" s="288" t="s">
        <v>19</v>
      </c>
      <c r="C75" s="337"/>
      <c r="D75" s="337"/>
      <c r="E75" s="337"/>
      <c r="F75" s="337"/>
      <c r="G75" s="337"/>
      <c r="H75" s="337"/>
      <c r="I75" s="337"/>
      <c r="J75" s="337"/>
      <c r="K75" s="337"/>
      <c r="L75" s="337"/>
      <c r="M75" s="337"/>
      <c r="N75" s="337"/>
      <c r="O75" s="337"/>
      <c r="P75" s="337"/>
      <c r="Q75" s="337"/>
      <c r="R75" s="337"/>
      <c r="S75" s="337"/>
      <c r="T75" s="337"/>
      <c r="U75" s="337"/>
      <c r="V75" s="337"/>
      <c r="W75" s="291"/>
      <c r="X75" s="5"/>
    </row>
    <row r="76" spans="1:24" ht="15.6" x14ac:dyDescent="0.3">
      <c r="A76" s="340"/>
      <c r="B76" s="288" t="s">
        <v>20</v>
      </c>
      <c r="C76" s="337"/>
      <c r="D76" s="337"/>
      <c r="E76" s="337"/>
      <c r="F76" s="337"/>
      <c r="G76" s="337"/>
      <c r="H76" s="337"/>
      <c r="I76" s="337"/>
      <c r="J76" s="337"/>
      <c r="K76" s="337"/>
      <c r="L76" s="337"/>
      <c r="M76" s="337"/>
      <c r="N76" s="337"/>
      <c r="O76" s="337"/>
      <c r="P76" s="337"/>
      <c r="Q76" s="337"/>
      <c r="R76" s="337"/>
      <c r="S76" s="337"/>
      <c r="T76" s="337"/>
      <c r="U76" s="337"/>
      <c r="V76" s="337"/>
      <c r="W76" s="291"/>
      <c r="X76" s="5"/>
    </row>
    <row r="77" spans="1:24" ht="15.6" x14ac:dyDescent="0.3">
      <c r="A77" s="340"/>
      <c r="B77" s="288"/>
      <c r="C77" s="337"/>
      <c r="D77" s="337"/>
      <c r="E77" s="337"/>
      <c r="F77" s="337"/>
      <c r="G77" s="337"/>
      <c r="H77" s="337"/>
      <c r="I77" s="337"/>
      <c r="J77" s="337"/>
      <c r="K77" s="337"/>
      <c r="L77" s="337"/>
      <c r="M77" s="337"/>
      <c r="N77" s="337"/>
      <c r="O77" s="337"/>
      <c r="P77" s="337"/>
      <c r="Q77" s="337"/>
      <c r="R77" s="337"/>
      <c r="S77" s="337"/>
      <c r="T77" s="337"/>
      <c r="U77" s="337"/>
      <c r="V77" s="337"/>
      <c r="W77" s="291"/>
      <c r="X77" s="5"/>
    </row>
    <row r="78" spans="1:24" ht="15.6" x14ac:dyDescent="0.3">
      <c r="A78" s="340"/>
      <c r="B78" s="288" t="s">
        <v>21</v>
      </c>
      <c r="C78" s="337"/>
      <c r="D78" s="337"/>
      <c r="E78" s="337"/>
      <c r="F78" s="337"/>
      <c r="G78" s="337"/>
      <c r="H78" s="337"/>
      <c r="I78" s="337"/>
      <c r="J78" s="337"/>
      <c r="K78" s="337"/>
      <c r="L78" s="337"/>
      <c r="M78" s="337"/>
      <c r="N78" s="337"/>
      <c r="O78" s="337"/>
      <c r="P78" s="337"/>
      <c r="Q78" s="337"/>
      <c r="R78" s="337"/>
      <c r="S78" s="337"/>
      <c r="T78" s="337"/>
      <c r="U78" s="337"/>
      <c r="V78" s="337"/>
      <c r="W78" s="291"/>
      <c r="X78" s="5"/>
    </row>
    <row r="79" spans="1:24" ht="15.6" x14ac:dyDescent="0.3">
      <c r="A79" s="340"/>
      <c r="B79" s="288"/>
      <c r="C79" s="337"/>
      <c r="D79" s="337"/>
      <c r="E79" s="337"/>
      <c r="F79" s="337"/>
      <c r="G79" s="337"/>
      <c r="H79" s="337"/>
      <c r="I79" s="337"/>
      <c r="J79" s="337"/>
      <c r="K79" s="337"/>
      <c r="L79" s="337"/>
      <c r="M79" s="337"/>
      <c r="N79" s="337"/>
      <c r="O79" s="337"/>
      <c r="P79" s="337"/>
      <c r="Q79" s="337"/>
      <c r="R79" s="337"/>
      <c r="S79" s="337"/>
      <c r="T79" s="337"/>
      <c r="U79" s="337"/>
      <c r="V79" s="337"/>
      <c r="W79" s="291"/>
      <c r="X79" s="5"/>
    </row>
    <row r="80" spans="1:24" ht="15.6" x14ac:dyDescent="0.3">
      <c r="A80" s="340"/>
      <c r="B80" s="288" t="s">
        <v>23</v>
      </c>
      <c r="C80" s="337"/>
      <c r="D80" s="337"/>
      <c r="E80" s="337"/>
      <c r="F80" s="337"/>
      <c r="G80" s="337"/>
      <c r="H80" s="337"/>
      <c r="I80" s="337"/>
      <c r="J80" s="337"/>
      <c r="K80" s="337"/>
      <c r="L80" s="337">
        <v>0</v>
      </c>
      <c r="M80" s="337"/>
      <c r="N80" s="337">
        <v>0</v>
      </c>
      <c r="O80" s="337"/>
      <c r="P80" s="337"/>
      <c r="Q80" s="337"/>
      <c r="R80" s="337"/>
      <c r="S80" s="337"/>
      <c r="T80" s="337"/>
      <c r="U80" s="337"/>
      <c r="V80" s="338">
        <v>0</v>
      </c>
      <c r="W80" s="291"/>
      <c r="X80" s="5"/>
    </row>
    <row r="81" spans="1:24" ht="15.6" x14ac:dyDescent="0.3">
      <c r="A81" s="340"/>
      <c r="B81" s="288" t="s">
        <v>117</v>
      </c>
      <c r="C81" s="337"/>
      <c r="D81" s="337"/>
      <c r="E81" s="337"/>
      <c r="F81" s="337"/>
      <c r="G81" s="337"/>
      <c r="H81" s="337"/>
      <c r="I81" s="337"/>
      <c r="J81" s="337"/>
      <c r="K81" s="337"/>
      <c r="L81" s="337">
        <v>342245</v>
      </c>
      <c r="M81" s="337"/>
      <c r="N81" s="337">
        <v>0</v>
      </c>
      <c r="O81" s="337"/>
      <c r="P81" s="337">
        <v>0</v>
      </c>
      <c r="Q81" s="337"/>
      <c r="R81" s="337"/>
      <c r="S81" s="337"/>
      <c r="T81" s="337"/>
      <c r="U81" s="337"/>
      <c r="V81" s="337">
        <f>SUM(N81:R81)</f>
        <v>0</v>
      </c>
      <c r="W81" s="291"/>
      <c r="X81" s="5"/>
    </row>
    <row r="82" spans="1:24" ht="15.6" x14ac:dyDescent="0.3">
      <c r="A82" s="340"/>
      <c r="B82" s="288"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91"/>
      <c r="X82" s="5"/>
    </row>
    <row r="83" spans="1:24" ht="15.6" x14ac:dyDescent="0.3">
      <c r="A83" s="340"/>
      <c r="B83" s="288" t="s">
        <v>25</v>
      </c>
      <c r="C83" s="337"/>
      <c r="D83" s="337"/>
      <c r="E83" s="337"/>
      <c r="F83" s="337"/>
      <c r="G83" s="337"/>
      <c r="H83" s="337"/>
      <c r="I83" s="337"/>
      <c r="J83" s="337"/>
      <c r="K83" s="337"/>
      <c r="L83" s="337">
        <v>0</v>
      </c>
      <c r="M83" s="337"/>
      <c r="N83" s="337">
        <v>0</v>
      </c>
      <c r="O83" s="337"/>
      <c r="P83" s="337"/>
      <c r="Q83" s="337"/>
      <c r="R83" s="337"/>
      <c r="S83" s="337"/>
      <c r="T83" s="337"/>
      <c r="U83" s="337"/>
      <c r="V83" s="337">
        <v>0</v>
      </c>
      <c r="W83" s="291"/>
      <c r="X83" s="5"/>
    </row>
    <row r="84" spans="1:24" ht="15.6" x14ac:dyDescent="0.3">
      <c r="A84" s="340"/>
      <c r="B84" s="288" t="s">
        <v>26</v>
      </c>
      <c r="C84" s="337"/>
      <c r="D84" s="337"/>
      <c r="E84" s="337"/>
      <c r="F84" s="337"/>
      <c r="G84" s="337"/>
      <c r="H84" s="337"/>
      <c r="I84" s="337"/>
      <c r="J84" s="337"/>
      <c r="K84" s="337"/>
      <c r="L84" s="337">
        <f>SUM(L71:L83)</f>
        <v>1500275</v>
      </c>
      <c r="M84" s="337"/>
      <c r="N84" s="337">
        <f>SUM(N71:N83)</f>
        <v>1108092</v>
      </c>
      <c r="O84" s="337"/>
      <c r="P84" s="337"/>
      <c r="Q84" s="337"/>
      <c r="R84" s="337"/>
      <c r="S84" s="337"/>
      <c r="T84" s="337"/>
      <c r="U84" s="337"/>
      <c r="V84" s="337">
        <f>SUM(V71:V83)</f>
        <v>1102799</v>
      </c>
      <c r="W84" s="291"/>
      <c r="X84" s="5"/>
    </row>
    <row r="85" spans="1:24" ht="15.6" x14ac:dyDescent="0.3">
      <c r="A85" s="243"/>
      <c r="B85" s="284"/>
      <c r="C85" s="339"/>
      <c r="D85" s="339"/>
      <c r="E85" s="339"/>
      <c r="F85" s="339"/>
      <c r="G85" s="339"/>
      <c r="H85" s="339"/>
      <c r="I85" s="339"/>
      <c r="J85" s="339"/>
      <c r="K85" s="339"/>
      <c r="L85" s="339"/>
      <c r="M85" s="339"/>
      <c r="N85" s="339"/>
      <c r="O85" s="339"/>
      <c r="P85" s="339"/>
      <c r="Q85" s="339"/>
      <c r="R85" s="339"/>
      <c r="S85" s="339"/>
      <c r="T85" s="339"/>
      <c r="U85" s="339"/>
      <c r="V85" s="339"/>
      <c r="W85" s="284"/>
      <c r="X85" s="5"/>
    </row>
    <row r="86" spans="1:24" ht="15.6" x14ac:dyDescent="0.3">
      <c r="A86" s="243"/>
      <c r="B86" s="224"/>
      <c r="C86" s="224"/>
      <c r="D86" s="224"/>
      <c r="E86" s="224"/>
      <c r="F86" s="224"/>
      <c r="G86" s="224"/>
      <c r="H86" s="224"/>
      <c r="I86" s="224"/>
      <c r="J86" s="224"/>
      <c r="K86" s="224"/>
      <c r="L86" s="224"/>
      <c r="M86" s="224"/>
      <c r="N86" s="224"/>
      <c r="O86" s="224"/>
      <c r="P86" s="224"/>
      <c r="Q86" s="224"/>
      <c r="R86" s="224"/>
      <c r="S86" s="224"/>
      <c r="T86" s="224"/>
      <c r="U86" s="224"/>
      <c r="V86" s="224"/>
      <c r="W86" s="224"/>
      <c r="X86" s="5"/>
    </row>
    <row r="87" spans="1:24" ht="15.6" x14ac:dyDescent="0.3">
      <c r="A87" s="262"/>
      <c r="B87" s="399" t="s">
        <v>27</v>
      </c>
      <c r="C87" s="399"/>
      <c r="D87" s="399"/>
      <c r="E87" s="399"/>
      <c r="F87" s="399"/>
      <c r="G87" s="399"/>
      <c r="H87" s="400"/>
      <c r="I87" s="400"/>
      <c r="J87" s="400"/>
      <c r="K87" s="400"/>
      <c r="L87" s="401" t="s">
        <v>95</v>
      </c>
      <c r="M87" s="400"/>
      <c r="N87" s="402">
        <f>+T205</f>
        <v>41333</v>
      </c>
      <c r="O87" s="400"/>
      <c r="P87" s="400"/>
      <c r="Q87" s="400"/>
      <c r="R87" s="400"/>
      <c r="S87" s="400"/>
      <c r="T87" s="400" t="s">
        <v>107</v>
      </c>
      <c r="U87" s="400"/>
      <c r="V87" s="400" t="s">
        <v>113</v>
      </c>
      <c r="W87" s="263"/>
      <c r="X87" s="5"/>
    </row>
    <row r="88" spans="1:24" ht="15.6" x14ac:dyDescent="0.3">
      <c r="A88" s="242"/>
      <c r="B88" s="231" t="s">
        <v>28</v>
      </c>
      <c r="C88" s="231"/>
      <c r="D88" s="231"/>
      <c r="E88" s="231"/>
      <c r="F88" s="231"/>
      <c r="G88" s="231"/>
      <c r="H88" s="231"/>
      <c r="I88" s="231"/>
      <c r="J88" s="231"/>
      <c r="K88" s="231"/>
      <c r="L88" s="231"/>
      <c r="M88" s="231"/>
      <c r="N88" s="231"/>
      <c r="O88" s="231"/>
      <c r="P88" s="231"/>
      <c r="Q88" s="231"/>
      <c r="R88" s="231"/>
      <c r="S88" s="231"/>
      <c r="T88" s="234">
        <v>0</v>
      </c>
      <c r="U88" s="231"/>
      <c r="V88" s="241">
        <v>0</v>
      </c>
      <c r="W88" s="231"/>
      <c r="X88" s="5"/>
    </row>
    <row r="89" spans="1:24" ht="15.6" x14ac:dyDescent="0.3">
      <c r="A89" s="340"/>
      <c r="B89" s="288" t="s">
        <v>29</v>
      </c>
      <c r="C89" s="288"/>
      <c r="D89" s="288"/>
      <c r="E89" s="288"/>
      <c r="F89" s="288"/>
      <c r="G89" s="288"/>
      <c r="H89" s="325"/>
      <c r="I89" s="325"/>
      <c r="J89" s="325"/>
      <c r="K89" s="341"/>
      <c r="L89" s="325"/>
      <c r="M89" s="288"/>
      <c r="N89" s="342"/>
      <c r="O89" s="288"/>
      <c r="P89" s="288"/>
      <c r="Q89" s="288"/>
      <c r="R89" s="288"/>
      <c r="S89" s="288"/>
      <c r="T89" s="337">
        <f>5320-40</f>
        <v>5280</v>
      </c>
      <c r="U89" s="288"/>
      <c r="V89" s="338"/>
      <c r="W89" s="291"/>
      <c r="X89" s="5"/>
    </row>
    <row r="90" spans="1:24" ht="15.6" x14ac:dyDescent="0.3">
      <c r="A90" s="340"/>
      <c r="B90" s="288" t="s">
        <v>216</v>
      </c>
      <c r="C90" s="288"/>
      <c r="D90" s="288"/>
      <c r="E90" s="288"/>
      <c r="F90" s="288"/>
      <c r="G90" s="288"/>
      <c r="H90" s="325"/>
      <c r="I90" s="325"/>
      <c r="J90" s="325"/>
      <c r="K90" s="341"/>
      <c r="L90" s="325"/>
      <c r="M90" s="288"/>
      <c r="N90" s="342"/>
      <c r="O90" s="288"/>
      <c r="P90" s="288"/>
      <c r="Q90" s="288"/>
      <c r="R90" s="288"/>
      <c r="S90" s="288"/>
      <c r="T90" s="337"/>
      <c r="U90" s="288"/>
      <c r="V90" s="338">
        <f>3509+4324-471-687</f>
        <v>6675</v>
      </c>
      <c r="W90" s="291"/>
      <c r="X90" s="5"/>
    </row>
    <row r="91" spans="1:24" ht="15.6" x14ac:dyDescent="0.3">
      <c r="A91" s="340"/>
      <c r="B91" s="288" t="s">
        <v>211</v>
      </c>
      <c r="C91" s="288"/>
      <c r="D91" s="288"/>
      <c r="E91" s="288"/>
      <c r="F91" s="288"/>
      <c r="G91" s="288"/>
      <c r="H91" s="325"/>
      <c r="I91" s="325"/>
      <c r="J91" s="325"/>
      <c r="K91" s="341"/>
      <c r="L91" s="325"/>
      <c r="M91" s="288"/>
      <c r="N91" s="342"/>
      <c r="O91" s="288"/>
      <c r="P91" s="288"/>
      <c r="Q91" s="288"/>
      <c r="R91" s="288"/>
      <c r="S91" s="288"/>
      <c r="T91" s="337"/>
      <c r="U91" s="288"/>
      <c r="V91" s="338">
        <f>19+38</f>
        <v>57</v>
      </c>
      <c r="W91" s="291"/>
      <c r="X91" s="5"/>
    </row>
    <row r="92" spans="1:24" ht="15.6" x14ac:dyDescent="0.3">
      <c r="A92" s="340"/>
      <c r="B92" s="288" t="s">
        <v>212</v>
      </c>
      <c r="C92" s="288"/>
      <c r="D92" s="288"/>
      <c r="E92" s="288"/>
      <c r="F92" s="288"/>
      <c r="G92" s="288"/>
      <c r="H92" s="325"/>
      <c r="I92" s="325"/>
      <c r="J92" s="325"/>
      <c r="K92" s="341"/>
      <c r="L92" s="325"/>
      <c r="M92" s="288"/>
      <c r="N92" s="342"/>
      <c r="O92" s="288"/>
      <c r="P92" s="288"/>
      <c r="Q92" s="288"/>
      <c r="R92" s="288"/>
      <c r="S92" s="288"/>
      <c r="T92" s="337"/>
      <c r="U92" s="288"/>
      <c r="V92" s="338">
        <v>39</v>
      </c>
      <c r="W92" s="291"/>
      <c r="X92" s="5"/>
    </row>
    <row r="93" spans="1:24" ht="15.6" x14ac:dyDescent="0.3">
      <c r="A93" s="340"/>
      <c r="B93" s="288" t="s">
        <v>272</v>
      </c>
      <c r="C93" s="288"/>
      <c r="D93" s="288"/>
      <c r="E93" s="288"/>
      <c r="F93" s="288"/>
      <c r="G93" s="288"/>
      <c r="H93" s="325"/>
      <c r="I93" s="325"/>
      <c r="J93" s="325"/>
      <c r="K93" s="341"/>
      <c r="L93" s="325"/>
      <c r="M93" s="288"/>
      <c r="N93" s="342"/>
      <c r="O93" s="288"/>
      <c r="P93" s="288"/>
      <c r="Q93" s="288"/>
      <c r="R93" s="288"/>
      <c r="S93" s="288"/>
      <c r="T93" s="337"/>
      <c r="U93" s="288"/>
      <c r="V93" s="338">
        <v>0</v>
      </c>
      <c r="W93" s="291"/>
      <c r="X93" s="5"/>
    </row>
    <row r="94" spans="1:24" ht="15.6" x14ac:dyDescent="0.3">
      <c r="A94" s="340"/>
      <c r="B94" s="288" t="s">
        <v>274</v>
      </c>
      <c r="C94" s="288"/>
      <c r="D94" s="288"/>
      <c r="E94" s="288"/>
      <c r="F94" s="288"/>
      <c r="G94" s="288"/>
      <c r="H94" s="325"/>
      <c r="I94" s="325"/>
      <c r="J94" s="325"/>
      <c r="K94" s="341"/>
      <c r="L94" s="325"/>
      <c r="M94" s="288"/>
      <c r="N94" s="342"/>
      <c r="O94" s="288"/>
      <c r="P94" s="288"/>
      <c r="Q94" s="288"/>
      <c r="R94" s="288"/>
      <c r="S94" s="288"/>
      <c r="T94" s="337"/>
      <c r="U94" s="288"/>
      <c r="V94" s="338">
        <v>0</v>
      </c>
      <c r="W94" s="291"/>
      <c r="X94" s="5"/>
    </row>
    <row r="95" spans="1:24" ht="15.6" x14ac:dyDescent="0.3">
      <c r="A95" s="340"/>
      <c r="B95" s="288" t="s">
        <v>135</v>
      </c>
      <c r="C95" s="288"/>
      <c r="D95" s="288"/>
      <c r="E95" s="288"/>
      <c r="F95" s="288"/>
      <c r="G95" s="288"/>
      <c r="H95" s="288"/>
      <c r="I95" s="288"/>
      <c r="J95" s="288"/>
      <c r="K95" s="288"/>
      <c r="L95" s="288"/>
      <c r="M95" s="288"/>
      <c r="N95" s="288"/>
      <c r="O95" s="288"/>
      <c r="P95" s="288"/>
      <c r="Q95" s="288"/>
      <c r="R95" s="288"/>
      <c r="S95" s="288"/>
      <c r="T95" s="337"/>
      <c r="U95" s="288"/>
      <c r="V95" s="338">
        <v>0</v>
      </c>
      <c r="W95" s="291"/>
      <c r="X95" s="5"/>
    </row>
    <row r="96" spans="1:24" ht="15.6" x14ac:dyDescent="0.3">
      <c r="A96" s="340"/>
      <c r="B96" s="288" t="s">
        <v>268</v>
      </c>
      <c r="C96" s="288"/>
      <c r="D96" s="288"/>
      <c r="E96" s="288"/>
      <c r="F96" s="288"/>
      <c r="G96" s="288"/>
      <c r="H96" s="288"/>
      <c r="I96" s="288"/>
      <c r="J96" s="288"/>
      <c r="K96" s="288"/>
      <c r="L96" s="288"/>
      <c r="M96" s="288"/>
      <c r="N96" s="288"/>
      <c r="O96" s="288"/>
      <c r="P96" s="288"/>
      <c r="Q96" s="288"/>
      <c r="R96" s="288"/>
      <c r="S96" s="288"/>
      <c r="T96" s="337"/>
      <c r="U96" s="288"/>
      <c r="V96" s="338">
        <v>332</v>
      </c>
      <c r="W96" s="291"/>
      <c r="X96" s="5"/>
    </row>
    <row r="97" spans="1:25" ht="15.6" x14ac:dyDescent="0.3">
      <c r="A97" s="340"/>
      <c r="B97" s="288" t="s">
        <v>30</v>
      </c>
      <c r="C97" s="288"/>
      <c r="D97" s="288"/>
      <c r="E97" s="288"/>
      <c r="F97" s="288"/>
      <c r="G97" s="288"/>
      <c r="H97" s="288"/>
      <c r="I97" s="288"/>
      <c r="J97" s="288"/>
      <c r="K97" s="288"/>
      <c r="L97" s="288"/>
      <c r="M97" s="288"/>
      <c r="N97" s="288"/>
      <c r="O97" s="288"/>
      <c r="P97" s="288"/>
      <c r="Q97" s="288"/>
      <c r="R97" s="288"/>
      <c r="S97" s="288"/>
      <c r="T97" s="337">
        <f>SUM(T88:T96)</f>
        <v>5280</v>
      </c>
      <c r="U97" s="288"/>
      <c r="V97" s="337">
        <f>SUM(V88:V96)</f>
        <v>7103</v>
      </c>
      <c r="W97" s="291"/>
      <c r="X97" s="5"/>
    </row>
    <row r="98" spans="1:25" ht="15.6" x14ac:dyDescent="0.3">
      <c r="A98" s="340"/>
      <c r="B98" s="288" t="s">
        <v>161</v>
      </c>
      <c r="C98" s="288"/>
      <c r="D98" s="288"/>
      <c r="E98" s="288"/>
      <c r="F98" s="288"/>
      <c r="G98" s="288"/>
      <c r="H98" s="288"/>
      <c r="I98" s="288"/>
      <c r="J98" s="288"/>
      <c r="K98" s="288"/>
      <c r="L98" s="288"/>
      <c r="M98" s="288"/>
      <c r="N98" s="288"/>
      <c r="O98" s="288"/>
      <c r="P98" s="288"/>
      <c r="Q98" s="288"/>
      <c r="R98" s="288"/>
      <c r="S98" s="288"/>
      <c r="T98" s="337">
        <f>-V98</f>
        <v>-1</v>
      </c>
      <c r="U98" s="288"/>
      <c r="V98" s="337">
        <v>1</v>
      </c>
      <c r="W98" s="291"/>
      <c r="X98" s="5"/>
    </row>
    <row r="99" spans="1:25" ht="15.6" x14ac:dyDescent="0.3">
      <c r="A99" s="340"/>
      <c r="B99" s="288" t="s">
        <v>31</v>
      </c>
      <c r="C99" s="288"/>
      <c r="D99" s="288"/>
      <c r="E99" s="288"/>
      <c r="F99" s="288"/>
      <c r="G99" s="288"/>
      <c r="H99" s="288"/>
      <c r="I99" s="288"/>
      <c r="J99" s="288"/>
      <c r="K99" s="288"/>
      <c r="L99" s="288"/>
      <c r="M99" s="288"/>
      <c r="N99" s="288"/>
      <c r="O99" s="288"/>
      <c r="P99" s="288"/>
      <c r="Q99" s="288"/>
      <c r="R99" s="288"/>
      <c r="S99" s="288"/>
      <c r="T99" s="337">
        <f>-V99</f>
        <v>0</v>
      </c>
      <c r="U99" s="288"/>
      <c r="V99" s="338">
        <v>0</v>
      </c>
      <c r="W99" s="291"/>
      <c r="X99" s="5"/>
    </row>
    <row r="100" spans="1:25" ht="15.6" x14ac:dyDescent="0.3">
      <c r="A100" s="340"/>
      <c r="B100" s="288" t="s">
        <v>283</v>
      </c>
      <c r="C100" s="288"/>
      <c r="D100" s="288"/>
      <c r="E100" s="288"/>
      <c r="F100" s="288"/>
      <c r="G100" s="288"/>
      <c r="H100" s="288"/>
      <c r="I100" s="288"/>
      <c r="J100" s="288"/>
      <c r="K100" s="288"/>
      <c r="L100" s="288"/>
      <c r="M100" s="288"/>
      <c r="N100" s="288"/>
      <c r="O100" s="288"/>
      <c r="P100" s="288"/>
      <c r="Q100" s="288"/>
      <c r="R100" s="288"/>
      <c r="S100" s="288"/>
      <c r="T100" s="337"/>
      <c r="U100" s="288"/>
      <c r="V100" s="338">
        <v>-104</v>
      </c>
      <c r="W100" s="291"/>
      <c r="X100" s="5"/>
    </row>
    <row r="101" spans="1:25" ht="15.6" x14ac:dyDescent="0.3">
      <c r="A101" s="340"/>
      <c r="B101" s="288" t="s">
        <v>32</v>
      </c>
      <c r="C101" s="288"/>
      <c r="D101" s="288"/>
      <c r="E101" s="288"/>
      <c r="F101" s="288"/>
      <c r="G101" s="288"/>
      <c r="H101" s="288"/>
      <c r="I101" s="288"/>
      <c r="J101" s="288"/>
      <c r="K101" s="288"/>
      <c r="L101" s="288"/>
      <c r="M101" s="288"/>
      <c r="N101" s="288"/>
      <c r="O101" s="288"/>
      <c r="P101" s="288"/>
      <c r="Q101" s="288"/>
      <c r="R101" s="288"/>
      <c r="S101" s="288"/>
      <c r="T101" s="337">
        <f>T97+T99+T98</f>
        <v>5279</v>
      </c>
      <c r="U101" s="288"/>
      <c r="V101" s="337">
        <f>V97+V99+V98+V100</f>
        <v>7000</v>
      </c>
      <c r="W101" s="291"/>
      <c r="X101" s="5"/>
    </row>
    <row r="102" spans="1:25" ht="15.6" x14ac:dyDescent="0.3">
      <c r="A102" s="287"/>
      <c r="B102" s="343" t="s">
        <v>33</v>
      </c>
      <c r="C102" s="314"/>
      <c r="D102" s="314"/>
      <c r="E102" s="314"/>
      <c r="F102" s="314"/>
      <c r="G102" s="314"/>
      <c r="H102" s="314"/>
      <c r="I102" s="314"/>
      <c r="J102" s="314"/>
      <c r="K102" s="314"/>
      <c r="L102" s="314"/>
      <c r="M102" s="314"/>
      <c r="N102" s="314"/>
      <c r="O102" s="314"/>
      <c r="P102" s="314"/>
      <c r="Q102" s="314"/>
      <c r="R102" s="314"/>
      <c r="S102" s="314"/>
      <c r="T102" s="344"/>
      <c r="U102" s="314"/>
      <c r="V102" s="345"/>
      <c r="W102" s="318"/>
      <c r="X102" s="5"/>
    </row>
    <row r="103" spans="1:25" ht="15.6" x14ac:dyDescent="0.3">
      <c r="A103" s="340">
        <v>1</v>
      </c>
      <c r="B103" s="288" t="s">
        <v>34</v>
      </c>
      <c r="C103" s="288"/>
      <c r="D103" s="288"/>
      <c r="E103" s="288"/>
      <c r="F103" s="288"/>
      <c r="G103" s="288"/>
      <c r="H103" s="288"/>
      <c r="I103" s="288"/>
      <c r="J103" s="288"/>
      <c r="K103" s="288"/>
      <c r="L103" s="288"/>
      <c r="M103" s="288"/>
      <c r="N103" s="288"/>
      <c r="O103" s="288"/>
      <c r="P103" s="288"/>
      <c r="Q103" s="288"/>
      <c r="R103" s="288"/>
      <c r="S103" s="288"/>
      <c r="T103" s="288"/>
      <c r="U103" s="288"/>
      <c r="V103" s="338">
        <v>0</v>
      </c>
      <c r="W103" s="291"/>
      <c r="X103" s="5"/>
    </row>
    <row r="104" spans="1:25" ht="15.6" x14ac:dyDescent="0.3">
      <c r="A104" s="340">
        <f>+A103+1</f>
        <v>2</v>
      </c>
      <c r="B104" s="288" t="s">
        <v>330</v>
      </c>
      <c r="C104" s="288"/>
      <c r="D104" s="288"/>
      <c r="E104" s="288"/>
      <c r="F104" s="288"/>
      <c r="G104" s="288"/>
      <c r="H104" s="288"/>
      <c r="I104" s="288"/>
      <c r="J104" s="288"/>
      <c r="K104" s="288"/>
      <c r="L104" s="288"/>
      <c r="M104" s="288"/>
      <c r="N104" s="288"/>
      <c r="O104" s="288"/>
      <c r="P104" s="288"/>
      <c r="Q104" s="288"/>
      <c r="R104" s="288"/>
      <c r="S104" s="288"/>
      <c r="T104" s="288"/>
      <c r="U104" s="288"/>
      <c r="V104" s="338">
        <v>-2</v>
      </c>
      <c r="W104" s="291"/>
      <c r="X104" s="5"/>
    </row>
    <row r="105" spans="1:25" ht="15.6" x14ac:dyDescent="0.3">
      <c r="A105" s="340">
        <f>+A104+1</f>
        <v>3</v>
      </c>
      <c r="B105" s="288" t="s">
        <v>331</v>
      </c>
      <c r="C105" s="288"/>
      <c r="D105" s="288"/>
      <c r="E105" s="288"/>
      <c r="F105" s="288"/>
      <c r="G105" s="288"/>
      <c r="H105" s="288"/>
      <c r="I105" s="288"/>
      <c r="J105" s="288"/>
      <c r="K105" s="288"/>
      <c r="L105" s="288"/>
      <c r="M105" s="288"/>
      <c r="N105" s="288"/>
      <c r="O105" s="288"/>
      <c r="P105" s="288"/>
      <c r="Q105" s="288"/>
      <c r="R105" s="288"/>
      <c r="S105" s="288"/>
      <c r="T105" s="288"/>
      <c r="U105" s="288"/>
      <c r="V105" s="338">
        <f>-137-272-13</f>
        <v>-422</v>
      </c>
      <c r="W105" s="291"/>
      <c r="X105" s="5"/>
    </row>
    <row r="106" spans="1:25" ht="15.6" x14ac:dyDescent="0.3">
      <c r="A106" s="340" t="s">
        <v>127</v>
      </c>
      <c r="B106" s="288" t="s">
        <v>116</v>
      </c>
      <c r="C106" s="288"/>
      <c r="D106" s="288"/>
      <c r="E106" s="288"/>
      <c r="F106" s="288"/>
      <c r="G106" s="288"/>
      <c r="H106" s="288"/>
      <c r="I106" s="288"/>
      <c r="J106" s="288"/>
      <c r="K106" s="288"/>
      <c r="L106" s="288"/>
      <c r="M106" s="288"/>
      <c r="N106" s="288"/>
      <c r="O106" s="288"/>
      <c r="P106" s="288"/>
      <c r="Q106" s="288"/>
      <c r="R106" s="288"/>
      <c r="S106" s="288"/>
      <c r="T106" s="288"/>
      <c r="U106" s="288"/>
      <c r="V106" s="338">
        <v>0</v>
      </c>
      <c r="W106" s="291"/>
      <c r="X106" s="5"/>
    </row>
    <row r="107" spans="1:25" ht="15.6" x14ac:dyDescent="0.3">
      <c r="A107" s="340" t="s">
        <v>128</v>
      </c>
      <c r="B107" s="288" t="s">
        <v>222</v>
      </c>
      <c r="C107" s="288"/>
      <c r="D107" s="288"/>
      <c r="E107" s="288"/>
      <c r="F107" s="288"/>
      <c r="G107" s="288"/>
      <c r="H107" s="288"/>
      <c r="I107" s="288"/>
      <c r="J107" s="288"/>
      <c r="K107" s="288"/>
      <c r="L107" s="288"/>
      <c r="M107" s="288"/>
      <c r="N107" s="288"/>
      <c r="O107" s="288"/>
      <c r="P107" s="288"/>
      <c r="Q107" s="288"/>
      <c r="R107" s="288"/>
      <c r="S107" s="288"/>
      <c r="T107" s="288"/>
      <c r="U107" s="288"/>
      <c r="V107" s="338">
        <f>-1611+150</f>
        <v>-1461</v>
      </c>
      <c r="W107" s="291"/>
      <c r="X107" s="5"/>
      <c r="Y107" s="109"/>
    </row>
    <row r="108" spans="1:25" ht="15.6" x14ac:dyDescent="0.3">
      <c r="A108" s="340" t="s">
        <v>150</v>
      </c>
      <c r="B108" s="288" t="s">
        <v>184</v>
      </c>
      <c r="C108" s="288"/>
      <c r="D108" s="288"/>
      <c r="E108" s="288"/>
      <c r="F108" s="288"/>
      <c r="G108" s="288"/>
      <c r="H108" s="288"/>
      <c r="I108" s="288"/>
      <c r="J108" s="288"/>
      <c r="K108" s="288"/>
      <c r="L108" s="288"/>
      <c r="M108" s="288"/>
      <c r="N108" s="288"/>
      <c r="O108" s="288"/>
      <c r="P108" s="288"/>
      <c r="Q108" s="288"/>
      <c r="R108" s="288"/>
      <c r="S108" s="288"/>
      <c r="T108" s="288"/>
      <c r="U108" s="288"/>
      <c r="V108" s="338">
        <v>-150</v>
      </c>
      <c r="W108" s="291"/>
      <c r="X108" s="5"/>
      <c r="Y108" s="109"/>
    </row>
    <row r="109" spans="1:25" ht="15.6" x14ac:dyDescent="0.3">
      <c r="A109" s="340" t="s">
        <v>236</v>
      </c>
      <c r="B109" s="288" t="s">
        <v>238</v>
      </c>
      <c r="C109" s="288"/>
      <c r="D109" s="288"/>
      <c r="E109" s="288"/>
      <c r="F109" s="288"/>
      <c r="G109" s="288"/>
      <c r="H109" s="288"/>
      <c r="I109" s="288"/>
      <c r="J109" s="288"/>
      <c r="K109" s="288"/>
      <c r="L109" s="288"/>
      <c r="M109" s="288"/>
      <c r="N109" s="288"/>
      <c r="O109" s="288"/>
      <c r="P109" s="288"/>
      <c r="Q109" s="288"/>
      <c r="R109" s="288"/>
      <c r="S109" s="288"/>
      <c r="T109" s="288"/>
      <c r="U109" s="288"/>
      <c r="V109" s="338">
        <v>-1</v>
      </c>
      <c r="W109" s="291"/>
      <c r="X109" s="5"/>
    </row>
    <row r="110" spans="1:25" ht="15.6" x14ac:dyDescent="0.3">
      <c r="A110" s="340" t="s">
        <v>205</v>
      </c>
      <c r="B110" s="288" t="s">
        <v>185</v>
      </c>
      <c r="C110" s="288"/>
      <c r="D110" s="288"/>
      <c r="E110" s="288"/>
      <c r="F110" s="288"/>
      <c r="G110" s="288"/>
      <c r="H110" s="288"/>
      <c r="I110" s="288"/>
      <c r="J110" s="288"/>
      <c r="K110" s="288"/>
      <c r="L110" s="288"/>
      <c r="M110" s="288"/>
      <c r="N110" s="288"/>
      <c r="O110" s="288"/>
      <c r="P110" s="288"/>
      <c r="Q110" s="288"/>
      <c r="R110" s="288"/>
      <c r="S110" s="288"/>
      <c r="T110" s="288"/>
      <c r="U110" s="288"/>
      <c r="V110" s="338">
        <v>-137</v>
      </c>
      <c r="W110" s="291"/>
      <c r="X110" s="5"/>
      <c r="Y110" s="109"/>
    </row>
    <row r="111" spans="1:25" ht="15.6" x14ac:dyDescent="0.3">
      <c r="A111" s="340" t="s">
        <v>206</v>
      </c>
      <c r="B111" s="288" t="s">
        <v>186</v>
      </c>
      <c r="C111" s="288"/>
      <c r="D111" s="288"/>
      <c r="E111" s="288"/>
      <c r="F111" s="288"/>
      <c r="G111" s="288"/>
      <c r="H111" s="288"/>
      <c r="I111" s="288"/>
      <c r="J111" s="288"/>
      <c r="K111" s="288"/>
      <c r="L111" s="288"/>
      <c r="M111" s="288"/>
      <c r="N111" s="288"/>
      <c r="O111" s="288"/>
      <c r="P111" s="288"/>
      <c r="Q111" s="288"/>
      <c r="R111" s="288"/>
      <c r="S111" s="288"/>
      <c r="T111" s="288"/>
      <c r="U111" s="288"/>
      <c r="V111" s="338">
        <v>-110</v>
      </c>
      <c r="W111" s="291"/>
      <c r="X111" s="179"/>
      <c r="Y111" s="109"/>
    </row>
    <row r="112" spans="1:25" ht="15.6" x14ac:dyDescent="0.3">
      <c r="A112" s="340" t="s">
        <v>207</v>
      </c>
      <c r="B112" s="288" t="s">
        <v>196</v>
      </c>
      <c r="C112" s="288"/>
      <c r="D112" s="288"/>
      <c r="E112" s="288"/>
      <c r="F112" s="288"/>
      <c r="G112" s="288"/>
      <c r="H112" s="288"/>
      <c r="I112" s="288"/>
      <c r="J112" s="288"/>
      <c r="K112" s="288"/>
      <c r="L112" s="288"/>
      <c r="M112" s="288"/>
      <c r="N112" s="288"/>
      <c r="O112" s="288"/>
      <c r="P112" s="288"/>
      <c r="Q112" s="288"/>
      <c r="R112" s="288"/>
      <c r="S112" s="288"/>
      <c r="T112" s="288"/>
      <c r="U112" s="288"/>
      <c r="V112" s="338">
        <v>-309</v>
      </c>
      <c r="W112" s="291"/>
      <c r="X112" s="5"/>
      <c r="Y112" s="109"/>
    </row>
    <row r="113" spans="1:25" ht="15.6" x14ac:dyDescent="0.3">
      <c r="A113" s="340" t="s">
        <v>224</v>
      </c>
      <c r="B113" s="288" t="s">
        <v>223</v>
      </c>
      <c r="C113" s="288"/>
      <c r="D113" s="288"/>
      <c r="E113" s="288"/>
      <c r="F113" s="288"/>
      <c r="G113" s="288"/>
      <c r="H113" s="288"/>
      <c r="I113" s="288"/>
      <c r="J113" s="288"/>
      <c r="K113" s="288"/>
      <c r="L113" s="288"/>
      <c r="M113" s="288"/>
      <c r="N113" s="288"/>
      <c r="O113" s="288"/>
      <c r="P113" s="288"/>
      <c r="Q113" s="288"/>
      <c r="R113" s="288"/>
      <c r="S113" s="288"/>
      <c r="T113" s="288"/>
      <c r="U113" s="288"/>
      <c r="V113" s="338">
        <v>-62</v>
      </c>
      <c r="W113" s="291"/>
      <c r="X113" s="5"/>
      <c r="Y113" s="109"/>
    </row>
    <row r="114" spans="1:25" ht="15.6" x14ac:dyDescent="0.3">
      <c r="A114" s="340">
        <v>7</v>
      </c>
      <c r="B114" s="288" t="s">
        <v>35</v>
      </c>
      <c r="C114" s="288"/>
      <c r="D114" s="288"/>
      <c r="E114" s="288"/>
      <c r="F114" s="288"/>
      <c r="G114" s="288"/>
      <c r="H114" s="288"/>
      <c r="I114" s="288"/>
      <c r="J114" s="288"/>
      <c r="K114" s="288"/>
      <c r="L114" s="288"/>
      <c r="M114" s="288"/>
      <c r="N114" s="288"/>
      <c r="O114" s="288"/>
      <c r="P114" s="288"/>
      <c r="Q114" s="288"/>
      <c r="R114" s="288"/>
      <c r="S114" s="288"/>
      <c r="T114" s="288"/>
      <c r="U114" s="288"/>
      <c r="V114" s="338">
        <v>-10</v>
      </c>
      <c r="W114" s="291"/>
      <c r="X114" s="5"/>
    </row>
    <row r="115" spans="1:25" ht="15.6" x14ac:dyDescent="0.3">
      <c r="A115" s="340">
        <f t="shared" ref="A115:A121" si="0">+A114+1</f>
        <v>8</v>
      </c>
      <c r="B115" s="288" t="s">
        <v>45</v>
      </c>
      <c r="C115" s="288"/>
      <c r="D115" s="288"/>
      <c r="E115" s="288"/>
      <c r="F115" s="288"/>
      <c r="G115" s="288"/>
      <c r="H115" s="288"/>
      <c r="I115" s="288"/>
      <c r="J115" s="288"/>
      <c r="K115" s="288"/>
      <c r="L115" s="288"/>
      <c r="M115" s="288"/>
      <c r="N115" s="288"/>
      <c r="O115" s="288"/>
      <c r="P115" s="288"/>
      <c r="Q115" s="288"/>
      <c r="R115" s="288"/>
      <c r="S115" s="288"/>
      <c r="T115" s="337">
        <f>-V115</f>
        <v>40</v>
      </c>
      <c r="U115" s="288"/>
      <c r="V115" s="338">
        <v>-40</v>
      </c>
      <c r="W115" s="291"/>
      <c r="X115" s="5"/>
    </row>
    <row r="116" spans="1:25" ht="15.6" x14ac:dyDescent="0.3">
      <c r="A116" s="340">
        <f t="shared" si="0"/>
        <v>9</v>
      </c>
      <c r="B116" s="288" t="s">
        <v>125</v>
      </c>
      <c r="C116" s="288"/>
      <c r="D116" s="288"/>
      <c r="E116" s="288"/>
      <c r="F116" s="288"/>
      <c r="G116" s="288"/>
      <c r="H116" s="288"/>
      <c r="I116" s="288"/>
      <c r="J116" s="288"/>
      <c r="K116" s="288"/>
      <c r="L116" s="288"/>
      <c r="M116" s="288"/>
      <c r="N116" s="288"/>
      <c r="O116" s="288"/>
      <c r="P116" s="288"/>
      <c r="Q116" s="288"/>
      <c r="R116" s="288"/>
      <c r="S116" s="288"/>
      <c r="T116" s="288"/>
      <c r="U116" s="288"/>
      <c r="V116" s="338">
        <v>0</v>
      </c>
      <c r="W116" s="291"/>
      <c r="X116" s="5"/>
    </row>
    <row r="117" spans="1:25" ht="15.6" x14ac:dyDescent="0.3">
      <c r="A117" s="340">
        <f t="shared" si="0"/>
        <v>10</v>
      </c>
      <c r="B117" s="288" t="s">
        <v>240</v>
      </c>
      <c r="C117" s="288"/>
      <c r="D117" s="288"/>
      <c r="E117" s="288"/>
      <c r="F117" s="288"/>
      <c r="G117" s="288"/>
      <c r="H117" s="288"/>
      <c r="I117" s="288"/>
      <c r="J117" s="288"/>
      <c r="K117" s="288"/>
      <c r="L117" s="288"/>
      <c r="M117" s="288"/>
      <c r="N117" s="288"/>
      <c r="O117" s="288"/>
      <c r="P117" s="288"/>
      <c r="Q117" s="288"/>
      <c r="R117" s="288"/>
      <c r="S117" s="288"/>
      <c r="T117" s="288"/>
      <c r="U117" s="288"/>
      <c r="V117" s="338">
        <v>0</v>
      </c>
      <c r="W117" s="291"/>
      <c r="X117" s="5"/>
    </row>
    <row r="118" spans="1:25" ht="15.6" x14ac:dyDescent="0.3">
      <c r="A118" s="340">
        <f t="shared" si="0"/>
        <v>11</v>
      </c>
      <c r="B118" s="288" t="s">
        <v>36</v>
      </c>
      <c r="C118" s="288"/>
      <c r="D118" s="288"/>
      <c r="E118" s="288"/>
      <c r="F118" s="288"/>
      <c r="G118" s="288"/>
      <c r="H118" s="288"/>
      <c r="I118" s="288"/>
      <c r="J118" s="288"/>
      <c r="K118" s="288"/>
      <c r="L118" s="288"/>
      <c r="M118" s="288"/>
      <c r="N118" s="288"/>
      <c r="O118" s="288"/>
      <c r="P118" s="288"/>
      <c r="Q118" s="288"/>
      <c r="R118" s="288"/>
      <c r="S118" s="288"/>
      <c r="T118" s="288"/>
      <c r="U118" s="288"/>
      <c r="V118" s="338">
        <v>0</v>
      </c>
      <c r="W118" s="291"/>
      <c r="X118" s="5"/>
    </row>
    <row r="119" spans="1:25" ht="15.6" x14ac:dyDescent="0.3">
      <c r="A119" s="340">
        <f t="shared" si="0"/>
        <v>12</v>
      </c>
      <c r="B119" s="288" t="s">
        <v>239</v>
      </c>
      <c r="C119" s="288"/>
      <c r="D119" s="288"/>
      <c r="E119" s="288"/>
      <c r="F119" s="288"/>
      <c r="G119" s="288"/>
      <c r="H119" s="288"/>
      <c r="I119" s="288"/>
      <c r="J119" s="288"/>
      <c r="K119" s="288"/>
      <c r="L119" s="288"/>
      <c r="M119" s="288"/>
      <c r="N119" s="288"/>
      <c r="O119" s="288"/>
      <c r="P119" s="288"/>
      <c r="Q119" s="288"/>
      <c r="R119" s="288"/>
      <c r="S119" s="288"/>
      <c r="T119" s="288"/>
      <c r="U119" s="288"/>
      <c r="V119" s="338">
        <v>0</v>
      </c>
      <c r="W119" s="291"/>
      <c r="X119" s="5"/>
    </row>
    <row r="120" spans="1:25" ht="15.6" x14ac:dyDescent="0.3">
      <c r="A120" s="340">
        <f t="shared" si="0"/>
        <v>13</v>
      </c>
      <c r="B120" s="288" t="s">
        <v>149</v>
      </c>
      <c r="C120" s="288"/>
      <c r="D120" s="288"/>
      <c r="E120" s="288"/>
      <c r="F120" s="288"/>
      <c r="G120" s="288"/>
      <c r="H120" s="288"/>
      <c r="I120" s="288"/>
      <c r="J120" s="288"/>
      <c r="K120" s="288"/>
      <c r="L120" s="288"/>
      <c r="M120" s="288"/>
      <c r="N120" s="288"/>
      <c r="O120" s="288"/>
      <c r="P120" s="288"/>
      <c r="Q120" s="288"/>
      <c r="R120" s="288"/>
      <c r="S120" s="288"/>
      <c r="T120" s="288"/>
      <c r="U120" s="288"/>
      <c r="V120" s="338">
        <v>-687</v>
      </c>
      <c r="W120" s="291"/>
      <c r="X120" s="5"/>
    </row>
    <row r="121" spans="1:25" ht="15.6" x14ac:dyDescent="0.3">
      <c r="A121" s="340">
        <f t="shared" si="0"/>
        <v>14</v>
      </c>
      <c r="B121" s="288" t="s">
        <v>126</v>
      </c>
      <c r="C121" s="288"/>
      <c r="D121" s="288"/>
      <c r="E121" s="288"/>
      <c r="F121" s="288"/>
      <c r="G121" s="288"/>
      <c r="H121" s="288"/>
      <c r="I121" s="288"/>
      <c r="J121" s="288"/>
      <c r="K121" s="288"/>
      <c r="L121" s="288"/>
      <c r="M121" s="288"/>
      <c r="N121" s="288"/>
      <c r="O121" s="288"/>
      <c r="P121" s="288"/>
      <c r="Q121" s="288"/>
      <c r="R121" s="288"/>
      <c r="S121" s="288"/>
      <c r="T121" s="288"/>
      <c r="U121" s="288"/>
      <c r="V121" s="338">
        <f>-V101-SUM(V103:V120)</f>
        <v>-3609</v>
      </c>
      <c r="W121" s="291"/>
      <c r="X121" s="5"/>
    </row>
    <row r="122" spans="1:25" ht="15.6" x14ac:dyDescent="0.3">
      <c r="A122" s="287"/>
      <c r="B122" s="343" t="s">
        <v>37</v>
      </c>
      <c r="C122" s="314"/>
      <c r="D122" s="314"/>
      <c r="E122" s="314"/>
      <c r="F122" s="314"/>
      <c r="G122" s="314"/>
      <c r="H122" s="314"/>
      <c r="I122" s="314"/>
      <c r="J122" s="314"/>
      <c r="K122" s="314"/>
      <c r="L122" s="314"/>
      <c r="M122" s="314"/>
      <c r="N122" s="314"/>
      <c r="O122" s="314"/>
      <c r="P122" s="314"/>
      <c r="Q122" s="314"/>
      <c r="R122" s="314"/>
      <c r="S122" s="314"/>
      <c r="T122" s="314"/>
      <c r="U122" s="314"/>
      <c r="V122" s="346"/>
      <c r="W122" s="318"/>
      <c r="X122" s="5"/>
    </row>
    <row r="123" spans="1:25" ht="15.6" x14ac:dyDescent="0.3">
      <c r="A123" s="340"/>
      <c r="B123" s="288" t="s">
        <v>173</v>
      </c>
      <c r="C123" s="288"/>
      <c r="D123" s="288"/>
      <c r="E123" s="288"/>
      <c r="F123" s="288"/>
      <c r="G123" s="288"/>
      <c r="H123" s="288"/>
      <c r="I123" s="288"/>
      <c r="J123" s="288"/>
      <c r="K123" s="288"/>
      <c r="L123" s="288"/>
      <c r="M123" s="288"/>
      <c r="N123" s="288"/>
      <c r="O123" s="288"/>
      <c r="P123" s="288"/>
      <c r="Q123" s="288"/>
      <c r="R123" s="288"/>
      <c r="S123" s="288"/>
      <c r="T123" s="337">
        <f>-T189</f>
        <v>0</v>
      </c>
      <c r="U123" s="337"/>
      <c r="V123" s="338"/>
      <c r="W123" s="291"/>
      <c r="X123" s="5"/>
    </row>
    <row r="124" spans="1:25" ht="15.6" x14ac:dyDescent="0.3">
      <c r="A124" s="340"/>
      <c r="B124" s="288" t="s">
        <v>174</v>
      </c>
      <c r="C124" s="288"/>
      <c r="D124" s="288"/>
      <c r="E124" s="288"/>
      <c r="F124" s="288"/>
      <c r="G124" s="288"/>
      <c r="H124" s="288"/>
      <c r="I124" s="288"/>
      <c r="J124" s="288"/>
      <c r="K124" s="288"/>
      <c r="L124" s="288"/>
      <c r="M124" s="288"/>
      <c r="N124" s="288"/>
      <c r="O124" s="288"/>
      <c r="P124" s="288"/>
      <c r="Q124" s="288"/>
      <c r="R124" s="288"/>
      <c r="S124" s="288"/>
      <c r="T124" s="337">
        <v>-1</v>
      </c>
      <c r="U124" s="337"/>
      <c r="V124" s="338"/>
      <c r="W124" s="291"/>
      <c r="X124" s="5"/>
    </row>
    <row r="125" spans="1:25" ht="15.6" x14ac:dyDescent="0.3">
      <c r="A125" s="340"/>
      <c r="B125" s="288" t="s">
        <v>38</v>
      </c>
      <c r="C125" s="288"/>
      <c r="D125" s="288"/>
      <c r="E125" s="288"/>
      <c r="F125" s="288"/>
      <c r="G125" s="288"/>
      <c r="H125" s="288"/>
      <c r="I125" s="288"/>
      <c r="J125" s="288"/>
      <c r="K125" s="288"/>
      <c r="L125" s="288"/>
      <c r="M125" s="288"/>
      <c r="N125" s="288"/>
      <c r="O125" s="288"/>
      <c r="P125" s="288"/>
      <c r="Q125" s="288"/>
      <c r="R125" s="288"/>
      <c r="S125" s="288"/>
      <c r="T125" s="337">
        <f>-S189</f>
        <v>-25</v>
      </c>
      <c r="U125" s="337"/>
      <c r="V125" s="338"/>
      <c r="W125" s="291"/>
      <c r="X125" s="5"/>
    </row>
    <row r="126" spans="1:25" ht="15.6" x14ac:dyDescent="0.3">
      <c r="A126" s="340"/>
      <c r="B126" s="288" t="s">
        <v>197</v>
      </c>
      <c r="C126" s="288"/>
      <c r="D126" s="288"/>
      <c r="E126" s="288"/>
      <c r="F126" s="288"/>
      <c r="G126" s="288"/>
      <c r="H126" s="288"/>
      <c r="I126" s="288"/>
      <c r="J126" s="288"/>
      <c r="K126" s="288"/>
      <c r="L126" s="288"/>
      <c r="M126" s="288"/>
      <c r="N126" s="288"/>
      <c r="O126" s="288"/>
      <c r="P126" s="288"/>
      <c r="Q126" s="288"/>
      <c r="R126" s="288"/>
      <c r="S126" s="288"/>
      <c r="T126" s="337">
        <v>-3218</v>
      </c>
      <c r="U126" s="337"/>
      <c r="V126" s="338"/>
      <c r="W126" s="291"/>
      <c r="X126" s="5"/>
    </row>
    <row r="127" spans="1:25" ht="15.6" x14ac:dyDescent="0.3">
      <c r="A127" s="340"/>
      <c r="B127" s="288" t="s">
        <v>195</v>
      </c>
      <c r="C127" s="288"/>
      <c r="D127" s="288"/>
      <c r="E127" s="288"/>
      <c r="F127" s="288"/>
      <c r="G127" s="288"/>
      <c r="H127" s="288"/>
      <c r="I127" s="288"/>
      <c r="J127" s="288"/>
      <c r="K127" s="288"/>
      <c r="L127" s="288"/>
      <c r="M127" s="288"/>
      <c r="N127" s="288"/>
      <c r="O127" s="288"/>
      <c r="P127" s="288"/>
      <c r="Q127" s="288"/>
      <c r="R127" s="288"/>
      <c r="S127" s="288"/>
      <c r="T127" s="337">
        <v>-519</v>
      </c>
      <c r="U127" s="337"/>
      <c r="V127" s="338"/>
      <c r="W127" s="291"/>
      <c r="X127" s="5"/>
    </row>
    <row r="128" spans="1:25" ht="15.6" x14ac:dyDescent="0.3">
      <c r="A128" s="340"/>
      <c r="B128" s="288" t="s">
        <v>194</v>
      </c>
      <c r="C128" s="288"/>
      <c r="D128" s="288"/>
      <c r="E128" s="288"/>
      <c r="F128" s="288"/>
      <c r="G128" s="288"/>
      <c r="H128" s="288"/>
      <c r="I128" s="288"/>
      <c r="J128" s="288"/>
      <c r="K128" s="288"/>
      <c r="L128" s="288"/>
      <c r="M128" s="288"/>
      <c r="N128" s="288"/>
      <c r="O128" s="288"/>
      <c r="P128" s="288"/>
      <c r="Q128" s="288"/>
      <c r="R128" s="288"/>
      <c r="S128" s="288"/>
      <c r="T128" s="337">
        <v>-698</v>
      </c>
      <c r="U128" s="337"/>
      <c r="V128" s="338"/>
      <c r="W128" s="291"/>
      <c r="X128" s="5"/>
    </row>
    <row r="129" spans="1:24" ht="15.6" x14ac:dyDescent="0.3">
      <c r="A129" s="340"/>
      <c r="B129" s="288" t="s">
        <v>226</v>
      </c>
      <c r="C129" s="288"/>
      <c r="D129" s="288"/>
      <c r="E129" s="288"/>
      <c r="F129" s="288"/>
      <c r="G129" s="288"/>
      <c r="H129" s="288"/>
      <c r="I129" s="288"/>
      <c r="J129" s="288"/>
      <c r="K129" s="288"/>
      <c r="L129" s="288"/>
      <c r="M129" s="288"/>
      <c r="N129" s="288"/>
      <c r="O129" s="288"/>
      <c r="P129" s="288"/>
      <c r="Q129" s="288"/>
      <c r="R129" s="288"/>
      <c r="S129" s="288"/>
      <c r="T129" s="337">
        <v>-858</v>
      </c>
      <c r="U129" s="337"/>
      <c r="V129" s="338"/>
      <c r="W129" s="291"/>
      <c r="X129" s="5"/>
    </row>
    <row r="130" spans="1:24" ht="15.6" x14ac:dyDescent="0.3">
      <c r="A130" s="340"/>
      <c r="B130" s="288" t="s">
        <v>189</v>
      </c>
      <c r="C130" s="288"/>
      <c r="D130" s="288"/>
      <c r="E130" s="288"/>
      <c r="F130" s="288"/>
      <c r="G130" s="288"/>
      <c r="H130" s="288"/>
      <c r="I130" s="288"/>
      <c r="J130" s="288"/>
      <c r="K130" s="288"/>
      <c r="L130" s="288"/>
      <c r="M130" s="288"/>
      <c r="N130" s="288"/>
      <c r="O130" s="288"/>
      <c r="P130" s="288"/>
      <c r="Q130" s="288"/>
      <c r="R130" s="288"/>
      <c r="S130" s="288"/>
      <c r="T130" s="337">
        <v>0</v>
      </c>
      <c r="U130" s="337"/>
      <c r="V130" s="338"/>
      <c r="W130" s="291"/>
      <c r="X130" s="5"/>
    </row>
    <row r="131" spans="1:24" ht="15.6" x14ac:dyDescent="0.3">
      <c r="A131" s="340"/>
      <c r="B131" s="288" t="s">
        <v>188</v>
      </c>
      <c r="C131" s="288"/>
      <c r="D131" s="288"/>
      <c r="E131" s="288"/>
      <c r="F131" s="288"/>
      <c r="G131" s="288"/>
      <c r="H131" s="288"/>
      <c r="I131" s="288"/>
      <c r="J131" s="288"/>
      <c r="K131" s="288"/>
      <c r="L131" s="288"/>
      <c r="M131" s="288"/>
      <c r="N131" s="288"/>
      <c r="O131" s="288"/>
      <c r="P131" s="288"/>
      <c r="Q131" s="288"/>
      <c r="R131" s="288"/>
      <c r="S131" s="288"/>
      <c r="T131" s="337">
        <v>0</v>
      </c>
      <c r="U131" s="337"/>
      <c r="V131" s="338"/>
      <c r="W131" s="291"/>
      <c r="X131" s="5"/>
    </row>
    <row r="132" spans="1:24" ht="15.6" x14ac:dyDescent="0.3">
      <c r="A132" s="340"/>
      <c r="B132" s="288" t="s">
        <v>227</v>
      </c>
      <c r="C132" s="288"/>
      <c r="D132" s="288"/>
      <c r="E132" s="288"/>
      <c r="F132" s="288"/>
      <c r="G132" s="288"/>
      <c r="H132" s="288"/>
      <c r="I132" s="288"/>
      <c r="J132" s="288"/>
      <c r="K132" s="288"/>
      <c r="L132" s="288"/>
      <c r="M132" s="288"/>
      <c r="N132" s="288"/>
      <c r="O132" s="288"/>
      <c r="P132" s="288"/>
      <c r="Q132" s="288"/>
      <c r="R132" s="288"/>
      <c r="S132" s="288"/>
      <c r="T132" s="337">
        <v>0</v>
      </c>
      <c r="U132" s="337"/>
      <c r="V132" s="338"/>
      <c r="W132" s="291"/>
      <c r="X132" s="5"/>
    </row>
    <row r="133" spans="1:24" ht="15.6" x14ac:dyDescent="0.3">
      <c r="A133" s="340"/>
      <c r="B133" s="288" t="s">
        <v>187</v>
      </c>
      <c r="C133" s="288"/>
      <c r="D133" s="288"/>
      <c r="E133" s="288"/>
      <c r="F133" s="288"/>
      <c r="G133" s="288"/>
      <c r="H133" s="288"/>
      <c r="I133" s="288"/>
      <c r="J133" s="288"/>
      <c r="K133" s="288"/>
      <c r="L133" s="288"/>
      <c r="M133" s="288"/>
      <c r="N133" s="288"/>
      <c r="O133" s="288"/>
      <c r="P133" s="288"/>
      <c r="Q133" s="288"/>
      <c r="R133" s="288"/>
      <c r="S133" s="288"/>
      <c r="T133" s="337">
        <v>0</v>
      </c>
      <c r="U133" s="337"/>
      <c r="V133" s="338"/>
      <c r="W133" s="291"/>
      <c r="X133" s="5"/>
    </row>
    <row r="134" spans="1:24" ht="15.6" x14ac:dyDescent="0.3">
      <c r="A134" s="340"/>
      <c r="B134" s="288" t="s">
        <v>39</v>
      </c>
      <c r="C134" s="288"/>
      <c r="D134" s="288"/>
      <c r="E134" s="288"/>
      <c r="F134" s="288"/>
      <c r="G134" s="288"/>
      <c r="H134" s="288"/>
      <c r="I134" s="288"/>
      <c r="J134" s="288"/>
      <c r="K134" s="288"/>
      <c r="L134" s="288"/>
      <c r="M134" s="288"/>
      <c r="N134" s="288"/>
      <c r="O134" s="288"/>
      <c r="P134" s="288"/>
      <c r="Q134" s="288"/>
      <c r="R134" s="288"/>
      <c r="S134" s="288"/>
      <c r="T134" s="337">
        <f>SUM(T123:T133)</f>
        <v>-5319</v>
      </c>
      <c r="U134" s="337"/>
      <c r="V134" s="337">
        <f>SUM(V102:V131)</f>
        <v>-7000</v>
      </c>
      <c r="W134" s="291"/>
      <c r="X134" s="5"/>
    </row>
    <row r="135" spans="1:24" ht="15.6" x14ac:dyDescent="0.3">
      <c r="A135" s="340"/>
      <c r="B135" s="288" t="s">
        <v>40</v>
      </c>
      <c r="C135" s="288"/>
      <c r="D135" s="288"/>
      <c r="E135" s="288"/>
      <c r="F135" s="288"/>
      <c r="G135" s="288"/>
      <c r="H135" s="288"/>
      <c r="I135" s="288"/>
      <c r="J135" s="288"/>
      <c r="K135" s="288"/>
      <c r="L135" s="288"/>
      <c r="M135" s="288"/>
      <c r="N135" s="288"/>
      <c r="O135" s="288"/>
      <c r="P135" s="288"/>
      <c r="Q135" s="288"/>
      <c r="R135" s="288"/>
      <c r="S135" s="288"/>
      <c r="T135" s="337">
        <f>T101+T134+T115</f>
        <v>0</v>
      </c>
      <c r="U135" s="337"/>
      <c r="V135" s="337">
        <f>V101+V134</f>
        <v>0</v>
      </c>
      <c r="W135" s="291"/>
      <c r="X135" s="5"/>
    </row>
    <row r="136" spans="1:24" ht="15.6" x14ac:dyDescent="0.3">
      <c r="A136" s="243"/>
      <c r="B136" s="284"/>
      <c r="C136" s="284"/>
      <c r="D136" s="284"/>
      <c r="E136" s="284"/>
      <c r="F136" s="284"/>
      <c r="G136" s="284"/>
      <c r="H136" s="284"/>
      <c r="I136" s="284"/>
      <c r="J136" s="284"/>
      <c r="K136" s="284"/>
      <c r="L136" s="284"/>
      <c r="M136" s="284"/>
      <c r="N136" s="284"/>
      <c r="O136" s="284"/>
      <c r="P136" s="284"/>
      <c r="Q136" s="284"/>
      <c r="R136" s="284"/>
      <c r="S136" s="284"/>
      <c r="T136" s="339"/>
      <c r="U136" s="339"/>
      <c r="V136" s="339"/>
      <c r="W136" s="284"/>
      <c r="X136" s="5"/>
    </row>
    <row r="137" spans="1:24" ht="15.6" x14ac:dyDescent="0.3">
      <c r="A137" s="243"/>
      <c r="B137" s="224"/>
      <c r="C137" s="224"/>
      <c r="D137" s="224"/>
      <c r="E137" s="224"/>
      <c r="F137" s="224"/>
      <c r="G137" s="224"/>
      <c r="H137" s="224"/>
      <c r="I137" s="224"/>
      <c r="J137" s="224"/>
      <c r="K137" s="224"/>
      <c r="L137" s="224"/>
      <c r="M137" s="224"/>
      <c r="N137" s="224"/>
      <c r="O137" s="224"/>
      <c r="P137" s="224"/>
      <c r="Q137" s="224"/>
      <c r="R137" s="224"/>
      <c r="S137" s="224"/>
      <c r="T137" s="224"/>
      <c r="U137" s="224"/>
      <c r="V137" s="244"/>
      <c r="W137" s="224"/>
      <c r="X137" s="5"/>
    </row>
    <row r="138" spans="1:24" ht="18" thickBot="1" x14ac:dyDescent="0.35">
      <c r="A138" s="245"/>
      <c r="B138" s="237" t="str">
        <f>B64</f>
        <v>PM14 INVESTOR REPORT QUARTER ENDING FEBRUARY 2013</v>
      </c>
      <c r="C138" s="238"/>
      <c r="D138" s="238"/>
      <c r="E138" s="238"/>
      <c r="F138" s="238"/>
      <c r="G138" s="238"/>
      <c r="H138" s="238"/>
      <c r="I138" s="238"/>
      <c r="J138" s="238"/>
      <c r="K138" s="238"/>
      <c r="L138" s="238"/>
      <c r="M138" s="238"/>
      <c r="N138" s="238"/>
      <c r="O138" s="238"/>
      <c r="P138" s="238"/>
      <c r="Q138" s="238"/>
      <c r="R138" s="238"/>
      <c r="S138" s="238"/>
      <c r="T138" s="238"/>
      <c r="U138" s="238"/>
      <c r="V138" s="246"/>
      <c r="W138" s="240"/>
      <c r="X138" s="5"/>
    </row>
    <row r="139" spans="1:24" ht="15.6" x14ac:dyDescent="0.3">
      <c r="A139" s="273"/>
      <c r="B139" s="403" t="s">
        <v>41</v>
      </c>
      <c r="C139" s="274"/>
      <c r="D139" s="274"/>
      <c r="E139" s="274"/>
      <c r="F139" s="274"/>
      <c r="G139" s="274"/>
      <c r="H139" s="274"/>
      <c r="I139" s="274"/>
      <c r="J139" s="274"/>
      <c r="K139" s="274"/>
      <c r="L139" s="274"/>
      <c r="M139" s="274"/>
      <c r="N139" s="274"/>
      <c r="O139" s="274"/>
      <c r="P139" s="274"/>
      <c r="Q139" s="274"/>
      <c r="R139" s="274"/>
      <c r="S139" s="274"/>
      <c r="T139" s="274"/>
      <c r="U139" s="274"/>
      <c r="V139" s="275"/>
      <c r="W139" s="274"/>
      <c r="X139" s="5"/>
    </row>
    <row r="140" spans="1:24" ht="15.6" x14ac:dyDescent="0.3">
      <c r="A140" s="183"/>
      <c r="B140" s="195"/>
      <c r="C140" s="185"/>
      <c r="D140" s="185"/>
      <c r="E140" s="185"/>
      <c r="F140" s="185"/>
      <c r="G140" s="185"/>
      <c r="H140" s="185"/>
      <c r="I140" s="185"/>
      <c r="J140" s="185"/>
      <c r="K140" s="185"/>
      <c r="L140" s="185"/>
      <c r="M140" s="185"/>
      <c r="N140" s="185"/>
      <c r="O140" s="185"/>
      <c r="P140" s="185"/>
      <c r="Q140" s="185"/>
      <c r="R140" s="185"/>
      <c r="S140" s="185"/>
      <c r="T140" s="185"/>
      <c r="U140" s="185"/>
      <c r="V140" s="201"/>
      <c r="W140" s="185"/>
      <c r="X140" s="5"/>
    </row>
    <row r="141" spans="1:24" ht="15.6" x14ac:dyDescent="0.3">
      <c r="A141" s="183"/>
      <c r="B141" s="208" t="s">
        <v>42</v>
      </c>
      <c r="C141" s="185"/>
      <c r="D141" s="185"/>
      <c r="E141" s="185"/>
      <c r="F141" s="185"/>
      <c r="G141" s="185"/>
      <c r="H141" s="185"/>
      <c r="I141" s="185"/>
      <c r="J141" s="185"/>
      <c r="K141" s="185"/>
      <c r="L141" s="185"/>
      <c r="M141" s="185"/>
      <c r="N141" s="185"/>
      <c r="O141" s="185"/>
      <c r="P141" s="185"/>
      <c r="Q141" s="185"/>
      <c r="R141" s="185"/>
      <c r="S141" s="185"/>
      <c r="T141" s="185"/>
      <c r="U141" s="185"/>
      <c r="V141" s="201"/>
      <c r="W141" s="185"/>
      <c r="X141" s="5"/>
    </row>
    <row r="142" spans="1:24" ht="15.6" x14ac:dyDescent="0.3">
      <c r="A142" s="287"/>
      <c r="B142" s="288" t="s">
        <v>43</v>
      </c>
      <c r="C142" s="288"/>
      <c r="D142" s="288"/>
      <c r="E142" s="288"/>
      <c r="F142" s="288"/>
      <c r="G142" s="288"/>
      <c r="H142" s="288"/>
      <c r="I142" s="288"/>
      <c r="J142" s="288"/>
      <c r="K142" s="288"/>
      <c r="L142" s="288"/>
      <c r="M142" s="288"/>
      <c r="N142" s="288"/>
      <c r="O142" s="288"/>
      <c r="P142" s="288"/>
      <c r="Q142" s="288"/>
      <c r="R142" s="288"/>
      <c r="S142" s="288"/>
      <c r="T142" s="288"/>
      <c r="U142" s="288"/>
      <c r="V142" s="338">
        <f>+V34*0.019</f>
        <v>28505.224999999999</v>
      </c>
      <c r="W142" s="291"/>
      <c r="X142" s="5"/>
    </row>
    <row r="143" spans="1:24" ht="15.6" x14ac:dyDescent="0.3">
      <c r="A143" s="287"/>
      <c r="B143" s="288" t="s">
        <v>44</v>
      </c>
      <c r="C143" s="288"/>
      <c r="D143" s="288"/>
      <c r="E143" s="288"/>
      <c r="F143" s="288"/>
      <c r="G143" s="288"/>
      <c r="H143" s="288"/>
      <c r="I143" s="288"/>
      <c r="J143" s="288"/>
      <c r="K143" s="288"/>
      <c r="L143" s="288"/>
      <c r="M143" s="288"/>
      <c r="N143" s="288"/>
      <c r="O143" s="288"/>
      <c r="P143" s="288"/>
      <c r="Q143" s="288"/>
      <c r="R143" s="288"/>
      <c r="S143" s="288"/>
      <c r="T143" s="288"/>
      <c r="U143" s="288"/>
      <c r="V143" s="338">
        <v>28505</v>
      </c>
      <c r="W143" s="291"/>
      <c r="X143" s="5"/>
    </row>
    <row r="144" spans="1:24" ht="15.6" x14ac:dyDescent="0.3">
      <c r="A144" s="287"/>
      <c r="B144" s="288" t="s">
        <v>136</v>
      </c>
      <c r="C144" s="288"/>
      <c r="D144" s="288"/>
      <c r="E144" s="288"/>
      <c r="F144" s="288"/>
      <c r="G144" s="288"/>
      <c r="H144" s="288"/>
      <c r="I144" s="288"/>
      <c r="J144" s="288"/>
      <c r="K144" s="288"/>
      <c r="L144" s="288"/>
      <c r="M144" s="288"/>
      <c r="N144" s="288"/>
      <c r="O144" s="288"/>
      <c r="P144" s="288"/>
      <c r="Q144" s="288"/>
      <c r="R144" s="288"/>
      <c r="S144" s="288"/>
      <c r="T144" s="288"/>
      <c r="U144" s="288"/>
      <c r="V144" s="338"/>
      <c r="W144" s="291"/>
      <c r="X144" s="5"/>
    </row>
    <row r="145" spans="1:25" ht="15.6" x14ac:dyDescent="0.3">
      <c r="A145" s="287"/>
      <c r="B145" s="288" t="s">
        <v>123</v>
      </c>
      <c r="C145" s="288"/>
      <c r="D145" s="288"/>
      <c r="E145" s="288"/>
      <c r="F145" s="288"/>
      <c r="G145" s="288"/>
      <c r="H145" s="288"/>
      <c r="I145" s="288"/>
      <c r="J145" s="288"/>
      <c r="K145" s="288"/>
      <c r="L145" s="288"/>
      <c r="M145" s="288"/>
      <c r="N145" s="288"/>
      <c r="O145" s="288"/>
      <c r="P145" s="288"/>
      <c r="Q145" s="288"/>
      <c r="R145" s="288"/>
      <c r="S145" s="288"/>
      <c r="T145" s="288"/>
      <c r="U145" s="288"/>
      <c r="V145" s="338">
        <v>0</v>
      </c>
      <c r="W145" s="291"/>
      <c r="X145" s="5"/>
    </row>
    <row r="146" spans="1:25" ht="15.6" x14ac:dyDescent="0.3">
      <c r="A146" s="287"/>
      <c r="B146" s="288" t="s">
        <v>124</v>
      </c>
      <c r="C146" s="288"/>
      <c r="D146" s="288"/>
      <c r="E146" s="288"/>
      <c r="F146" s="288"/>
      <c r="G146" s="288"/>
      <c r="H146" s="288"/>
      <c r="I146" s="288"/>
      <c r="J146" s="288"/>
      <c r="K146" s="288"/>
      <c r="L146" s="288"/>
      <c r="M146" s="288"/>
      <c r="N146" s="288"/>
      <c r="O146" s="288"/>
      <c r="P146" s="288"/>
      <c r="Q146" s="288"/>
      <c r="R146" s="288"/>
      <c r="S146" s="288"/>
      <c r="T146" s="288"/>
      <c r="U146" s="288"/>
      <c r="V146" s="338">
        <v>0</v>
      </c>
      <c r="W146" s="291"/>
      <c r="X146" s="5"/>
    </row>
    <row r="147" spans="1:25" ht="15.6" x14ac:dyDescent="0.3">
      <c r="A147" s="287"/>
      <c r="B147" s="288" t="s">
        <v>175</v>
      </c>
      <c r="C147" s="288"/>
      <c r="D147" s="288"/>
      <c r="E147" s="288"/>
      <c r="F147" s="288"/>
      <c r="G147" s="288"/>
      <c r="H147" s="288"/>
      <c r="I147" s="288"/>
      <c r="J147" s="288"/>
      <c r="K147" s="288"/>
      <c r="L147" s="288"/>
      <c r="M147" s="288"/>
      <c r="N147" s="288"/>
      <c r="O147" s="288"/>
      <c r="P147" s="288"/>
      <c r="Q147" s="288"/>
      <c r="R147" s="288"/>
      <c r="S147" s="288"/>
      <c r="T147" s="288"/>
      <c r="U147" s="288"/>
      <c r="V147" s="338">
        <v>0</v>
      </c>
      <c r="W147" s="291"/>
      <c r="X147" s="5"/>
    </row>
    <row r="148" spans="1:25" ht="15.6" x14ac:dyDescent="0.3">
      <c r="A148" s="287"/>
      <c r="B148" s="288" t="s">
        <v>45</v>
      </c>
      <c r="C148" s="288"/>
      <c r="D148" s="288"/>
      <c r="E148" s="288"/>
      <c r="F148" s="288"/>
      <c r="G148" s="288"/>
      <c r="H148" s="288"/>
      <c r="I148" s="288"/>
      <c r="J148" s="288"/>
      <c r="K148" s="288"/>
      <c r="L148" s="288"/>
      <c r="M148" s="288"/>
      <c r="N148" s="288"/>
      <c r="O148" s="288"/>
      <c r="P148" s="288"/>
      <c r="Q148" s="288"/>
      <c r="R148" s="288"/>
      <c r="S148" s="288"/>
      <c r="T148" s="288"/>
      <c r="U148" s="288"/>
      <c r="V148" s="338">
        <v>0</v>
      </c>
      <c r="W148" s="291"/>
      <c r="X148" s="5"/>
    </row>
    <row r="149" spans="1:25" ht="15.6" x14ac:dyDescent="0.3">
      <c r="A149" s="287"/>
      <c r="B149" s="288" t="s">
        <v>129</v>
      </c>
      <c r="C149" s="288"/>
      <c r="D149" s="288"/>
      <c r="E149" s="288"/>
      <c r="F149" s="288"/>
      <c r="G149" s="288"/>
      <c r="H149" s="288"/>
      <c r="I149" s="288"/>
      <c r="J149" s="288"/>
      <c r="K149" s="288"/>
      <c r="L149" s="288"/>
      <c r="M149" s="288"/>
      <c r="N149" s="288"/>
      <c r="O149" s="288"/>
      <c r="P149" s="288"/>
      <c r="Q149" s="288"/>
      <c r="R149" s="288"/>
      <c r="S149" s="288"/>
      <c r="T149" s="288"/>
      <c r="U149" s="288"/>
      <c r="V149" s="338">
        <v>0</v>
      </c>
      <c r="W149" s="291"/>
      <c r="X149" s="5"/>
    </row>
    <row r="150" spans="1:25" ht="15.6" x14ac:dyDescent="0.3">
      <c r="A150" s="287"/>
      <c r="B150" s="288" t="s">
        <v>267</v>
      </c>
      <c r="C150" s="288"/>
      <c r="D150" s="288"/>
      <c r="E150" s="288"/>
      <c r="F150" s="288"/>
      <c r="G150" s="288"/>
      <c r="H150" s="288"/>
      <c r="I150" s="288"/>
      <c r="J150" s="288"/>
      <c r="K150" s="288"/>
      <c r="L150" s="288"/>
      <c r="M150" s="288"/>
      <c r="N150" s="288"/>
      <c r="O150" s="288"/>
      <c r="P150" s="288"/>
      <c r="Q150" s="288"/>
      <c r="R150" s="288"/>
      <c r="S150" s="288"/>
      <c r="T150" s="288"/>
      <c r="U150" s="288"/>
      <c r="V150" s="338">
        <v>0</v>
      </c>
      <c r="W150" s="291"/>
      <c r="X150" s="5"/>
      <c r="Y150" s="109"/>
    </row>
    <row r="151" spans="1:25" ht="15.6" x14ac:dyDescent="0.3">
      <c r="A151" s="287"/>
      <c r="B151" s="288" t="s">
        <v>46</v>
      </c>
      <c r="C151" s="288"/>
      <c r="D151" s="288"/>
      <c r="E151" s="288"/>
      <c r="F151" s="288"/>
      <c r="G151" s="288"/>
      <c r="H151" s="288"/>
      <c r="I151" s="288"/>
      <c r="J151" s="288"/>
      <c r="K151" s="288"/>
      <c r="L151" s="288"/>
      <c r="M151" s="288"/>
      <c r="N151" s="288"/>
      <c r="O151" s="288"/>
      <c r="P151" s="288"/>
      <c r="Q151" s="288"/>
      <c r="R151" s="288"/>
      <c r="S151" s="288"/>
      <c r="T151" s="288"/>
      <c r="U151" s="288"/>
      <c r="V151" s="338">
        <f>SUM(V143:V150)</f>
        <v>28505</v>
      </c>
      <c r="W151" s="291"/>
      <c r="X151" s="5"/>
    </row>
    <row r="152" spans="1:25" ht="15.6" x14ac:dyDescent="0.3">
      <c r="A152" s="287"/>
      <c r="B152" s="314"/>
      <c r="C152" s="314"/>
      <c r="D152" s="314"/>
      <c r="E152" s="314"/>
      <c r="F152" s="314"/>
      <c r="G152" s="314"/>
      <c r="H152" s="314"/>
      <c r="I152" s="314"/>
      <c r="J152" s="314"/>
      <c r="K152" s="314"/>
      <c r="L152" s="314"/>
      <c r="M152" s="314"/>
      <c r="N152" s="314"/>
      <c r="O152" s="314"/>
      <c r="P152" s="314"/>
      <c r="Q152" s="314"/>
      <c r="R152" s="314"/>
      <c r="S152" s="314"/>
      <c r="T152" s="314"/>
      <c r="U152" s="314"/>
      <c r="V152" s="345"/>
      <c r="W152" s="318"/>
      <c r="X152" s="5"/>
    </row>
    <row r="153" spans="1:25" ht="15.6" x14ac:dyDescent="0.3">
      <c r="A153" s="287"/>
      <c r="B153" s="343" t="s">
        <v>237</v>
      </c>
      <c r="C153" s="314"/>
      <c r="D153" s="314"/>
      <c r="E153" s="314"/>
      <c r="F153" s="314"/>
      <c r="G153" s="314"/>
      <c r="H153" s="314"/>
      <c r="I153" s="314"/>
      <c r="J153" s="314"/>
      <c r="K153" s="314"/>
      <c r="L153" s="314"/>
      <c r="M153" s="314"/>
      <c r="N153" s="314"/>
      <c r="O153" s="314"/>
      <c r="P153" s="314"/>
      <c r="Q153" s="314"/>
      <c r="R153" s="314"/>
      <c r="S153" s="314"/>
      <c r="T153" s="314"/>
      <c r="U153" s="314"/>
      <c r="V153" s="345"/>
      <c r="W153" s="318"/>
      <c r="X153" s="5"/>
    </row>
    <row r="154" spans="1:25" ht="15.6" x14ac:dyDescent="0.3">
      <c r="A154" s="287"/>
      <c r="B154" s="288" t="s">
        <v>155</v>
      </c>
      <c r="C154" s="288"/>
      <c r="D154" s="288"/>
      <c r="E154" s="288"/>
      <c r="F154" s="288"/>
      <c r="G154" s="288"/>
      <c r="H154" s="288"/>
      <c r="I154" s="288"/>
      <c r="J154" s="288"/>
      <c r="K154" s="288"/>
      <c r="L154" s="288"/>
      <c r="M154" s="288"/>
      <c r="N154" s="288"/>
      <c r="O154" s="288"/>
      <c r="P154" s="288"/>
      <c r="Q154" s="288"/>
      <c r="R154" s="288"/>
      <c r="S154" s="288"/>
      <c r="T154" s="288"/>
      <c r="U154" s="288"/>
      <c r="V154" s="338">
        <v>7500</v>
      </c>
      <c r="W154" s="291"/>
      <c r="X154" s="5"/>
    </row>
    <row r="155" spans="1:25" ht="15.6" x14ac:dyDescent="0.3">
      <c r="A155" s="287"/>
      <c r="B155" s="288" t="s">
        <v>172</v>
      </c>
      <c r="C155" s="288"/>
      <c r="D155" s="288"/>
      <c r="E155" s="288"/>
      <c r="F155" s="288"/>
      <c r="G155" s="288"/>
      <c r="H155" s="288"/>
      <c r="I155" s="288"/>
      <c r="J155" s="288"/>
      <c r="K155" s="288"/>
      <c r="L155" s="288"/>
      <c r="M155" s="288"/>
      <c r="N155" s="288"/>
      <c r="O155" s="288"/>
      <c r="P155" s="288"/>
      <c r="Q155" s="288"/>
      <c r="R155" s="288"/>
      <c r="S155" s="288"/>
      <c r="T155" s="288"/>
      <c r="U155" s="288"/>
      <c r="V155" s="338">
        <v>0</v>
      </c>
      <c r="W155" s="291"/>
      <c r="X155" s="5"/>
    </row>
    <row r="156" spans="1:25" ht="15.6" x14ac:dyDescent="0.3">
      <c r="A156" s="287"/>
      <c r="B156" s="288" t="s">
        <v>305</v>
      </c>
      <c r="C156" s="288"/>
      <c r="D156" s="288"/>
      <c r="E156" s="288"/>
      <c r="F156" s="288"/>
      <c r="G156" s="288"/>
      <c r="H156" s="288"/>
      <c r="I156" s="288"/>
      <c r="J156" s="288"/>
      <c r="K156" s="288"/>
      <c r="L156" s="288"/>
      <c r="M156" s="288"/>
      <c r="N156" s="288"/>
      <c r="O156" s="288"/>
      <c r="P156" s="288"/>
      <c r="Q156" s="288"/>
      <c r="R156" s="288"/>
      <c r="S156" s="288"/>
      <c r="T156" s="288"/>
      <c r="U156" s="288"/>
      <c r="V156" s="338">
        <v>2101</v>
      </c>
      <c r="W156" s="291"/>
      <c r="X156" s="5"/>
    </row>
    <row r="157" spans="1:25" ht="15.6" x14ac:dyDescent="0.3">
      <c r="A157" s="287"/>
      <c r="B157" s="288"/>
      <c r="C157" s="288"/>
      <c r="D157" s="288"/>
      <c r="E157" s="288"/>
      <c r="F157" s="288"/>
      <c r="G157" s="288"/>
      <c r="H157" s="288"/>
      <c r="I157" s="288"/>
      <c r="J157" s="288"/>
      <c r="K157" s="288"/>
      <c r="L157" s="288"/>
      <c r="M157" s="288"/>
      <c r="N157" s="288"/>
      <c r="O157" s="288"/>
      <c r="P157" s="288"/>
      <c r="Q157" s="288"/>
      <c r="R157" s="288"/>
      <c r="S157" s="288"/>
      <c r="T157" s="288"/>
      <c r="U157" s="288"/>
      <c r="V157" s="338"/>
      <c r="W157" s="291"/>
      <c r="X157" s="5"/>
    </row>
    <row r="158" spans="1:25" ht="15.6" x14ac:dyDescent="0.3">
      <c r="A158" s="183"/>
      <c r="B158" s="198"/>
      <c r="C158" s="198"/>
      <c r="D158" s="198"/>
      <c r="E158" s="198"/>
      <c r="F158" s="198"/>
      <c r="G158" s="198"/>
      <c r="H158" s="198"/>
      <c r="I158" s="198"/>
      <c r="J158" s="198"/>
      <c r="K158" s="198"/>
      <c r="L158" s="198"/>
      <c r="M158" s="198"/>
      <c r="N158" s="198"/>
      <c r="O158" s="198"/>
      <c r="P158" s="198"/>
      <c r="Q158" s="198"/>
      <c r="R158" s="198"/>
      <c r="S158" s="198"/>
      <c r="T158" s="198"/>
      <c r="U158" s="198"/>
      <c r="V158" s="347"/>
      <c r="W158" s="198"/>
      <c r="X158" s="5"/>
    </row>
    <row r="159" spans="1:25" ht="15.6" x14ac:dyDescent="0.3">
      <c r="A159" s="183"/>
      <c r="B159" s="208" t="s">
        <v>24</v>
      </c>
      <c r="C159" s="185"/>
      <c r="D159" s="185"/>
      <c r="E159" s="185"/>
      <c r="F159" s="185"/>
      <c r="G159" s="185"/>
      <c r="H159" s="185"/>
      <c r="I159" s="185"/>
      <c r="J159" s="185"/>
      <c r="K159" s="185"/>
      <c r="L159" s="185"/>
      <c r="M159" s="185"/>
      <c r="N159" s="185"/>
      <c r="O159" s="185"/>
      <c r="P159" s="185"/>
      <c r="Q159" s="185"/>
      <c r="R159" s="185"/>
      <c r="S159" s="185"/>
      <c r="T159" s="185"/>
      <c r="U159" s="185"/>
      <c r="V159" s="201"/>
      <c r="W159" s="185"/>
      <c r="X159" s="5"/>
    </row>
    <row r="160" spans="1:25" ht="15.6" x14ac:dyDescent="0.3">
      <c r="A160" s="287"/>
      <c r="B160" s="288" t="s">
        <v>47</v>
      </c>
      <c r="C160" s="288"/>
      <c r="D160" s="288"/>
      <c r="E160" s="288"/>
      <c r="F160" s="288"/>
      <c r="G160" s="288"/>
      <c r="H160" s="288"/>
      <c r="I160" s="288"/>
      <c r="J160" s="288"/>
      <c r="K160" s="288"/>
      <c r="L160" s="288"/>
      <c r="M160" s="288"/>
      <c r="N160" s="288"/>
      <c r="O160" s="288"/>
      <c r="P160" s="288"/>
      <c r="Q160" s="288"/>
      <c r="R160" s="288"/>
      <c r="S160" s="288"/>
      <c r="T160" s="288"/>
      <c r="U160" s="288"/>
      <c r="V160" s="348" t="s">
        <v>118</v>
      </c>
      <c r="W160" s="291"/>
      <c r="X160" s="5"/>
    </row>
    <row r="161" spans="1:256" ht="15.6" x14ac:dyDescent="0.3">
      <c r="A161" s="287"/>
      <c r="B161" s="288" t="s">
        <v>48</v>
      </c>
      <c r="C161" s="290"/>
      <c r="D161" s="290"/>
      <c r="E161" s="290"/>
      <c r="F161" s="290"/>
      <c r="G161" s="290"/>
      <c r="H161" s="290"/>
      <c r="I161" s="290"/>
      <c r="J161" s="290"/>
      <c r="K161" s="290"/>
      <c r="L161" s="290"/>
      <c r="M161" s="290"/>
      <c r="N161" s="290"/>
      <c r="O161" s="290"/>
      <c r="P161" s="290"/>
      <c r="Q161" s="290"/>
      <c r="R161" s="290"/>
      <c r="S161" s="290"/>
      <c r="T161" s="290"/>
      <c r="U161" s="290"/>
      <c r="V161" s="348" t="s">
        <v>118</v>
      </c>
      <c r="W161" s="291"/>
      <c r="X161" s="5"/>
    </row>
    <row r="162" spans="1:256" ht="15.6" x14ac:dyDescent="0.3">
      <c r="A162" s="287"/>
      <c r="B162" s="288" t="s">
        <v>49</v>
      </c>
      <c r="C162" s="288"/>
      <c r="D162" s="288"/>
      <c r="E162" s="288"/>
      <c r="F162" s="288"/>
      <c r="G162" s="288"/>
      <c r="H162" s="288"/>
      <c r="I162" s="288"/>
      <c r="J162" s="288"/>
      <c r="K162" s="288"/>
      <c r="L162" s="288"/>
      <c r="M162" s="288"/>
      <c r="N162" s="288"/>
      <c r="O162" s="288"/>
      <c r="P162" s="288"/>
      <c r="Q162" s="288"/>
      <c r="R162" s="288"/>
      <c r="S162" s="288"/>
      <c r="T162" s="288"/>
      <c r="U162" s="288"/>
      <c r="V162" s="348" t="s">
        <v>118</v>
      </c>
      <c r="W162" s="291"/>
      <c r="X162" s="5"/>
    </row>
    <row r="163" spans="1:256" ht="15.6" x14ac:dyDescent="0.3">
      <c r="A163" s="287"/>
      <c r="B163" s="288" t="s">
        <v>50</v>
      </c>
      <c r="C163" s="288"/>
      <c r="D163" s="288"/>
      <c r="E163" s="288"/>
      <c r="F163" s="288"/>
      <c r="G163" s="288"/>
      <c r="H163" s="288"/>
      <c r="I163" s="288"/>
      <c r="J163" s="288"/>
      <c r="K163" s="288"/>
      <c r="L163" s="288"/>
      <c r="M163" s="288"/>
      <c r="N163" s="288"/>
      <c r="O163" s="288"/>
      <c r="P163" s="288"/>
      <c r="Q163" s="288"/>
      <c r="R163" s="288"/>
      <c r="S163" s="288"/>
      <c r="T163" s="288"/>
      <c r="U163" s="288"/>
      <c r="V163" s="348" t="s">
        <v>118</v>
      </c>
      <c r="W163" s="291"/>
      <c r="X163" s="5"/>
    </row>
    <row r="164" spans="1:256" ht="15.6" x14ac:dyDescent="0.3">
      <c r="A164" s="183"/>
      <c r="B164" s="198"/>
      <c r="C164" s="198"/>
      <c r="D164" s="198"/>
      <c r="E164" s="198"/>
      <c r="F164" s="198"/>
      <c r="G164" s="198"/>
      <c r="H164" s="198"/>
      <c r="I164" s="198"/>
      <c r="J164" s="198"/>
      <c r="K164" s="198"/>
      <c r="L164" s="198"/>
      <c r="M164" s="198"/>
      <c r="N164" s="198"/>
      <c r="O164" s="198"/>
      <c r="P164" s="198"/>
      <c r="Q164" s="198"/>
      <c r="R164" s="198"/>
      <c r="S164" s="198"/>
      <c r="T164" s="198"/>
      <c r="U164" s="198"/>
      <c r="V164" s="347"/>
      <c r="W164" s="198"/>
      <c r="X164" s="5"/>
    </row>
    <row r="165" spans="1:256" ht="15.6" x14ac:dyDescent="0.3">
      <c r="A165" s="183"/>
      <c r="B165" s="208" t="s">
        <v>51</v>
      </c>
      <c r="C165" s="185"/>
      <c r="D165" s="185"/>
      <c r="E165" s="185"/>
      <c r="F165" s="185"/>
      <c r="G165" s="185"/>
      <c r="H165" s="185"/>
      <c r="I165" s="185"/>
      <c r="J165" s="185"/>
      <c r="K165" s="185"/>
      <c r="L165" s="185"/>
      <c r="M165" s="185"/>
      <c r="N165" s="185"/>
      <c r="O165" s="185"/>
      <c r="P165" s="185"/>
      <c r="Q165" s="185"/>
      <c r="R165" s="185"/>
      <c r="S165" s="185"/>
      <c r="T165" s="185"/>
      <c r="U165" s="185"/>
      <c r="V165" s="209"/>
      <c r="W165" s="185"/>
      <c r="X165" s="5"/>
    </row>
    <row r="166" spans="1:256" ht="15.6" x14ac:dyDescent="0.3">
      <c r="A166" s="287"/>
      <c r="B166" s="288" t="s">
        <v>52</v>
      </c>
      <c r="C166" s="288"/>
      <c r="D166" s="288"/>
      <c r="E166" s="288"/>
      <c r="F166" s="288"/>
      <c r="G166" s="288"/>
      <c r="H166" s="288"/>
      <c r="I166" s="288"/>
      <c r="J166" s="288"/>
      <c r="K166" s="288"/>
      <c r="L166" s="288"/>
      <c r="M166" s="288"/>
      <c r="N166" s="288"/>
      <c r="O166" s="288"/>
      <c r="P166" s="288"/>
      <c r="Q166" s="288"/>
      <c r="R166" s="288"/>
      <c r="S166" s="288"/>
      <c r="T166" s="288"/>
      <c r="U166" s="288"/>
      <c r="V166" s="338">
        <v>0</v>
      </c>
      <c r="W166" s="291"/>
      <c r="X166" s="5"/>
    </row>
    <row r="167" spans="1:256" ht="15.6" x14ac:dyDescent="0.3">
      <c r="A167" s="287"/>
      <c r="B167" s="288" t="s">
        <v>53</v>
      </c>
      <c r="C167" s="288"/>
      <c r="D167" s="288"/>
      <c r="E167" s="288"/>
      <c r="F167" s="288"/>
      <c r="G167" s="288"/>
      <c r="H167" s="288"/>
      <c r="I167" s="288"/>
      <c r="J167" s="288"/>
      <c r="K167" s="288"/>
      <c r="L167" s="288"/>
      <c r="M167" s="288"/>
      <c r="N167" s="288"/>
      <c r="O167" s="288"/>
      <c r="P167" s="288"/>
      <c r="Q167" s="288"/>
      <c r="R167" s="288"/>
      <c r="S167" s="288"/>
      <c r="T167" s="288"/>
      <c r="U167" s="288"/>
      <c r="V167" s="338">
        <v>40</v>
      </c>
      <c r="W167" s="291"/>
      <c r="X167" s="5"/>
    </row>
    <row r="168" spans="1:256" ht="15.6" x14ac:dyDescent="0.3">
      <c r="A168" s="287"/>
      <c r="B168" s="288" t="s">
        <v>54</v>
      </c>
      <c r="C168" s="288"/>
      <c r="D168" s="288"/>
      <c r="E168" s="288"/>
      <c r="F168" s="288"/>
      <c r="G168" s="288"/>
      <c r="H168" s="288"/>
      <c r="I168" s="288"/>
      <c r="J168" s="288"/>
      <c r="K168" s="288"/>
      <c r="L168" s="288"/>
      <c r="M168" s="288"/>
      <c r="N168" s="288"/>
      <c r="O168" s="288"/>
      <c r="P168" s="288"/>
      <c r="Q168" s="288"/>
      <c r="R168" s="288"/>
      <c r="S168" s="288"/>
      <c r="T168" s="288"/>
      <c r="U168" s="288"/>
      <c r="V168" s="338">
        <f>V167+V166</f>
        <v>40</v>
      </c>
      <c r="W168" s="291"/>
      <c r="X168" s="5"/>
    </row>
    <row r="169" spans="1:256" ht="15.6" x14ac:dyDescent="0.3">
      <c r="A169" s="287"/>
      <c r="B169" s="288" t="s">
        <v>315</v>
      </c>
      <c r="C169" s="288"/>
      <c r="D169" s="288"/>
      <c r="E169" s="288"/>
      <c r="F169" s="288"/>
      <c r="G169" s="288"/>
      <c r="H169" s="288"/>
      <c r="I169" s="288"/>
      <c r="J169" s="288"/>
      <c r="K169" s="288"/>
      <c r="L169" s="288"/>
      <c r="M169" s="288"/>
      <c r="N169" s="288"/>
      <c r="O169" s="288"/>
      <c r="P169" s="288"/>
      <c r="Q169" s="288"/>
      <c r="R169" s="288"/>
      <c r="S169" s="288"/>
      <c r="T169" s="288"/>
      <c r="U169" s="288"/>
      <c r="V169" s="338">
        <f>V115</f>
        <v>-40</v>
      </c>
      <c r="W169" s="291"/>
      <c r="X169" s="5"/>
    </row>
    <row r="170" spans="1:256" ht="15.6" x14ac:dyDescent="0.3">
      <c r="A170" s="287"/>
      <c r="B170" s="288" t="s">
        <v>55</v>
      </c>
      <c r="C170" s="288"/>
      <c r="D170" s="288"/>
      <c r="E170" s="288"/>
      <c r="F170" s="288"/>
      <c r="G170" s="288"/>
      <c r="H170" s="288"/>
      <c r="I170" s="288"/>
      <c r="J170" s="288"/>
      <c r="K170" s="288"/>
      <c r="L170" s="288"/>
      <c r="M170" s="288"/>
      <c r="N170" s="288"/>
      <c r="O170" s="288"/>
      <c r="P170" s="288"/>
      <c r="Q170" s="288"/>
      <c r="R170" s="288"/>
      <c r="S170" s="288"/>
      <c r="T170" s="288"/>
      <c r="U170" s="288"/>
      <c r="V170" s="338">
        <f>V168+V169</f>
        <v>0</v>
      </c>
      <c r="W170" s="291"/>
      <c r="X170" s="5"/>
    </row>
    <row r="171" spans="1:256" ht="15.6" x14ac:dyDescent="0.3">
      <c r="A171" s="287"/>
      <c r="B171" s="288" t="s">
        <v>283</v>
      </c>
      <c r="C171" s="288"/>
      <c r="D171" s="288"/>
      <c r="E171" s="288"/>
      <c r="F171" s="288"/>
      <c r="G171" s="288"/>
      <c r="H171" s="288"/>
      <c r="I171" s="288"/>
      <c r="J171" s="288"/>
      <c r="K171" s="288"/>
      <c r="L171" s="288"/>
      <c r="M171" s="288"/>
      <c r="N171" s="288"/>
      <c r="O171" s="288"/>
      <c r="P171" s="288"/>
      <c r="Q171" s="288"/>
      <c r="R171" s="288"/>
      <c r="S171" s="288"/>
      <c r="T171" s="288"/>
      <c r="U171" s="288"/>
      <c r="V171" s="338">
        <f>-V100</f>
        <v>104</v>
      </c>
      <c r="W171" s="291"/>
      <c r="X171" s="5"/>
    </row>
    <row r="172" spans="1:256" ht="16.2" thickBot="1" x14ac:dyDescent="0.35">
      <c r="A172" s="183"/>
      <c r="B172" s="284"/>
      <c r="C172" s="284"/>
      <c r="D172" s="284"/>
      <c r="E172" s="284"/>
      <c r="F172" s="284"/>
      <c r="G172" s="284"/>
      <c r="H172" s="284"/>
      <c r="I172" s="284"/>
      <c r="J172" s="284"/>
      <c r="K172" s="284"/>
      <c r="L172" s="284"/>
      <c r="M172" s="284"/>
      <c r="N172" s="284"/>
      <c r="O172" s="284"/>
      <c r="P172" s="284"/>
      <c r="Q172" s="284"/>
      <c r="R172" s="284"/>
      <c r="S172" s="284"/>
      <c r="T172" s="284"/>
      <c r="U172" s="284"/>
      <c r="V172" s="349"/>
      <c r="W172" s="284"/>
      <c r="X172" s="5"/>
    </row>
    <row r="173" spans="1:256" ht="15.6" x14ac:dyDescent="0.3">
      <c r="A173" s="180"/>
      <c r="B173" s="247"/>
      <c r="C173" s="247"/>
      <c r="D173" s="247"/>
      <c r="E173" s="247"/>
      <c r="F173" s="247"/>
      <c r="G173" s="247"/>
      <c r="H173" s="247"/>
      <c r="I173" s="247"/>
      <c r="J173" s="247"/>
      <c r="K173" s="247"/>
      <c r="L173" s="247"/>
      <c r="M173" s="247"/>
      <c r="N173" s="247"/>
      <c r="O173" s="247"/>
      <c r="P173" s="247"/>
      <c r="Q173" s="247"/>
      <c r="R173" s="247"/>
      <c r="S173" s="247"/>
      <c r="T173" s="247"/>
      <c r="U173" s="247"/>
      <c r="V173" s="248"/>
      <c r="W173" s="247"/>
      <c r="X173" s="5"/>
    </row>
    <row r="174" spans="1:256" s="161" customFormat="1" ht="15.6" x14ac:dyDescent="0.3">
      <c r="A174" s="183"/>
      <c r="B174" s="208" t="s">
        <v>269</v>
      </c>
      <c r="C174" s="198"/>
      <c r="D174" s="198"/>
      <c r="E174" s="198"/>
      <c r="F174" s="198"/>
      <c r="G174" s="198"/>
      <c r="H174" s="198"/>
      <c r="I174" s="198"/>
      <c r="J174" s="198"/>
      <c r="K174" s="198"/>
      <c r="L174" s="198"/>
      <c r="M174" s="198"/>
      <c r="N174" s="198"/>
      <c r="O174" s="198"/>
      <c r="P174" s="198"/>
      <c r="Q174" s="198"/>
      <c r="R174" s="198"/>
      <c r="S174" s="198"/>
      <c r="T174" s="198"/>
      <c r="U174" s="198"/>
      <c r="V174" s="210"/>
      <c r="W174" s="198"/>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5.6" x14ac:dyDescent="0.3">
      <c r="A175" s="287"/>
      <c r="B175" s="288" t="s">
        <v>270</v>
      </c>
      <c r="C175" s="288"/>
      <c r="D175" s="288"/>
      <c r="E175" s="288"/>
      <c r="F175" s="288"/>
      <c r="G175" s="288"/>
      <c r="H175" s="288"/>
      <c r="I175" s="288"/>
      <c r="J175" s="288"/>
      <c r="K175" s="288"/>
      <c r="L175" s="288"/>
      <c r="M175" s="288"/>
      <c r="N175" s="288"/>
      <c r="O175" s="288"/>
      <c r="P175" s="288"/>
      <c r="Q175" s="288"/>
      <c r="R175" s="288"/>
      <c r="S175" s="288"/>
      <c r="T175" s="288"/>
      <c r="U175" s="288"/>
      <c r="V175" s="338">
        <f>+'Aug 08'!V177</f>
        <v>0</v>
      </c>
      <c r="W175" s="291"/>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3" customFormat="1" ht="15.6" x14ac:dyDescent="0.3">
      <c r="A176" s="287"/>
      <c r="B176" s="288" t="s">
        <v>273</v>
      </c>
      <c r="C176" s="288"/>
      <c r="D176" s="288"/>
      <c r="E176" s="288"/>
      <c r="F176" s="288"/>
      <c r="G176" s="288"/>
      <c r="H176" s="288"/>
      <c r="I176" s="288"/>
      <c r="J176" s="288"/>
      <c r="K176" s="288"/>
      <c r="L176" s="288"/>
      <c r="M176" s="288"/>
      <c r="N176" s="288"/>
      <c r="O176" s="288"/>
      <c r="P176" s="288"/>
      <c r="Q176" s="288"/>
      <c r="R176" s="288"/>
      <c r="S176" s="288"/>
      <c r="T176" s="288"/>
      <c r="U176" s="288"/>
      <c r="V176" s="338">
        <f>+V94</f>
        <v>0</v>
      </c>
      <c r="W176" s="291"/>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s="163" customFormat="1" ht="15.6" x14ac:dyDescent="0.3">
      <c r="A177" s="287"/>
      <c r="B177" s="288" t="s">
        <v>271</v>
      </c>
      <c r="C177" s="288"/>
      <c r="D177" s="288"/>
      <c r="E177" s="288"/>
      <c r="F177" s="288"/>
      <c r="G177" s="288"/>
      <c r="H177" s="288"/>
      <c r="I177" s="288"/>
      <c r="J177" s="288"/>
      <c r="K177" s="288"/>
      <c r="L177" s="288"/>
      <c r="M177" s="288"/>
      <c r="N177" s="288"/>
      <c r="O177" s="288"/>
      <c r="P177" s="288"/>
      <c r="Q177" s="288"/>
      <c r="R177" s="288"/>
      <c r="S177" s="288"/>
      <c r="T177" s="288"/>
      <c r="U177" s="288"/>
      <c r="V177" s="338">
        <f>+V175-V176</f>
        <v>0</v>
      </c>
      <c r="W177" s="291"/>
      <c r="X177" s="5"/>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s="166" customFormat="1" ht="16.2" thickBot="1" x14ac:dyDescent="0.35">
      <c r="A178" s="199"/>
      <c r="B178" s="198"/>
      <c r="C178" s="198"/>
      <c r="D178" s="198"/>
      <c r="E178" s="198"/>
      <c r="F178" s="198"/>
      <c r="G178" s="198"/>
      <c r="H178" s="198"/>
      <c r="I178" s="198"/>
      <c r="J178" s="198"/>
      <c r="K178" s="198"/>
      <c r="L178" s="198"/>
      <c r="M178" s="198"/>
      <c r="N178" s="198"/>
      <c r="O178" s="198"/>
      <c r="P178" s="198"/>
      <c r="Q178" s="198"/>
      <c r="R178" s="198"/>
      <c r="S178" s="198"/>
      <c r="T178" s="198"/>
      <c r="U178" s="198"/>
      <c r="V178" s="347"/>
      <c r="W178" s="198"/>
      <c r="X178" s="5"/>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s="167" customFormat="1" ht="15.6" x14ac:dyDescent="0.3">
      <c r="A179" s="180"/>
      <c r="B179" s="181"/>
      <c r="C179" s="181"/>
      <c r="D179" s="181"/>
      <c r="E179" s="181"/>
      <c r="F179" s="181"/>
      <c r="G179" s="181"/>
      <c r="H179" s="181"/>
      <c r="I179" s="181"/>
      <c r="J179" s="181"/>
      <c r="K179" s="181"/>
      <c r="L179" s="181"/>
      <c r="M179" s="181"/>
      <c r="N179" s="181"/>
      <c r="O179" s="181"/>
      <c r="P179" s="181"/>
      <c r="Q179" s="181"/>
      <c r="R179" s="181"/>
      <c r="S179" s="181"/>
      <c r="T179" s="181"/>
      <c r="U179" s="181"/>
      <c r="V179" s="200"/>
      <c r="W179" s="181"/>
      <c r="X179" s="5"/>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ht="15.6" x14ac:dyDescent="0.3">
      <c r="A180" s="183"/>
      <c r="B180" s="208" t="s">
        <v>56</v>
      </c>
      <c r="C180" s="185"/>
      <c r="D180" s="185"/>
      <c r="E180" s="185"/>
      <c r="F180" s="185"/>
      <c r="G180" s="185"/>
      <c r="H180" s="185"/>
      <c r="I180" s="185"/>
      <c r="J180" s="185"/>
      <c r="K180" s="185"/>
      <c r="L180" s="185"/>
      <c r="M180" s="185"/>
      <c r="N180" s="185"/>
      <c r="O180" s="185"/>
      <c r="P180" s="185"/>
      <c r="Q180" s="185"/>
      <c r="R180" s="185"/>
      <c r="S180" s="185"/>
      <c r="T180" s="185"/>
      <c r="U180" s="185"/>
      <c r="V180" s="201"/>
      <c r="W180" s="185"/>
      <c r="X180" s="5"/>
    </row>
    <row r="181" spans="1:256" ht="15.6" x14ac:dyDescent="0.3">
      <c r="A181" s="183"/>
      <c r="B181" s="195"/>
      <c r="C181" s="185"/>
      <c r="D181" s="185"/>
      <c r="E181" s="185"/>
      <c r="F181" s="185"/>
      <c r="G181" s="185"/>
      <c r="H181" s="185"/>
      <c r="I181" s="185"/>
      <c r="J181" s="185"/>
      <c r="K181" s="185"/>
      <c r="L181" s="185"/>
      <c r="M181" s="185"/>
      <c r="N181" s="185"/>
      <c r="O181" s="185"/>
      <c r="P181" s="185"/>
      <c r="Q181" s="185"/>
      <c r="R181" s="185"/>
      <c r="S181" s="185"/>
      <c r="T181" s="185"/>
      <c r="U181" s="185"/>
      <c r="V181" s="201"/>
      <c r="W181" s="185"/>
      <c r="X181" s="5"/>
    </row>
    <row r="182" spans="1:256" ht="15.6" x14ac:dyDescent="0.3">
      <c r="A182" s="287"/>
      <c r="B182" s="288" t="s">
        <v>57</v>
      </c>
      <c r="C182" s="288"/>
      <c r="D182" s="288"/>
      <c r="E182" s="288"/>
      <c r="F182" s="288"/>
      <c r="G182" s="288"/>
      <c r="H182" s="288"/>
      <c r="I182" s="288"/>
      <c r="J182" s="288"/>
      <c r="K182" s="288"/>
      <c r="L182" s="288"/>
      <c r="M182" s="288"/>
      <c r="N182" s="288"/>
      <c r="O182" s="288"/>
      <c r="P182" s="288"/>
      <c r="Q182" s="288"/>
      <c r="R182" s="288"/>
      <c r="S182" s="288"/>
      <c r="T182" s="288"/>
      <c r="U182" s="288"/>
      <c r="V182" s="338">
        <f>V71</f>
        <v>1102799</v>
      </c>
      <c r="W182" s="291"/>
      <c r="X182" s="5"/>
    </row>
    <row r="183" spans="1:256" ht="15.6" x14ac:dyDescent="0.3">
      <c r="A183" s="287"/>
      <c r="B183" s="288" t="s">
        <v>58</v>
      </c>
      <c r="C183" s="288"/>
      <c r="D183" s="288"/>
      <c r="E183" s="288"/>
      <c r="F183" s="288"/>
      <c r="G183" s="288"/>
      <c r="H183" s="288"/>
      <c r="I183" s="288"/>
      <c r="J183" s="288"/>
      <c r="K183" s="288"/>
      <c r="L183" s="288"/>
      <c r="M183" s="288"/>
      <c r="N183" s="288"/>
      <c r="O183" s="288"/>
      <c r="P183" s="288"/>
      <c r="Q183" s="288"/>
      <c r="R183" s="288"/>
      <c r="S183" s="288"/>
      <c r="T183" s="288"/>
      <c r="U183" s="288"/>
      <c r="V183" s="338">
        <f>V84</f>
        <v>1102799</v>
      </c>
      <c r="W183" s="291"/>
      <c r="X183" s="5"/>
    </row>
    <row r="184" spans="1:256" ht="16.2" thickBot="1" x14ac:dyDescent="0.35">
      <c r="A184" s="183"/>
      <c r="B184" s="198"/>
      <c r="C184" s="198"/>
      <c r="D184" s="198"/>
      <c r="E184" s="198"/>
      <c r="F184" s="198"/>
      <c r="G184" s="198"/>
      <c r="H184" s="198"/>
      <c r="I184" s="198"/>
      <c r="J184" s="198"/>
      <c r="K184" s="198"/>
      <c r="L184" s="198"/>
      <c r="M184" s="198"/>
      <c r="N184" s="198"/>
      <c r="O184" s="198"/>
      <c r="P184" s="198"/>
      <c r="Q184" s="198"/>
      <c r="R184" s="198"/>
      <c r="S184" s="198"/>
      <c r="T184" s="198"/>
      <c r="U184" s="198"/>
      <c r="V184" s="347"/>
      <c r="W184" s="198"/>
      <c r="X184" s="5"/>
    </row>
    <row r="185" spans="1:256" ht="15.6" x14ac:dyDescent="0.3">
      <c r="A185" s="180"/>
      <c r="B185" s="181"/>
      <c r="C185" s="181"/>
      <c r="D185" s="181"/>
      <c r="E185" s="181"/>
      <c r="F185" s="181"/>
      <c r="G185" s="181"/>
      <c r="H185" s="181"/>
      <c r="I185" s="181"/>
      <c r="J185" s="181"/>
      <c r="K185" s="181"/>
      <c r="L185" s="181"/>
      <c r="M185" s="181"/>
      <c r="N185" s="181"/>
      <c r="O185" s="181"/>
      <c r="P185" s="181"/>
      <c r="Q185" s="181"/>
      <c r="R185" s="181"/>
      <c r="S185" s="181"/>
      <c r="T185" s="181"/>
      <c r="U185" s="181"/>
      <c r="V185" s="200"/>
      <c r="W185" s="181"/>
      <c r="X185" s="5"/>
    </row>
    <row r="186" spans="1:256" ht="15.6" x14ac:dyDescent="0.3">
      <c r="A186" s="183"/>
      <c r="B186" s="208" t="s">
        <v>59</v>
      </c>
      <c r="C186" s="205"/>
      <c r="D186" s="205"/>
      <c r="E186" s="205"/>
      <c r="F186" s="205"/>
      <c r="G186" s="205"/>
      <c r="H186" s="211"/>
      <c r="I186" s="211"/>
      <c r="J186" s="211"/>
      <c r="K186" s="211"/>
      <c r="L186" s="211"/>
      <c r="M186" s="211"/>
      <c r="N186" s="211"/>
      <c r="O186" s="211"/>
      <c r="P186" s="211"/>
      <c r="Q186" s="211"/>
      <c r="R186" s="211"/>
      <c r="S186" s="211" t="s">
        <v>101</v>
      </c>
      <c r="T186" s="211" t="s">
        <v>176</v>
      </c>
      <c r="U186" s="187"/>
      <c r="V186" s="212" t="s">
        <v>114</v>
      </c>
      <c r="W186" s="213"/>
      <c r="X186" s="5"/>
    </row>
    <row r="187" spans="1:256" ht="15.6" x14ac:dyDescent="0.3">
      <c r="A187" s="287"/>
      <c r="B187" s="288" t="s">
        <v>60</v>
      </c>
      <c r="C187" s="288"/>
      <c r="D187" s="288"/>
      <c r="E187" s="288"/>
      <c r="F187" s="288"/>
      <c r="G187" s="288"/>
      <c r="H187" s="288"/>
      <c r="I187" s="288"/>
      <c r="J187" s="288"/>
      <c r="K187" s="288"/>
      <c r="L187" s="288"/>
      <c r="M187" s="288"/>
      <c r="N187" s="288"/>
      <c r="O187" s="288"/>
      <c r="P187" s="288"/>
      <c r="Q187" s="288"/>
      <c r="R187" s="288"/>
      <c r="S187" s="338">
        <f>+V34*0.16</f>
        <v>240044</v>
      </c>
      <c r="T187" s="325"/>
      <c r="U187" s="288"/>
      <c r="V187" s="338"/>
      <c r="W187" s="291"/>
      <c r="X187" s="5"/>
    </row>
    <row r="188" spans="1:256" ht="15.6" x14ac:dyDescent="0.3">
      <c r="A188" s="287"/>
      <c r="B188" s="288" t="s">
        <v>61</v>
      </c>
      <c r="C188" s="288"/>
      <c r="D188" s="288"/>
      <c r="E188" s="288"/>
      <c r="F188" s="288"/>
      <c r="G188" s="288"/>
      <c r="H188" s="288"/>
      <c r="I188" s="288"/>
      <c r="J188" s="288"/>
      <c r="K188" s="288"/>
      <c r="L188" s="288"/>
      <c r="M188" s="288"/>
      <c r="N188" s="288"/>
      <c r="O188" s="288"/>
      <c r="P188" s="288"/>
      <c r="Q188" s="288"/>
      <c r="R188" s="288"/>
      <c r="S188" s="338">
        <f>+'Nov 12'!S190</f>
        <v>24223</v>
      </c>
      <c r="T188" s="338">
        <f>+'Nov 12'!T190</f>
        <v>6013</v>
      </c>
      <c r="U188" s="288"/>
      <c r="V188" s="338">
        <f>S188+T188</f>
        <v>30236</v>
      </c>
      <c r="W188" s="291"/>
      <c r="X188" s="5"/>
    </row>
    <row r="189" spans="1:256" ht="15.6" x14ac:dyDescent="0.3">
      <c r="A189" s="287"/>
      <c r="B189" s="288" t="s">
        <v>62</v>
      </c>
      <c r="C189" s="288"/>
      <c r="D189" s="288"/>
      <c r="E189" s="288"/>
      <c r="F189" s="288"/>
      <c r="G189" s="288"/>
      <c r="H189" s="288"/>
      <c r="I189" s="288"/>
      <c r="J189" s="288"/>
      <c r="K189" s="288"/>
      <c r="L189" s="288"/>
      <c r="M189" s="288"/>
      <c r="N189" s="288"/>
      <c r="O189" s="288"/>
      <c r="P189" s="288"/>
      <c r="Q189" s="288"/>
      <c r="R189" s="288"/>
      <c r="S189" s="337">
        <v>25</v>
      </c>
      <c r="T189" s="337">
        <v>0</v>
      </c>
      <c r="U189" s="288"/>
      <c r="V189" s="338">
        <f>S189+T189</f>
        <v>25</v>
      </c>
      <c r="W189" s="291"/>
      <c r="X189" s="5"/>
    </row>
    <row r="190" spans="1:256" ht="15.6" x14ac:dyDescent="0.3">
      <c r="A190" s="287"/>
      <c r="B190" s="288" t="s">
        <v>63</v>
      </c>
      <c r="C190" s="288"/>
      <c r="D190" s="288"/>
      <c r="E190" s="288"/>
      <c r="F190" s="288"/>
      <c r="G190" s="288"/>
      <c r="H190" s="288"/>
      <c r="I190" s="288"/>
      <c r="J190" s="288"/>
      <c r="K190" s="288"/>
      <c r="L190" s="288"/>
      <c r="M190" s="288"/>
      <c r="N190" s="288"/>
      <c r="O190" s="288"/>
      <c r="P190" s="288"/>
      <c r="Q190" s="288"/>
      <c r="R190" s="288"/>
      <c r="S190" s="338">
        <f>S188+S189</f>
        <v>24248</v>
      </c>
      <c r="T190" s="338">
        <f>T189+T188</f>
        <v>6013</v>
      </c>
      <c r="U190" s="288"/>
      <c r="V190" s="338">
        <f>S190+T190</f>
        <v>30261</v>
      </c>
      <c r="W190" s="291"/>
      <c r="X190" s="5"/>
    </row>
    <row r="191" spans="1:256" ht="15.6" x14ac:dyDescent="0.3">
      <c r="A191" s="287"/>
      <c r="B191" s="288" t="s">
        <v>64</v>
      </c>
      <c r="C191" s="288"/>
      <c r="D191" s="288"/>
      <c r="E191" s="288"/>
      <c r="F191" s="288"/>
      <c r="G191" s="288"/>
      <c r="H191" s="288"/>
      <c r="I191" s="288"/>
      <c r="J191" s="288"/>
      <c r="K191" s="288"/>
      <c r="L191" s="288"/>
      <c r="M191" s="288"/>
      <c r="N191" s="288"/>
      <c r="O191" s="288"/>
      <c r="P191" s="288"/>
      <c r="Q191" s="288"/>
      <c r="R191" s="288"/>
      <c r="S191" s="338">
        <f>S187-S190-T190</f>
        <v>209783</v>
      </c>
      <c r="T191" s="325"/>
      <c r="U191" s="288"/>
      <c r="V191" s="338"/>
      <c r="W191" s="291"/>
      <c r="X191" s="5"/>
    </row>
    <row r="192" spans="1:256" ht="16.2" thickBot="1" x14ac:dyDescent="0.35">
      <c r="A192" s="183"/>
      <c r="B192" s="198"/>
      <c r="C192" s="198"/>
      <c r="D192" s="198"/>
      <c r="E192" s="198"/>
      <c r="F192" s="198"/>
      <c r="G192" s="198"/>
      <c r="H192" s="198"/>
      <c r="I192" s="198"/>
      <c r="J192" s="198"/>
      <c r="K192" s="198"/>
      <c r="L192" s="198"/>
      <c r="M192" s="198"/>
      <c r="N192" s="198"/>
      <c r="O192" s="198"/>
      <c r="P192" s="198"/>
      <c r="Q192" s="198"/>
      <c r="R192" s="198"/>
      <c r="S192" s="198"/>
      <c r="T192" s="198"/>
      <c r="U192" s="198"/>
      <c r="V192" s="347"/>
      <c r="W192" s="198"/>
      <c r="X192" s="5"/>
    </row>
    <row r="193" spans="1:24" ht="15.6" x14ac:dyDescent="0.3">
      <c r="A193" s="180"/>
      <c r="B193" s="181"/>
      <c r="C193" s="181"/>
      <c r="D193" s="181"/>
      <c r="E193" s="181"/>
      <c r="F193" s="181"/>
      <c r="G193" s="181"/>
      <c r="H193" s="181"/>
      <c r="I193" s="181"/>
      <c r="J193" s="181"/>
      <c r="K193" s="181"/>
      <c r="L193" s="181"/>
      <c r="M193" s="181"/>
      <c r="N193" s="181"/>
      <c r="O193" s="181"/>
      <c r="P193" s="181"/>
      <c r="Q193" s="181"/>
      <c r="R193" s="181"/>
      <c r="S193" s="181"/>
      <c r="T193" s="181"/>
      <c r="U193" s="181"/>
      <c r="V193" s="200"/>
      <c r="W193" s="181"/>
      <c r="X193" s="5"/>
    </row>
    <row r="194" spans="1:24" ht="15.6" x14ac:dyDescent="0.3">
      <c r="A194" s="183"/>
      <c r="B194" s="208" t="s">
        <v>65</v>
      </c>
      <c r="C194" s="185"/>
      <c r="D194" s="185"/>
      <c r="E194" s="185"/>
      <c r="F194" s="185"/>
      <c r="G194" s="185"/>
      <c r="H194" s="185"/>
      <c r="I194" s="185"/>
      <c r="J194" s="185"/>
      <c r="K194" s="185"/>
      <c r="L194" s="185"/>
      <c r="M194" s="185"/>
      <c r="N194" s="185"/>
      <c r="O194" s="185"/>
      <c r="P194" s="185"/>
      <c r="Q194" s="185"/>
      <c r="R194" s="185"/>
      <c r="S194" s="185"/>
      <c r="T194" s="185"/>
      <c r="U194" s="185"/>
      <c r="V194" s="214"/>
      <c r="W194" s="185"/>
      <c r="X194" s="5"/>
    </row>
    <row r="195" spans="1:24" ht="15.6" x14ac:dyDescent="0.3">
      <c r="A195" s="287"/>
      <c r="B195" s="288" t="s">
        <v>66</v>
      </c>
      <c r="C195" s="288"/>
      <c r="D195" s="288"/>
      <c r="E195" s="288"/>
      <c r="F195" s="288"/>
      <c r="G195" s="288"/>
      <c r="H195" s="288"/>
      <c r="I195" s="288"/>
      <c r="J195" s="288"/>
      <c r="K195" s="288"/>
      <c r="L195" s="288"/>
      <c r="M195" s="288"/>
      <c r="N195" s="288"/>
      <c r="O195" s="288"/>
      <c r="P195" s="288"/>
      <c r="Q195" s="288"/>
      <c r="R195" s="288"/>
      <c r="S195" s="288"/>
      <c r="T195" s="288"/>
      <c r="U195" s="288"/>
      <c r="V195" s="348">
        <f>(V101+V103+V104+V105+V106)/-(V107+V108)</f>
        <v>4.0819366852886407</v>
      </c>
      <c r="W195" s="291" t="s">
        <v>115</v>
      </c>
      <c r="X195" s="5"/>
    </row>
    <row r="196" spans="1:24" ht="15.6" x14ac:dyDescent="0.3">
      <c r="A196" s="287"/>
      <c r="B196" s="288" t="s">
        <v>67</v>
      </c>
      <c r="C196" s="288"/>
      <c r="D196" s="288"/>
      <c r="E196" s="288"/>
      <c r="F196" s="288"/>
      <c r="G196" s="288"/>
      <c r="H196" s="288"/>
      <c r="I196" s="288"/>
      <c r="J196" s="288"/>
      <c r="K196" s="288"/>
      <c r="L196" s="288"/>
      <c r="M196" s="288"/>
      <c r="N196" s="288"/>
      <c r="O196" s="288"/>
      <c r="P196" s="288"/>
      <c r="Q196" s="288"/>
      <c r="R196" s="288"/>
      <c r="S196" s="288"/>
      <c r="T196" s="288"/>
      <c r="U196" s="288"/>
      <c r="V196" s="350">
        <v>1.76</v>
      </c>
      <c r="W196" s="291" t="s">
        <v>115</v>
      </c>
      <c r="X196" s="5"/>
    </row>
    <row r="197" spans="1:24" ht="15.6" x14ac:dyDescent="0.3">
      <c r="A197" s="287"/>
      <c r="B197" s="288" t="s">
        <v>68</v>
      </c>
      <c r="C197" s="288"/>
      <c r="D197" s="288"/>
      <c r="E197" s="288"/>
      <c r="F197" s="288"/>
      <c r="G197" s="288"/>
      <c r="H197" s="288"/>
      <c r="I197" s="288"/>
      <c r="J197" s="288"/>
      <c r="K197" s="288"/>
      <c r="L197" s="288"/>
      <c r="M197" s="288"/>
      <c r="N197" s="288"/>
      <c r="O197" s="288"/>
      <c r="P197" s="288"/>
      <c r="Q197" s="288"/>
      <c r="R197" s="288"/>
      <c r="S197" s="288"/>
      <c r="T197" s="288"/>
      <c r="U197" s="288"/>
      <c r="V197" s="348">
        <f>(V101+V103+V104+V105+V106+V107+V108)/-(V110+V111)</f>
        <v>20.101214574898787</v>
      </c>
      <c r="W197" s="291" t="s">
        <v>115</v>
      </c>
      <c r="X197" s="5"/>
    </row>
    <row r="198" spans="1:24" ht="15.6" x14ac:dyDescent="0.3">
      <c r="A198" s="287"/>
      <c r="B198" s="288" t="s">
        <v>69</v>
      </c>
      <c r="C198" s="288"/>
      <c r="D198" s="288"/>
      <c r="E198" s="288"/>
      <c r="F198" s="288"/>
      <c r="G198" s="288"/>
      <c r="H198" s="288"/>
      <c r="I198" s="288"/>
      <c r="J198" s="288"/>
      <c r="K198" s="288"/>
      <c r="L198" s="288"/>
      <c r="M198" s="288"/>
      <c r="N198" s="288"/>
      <c r="O198" s="288"/>
      <c r="P198" s="288"/>
      <c r="Q198" s="288"/>
      <c r="R198" s="288"/>
      <c r="S198" s="288"/>
      <c r="T198" s="288"/>
      <c r="U198" s="288"/>
      <c r="V198" s="350">
        <v>7.31</v>
      </c>
      <c r="W198" s="291" t="s">
        <v>115</v>
      </c>
      <c r="X198" s="5"/>
    </row>
    <row r="199" spans="1:24" ht="15.6" x14ac:dyDescent="0.3">
      <c r="A199" s="287"/>
      <c r="B199" s="288" t="s">
        <v>198</v>
      </c>
      <c r="C199" s="288"/>
      <c r="D199" s="288"/>
      <c r="E199" s="288"/>
      <c r="F199" s="288"/>
      <c r="G199" s="288"/>
      <c r="H199" s="288"/>
      <c r="I199" s="288"/>
      <c r="J199" s="288"/>
      <c r="K199" s="288"/>
      <c r="L199" s="288"/>
      <c r="M199" s="288"/>
      <c r="N199" s="288"/>
      <c r="O199" s="288"/>
      <c r="P199" s="288"/>
      <c r="Q199" s="288"/>
      <c r="R199" s="288"/>
      <c r="S199" s="288"/>
      <c r="T199" s="288"/>
      <c r="U199" s="288"/>
      <c r="V199" s="348">
        <f>(V101+V103+V104+V105+V106+V107+V108+V110+V111)/-(V112+V113)</f>
        <v>12.716981132075471</v>
      </c>
      <c r="W199" s="291" t="s">
        <v>115</v>
      </c>
      <c r="X199" s="5"/>
    </row>
    <row r="200" spans="1:24" ht="15.6" x14ac:dyDescent="0.3">
      <c r="A200" s="287"/>
      <c r="B200" s="288" t="s">
        <v>199</v>
      </c>
      <c r="C200" s="288"/>
      <c r="D200" s="288"/>
      <c r="E200" s="288"/>
      <c r="F200" s="288"/>
      <c r="G200" s="288"/>
      <c r="H200" s="288"/>
      <c r="I200" s="288"/>
      <c r="J200" s="288"/>
      <c r="K200" s="288"/>
      <c r="L200" s="288"/>
      <c r="M200" s="288"/>
      <c r="N200" s="288"/>
      <c r="O200" s="288"/>
      <c r="P200" s="288"/>
      <c r="Q200" s="288"/>
      <c r="R200" s="288"/>
      <c r="S200" s="288"/>
      <c r="T200" s="288"/>
      <c r="U200" s="288"/>
      <c r="V200" s="350">
        <v>5.74</v>
      </c>
      <c r="W200" s="291" t="s">
        <v>115</v>
      </c>
      <c r="X200" s="5"/>
    </row>
    <row r="201" spans="1:24" ht="15.6" x14ac:dyDescent="0.3">
      <c r="A201" s="287"/>
      <c r="B201" s="314"/>
      <c r="C201" s="314"/>
      <c r="D201" s="314"/>
      <c r="E201" s="314"/>
      <c r="F201" s="314"/>
      <c r="G201" s="314"/>
      <c r="H201" s="314"/>
      <c r="I201" s="314"/>
      <c r="J201" s="314"/>
      <c r="K201" s="314"/>
      <c r="L201" s="314"/>
      <c r="M201" s="314"/>
      <c r="N201" s="314"/>
      <c r="O201" s="314"/>
      <c r="P201" s="314"/>
      <c r="Q201" s="314"/>
      <c r="R201" s="314"/>
      <c r="S201" s="314"/>
      <c r="T201" s="314"/>
      <c r="U201" s="314"/>
      <c r="V201" s="314"/>
      <c r="W201" s="318"/>
      <c r="X201" s="5"/>
    </row>
    <row r="202" spans="1:24" ht="15.6" x14ac:dyDescent="0.3">
      <c r="A202" s="183"/>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5"/>
    </row>
    <row r="203" spans="1:24" ht="15.6" x14ac:dyDescent="0.3">
      <c r="A203" s="183"/>
      <c r="B203" s="185"/>
      <c r="C203" s="185"/>
      <c r="D203" s="185"/>
      <c r="E203" s="185"/>
      <c r="F203" s="185"/>
      <c r="G203" s="185"/>
      <c r="H203" s="185"/>
      <c r="I203" s="185"/>
      <c r="J203" s="185"/>
      <c r="K203" s="185"/>
      <c r="L203" s="185"/>
      <c r="M203" s="185"/>
      <c r="N203" s="185"/>
      <c r="O203" s="185"/>
      <c r="P203" s="185"/>
      <c r="Q203" s="185"/>
      <c r="R203" s="185"/>
      <c r="S203" s="185"/>
      <c r="T203" s="185"/>
      <c r="U203" s="185"/>
      <c r="V203" s="185"/>
      <c r="W203" s="185"/>
      <c r="X203" s="5"/>
    </row>
    <row r="204" spans="1:24" ht="18" thickBot="1" x14ac:dyDescent="0.35">
      <c r="A204" s="199"/>
      <c r="B204" s="237" t="str">
        <f>B138</f>
        <v>PM14 INVESTOR REPORT QUARTER ENDING FEBRUARY 2013</v>
      </c>
      <c r="C204" s="215"/>
      <c r="D204" s="215"/>
      <c r="E204" s="215"/>
      <c r="F204" s="215"/>
      <c r="G204" s="215"/>
      <c r="H204" s="215"/>
      <c r="I204" s="215"/>
      <c r="J204" s="215"/>
      <c r="K204" s="215"/>
      <c r="L204" s="215"/>
      <c r="M204" s="215"/>
      <c r="N204" s="215"/>
      <c r="O204" s="215"/>
      <c r="P204" s="215"/>
      <c r="Q204" s="215"/>
      <c r="R204" s="215"/>
      <c r="S204" s="215"/>
      <c r="T204" s="215"/>
      <c r="U204" s="215"/>
      <c r="V204" s="215"/>
      <c r="W204" s="216"/>
      <c r="X204" s="5"/>
    </row>
    <row r="205" spans="1:24" ht="15.6" x14ac:dyDescent="0.3">
      <c r="A205" s="273"/>
      <c r="B205" s="403" t="s">
        <v>70</v>
      </c>
      <c r="C205" s="404"/>
      <c r="D205" s="404"/>
      <c r="E205" s="404"/>
      <c r="F205" s="404"/>
      <c r="G205" s="405"/>
      <c r="H205" s="405"/>
      <c r="I205" s="405"/>
      <c r="J205" s="405"/>
      <c r="K205" s="405"/>
      <c r="L205" s="405"/>
      <c r="M205" s="405"/>
      <c r="N205" s="405"/>
      <c r="O205" s="405"/>
      <c r="P205" s="405"/>
      <c r="Q205" s="405"/>
      <c r="R205" s="405"/>
      <c r="S205" s="405"/>
      <c r="T205" s="405">
        <v>41333</v>
      </c>
      <c r="U205" s="274"/>
      <c r="V205" s="274"/>
      <c r="W205" s="274"/>
      <c r="X205" s="5"/>
    </row>
    <row r="206" spans="1:24" ht="15.6" x14ac:dyDescent="0.3">
      <c r="A206" s="217"/>
      <c r="B206" s="230"/>
      <c r="C206" s="249"/>
      <c r="D206" s="249"/>
      <c r="E206" s="249"/>
      <c r="F206" s="249"/>
      <c r="G206" s="229"/>
      <c r="H206" s="229"/>
      <c r="I206" s="229"/>
      <c r="J206" s="229"/>
      <c r="K206" s="229"/>
      <c r="L206" s="229"/>
      <c r="M206" s="229"/>
      <c r="N206" s="229"/>
      <c r="O206" s="229"/>
      <c r="P206" s="229"/>
      <c r="Q206" s="229"/>
      <c r="R206" s="229"/>
      <c r="S206" s="229"/>
      <c r="T206" s="229"/>
      <c r="U206" s="224"/>
      <c r="V206" s="224"/>
      <c r="W206" s="224"/>
      <c r="X206" s="5"/>
    </row>
    <row r="207" spans="1:24" ht="15.6" x14ac:dyDescent="0.3">
      <c r="A207" s="352"/>
      <c r="B207" s="288" t="s">
        <v>71</v>
      </c>
      <c r="C207" s="353"/>
      <c r="D207" s="353"/>
      <c r="E207" s="353"/>
      <c r="F207" s="353"/>
      <c r="G207" s="330"/>
      <c r="H207" s="330"/>
      <c r="I207" s="330"/>
      <c r="J207" s="330"/>
      <c r="K207" s="330"/>
      <c r="L207" s="330"/>
      <c r="M207" s="330"/>
      <c r="N207" s="330"/>
      <c r="O207" s="330"/>
      <c r="P207" s="330"/>
      <c r="Q207" s="330"/>
      <c r="R207" s="330"/>
      <c r="S207" s="330"/>
      <c r="T207" s="321">
        <v>5.2819999999999999E-2</v>
      </c>
      <c r="U207" s="288"/>
      <c r="V207" s="288"/>
      <c r="W207" s="291"/>
      <c r="X207" s="5"/>
    </row>
    <row r="208" spans="1:24" ht="15.6" x14ac:dyDescent="0.3">
      <c r="A208" s="352"/>
      <c r="B208" s="288" t="s">
        <v>151</v>
      </c>
      <c r="C208" s="353"/>
      <c r="D208" s="353"/>
      <c r="E208" s="353"/>
      <c r="F208" s="353"/>
      <c r="G208" s="330"/>
      <c r="H208" s="330"/>
      <c r="I208" s="330"/>
      <c r="J208" s="330"/>
      <c r="K208" s="330"/>
      <c r="L208" s="330"/>
      <c r="M208" s="330"/>
      <c r="N208" s="330"/>
      <c r="O208" s="330"/>
      <c r="P208" s="330"/>
      <c r="Q208" s="330"/>
      <c r="R208" s="330"/>
      <c r="S208" s="330"/>
      <c r="T208" s="321">
        <v>5.7799999999999997E-2</v>
      </c>
      <c r="U208" s="288"/>
      <c r="V208" s="288"/>
      <c r="W208" s="291"/>
      <c r="X208" s="5"/>
    </row>
    <row r="209" spans="1:24" ht="15.6" x14ac:dyDescent="0.3">
      <c r="A209" s="352"/>
      <c r="B209" s="288" t="s">
        <v>72</v>
      </c>
      <c r="C209" s="353"/>
      <c r="D209" s="353"/>
      <c r="E209" s="353"/>
      <c r="F209" s="353"/>
      <c r="G209" s="330"/>
      <c r="H209" s="330"/>
      <c r="I209" s="330"/>
      <c r="J209" s="330"/>
      <c r="K209" s="330"/>
      <c r="L209" s="330"/>
      <c r="M209" s="330"/>
      <c r="N209" s="330"/>
      <c r="O209" s="330"/>
      <c r="P209" s="330"/>
      <c r="Q209" s="330"/>
      <c r="R209" s="330"/>
      <c r="S209" s="330"/>
      <c r="T209" s="321">
        <f>T207-T208</f>
        <v>-4.9799999999999983E-3</v>
      </c>
      <c r="U209" s="288"/>
      <c r="V209" s="288"/>
      <c r="W209" s="291"/>
      <c r="X209" s="5"/>
    </row>
    <row r="210" spans="1:24" ht="15.6" x14ac:dyDescent="0.3">
      <c r="A210" s="352"/>
      <c r="B210" s="288" t="s">
        <v>73</v>
      </c>
      <c r="C210" s="353"/>
      <c r="D210" s="353"/>
      <c r="E210" s="353"/>
      <c r="F210" s="353"/>
      <c r="G210" s="330"/>
      <c r="H210" s="330"/>
      <c r="I210" s="330"/>
      <c r="J210" s="330"/>
      <c r="K210" s="330"/>
      <c r="L210" s="330"/>
      <c r="M210" s="330"/>
      <c r="N210" s="330"/>
      <c r="O210" s="330"/>
      <c r="P210" s="330"/>
      <c r="Q210" s="330"/>
      <c r="R210" s="330"/>
      <c r="S210" s="330"/>
      <c r="T210" s="321">
        <v>2.3619999999999999E-2</v>
      </c>
      <c r="U210" s="288"/>
      <c r="V210" s="288"/>
      <c r="W210" s="291"/>
      <c r="X210" s="5"/>
    </row>
    <row r="211" spans="1:24" ht="15.6" x14ac:dyDescent="0.3">
      <c r="A211" s="352"/>
      <c r="B211" s="288" t="s">
        <v>219</v>
      </c>
      <c r="C211" s="353"/>
      <c r="D211" s="353"/>
      <c r="E211" s="353"/>
      <c r="F211" s="353"/>
      <c r="G211" s="330"/>
      <c r="H211" s="330"/>
      <c r="I211" s="330"/>
      <c r="J211" s="330"/>
      <c r="K211" s="330"/>
      <c r="L211" s="330"/>
      <c r="M211" s="330"/>
      <c r="N211" s="330"/>
      <c r="O211" s="330"/>
      <c r="P211" s="330"/>
      <c r="Q211" s="330"/>
      <c r="R211" s="330"/>
      <c r="S211" s="330"/>
      <c r="T211" s="321">
        <f>V43</f>
        <v>8.345114959970484E-3</v>
      </c>
      <c r="U211" s="288"/>
      <c r="V211" s="288"/>
      <c r="W211" s="291"/>
      <c r="X211" s="5"/>
    </row>
    <row r="212" spans="1:24" ht="15.6" x14ac:dyDescent="0.3">
      <c r="A212" s="352"/>
      <c r="B212" s="288" t="s">
        <v>74</v>
      </c>
      <c r="C212" s="353"/>
      <c r="D212" s="353"/>
      <c r="E212" s="353"/>
      <c r="F212" s="353"/>
      <c r="G212" s="330"/>
      <c r="H212" s="330"/>
      <c r="I212" s="330"/>
      <c r="J212" s="330"/>
      <c r="K212" s="330"/>
      <c r="L212" s="330"/>
      <c r="M212" s="330"/>
      <c r="N212" s="330"/>
      <c r="O212" s="330"/>
      <c r="P212" s="330"/>
      <c r="Q212" s="330"/>
      <c r="R212" s="330"/>
      <c r="S212" s="330"/>
      <c r="T212" s="321">
        <f>T210-T211</f>
        <v>1.5274885040029515E-2</v>
      </c>
      <c r="U212" s="288"/>
      <c r="V212" s="288"/>
      <c r="W212" s="291"/>
      <c r="X212" s="5"/>
    </row>
    <row r="213" spans="1:24" ht="15.6" x14ac:dyDescent="0.3">
      <c r="A213" s="352"/>
      <c r="B213" s="288" t="s">
        <v>242</v>
      </c>
      <c r="C213" s="353"/>
      <c r="D213" s="353"/>
      <c r="E213" s="353"/>
      <c r="F213" s="353"/>
      <c r="G213" s="330"/>
      <c r="H213" s="330"/>
      <c r="I213" s="330"/>
      <c r="J213" s="330"/>
      <c r="K213" s="330"/>
      <c r="L213" s="330"/>
      <c r="M213" s="330"/>
      <c r="N213" s="330"/>
      <c r="O213" s="330"/>
      <c r="P213" s="330"/>
      <c r="Q213" s="330"/>
      <c r="R213" s="330"/>
      <c r="S213" s="330"/>
      <c r="T213" s="321">
        <f>V101/N71</f>
        <v>6.3171650007400109E-3</v>
      </c>
      <c r="U213" s="288"/>
      <c r="V213" s="288"/>
      <c r="W213" s="291"/>
      <c r="X213" s="5"/>
    </row>
    <row r="214" spans="1:24" ht="15.6" x14ac:dyDescent="0.3">
      <c r="A214" s="352"/>
      <c r="B214" s="288" t="s">
        <v>208</v>
      </c>
      <c r="C214" s="353"/>
      <c r="D214" s="353"/>
      <c r="E214" s="353"/>
      <c r="F214" s="353"/>
      <c r="G214" s="330"/>
      <c r="H214" s="330"/>
      <c r="I214" s="330"/>
      <c r="J214" s="330"/>
      <c r="K214" s="330"/>
      <c r="L214" s="330"/>
      <c r="M214" s="330"/>
      <c r="N214" s="330"/>
      <c r="O214" s="330"/>
      <c r="P214" s="330"/>
      <c r="Q214" s="330"/>
      <c r="R214" s="330"/>
      <c r="S214" s="330"/>
      <c r="T214" s="354">
        <v>51014</v>
      </c>
      <c r="U214" s="288"/>
      <c r="V214" s="288"/>
      <c r="W214" s="291"/>
      <c r="X214" s="5"/>
    </row>
    <row r="215" spans="1:24" ht="15.6" x14ac:dyDescent="0.3">
      <c r="A215" s="352"/>
      <c r="B215" s="288" t="s">
        <v>209</v>
      </c>
      <c r="C215" s="353"/>
      <c r="D215" s="353"/>
      <c r="E215" s="353"/>
      <c r="F215" s="353"/>
      <c r="G215" s="330"/>
      <c r="H215" s="330"/>
      <c r="I215" s="330"/>
      <c r="J215" s="330"/>
      <c r="K215" s="330"/>
      <c r="L215" s="330"/>
      <c r="M215" s="330"/>
      <c r="N215" s="330"/>
      <c r="O215" s="330"/>
      <c r="P215" s="330"/>
      <c r="Q215" s="330"/>
      <c r="R215" s="330"/>
      <c r="S215" s="330"/>
      <c r="T215" s="354">
        <v>51014</v>
      </c>
      <c r="U215" s="288"/>
      <c r="V215" s="288"/>
      <c r="W215" s="291"/>
      <c r="X215" s="5"/>
    </row>
    <row r="216" spans="1:24" ht="15.6" x14ac:dyDescent="0.3">
      <c r="A216" s="352"/>
      <c r="B216" s="288" t="s">
        <v>210</v>
      </c>
      <c r="C216" s="353"/>
      <c r="D216" s="353"/>
      <c r="E216" s="353"/>
      <c r="F216" s="353"/>
      <c r="G216" s="330"/>
      <c r="H216" s="330"/>
      <c r="I216" s="330"/>
      <c r="J216" s="330"/>
      <c r="K216" s="330"/>
      <c r="L216" s="330"/>
      <c r="M216" s="330"/>
      <c r="N216" s="330"/>
      <c r="O216" s="330"/>
      <c r="P216" s="330"/>
      <c r="Q216" s="330"/>
      <c r="R216" s="330"/>
      <c r="S216" s="330"/>
      <c r="T216" s="354">
        <v>51014</v>
      </c>
      <c r="U216" s="288"/>
      <c r="V216" s="288"/>
      <c r="W216" s="291"/>
      <c r="X216" s="5"/>
    </row>
    <row r="217" spans="1:24" ht="15.6" x14ac:dyDescent="0.3">
      <c r="A217" s="352"/>
      <c r="B217" s="288" t="s">
        <v>75</v>
      </c>
      <c r="C217" s="353"/>
      <c r="D217" s="353"/>
      <c r="E217" s="353"/>
      <c r="F217" s="353"/>
      <c r="G217" s="330"/>
      <c r="H217" s="330"/>
      <c r="I217" s="330"/>
      <c r="J217" s="330"/>
      <c r="K217" s="330"/>
      <c r="L217" s="330"/>
      <c r="M217" s="330"/>
      <c r="N217" s="330"/>
      <c r="O217" s="330"/>
      <c r="P217" s="330"/>
      <c r="Q217" s="330"/>
      <c r="R217" s="330"/>
      <c r="S217" s="330"/>
      <c r="T217" s="327">
        <v>20.66</v>
      </c>
      <c r="U217" s="288" t="s">
        <v>110</v>
      </c>
      <c r="V217" s="288"/>
      <c r="W217" s="291"/>
      <c r="X217" s="5"/>
    </row>
    <row r="218" spans="1:24" ht="15.6" x14ac:dyDescent="0.3">
      <c r="A218" s="352"/>
      <c r="B218" s="288" t="s">
        <v>76</v>
      </c>
      <c r="C218" s="353"/>
      <c r="D218" s="353"/>
      <c r="E218" s="353"/>
      <c r="F218" s="353"/>
      <c r="G218" s="330"/>
      <c r="H218" s="330"/>
      <c r="I218" s="330"/>
      <c r="J218" s="330"/>
      <c r="K218" s="330"/>
      <c r="L218" s="330"/>
      <c r="M218" s="330"/>
      <c r="N218" s="330"/>
      <c r="O218" s="330"/>
      <c r="P218" s="330"/>
      <c r="Q218" s="330"/>
      <c r="R218" s="330"/>
      <c r="S218" s="330"/>
      <c r="T218" s="327">
        <v>15.44</v>
      </c>
      <c r="U218" s="288" t="s">
        <v>110</v>
      </c>
      <c r="V218" s="288"/>
      <c r="W218" s="291"/>
      <c r="X218" s="5"/>
    </row>
    <row r="219" spans="1:24" ht="15.6" x14ac:dyDescent="0.3">
      <c r="A219" s="352"/>
      <c r="B219" s="288" t="s">
        <v>77</v>
      </c>
      <c r="C219" s="353"/>
      <c r="D219" s="353"/>
      <c r="E219" s="353"/>
      <c r="F219" s="353"/>
      <c r="G219" s="330"/>
      <c r="H219" s="330"/>
      <c r="I219" s="330"/>
      <c r="J219" s="330"/>
      <c r="K219" s="330"/>
      <c r="L219" s="330"/>
      <c r="M219" s="330"/>
      <c r="N219" s="330"/>
      <c r="O219" s="330"/>
      <c r="P219" s="330"/>
      <c r="Q219" s="330"/>
      <c r="R219" s="330"/>
      <c r="S219" s="330"/>
      <c r="T219" s="321">
        <f>+P68/N68</f>
        <v>4.8010454005624082E-3</v>
      </c>
      <c r="U219" s="288"/>
      <c r="V219" s="288"/>
      <c r="W219" s="291"/>
      <c r="X219" s="5"/>
    </row>
    <row r="220" spans="1:24" ht="15.6" x14ac:dyDescent="0.3">
      <c r="A220" s="352"/>
      <c r="B220" s="288" t="s">
        <v>78</v>
      </c>
      <c r="C220" s="353"/>
      <c r="D220" s="353"/>
      <c r="E220" s="353"/>
      <c r="F220" s="353"/>
      <c r="G220" s="330"/>
      <c r="H220" s="330"/>
      <c r="I220" s="330"/>
      <c r="J220" s="330"/>
      <c r="K220" s="330"/>
      <c r="L220" s="330"/>
      <c r="M220" s="330"/>
      <c r="N220" s="330"/>
      <c r="O220" s="330"/>
      <c r="P220" s="330"/>
      <c r="Q220" s="330"/>
      <c r="R220" s="330"/>
      <c r="S220" s="330"/>
      <c r="T220" s="321">
        <v>5.3999999999999999E-2</v>
      </c>
      <c r="U220" s="288"/>
      <c r="V220" s="288"/>
      <c r="W220" s="291"/>
      <c r="X220" s="5"/>
    </row>
    <row r="221" spans="1:24" ht="15.6" x14ac:dyDescent="0.3">
      <c r="A221" s="217"/>
      <c r="B221" s="284"/>
      <c r="C221" s="284"/>
      <c r="D221" s="284"/>
      <c r="E221" s="284"/>
      <c r="F221" s="284"/>
      <c r="G221" s="284"/>
      <c r="H221" s="284"/>
      <c r="I221" s="284"/>
      <c r="J221" s="284"/>
      <c r="K221" s="284"/>
      <c r="L221" s="284"/>
      <c r="M221" s="284"/>
      <c r="N221" s="284"/>
      <c r="O221" s="284"/>
      <c r="P221" s="284"/>
      <c r="Q221" s="284"/>
      <c r="R221" s="284"/>
      <c r="S221" s="284"/>
      <c r="T221" s="349"/>
      <c r="U221" s="284"/>
      <c r="V221" s="351"/>
      <c r="W221" s="284"/>
      <c r="X221" s="5"/>
    </row>
    <row r="222" spans="1:24" ht="15.6" x14ac:dyDescent="0.3">
      <c r="A222" s="278"/>
      <c r="B222" s="399" t="s">
        <v>79</v>
      </c>
      <c r="C222" s="400"/>
      <c r="D222" s="400"/>
      <c r="E222" s="400"/>
      <c r="F222" s="406"/>
      <c r="G222" s="400"/>
      <c r="H222" s="400"/>
      <c r="I222" s="400"/>
      <c r="J222" s="400"/>
      <c r="K222" s="400"/>
      <c r="L222" s="400"/>
      <c r="M222" s="400"/>
      <c r="N222" s="400"/>
      <c r="O222" s="400"/>
      <c r="P222" s="400"/>
      <c r="Q222" s="400"/>
      <c r="R222" s="400"/>
      <c r="S222" s="400" t="s">
        <v>102</v>
      </c>
      <c r="T222" s="406" t="s">
        <v>108</v>
      </c>
      <c r="U222" s="263"/>
      <c r="V222" s="263"/>
      <c r="W222" s="263"/>
      <c r="X222" s="5"/>
    </row>
    <row r="223" spans="1:24" ht="15.6" x14ac:dyDescent="0.3">
      <c r="A223" s="218"/>
      <c r="B223" s="231" t="s">
        <v>80</v>
      </c>
      <c r="C223" s="234"/>
      <c r="D223" s="234"/>
      <c r="E223" s="234"/>
      <c r="F223" s="231"/>
      <c r="G223" s="231"/>
      <c r="H223" s="233"/>
      <c r="I223" s="233"/>
      <c r="J223" s="233"/>
      <c r="K223" s="233"/>
      <c r="L223" s="233"/>
      <c r="M223" s="233"/>
      <c r="N223" s="233"/>
      <c r="O223" s="233"/>
      <c r="P223" s="233"/>
      <c r="Q223" s="233"/>
      <c r="R223" s="233"/>
      <c r="S223" s="233">
        <v>6</v>
      </c>
      <c r="T223" s="251">
        <v>530</v>
      </c>
      <c r="U223" s="231"/>
      <c r="V223" s="250"/>
      <c r="W223" s="252"/>
      <c r="X223" s="5"/>
    </row>
    <row r="224" spans="1:24" ht="15.6" x14ac:dyDescent="0.3">
      <c r="A224" s="362"/>
      <c r="B224" s="288" t="s">
        <v>145</v>
      </c>
      <c r="C224" s="337"/>
      <c r="D224" s="337"/>
      <c r="E224" s="337"/>
      <c r="F224" s="288"/>
      <c r="G224" s="288"/>
      <c r="H224" s="296"/>
      <c r="I224" s="296"/>
      <c r="J224" s="296"/>
      <c r="K224" s="296"/>
      <c r="L224" s="296"/>
      <c r="M224" s="296"/>
      <c r="N224" s="296"/>
      <c r="O224" s="296"/>
      <c r="P224" s="296"/>
      <c r="Q224" s="296"/>
      <c r="R224" s="296"/>
      <c r="S224" s="363">
        <f>+R276</f>
        <v>188</v>
      </c>
      <c r="T224" s="364">
        <f>+T276</f>
        <v>26398</v>
      </c>
      <c r="U224" s="288"/>
      <c r="V224" s="365"/>
      <c r="W224" s="366"/>
      <c r="X224" s="5"/>
    </row>
    <row r="225" spans="1:24" ht="15.6" x14ac:dyDescent="0.3">
      <c r="A225" s="362"/>
      <c r="B225" s="288" t="s">
        <v>81</v>
      </c>
      <c r="C225" s="337"/>
      <c r="D225" s="337"/>
      <c r="E225" s="337"/>
      <c r="F225" s="288"/>
      <c r="G225" s="288"/>
      <c r="H225" s="296"/>
      <c r="I225" s="296"/>
      <c r="J225" s="296"/>
      <c r="K225" s="296"/>
      <c r="L225" s="296"/>
      <c r="M225" s="296"/>
      <c r="N225" s="296"/>
      <c r="O225" s="296"/>
      <c r="P225" s="296"/>
      <c r="Q225" s="296"/>
      <c r="R225" s="296"/>
      <c r="S225" s="363">
        <f>+R288</f>
        <v>0</v>
      </c>
      <c r="T225" s="364">
        <f>+T288</f>
        <v>0</v>
      </c>
      <c r="U225" s="288"/>
      <c r="V225" s="365"/>
      <c r="W225" s="366"/>
      <c r="X225" s="5"/>
    </row>
    <row r="226" spans="1:24" ht="15.6" x14ac:dyDescent="0.3">
      <c r="A226" s="362"/>
      <c r="B226" s="313" t="s">
        <v>82</v>
      </c>
      <c r="C226" s="367"/>
      <c r="D226" s="367"/>
      <c r="E226" s="367"/>
      <c r="F226" s="314"/>
      <c r="G226" s="314"/>
      <c r="H226" s="314"/>
      <c r="I226" s="314"/>
      <c r="J226" s="314"/>
      <c r="K226" s="314"/>
      <c r="L226" s="314"/>
      <c r="M226" s="314"/>
      <c r="N226" s="314"/>
      <c r="O226" s="314"/>
      <c r="P226" s="314"/>
      <c r="Q226" s="314"/>
      <c r="R226" s="314"/>
      <c r="S226" s="314"/>
      <c r="T226" s="364">
        <v>0</v>
      </c>
      <c r="U226" s="314"/>
      <c r="V226" s="369"/>
      <c r="W226" s="370"/>
      <c r="X226" s="5"/>
    </row>
    <row r="227" spans="1:24" ht="15.6" x14ac:dyDescent="0.3">
      <c r="A227" s="362"/>
      <c r="B227" s="313" t="s">
        <v>243</v>
      </c>
      <c r="C227" s="367"/>
      <c r="D227" s="367"/>
      <c r="E227" s="367"/>
      <c r="F227" s="314"/>
      <c r="G227" s="314"/>
      <c r="H227" s="314"/>
      <c r="I227" s="314"/>
      <c r="J227" s="314"/>
      <c r="K227" s="314"/>
      <c r="L227" s="314"/>
      <c r="M227" s="314"/>
      <c r="N227" s="314"/>
      <c r="O227" s="314"/>
      <c r="P227" s="314"/>
      <c r="Q227" s="314"/>
      <c r="R227" s="314"/>
      <c r="S227" s="314"/>
      <c r="T227" s="364">
        <f>+N81</f>
        <v>0</v>
      </c>
      <c r="U227" s="314"/>
      <c r="V227" s="369"/>
      <c r="W227" s="370"/>
      <c r="X227" s="5"/>
    </row>
    <row r="228" spans="1:24" ht="15.6" x14ac:dyDescent="0.3">
      <c r="A228" s="371"/>
      <c r="B228" s="313" t="s">
        <v>83</v>
      </c>
      <c r="C228" s="372"/>
      <c r="D228" s="372"/>
      <c r="E228" s="372"/>
      <c r="F228" s="372"/>
      <c r="G228" s="314"/>
      <c r="H228" s="314"/>
      <c r="I228" s="314"/>
      <c r="J228" s="314"/>
      <c r="K228" s="314"/>
      <c r="L228" s="314"/>
      <c r="M228" s="314"/>
      <c r="N228" s="314"/>
      <c r="O228" s="314"/>
      <c r="P228" s="314"/>
      <c r="Q228" s="314"/>
      <c r="R228" s="314"/>
      <c r="S228" s="314"/>
      <c r="T228" s="368"/>
      <c r="U228" s="314"/>
      <c r="V228" s="369"/>
      <c r="W228" s="373"/>
      <c r="X228" s="5"/>
    </row>
    <row r="229" spans="1:24" ht="15.6" x14ac:dyDescent="0.3">
      <c r="A229" s="371"/>
      <c r="B229" s="288" t="s">
        <v>84</v>
      </c>
      <c r="C229" s="288"/>
      <c r="D229" s="288"/>
      <c r="E229" s="288"/>
      <c r="F229" s="288"/>
      <c r="G229" s="288"/>
      <c r="H229" s="288"/>
      <c r="I229" s="288"/>
      <c r="J229" s="288"/>
      <c r="K229" s="288"/>
      <c r="L229" s="288"/>
      <c r="M229" s="288"/>
      <c r="N229" s="288"/>
      <c r="O229" s="288"/>
      <c r="P229" s="288"/>
      <c r="Q229" s="288"/>
      <c r="R229" s="288"/>
      <c r="S229" s="296"/>
      <c r="T229" s="364">
        <f>V167</f>
        <v>40</v>
      </c>
      <c r="U229" s="288"/>
      <c r="V229" s="365"/>
      <c r="W229" s="378"/>
      <c r="X229" s="5"/>
    </row>
    <row r="230" spans="1:24" ht="15.6" x14ac:dyDescent="0.3">
      <c r="A230" s="362"/>
      <c r="B230" s="288" t="s">
        <v>85</v>
      </c>
      <c r="C230" s="337"/>
      <c r="D230" s="337"/>
      <c r="E230" s="337"/>
      <c r="F230" s="337"/>
      <c r="G230" s="288"/>
      <c r="H230" s="288"/>
      <c r="I230" s="288"/>
      <c r="J230" s="288"/>
      <c r="K230" s="288"/>
      <c r="L230" s="288"/>
      <c r="M230" s="288"/>
      <c r="N230" s="288"/>
      <c r="O230" s="288"/>
      <c r="P230" s="288"/>
      <c r="Q230" s="288"/>
      <c r="R230" s="288"/>
      <c r="S230" s="296"/>
      <c r="T230" s="364">
        <f>'Nov 12'!T230+T229</f>
        <v>3859</v>
      </c>
      <c r="U230" s="288"/>
      <c r="V230" s="365"/>
      <c r="W230" s="378"/>
      <c r="X230" s="5"/>
    </row>
    <row r="231" spans="1:24" ht="15.6" x14ac:dyDescent="0.3">
      <c r="A231" s="371"/>
      <c r="B231" s="313" t="s">
        <v>295</v>
      </c>
      <c r="C231" s="372"/>
      <c r="D231" s="372"/>
      <c r="E231" s="372"/>
      <c r="F231" s="372"/>
      <c r="G231" s="314"/>
      <c r="H231" s="314"/>
      <c r="I231" s="314"/>
      <c r="J231" s="314"/>
      <c r="K231" s="314"/>
      <c r="L231" s="314"/>
      <c r="M231" s="314"/>
      <c r="N231" s="314"/>
      <c r="O231" s="314"/>
      <c r="P231" s="314"/>
      <c r="Q231" s="314"/>
      <c r="R231" s="314"/>
      <c r="S231" s="316"/>
      <c r="T231" s="368"/>
      <c r="U231" s="314"/>
      <c r="V231" s="369"/>
      <c r="W231" s="373"/>
      <c r="X231" s="5"/>
    </row>
    <row r="232" spans="1:24" ht="15.6" x14ac:dyDescent="0.3">
      <c r="A232" s="371"/>
      <c r="B232" s="288" t="s">
        <v>291</v>
      </c>
      <c r="C232" s="288"/>
      <c r="D232" s="288"/>
      <c r="E232" s="288"/>
      <c r="F232" s="288"/>
      <c r="G232" s="288"/>
      <c r="H232" s="288"/>
      <c r="I232" s="288"/>
      <c r="J232" s="288"/>
      <c r="K232" s="288"/>
      <c r="L232" s="288"/>
      <c r="M232" s="288"/>
      <c r="N232" s="288"/>
      <c r="O232" s="288"/>
      <c r="P232" s="288"/>
      <c r="Q232" s="288"/>
      <c r="R232" s="288"/>
      <c r="S232" s="296">
        <v>0</v>
      </c>
      <c r="T232" s="364">
        <v>0</v>
      </c>
      <c r="U232" s="288"/>
      <c r="V232" s="365"/>
      <c r="W232" s="378"/>
      <c r="X232" s="5"/>
    </row>
    <row r="233" spans="1:24" ht="15.6" x14ac:dyDescent="0.3">
      <c r="A233" s="362"/>
      <c r="B233" s="288" t="s">
        <v>86</v>
      </c>
      <c r="C233" s="325"/>
      <c r="D233" s="325"/>
      <c r="E233" s="325"/>
      <c r="F233" s="379"/>
      <c r="G233" s="288"/>
      <c r="H233" s="288"/>
      <c r="I233" s="288"/>
      <c r="J233" s="288"/>
      <c r="K233" s="288"/>
      <c r="L233" s="288"/>
      <c r="M233" s="288"/>
      <c r="N233" s="288"/>
      <c r="O233" s="288"/>
      <c r="P233" s="288"/>
      <c r="Q233" s="288"/>
      <c r="R233" s="288"/>
      <c r="S233" s="288"/>
      <c r="T233" s="380">
        <v>0</v>
      </c>
      <c r="U233" s="288"/>
      <c r="V233" s="365"/>
      <c r="W233" s="378"/>
      <c r="X233" s="5"/>
    </row>
    <row r="234" spans="1:24" ht="15.6" x14ac:dyDescent="0.3">
      <c r="A234" s="362"/>
      <c r="B234" s="288" t="s">
        <v>87</v>
      </c>
      <c r="C234" s="325"/>
      <c r="D234" s="325"/>
      <c r="E234" s="325"/>
      <c r="F234" s="379"/>
      <c r="G234" s="288"/>
      <c r="H234" s="288"/>
      <c r="I234" s="288"/>
      <c r="J234" s="288"/>
      <c r="K234" s="288"/>
      <c r="L234" s="288"/>
      <c r="M234" s="288"/>
      <c r="N234" s="288"/>
      <c r="O234" s="288"/>
      <c r="P234" s="288"/>
      <c r="Q234" s="288"/>
      <c r="R234" s="288"/>
      <c r="S234" s="288"/>
      <c r="T234" s="380">
        <v>0</v>
      </c>
      <c r="U234" s="288"/>
      <c r="V234" s="365"/>
      <c r="W234" s="378"/>
      <c r="X234" s="5"/>
    </row>
    <row r="235" spans="1:24" ht="15.6" x14ac:dyDescent="0.3">
      <c r="A235" s="362"/>
      <c r="B235" s="313" t="s">
        <v>217</v>
      </c>
      <c r="C235" s="381"/>
      <c r="D235" s="381"/>
      <c r="E235" s="381"/>
      <c r="F235" s="382"/>
      <c r="G235" s="314"/>
      <c r="H235" s="314"/>
      <c r="I235" s="314"/>
      <c r="J235" s="314"/>
      <c r="K235" s="314"/>
      <c r="L235" s="314"/>
      <c r="M235" s="314"/>
      <c r="N235" s="314"/>
      <c r="O235" s="314"/>
      <c r="P235" s="314"/>
      <c r="Q235" s="314"/>
      <c r="R235" s="314"/>
      <c r="S235" s="314"/>
      <c r="T235" s="383"/>
      <c r="U235" s="314"/>
      <c r="V235" s="369"/>
      <c r="W235" s="373"/>
      <c r="X235" s="5"/>
    </row>
    <row r="236" spans="1:24" ht="15.6" x14ac:dyDescent="0.3">
      <c r="A236" s="362"/>
      <c r="B236" s="288" t="s">
        <v>291</v>
      </c>
      <c r="C236" s="381"/>
      <c r="D236" s="381"/>
      <c r="E236" s="381"/>
      <c r="F236" s="382"/>
      <c r="G236" s="314"/>
      <c r="H236" s="314"/>
      <c r="I236" s="314"/>
      <c r="J236" s="314"/>
      <c r="K236" s="314"/>
      <c r="L236" s="314"/>
      <c r="M236" s="314"/>
      <c r="N236" s="314"/>
      <c r="O236" s="314"/>
      <c r="P236" s="314"/>
      <c r="Q236" s="314"/>
      <c r="R236" s="314"/>
      <c r="S236" s="296">
        <v>3</v>
      </c>
      <c r="T236" s="364">
        <v>393</v>
      </c>
      <c r="U236" s="314"/>
      <c r="V236" s="369"/>
      <c r="W236" s="373"/>
      <c r="X236" s="5"/>
    </row>
    <row r="237" spans="1:24" ht="15.6" x14ac:dyDescent="0.3">
      <c r="A237" s="362"/>
      <c r="B237" s="288" t="s">
        <v>218</v>
      </c>
      <c r="C237" s="381"/>
      <c r="D237" s="381"/>
      <c r="E237" s="381"/>
      <c r="F237" s="382"/>
      <c r="G237" s="314"/>
      <c r="H237" s="314"/>
      <c r="I237" s="314"/>
      <c r="J237" s="314"/>
      <c r="K237" s="314"/>
      <c r="L237" s="314"/>
      <c r="M237" s="314"/>
      <c r="N237" s="314"/>
      <c r="O237" s="314"/>
      <c r="P237" s="314"/>
      <c r="Q237" s="314"/>
      <c r="R237" s="314"/>
      <c r="S237" s="288"/>
      <c r="T237" s="380">
        <v>11.42</v>
      </c>
      <c r="U237" s="314"/>
      <c r="V237" s="369"/>
      <c r="W237" s="373"/>
      <c r="X237" s="5"/>
    </row>
    <row r="238" spans="1:24" ht="15.6" x14ac:dyDescent="0.3">
      <c r="A238" s="362"/>
      <c r="B238" s="372"/>
      <c r="C238" s="381"/>
      <c r="D238" s="381"/>
      <c r="E238" s="381"/>
      <c r="F238" s="382"/>
      <c r="G238" s="314"/>
      <c r="H238" s="314"/>
      <c r="I238" s="314"/>
      <c r="J238" s="314"/>
      <c r="K238" s="314"/>
      <c r="L238" s="314"/>
      <c r="M238" s="314"/>
      <c r="N238" s="314"/>
      <c r="O238" s="314"/>
      <c r="P238" s="314"/>
      <c r="Q238" s="314"/>
      <c r="R238" s="314"/>
      <c r="S238" s="314"/>
      <c r="T238" s="383"/>
      <c r="U238" s="314"/>
      <c r="V238" s="369"/>
      <c r="W238" s="373"/>
      <c r="X238" s="5"/>
    </row>
    <row r="239" spans="1:24" ht="15.6" x14ac:dyDescent="0.3">
      <c r="A239" s="362"/>
      <c r="B239" s="372"/>
      <c r="C239" s="381"/>
      <c r="D239" s="381"/>
      <c r="E239" s="381"/>
      <c r="F239" s="382"/>
      <c r="G239" s="314"/>
      <c r="H239" s="314"/>
      <c r="I239" s="314"/>
      <c r="J239" s="314"/>
      <c r="K239" s="314"/>
      <c r="L239" s="314"/>
      <c r="M239" s="314"/>
      <c r="N239" s="314"/>
      <c r="O239" s="314"/>
      <c r="P239" s="314"/>
      <c r="Q239" s="314"/>
      <c r="R239" s="314"/>
      <c r="S239" s="314"/>
      <c r="T239" s="383"/>
      <c r="U239" s="314"/>
      <c r="V239" s="369"/>
      <c r="W239" s="373"/>
      <c r="X239" s="5"/>
    </row>
    <row r="240" spans="1:24" ht="17.399999999999999" x14ac:dyDescent="0.3">
      <c r="A240" s="362"/>
      <c r="B240" s="384" t="s">
        <v>168</v>
      </c>
      <c r="C240" s="381"/>
      <c r="D240" s="381"/>
      <c r="E240" s="381"/>
      <c r="F240" s="382"/>
      <c r="G240" s="314"/>
      <c r="H240" s="314"/>
      <c r="I240" s="314"/>
      <c r="J240" s="314"/>
      <c r="K240" s="314"/>
      <c r="L240" s="314"/>
      <c r="M240" s="314"/>
      <c r="N240" s="314"/>
      <c r="O240" s="314"/>
      <c r="P240" s="385" t="s">
        <v>167</v>
      </c>
      <c r="Q240" s="314"/>
      <c r="R240" s="314"/>
      <c r="S240" s="314"/>
      <c r="T240" s="383"/>
      <c r="U240" s="314"/>
      <c r="V240" s="369"/>
      <c r="W240" s="373"/>
      <c r="X240" s="5"/>
    </row>
    <row r="241" spans="1:25" ht="15.6" x14ac:dyDescent="0.3">
      <c r="A241" s="355"/>
      <c r="B241" s="356"/>
      <c r="C241" s="357"/>
      <c r="D241" s="357"/>
      <c r="E241" s="357"/>
      <c r="F241" s="358"/>
      <c r="G241" s="198"/>
      <c r="H241" s="198"/>
      <c r="I241" s="198"/>
      <c r="J241" s="198"/>
      <c r="K241" s="198"/>
      <c r="L241" s="198"/>
      <c r="M241" s="198"/>
      <c r="N241" s="198"/>
      <c r="O241" s="198"/>
      <c r="P241" s="198"/>
      <c r="Q241" s="198"/>
      <c r="R241" s="198"/>
      <c r="S241" s="198"/>
      <c r="T241" s="359"/>
      <c r="U241" s="198"/>
      <c r="V241" s="360"/>
      <c r="W241" s="361"/>
      <c r="X241" s="5"/>
    </row>
    <row r="242" spans="1:25" ht="15.6" x14ac:dyDescent="0.3">
      <c r="A242" s="262"/>
      <c r="B242" s="399" t="s">
        <v>308</v>
      </c>
      <c r="C242" s="400"/>
      <c r="D242" s="400"/>
      <c r="E242" s="400"/>
      <c r="F242" s="406"/>
      <c r="G242" s="400"/>
      <c r="H242" s="400"/>
      <c r="I242" s="400"/>
      <c r="J242" s="400"/>
      <c r="K242" s="400"/>
      <c r="L242" s="400"/>
      <c r="M242" s="400"/>
      <c r="N242" s="400"/>
      <c r="O242" s="400"/>
      <c r="P242" s="400"/>
      <c r="Q242" s="400"/>
      <c r="R242" s="406" t="s">
        <v>102</v>
      </c>
      <c r="S242" s="400" t="s">
        <v>103</v>
      </c>
      <c r="T242" s="406" t="s">
        <v>109</v>
      </c>
      <c r="U242" s="400" t="s">
        <v>103</v>
      </c>
      <c r="V242" s="263"/>
      <c r="W242" s="399"/>
      <c r="X242" s="5"/>
    </row>
    <row r="243" spans="1:25" ht="15.6" x14ac:dyDescent="0.3">
      <c r="A243" s="197"/>
      <c r="B243" s="234" t="s">
        <v>88</v>
      </c>
      <c r="C243" s="253"/>
      <c r="D243" s="253"/>
      <c r="E243" s="253"/>
      <c r="F243" s="231"/>
      <c r="G243" s="253"/>
      <c r="H243" s="253"/>
      <c r="I243" s="253"/>
      <c r="J243" s="253"/>
      <c r="K243" s="253"/>
      <c r="L243" s="253"/>
      <c r="M243" s="253"/>
      <c r="N243" s="253"/>
      <c r="O243" s="253"/>
      <c r="P243" s="253"/>
      <c r="Q243" s="253"/>
      <c r="R243" s="234">
        <f t="shared" ref="R243:R250" si="1">+R255+R267+R279</f>
        <v>7793</v>
      </c>
      <c r="S243" s="254">
        <f t="shared" ref="S243:S250" si="2">R243/$R$252</f>
        <v>0.98870844963207305</v>
      </c>
      <c r="T243" s="241">
        <f t="shared" ref="T243:T250" si="3">+T255+T267+T279</f>
        <v>1086125</v>
      </c>
      <c r="U243" s="254">
        <f t="shared" ref="U243:U250" si="4">T243/$T$252</f>
        <v>0.98488029096870777</v>
      </c>
      <c r="V243" s="250"/>
      <c r="W243" s="232"/>
      <c r="X243" s="5"/>
    </row>
    <row r="244" spans="1:25" ht="15.6" x14ac:dyDescent="0.3">
      <c r="A244" s="287"/>
      <c r="B244" s="337" t="s">
        <v>89</v>
      </c>
      <c r="C244" s="389"/>
      <c r="D244" s="389"/>
      <c r="E244" s="389"/>
      <c r="F244" s="288"/>
      <c r="G244" s="390"/>
      <c r="H244" s="389"/>
      <c r="I244" s="389"/>
      <c r="J244" s="389"/>
      <c r="K244" s="389"/>
      <c r="L244" s="389"/>
      <c r="M244" s="389"/>
      <c r="N244" s="389"/>
      <c r="O244" s="389"/>
      <c r="P244" s="389"/>
      <c r="Q244" s="389"/>
      <c r="R244" s="337">
        <f t="shared" si="1"/>
        <v>41</v>
      </c>
      <c r="S244" s="390">
        <f t="shared" si="2"/>
        <v>5.2017254503933016E-3</v>
      </c>
      <c r="T244" s="338">
        <f t="shared" si="3"/>
        <v>9880</v>
      </c>
      <c r="U244" s="390">
        <f t="shared" si="4"/>
        <v>8.9590215442705342E-3</v>
      </c>
      <c r="V244" s="365"/>
      <c r="W244" s="378"/>
      <c r="X244" s="5"/>
      <c r="Y244" s="109"/>
    </row>
    <row r="245" spans="1:25" ht="15.6" x14ac:dyDescent="0.3">
      <c r="A245" s="287"/>
      <c r="B245" s="337" t="s">
        <v>90</v>
      </c>
      <c r="C245" s="389"/>
      <c r="D245" s="389"/>
      <c r="E245" s="389"/>
      <c r="F245" s="288"/>
      <c r="G245" s="390"/>
      <c r="H245" s="389"/>
      <c r="I245" s="389"/>
      <c r="J245" s="389"/>
      <c r="K245" s="389"/>
      <c r="L245" s="389"/>
      <c r="M245" s="389"/>
      <c r="N245" s="389"/>
      <c r="O245" s="389"/>
      <c r="P245" s="389"/>
      <c r="Q245" s="389"/>
      <c r="R245" s="337">
        <f t="shared" si="1"/>
        <v>16</v>
      </c>
      <c r="S245" s="390">
        <f t="shared" si="2"/>
        <v>2.0299416391778738E-3</v>
      </c>
      <c r="T245" s="338">
        <f t="shared" si="3"/>
        <v>2196</v>
      </c>
      <c r="U245" s="390">
        <f t="shared" si="4"/>
        <v>1.991296691418835E-3</v>
      </c>
      <c r="V245" s="365"/>
      <c r="W245" s="378"/>
      <c r="X245" s="5"/>
    </row>
    <row r="246" spans="1:25" ht="15.6" x14ac:dyDescent="0.3">
      <c r="A246" s="287"/>
      <c r="B246" s="337" t="s">
        <v>156</v>
      </c>
      <c r="C246" s="389"/>
      <c r="D246" s="389"/>
      <c r="E246" s="389"/>
      <c r="F246" s="288"/>
      <c r="G246" s="390"/>
      <c r="H246" s="389"/>
      <c r="I246" s="389"/>
      <c r="J246" s="389"/>
      <c r="K246" s="389"/>
      <c r="L246" s="389"/>
      <c r="M246" s="389"/>
      <c r="N246" s="389"/>
      <c r="O246" s="389"/>
      <c r="P246" s="389"/>
      <c r="Q246" s="389"/>
      <c r="R246" s="337">
        <f t="shared" si="1"/>
        <v>7</v>
      </c>
      <c r="S246" s="390">
        <f t="shared" si="2"/>
        <v>8.8809946714031975E-4</v>
      </c>
      <c r="T246" s="338">
        <f t="shared" si="3"/>
        <v>1106</v>
      </c>
      <c r="U246" s="390">
        <f t="shared" si="4"/>
        <v>1.0029026141663167E-3</v>
      </c>
      <c r="V246" s="365"/>
      <c r="W246" s="378"/>
      <c r="X246" s="5"/>
      <c r="Y246" s="109"/>
    </row>
    <row r="247" spans="1:25" ht="15.6" x14ac:dyDescent="0.3">
      <c r="A247" s="287"/>
      <c r="B247" s="337" t="s">
        <v>157</v>
      </c>
      <c r="C247" s="389"/>
      <c r="D247" s="389"/>
      <c r="E247" s="389"/>
      <c r="F247" s="288"/>
      <c r="G247" s="390"/>
      <c r="H247" s="389"/>
      <c r="I247" s="389"/>
      <c r="J247" s="389"/>
      <c r="K247" s="389"/>
      <c r="L247" s="389"/>
      <c r="M247" s="389"/>
      <c r="N247" s="389"/>
      <c r="O247" s="389"/>
      <c r="P247" s="389"/>
      <c r="Q247" s="389"/>
      <c r="R247" s="337">
        <f t="shared" si="1"/>
        <v>1</v>
      </c>
      <c r="S247" s="390">
        <f t="shared" si="2"/>
        <v>1.2687135244861711E-4</v>
      </c>
      <c r="T247" s="338">
        <f t="shared" si="3"/>
        <v>64</v>
      </c>
      <c r="U247" s="390">
        <f t="shared" si="4"/>
        <v>5.8034147655193736E-5</v>
      </c>
      <c r="V247" s="365"/>
      <c r="W247" s="378"/>
      <c r="X247" s="5"/>
    </row>
    <row r="248" spans="1:25" ht="15.6" x14ac:dyDescent="0.3">
      <c r="A248" s="287"/>
      <c r="B248" s="337" t="s">
        <v>158</v>
      </c>
      <c r="C248" s="389"/>
      <c r="D248" s="389"/>
      <c r="E248" s="389"/>
      <c r="F248" s="288"/>
      <c r="G248" s="390"/>
      <c r="H248" s="389"/>
      <c r="I248" s="389"/>
      <c r="J248" s="389"/>
      <c r="K248" s="389"/>
      <c r="L248" s="389"/>
      <c r="M248" s="389"/>
      <c r="N248" s="389"/>
      <c r="O248" s="389"/>
      <c r="P248" s="389"/>
      <c r="Q248" s="389"/>
      <c r="R248" s="337">
        <f t="shared" si="1"/>
        <v>1</v>
      </c>
      <c r="S248" s="390">
        <f t="shared" si="2"/>
        <v>1.2687135244861711E-4</v>
      </c>
      <c r="T248" s="338">
        <f t="shared" si="3"/>
        <v>142</v>
      </c>
      <c r="U248" s="390">
        <f t="shared" si="4"/>
        <v>1.2876326510996111E-4</v>
      </c>
      <c r="V248" s="365"/>
      <c r="W248" s="378"/>
      <c r="X248" s="5"/>
      <c r="Y248" s="109"/>
    </row>
    <row r="249" spans="1:25" ht="15.6" x14ac:dyDescent="0.3">
      <c r="A249" s="287"/>
      <c r="B249" s="337" t="s">
        <v>159</v>
      </c>
      <c r="C249" s="389"/>
      <c r="D249" s="389"/>
      <c r="E249" s="389"/>
      <c r="F249" s="288"/>
      <c r="G249" s="390"/>
      <c r="H249" s="389"/>
      <c r="I249" s="389"/>
      <c r="J249" s="389"/>
      <c r="K249" s="389"/>
      <c r="L249" s="389"/>
      <c r="M249" s="389"/>
      <c r="N249" s="389"/>
      <c r="O249" s="389"/>
      <c r="P249" s="389"/>
      <c r="Q249" s="389"/>
      <c r="R249" s="337">
        <f t="shared" si="1"/>
        <v>6</v>
      </c>
      <c r="S249" s="390">
        <f t="shared" si="2"/>
        <v>7.6122811469170261E-4</v>
      </c>
      <c r="T249" s="338">
        <f t="shared" si="3"/>
        <v>839</v>
      </c>
      <c r="U249" s="390">
        <f t="shared" si="4"/>
        <v>7.6079140441730544E-4</v>
      </c>
      <c r="V249" s="365"/>
      <c r="W249" s="378"/>
      <c r="X249" s="5"/>
    </row>
    <row r="250" spans="1:25" ht="15.6" x14ac:dyDescent="0.3">
      <c r="A250" s="287"/>
      <c r="B250" s="337" t="s">
        <v>160</v>
      </c>
      <c r="C250" s="389"/>
      <c r="D250" s="389"/>
      <c r="E250" s="389"/>
      <c r="F250" s="288"/>
      <c r="G250" s="390"/>
      <c r="H250" s="389"/>
      <c r="I250" s="389"/>
      <c r="J250" s="389"/>
      <c r="K250" s="389"/>
      <c r="L250" s="389"/>
      <c r="M250" s="389"/>
      <c r="N250" s="389"/>
      <c r="O250" s="389"/>
      <c r="P250" s="389"/>
      <c r="Q250" s="389"/>
      <c r="R250" s="339">
        <f t="shared" si="1"/>
        <v>17</v>
      </c>
      <c r="S250" s="393">
        <f t="shared" si="2"/>
        <v>2.1568129916264907E-3</v>
      </c>
      <c r="T250" s="394">
        <f t="shared" si="3"/>
        <v>2447</v>
      </c>
      <c r="U250" s="393">
        <f t="shared" si="4"/>
        <v>2.2188993642540482E-3</v>
      </c>
      <c r="V250" s="365"/>
      <c r="W250" s="378"/>
      <c r="X250" s="5"/>
      <c r="Y250" s="109"/>
    </row>
    <row r="251" spans="1:25" ht="15.6" x14ac:dyDescent="0.3">
      <c r="A251" s="287"/>
      <c r="B251" s="337"/>
      <c r="C251" s="389"/>
      <c r="D251" s="389"/>
      <c r="E251" s="389"/>
      <c r="F251" s="288"/>
      <c r="G251" s="390"/>
      <c r="H251" s="389"/>
      <c r="I251" s="389"/>
      <c r="J251" s="389"/>
      <c r="K251" s="389"/>
      <c r="L251" s="389"/>
      <c r="M251" s="389"/>
      <c r="N251" s="389"/>
      <c r="O251" s="389"/>
      <c r="P251" s="389"/>
      <c r="Q251" s="389"/>
      <c r="R251" s="337"/>
      <c r="S251" s="390"/>
      <c r="T251" s="338"/>
      <c r="U251" s="390"/>
      <c r="V251" s="365"/>
      <c r="W251" s="378"/>
      <c r="X251" s="5"/>
    </row>
    <row r="252" spans="1:25" ht="15.6" x14ac:dyDescent="0.3">
      <c r="A252" s="287"/>
      <c r="B252" s="288"/>
      <c r="C252" s="288"/>
      <c r="D252" s="288"/>
      <c r="E252" s="288"/>
      <c r="F252" s="288"/>
      <c r="G252" s="288"/>
      <c r="H252" s="391"/>
      <c r="I252" s="391"/>
      <c r="J252" s="391"/>
      <c r="K252" s="391"/>
      <c r="L252" s="391"/>
      <c r="M252" s="391"/>
      <c r="N252" s="391"/>
      <c r="O252" s="391"/>
      <c r="P252" s="391"/>
      <c r="Q252" s="391"/>
      <c r="R252" s="337">
        <f>SUM(R243:R251)</f>
        <v>7882</v>
      </c>
      <c r="S252" s="390">
        <f>SUM(S243:S251)</f>
        <v>1</v>
      </c>
      <c r="T252" s="338">
        <f>SUM(T243:T251)</f>
        <v>1102799</v>
      </c>
      <c r="U252" s="390">
        <f>SUM(U243:U251)</f>
        <v>0.99999999999999989</v>
      </c>
      <c r="V252" s="288"/>
      <c r="W252" s="291"/>
      <c r="X252" s="5"/>
    </row>
    <row r="253" spans="1:25" ht="15.6" x14ac:dyDescent="0.3">
      <c r="A253" s="183"/>
      <c r="B253" s="198"/>
      <c r="C253" s="198"/>
      <c r="D253" s="198"/>
      <c r="E253" s="198"/>
      <c r="F253" s="198"/>
      <c r="G253" s="198"/>
      <c r="H253" s="386"/>
      <c r="I253" s="386"/>
      <c r="J253" s="386"/>
      <c r="K253" s="386"/>
      <c r="L253" s="386"/>
      <c r="M253" s="386"/>
      <c r="N253" s="386"/>
      <c r="O253" s="386"/>
      <c r="P253" s="386"/>
      <c r="Q253" s="386"/>
      <c r="R253" s="335"/>
      <c r="S253" s="387"/>
      <c r="T253" s="388"/>
      <c r="U253" s="387"/>
      <c r="V253" s="198"/>
      <c r="W253" s="198"/>
      <c r="X253" s="5"/>
    </row>
    <row r="254" spans="1:25" ht="15.6" x14ac:dyDescent="0.3">
      <c r="A254" s="262"/>
      <c r="B254" s="399" t="s">
        <v>162</v>
      </c>
      <c r="C254" s="400"/>
      <c r="D254" s="400"/>
      <c r="E254" s="400"/>
      <c r="F254" s="406"/>
      <c r="G254" s="400"/>
      <c r="H254" s="400"/>
      <c r="I254" s="400"/>
      <c r="J254" s="400"/>
      <c r="K254" s="400"/>
      <c r="L254" s="400"/>
      <c r="M254" s="400"/>
      <c r="N254" s="400"/>
      <c r="O254" s="400"/>
      <c r="P254" s="400"/>
      <c r="Q254" s="400"/>
      <c r="R254" s="406" t="s">
        <v>102</v>
      </c>
      <c r="S254" s="400" t="s">
        <v>103</v>
      </c>
      <c r="T254" s="406" t="s">
        <v>109</v>
      </c>
      <c r="U254" s="400" t="s">
        <v>103</v>
      </c>
      <c r="V254" s="263"/>
      <c r="W254" s="399"/>
      <c r="X254" s="5"/>
    </row>
    <row r="255" spans="1:25" ht="15.6" x14ac:dyDescent="0.3">
      <c r="A255" s="197"/>
      <c r="B255" s="234" t="s">
        <v>88</v>
      </c>
      <c r="C255" s="253"/>
      <c r="D255" s="253"/>
      <c r="E255" s="253"/>
      <c r="F255" s="231"/>
      <c r="G255" s="253"/>
      <c r="H255" s="253"/>
      <c r="I255" s="253"/>
      <c r="J255" s="253"/>
      <c r="K255" s="253"/>
      <c r="L255" s="253"/>
      <c r="M255" s="253"/>
      <c r="N255" s="253"/>
      <c r="O255" s="253"/>
      <c r="P255" s="253"/>
      <c r="Q255" s="253"/>
      <c r="R255" s="234">
        <v>7650</v>
      </c>
      <c r="S255" s="254">
        <f t="shared" ref="S255:S262" si="5">R255/$R$264</f>
        <v>0.99428125812321289</v>
      </c>
      <c r="T255" s="241">
        <v>1066438</v>
      </c>
      <c r="U255" s="254">
        <f t="shared" ref="U255:U262" si="6">T255/$T$264</f>
        <v>0.99074415575607977</v>
      </c>
      <c r="V255" s="250"/>
      <c r="W255" s="232"/>
      <c r="X255" s="5"/>
    </row>
    <row r="256" spans="1:25" ht="15.6" x14ac:dyDescent="0.3">
      <c r="A256" s="287"/>
      <c r="B256" s="337" t="s">
        <v>89</v>
      </c>
      <c r="C256" s="389"/>
      <c r="D256" s="389"/>
      <c r="E256" s="389"/>
      <c r="F256" s="288"/>
      <c r="G256" s="390"/>
      <c r="H256" s="389"/>
      <c r="I256" s="389"/>
      <c r="J256" s="389"/>
      <c r="K256" s="389"/>
      <c r="L256" s="389"/>
      <c r="M256" s="389"/>
      <c r="N256" s="389"/>
      <c r="O256" s="389"/>
      <c r="P256" s="389"/>
      <c r="Q256" s="389"/>
      <c r="R256" s="337">
        <v>36</v>
      </c>
      <c r="S256" s="390">
        <f t="shared" si="5"/>
        <v>4.6789706264621783E-3</v>
      </c>
      <c r="T256" s="338">
        <v>9258</v>
      </c>
      <c r="U256" s="390">
        <f t="shared" si="6"/>
        <v>8.600883871345345E-3</v>
      </c>
      <c r="V256" s="365"/>
      <c r="W256" s="378"/>
      <c r="X256" s="5"/>
      <c r="Y256" s="109"/>
    </row>
    <row r="257" spans="1:25" ht="15.6" x14ac:dyDescent="0.3">
      <c r="A257" s="287"/>
      <c r="B257" s="337" t="s">
        <v>90</v>
      </c>
      <c r="C257" s="389"/>
      <c r="D257" s="389"/>
      <c r="E257" s="389"/>
      <c r="F257" s="288"/>
      <c r="G257" s="390"/>
      <c r="H257" s="389"/>
      <c r="I257" s="389"/>
      <c r="J257" s="389"/>
      <c r="K257" s="389"/>
      <c r="L257" s="389"/>
      <c r="M257" s="389"/>
      <c r="N257" s="389"/>
      <c r="O257" s="389"/>
      <c r="P257" s="389"/>
      <c r="Q257" s="389"/>
      <c r="R257" s="337">
        <v>2</v>
      </c>
      <c r="S257" s="390">
        <f t="shared" si="5"/>
        <v>2.599428125812321E-4</v>
      </c>
      <c r="T257" s="338">
        <v>113</v>
      </c>
      <c r="U257" s="390">
        <f t="shared" si="6"/>
        <v>1.0497946397299891E-4</v>
      </c>
      <c r="V257" s="365"/>
      <c r="W257" s="378"/>
      <c r="X257" s="5"/>
    </row>
    <row r="258" spans="1:25" ht="15.6" x14ac:dyDescent="0.3">
      <c r="A258" s="287"/>
      <c r="B258" s="337" t="s">
        <v>156</v>
      </c>
      <c r="C258" s="389"/>
      <c r="D258" s="389"/>
      <c r="E258" s="389"/>
      <c r="F258" s="288"/>
      <c r="G258" s="390"/>
      <c r="H258" s="389"/>
      <c r="I258" s="389"/>
      <c r="J258" s="389"/>
      <c r="K258" s="389"/>
      <c r="L258" s="389"/>
      <c r="M258" s="389"/>
      <c r="N258" s="389"/>
      <c r="O258" s="389"/>
      <c r="P258" s="389"/>
      <c r="Q258" s="389"/>
      <c r="R258" s="337">
        <v>3</v>
      </c>
      <c r="S258" s="390">
        <f t="shared" si="5"/>
        <v>3.8991421887184821E-4</v>
      </c>
      <c r="T258" s="338">
        <v>342</v>
      </c>
      <c r="U258" s="390">
        <f t="shared" si="6"/>
        <v>3.1772545733420912E-4</v>
      </c>
      <c r="V258" s="365"/>
      <c r="W258" s="378"/>
      <c r="X258" s="5"/>
      <c r="Y258" s="109"/>
    </row>
    <row r="259" spans="1:25" ht="15.6" x14ac:dyDescent="0.3">
      <c r="A259" s="287"/>
      <c r="B259" s="337" t="s">
        <v>157</v>
      </c>
      <c r="C259" s="389"/>
      <c r="D259" s="389"/>
      <c r="E259" s="389"/>
      <c r="F259" s="288"/>
      <c r="G259" s="390"/>
      <c r="H259" s="389"/>
      <c r="I259" s="389"/>
      <c r="J259" s="389"/>
      <c r="K259" s="389"/>
      <c r="L259" s="389"/>
      <c r="M259" s="389"/>
      <c r="N259" s="389"/>
      <c r="O259" s="389"/>
      <c r="P259" s="389"/>
      <c r="Q259" s="389"/>
      <c r="R259" s="337">
        <v>0</v>
      </c>
      <c r="S259" s="390">
        <f t="shared" si="5"/>
        <v>0</v>
      </c>
      <c r="T259" s="338">
        <v>0</v>
      </c>
      <c r="U259" s="390">
        <f t="shared" si="6"/>
        <v>0</v>
      </c>
      <c r="V259" s="365"/>
      <c r="W259" s="378"/>
      <c r="X259" s="5"/>
    </row>
    <row r="260" spans="1:25" ht="15.6" x14ac:dyDescent="0.3">
      <c r="A260" s="287"/>
      <c r="B260" s="337" t="s">
        <v>158</v>
      </c>
      <c r="C260" s="389"/>
      <c r="D260" s="389"/>
      <c r="E260" s="389"/>
      <c r="F260" s="288"/>
      <c r="G260" s="390"/>
      <c r="H260" s="389"/>
      <c r="I260" s="389"/>
      <c r="J260" s="389"/>
      <c r="K260" s="389"/>
      <c r="L260" s="389"/>
      <c r="M260" s="389"/>
      <c r="N260" s="389"/>
      <c r="O260" s="389"/>
      <c r="P260" s="389"/>
      <c r="Q260" s="389"/>
      <c r="R260" s="337">
        <v>0</v>
      </c>
      <c r="S260" s="390">
        <f t="shared" si="5"/>
        <v>0</v>
      </c>
      <c r="T260" s="338">
        <v>0</v>
      </c>
      <c r="U260" s="390">
        <f t="shared" si="6"/>
        <v>0</v>
      </c>
      <c r="V260" s="365"/>
      <c r="W260" s="378"/>
      <c r="X260" s="5"/>
      <c r="Y260" s="109"/>
    </row>
    <row r="261" spans="1:25" ht="15.6" x14ac:dyDescent="0.3">
      <c r="A261" s="287"/>
      <c r="B261" s="337" t="s">
        <v>159</v>
      </c>
      <c r="C261" s="389"/>
      <c r="D261" s="389"/>
      <c r="E261" s="389"/>
      <c r="F261" s="288"/>
      <c r="G261" s="390"/>
      <c r="H261" s="389"/>
      <c r="I261" s="389"/>
      <c r="J261" s="389"/>
      <c r="K261" s="389"/>
      <c r="L261" s="389"/>
      <c r="M261" s="389"/>
      <c r="N261" s="389"/>
      <c r="O261" s="389"/>
      <c r="P261" s="389"/>
      <c r="Q261" s="389"/>
      <c r="R261" s="337">
        <v>1</v>
      </c>
      <c r="S261" s="390">
        <f t="shared" si="5"/>
        <v>1.2997140629061605E-4</v>
      </c>
      <c r="T261" s="338">
        <v>48</v>
      </c>
      <c r="U261" s="390">
        <f t="shared" si="6"/>
        <v>4.4593046643397767E-5</v>
      </c>
      <c r="V261" s="365"/>
      <c r="W261" s="378"/>
      <c r="X261" s="5"/>
    </row>
    <row r="262" spans="1:25" ht="15.6" x14ac:dyDescent="0.3">
      <c r="A262" s="287"/>
      <c r="B262" s="337" t="s">
        <v>160</v>
      </c>
      <c r="C262" s="389"/>
      <c r="D262" s="389"/>
      <c r="E262" s="389"/>
      <c r="F262" s="288"/>
      <c r="G262" s="390"/>
      <c r="H262" s="389"/>
      <c r="I262" s="389"/>
      <c r="J262" s="389"/>
      <c r="K262" s="389"/>
      <c r="L262" s="389"/>
      <c r="M262" s="389"/>
      <c r="N262" s="389"/>
      <c r="O262" s="389"/>
      <c r="P262" s="389"/>
      <c r="Q262" s="389"/>
      <c r="R262" s="337">
        <v>2</v>
      </c>
      <c r="S262" s="390">
        <f t="shared" si="5"/>
        <v>2.599428125812321E-4</v>
      </c>
      <c r="T262" s="338">
        <v>202</v>
      </c>
      <c r="U262" s="390">
        <f t="shared" si="6"/>
        <v>1.8766240462429894E-4</v>
      </c>
      <c r="V262" s="365"/>
      <c r="W262" s="378"/>
      <c r="X262" s="5"/>
      <c r="Y262" s="109"/>
    </row>
    <row r="263" spans="1:25" ht="15.6" x14ac:dyDescent="0.3">
      <c r="A263" s="287"/>
      <c r="B263" s="337"/>
      <c r="C263" s="389"/>
      <c r="D263" s="389"/>
      <c r="E263" s="389"/>
      <c r="F263" s="288"/>
      <c r="G263" s="390"/>
      <c r="H263" s="389"/>
      <c r="I263" s="389"/>
      <c r="J263" s="389"/>
      <c r="K263" s="389"/>
      <c r="L263" s="389"/>
      <c r="M263" s="389"/>
      <c r="N263" s="389"/>
      <c r="O263" s="389"/>
      <c r="P263" s="389"/>
      <c r="Q263" s="389"/>
      <c r="R263" s="337"/>
      <c r="S263" s="390"/>
      <c r="T263" s="338"/>
      <c r="U263" s="390"/>
      <c r="V263" s="365"/>
      <c r="W263" s="378"/>
      <c r="X263" s="5"/>
    </row>
    <row r="264" spans="1:25" ht="15.6" x14ac:dyDescent="0.3">
      <c r="A264" s="287"/>
      <c r="B264" s="288"/>
      <c r="C264" s="288"/>
      <c r="D264" s="288"/>
      <c r="E264" s="288"/>
      <c r="F264" s="288"/>
      <c r="G264" s="288"/>
      <c r="H264" s="391"/>
      <c r="I264" s="391"/>
      <c r="J264" s="391"/>
      <c r="K264" s="391"/>
      <c r="L264" s="391"/>
      <c r="M264" s="391"/>
      <c r="N264" s="391"/>
      <c r="O264" s="391"/>
      <c r="P264" s="391"/>
      <c r="Q264" s="391"/>
      <c r="R264" s="337">
        <f>SUM(R255:R263)</f>
        <v>7694</v>
      </c>
      <c r="S264" s="390">
        <f>SUM(S255:S263)</f>
        <v>0.99999999999999989</v>
      </c>
      <c r="T264" s="338">
        <f>SUM(T255:T263)</f>
        <v>1076401</v>
      </c>
      <c r="U264" s="390">
        <f>SUM(U255:U263)</f>
        <v>1</v>
      </c>
      <c r="V264" s="288"/>
      <c r="W264" s="291"/>
      <c r="X264" s="5"/>
    </row>
    <row r="265" spans="1:25" ht="15.6" x14ac:dyDescent="0.3">
      <c r="A265" s="183"/>
      <c r="B265" s="198"/>
      <c r="C265" s="198"/>
      <c r="D265" s="198"/>
      <c r="E265" s="198"/>
      <c r="F265" s="198"/>
      <c r="G265" s="198"/>
      <c r="H265" s="386"/>
      <c r="I265" s="386"/>
      <c r="J265" s="386"/>
      <c r="K265" s="386"/>
      <c r="L265" s="386"/>
      <c r="M265" s="386"/>
      <c r="N265" s="386"/>
      <c r="O265" s="386"/>
      <c r="P265" s="386"/>
      <c r="Q265" s="386"/>
      <c r="R265" s="335"/>
      <c r="S265" s="387"/>
      <c r="T265" s="388"/>
      <c r="U265" s="387"/>
      <c r="V265" s="198"/>
      <c r="W265" s="198"/>
      <c r="X265" s="5"/>
    </row>
    <row r="266" spans="1:25" ht="15.6" x14ac:dyDescent="0.3">
      <c r="A266" s="280"/>
      <c r="B266" s="399" t="s">
        <v>275</v>
      </c>
      <c r="C266" s="400"/>
      <c r="D266" s="400"/>
      <c r="E266" s="400"/>
      <c r="F266" s="406"/>
      <c r="G266" s="400"/>
      <c r="H266" s="400"/>
      <c r="I266" s="400"/>
      <c r="J266" s="400"/>
      <c r="K266" s="400"/>
      <c r="L266" s="400"/>
      <c r="M266" s="400"/>
      <c r="N266" s="400"/>
      <c r="O266" s="400"/>
      <c r="P266" s="400"/>
      <c r="Q266" s="400"/>
      <c r="R266" s="406" t="s">
        <v>102</v>
      </c>
      <c r="S266" s="400" t="s">
        <v>103</v>
      </c>
      <c r="T266" s="406" t="s">
        <v>109</v>
      </c>
      <c r="U266" s="400" t="s">
        <v>103</v>
      </c>
      <c r="V266" s="281"/>
      <c r="W266" s="282"/>
      <c r="X266" s="5"/>
    </row>
    <row r="267" spans="1:25" ht="15.6" x14ac:dyDescent="0.3">
      <c r="A267" s="197"/>
      <c r="B267" s="234" t="s">
        <v>88</v>
      </c>
      <c r="C267" s="253"/>
      <c r="D267" s="253"/>
      <c r="E267" s="253"/>
      <c r="F267" s="231"/>
      <c r="G267" s="253"/>
      <c r="H267" s="253"/>
      <c r="I267" s="253"/>
      <c r="J267" s="253"/>
      <c r="K267" s="253"/>
      <c r="L267" s="253"/>
      <c r="M267" s="253"/>
      <c r="N267" s="253"/>
      <c r="O267" s="253"/>
      <c r="P267" s="253"/>
      <c r="Q267" s="253"/>
      <c r="R267" s="234">
        <v>143</v>
      </c>
      <c r="S267" s="254">
        <f t="shared" ref="S267:S274" si="7">R267/$R$276</f>
        <v>0.76063829787234039</v>
      </c>
      <c r="T267" s="241">
        <v>19687</v>
      </c>
      <c r="U267" s="254">
        <f t="shared" ref="U267:U274" si="8">T267/$T$276</f>
        <v>0.74577619516630045</v>
      </c>
      <c r="V267" s="231"/>
      <c r="W267" s="231"/>
      <c r="X267" s="5"/>
    </row>
    <row r="268" spans="1:25" ht="15.6" x14ac:dyDescent="0.3">
      <c r="A268" s="287"/>
      <c r="B268" s="337" t="s">
        <v>89</v>
      </c>
      <c r="C268" s="389"/>
      <c r="D268" s="389"/>
      <c r="E268" s="389"/>
      <c r="F268" s="288"/>
      <c r="G268" s="390"/>
      <c r="H268" s="389"/>
      <c r="I268" s="389"/>
      <c r="J268" s="389"/>
      <c r="K268" s="389"/>
      <c r="L268" s="389"/>
      <c r="M268" s="389"/>
      <c r="N268" s="389"/>
      <c r="O268" s="389"/>
      <c r="P268" s="389"/>
      <c r="Q268" s="389"/>
      <c r="R268" s="337">
        <v>5</v>
      </c>
      <c r="S268" s="390">
        <f t="shared" si="7"/>
        <v>2.6595744680851064E-2</v>
      </c>
      <c r="T268" s="338">
        <v>622</v>
      </c>
      <c r="U268" s="390">
        <f t="shared" si="8"/>
        <v>2.356239109023411E-2</v>
      </c>
      <c r="V268" s="288"/>
      <c r="W268" s="291"/>
      <c r="X268" s="5"/>
    </row>
    <row r="269" spans="1:25" ht="15.6" x14ac:dyDescent="0.3">
      <c r="A269" s="287"/>
      <c r="B269" s="337" t="s">
        <v>90</v>
      </c>
      <c r="C269" s="389"/>
      <c r="D269" s="389"/>
      <c r="E269" s="389"/>
      <c r="F269" s="288"/>
      <c r="G269" s="390"/>
      <c r="H269" s="389"/>
      <c r="I269" s="389"/>
      <c r="J269" s="389"/>
      <c r="K269" s="389"/>
      <c r="L269" s="389"/>
      <c r="M269" s="389"/>
      <c r="N269" s="389"/>
      <c r="O269" s="389"/>
      <c r="P269" s="389"/>
      <c r="Q269" s="389"/>
      <c r="R269" s="337">
        <v>14</v>
      </c>
      <c r="S269" s="390">
        <f t="shared" si="7"/>
        <v>7.4468085106382975E-2</v>
      </c>
      <c r="T269" s="338">
        <v>2083</v>
      </c>
      <c r="U269" s="390">
        <f t="shared" si="8"/>
        <v>7.8907492991893327E-2</v>
      </c>
      <c r="V269" s="288"/>
      <c r="W269" s="291"/>
      <c r="X269" s="5"/>
    </row>
    <row r="270" spans="1:25" ht="15.6" x14ac:dyDescent="0.3">
      <c r="A270" s="287"/>
      <c r="B270" s="337" t="s">
        <v>156</v>
      </c>
      <c r="C270" s="389"/>
      <c r="D270" s="389"/>
      <c r="E270" s="389"/>
      <c r="F270" s="288"/>
      <c r="G270" s="390"/>
      <c r="H270" s="389"/>
      <c r="I270" s="389"/>
      <c r="J270" s="389"/>
      <c r="K270" s="389"/>
      <c r="L270" s="389"/>
      <c r="M270" s="389"/>
      <c r="N270" s="389"/>
      <c r="O270" s="389"/>
      <c r="P270" s="389"/>
      <c r="Q270" s="389"/>
      <c r="R270" s="337">
        <v>4</v>
      </c>
      <c r="S270" s="390">
        <f t="shared" si="7"/>
        <v>2.1276595744680851E-2</v>
      </c>
      <c r="T270" s="338">
        <v>764</v>
      </c>
      <c r="U270" s="390">
        <f t="shared" si="8"/>
        <v>2.8941586483824531E-2</v>
      </c>
      <c r="V270" s="288"/>
      <c r="W270" s="291"/>
      <c r="X270" s="5"/>
    </row>
    <row r="271" spans="1:25" ht="15.6" x14ac:dyDescent="0.3">
      <c r="A271" s="287"/>
      <c r="B271" s="337" t="s">
        <v>157</v>
      </c>
      <c r="C271" s="389"/>
      <c r="D271" s="389"/>
      <c r="E271" s="389"/>
      <c r="F271" s="288"/>
      <c r="G271" s="390"/>
      <c r="H271" s="389"/>
      <c r="I271" s="389"/>
      <c r="J271" s="389"/>
      <c r="K271" s="389"/>
      <c r="L271" s="389"/>
      <c r="M271" s="389"/>
      <c r="N271" s="389"/>
      <c r="O271" s="389"/>
      <c r="P271" s="389"/>
      <c r="Q271" s="389"/>
      <c r="R271" s="337">
        <v>1</v>
      </c>
      <c r="S271" s="390">
        <f t="shared" si="7"/>
        <v>5.3191489361702126E-3</v>
      </c>
      <c r="T271" s="338">
        <v>64</v>
      </c>
      <c r="U271" s="390">
        <f t="shared" si="8"/>
        <v>2.4244260928858248E-3</v>
      </c>
      <c r="V271" s="288"/>
      <c r="W271" s="291"/>
      <c r="X271" s="5"/>
    </row>
    <row r="272" spans="1:25" ht="15.6" x14ac:dyDescent="0.3">
      <c r="A272" s="287"/>
      <c r="B272" s="337" t="s">
        <v>158</v>
      </c>
      <c r="C272" s="389"/>
      <c r="D272" s="389"/>
      <c r="E272" s="389"/>
      <c r="F272" s="288"/>
      <c r="G272" s="390"/>
      <c r="H272" s="389"/>
      <c r="I272" s="389"/>
      <c r="J272" s="389"/>
      <c r="K272" s="389"/>
      <c r="L272" s="389"/>
      <c r="M272" s="389"/>
      <c r="N272" s="389"/>
      <c r="O272" s="389"/>
      <c r="P272" s="389"/>
      <c r="Q272" s="389"/>
      <c r="R272" s="337">
        <v>1</v>
      </c>
      <c r="S272" s="390">
        <f t="shared" si="7"/>
        <v>5.3191489361702126E-3</v>
      </c>
      <c r="T272" s="338">
        <v>142</v>
      </c>
      <c r="U272" s="390">
        <f t="shared" si="8"/>
        <v>5.3791953935904231E-3</v>
      </c>
      <c r="V272" s="288"/>
      <c r="W272" s="291"/>
      <c r="X272" s="5"/>
    </row>
    <row r="273" spans="1:24" ht="15.6" x14ac:dyDescent="0.3">
      <c r="A273" s="287"/>
      <c r="B273" s="337" t="s">
        <v>159</v>
      </c>
      <c r="C273" s="389"/>
      <c r="D273" s="389"/>
      <c r="E273" s="389"/>
      <c r="F273" s="288"/>
      <c r="G273" s="390"/>
      <c r="H273" s="389"/>
      <c r="I273" s="389"/>
      <c r="J273" s="389"/>
      <c r="K273" s="389"/>
      <c r="L273" s="389"/>
      <c r="M273" s="389"/>
      <c r="N273" s="389"/>
      <c r="O273" s="389"/>
      <c r="P273" s="389"/>
      <c r="Q273" s="389"/>
      <c r="R273" s="337">
        <v>5</v>
      </c>
      <c r="S273" s="390">
        <f t="shared" si="7"/>
        <v>2.6595744680851064E-2</v>
      </c>
      <c r="T273" s="338">
        <v>791</v>
      </c>
      <c r="U273" s="390">
        <f t="shared" si="8"/>
        <v>2.996439124176074E-2</v>
      </c>
      <c r="V273" s="288"/>
      <c r="W273" s="291"/>
      <c r="X273" s="5"/>
    </row>
    <row r="274" spans="1:24" ht="15.6" x14ac:dyDescent="0.3">
      <c r="A274" s="287"/>
      <c r="B274" s="337" t="s">
        <v>160</v>
      </c>
      <c r="C274" s="389"/>
      <c r="D274" s="389"/>
      <c r="E274" s="389"/>
      <c r="F274" s="288"/>
      <c r="G274" s="390"/>
      <c r="H274" s="389"/>
      <c r="I274" s="389"/>
      <c r="J274" s="389"/>
      <c r="K274" s="389"/>
      <c r="L274" s="389"/>
      <c r="M274" s="389"/>
      <c r="N274" s="389"/>
      <c r="O274" s="389"/>
      <c r="P274" s="389"/>
      <c r="Q274" s="389"/>
      <c r="R274" s="337">
        <v>15</v>
      </c>
      <c r="S274" s="390">
        <f t="shared" si="7"/>
        <v>7.9787234042553196E-2</v>
      </c>
      <c r="T274" s="338">
        <v>2245</v>
      </c>
      <c r="U274" s="390">
        <f t="shared" si="8"/>
        <v>8.5044321539510567E-2</v>
      </c>
      <c r="V274" s="288"/>
      <c r="W274" s="291"/>
      <c r="X274" s="5"/>
    </row>
    <row r="275" spans="1:24" ht="15.6" x14ac:dyDescent="0.3">
      <c r="A275" s="287"/>
      <c r="B275" s="337"/>
      <c r="C275" s="389"/>
      <c r="D275" s="389"/>
      <c r="E275" s="389"/>
      <c r="F275" s="288"/>
      <c r="G275" s="390"/>
      <c r="H275" s="389"/>
      <c r="I275" s="389"/>
      <c r="J275" s="389"/>
      <c r="K275" s="389"/>
      <c r="L275" s="389"/>
      <c r="M275" s="389"/>
      <c r="N275" s="389"/>
      <c r="O275" s="389"/>
      <c r="P275" s="389"/>
      <c r="Q275" s="389"/>
      <c r="R275" s="337"/>
      <c r="S275" s="390"/>
      <c r="T275" s="338"/>
      <c r="U275" s="390"/>
      <c r="V275" s="288"/>
      <c r="W275" s="291"/>
      <c r="X275" s="5"/>
    </row>
    <row r="276" spans="1:24" ht="15.6" x14ac:dyDescent="0.3">
      <c r="A276" s="287"/>
      <c r="B276" s="288"/>
      <c r="C276" s="288"/>
      <c r="D276" s="288"/>
      <c r="E276" s="288"/>
      <c r="F276" s="288"/>
      <c r="G276" s="288"/>
      <c r="H276" s="391"/>
      <c r="I276" s="391"/>
      <c r="J276" s="391"/>
      <c r="K276" s="391"/>
      <c r="L276" s="391"/>
      <c r="M276" s="391"/>
      <c r="N276" s="391"/>
      <c r="O276" s="391"/>
      <c r="P276" s="391"/>
      <c r="Q276" s="391"/>
      <c r="R276" s="337">
        <f>SUM(R267:R275)</f>
        <v>188</v>
      </c>
      <c r="S276" s="390">
        <f>SUM(S267:S275)</f>
        <v>1</v>
      </c>
      <c r="T276" s="338">
        <f>SUM(T267:T275)</f>
        <v>26398</v>
      </c>
      <c r="U276" s="390">
        <f>SUM(U267:U275)</f>
        <v>1</v>
      </c>
      <c r="V276" s="288"/>
      <c r="W276" s="291"/>
      <c r="X276" s="5"/>
    </row>
    <row r="277" spans="1:24" ht="15.6" x14ac:dyDescent="0.3">
      <c r="A277" s="183"/>
      <c r="B277" s="284"/>
      <c r="C277" s="284"/>
      <c r="D277" s="284"/>
      <c r="E277" s="284"/>
      <c r="F277" s="284"/>
      <c r="G277" s="284"/>
      <c r="H277" s="392"/>
      <c r="I277" s="392"/>
      <c r="J277" s="392"/>
      <c r="K277" s="392"/>
      <c r="L277" s="392"/>
      <c r="M277" s="392"/>
      <c r="N277" s="392"/>
      <c r="O277" s="392"/>
      <c r="P277" s="392"/>
      <c r="Q277" s="392"/>
      <c r="R277" s="339"/>
      <c r="S277" s="393"/>
      <c r="T277" s="394"/>
      <c r="U277" s="393"/>
      <c r="V277" s="284"/>
      <c r="W277" s="284"/>
      <c r="X277" s="5"/>
    </row>
    <row r="278" spans="1:24" ht="15.6" x14ac:dyDescent="0.3">
      <c r="A278" s="280"/>
      <c r="B278" s="399" t="s">
        <v>163</v>
      </c>
      <c r="C278" s="281"/>
      <c r="D278" s="281"/>
      <c r="E278" s="281"/>
      <c r="F278" s="281"/>
      <c r="G278" s="281"/>
      <c r="H278" s="283"/>
      <c r="I278" s="283"/>
      <c r="J278" s="283"/>
      <c r="K278" s="283"/>
      <c r="L278" s="283"/>
      <c r="M278" s="283"/>
      <c r="N278" s="283"/>
      <c r="O278" s="283"/>
      <c r="P278" s="283"/>
      <c r="Q278" s="283"/>
      <c r="R278" s="406" t="s">
        <v>102</v>
      </c>
      <c r="S278" s="400" t="s">
        <v>103</v>
      </c>
      <c r="T278" s="406" t="s">
        <v>109</v>
      </c>
      <c r="U278" s="400" t="s">
        <v>103</v>
      </c>
      <c r="V278" s="281"/>
      <c r="W278" s="282"/>
      <c r="X278" s="5"/>
    </row>
    <row r="279" spans="1:24" ht="15.6" x14ac:dyDescent="0.3">
      <c r="A279" s="197"/>
      <c r="B279" s="234" t="s">
        <v>88</v>
      </c>
      <c r="C279" s="231"/>
      <c r="D279" s="231"/>
      <c r="E279" s="231"/>
      <c r="F279" s="231"/>
      <c r="G279" s="231"/>
      <c r="H279" s="255"/>
      <c r="I279" s="255"/>
      <c r="J279" s="255"/>
      <c r="K279" s="255"/>
      <c r="L279" s="255"/>
      <c r="M279" s="255"/>
      <c r="N279" s="255"/>
      <c r="O279" s="255"/>
      <c r="P279" s="255"/>
      <c r="Q279" s="255"/>
      <c r="R279" s="234">
        <v>0</v>
      </c>
      <c r="S279" s="254">
        <v>0</v>
      </c>
      <c r="T279" s="241">
        <v>0</v>
      </c>
      <c r="U279" s="254">
        <v>0</v>
      </c>
      <c r="V279" s="231"/>
      <c r="W279" s="231"/>
      <c r="X279" s="5"/>
    </row>
    <row r="280" spans="1:24" ht="15.6" x14ac:dyDescent="0.3">
      <c r="A280" s="287"/>
      <c r="B280" s="337" t="s">
        <v>89</v>
      </c>
      <c r="C280" s="288"/>
      <c r="D280" s="288"/>
      <c r="E280" s="288"/>
      <c r="F280" s="288"/>
      <c r="G280" s="288"/>
      <c r="H280" s="391"/>
      <c r="I280" s="391"/>
      <c r="J280" s="391"/>
      <c r="K280" s="391"/>
      <c r="L280" s="391"/>
      <c r="M280" s="391"/>
      <c r="N280" s="391"/>
      <c r="O280" s="391"/>
      <c r="P280" s="391"/>
      <c r="Q280" s="391"/>
      <c r="R280" s="337">
        <v>0</v>
      </c>
      <c r="S280" s="390">
        <v>0</v>
      </c>
      <c r="T280" s="338">
        <v>0</v>
      </c>
      <c r="U280" s="390">
        <v>0</v>
      </c>
      <c r="V280" s="288"/>
      <c r="W280" s="291"/>
      <c r="X280" s="5"/>
    </row>
    <row r="281" spans="1:24" ht="15.6" x14ac:dyDescent="0.3">
      <c r="A281" s="287"/>
      <c r="B281" s="337" t="s">
        <v>90</v>
      </c>
      <c r="C281" s="288"/>
      <c r="D281" s="288"/>
      <c r="E281" s="288"/>
      <c r="F281" s="288"/>
      <c r="G281" s="288"/>
      <c r="H281" s="391"/>
      <c r="I281" s="391"/>
      <c r="J281" s="391"/>
      <c r="K281" s="391"/>
      <c r="L281" s="391"/>
      <c r="M281" s="391"/>
      <c r="N281" s="391"/>
      <c r="O281" s="391"/>
      <c r="P281" s="391"/>
      <c r="Q281" s="391"/>
      <c r="R281" s="337">
        <v>0</v>
      </c>
      <c r="S281" s="390">
        <v>0</v>
      </c>
      <c r="T281" s="338">
        <v>0</v>
      </c>
      <c r="U281" s="390">
        <v>0</v>
      </c>
      <c r="V281" s="288"/>
      <c r="W281" s="291"/>
      <c r="X281" s="5"/>
    </row>
    <row r="282" spans="1:24" ht="15.6" x14ac:dyDescent="0.3">
      <c r="A282" s="287"/>
      <c r="B282" s="337" t="s">
        <v>156</v>
      </c>
      <c r="C282" s="288"/>
      <c r="D282" s="288"/>
      <c r="E282" s="288"/>
      <c r="F282" s="288"/>
      <c r="G282" s="288"/>
      <c r="H282" s="391"/>
      <c r="I282" s="391"/>
      <c r="J282" s="391"/>
      <c r="K282" s="391"/>
      <c r="L282" s="391"/>
      <c r="M282" s="391"/>
      <c r="N282" s="391"/>
      <c r="O282" s="391"/>
      <c r="P282" s="391"/>
      <c r="Q282" s="391"/>
      <c r="R282" s="337">
        <v>0</v>
      </c>
      <c r="S282" s="390">
        <v>0</v>
      </c>
      <c r="T282" s="338">
        <v>0</v>
      </c>
      <c r="U282" s="390">
        <v>0</v>
      </c>
      <c r="V282" s="288"/>
      <c r="W282" s="291"/>
      <c r="X282" s="5"/>
    </row>
    <row r="283" spans="1:24" ht="15.6" x14ac:dyDescent="0.3">
      <c r="A283" s="287"/>
      <c r="B283" s="337" t="s">
        <v>157</v>
      </c>
      <c r="C283" s="288"/>
      <c r="D283" s="288"/>
      <c r="E283" s="288"/>
      <c r="F283" s="288"/>
      <c r="G283" s="288"/>
      <c r="H283" s="391"/>
      <c r="I283" s="391"/>
      <c r="J283" s="391"/>
      <c r="K283" s="391"/>
      <c r="L283" s="391"/>
      <c r="M283" s="391"/>
      <c r="N283" s="391"/>
      <c r="O283" s="391"/>
      <c r="P283" s="391"/>
      <c r="Q283" s="391"/>
      <c r="R283" s="337">
        <v>0</v>
      </c>
      <c r="S283" s="390">
        <v>0</v>
      </c>
      <c r="T283" s="338">
        <v>0</v>
      </c>
      <c r="U283" s="390">
        <v>0</v>
      </c>
      <c r="V283" s="288"/>
      <c r="W283" s="291"/>
      <c r="X283" s="5"/>
    </row>
    <row r="284" spans="1:24" ht="15.6" x14ac:dyDescent="0.3">
      <c r="A284" s="287"/>
      <c r="B284" s="337" t="s">
        <v>158</v>
      </c>
      <c r="C284" s="288"/>
      <c r="D284" s="288"/>
      <c r="E284" s="288"/>
      <c r="F284" s="288"/>
      <c r="G284" s="288"/>
      <c r="H284" s="391"/>
      <c r="I284" s="391"/>
      <c r="J284" s="391"/>
      <c r="K284" s="391"/>
      <c r="L284" s="391"/>
      <c r="M284" s="391"/>
      <c r="N284" s="391"/>
      <c r="O284" s="391"/>
      <c r="P284" s="391"/>
      <c r="Q284" s="391"/>
      <c r="R284" s="337">
        <v>0</v>
      </c>
      <c r="S284" s="390">
        <v>0</v>
      </c>
      <c r="T284" s="338">
        <v>0</v>
      </c>
      <c r="U284" s="390">
        <v>0</v>
      </c>
      <c r="V284" s="288"/>
      <c r="W284" s="291"/>
      <c r="X284" s="5"/>
    </row>
    <row r="285" spans="1:24" ht="15.6" x14ac:dyDescent="0.3">
      <c r="A285" s="287"/>
      <c r="B285" s="337" t="s">
        <v>159</v>
      </c>
      <c r="C285" s="288"/>
      <c r="D285" s="288"/>
      <c r="E285" s="288"/>
      <c r="F285" s="288"/>
      <c r="G285" s="288"/>
      <c r="H285" s="391"/>
      <c r="I285" s="391"/>
      <c r="J285" s="391"/>
      <c r="K285" s="391"/>
      <c r="L285" s="391"/>
      <c r="M285" s="391"/>
      <c r="N285" s="391"/>
      <c r="O285" s="391"/>
      <c r="P285" s="391"/>
      <c r="Q285" s="391"/>
      <c r="R285" s="337">
        <v>0</v>
      </c>
      <c r="S285" s="390">
        <v>0</v>
      </c>
      <c r="T285" s="338">
        <v>0</v>
      </c>
      <c r="U285" s="390">
        <v>0</v>
      </c>
      <c r="V285" s="288"/>
      <c r="W285" s="291"/>
      <c r="X285" s="5"/>
    </row>
    <row r="286" spans="1:24" ht="15.6" x14ac:dyDescent="0.3">
      <c r="A286" s="287"/>
      <c r="B286" s="337" t="s">
        <v>160</v>
      </c>
      <c r="C286" s="288"/>
      <c r="D286" s="288"/>
      <c r="E286" s="288"/>
      <c r="F286" s="288"/>
      <c r="G286" s="288"/>
      <c r="H286" s="391"/>
      <c r="I286" s="391"/>
      <c r="J286" s="391"/>
      <c r="K286" s="391"/>
      <c r="L286" s="391"/>
      <c r="M286" s="391"/>
      <c r="N286" s="391"/>
      <c r="O286" s="391"/>
      <c r="P286" s="391"/>
      <c r="Q286" s="391"/>
      <c r="R286" s="337">
        <v>0</v>
      </c>
      <c r="S286" s="390">
        <v>0</v>
      </c>
      <c r="T286" s="338">
        <v>0</v>
      </c>
      <c r="U286" s="390">
        <v>0</v>
      </c>
      <c r="V286" s="288"/>
      <c r="W286" s="291"/>
      <c r="X286" s="5"/>
    </row>
    <row r="287" spans="1:24" ht="15.6" x14ac:dyDescent="0.3">
      <c r="A287" s="287"/>
      <c r="B287" s="337"/>
      <c r="C287" s="288"/>
      <c r="D287" s="288"/>
      <c r="E287" s="288"/>
      <c r="F287" s="288"/>
      <c r="G287" s="288"/>
      <c r="H287" s="391"/>
      <c r="I287" s="391"/>
      <c r="J287" s="391"/>
      <c r="K287" s="391"/>
      <c r="L287" s="391"/>
      <c r="M287" s="391"/>
      <c r="N287" s="391"/>
      <c r="O287" s="391"/>
      <c r="P287" s="391"/>
      <c r="Q287" s="391"/>
      <c r="R287" s="337"/>
      <c r="S287" s="390"/>
      <c r="T287" s="338"/>
      <c r="U287" s="390"/>
      <c r="V287" s="288"/>
      <c r="W287" s="291"/>
      <c r="X287" s="5"/>
    </row>
    <row r="288" spans="1:24" ht="15.6" x14ac:dyDescent="0.3">
      <c r="A288" s="287"/>
      <c r="B288" s="288" t="s">
        <v>114</v>
      </c>
      <c r="C288" s="288"/>
      <c r="D288" s="288"/>
      <c r="E288" s="288"/>
      <c r="F288" s="288"/>
      <c r="G288" s="288"/>
      <c r="H288" s="391"/>
      <c r="I288" s="391"/>
      <c r="J288" s="391"/>
      <c r="K288" s="391"/>
      <c r="L288" s="391"/>
      <c r="M288" s="391"/>
      <c r="N288" s="391"/>
      <c r="O288" s="391"/>
      <c r="P288" s="391"/>
      <c r="Q288" s="391"/>
      <c r="R288" s="337">
        <f>SUM(R279:R286)</f>
        <v>0</v>
      </c>
      <c r="S288" s="390">
        <f>SUM(S279:S287)</f>
        <v>0</v>
      </c>
      <c r="T288" s="338">
        <f>SUM(T279:T286)</f>
        <v>0</v>
      </c>
      <c r="U288" s="390">
        <f>SUM(U279:U287)</f>
        <v>0</v>
      </c>
      <c r="V288" s="288"/>
      <c r="W288" s="291"/>
      <c r="X288" s="5"/>
    </row>
    <row r="289" spans="1:24" ht="15.6" x14ac:dyDescent="0.3">
      <c r="A289" s="287"/>
      <c r="B289" s="288"/>
      <c r="C289" s="288"/>
      <c r="D289" s="288"/>
      <c r="E289" s="288"/>
      <c r="F289" s="288"/>
      <c r="G289" s="288"/>
      <c r="H289" s="391"/>
      <c r="I289" s="391"/>
      <c r="J289" s="391"/>
      <c r="K289" s="391"/>
      <c r="L289" s="391"/>
      <c r="M289" s="391"/>
      <c r="N289" s="391"/>
      <c r="O289" s="391"/>
      <c r="P289" s="391"/>
      <c r="Q289" s="391"/>
      <c r="R289" s="337"/>
      <c r="S289" s="390"/>
      <c r="T289" s="338"/>
      <c r="U289" s="390"/>
      <c r="V289" s="288"/>
      <c r="W289" s="291"/>
      <c r="X289" s="5"/>
    </row>
    <row r="290" spans="1:24" ht="15.6" x14ac:dyDescent="0.3">
      <c r="A290" s="287"/>
      <c r="B290" s="295" t="s">
        <v>164</v>
      </c>
      <c r="C290" s="288"/>
      <c r="D290" s="288"/>
      <c r="E290" s="288"/>
      <c r="F290" s="288"/>
      <c r="G290" s="288"/>
      <c r="H290" s="391"/>
      <c r="I290" s="391"/>
      <c r="J290" s="391"/>
      <c r="K290" s="391"/>
      <c r="L290" s="391"/>
      <c r="M290" s="391"/>
      <c r="N290" s="391"/>
      <c r="O290" s="391"/>
      <c r="P290" s="391"/>
      <c r="Q290" s="391"/>
      <c r="R290" s="407">
        <f>R288+R276+R264</f>
        <v>7882</v>
      </c>
      <c r="S290" s="390"/>
      <c r="T290" s="396">
        <f>+T288+T276+T264</f>
        <v>1102799</v>
      </c>
      <c r="U290" s="390"/>
      <c r="V290" s="288"/>
      <c r="W290" s="291"/>
      <c r="X290" s="5"/>
    </row>
    <row r="291" spans="1:24" ht="15.6" x14ac:dyDescent="0.3">
      <c r="A291" s="183"/>
      <c r="B291" s="284"/>
      <c r="C291" s="284"/>
      <c r="D291" s="284"/>
      <c r="E291" s="284"/>
      <c r="F291" s="284"/>
      <c r="G291" s="284"/>
      <c r="H291" s="392"/>
      <c r="I291" s="392"/>
      <c r="J291" s="392"/>
      <c r="K291" s="392"/>
      <c r="L291" s="392"/>
      <c r="M291" s="392"/>
      <c r="N291" s="392"/>
      <c r="O291" s="392"/>
      <c r="P291" s="392"/>
      <c r="Q291" s="392"/>
      <c r="R291" s="392"/>
      <c r="S291" s="392"/>
      <c r="T291" s="394"/>
      <c r="U291" s="392"/>
      <c r="V291" s="284"/>
      <c r="W291" s="284"/>
      <c r="X291" s="5"/>
    </row>
    <row r="292" spans="1:24" ht="15.6" x14ac:dyDescent="0.3">
      <c r="A292" s="183"/>
      <c r="B292" s="224"/>
      <c r="C292" s="224"/>
      <c r="D292" s="224"/>
      <c r="E292" s="224"/>
      <c r="F292" s="224"/>
      <c r="G292" s="224"/>
      <c r="H292" s="256"/>
      <c r="I292" s="256"/>
      <c r="J292" s="256"/>
      <c r="K292" s="256"/>
      <c r="L292" s="256"/>
      <c r="M292" s="256"/>
      <c r="N292" s="256"/>
      <c r="O292" s="256"/>
      <c r="P292" s="256"/>
      <c r="Q292" s="256"/>
      <c r="R292" s="256"/>
      <c r="S292" s="256"/>
      <c r="T292" s="257"/>
      <c r="U292" s="256"/>
      <c r="V292" s="224"/>
      <c r="W292" s="224"/>
      <c r="X292" s="5"/>
    </row>
    <row r="293" spans="1:24" ht="15.6" x14ac:dyDescent="0.3">
      <c r="A293" s="219"/>
      <c r="B293" s="222" t="s">
        <v>91</v>
      </c>
      <c r="C293" s="224"/>
      <c r="D293" s="224"/>
      <c r="E293" s="224"/>
      <c r="F293" s="228" t="s">
        <v>97</v>
      </c>
      <c r="G293" s="224"/>
      <c r="H293" s="222" t="s">
        <v>99</v>
      </c>
      <c r="I293" s="222"/>
      <c r="J293" s="222"/>
      <c r="K293" s="258"/>
      <c r="L293" s="258"/>
      <c r="M293" s="258"/>
      <c r="N293" s="258"/>
      <c r="O293" s="258"/>
      <c r="P293" s="258"/>
      <c r="Q293" s="258"/>
      <c r="R293" s="258"/>
      <c r="S293" s="258"/>
      <c r="T293" s="258"/>
      <c r="U293" s="258"/>
      <c r="V293" s="258"/>
      <c r="W293" s="258"/>
      <c r="X293" s="5"/>
    </row>
    <row r="294" spans="1:24" ht="15.6" x14ac:dyDescent="0.3">
      <c r="A294" s="219"/>
      <c r="B294" s="258"/>
      <c r="C294" s="224"/>
      <c r="D294" s="224"/>
      <c r="E294" s="224"/>
      <c r="F294" s="224"/>
      <c r="G294" s="224"/>
      <c r="H294" s="224"/>
      <c r="I294" s="224"/>
      <c r="J294" s="224"/>
      <c r="K294" s="258"/>
      <c r="L294" s="258"/>
      <c r="M294" s="258"/>
      <c r="N294" s="258"/>
      <c r="O294" s="258"/>
      <c r="P294" s="258"/>
      <c r="Q294" s="258"/>
      <c r="R294" s="258"/>
      <c r="S294" s="258"/>
      <c r="T294" s="258"/>
      <c r="U294" s="258"/>
      <c r="V294" s="258"/>
      <c r="W294" s="258"/>
      <c r="X294" s="5"/>
    </row>
    <row r="295" spans="1:24" ht="15.6" x14ac:dyDescent="0.3">
      <c r="A295" s="219"/>
      <c r="B295" s="222" t="s">
        <v>92</v>
      </c>
      <c r="C295" s="222"/>
      <c r="D295" s="222"/>
      <c r="E295" s="222"/>
      <c r="F295" s="259" t="s">
        <v>148</v>
      </c>
      <c r="G295" s="222"/>
      <c r="H295" s="222" t="s">
        <v>152</v>
      </c>
      <c r="I295" s="222"/>
      <c r="J295" s="222"/>
      <c r="K295" s="258"/>
      <c r="L295" s="258"/>
      <c r="M295" s="258"/>
      <c r="N295" s="258"/>
      <c r="O295" s="258"/>
      <c r="P295" s="258"/>
      <c r="Q295" s="258"/>
      <c r="R295" s="258"/>
      <c r="S295" s="258"/>
      <c r="T295" s="258"/>
      <c r="U295" s="258"/>
      <c r="V295" s="258"/>
      <c r="W295" s="258"/>
      <c r="X295" s="5"/>
    </row>
    <row r="296" spans="1:24" ht="15.6" x14ac:dyDescent="0.3">
      <c r="A296" s="219"/>
      <c r="B296" s="222" t="s">
        <v>277</v>
      </c>
      <c r="C296" s="222"/>
      <c r="D296" s="222"/>
      <c r="E296" s="222"/>
      <c r="F296" s="259" t="s">
        <v>278</v>
      </c>
      <c r="G296" s="222"/>
      <c r="H296" s="222" t="s">
        <v>279</v>
      </c>
      <c r="I296" s="258"/>
      <c r="J296" s="222"/>
      <c r="K296" s="258"/>
      <c r="L296" s="258"/>
      <c r="M296" s="258"/>
      <c r="N296" s="258"/>
      <c r="O296" s="258"/>
      <c r="P296" s="258"/>
      <c r="Q296" s="258"/>
      <c r="R296" s="258"/>
      <c r="S296" s="258"/>
      <c r="T296" s="258"/>
      <c r="U296" s="258"/>
      <c r="V296" s="258"/>
      <c r="W296" s="258"/>
      <c r="X296" s="5"/>
    </row>
    <row r="297" spans="1:24" ht="15.6" x14ac:dyDescent="0.3">
      <c r="A297" s="219"/>
      <c r="B297" s="222" t="s">
        <v>93</v>
      </c>
      <c r="C297" s="222"/>
      <c r="D297" s="222"/>
      <c r="E297" s="222"/>
      <c r="F297" s="259" t="s">
        <v>147</v>
      </c>
      <c r="G297" s="222"/>
      <c r="H297" s="222" t="s">
        <v>153</v>
      </c>
      <c r="I297" s="222"/>
      <c r="J297" s="222"/>
      <c r="K297" s="258"/>
      <c r="L297" s="258"/>
      <c r="M297" s="258"/>
      <c r="N297" s="258"/>
      <c r="O297" s="258"/>
      <c r="P297" s="258"/>
      <c r="Q297" s="258"/>
      <c r="R297" s="258"/>
      <c r="S297" s="258"/>
      <c r="T297" s="258"/>
      <c r="U297" s="258"/>
      <c r="V297" s="258"/>
      <c r="W297" s="258"/>
      <c r="X297" s="5"/>
    </row>
    <row r="298" spans="1:24" ht="15.6" x14ac:dyDescent="0.3">
      <c r="A298" s="219"/>
      <c r="B298" s="222"/>
      <c r="C298" s="222"/>
      <c r="D298" s="222"/>
      <c r="E298" s="222"/>
      <c r="F298" s="222"/>
      <c r="G298" s="260"/>
      <c r="H298" s="258"/>
      <c r="I298" s="258"/>
      <c r="J298" s="258"/>
      <c r="K298" s="258"/>
      <c r="L298" s="258"/>
      <c r="M298" s="258"/>
      <c r="N298" s="258"/>
      <c r="O298" s="258"/>
      <c r="P298" s="258"/>
      <c r="Q298" s="258"/>
      <c r="R298" s="258"/>
      <c r="S298" s="258"/>
      <c r="T298" s="258"/>
      <c r="U298" s="258"/>
      <c r="V298" s="258"/>
      <c r="W298" s="258"/>
      <c r="X298" s="5"/>
    </row>
    <row r="299" spans="1:24" ht="15.6" x14ac:dyDescent="0.3">
      <c r="A299" s="219"/>
      <c r="B299" s="222"/>
      <c r="C299" s="222"/>
      <c r="D299" s="222"/>
      <c r="E299" s="222"/>
      <c r="F299" s="222"/>
      <c r="G299" s="260"/>
      <c r="H299" s="258"/>
      <c r="I299" s="258"/>
      <c r="J299" s="258"/>
      <c r="K299" s="258"/>
      <c r="L299" s="258"/>
      <c r="M299" s="258"/>
      <c r="N299" s="258"/>
      <c r="O299" s="258"/>
      <c r="P299" s="258"/>
      <c r="Q299" s="258"/>
      <c r="R299" s="258"/>
      <c r="S299" s="258"/>
      <c r="T299" s="258"/>
      <c r="U299" s="258"/>
      <c r="V299" s="258"/>
      <c r="W299" s="258"/>
      <c r="X299" s="5"/>
    </row>
    <row r="300" spans="1:24" ht="18" thickBot="1" x14ac:dyDescent="0.35">
      <c r="A300" s="219"/>
      <c r="B300" s="261" t="str">
        <f>B204</f>
        <v>PM14 INVESTOR REPORT QUARTER ENDING FEBRUARY 2013</v>
      </c>
      <c r="C300" s="222"/>
      <c r="D300" s="222"/>
      <c r="E300" s="222"/>
      <c r="F300" s="222"/>
      <c r="G300" s="260"/>
      <c r="H300" s="258"/>
      <c r="I300" s="258"/>
      <c r="J300" s="258"/>
      <c r="K300" s="258"/>
      <c r="L300" s="258"/>
      <c r="M300" s="258"/>
      <c r="N300" s="258"/>
      <c r="O300" s="258"/>
      <c r="P300" s="258"/>
      <c r="Q300" s="258"/>
      <c r="R300" s="258"/>
      <c r="S300" s="258"/>
      <c r="T300" s="258"/>
      <c r="U300" s="258"/>
      <c r="V300" s="258"/>
      <c r="W300" s="258"/>
      <c r="X300" s="5"/>
    </row>
    <row r="301" spans="1:24" x14ac:dyDescent="0.25">
      <c r="A301" s="100"/>
      <c r="B301" s="100"/>
      <c r="C301" s="100"/>
      <c r="D301" s="100"/>
      <c r="E301" s="100"/>
      <c r="F301" s="100"/>
      <c r="G301" s="100"/>
      <c r="H301" s="100"/>
      <c r="I301" s="100"/>
      <c r="J301" s="100"/>
      <c r="K301" s="100"/>
      <c r="L301" s="100"/>
      <c r="M301" s="100"/>
      <c r="N301" s="100"/>
      <c r="O301" s="100"/>
      <c r="P301" s="100"/>
      <c r="Q301" s="100"/>
      <c r="R301" s="100"/>
      <c r="S301" s="100"/>
      <c r="T301" s="100"/>
      <c r="U301" s="100"/>
      <c r="V301" s="100"/>
      <c r="W301" s="100"/>
    </row>
  </sheetData>
  <hyperlinks>
    <hyperlink ref="P240" r:id="rId1" xr:uid="{00000000-0004-0000-1600-000000000000}"/>
    <hyperlink ref="I9" r:id="rId2" xr:uid="{00000000-0004-0000-16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8" max="14" man="1"/>
    <brk id="204" max="14" man="1"/>
  </rowBreaks>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theme="4"/>
  </sheetPr>
  <dimension ref="A1:IV301"/>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80"/>
      <c r="B1" s="220" t="s">
        <v>244</v>
      </c>
      <c r="C1" s="181"/>
      <c r="D1" s="181"/>
      <c r="E1" s="181"/>
      <c r="F1" s="181"/>
      <c r="G1" s="181"/>
      <c r="H1" s="181"/>
      <c r="I1" s="181"/>
      <c r="J1" s="181"/>
      <c r="K1" s="181"/>
      <c r="L1" s="181"/>
      <c r="M1" s="181"/>
      <c r="N1" s="181"/>
      <c r="O1" s="181"/>
      <c r="P1" s="181"/>
      <c r="Q1" s="181"/>
      <c r="R1" s="181"/>
      <c r="S1" s="181"/>
      <c r="T1" s="181"/>
      <c r="U1" s="181"/>
      <c r="V1" s="181"/>
      <c r="W1" s="181"/>
      <c r="X1" s="5"/>
    </row>
    <row r="2" spans="1:24" ht="15.6" x14ac:dyDescent="0.3">
      <c r="A2" s="183"/>
      <c r="B2" s="184"/>
      <c r="C2" s="185"/>
      <c r="D2" s="185"/>
      <c r="E2" s="185"/>
      <c r="F2" s="185"/>
      <c r="G2" s="185"/>
      <c r="H2" s="185"/>
      <c r="I2" s="185"/>
      <c r="J2" s="185"/>
      <c r="K2" s="185"/>
      <c r="L2" s="185"/>
      <c r="M2" s="185"/>
      <c r="N2" s="185"/>
      <c r="O2" s="185"/>
      <c r="P2" s="185"/>
      <c r="Q2" s="185"/>
      <c r="R2" s="185"/>
      <c r="S2" s="185"/>
      <c r="T2" s="185"/>
      <c r="U2" s="185"/>
      <c r="V2" s="185"/>
      <c r="W2" s="185"/>
      <c r="X2" s="5"/>
    </row>
    <row r="3" spans="1:24" ht="15.6" x14ac:dyDescent="0.3">
      <c r="A3" s="186"/>
      <c r="B3" s="187" t="s">
        <v>245</v>
      </c>
      <c r="C3" s="185"/>
      <c r="D3" s="185"/>
      <c r="E3" s="185"/>
      <c r="F3" s="185"/>
      <c r="G3" s="185"/>
      <c r="H3" s="185"/>
      <c r="I3" s="185"/>
      <c r="J3" s="185"/>
      <c r="K3" s="185"/>
      <c r="L3" s="185"/>
      <c r="M3" s="185"/>
      <c r="N3" s="185"/>
      <c r="O3" s="185"/>
      <c r="P3" s="185"/>
      <c r="Q3" s="185"/>
      <c r="R3" s="185"/>
      <c r="S3" s="185"/>
      <c r="T3" s="185"/>
      <c r="U3" s="185"/>
      <c r="V3" s="185"/>
      <c r="W3" s="185"/>
      <c r="X3" s="5"/>
    </row>
    <row r="4" spans="1:24" ht="15.6" x14ac:dyDescent="0.3">
      <c r="A4" s="183"/>
      <c r="B4" s="184"/>
      <c r="C4" s="185"/>
      <c r="D4" s="185"/>
      <c r="E4" s="185"/>
      <c r="F4" s="185"/>
      <c r="G4" s="185"/>
      <c r="H4" s="185"/>
      <c r="I4" s="185"/>
      <c r="J4" s="185"/>
      <c r="K4" s="185"/>
      <c r="L4" s="185"/>
      <c r="M4" s="185"/>
      <c r="N4" s="185"/>
      <c r="O4" s="185"/>
      <c r="P4" s="185"/>
      <c r="Q4" s="185"/>
      <c r="R4" s="185"/>
      <c r="S4" s="185"/>
      <c r="T4" s="185"/>
      <c r="U4" s="185"/>
      <c r="V4" s="185"/>
      <c r="W4" s="185"/>
      <c r="X4" s="5"/>
    </row>
    <row r="5" spans="1:24" ht="15.6" x14ac:dyDescent="0.3">
      <c r="A5" s="183"/>
      <c r="B5" s="221" t="s">
        <v>137</v>
      </c>
      <c r="C5" s="185"/>
      <c r="D5" s="185"/>
      <c r="E5" s="185"/>
      <c r="F5" s="185"/>
      <c r="G5" s="185"/>
      <c r="H5" s="185"/>
      <c r="I5" s="185"/>
      <c r="J5" s="185"/>
      <c r="K5" s="185"/>
      <c r="L5" s="185"/>
      <c r="M5" s="185"/>
      <c r="N5" s="185"/>
      <c r="O5" s="185"/>
      <c r="P5" s="185"/>
      <c r="Q5" s="185"/>
      <c r="R5" s="185"/>
      <c r="S5" s="185"/>
      <c r="T5" s="185"/>
      <c r="U5" s="185"/>
      <c r="V5" s="185"/>
      <c r="W5" s="185"/>
      <c r="X5" s="5"/>
    </row>
    <row r="6" spans="1:24" ht="15.6" x14ac:dyDescent="0.3">
      <c r="A6" s="183"/>
      <c r="B6" s="221" t="s">
        <v>139</v>
      </c>
      <c r="C6" s="185"/>
      <c r="D6" s="185"/>
      <c r="E6" s="185"/>
      <c r="F6" s="185"/>
      <c r="G6" s="185"/>
      <c r="H6" s="185"/>
      <c r="I6" s="185"/>
      <c r="J6" s="185"/>
      <c r="K6" s="185"/>
      <c r="L6" s="185"/>
      <c r="M6" s="185"/>
      <c r="N6" s="185"/>
      <c r="O6" s="185"/>
      <c r="P6" s="185"/>
      <c r="Q6" s="185"/>
      <c r="R6" s="185"/>
      <c r="S6" s="185"/>
      <c r="T6" s="185"/>
      <c r="U6" s="185"/>
      <c r="V6" s="185"/>
      <c r="W6" s="185"/>
      <c r="X6" s="5"/>
    </row>
    <row r="7" spans="1:24" ht="15.6" x14ac:dyDescent="0.3">
      <c r="A7" s="183"/>
      <c r="B7" s="221" t="s">
        <v>138</v>
      </c>
      <c r="C7" s="185"/>
      <c r="D7" s="185"/>
      <c r="E7" s="185"/>
      <c r="F7" s="185"/>
      <c r="G7" s="185"/>
      <c r="H7" s="185"/>
      <c r="I7" s="185"/>
      <c r="J7" s="185"/>
      <c r="K7" s="185"/>
      <c r="L7" s="185"/>
      <c r="M7" s="185"/>
      <c r="N7" s="185"/>
      <c r="O7" s="185"/>
      <c r="P7" s="185"/>
      <c r="Q7" s="185"/>
      <c r="R7" s="185"/>
      <c r="S7" s="185"/>
      <c r="T7" s="185"/>
      <c r="U7" s="185"/>
      <c r="V7" s="185"/>
      <c r="W7" s="185"/>
      <c r="X7" s="5"/>
    </row>
    <row r="8" spans="1:24" ht="15.6" x14ac:dyDescent="0.3">
      <c r="A8" s="183"/>
      <c r="B8" s="188"/>
      <c r="C8" s="185"/>
      <c r="D8" s="185"/>
      <c r="E8" s="185"/>
      <c r="F8" s="185"/>
      <c r="G8" s="185"/>
      <c r="H8" s="185"/>
      <c r="I8" s="185"/>
      <c r="J8" s="185"/>
      <c r="K8" s="185"/>
      <c r="L8" s="185"/>
      <c r="M8" s="185"/>
      <c r="N8" s="185"/>
      <c r="O8" s="185"/>
      <c r="P8" s="185"/>
      <c r="Q8" s="185"/>
      <c r="R8" s="185"/>
      <c r="S8" s="185"/>
      <c r="T8" s="185"/>
      <c r="U8" s="185"/>
      <c r="V8" s="185"/>
      <c r="W8" s="185"/>
      <c r="X8" s="5"/>
    </row>
    <row r="9" spans="1:24" ht="17.399999999999999" x14ac:dyDescent="0.3">
      <c r="A9" s="183"/>
      <c r="B9" s="189" t="s">
        <v>166</v>
      </c>
      <c r="C9" s="185"/>
      <c r="D9" s="185"/>
      <c r="E9" s="185"/>
      <c r="F9" s="185"/>
      <c r="G9" s="185"/>
      <c r="H9" s="185"/>
      <c r="I9" s="190" t="s">
        <v>167</v>
      </c>
      <c r="J9" s="185"/>
      <c r="K9" s="185"/>
      <c r="L9" s="190"/>
      <c r="M9" s="185"/>
      <c r="N9" s="190"/>
      <c r="O9" s="185"/>
      <c r="P9" s="185"/>
      <c r="Q9" s="185"/>
      <c r="R9" s="185"/>
      <c r="S9" s="185"/>
      <c r="T9" s="185"/>
      <c r="U9" s="185"/>
      <c r="V9" s="185"/>
      <c r="W9" s="185"/>
      <c r="X9" s="5"/>
    </row>
    <row r="10" spans="1:24" ht="15.6" x14ac:dyDescent="0.3">
      <c r="A10" s="183"/>
      <c r="B10" s="188"/>
      <c r="C10" s="191"/>
      <c r="D10" s="191"/>
      <c r="E10" s="191"/>
      <c r="F10" s="185"/>
      <c r="G10" s="185"/>
      <c r="H10" s="185"/>
      <c r="I10" s="185"/>
      <c r="J10" s="185"/>
      <c r="K10" s="185"/>
      <c r="L10" s="185"/>
      <c r="M10" s="185"/>
      <c r="N10" s="185"/>
      <c r="O10" s="185"/>
      <c r="P10" s="185"/>
      <c r="Q10" s="185"/>
      <c r="R10" s="185"/>
      <c r="S10" s="185"/>
      <c r="T10" s="185"/>
      <c r="U10" s="185"/>
      <c r="V10" s="185"/>
      <c r="W10" s="185"/>
      <c r="X10" s="5"/>
    </row>
    <row r="11" spans="1:24" ht="15.6" x14ac:dyDescent="0.3">
      <c r="A11" s="183"/>
      <c r="B11" s="222" t="s">
        <v>0</v>
      </c>
      <c r="C11" s="185"/>
      <c r="D11" s="185"/>
      <c r="E11" s="185"/>
      <c r="F11" s="185"/>
      <c r="G11" s="185"/>
      <c r="H11" s="185"/>
      <c r="I11" s="185"/>
      <c r="J11" s="185"/>
      <c r="K11" s="185"/>
      <c r="L11" s="185"/>
      <c r="M11" s="185"/>
      <c r="N11" s="185"/>
      <c r="O11" s="185"/>
      <c r="P11" s="185"/>
      <c r="Q11" s="185"/>
      <c r="R11" s="185"/>
      <c r="S11" s="185"/>
      <c r="T11" s="185"/>
      <c r="U11" s="185"/>
      <c r="V11" s="185"/>
      <c r="W11" s="185"/>
      <c r="X11" s="5"/>
    </row>
    <row r="12" spans="1:24" ht="16.2" thickBot="1" x14ac:dyDescent="0.35">
      <c r="A12" s="183"/>
      <c r="B12" s="191"/>
      <c r="C12" s="185"/>
      <c r="D12" s="185"/>
      <c r="E12" s="185"/>
      <c r="F12" s="185"/>
      <c r="G12" s="185"/>
      <c r="H12" s="185"/>
      <c r="I12" s="185"/>
      <c r="J12" s="185"/>
      <c r="K12" s="185"/>
      <c r="L12" s="185"/>
      <c r="M12" s="185"/>
      <c r="N12" s="185"/>
      <c r="O12" s="185"/>
      <c r="P12" s="185"/>
      <c r="Q12" s="185"/>
      <c r="R12" s="185"/>
      <c r="S12" s="185"/>
      <c r="T12" s="185"/>
      <c r="U12" s="185"/>
      <c r="V12" s="185"/>
      <c r="W12" s="185"/>
      <c r="X12" s="5"/>
    </row>
    <row r="13" spans="1:24" ht="15.6" x14ac:dyDescent="0.3">
      <c r="A13" s="180"/>
      <c r="B13" s="181"/>
      <c r="C13" s="181"/>
      <c r="D13" s="181"/>
      <c r="E13" s="181"/>
      <c r="F13" s="181"/>
      <c r="G13" s="181"/>
      <c r="H13" s="181"/>
      <c r="I13" s="181"/>
      <c r="J13" s="181"/>
      <c r="K13" s="181"/>
      <c r="L13" s="181"/>
      <c r="M13" s="181"/>
      <c r="N13" s="181"/>
      <c r="O13" s="181"/>
      <c r="P13" s="181"/>
      <c r="Q13" s="181"/>
      <c r="R13" s="181"/>
      <c r="S13" s="181"/>
      <c r="T13" s="181"/>
      <c r="U13" s="181"/>
      <c r="V13" s="181"/>
      <c r="W13" s="181"/>
      <c r="X13" s="5"/>
    </row>
    <row r="14" spans="1:24" ht="15.6" x14ac:dyDescent="0.3">
      <c r="A14" s="183"/>
      <c r="B14" s="222" t="s">
        <v>1</v>
      </c>
      <c r="C14" s="192"/>
      <c r="D14" s="192"/>
      <c r="E14" s="192"/>
      <c r="F14" s="192"/>
      <c r="G14" s="192"/>
      <c r="H14" s="192"/>
      <c r="I14" s="192"/>
      <c r="J14" s="192"/>
      <c r="K14" s="192"/>
      <c r="L14" s="192"/>
      <c r="M14" s="192"/>
      <c r="N14" s="192"/>
      <c r="O14" s="192"/>
      <c r="P14" s="192"/>
      <c r="Q14" s="192"/>
      <c r="R14" s="224"/>
      <c r="S14" s="224"/>
      <c r="T14" s="224"/>
      <c r="U14" s="224"/>
      <c r="V14" s="225" t="s">
        <v>246</v>
      </c>
      <c r="W14" s="192"/>
      <c r="X14" s="5"/>
    </row>
    <row r="15" spans="1:24" ht="15.6" x14ac:dyDescent="0.3">
      <c r="A15" s="183"/>
      <c r="B15" s="222" t="s">
        <v>2</v>
      </c>
      <c r="C15" s="192"/>
      <c r="D15" s="192"/>
      <c r="E15" s="192"/>
      <c r="F15" s="192"/>
      <c r="G15" s="192"/>
      <c r="H15" s="193"/>
      <c r="I15" s="193"/>
      <c r="J15" s="193"/>
      <c r="K15" s="193"/>
      <c r="L15" s="193"/>
      <c r="M15" s="193"/>
      <c r="N15" s="193"/>
      <c r="O15" s="193"/>
      <c r="P15" s="193"/>
      <c r="Q15" s="193"/>
      <c r="R15" s="226" t="s">
        <v>104</v>
      </c>
      <c r="S15" s="227">
        <v>0.38300000000000001</v>
      </c>
      <c r="T15" s="228" t="s">
        <v>140</v>
      </c>
      <c r="U15" s="227">
        <v>0.61699999999999999</v>
      </c>
      <c r="V15" s="225"/>
      <c r="W15" s="192"/>
      <c r="X15" s="5"/>
    </row>
    <row r="16" spans="1:24" ht="15.6" x14ac:dyDescent="0.3">
      <c r="A16" s="183"/>
      <c r="B16" s="222" t="s">
        <v>3</v>
      </c>
      <c r="C16" s="192"/>
      <c r="D16" s="192"/>
      <c r="E16" s="192"/>
      <c r="F16" s="192"/>
      <c r="G16" s="192"/>
      <c r="H16" s="193"/>
      <c r="I16" s="193"/>
      <c r="J16" s="193"/>
      <c r="K16" s="193"/>
      <c r="L16" s="193"/>
      <c r="M16" s="193"/>
      <c r="N16" s="193"/>
      <c r="O16" s="193"/>
      <c r="P16" s="193"/>
      <c r="Q16" s="193"/>
      <c r="R16" s="226" t="s">
        <v>104</v>
      </c>
      <c r="S16" s="227">
        <v>0.45929999999999999</v>
      </c>
      <c r="T16" s="228" t="s">
        <v>140</v>
      </c>
      <c r="U16" s="227">
        <v>0.54069999999999996</v>
      </c>
      <c r="V16" s="225"/>
      <c r="W16" s="192"/>
      <c r="X16" s="5"/>
    </row>
    <row r="17" spans="1:24" ht="15.6" x14ac:dyDescent="0.3">
      <c r="A17" s="183"/>
      <c r="B17" s="222" t="s">
        <v>4</v>
      </c>
      <c r="C17" s="192"/>
      <c r="D17" s="192"/>
      <c r="E17" s="192"/>
      <c r="F17" s="192"/>
      <c r="G17" s="192"/>
      <c r="H17" s="192"/>
      <c r="I17" s="192"/>
      <c r="J17" s="192"/>
      <c r="K17" s="192"/>
      <c r="L17" s="192"/>
      <c r="M17" s="192"/>
      <c r="N17" s="192"/>
      <c r="O17" s="192"/>
      <c r="P17" s="192"/>
      <c r="Q17" s="192"/>
      <c r="R17" s="224"/>
      <c r="S17" s="224"/>
      <c r="T17" s="224"/>
      <c r="U17" s="224"/>
      <c r="V17" s="229">
        <v>39163</v>
      </c>
      <c r="W17" s="192"/>
      <c r="X17" s="5"/>
    </row>
    <row r="18" spans="1:24" ht="15.6" x14ac:dyDescent="0.3">
      <c r="A18" s="183"/>
      <c r="B18" s="222" t="s">
        <v>5</v>
      </c>
      <c r="C18" s="192"/>
      <c r="D18" s="192"/>
      <c r="E18" s="192"/>
      <c r="F18" s="192"/>
      <c r="G18" s="192"/>
      <c r="H18" s="192"/>
      <c r="I18" s="192"/>
      <c r="J18" s="192"/>
      <c r="K18" s="192"/>
      <c r="L18" s="192"/>
      <c r="M18" s="192"/>
      <c r="N18" s="192"/>
      <c r="O18" s="192"/>
      <c r="P18" s="192"/>
      <c r="Q18" s="192"/>
      <c r="R18" s="224"/>
      <c r="S18" s="224"/>
      <c r="T18" s="224"/>
      <c r="U18" s="224"/>
      <c r="V18" s="229">
        <v>41449</v>
      </c>
      <c r="W18" s="192"/>
      <c r="X18" s="5"/>
    </row>
    <row r="19" spans="1:24" ht="15.6" x14ac:dyDescent="0.3">
      <c r="A19" s="183"/>
      <c r="B19" s="185"/>
      <c r="C19" s="185"/>
      <c r="D19" s="185"/>
      <c r="E19" s="185"/>
      <c r="F19" s="185"/>
      <c r="G19" s="185"/>
      <c r="H19" s="185"/>
      <c r="I19" s="185"/>
      <c r="J19" s="185"/>
      <c r="K19" s="185"/>
      <c r="L19" s="185"/>
      <c r="M19" s="185"/>
      <c r="N19" s="185"/>
      <c r="O19" s="185"/>
      <c r="P19" s="185"/>
      <c r="Q19" s="185"/>
      <c r="R19" s="185"/>
      <c r="S19" s="185"/>
      <c r="T19" s="185"/>
      <c r="U19" s="185"/>
      <c r="V19" s="194"/>
      <c r="W19" s="185"/>
      <c r="X19" s="5"/>
    </row>
    <row r="20" spans="1:24" ht="15.6" x14ac:dyDescent="0.3">
      <c r="A20" s="183"/>
      <c r="B20" s="230" t="s">
        <v>6</v>
      </c>
      <c r="C20" s="185"/>
      <c r="D20" s="185"/>
      <c r="E20" s="185"/>
      <c r="F20" s="185"/>
      <c r="G20" s="185"/>
      <c r="H20" s="185"/>
      <c r="I20" s="185"/>
      <c r="J20" s="185"/>
      <c r="K20" s="185"/>
      <c r="L20" s="185"/>
      <c r="M20" s="185"/>
      <c r="N20" s="185"/>
      <c r="O20" s="185"/>
      <c r="P20" s="185"/>
      <c r="Q20" s="185"/>
      <c r="R20" s="185"/>
      <c r="S20" s="185"/>
      <c r="T20" s="223" t="s">
        <v>105</v>
      </c>
      <c r="U20" s="185"/>
      <c r="V20" s="182"/>
      <c r="W20" s="185"/>
      <c r="X20" s="5"/>
    </row>
    <row r="21" spans="1:24" ht="15.6" x14ac:dyDescent="0.3">
      <c r="A21" s="183"/>
      <c r="B21" s="185"/>
      <c r="C21" s="185"/>
      <c r="D21" s="185"/>
      <c r="E21" s="185"/>
      <c r="F21" s="185"/>
      <c r="G21" s="185"/>
      <c r="H21" s="185"/>
      <c r="I21" s="185"/>
      <c r="J21" s="185"/>
      <c r="K21" s="185"/>
      <c r="L21" s="185"/>
      <c r="M21" s="185"/>
      <c r="N21" s="185"/>
      <c r="O21" s="185"/>
      <c r="P21" s="185"/>
      <c r="Q21" s="185"/>
      <c r="R21" s="185"/>
      <c r="S21" s="185"/>
      <c r="T21" s="185"/>
      <c r="U21" s="185"/>
      <c r="V21" s="196"/>
      <c r="W21" s="185"/>
      <c r="X21" s="5"/>
    </row>
    <row r="22" spans="1:24" ht="15.6" x14ac:dyDescent="0.3">
      <c r="A22" s="262"/>
      <c r="B22" s="263"/>
      <c r="C22" s="264"/>
      <c r="D22" s="264" t="s">
        <v>177</v>
      </c>
      <c r="E22" s="264"/>
      <c r="F22" s="264" t="s">
        <v>178</v>
      </c>
      <c r="G22" s="264"/>
      <c r="H22" s="264" t="s">
        <v>179</v>
      </c>
      <c r="I22" s="264"/>
      <c r="J22" s="264" t="s">
        <v>220</v>
      </c>
      <c r="K22" s="264"/>
      <c r="L22" s="264" t="s">
        <v>180</v>
      </c>
      <c r="M22" s="264"/>
      <c r="N22" s="264" t="s">
        <v>181</v>
      </c>
      <c r="O22" s="264"/>
      <c r="P22" s="264" t="s">
        <v>221</v>
      </c>
      <c r="Q22" s="264"/>
      <c r="R22" s="264" t="s">
        <v>182</v>
      </c>
      <c r="S22" s="266"/>
      <c r="T22" s="266"/>
      <c r="U22" s="267"/>
      <c r="V22" s="267"/>
      <c r="W22" s="263"/>
      <c r="X22" s="5"/>
    </row>
    <row r="23" spans="1:24" ht="15.6" x14ac:dyDescent="0.3">
      <c r="A23" s="287"/>
      <c r="B23" s="288" t="s">
        <v>7</v>
      </c>
      <c r="C23" s="289"/>
      <c r="D23" s="289" t="s">
        <v>213</v>
      </c>
      <c r="E23" s="289"/>
      <c r="F23" s="289" t="s">
        <v>141</v>
      </c>
      <c r="G23" s="289"/>
      <c r="H23" s="289" t="s">
        <v>141</v>
      </c>
      <c r="I23" s="289"/>
      <c r="J23" s="289" t="s">
        <v>141</v>
      </c>
      <c r="K23" s="289"/>
      <c r="L23" s="289" t="s">
        <v>183</v>
      </c>
      <c r="M23" s="289"/>
      <c r="N23" s="289" t="s">
        <v>183</v>
      </c>
      <c r="O23" s="289"/>
      <c r="P23" s="289" t="s">
        <v>142</v>
      </c>
      <c r="Q23" s="289"/>
      <c r="R23" s="289" t="s">
        <v>142</v>
      </c>
      <c r="S23" s="289"/>
      <c r="T23" s="289"/>
      <c r="U23" s="290"/>
      <c r="V23" s="290"/>
      <c r="W23" s="291"/>
      <c r="X23" s="5"/>
    </row>
    <row r="24" spans="1:24" ht="15.6" x14ac:dyDescent="0.3">
      <c r="A24" s="287"/>
      <c r="B24" s="288" t="s">
        <v>8</v>
      </c>
      <c r="C24" s="289"/>
      <c r="D24" s="289" t="s">
        <v>214</v>
      </c>
      <c r="E24" s="289"/>
      <c r="F24" s="289" t="s">
        <v>143</v>
      </c>
      <c r="G24" s="289"/>
      <c r="H24" s="289" t="s">
        <v>143</v>
      </c>
      <c r="I24" s="289"/>
      <c r="J24" s="289" t="s">
        <v>143</v>
      </c>
      <c r="K24" s="289"/>
      <c r="L24" s="289" t="s">
        <v>165</v>
      </c>
      <c r="M24" s="289"/>
      <c r="N24" s="289" t="s">
        <v>165</v>
      </c>
      <c r="O24" s="289"/>
      <c r="P24" s="289" t="s">
        <v>144</v>
      </c>
      <c r="Q24" s="289"/>
      <c r="R24" s="289" t="s">
        <v>144</v>
      </c>
      <c r="S24" s="289"/>
      <c r="T24" s="289"/>
      <c r="U24" s="290"/>
      <c r="V24" s="290"/>
      <c r="W24" s="291"/>
      <c r="X24" s="5"/>
    </row>
    <row r="25" spans="1:24" ht="15.6" x14ac:dyDescent="0.3">
      <c r="A25" s="292"/>
      <c r="B25" s="288" t="s">
        <v>190</v>
      </c>
      <c r="C25" s="398"/>
      <c r="D25" s="289" t="s">
        <v>215</v>
      </c>
      <c r="E25" s="289"/>
      <c r="F25" s="289" t="s">
        <v>143</v>
      </c>
      <c r="G25" s="289"/>
      <c r="H25" s="289" t="s">
        <v>143</v>
      </c>
      <c r="I25" s="289"/>
      <c r="J25" s="289" t="s">
        <v>143</v>
      </c>
      <c r="K25" s="289"/>
      <c r="L25" s="289" t="s">
        <v>293</v>
      </c>
      <c r="M25" s="289"/>
      <c r="N25" s="289" t="s">
        <v>293</v>
      </c>
      <c r="O25" s="289"/>
      <c r="P25" s="289" t="s">
        <v>144</v>
      </c>
      <c r="Q25" s="289"/>
      <c r="R25" s="289" t="s">
        <v>144</v>
      </c>
      <c r="S25" s="398"/>
      <c r="T25" s="289"/>
      <c r="U25" s="290"/>
      <c r="V25" s="290"/>
      <c r="W25" s="291"/>
      <c r="X25" s="5"/>
    </row>
    <row r="26" spans="1:24" ht="15.6" x14ac:dyDescent="0.3">
      <c r="A26" s="292"/>
      <c r="B26" s="295" t="s">
        <v>9</v>
      </c>
      <c r="C26" s="398"/>
      <c r="D26" s="398" t="s">
        <v>332</v>
      </c>
      <c r="E26" s="398"/>
      <c r="F26" s="398" t="s">
        <v>333</v>
      </c>
      <c r="G26" s="398"/>
      <c r="H26" s="398" t="s">
        <v>333</v>
      </c>
      <c r="I26" s="398"/>
      <c r="J26" s="398" t="s">
        <v>333</v>
      </c>
      <c r="K26" s="398"/>
      <c r="L26" s="398" t="s">
        <v>334</v>
      </c>
      <c r="M26" s="398"/>
      <c r="N26" s="398" t="s">
        <v>334</v>
      </c>
      <c r="O26" s="398"/>
      <c r="P26" s="398" t="s">
        <v>335</v>
      </c>
      <c r="Q26" s="398"/>
      <c r="R26" s="398" t="s">
        <v>335</v>
      </c>
      <c r="S26" s="398"/>
      <c r="T26" s="289"/>
      <c r="U26" s="290"/>
      <c r="V26" s="290"/>
      <c r="W26" s="291"/>
      <c r="X26" s="5"/>
    </row>
    <row r="27" spans="1:24" ht="15.6" x14ac:dyDescent="0.3">
      <c r="A27" s="287"/>
      <c r="B27" s="295" t="s">
        <v>191</v>
      </c>
      <c r="C27" s="289"/>
      <c r="D27" s="398" t="s">
        <v>317</v>
      </c>
      <c r="E27" s="398"/>
      <c r="F27" s="398" t="s">
        <v>143</v>
      </c>
      <c r="G27" s="398"/>
      <c r="H27" s="398" t="s">
        <v>143</v>
      </c>
      <c r="I27" s="398"/>
      <c r="J27" s="398" t="s">
        <v>143</v>
      </c>
      <c r="K27" s="398"/>
      <c r="L27" s="398" t="s">
        <v>319</v>
      </c>
      <c r="M27" s="398"/>
      <c r="N27" s="398" t="s">
        <v>319</v>
      </c>
      <c r="O27" s="398"/>
      <c r="P27" s="398" t="s">
        <v>320</v>
      </c>
      <c r="Q27" s="398"/>
      <c r="R27" s="398" t="s">
        <v>320</v>
      </c>
      <c r="S27" s="289"/>
      <c r="T27" s="296"/>
      <c r="U27" s="290"/>
      <c r="V27" s="290"/>
      <c r="W27" s="291"/>
      <c r="X27" s="5"/>
    </row>
    <row r="28" spans="1:24" ht="15.6" x14ac:dyDescent="0.3">
      <c r="A28" s="287"/>
      <c r="B28" s="295" t="s">
        <v>192</v>
      </c>
      <c r="C28" s="289"/>
      <c r="D28" s="398" t="s">
        <v>314</v>
      </c>
      <c r="E28" s="398"/>
      <c r="F28" s="398" t="s">
        <v>143</v>
      </c>
      <c r="G28" s="398"/>
      <c r="H28" s="398" t="s">
        <v>143</v>
      </c>
      <c r="I28" s="398"/>
      <c r="J28" s="398" t="s">
        <v>143</v>
      </c>
      <c r="K28" s="398"/>
      <c r="L28" s="398" t="s">
        <v>293</v>
      </c>
      <c r="M28" s="398"/>
      <c r="N28" s="398" t="s">
        <v>293</v>
      </c>
      <c r="O28" s="398"/>
      <c r="P28" s="398" t="s">
        <v>337</v>
      </c>
      <c r="Q28" s="398"/>
      <c r="R28" s="398" t="s">
        <v>337</v>
      </c>
      <c r="S28" s="289"/>
      <c r="T28" s="296"/>
      <c r="U28" s="290"/>
      <c r="V28" s="290"/>
      <c r="W28" s="291"/>
      <c r="X28" s="5"/>
    </row>
    <row r="29" spans="1:24" ht="15.6" x14ac:dyDescent="0.3">
      <c r="A29" s="287"/>
      <c r="B29" s="288" t="s">
        <v>10</v>
      </c>
      <c r="C29" s="298"/>
      <c r="D29" s="289" t="s">
        <v>249</v>
      </c>
      <c r="E29" s="289"/>
      <c r="F29" s="296" t="s">
        <v>250</v>
      </c>
      <c r="G29" s="289"/>
      <c r="H29" s="289" t="s">
        <v>251</v>
      </c>
      <c r="I29" s="289"/>
      <c r="J29" s="289" t="s">
        <v>253</v>
      </c>
      <c r="K29" s="289"/>
      <c r="L29" s="289" t="s">
        <v>254</v>
      </c>
      <c r="M29" s="289"/>
      <c r="N29" s="289" t="s">
        <v>255</v>
      </c>
      <c r="O29" s="289"/>
      <c r="P29" s="289" t="s">
        <v>256</v>
      </c>
      <c r="Q29" s="289"/>
      <c r="R29" s="289" t="s">
        <v>257</v>
      </c>
      <c r="S29" s="299"/>
      <c r="T29" s="299"/>
      <c r="U29" s="300"/>
      <c r="V29" s="299"/>
      <c r="W29" s="301"/>
      <c r="X29" s="5"/>
    </row>
    <row r="30" spans="1:24" ht="15.6" x14ac:dyDescent="0.3">
      <c r="A30" s="287"/>
      <c r="B30" s="288" t="s">
        <v>10</v>
      </c>
      <c r="C30" s="298"/>
      <c r="D30" s="289" t="s">
        <v>248</v>
      </c>
      <c r="E30" s="289"/>
      <c r="F30" s="296" t="s">
        <v>118</v>
      </c>
      <c r="G30" s="289"/>
      <c r="H30" s="289" t="s">
        <v>118</v>
      </c>
      <c r="I30" s="289"/>
      <c r="J30" s="289" t="s">
        <v>252</v>
      </c>
      <c r="K30" s="289"/>
      <c r="L30" s="289" t="s">
        <v>118</v>
      </c>
      <c r="M30" s="289"/>
      <c r="N30" s="289" t="s">
        <v>118</v>
      </c>
      <c r="O30" s="289"/>
      <c r="P30" s="289" t="s">
        <v>118</v>
      </c>
      <c r="Q30" s="289"/>
      <c r="R30" s="289" t="s">
        <v>118</v>
      </c>
      <c r="S30" s="299"/>
      <c r="T30" s="299"/>
      <c r="U30" s="300"/>
      <c r="V30" s="299"/>
      <c r="W30" s="301"/>
      <c r="X30" s="5"/>
    </row>
    <row r="31" spans="1:24" ht="15.6" x14ac:dyDescent="0.3">
      <c r="A31" s="292"/>
      <c r="B31" s="288" t="s">
        <v>133</v>
      </c>
      <c r="C31" s="302"/>
      <c r="D31" s="303">
        <v>1500000</v>
      </c>
      <c r="E31" s="298"/>
      <c r="F31" s="299">
        <v>125000</v>
      </c>
      <c r="G31" s="299"/>
      <c r="H31" s="304">
        <v>246000</v>
      </c>
      <c r="I31" s="304"/>
      <c r="J31" s="303">
        <v>400000</v>
      </c>
      <c r="K31" s="299"/>
      <c r="L31" s="299">
        <v>51900</v>
      </c>
      <c r="M31" s="299"/>
      <c r="N31" s="304">
        <v>88800</v>
      </c>
      <c r="O31" s="299"/>
      <c r="P31" s="299">
        <v>20000</v>
      </c>
      <c r="Q31" s="299"/>
      <c r="R31" s="304">
        <v>135500</v>
      </c>
      <c r="S31" s="305"/>
      <c r="T31" s="305"/>
      <c r="U31" s="306"/>
      <c r="V31" s="305"/>
      <c r="W31" s="301"/>
      <c r="X31" s="5"/>
    </row>
    <row r="32" spans="1:24" ht="15.6" x14ac:dyDescent="0.3">
      <c r="A32" s="287"/>
      <c r="B32" s="288" t="s">
        <v>132</v>
      </c>
      <c r="C32" s="298"/>
      <c r="D32" s="303">
        <f>D31*D38</f>
        <v>1032402.9</v>
      </c>
      <c r="E32" s="298"/>
      <c r="F32" s="299">
        <f>F31*F38</f>
        <v>86033.700000000012</v>
      </c>
      <c r="G32" s="299"/>
      <c r="H32" s="304">
        <f>H31*H38</f>
        <v>169314.3216</v>
      </c>
      <c r="I32" s="304"/>
      <c r="J32" s="303">
        <f>J31*J38</f>
        <v>275307.44</v>
      </c>
      <c r="K32" s="299"/>
      <c r="L32" s="299">
        <f>+L31</f>
        <v>51900</v>
      </c>
      <c r="M32" s="299"/>
      <c r="N32" s="304">
        <f>+N31</f>
        <v>88800</v>
      </c>
      <c r="O32" s="299"/>
      <c r="P32" s="299">
        <f>+P31</f>
        <v>20000</v>
      </c>
      <c r="Q32" s="299"/>
      <c r="R32" s="304">
        <f>+R31</f>
        <v>135500</v>
      </c>
      <c r="S32" s="299"/>
      <c r="T32" s="299"/>
      <c r="U32" s="300"/>
      <c r="V32" s="299"/>
      <c r="W32" s="301"/>
      <c r="X32" s="5"/>
    </row>
    <row r="33" spans="1:24" ht="15.6" x14ac:dyDescent="0.3">
      <c r="A33" s="287"/>
      <c r="B33" s="295" t="s">
        <v>134</v>
      </c>
      <c r="C33" s="298"/>
      <c r="D33" s="307">
        <f>D37*D31</f>
        <v>1022983.7999999999</v>
      </c>
      <c r="E33" s="302"/>
      <c r="F33" s="305">
        <f>F37*F31</f>
        <v>85248.774999999994</v>
      </c>
      <c r="G33" s="305"/>
      <c r="H33" s="308">
        <f>H31*H37</f>
        <v>167769.58919999999</v>
      </c>
      <c r="I33" s="308"/>
      <c r="J33" s="307">
        <f>J37*J31</f>
        <v>272795.68</v>
      </c>
      <c r="K33" s="305"/>
      <c r="L33" s="305">
        <f>L31*L37</f>
        <v>51900</v>
      </c>
      <c r="M33" s="305"/>
      <c r="N33" s="308">
        <f>N31*N37</f>
        <v>88800</v>
      </c>
      <c r="O33" s="305"/>
      <c r="P33" s="305">
        <f>P31*P37</f>
        <v>20000</v>
      </c>
      <c r="Q33" s="305"/>
      <c r="R33" s="308">
        <f>R31*R37</f>
        <v>135500</v>
      </c>
      <c r="S33" s="299"/>
      <c r="T33" s="299"/>
      <c r="U33" s="300"/>
      <c r="V33" s="299"/>
      <c r="W33" s="301"/>
      <c r="X33" s="5"/>
    </row>
    <row r="34" spans="1:24" ht="15.6" x14ac:dyDescent="0.3">
      <c r="A34" s="292"/>
      <c r="B34" s="288" t="s">
        <v>296</v>
      </c>
      <c r="C34" s="302"/>
      <c r="D34" s="299">
        <v>775194</v>
      </c>
      <c r="E34" s="298"/>
      <c r="F34" s="299">
        <v>125000</v>
      </c>
      <c r="G34" s="299"/>
      <c r="H34" s="299">
        <v>168148</v>
      </c>
      <c r="I34" s="299"/>
      <c r="J34" s="299">
        <v>206718</v>
      </c>
      <c r="K34" s="299"/>
      <c r="L34" s="299">
        <v>51900</v>
      </c>
      <c r="M34" s="299"/>
      <c r="N34" s="299">
        <v>60697</v>
      </c>
      <c r="O34" s="299"/>
      <c r="P34" s="299">
        <v>20000</v>
      </c>
      <c r="Q34" s="299"/>
      <c r="R34" s="299">
        <v>92618</v>
      </c>
      <c r="S34" s="305"/>
      <c r="T34" s="305"/>
      <c r="U34" s="306"/>
      <c r="V34" s="299">
        <f>SUM(C34:R34)</f>
        <v>1500275</v>
      </c>
      <c r="W34" s="301"/>
      <c r="X34" s="5"/>
    </row>
    <row r="35" spans="1:24" ht="15.6" x14ac:dyDescent="0.3">
      <c r="A35" s="292"/>
      <c r="B35" s="288" t="s">
        <v>297</v>
      </c>
      <c r="C35" s="302"/>
      <c r="D35" s="299">
        <f>D34*D38</f>
        <v>533541.68910840002</v>
      </c>
      <c r="E35" s="298"/>
      <c r="F35" s="299">
        <f>F34*F38</f>
        <v>86033.700000000012</v>
      </c>
      <c r="G35" s="299"/>
      <c r="H35" s="299">
        <f>H34*H38</f>
        <v>115731.15670080001</v>
      </c>
      <c r="I35" s="299"/>
      <c r="J35" s="299">
        <f>J34*J38</f>
        <v>142277.5084548</v>
      </c>
      <c r="K35" s="299"/>
      <c r="L35" s="299">
        <f>+L34</f>
        <v>51900</v>
      </c>
      <c r="M35" s="299"/>
      <c r="N35" s="299">
        <f>+N34</f>
        <v>60697</v>
      </c>
      <c r="O35" s="299"/>
      <c r="P35" s="299">
        <f>+P34</f>
        <v>20000</v>
      </c>
      <c r="Q35" s="299"/>
      <c r="R35" s="299">
        <f>+R34</f>
        <v>92618</v>
      </c>
      <c r="S35" s="299"/>
      <c r="T35" s="299"/>
      <c r="U35" s="300"/>
      <c r="V35" s="299">
        <f>SUM(C35:R35)</f>
        <v>1102799.0542640002</v>
      </c>
      <c r="W35" s="301"/>
      <c r="X35" s="5"/>
    </row>
    <row r="36" spans="1:24" ht="15.6" x14ac:dyDescent="0.3">
      <c r="A36" s="292"/>
      <c r="B36" s="295" t="s">
        <v>298</v>
      </c>
      <c r="C36" s="302"/>
      <c r="D36" s="305">
        <f>D34*D37</f>
        <v>528673.93590479996</v>
      </c>
      <c r="E36" s="302"/>
      <c r="F36" s="305">
        <f>F34*F37</f>
        <v>85248.774999999994</v>
      </c>
      <c r="G36" s="305"/>
      <c r="H36" s="305">
        <f>H34*H37</f>
        <v>114675.2881496</v>
      </c>
      <c r="I36" s="305"/>
      <c r="J36" s="305">
        <f>J34*J37</f>
        <v>140979.44344559999</v>
      </c>
      <c r="K36" s="305"/>
      <c r="L36" s="305">
        <f>L34*L37</f>
        <v>51900</v>
      </c>
      <c r="M36" s="305"/>
      <c r="N36" s="305">
        <f>N34*N37</f>
        <v>60697</v>
      </c>
      <c r="O36" s="305"/>
      <c r="P36" s="305">
        <f>P34*P37</f>
        <v>20000</v>
      </c>
      <c r="Q36" s="305"/>
      <c r="R36" s="305">
        <f>R34*R37</f>
        <v>92618</v>
      </c>
      <c r="S36" s="328"/>
      <c r="T36" s="328"/>
      <c r="U36" s="300"/>
      <c r="V36" s="305">
        <f>SUM(C36:R36)</f>
        <v>1094792.4424999999</v>
      </c>
      <c r="W36" s="301"/>
      <c r="X36" s="5"/>
    </row>
    <row r="37" spans="1:24" ht="15.6" x14ac:dyDescent="0.3">
      <c r="A37" s="287"/>
      <c r="B37" s="313" t="s">
        <v>130</v>
      </c>
      <c r="C37" s="314"/>
      <c r="D37" s="315">
        <v>0.68198919999999996</v>
      </c>
      <c r="E37" s="315"/>
      <c r="F37" s="315">
        <v>0.68199019999999999</v>
      </c>
      <c r="G37" s="315"/>
      <c r="H37" s="315">
        <v>0.68199019999999999</v>
      </c>
      <c r="I37" s="315"/>
      <c r="J37" s="315">
        <v>0.68198919999999996</v>
      </c>
      <c r="K37" s="315"/>
      <c r="L37" s="315">
        <v>1</v>
      </c>
      <c r="M37" s="315"/>
      <c r="N37" s="315">
        <v>1</v>
      </c>
      <c r="O37" s="315"/>
      <c r="P37" s="315">
        <v>1</v>
      </c>
      <c r="Q37" s="315"/>
      <c r="R37" s="315">
        <v>1</v>
      </c>
      <c r="S37" s="316"/>
      <c r="T37" s="316"/>
      <c r="U37" s="317"/>
      <c r="V37" s="317"/>
      <c r="W37" s="318"/>
      <c r="X37" s="5"/>
    </row>
    <row r="38" spans="1:24" ht="15.6" x14ac:dyDescent="0.3">
      <c r="A38" s="287"/>
      <c r="B38" s="313" t="s">
        <v>131</v>
      </c>
      <c r="C38" s="314"/>
      <c r="D38" s="315">
        <v>0.68826860000000001</v>
      </c>
      <c r="E38" s="315"/>
      <c r="F38" s="315">
        <v>0.68826960000000004</v>
      </c>
      <c r="G38" s="315"/>
      <c r="H38" s="315">
        <v>0.68826960000000004</v>
      </c>
      <c r="I38" s="315"/>
      <c r="J38" s="315">
        <v>0.68826860000000001</v>
      </c>
      <c r="K38" s="315"/>
      <c r="L38" s="315">
        <v>1</v>
      </c>
      <c r="M38" s="315"/>
      <c r="N38" s="315">
        <v>1</v>
      </c>
      <c r="O38" s="315"/>
      <c r="P38" s="315">
        <v>1</v>
      </c>
      <c r="Q38" s="315"/>
      <c r="R38" s="315">
        <v>1</v>
      </c>
      <c r="S38" s="319"/>
      <c r="T38" s="320"/>
      <c r="U38" s="317"/>
      <c r="V38" s="319"/>
      <c r="W38" s="318"/>
      <c r="X38" s="5"/>
    </row>
    <row r="39" spans="1:24" ht="15.6" x14ac:dyDescent="0.3">
      <c r="A39" s="287"/>
      <c r="B39" s="288" t="s">
        <v>11</v>
      </c>
      <c r="C39" s="288"/>
      <c r="D39" s="296" t="s">
        <v>321</v>
      </c>
      <c r="E39" s="288"/>
      <c r="F39" s="296" t="s">
        <v>231</v>
      </c>
      <c r="G39" s="296"/>
      <c r="H39" s="296" t="s">
        <v>231</v>
      </c>
      <c r="I39" s="296"/>
      <c r="J39" s="296" t="s">
        <v>231</v>
      </c>
      <c r="K39" s="296"/>
      <c r="L39" s="296" t="s">
        <v>265</v>
      </c>
      <c r="M39" s="296"/>
      <c r="N39" s="296" t="s">
        <v>265</v>
      </c>
      <c r="O39" s="296"/>
      <c r="P39" s="296" t="s">
        <v>266</v>
      </c>
      <c r="Q39" s="296"/>
      <c r="R39" s="296" t="s">
        <v>266</v>
      </c>
      <c r="S39" s="321"/>
      <c r="T39" s="322"/>
      <c r="U39" s="290"/>
      <c r="V39" s="290"/>
      <c r="W39" s="291"/>
      <c r="X39" s="5"/>
    </row>
    <row r="40" spans="1:24" ht="15.6" x14ac:dyDescent="0.3">
      <c r="A40" s="287"/>
      <c r="B40" s="288" t="s">
        <v>12</v>
      </c>
      <c r="C40" s="288"/>
      <c r="D40" s="322">
        <v>3.9919999999999999E-3</v>
      </c>
      <c r="E40" s="288"/>
      <c r="F40" s="322">
        <v>7.0688000000000001E-3</v>
      </c>
      <c r="G40" s="321"/>
      <c r="H40" s="322">
        <v>4.0299999999999997E-3</v>
      </c>
      <c r="I40" s="322"/>
      <c r="J40" s="322">
        <v>4.8009999999999997E-3</v>
      </c>
      <c r="K40" s="321"/>
      <c r="L40" s="322">
        <v>8.6688000000000008E-3</v>
      </c>
      <c r="M40" s="321"/>
      <c r="N40" s="322">
        <v>5.6299999999999996E-3</v>
      </c>
      <c r="O40" s="321"/>
      <c r="P40" s="322">
        <v>1.2668799999999999E-2</v>
      </c>
      <c r="Q40" s="321"/>
      <c r="R40" s="322">
        <v>9.6299999999999997E-3</v>
      </c>
      <c r="S40" s="321"/>
      <c r="T40" s="322"/>
      <c r="U40" s="290"/>
      <c r="V40" s="296"/>
      <c r="W40" s="291"/>
      <c r="X40" s="5"/>
    </row>
    <row r="41" spans="1:24" ht="15.6" x14ac:dyDescent="0.3">
      <c r="A41" s="287"/>
      <c r="B41" s="288" t="s">
        <v>13</v>
      </c>
      <c r="C41" s="288"/>
      <c r="D41" s="322">
        <v>4.0119999999999999E-3</v>
      </c>
      <c r="E41" s="288"/>
      <c r="F41" s="322">
        <v>7.1875000000000003E-3</v>
      </c>
      <c r="G41" s="321"/>
      <c r="H41" s="322">
        <v>3.8300000000000001E-3</v>
      </c>
      <c r="I41" s="322"/>
      <c r="J41" s="322">
        <v>5.0800000000000003E-3</v>
      </c>
      <c r="K41" s="321"/>
      <c r="L41" s="322">
        <v>8.7875000000000002E-3</v>
      </c>
      <c r="M41" s="321"/>
      <c r="N41" s="322">
        <v>5.4299999999999999E-3</v>
      </c>
      <c r="O41" s="321"/>
      <c r="P41" s="322">
        <v>1.27875E-2</v>
      </c>
      <c r="Q41" s="321"/>
      <c r="R41" s="322">
        <v>9.4299999999999991E-3</v>
      </c>
      <c r="S41" s="321"/>
      <c r="T41" s="322"/>
      <c r="U41" s="290"/>
      <c r="V41" s="321" t="s">
        <v>193</v>
      </c>
      <c r="W41" s="291"/>
      <c r="X41" s="5"/>
    </row>
    <row r="42" spans="1:24" ht="15.6" x14ac:dyDescent="0.3">
      <c r="A42" s="287"/>
      <c r="B42" s="288" t="s">
        <v>299</v>
      </c>
      <c r="C42" s="288"/>
      <c r="D42" s="296" t="s">
        <v>322</v>
      </c>
      <c r="E42" s="288"/>
      <c r="F42" s="296" t="s">
        <v>231</v>
      </c>
      <c r="G42" s="296"/>
      <c r="H42" s="296" t="s">
        <v>323</v>
      </c>
      <c r="I42" s="296"/>
      <c r="J42" s="296" t="s">
        <v>324</v>
      </c>
      <c r="K42" s="296"/>
      <c r="L42" s="296" t="s">
        <v>265</v>
      </c>
      <c r="M42" s="296"/>
      <c r="N42" s="296" t="s">
        <v>234</v>
      </c>
      <c r="O42" s="296"/>
      <c r="P42" s="296" t="s">
        <v>266</v>
      </c>
      <c r="Q42" s="296"/>
      <c r="R42" s="296" t="s">
        <v>264</v>
      </c>
      <c r="S42" s="321"/>
      <c r="T42" s="322"/>
      <c r="U42" s="290"/>
      <c r="V42" s="290"/>
      <c r="W42" s="291"/>
      <c r="X42" s="5"/>
    </row>
    <row r="43" spans="1:24" ht="15.6" x14ac:dyDescent="0.3">
      <c r="A43" s="287"/>
      <c r="B43" s="288" t="s">
        <v>300</v>
      </c>
      <c r="C43" s="323"/>
      <c r="D43" s="322">
        <v>7.4428000000000003E-3</v>
      </c>
      <c r="E43" s="322"/>
      <c r="F43" s="322">
        <f>+F40</f>
        <v>7.0688000000000001E-3</v>
      </c>
      <c r="G43" s="322"/>
      <c r="H43" s="322">
        <v>7.3488E-3</v>
      </c>
      <c r="I43" s="322"/>
      <c r="J43" s="322">
        <v>7.7948000000000002E-3</v>
      </c>
      <c r="K43" s="322"/>
      <c r="L43" s="322">
        <f>+L40</f>
        <v>8.6688000000000008E-3</v>
      </c>
      <c r="M43" s="322"/>
      <c r="N43" s="322">
        <v>9.2607999999999996E-3</v>
      </c>
      <c r="O43" s="322"/>
      <c r="P43" s="322">
        <f>+P40</f>
        <v>1.2668799999999999E-2</v>
      </c>
      <c r="Q43" s="321"/>
      <c r="R43" s="322">
        <v>1.37348E-2</v>
      </c>
      <c r="S43" s="296"/>
      <c r="T43" s="296"/>
      <c r="U43" s="290"/>
      <c r="V43" s="321">
        <f>SUMPRODUCT(D43:R43,D35:R35)/V35</f>
        <v>8.2301377739026939E-3</v>
      </c>
      <c r="W43" s="291"/>
      <c r="X43" s="5"/>
    </row>
    <row r="44" spans="1:24" ht="15.6" x14ac:dyDescent="0.3">
      <c r="A44" s="287"/>
      <c r="B44" s="288" t="s">
        <v>301</v>
      </c>
      <c r="C44" s="323"/>
      <c r="D44" s="322">
        <v>7.5614999999999996E-3</v>
      </c>
      <c r="E44" s="322"/>
      <c r="F44" s="322">
        <f>+F41</f>
        <v>7.1875000000000003E-3</v>
      </c>
      <c r="G44" s="322"/>
      <c r="H44" s="322">
        <v>7.4675000000000002E-3</v>
      </c>
      <c r="I44" s="322"/>
      <c r="J44" s="322">
        <v>7.9135000000000004E-3</v>
      </c>
      <c r="K44" s="322"/>
      <c r="L44" s="322">
        <f>+L41</f>
        <v>8.7875000000000002E-3</v>
      </c>
      <c r="M44" s="322"/>
      <c r="N44" s="322">
        <v>9.3795000000000007E-3</v>
      </c>
      <c r="O44" s="322"/>
      <c r="P44" s="322">
        <f>+P41</f>
        <v>1.27875E-2</v>
      </c>
      <c r="Q44" s="321"/>
      <c r="R44" s="322">
        <v>1.3853499999999999E-2</v>
      </c>
      <c r="S44" s="296"/>
      <c r="T44" s="296"/>
      <c r="U44" s="290"/>
      <c r="V44" s="290"/>
      <c r="W44" s="291"/>
      <c r="X44" s="5"/>
    </row>
    <row r="45" spans="1:24" ht="15.6" x14ac:dyDescent="0.3">
      <c r="A45" s="287"/>
      <c r="B45" s="288" t="s">
        <v>14</v>
      </c>
      <c r="C45" s="288"/>
      <c r="D45" s="323">
        <v>40617</v>
      </c>
      <c r="E45" s="323"/>
      <c r="F45" s="323">
        <v>40617</v>
      </c>
      <c r="G45" s="323"/>
      <c r="H45" s="323">
        <v>40617</v>
      </c>
      <c r="I45" s="323"/>
      <c r="J45" s="323">
        <v>40617</v>
      </c>
      <c r="K45" s="323"/>
      <c r="L45" s="323">
        <v>40617</v>
      </c>
      <c r="M45" s="323"/>
      <c r="N45" s="323">
        <v>40617</v>
      </c>
      <c r="O45" s="323"/>
      <c r="P45" s="323">
        <v>40617</v>
      </c>
      <c r="Q45" s="323"/>
      <c r="R45" s="323">
        <v>40617</v>
      </c>
      <c r="S45" s="296"/>
      <c r="T45" s="296"/>
      <c r="U45" s="290"/>
      <c r="V45" s="290"/>
      <c r="W45" s="291"/>
      <c r="X45" s="5"/>
    </row>
    <row r="46" spans="1:24" ht="15.6" x14ac:dyDescent="0.3">
      <c r="A46" s="287"/>
      <c r="B46" s="288" t="s">
        <v>15</v>
      </c>
      <c r="C46" s="288"/>
      <c r="D46" s="323">
        <v>40983</v>
      </c>
      <c r="E46" s="323"/>
      <c r="F46" s="323">
        <v>40983</v>
      </c>
      <c r="G46" s="323"/>
      <c r="H46" s="323">
        <v>40983</v>
      </c>
      <c r="I46" s="323"/>
      <c r="J46" s="323">
        <v>40983</v>
      </c>
      <c r="K46" s="296"/>
      <c r="L46" s="323">
        <v>40983</v>
      </c>
      <c r="M46" s="296"/>
      <c r="N46" s="323">
        <v>40983</v>
      </c>
      <c r="O46" s="296"/>
      <c r="P46" s="323">
        <v>40983</v>
      </c>
      <c r="Q46" s="296"/>
      <c r="R46" s="323">
        <v>40983</v>
      </c>
      <c r="S46" s="296"/>
      <c r="T46" s="296"/>
      <c r="U46" s="290"/>
      <c r="V46" s="290"/>
      <c r="W46" s="291"/>
      <c r="X46" s="5"/>
    </row>
    <row r="47" spans="1:24" ht="15.6" x14ac:dyDescent="0.3">
      <c r="A47" s="287"/>
      <c r="B47" s="288" t="s">
        <v>119</v>
      </c>
      <c r="C47" s="288"/>
      <c r="D47" s="296" t="s">
        <v>231</v>
      </c>
      <c r="E47" s="288"/>
      <c r="F47" s="296" t="s">
        <v>231</v>
      </c>
      <c r="G47" s="296"/>
      <c r="H47" s="296" t="s">
        <v>231</v>
      </c>
      <c r="I47" s="296"/>
      <c r="J47" s="296" t="s">
        <v>231</v>
      </c>
      <c r="K47" s="296"/>
      <c r="L47" s="296" t="s">
        <v>265</v>
      </c>
      <c r="M47" s="296"/>
      <c r="N47" s="296" t="s">
        <v>265</v>
      </c>
      <c r="O47" s="296"/>
      <c r="P47" s="296" t="s">
        <v>266</v>
      </c>
      <c r="Q47" s="296"/>
      <c r="R47" s="296" t="s">
        <v>266</v>
      </c>
      <c r="S47" s="325"/>
      <c r="T47" s="325"/>
      <c r="U47" s="325"/>
      <c r="V47" s="325"/>
      <c r="W47" s="291"/>
      <c r="X47" s="5"/>
    </row>
    <row r="48" spans="1:24" ht="15.6" x14ac:dyDescent="0.3">
      <c r="A48" s="287"/>
      <c r="B48" s="288" t="s">
        <v>302</v>
      </c>
      <c r="C48" s="288"/>
      <c r="D48" s="296" t="s">
        <v>325</v>
      </c>
      <c r="E48" s="288"/>
      <c r="F48" s="296" t="s">
        <v>231</v>
      </c>
      <c r="G48" s="296"/>
      <c r="H48" s="296" t="s">
        <v>262</v>
      </c>
      <c r="I48" s="296"/>
      <c r="J48" s="296" t="s">
        <v>263</v>
      </c>
      <c r="K48" s="296"/>
      <c r="L48" s="296" t="s">
        <v>265</v>
      </c>
      <c r="M48" s="296"/>
      <c r="N48" s="296" t="s">
        <v>234</v>
      </c>
      <c r="O48" s="296"/>
      <c r="P48" s="296" t="s">
        <v>266</v>
      </c>
      <c r="Q48" s="296"/>
      <c r="R48" s="296" t="s">
        <v>264</v>
      </c>
      <c r="S48" s="288"/>
      <c r="T48" s="288"/>
      <c r="U48" s="288"/>
      <c r="V48" s="321"/>
      <c r="W48" s="291"/>
      <c r="X48" s="5"/>
    </row>
    <row r="49" spans="1:25" ht="15.6" x14ac:dyDescent="0.3">
      <c r="A49" s="287"/>
      <c r="B49" s="288"/>
      <c r="C49" s="288"/>
      <c r="D49" s="296"/>
      <c r="E49" s="288"/>
      <c r="F49" s="296"/>
      <c r="G49" s="296"/>
      <c r="H49" s="296"/>
      <c r="I49" s="296"/>
      <c r="J49" s="296"/>
      <c r="K49" s="296"/>
      <c r="L49" s="296"/>
      <c r="M49" s="296"/>
      <c r="N49" s="296"/>
      <c r="O49" s="296"/>
      <c r="P49" s="296"/>
      <c r="Q49" s="296"/>
      <c r="R49" s="296"/>
      <c r="S49" s="288"/>
      <c r="T49" s="288"/>
      <c r="U49" s="288"/>
      <c r="V49" s="321" t="s">
        <v>193</v>
      </c>
      <c r="W49" s="291"/>
      <c r="X49" s="5"/>
    </row>
    <row r="50" spans="1:25" ht="15.6" x14ac:dyDescent="0.3">
      <c r="A50" s="287"/>
      <c r="B50" s="288" t="s">
        <v>169</v>
      </c>
      <c r="C50" s="288"/>
      <c r="D50" s="296"/>
      <c r="E50" s="288"/>
      <c r="F50" s="296"/>
      <c r="G50" s="296"/>
      <c r="H50" s="296"/>
      <c r="I50" s="296"/>
      <c r="J50" s="296"/>
      <c r="K50" s="296"/>
      <c r="L50" s="296"/>
      <c r="M50" s="296"/>
      <c r="N50" s="296"/>
      <c r="O50" s="296"/>
      <c r="P50" s="296"/>
      <c r="Q50" s="296"/>
      <c r="R50" s="296"/>
      <c r="S50" s="288"/>
      <c r="T50" s="288"/>
      <c r="U50" s="288"/>
      <c r="V50" s="321">
        <f>SUM(L34:R34)/SUM(D34:J34)</f>
        <v>0.17663090364375009</v>
      </c>
      <c r="W50" s="291"/>
      <c r="X50" s="5"/>
    </row>
    <row r="51" spans="1:25" ht="15.6" x14ac:dyDescent="0.3">
      <c r="A51" s="287"/>
      <c r="B51" s="288" t="s">
        <v>170</v>
      </c>
      <c r="C51" s="288"/>
      <c r="D51" s="288"/>
      <c r="E51" s="288"/>
      <c r="F51" s="326"/>
      <c r="G51" s="288"/>
      <c r="H51" s="288"/>
      <c r="I51" s="288"/>
      <c r="J51" s="288"/>
      <c r="K51" s="288"/>
      <c r="L51" s="288"/>
      <c r="M51" s="288"/>
      <c r="N51" s="288"/>
      <c r="O51" s="288"/>
      <c r="P51" s="288"/>
      <c r="Q51" s="288"/>
      <c r="R51" s="288"/>
      <c r="S51" s="288"/>
      <c r="T51" s="288"/>
      <c r="U51" s="288"/>
      <c r="V51" s="321">
        <f>SUM(L36:R36)/SUM(D36:J36)</f>
        <v>0.25899360884122752</v>
      </c>
      <c r="W51" s="291"/>
      <c r="X51" s="5"/>
    </row>
    <row r="52" spans="1:25" ht="15.6" x14ac:dyDescent="0.3">
      <c r="A52" s="287"/>
      <c r="B52" s="288" t="s">
        <v>171</v>
      </c>
      <c r="C52" s="288"/>
      <c r="D52" s="288"/>
      <c r="E52" s="288"/>
      <c r="F52" s="288"/>
      <c r="G52" s="288"/>
      <c r="H52" s="288"/>
      <c r="I52" s="288"/>
      <c r="J52" s="288"/>
      <c r="K52" s="288"/>
      <c r="L52" s="288"/>
      <c r="M52" s="288"/>
      <c r="N52" s="288"/>
      <c r="O52" s="288"/>
      <c r="P52" s="288"/>
      <c r="Q52" s="288"/>
      <c r="R52" s="288"/>
      <c r="S52" s="288"/>
      <c r="T52" s="296"/>
      <c r="U52" s="296"/>
      <c r="V52" s="299" t="s">
        <v>276</v>
      </c>
      <c r="W52" s="291"/>
      <c r="X52" s="5"/>
    </row>
    <row r="53" spans="1:25" ht="15.6" x14ac:dyDescent="0.3">
      <c r="A53" s="287"/>
      <c r="B53" s="288"/>
      <c r="C53" s="288"/>
      <c r="D53" s="288"/>
      <c r="E53" s="288"/>
      <c r="F53" s="288"/>
      <c r="G53" s="288"/>
      <c r="H53" s="288"/>
      <c r="I53" s="288"/>
      <c r="J53" s="288"/>
      <c r="K53" s="288"/>
      <c r="L53" s="288"/>
      <c r="M53" s="288"/>
      <c r="N53" s="288"/>
      <c r="O53" s="288"/>
      <c r="P53" s="288"/>
      <c r="Q53" s="288"/>
      <c r="R53" s="288"/>
      <c r="S53" s="288"/>
      <c r="T53" s="288"/>
      <c r="U53" s="288"/>
      <c r="V53" s="327"/>
      <c r="W53" s="291"/>
      <c r="X53" s="5"/>
    </row>
    <row r="54" spans="1:25" ht="15.6" x14ac:dyDescent="0.3">
      <c r="A54" s="287"/>
      <c r="B54" s="288" t="s">
        <v>202</v>
      </c>
      <c r="C54" s="288"/>
      <c r="D54" s="288"/>
      <c r="E54" s="288"/>
      <c r="F54" s="288"/>
      <c r="G54" s="288"/>
      <c r="H54" s="288"/>
      <c r="I54" s="288"/>
      <c r="J54" s="288"/>
      <c r="K54" s="288"/>
      <c r="L54" s="288"/>
      <c r="M54" s="288"/>
      <c r="N54" s="288"/>
      <c r="O54" s="288"/>
      <c r="P54" s="288"/>
      <c r="Q54" s="288"/>
      <c r="R54" s="288"/>
      <c r="S54" s="288"/>
      <c r="T54" s="288"/>
      <c r="U54" s="288"/>
      <c r="V54" s="328" t="s">
        <v>203</v>
      </c>
      <c r="W54" s="291"/>
      <c r="X54" s="5"/>
    </row>
    <row r="55" spans="1:25" ht="15.6" x14ac:dyDescent="0.3">
      <c r="A55" s="287"/>
      <c r="B55" s="288" t="s">
        <v>280</v>
      </c>
      <c r="C55" s="288"/>
      <c r="D55" s="288"/>
      <c r="E55" s="288"/>
      <c r="F55" s="288"/>
      <c r="G55" s="288"/>
      <c r="H55" s="288"/>
      <c r="I55" s="288"/>
      <c r="J55" s="288"/>
      <c r="K55" s="288"/>
      <c r="L55" s="288"/>
      <c r="M55" s="288"/>
      <c r="N55" s="288"/>
      <c r="O55" s="288"/>
      <c r="P55" s="288"/>
      <c r="Q55" s="288"/>
      <c r="R55" s="288"/>
      <c r="S55" s="288"/>
      <c r="T55" s="296"/>
      <c r="U55" s="296"/>
      <c r="V55" s="329" t="s">
        <v>111</v>
      </c>
      <c r="W55" s="291"/>
      <c r="X55" s="5"/>
    </row>
    <row r="56" spans="1:25" ht="15.6" x14ac:dyDescent="0.3">
      <c r="A56" s="287"/>
      <c r="B56" s="295" t="s">
        <v>201</v>
      </c>
      <c r="C56" s="295"/>
      <c r="D56" s="295"/>
      <c r="E56" s="295"/>
      <c r="F56" s="295"/>
      <c r="G56" s="295"/>
      <c r="H56" s="295"/>
      <c r="I56" s="295"/>
      <c r="J56" s="295"/>
      <c r="K56" s="295"/>
      <c r="L56" s="295"/>
      <c r="M56" s="295"/>
      <c r="N56" s="295"/>
      <c r="O56" s="295"/>
      <c r="P56" s="295"/>
      <c r="Q56" s="295"/>
      <c r="R56" s="295"/>
      <c r="S56" s="295"/>
      <c r="T56" s="330"/>
      <c r="U56" s="330"/>
      <c r="V56" s="331">
        <v>41442</v>
      </c>
      <c r="W56" s="291"/>
      <c r="X56" s="5"/>
    </row>
    <row r="57" spans="1:25" ht="15.6" x14ac:dyDescent="0.3">
      <c r="A57" s="287"/>
      <c r="B57" s="288" t="s">
        <v>121</v>
      </c>
      <c r="C57" s="288"/>
      <c r="D57" s="288"/>
      <c r="E57" s="288"/>
      <c r="F57" s="288"/>
      <c r="G57" s="288"/>
      <c r="H57" s="332"/>
      <c r="I57" s="332"/>
      <c r="J57" s="332"/>
      <c r="K57" s="332"/>
      <c r="L57" s="332"/>
      <c r="M57" s="332"/>
      <c r="N57" s="332"/>
      <c r="O57" s="332"/>
      <c r="P57" s="332"/>
      <c r="Q57" s="332"/>
      <c r="R57" s="288">
        <f>+V57-T57+1</f>
        <v>88</v>
      </c>
      <c r="S57" s="332"/>
      <c r="T57" s="333">
        <v>41260</v>
      </c>
      <c r="U57" s="334"/>
      <c r="V57" s="333">
        <v>41347</v>
      </c>
      <c r="W57" s="291"/>
      <c r="X57" s="5"/>
    </row>
    <row r="58" spans="1:25" ht="15.6" x14ac:dyDescent="0.3">
      <c r="A58" s="287"/>
      <c r="B58" s="288" t="s">
        <v>122</v>
      </c>
      <c r="C58" s="288"/>
      <c r="D58" s="288"/>
      <c r="E58" s="288"/>
      <c r="F58" s="288"/>
      <c r="G58" s="288"/>
      <c r="H58" s="288"/>
      <c r="I58" s="288"/>
      <c r="J58" s="288"/>
      <c r="K58" s="288"/>
      <c r="L58" s="288"/>
      <c r="M58" s="288"/>
      <c r="N58" s="288"/>
      <c r="O58" s="288"/>
      <c r="P58" s="288"/>
      <c r="Q58" s="288"/>
      <c r="R58" s="288">
        <f>+V58-T58+1</f>
        <v>94</v>
      </c>
      <c r="S58" s="288"/>
      <c r="T58" s="333">
        <v>41348</v>
      </c>
      <c r="U58" s="334"/>
      <c r="V58" s="333">
        <v>41441</v>
      </c>
      <c r="W58" s="291"/>
      <c r="X58" s="5"/>
    </row>
    <row r="59" spans="1:25" ht="15.6" x14ac:dyDescent="0.3">
      <c r="A59" s="287"/>
      <c r="B59" s="288" t="s">
        <v>229</v>
      </c>
      <c r="C59" s="288"/>
      <c r="D59" s="288"/>
      <c r="E59" s="288"/>
      <c r="F59" s="288"/>
      <c r="G59" s="288"/>
      <c r="H59" s="288"/>
      <c r="I59" s="288"/>
      <c r="J59" s="288"/>
      <c r="K59" s="288"/>
      <c r="L59" s="288"/>
      <c r="M59" s="288"/>
      <c r="N59" s="288"/>
      <c r="O59" s="288"/>
      <c r="P59" s="288"/>
      <c r="Q59" s="288"/>
      <c r="R59" s="288"/>
      <c r="S59" s="288"/>
      <c r="T59" s="333"/>
      <c r="U59" s="334"/>
      <c r="V59" s="333" t="s">
        <v>120</v>
      </c>
      <c r="W59" s="291"/>
      <c r="X59" s="5"/>
    </row>
    <row r="60" spans="1:25" ht="15.6" x14ac:dyDescent="0.3">
      <c r="A60" s="287"/>
      <c r="B60" s="288" t="s">
        <v>228</v>
      </c>
      <c r="C60" s="288"/>
      <c r="D60" s="288"/>
      <c r="E60" s="288"/>
      <c r="F60" s="288"/>
      <c r="G60" s="288"/>
      <c r="H60" s="288"/>
      <c r="I60" s="288"/>
      <c r="J60" s="288"/>
      <c r="K60" s="288"/>
      <c r="L60" s="288"/>
      <c r="M60" s="288"/>
      <c r="N60" s="288"/>
      <c r="O60" s="288"/>
      <c r="P60" s="288"/>
      <c r="Q60" s="288"/>
      <c r="R60" s="288"/>
      <c r="S60" s="288"/>
      <c r="T60" s="333"/>
      <c r="U60" s="334"/>
      <c r="V60" s="333" t="s">
        <v>154</v>
      </c>
      <c r="W60" s="291"/>
      <c r="X60" s="5"/>
      <c r="Y60" s="134"/>
    </row>
    <row r="61" spans="1:25" ht="15.6" x14ac:dyDescent="0.3">
      <c r="A61" s="287"/>
      <c r="B61" s="288" t="s">
        <v>16</v>
      </c>
      <c r="C61" s="288"/>
      <c r="D61" s="288"/>
      <c r="E61" s="288"/>
      <c r="F61" s="288"/>
      <c r="G61" s="288"/>
      <c r="H61" s="288"/>
      <c r="I61" s="288"/>
      <c r="J61" s="288"/>
      <c r="K61" s="288"/>
      <c r="L61" s="288"/>
      <c r="M61" s="288"/>
      <c r="N61" s="288"/>
      <c r="O61" s="288"/>
      <c r="P61" s="288"/>
      <c r="Q61" s="288"/>
      <c r="R61" s="288"/>
      <c r="S61" s="288"/>
      <c r="T61" s="333"/>
      <c r="U61" s="334"/>
      <c r="V61" s="333">
        <v>41428</v>
      </c>
      <c r="W61" s="291"/>
      <c r="X61" s="5"/>
    </row>
    <row r="62" spans="1:25" ht="15.6" x14ac:dyDescent="0.3">
      <c r="A62" s="183"/>
      <c r="B62" s="284"/>
      <c r="C62" s="284"/>
      <c r="D62" s="284"/>
      <c r="E62" s="284"/>
      <c r="F62" s="284"/>
      <c r="G62" s="284"/>
      <c r="H62" s="284"/>
      <c r="I62" s="284"/>
      <c r="J62" s="284"/>
      <c r="K62" s="284"/>
      <c r="L62" s="284"/>
      <c r="M62" s="284"/>
      <c r="N62" s="284"/>
      <c r="O62" s="284"/>
      <c r="P62" s="284"/>
      <c r="Q62" s="284"/>
      <c r="R62" s="284"/>
      <c r="S62" s="284"/>
      <c r="T62" s="285"/>
      <c r="U62" s="286"/>
      <c r="V62" s="285"/>
      <c r="W62" s="284"/>
      <c r="X62" s="5"/>
    </row>
    <row r="63" spans="1:25" ht="15.6" x14ac:dyDescent="0.3">
      <c r="A63" s="183"/>
      <c r="B63" s="224"/>
      <c r="C63" s="224"/>
      <c r="D63" s="224"/>
      <c r="E63" s="224"/>
      <c r="F63" s="224"/>
      <c r="G63" s="224"/>
      <c r="H63" s="224"/>
      <c r="I63" s="224"/>
      <c r="J63" s="224"/>
      <c r="K63" s="224"/>
      <c r="L63" s="224"/>
      <c r="M63" s="224"/>
      <c r="N63" s="224"/>
      <c r="O63" s="224"/>
      <c r="P63" s="224"/>
      <c r="Q63" s="224"/>
      <c r="R63" s="224"/>
      <c r="S63" s="224"/>
      <c r="T63" s="235"/>
      <c r="U63" s="236"/>
      <c r="V63" s="235"/>
      <c r="W63" s="224"/>
      <c r="X63" s="5"/>
    </row>
    <row r="64" spans="1:25" ht="18" thickBot="1" x14ac:dyDescent="0.35">
      <c r="A64" s="199"/>
      <c r="B64" s="237" t="s">
        <v>336</v>
      </c>
      <c r="C64" s="238"/>
      <c r="D64" s="238"/>
      <c r="E64" s="238"/>
      <c r="F64" s="238"/>
      <c r="G64" s="238"/>
      <c r="H64" s="238"/>
      <c r="I64" s="238"/>
      <c r="J64" s="238"/>
      <c r="K64" s="238"/>
      <c r="L64" s="238"/>
      <c r="M64" s="238"/>
      <c r="N64" s="238"/>
      <c r="O64" s="238"/>
      <c r="P64" s="238"/>
      <c r="Q64" s="238"/>
      <c r="R64" s="238"/>
      <c r="S64" s="238"/>
      <c r="T64" s="238"/>
      <c r="U64" s="238"/>
      <c r="V64" s="239"/>
      <c r="W64" s="240"/>
      <c r="X64" s="5"/>
    </row>
    <row r="65" spans="1:24" ht="15.6" x14ac:dyDescent="0.3">
      <c r="A65" s="262"/>
      <c r="B65" s="399" t="s">
        <v>17</v>
      </c>
      <c r="C65" s="263"/>
      <c r="D65" s="263"/>
      <c r="E65" s="263"/>
      <c r="F65" s="263"/>
      <c r="G65" s="263"/>
      <c r="H65" s="263"/>
      <c r="I65" s="263"/>
      <c r="J65" s="263"/>
      <c r="K65" s="263"/>
      <c r="L65" s="263"/>
      <c r="M65" s="263"/>
      <c r="N65" s="263"/>
      <c r="O65" s="263"/>
      <c r="P65" s="263"/>
      <c r="Q65" s="263"/>
      <c r="R65" s="263"/>
      <c r="S65" s="263"/>
      <c r="T65" s="263"/>
      <c r="U65" s="263"/>
      <c r="V65" s="268"/>
      <c r="W65" s="263"/>
      <c r="X65" s="5"/>
    </row>
    <row r="66" spans="1:24" ht="15.6" x14ac:dyDescent="0.3">
      <c r="A66" s="183"/>
      <c r="B66" s="191"/>
      <c r="C66" s="185"/>
      <c r="D66" s="185"/>
      <c r="E66" s="185"/>
      <c r="F66" s="185"/>
      <c r="G66" s="185"/>
      <c r="H66" s="185"/>
      <c r="I66" s="185"/>
      <c r="J66" s="185"/>
      <c r="K66" s="185"/>
      <c r="L66" s="185"/>
      <c r="M66" s="185"/>
      <c r="N66" s="185"/>
      <c r="O66" s="185"/>
      <c r="P66" s="185"/>
      <c r="Q66" s="185"/>
      <c r="R66" s="185"/>
      <c r="S66" s="185"/>
      <c r="T66" s="185"/>
      <c r="U66" s="185"/>
      <c r="V66" s="201"/>
      <c r="W66" s="185"/>
      <c r="X66" s="5"/>
    </row>
    <row r="67" spans="1:24" ht="46.8" x14ac:dyDescent="0.3">
      <c r="A67" s="183"/>
      <c r="B67" s="202" t="s">
        <v>18</v>
      </c>
      <c r="C67" s="203"/>
      <c r="D67" s="203"/>
      <c r="E67" s="203"/>
      <c r="F67" s="203"/>
      <c r="G67" s="203"/>
      <c r="H67" s="203"/>
      <c r="I67" s="203"/>
      <c r="J67" s="203"/>
      <c r="K67" s="203"/>
      <c r="L67" s="203" t="s">
        <v>94</v>
      </c>
      <c r="M67" s="203"/>
      <c r="N67" s="203" t="s">
        <v>96</v>
      </c>
      <c r="O67" s="203"/>
      <c r="P67" s="203" t="s">
        <v>98</v>
      </c>
      <c r="Q67" s="203"/>
      <c r="R67" s="203" t="s">
        <v>100</v>
      </c>
      <c r="S67" s="203"/>
      <c r="T67" s="203" t="s">
        <v>106</v>
      </c>
      <c r="U67" s="203"/>
      <c r="V67" s="204" t="s">
        <v>112</v>
      </c>
      <c r="W67" s="205"/>
      <c r="X67" s="5"/>
    </row>
    <row r="68" spans="1:24" ht="15.6" x14ac:dyDescent="0.3">
      <c r="A68" s="287"/>
      <c r="B68" s="288" t="s">
        <v>19</v>
      </c>
      <c r="C68" s="337"/>
      <c r="D68" s="337"/>
      <c r="E68" s="337"/>
      <c r="F68" s="337"/>
      <c r="G68" s="337"/>
      <c r="H68" s="337"/>
      <c r="I68" s="337"/>
      <c r="J68" s="337"/>
      <c r="K68" s="337"/>
      <c r="L68" s="337">
        <v>1158015</v>
      </c>
      <c r="M68" s="337"/>
      <c r="N68" s="338">
        <v>1102799</v>
      </c>
      <c r="O68" s="337"/>
      <c r="P68" s="337">
        <f>8007+51</f>
        <v>8058</v>
      </c>
      <c r="Q68" s="337"/>
      <c r="R68" s="337">
        <v>51</v>
      </c>
      <c r="S68" s="337"/>
      <c r="T68" s="337">
        <v>0</v>
      </c>
      <c r="U68" s="337"/>
      <c r="V68" s="338">
        <f>+N68-P68+R68-T68</f>
        <v>1094792</v>
      </c>
      <c r="W68" s="291"/>
      <c r="X68" s="5"/>
    </row>
    <row r="69" spans="1:24" ht="15.6" x14ac:dyDescent="0.3">
      <c r="A69" s="287"/>
      <c r="B69" s="288" t="s">
        <v>20</v>
      </c>
      <c r="C69" s="337"/>
      <c r="D69" s="337"/>
      <c r="E69" s="337"/>
      <c r="F69" s="337"/>
      <c r="G69" s="337"/>
      <c r="H69" s="337"/>
      <c r="I69" s="337"/>
      <c r="J69" s="337"/>
      <c r="K69" s="337"/>
      <c r="L69" s="337">
        <v>15</v>
      </c>
      <c r="M69" s="337"/>
      <c r="N69" s="338">
        <v>0</v>
      </c>
      <c r="O69" s="337"/>
      <c r="P69" s="337">
        <v>0</v>
      </c>
      <c r="Q69" s="337"/>
      <c r="R69" s="337">
        <v>0</v>
      </c>
      <c r="S69" s="337"/>
      <c r="T69" s="337">
        <v>0</v>
      </c>
      <c r="U69" s="337"/>
      <c r="V69" s="338">
        <v>0</v>
      </c>
      <c r="W69" s="291"/>
      <c r="X69" s="5"/>
    </row>
    <row r="70" spans="1:24" ht="15.6" x14ac:dyDescent="0.3">
      <c r="A70" s="287"/>
      <c r="B70" s="288"/>
      <c r="C70" s="337"/>
      <c r="D70" s="337"/>
      <c r="E70" s="337"/>
      <c r="F70" s="337"/>
      <c r="G70" s="337"/>
      <c r="H70" s="337"/>
      <c r="I70" s="337"/>
      <c r="J70" s="337"/>
      <c r="K70" s="337"/>
      <c r="L70" s="337"/>
      <c r="M70" s="337"/>
      <c r="N70" s="338"/>
      <c r="O70" s="337"/>
      <c r="P70" s="337"/>
      <c r="Q70" s="337"/>
      <c r="R70" s="337"/>
      <c r="S70" s="337"/>
      <c r="T70" s="337"/>
      <c r="U70" s="337"/>
      <c r="V70" s="338"/>
      <c r="W70" s="291"/>
      <c r="X70" s="5"/>
    </row>
    <row r="71" spans="1:24" ht="15.6" x14ac:dyDescent="0.3">
      <c r="A71" s="287"/>
      <c r="B71" s="288" t="s">
        <v>21</v>
      </c>
      <c r="C71" s="337"/>
      <c r="D71" s="337"/>
      <c r="E71" s="337"/>
      <c r="F71" s="337"/>
      <c r="G71" s="337"/>
      <c r="H71" s="337"/>
      <c r="I71" s="337"/>
      <c r="J71" s="337"/>
      <c r="K71" s="337"/>
      <c r="L71" s="337">
        <f>SUM(L68:L70)</f>
        <v>1158030</v>
      </c>
      <c r="M71" s="337"/>
      <c r="N71" s="337">
        <f>N68+N69</f>
        <v>1102799</v>
      </c>
      <c r="O71" s="337"/>
      <c r="P71" s="337">
        <f>SUM(P68:P70)</f>
        <v>8058</v>
      </c>
      <c r="Q71" s="337"/>
      <c r="R71" s="337">
        <f>SUM(R68:R70)</f>
        <v>51</v>
      </c>
      <c r="S71" s="337"/>
      <c r="T71" s="337">
        <f>SUM(T68:T70)</f>
        <v>0</v>
      </c>
      <c r="U71" s="337"/>
      <c r="V71" s="337">
        <f>SUM(V68:V70)</f>
        <v>1094792</v>
      </c>
      <c r="W71" s="291"/>
      <c r="X71" s="5"/>
    </row>
    <row r="72" spans="1:24" ht="15.6" x14ac:dyDescent="0.3">
      <c r="A72" s="183"/>
      <c r="B72" s="198"/>
      <c r="C72" s="335"/>
      <c r="D72" s="335"/>
      <c r="E72" s="335"/>
      <c r="F72" s="335"/>
      <c r="G72" s="335"/>
      <c r="H72" s="335"/>
      <c r="I72" s="335"/>
      <c r="J72" s="335"/>
      <c r="K72" s="335"/>
      <c r="L72" s="335"/>
      <c r="M72" s="335"/>
      <c r="N72" s="335"/>
      <c r="O72" s="335"/>
      <c r="P72" s="335"/>
      <c r="Q72" s="335"/>
      <c r="R72" s="335"/>
      <c r="S72" s="335"/>
      <c r="T72" s="335"/>
      <c r="U72" s="335"/>
      <c r="V72" s="336"/>
      <c r="W72" s="198"/>
      <c r="X72" s="5"/>
    </row>
    <row r="73" spans="1:24" ht="15.6" x14ac:dyDescent="0.3">
      <c r="A73" s="183"/>
      <c r="B73" s="187" t="s">
        <v>22</v>
      </c>
      <c r="C73" s="206"/>
      <c r="D73" s="206"/>
      <c r="E73" s="206"/>
      <c r="F73" s="206"/>
      <c r="G73" s="206"/>
      <c r="H73" s="206"/>
      <c r="I73" s="206"/>
      <c r="J73" s="206"/>
      <c r="K73" s="206"/>
      <c r="L73" s="206"/>
      <c r="M73" s="206"/>
      <c r="N73" s="206"/>
      <c r="O73" s="206"/>
      <c r="P73" s="206"/>
      <c r="Q73" s="206"/>
      <c r="R73" s="206"/>
      <c r="S73" s="206"/>
      <c r="T73" s="206"/>
      <c r="U73" s="206"/>
      <c r="V73" s="207"/>
      <c r="W73" s="185"/>
      <c r="X73" s="5"/>
    </row>
    <row r="74" spans="1:24" ht="15.6" x14ac:dyDescent="0.3">
      <c r="A74" s="183"/>
      <c r="B74" s="185"/>
      <c r="C74" s="206"/>
      <c r="D74" s="206"/>
      <c r="E74" s="206"/>
      <c r="F74" s="206"/>
      <c r="G74" s="206"/>
      <c r="H74" s="206"/>
      <c r="I74" s="206"/>
      <c r="J74" s="206"/>
      <c r="K74" s="206"/>
      <c r="L74" s="206"/>
      <c r="M74" s="206"/>
      <c r="N74" s="206"/>
      <c r="O74" s="206"/>
      <c r="P74" s="206"/>
      <c r="Q74" s="206"/>
      <c r="R74" s="206"/>
      <c r="S74" s="206"/>
      <c r="T74" s="206"/>
      <c r="U74" s="206"/>
      <c r="V74" s="207"/>
      <c r="W74" s="185"/>
      <c r="X74" s="5"/>
    </row>
    <row r="75" spans="1:24" ht="15.6" x14ac:dyDescent="0.3">
      <c r="A75" s="340"/>
      <c r="B75" s="288" t="s">
        <v>19</v>
      </c>
      <c r="C75" s="337"/>
      <c r="D75" s="337"/>
      <c r="E75" s="337"/>
      <c r="F75" s="337"/>
      <c r="G75" s="337"/>
      <c r="H75" s="337"/>
      <c r="I75" s="337"/>
      <c r="J75" s="337"/>
      <c r="K75" s="337"/>
      <c r="L75" s="337"/>
      <c r="M75" s="337"/>
      <c r="N75" s="337"/>
      <c r="O75" s="337"/>
      <c r="P75" s="337"/>
      <c r="Q75" s="337"/>
      <c r="R75" s="337"/>
      <c r="S75" s="337"/>
      <c r="T75" s="337"/>
      <c r="U75" s="337"/>
      <c r="V75" s="337"/>
      <c r="W75" s="291"/>
      <c r="X75" s="5"/>
    </row>
    <row r="76" spans="1:24" ht="15.6" x14ac:dyDescent="0.3">
      <c r="A76" s="340"/>
      <c r="B76" s="288" t="s">
        <v>20</v>
      </c>
      <c r="C76" s="337"/>
      <c r="D76" s="337"/>
      <c r="E76" s="337"/>
      <c r="F76" s="337"/>
      <c r="G76" s="337"/>
      <c r="H76" s="337"/>
      <c r="I76" s="337"/>
      <c r="J76" s="337"/>
      <c r="K76" s="337"/>
      <c r="L76" s="337"/>
      <c r="M76" s="337"/>
      <c r="N76" s="337"/>
      <c r="O76" s="337"/>
      <c r="P76" s="337"/>
      <c r="Q76" s="337"/>
      <c r="R76" s="337"/>
      <c r="S76" s="337"/>
      <c r="T76" s="337"/>
      <c r="U76" s="337"/>
      <c r="V76" s="337"/>
      <c r="W76" s="291"/>
      <c r="X76" s="5"/>
    </row>
    <row r="77" spans="1:24" ht="15.6" x14ac:dyDescent="0.3">
      <c r="A77" s="340"/>
      <c r="B77" s="288"/>
      <c r="C77" s="337"/>
      <c r="D77" s="337"/>
      <c r="E77" s="337"/>
      <c r="F77" s="337"/>
      <c r="G77" s="337"/>
      <c r="H77" s="337"/>
      <c r="I77" s="337"/>
      <c r="J77" s="337"/>
      <c r="K77" s="337"/>
      <c r="L77" s="337"/>
      <c r="M77" s="337"/>
      <c r="N77" s="337"/>
      <c r="O77" s="337"/>
      <c r="P77" s="337"/>
      <c r="Q77" s="337"/>
      <c r="R77" s="337"/>
      <c r="S77" s="337"/>
      <c r="T77" s="337"/>
      <c r="U77" s="337"/>
      <c r="V77" s="337"/>
      <c r="W77" s="291"/>
      <c r="X77" s="5"/>
    </row>
    <row r="78" spans="1:24" ht="15.6" x14ac:dyDescent="0.3">
      <c r="A78" s="340"/>
      <c r="B78" s="288" t="s">
        <v>21</v>
      </c>
      <c r="C78" s="337"/>
      <c r="D78" s="337"/>
      <c r="E78" s="337"/>
      <c r="F78" s="337"/>
      <c r="G78" s="337"/>
      <c r="H78" s="337"/>
      <c r="I78" s="337"/>
      <c r="J78" s="337"/>
      <c r="K78" s="337"/>
      <c r="L78" s="337"/>
      <c r="M78" s="337"/>
      <c r="N78" s="337"/>
      <c r="O78" s="337"/>
      <c r="P78" s="337"/>
      <c r="Q78" s="337"/>
      <c r="R78" s="337"/>
      <c r="S78" s="337"/>
      <c r="T78" s="337"/>
      <c r="U78" s="337"/>
      <c r="V78" s="337"/>
      <c r="W78" s="291"/>
      <c r="X78" s="5"/>
    </row>
    <row r="79" spans="1:24" ht="15.6" x14ac:dyDescent="0.3">
      <c r="A79" s="340"/>
      <c r="B79" s="288"/>
      <c r="C79" s="337"/>
      <c r="D79" s="337"/>
      <c r="E79" s="337"/>
      <c r="F79" s="337"/>
      <c r="G79" s="337"/>
      <c r="H79" s="337"/>
      <c r="I79" s="337"/>
      <c r="J79" s="337"/>
      <c r="K79" s="337"/>
      <c r="L79" s="337"/>
      <c r="M79" s="337"/>
      <c r="N79" s="337"/>
      <c r="O79" s="337"/>
      <c r="P79" s="337"/>
      <c r="Q79" s="337"/>
      <c r="R79" s="337"/>
      <c r="S79" s="337"/>
      <c r="T79" s="337"/>
      <c r="U79" s="337"/>
      <c r="V79" s="337"/>
      <c r="W79" s="291"/>
      <c r="X79" s="5"/>
    </row>
    <row r="80" spans="1:24" ht="15.6" x14ac:dyDescent="0.3">
      <c r="A80" s="340"/>
      <c r="B80" s="288" t="s">
        <v>23</v>
      </c>
      <c r="C80" s="337"/>
      <c r="D80" s="337"/>
      <c r="E80" s="337"/>
      <c r="F80" s="337"/>
      <c r="G80" s="337"/>
      <c r="H80" s="337"/>
      <c r="I80" s="337"/>
      <c r="J80" s="337"/>
      <c r="K80" s="337"/>
      <c r="L80" s="337">
        <v>0</v>
      </c>
      <c r="M80" s="337"/>
      <c r="N80" s="337">
        <v>0</v>
      </c>
      <c r="O80" s="337"/>
      <c r="P80" s="337"/>
      <c r="Q80" s="337"/>
      <c r="R80" s="337"/>
      <c r="S80" s="337"/>
      <c r="T80" s="337"/>
      <c r="U80" s="337"/>
      <c r="V80" s="338">
        <v>0</v>
      </c>
      <c r="W80" s="291"/>
      <c r="X80" s="5"/>
    </row>
    <row r="81" spans="1:24" ht="15.6" x14ac:dyDescent="0.3">
      <c r="A81" s="340"/>
      <c r="B81" s="288" t="s">
        <v>117</v>
      </c>
      <c r="C81" s="337"/>
      <c r="D81" s="337"/>
      <c r="E81" s="337"/>
      <c r="F81" s="337"/>
      <c r="G81" s="337"/>
      <c r="H81" s="337"/>
      <c r="I81" s="337"/>
      <c r="J81" s="337"/>
      <c r="K81" s="337"/>
      <c r="L81" s="337">
        <v>342245</v>
      </c>
      <c r="M81" s="337"/>
      <c r="N81" s="337">
        <v>0</v>
      </c>
      <c r="O81" s="337"/>
      <c r="P81" s="337">
        <v>0</v>
      </c>
      <c r="Q81" s="337"/>
      <c r="R81" s="337"/>
      <c r="S81" s="337"/>
      <c r="T81" s="337"/>
      <c r="U81" s="337"/>
      <c r="V81" s="337">
        <f>SUM(N81:R81)</f>
        <v>0</v>
      </c>
      <c r="W81" s="291"/>
      <c r="X81" s="5"/>
    </row>
    <row r="82" spans="1:24" ht="15.6" x14ac:dyDescent="0.3">
      <c r="A82" s="340"/>
      <c r="B82" s="288"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91"/>
      <c r="X82" s="5"/>
    </row>
    <row r="83" spans="1:24" ht="15.6" x14ac:dyDescent="0.3">
      <c r="A83" s="340"/>
      <c r="B83" s="288" t="s">
        <v>25</v>
      </c>
      <c r="C83" s="337"/>
      <c r="D83" s="337"/>
      <c r="E83" s="337"/>
      <c r="F83" s="337"/>
      <c r="G83" s="337"/>
      <c r="H83" s="337"/>
      <c r="I83" s="337"/>
      <c r="J83" s="337"/>
      <c r="K83" s="337"/>
      <c r="L83" s="337">
        <v>0</v>
      </c>
      <c r="M83" s="337"/>
      <c r="N83" s="337">
        <v>0</v>
      </c>
      <c r="O83" s="337"/>
      <c r="P83" s="337"/>
      <c r="Q83" s="337"/>
      <c r="R83" s="337"/>
      <c r="S83" s="337"/>
      <c r="T83" s="337"/>
      <c r="U83" s="337"/>
      <c r="V83" s="337">
        <v>0</v>
      </c>
      <c r="W83" s="291"/>
      <c r="X83" s="5"/>
    </row>
    <row r="84" spans="1:24" ht="15.6" x14ac:dyDescent="0.3">
      <c r="A84" s="340"/>
      <c r="B84" s="288" t="s">
        <v>26</v>
      </c>
      <c r="C84" s="337"/>
      <c r="D84" s="337"/>
      <c r="E84" s="337"/>
      <c r="F84" s="337"/>
      <c r="G84" s="337"/>
      <c r="H84" s="337"/>
      <c r="I84" s="337"/>
      <c r="J84" s="337"/>
      <c r="K84" s="337"/>
      <c r="L84" s="337">
        <f>SUM(L71:L83)</f>
        <v>1500275</v>
      </c>
      <c r="M84" s="337"/>
      <c r="N84" s="337">
        <f>SUM(N71:N83)</f>
        <v>1102799</v>
      </c>
      <c r="O84" s="337"/>
      <c r="P84" s="337"/>
      <c r="Q84" s="337"/>
      <c r="R84" s="337"/>
      <c r="S84" s="337"/>
      <c r="T84" s="337"/>
      <c r="U84" s="337"/>
      <c r="V84" s="337">
        <f>SUM(V71:V83)</f>
        <v>1094792</v>
      </c>
      <c r="W84" s="291"/>
      <c r="X84" s="5"/>
    </row>
    <row r="85" spans="1:24" ht="15.6" x14ac:dyDescent="0.3">
      <c r="A85" s="243"/>
      <c r="B85" s="284"/>
      <c r="C85" s="339"/>
      <c r="D85" s="339"/>
      <c r="E85" s="339"/>
      <c r="F85" s="339"/>
      <c r="G85" s="339"/>
      <c r="H85" s="339"/>
      <c r="I85" s="339"/>
      <c r="J85" s="339"/>
      <c r="K85" s="339"/>
      <c r="L85" s="339"/>
      <c r="M85" s="339"/>
      <c r="N85" s="339"/>
      <c r="O85" s="339"/>
      <c r="P85" s="339"/>
      <c r="Q85" s="339"/>
      <c r="R85" s="339"/>
      <c r="S85" s="339"/>
      <c r="T85" s="339"/>
      <c r="U85" s="339"/>
      <c r="V85" s="339"/>
      <c r="W85" s="284"/>
      <c r="X85" s="5"/>
    </row>
    <row r="86" spans="1:24" ht="15.6" x14ac:dyDescent="0.3">
      <c r="A86" s="243"/>
      <c r="B86" s="224"/>
      <c r="C86" s="224"/>
      <c r="D86" s="224"/>
      <c r="E86" s="224"/>
      <c r="F86" s="224"/>
      <c r="G86" s="224"/>
      <c r="H86" s="224"/>
      <c r="I86" s="224"/>
      <c r="J86" s="224"/>
      <c r="K86" s="224"/>
      <c r="L86" s="224"/>
      <c r="M86" s="224"/>
      <c r="N86" s="224"/>
      <c r="O86" s="224"/>
      <c r="P86" s="224"/>
      <c r="Q86" s="224"/>
      <c r="R86" s="224"/>
      <c r="S86" s="224"/>
      <c r="T86" s="224"/>
      <c r="U86" s="224"/>
      <c r="V86" s="224"/>
      <c r="W86" s="224"/>
      <c r="X86" s="5"/>
    </row>
    <row r="87" spans="1:24" ht="15.6" x14ac:dyDescent="0.3">
      <c r="A87" s="262"/>
      <c r="B87" s="399" t="s">
        <v>27</v>
      </c>
      <c r="C87" s="399"/>
      <c r="D87" s="399"/>
      <c r="E87" s="399"/>
      <c r="F87" s="399"/>
      <c r="G87" s="399"/>
      <c r="H87" s="400"/>
      <c r="I87" s="400"/>
      <c r="J87" s="400"/>
      <c r="K87" s="400"/>
      <c r="L87" s="401" t="s">
        <v>95</v>
      </c>
      <c r="M87" s="400"/>
      <c r="N87" s="402">
        <f>+T205</f>
        <v>41425</v>
      </c>
      <c r="O87" s="400"/>
      <c r="P87" s="400"/>
      <c r="Q87" s="400"/>
      <c r="R87" s="400"/>
      <c r="S87" s="400"/>
      <c r="T87" s="400" t="s">
        <v>107</v>
      </c>
      <c r="U87" s="400"/>
      <c r="V87" s="400" t="s">
        <v>113</v>
      </c>
      <c r="W87" s="263"/>
      <c r="X87" s="5"/>
    </row>
    <row r="88" spans="1:24" ht="15.6" x14ac:dyDescent="0.3">
      <c r="A88" s="242"/>
      <c r="B88" s="231" t="s">
        <v>28</v>
      </c>
      <c r="C88" s="231"/>
      <c r="D88" s="231"/>
      <c r="E88" s="231"/>
      <c r="F88" s="231"/>
      <c r="G88" s="231"/>
      <c r="H88" s="231"/>
      <c r="I88" s="231"/>
      <c r="J88" s="231"/>
      <c r="K88" s="231"/>
      <c r="L88" s="231"/>
      <c r="M88" s="231"/>
      <c r="N88" s="231"/>
      <c r="O88" s="231"/>
      <c r="P88" s="231"/>
      <c r="Q88" s="231"/>
      <c r="R88" s="231"/>
      <c r="S88" s="231"/>
      <c r="T88" s="234">
        <v>0</v>
      </c>
      <c r="U88" s="231"/>
      <c r="V88" s="241">
        <v>0</v>
      </c>
      <c r="W88" s="231"/>
      <c r="X88" s="5"/>
    </row>
    <row r="89" spans="1:24" ht="15.6" x14ac:dyDescent="0.3">
      <c r="A89" s="340"/>
      <c r="B89" s="288" t="s">
        <v>29</v>
      </c>
      <c r="C89" s="288"/>
      <c r="D89" s="288"/>
      <c r="E89" s="288"/>
      <c r="F89" s="288"/>
      <c r="G89" s="288"/>
      <c r="H89" s="325"/>
      <c r="I89" s="325"/>
      <c r="J89" s="325"/>
      <c r="K89" s="341"/>
      <c r="L89" s="325"/>
      <c r="M89" s="288"/>
      <c r="N89" s="342"/>
      <c r="O89" s="288"/>
      <c r="P89" s="288"/>
      <c r="Q89" s="288"/>
      <c r="R89" s="288"/>
      <c r="S89" s="288"/>
      <c r="T89" s="337">
        <f>8058-253</f>
        <v>7805</v>
      </c>
      <c r="U89" s="288"/>
      <c r="V89" s="338"/>
      <c r="W89" s="291"/>
      <c r="X89" s="5"/>
    </row>
    <row r="90" spans="1:24" ht="15.6" x14ac:dyDescent="0.3">
      <c r="A90" s="340"/>
      <c r="B90" s="288" t="s">
        <v>216</v>
      </c>
      <c r="C90" s="288"/>
      <c r="D90" s="288"/>
      <c r="E90" s="288"/>
      <c r="F90" s="288"/>
      <c r="G90" s="288"/>
      <c r="H90" s="325"/>
      <c r="I90" s="325"/>
      <c r="J90" s="325"/>
      <c r="K90" s="341"/>
      <c r="L90" s="325"/>
      <c r="M90" s="288"/>
      <c r="N90" s="342"/>
      <c r="O90" s="288"/>
      <c r="P90" s="288"/>
      <c r="Q90" s="288"/>
      <c r="R90" s="288"/>
      <c r="S90" s="288"/>
      <c r="T90" s="337"/>
      <c r="U90" s="288"/>
      <c r="V90" s="338">
        <f>3345+4321-349-746</f>
        <v>6571</v>
      </c>
      <c r="W90" s="291"/>
      <c r="X90" s="5"/>
    </row>
    <row r="91" spans="1:24" ht="15.6" x14ac:dyDescent="0.3">
      <c r="A91" s="340"/>
      <c r="B91" s="288" t="s">
        <v>211</v>
      </c>
      <c r="C91" s="288"/>
      <c r="D91" s="288"/>
      <c r="E91" s="288"/>
      <c r="F91" s="288"/>
      <c r="G91" s="288"/>
      <c r="H91" s="325"/>
      <c r="I91" s="325"/>
      <c r="J91" s="325"/>
      <c r="K91" s="341"/>
      <c r="L91" s="325"/>
      <c r="M91" s="288"/>
      <c r="N91" s="342"/>
      <c r="O91" s="288"/>
      <c r="P91" s="288"/>
      <c r="Q91" s="288"/>
      <c r="R91" s="288"/>
      <c r="S91" s="288"/>
      <c r="T91" s="337"/>
      <c r="U91" s="288"/>
      <c r="V91" s="338">
        <f>40+70</f>
        <v>110</v>
      </c>
      <c r="W91" s="291"/>
      <c r="X91" s="5"/>
    </row>
    <row r="92" spans="1:24" ht="15.6" x14ac:dyDescent="0.3">
      <c r="A92" s="340"/>
      <c r="B92" s="288" t="s">
        <v>212</v>
      </c>
      <c r="C92" s="288"/>
      <c r="D92" s="288"/>
      <c r="E92" s="288"/>
      <c r="F92" s="288"/>
      <c r="G92" s="288"/>
      <c r="H92" s="325"/>
      <c r="I92" s="325"/>
      <c r="J92" s="325"/>
      <c r="K92" s="341"/>
      <c r="L92" s="325"/>
      <c r="M92" s="288"/>
      <c r="N92" s="342"/>
      <c r="O92" s="288"/>
      <c r="P92" s="288"/>
      <c r="Q92" s="288"/>
      <c r="R92" s="288"/>
      <c r="S92" s="288"/>
      <c r="T92" s="337"/>
      <c r="U92" s="288"/>
      <c r="V92" s="338">
        <v>39</v>
      </c>
      <c r="W92" s="291"/>
      <c r="X92" s="5"/>
    </row>
    <row r="93" spans="1:24" ht="15.6" x14ac:dyDescent="0.3">
      <c r="A93" s="340"/>
      <c r="B93" s="288" t="s">
        <v>272</v>
      </c>
      <c r="C93" s="288"/>
      <c r="D93" s="288"/>
      <c r="E93" s="288"/>
      <c r="F93" s="288"/>
      <c r="G93" s="288"/>
      <c r="H93" s="325"/>
      <c r="I93" s="325"/>
      <c r="J93" s="325"/>
      <c r="K93" s="341"/>
      <c r="L93" s="325"/>
      <c r="M93" s="288"/>
      <c r="N93" s="342"/>
      <c r="O93" s="288"/>
      <c r="P93" s="288"/>
      <c r="Q93" s="288"/>
      <c r="R93" s="288"/>
      <c r="S93" s="288"/>
      <c r="T93" s="337"/>
      <c r="U93" s="288"/>
      <c r="V93" s="338">
        <v>0</v>
      </c>
      <c r="W93" s="291"/>
      <c r="X93" s="5"/>
    </row>
    <row r="94" spans="1:24" ht="15.6" x14ac:dyDescent="0.3">
      <c r="A94" s="340"/>
      <c r="B94" s="288" t="s">
        <v>274</v>
      </c>
      <c r="C94" s="288"/>
      <c r="D94" s="288"/>
      <c r="E94" s="288"/>
      <c r="F94" s="288"/>
      <c r="G94" s="288"/>
      <c r="H94" s="325"/>
      <c r="I94" s="325"/>
      <c r="J94" s="325"/>
      <c r="K94" s="341"/>
      <c r="L94" s="325"/>
      <c r="M94" s="288"/>
      <c r="N94" s="342"/>
      <c r="O94" s="288"/>
      <c r="P94" s="288"/>
      <c r="Q94" s="288"/>
      <c r="R94" s="288"/>
      <c r="S94" s="288"/>
      <c r="T94" s="337"/>
      <c r="U94" s="288"/>
      <c r="V94" s="338">
        <v>0</v>
      </c>
      <c r="W94" s="291"/>
      <c r="X94" s="5"/>
    </row>
    <row r="95" spans="1:24" ht="15.6" x14ac:dyDescent="0.3">
      <c r="A95" s="340"/>
      <c r="B95" s="288" t="s">
        <v>135</v>
      </c>
      <c r="C95" s="288"/>
      <c r="D95" s="288"/>
      <c r="E95" s="288"/>
      <c r="F95" s="288"/>
      <c r="G95" s="288"/>
      <c r="H95" s="288"/>
      <c r="I95" s="288"/>
      <c r="J95" s="288"/>
      <c r="K95" s="288"/>
      <c r="L95" s="288"/>
      <c r="M95" s="288"/>
      <c r="N95" s="288"/>
      <c r="O95" s="288"/>
      <c r="P95" s="288"/>
      <c r="Q95" s="288"/>
      <c r="R95" s="288"/>
      <c r="S95" s="288"/>
      <c r="T95" s="337"/>
      <c r="U95" s="288"/>
      <c r="V95" s="338">
        <v>0</v>
      </c>
      <c r="W95" s="291"/>
      <c r="X95" s="5"/>
    </row>
    <row r="96" spans="1:24" ht="15.6" x14ac:dyDescent="0.3">
      <c r="A96" s="340"/>
      <c r="B96" s="288" t="s">
        <v>268</v>
      </c>
      <c r="C96" s="288"/>
      <c r="D96" s="288"/>
      <c r="E96" s="288"/>
      <c r="F96" s="288"/>
      <c r="G96" s="288"/>
      <c r="H96" s="288"/>
      <c r="I96" s="288"/>
      <c r="J96" s="288"/>
      <c r="K96" s="288"/>
      <c r="L96" s="288"/>
      <c r="M96" s="288"/>
      <c r="N96" s="288"/>
      <c r="O96" s="288"/>
      <c r="P96" s="288"/>
      <c r="Q96" s="288"/>
      <c r="R96" s="288"/>
      <c r="S96" s="288"/>
      <c r="T96" s="337"/>
      <c r="U96" s="288"/>
      <c r="V96" s="338">
        <v>273</v>
      </c>
      <c r="W96" s="291"/>
      <c r="X96" s="5"/>
    </row>
    <row r="97" spans="1:25" ht="15.6" x14ac:dyDescent="0.3">
      <c r="A97" s="340"/>
      <c r="B97" s="288" t="s">
        <v>30</v>
      </c>
      <c r="C97" s="288"/>
      <c r="D97" s="288"/>
      <c r="E97" s="288"/>
      <c r="F97" s="288"/>
      <c r="G97" s="288"/>
      <c r="H97" s="288"/>
      <c r="I97" s="288"/>
      <c r="J97" s="288"/>
      <c r="K97" s="288"/>
      <c r="L97" s="288"/>
      <c r="M97" s="288"/>
      <c r="N97" s="288"/>
      <c r="O97" s="288"/>
      <c r="P97" s="288"/>
      <c r="Q97" s="288"/>
      <c r="R97" s="288"/>
      <c r="S97" s="288"/>
      <c r="T97" s="337">
        <f>SUM(T88:T96)</f>
        <v>7805</v>
      </c>
      <c r="U97" s="288"/>
      <c r="V97" s="337">
        <f>SUM(V88:V96)</f>
        <v>6993</v>
      </c>
      <c r="W97" s="291"/>
      <c r="X97" s="5"/>
    </row>
    <row r="98" spans="1:25" ht="15.6" x14ac:dyDescent="0.3">
      <c r="A98" s="340"/>
      <c r="B98" s="288" t="s">
        <v>161</v>
      </c>
      <c r="C98" s="288"/>
      <c r="D98" s="288"/>
      <c r="E98" s="288"/>
      <c r="F98" s="288"/>
      <c r="G98" s="288"/>
      <c r="H98" s="288"/>
      <c r="I98" s="288"/>
      <c r="J98" s="288"/>
      <c r="K98" s="288"/>
      <c r="L98" s="288"/>
      <c r="M98" s="288"/>
      <c r="N98" s="288"/>
      <c r="O98" s="288"/>
      <c r="P98" s="288"/>
      <c r="Q98" s="288"/>
      <c r="R98" s="288"/>
      <c r="S98" s="288"/>
      <c r="T98" s="337">
        <f>-V98</f>
        <v>0</v>
      </c>
      <c r="U98" s="288"/>
      <c r="V98" s="337">
        <v>0</v>
      </c>
      <c r="W98" s="291"/>
      <c r="X98" s="5"/>
    </row>
    <row r="99" spans="1:25" ht="15.6" x14ac:dyDescent="0.3">
      <c r="A99" s="340"/>
      <c r="B99" s="288" t="s">
        <v>31</v>
      </c>
      <c r="C99" s="288"/>
      <c r="D99" s="288"/>
      <c r="E99" s="288"/>
      <c r="F99" s="288"/>
      <c r="G99" s="288"/>
      <c r="H99" s="288"/>
      <c r="I99" s="288"/>
      <c r="J99" s="288"/>
      <c r="K99" s="288"/>
      <c r="L99" s="288"/>
      <c r="M99" s="288"/>
      <c r="N99" s="288"/>
      <c r="O99" s="288"/>
      <c r="P99" s="288"/>
      <c r="Q99" s="288"/>
      <c r="R99" s="288"/>
      <c r="S99" s="288"/>
      <c r="T99" s="337">
        <f>-V99</f>
        <v>0</v>
      </c>
      <c r="U99" s="288"/>
      <c r="V99" s="338">
        <v>0</v>
      </c>
      <c r="W99" s="291"/>
      <c r="X99" s="5"/>
    </row>
    <row r="100" spans="1:25" ht="15.6" x14ac:dyDescent="0.3">
      <c r="A100" s="340"/>
      <c r="B100" s="288" t="s">
        <v>283</v>
      </c>
      <c r="C100" s="288"/>
      <c r="D100" s="288"/>
      <c r="E100" s="288"/>
      <c r="F100" s="288"/>
      <c r="G100" s="288"/>
      <c r="H100" s="288"/>
      <c r="I100" s="288"/>
      <c r="J100" s="288"/>
      <c r="K100" s="288"/>
      <c r="L100" s="288"/>
      <c r="M100" s="288"/>
      <c r="N100" s="288"/>
      <c r="O100" s="288"/>
      <c r="P100" s="288"/>
      <c r="Q100" s="288"/>
      <c r="R100" s="288"/>
      <c r="S100" s="288"/>
      <c r="T100" s="337"/>
      <c r="U100" s="288"/>
      <c r="V100" s="338">
        <v>12</v>
      </c>
      <c r="W100" s="291"/>
      <c r="X100" s="5"/>
    </row>
    <row r="101" spans="1:25" ht="15.6" x14ac:dyDescent="0.3">
      <c r="A101" s="340"/>
      <c r="B101" s="288" t="s">
        <v>32</v>
      </c>
      <c r="C101" s="288"/>
      <c r="D101" s="288"/>
      <c r="E101" s="288"/>
      <c r="F101" s="288"/>
      <c r="G101" s="288"/>
      <c r="H101" s="288"/>
      <c r="I101" s="288"/>
      <c r="J101" s="288"/>
      <c r="K101" s="288"/>
      <c r="L101" s="288"/>
      <c r="M101" s="288"/>
      <c r="N101" s="288"/>
      <c r="O101" s="288"/>
      <c r="P101" s="288"/>
      <c r="Q101" s="288"/>
      <c r="R101" s="288"/>
      <c r="S101" s="288"/>
      <c r="T101" s="337">
        <f>T97+T99+T98</f>
        <v>7805</v>
      </c>
      <c r="U101" s="288"/>
      <c r="V101" s="337">
        <f>V97+V99+V98+V100</f>
        <v>7005</v>
      </c>
      <c r="W101" s="291"/>
      <c r="X101" s="5"/>
    </row>
    <row r="102" spans="1:25" ht="15.6" x14ac:dyDescent="0.3">
      <c r="A102" s="287"/>
      <c r="B102" s="343" t="s">
        <v>33</v>
      </c>
      <c r="C102" s="314"/>
      <c r="D102" s="314"/>
      <c r="E102" s="314"/>
      <c r="F102" s="314"/>
      <c r="G102" s="314"/>
      <c r="H102" s="314"/>
      <c r="I102" s="314"/>
      <c r="J102" s="314"/>
      <c r="K102" s="314"/>
      <c r="L102" s="314"/>
      <c r="M102" s="314"/>
      <c r="N102" s="314"/>
      <c r="O102" s="314"/>
      <c r="P102" s="314"/>
      <c r="Q102" s="314"/>
      <c r="R102" s="314"/>
      <c r="S102" s="314"/>
      <c r="T102" s="344"/>
      <c r="U102" s="314"/>
      <c r="V102" s="345"/>
      <c r="W102" s="318"/>
      <c r="X102" s="5"/>
    </row>
    <row r="103" spans="1:25" ht="15.6" x14ac:dyDescent="0.3">
      <c r="A103" s="340">
        <v>1</v>
      </c>
      <c r="B103" s="288" t="s">
        <v>34</v>
      </c>
      <c r="C103" s="288"/>
      <c r="D103" s="288"/>
      <c r="E103" s="288"/>
      <c r="F103" s="288"/>
      <c r="G103" s="288"/>
      <c r="H103" s="288"/>
      <c r="I103" s="288"/>
      <c r="J103" s="288"/>
      <c r="K103" s="288"/>
      <c r="L103" s="288"/>
      <c r="M103" s="288"/>
      <c r="N103" s="288"/>
      <c r="O103" s="288"/>
      <c r="P103" s="288"/>
      <c r="Q103" s="288"/>
      <c r="R103" s="288"/>
      <c r="S103" s="288"/>
      <c r="T103" s="288"/>
      <c r="U103" s="288"/>
      <c r="V103" s="338">
        <v>0</v>
      </c>
      <c r="W103" s="291"/>
      <c r="X103" s="5"/>
    </row>
    <row r="104" spans="1:25" ht="15.6" x14ac:dyDescent="0.3">
      <c r="A104" s="340">
        <f>+A103+1</f>
        <v>2</v>
      </c>
      <c r="B104" s="288" t="s">
        <v>330</v>
      </c>
      <c r="C104" s="288"/>
      <c r="D104" s="288"/>
      <c r="E104" s="288"/>
      <c r="F104" s="288"/>
      <c r="G104" s="288"/>
      <c r="H104" s="288"/>
      <c r="I104" s="288"/>
      <c r="J104" s="288"/>
      <c r="K104" s="288"/>
      <c r="L104" s="288"/>
      <c r="M104" s="288"/>
      <c r="N104" s="288"/>
      <c r="O104" s="288"/>
      <c r="P104" s="288"/>
      <c r="Q104" s="288"/>
      <c r="R104" s="288"/>
      <c r="S104" s="288"/>
      <c r="T104" s="288"/>
      <c r="U104" s="288"/>
      <c r="V104" s="338">
        <v>-2</v>
      </c>
      <c r="W104" s="291"/>
      <c r="X104" s="5"/>
    </row>
    <row r="105" spans="1:25" ht="15.6" x14ac:dyDescent="0.3">
      <c r="A105" s="340">
        <f>+A104+1</f>
        <v>3</v>
      </c>
      <c r="B105" s="288" t="s">
        <v>331</v>
      </c>
      <c r="C105" s="288"/>
      <c r="D105" s="288"/>
      <c r="E105" s="288"/>
      <c r="F105" s="288"/>
      <c r="G105" s="288"/>
      <c r="H105" s="288"/>
      <c r="I105" s="288"/>
      <c r="J105" s="288"/>
      <c r="K105" s="288"/>
      <c r="L105" s="288"/>
      <c r="M105" s="288"/>
      <c r="N105" s="288"/>
      <c r="O105" s="288"/>
      <c r="P105" s="288"/>
      <c r="Q105" s="288"/>
      <c r="R105" s="288"/>
      <c r="S105" s="288"/>
      <c r="T105" s="288"/>
      <c r="U105" s="288"/>
      <c r="V105" s="338">
        <f>-140-270-14</f>
        <v>-424</v>
      </c>
      <c r="W105" s="291"/>
      <c r="X105" s="5"/>
    </row>
    <row r="106" spans="1:25" ht="15.6" x14ac:dyDescent="0.3">
      <c r="A106" s="340" t="s">
        <v>127</v>
      </c>
      <c r="B106" s="288" t="s">
        <v>116</v>
      </c>
      <c r="C106" s="288"/>
      <c r="D106" s="288"/>
      <c r="E106" s="288"/>
      <c r="F106" s="288"/>
      <c r="G106" s="288"/>
      <c r="H106" s="288"/>
      <c r="I106" s="288"/>
      <c r="J106" s="288"/>
      <c r="K106" s="288"/>
      <c r="L106" s="288"/>
      <c r="M106" s="288"/>
      <c r="N106" s="288"/>
      <c r="O106" s="288"/>
      <c r="P106" s="288"/>
      <c r="Q106" s="288"/>
      <c r="R106" s="288"/>
      <c r="S106" s="288"/>
      <c r="T106" s="288"/>
      <c r="U106" s="288"/>
      <c r="V106" s="338">
        <v>0</v>
      </c>
      <c r="W106" s="291"/>
      <c r="X106" s="5"/>
    </row>
    <row r="107" spans="1:25" ht="15.6" x14ac:dyDescent="0.3">
      <c r="A107" s="340" t="s">
        <v>128</v>
      </c>
      <c r="B107" s="288" t="s">
        <v>222</v>
      </c>
      <c r="C107" s="288"/>
      <c r="D107" s="288"/>
      <c r="E107" s="288"/>
      <c r="F107" s="288"/>
      <c r="G107" s="288"/>
      <c r="H107" s="288"/>
      <c r="I107" s="288"/>
      <c r="J107" s="288"/>
      <c r="K107" s="288"/>
      <c r="L107" s="288"/>
      <c r="M107" s="288"/>
      <c r="N107" s="288"/>
      <c r="O107" s="288"/>
      <c r="P107" s="288"/>
      <c r="Q107" s="288"/>
      <c r="R107" s="288"/>
      <c r="S107" s="288"/>
      <c r="T107" s="288"/>
      <c r="U107" s="288"/>
      <c r="V107" s="338">
        <f>-1684+157</f>
        <v>-1527</v>
      </c>
      <c r="W107" s="291"/>
      <c r="X107" s="5"/>
      <c r="Y107" s="109"/>
    </row>
    <row r="108" spans="1:25" ht="15.6" x14ac:dyDescent="0.3">
      <c r="A108" s="340" t="s">
        <v>150</v>
      </c>
      <c r="B108" s="288" t="s">
        <v>184</v>
      </c>
      <c r="C108" s="288"/>
      <c r="D108" s="288"/>
      <c r="E108" s="288"/>
      <c r="F108" s="288"/>
      <c r="G108" s="288"/>
      <c r="H108" s="288"/>
      <c r="I108" s="288"/>
      <c r="J108" s="288"/>
      <c r="K108" s="288"/>
      <c r="L108" s="288"/>
      <c r="M108" s="288"/>
      <c r="N108" s="288"/>
      <c r="O108" s="288"/>
      <c r="P108" s="288"/>
      <c r="Q108" s="288"/>
      <c r="R108" s="288"/>
      <c r="S108" s="288"/>
      <c r="T108" s="288"/>
      <c r="U108" s="288"/>
      <c r="V108" s="338">
        <v>-157</v>
      </c>
      <c r="W108" s="291"/>
      <c r="X108" s="5"/>
      <c r="Y108" s="109"/>
    </row>
    <row r="109" spans="1:25" ht="15.6" x14ac:dyDescent="0.3">
      <c r="A109" s="340" t="s">
        <v>236</v>
      </c>
      <c r="B109" s="288" t="s">
        <v>238</v>
      </c>
      <c r="C109" s="288"/>
      <c r="D109" s="288"/>
      <c r="E109" s="288"/>
      <c r="F109" s="288"/>
      <c r="G109" s="288"/>
      <c r="H109" s="288"/>
      <c r="I109" s="288"/>
      <c r="J109" s="288"/>
      <c r="K109" s="288"/>
      <c r="L109" s="288"/>
      <c r="M109" s="288"/>
      <c r="N109" s="288"/>
      <c r="O109" s="288"/>
      <c r="P109" s="288"/>
      <c r="Q109" s="288"/>
      <c r="R109" s="288"/>
      <c r="S109" s="288"/>
      <c r="T109" s="288"/>
      <c r="U109" s="288"/>
      <c r="V109" s="338">
        <v>-1</v>
      </c>
      <c r="W109" s="291"/>
      <c r="X109" s="5"/>
    </row>
    <row r="110" spans="1:25" ht="15.6" x14ac:dyDescent="0.3">
      <c r="A110" s="340" t="s">
        <v>205</v>
      </c>
      <c r="B110" s="288" t="s">
        <v>185</v>
      </c>
      <c r="C110" s="288"/>
      <c r="D110" s="288"/>
      <c r="E110" s="288"/>
      <c r="F110" s="288"/>
      <c r="G110" s="288"/>
      <c r="H110" s="288"/>
      <c r="I110" s="288"/>
      <c r="J110" s="288"/>
      <c r="K110" s="288"/>
      <c r="L110" s="288"/>
      <c r="M110" s="288"/>
      <c r="N110" s="288"/>
      <c r="O110" s="288"/>
      <c r="P110" s="288"/>
      <c r="Q110" s="288"/>
      <c r="R110" s="288"/>
      <c r="S110" s="288"/>
      <c r="T110" s="288"/>
      <c r="U110" s="288"/>
      <c r="V110" s="338">
        <v>-145</v>
      </c>
      <c r="W110" s="291"/>
      <c r="X110" s="5"/>
      <c r="Y110" s="109"/>
    </row>
    <row r="111" spans="1:25" ht="15.6" x14ac:dyDescent="0.3">
      <c r="A111" s="340" t="s">
        <v>206</v>
      </c>
      <c r="B111" s="288" t="s">
        <v>186</v>
      </c>
      <c r="C111" s="288"/>
      <c r="D111" s="288"/>
      <c r="E111" s="288"/>
      <c r="F111" s="288"/>
      <c r="G111" s="288"/>
      <c r="H111" s="288"/>
      <c r="I111" s="288"/>
      <c r="J111" s="288"/>
      <c r="K111" s="288"/>
      <c r="L111" s="288"/>
      <c r="M111" s="288"/>
      <c r="N111" s="288"/>
      <c r="O111" s="288"/>
      <c r="P111" s="288"/>
      <c r="Q111" s="288"/>
      <c r="R111" s="288"/>
      <c r="S111" s="288"/>
      <c r="T111" s="288"/>
      <c r="U111" s="288"/>
      <c r="V111" s="338">
        <v>-116</v>
      </c>
      <c r="W111" s="291"/>
      <c r="X111" s="179"/>
      <c r="Y111" s="109"/>
    </row>
    <row r="112" spans="1:25" ht="15.6" x14ac:dyDescent="0.3">
      <c r="A112" s="340" t="s">
        <v>207</v>
      </c>
      <c r="B112" s="288" t="s">
        <v>196</v>
      </c>
      <c r="C112" s="288"/>
      <c r="D112" s="288"/>
      <c r="E112" s="288"/>
      <c r="F112" s="288"/>
      <c r="G112" s="288"/>
      <c r="H112" s="288"/>
      <c r="I112" s="288"/>
      <c r="J112" s="288"/>
      <c r="K112" s="288"/>
      <c r="L112" s="288"/>
      <c r="M112" s="288"/>
      <c r="N112" s="288"/>
      <c r="O112" s="288"/>
      <c r="P112" s="288"/>
      <c r="Q112" s="288"/>
      <c r="R112" s="288"/>
      <c r="S112" s="288"/>
      <c r="T112" s="288"/>
      <c r="U112" s="288"/>
      <c r="V112" s="338">
        <v>-328</v>
      </c>
      <c r="W112" s="291"/>
      <c r="X112" s="5"/>
      <c r="Y112" s="109"/>
    </row>
    <row r="113" spans="1:25" ht="15.6" x14ac:dyDescent="0.3">
      <c r="A113" s="340" t="s">
        <v>224</v>
      </c>
      <c r="B113" s="288" t="s">
        <v>223</v>
      </c>
      <c r="C113" s="288"/>
      <c r="D113" s="288"/>
      <c r="E113" s="288"/>
      <c r="F113" s="288"/>
      <c r="G113" s="288"/>
      <c r="H113" s="288"/>
      <c r="I113" s="288"/>
      <c r="J113" s="288"/>
      <c r="K113" s="288"/>
      <c r="L113" s="288"/>
      <c r="M113" s="288"/>
      <c r="N113" s="288"/>
      <c r="O113" s="288"/>
      <c r="P113" s="288"/>
      <c r="Q113" s="288"/>
      <c r="R113" s="288"/>
      <c r="S113" s="288"/>
      <c r="T113" s="288"/>
      <c r="U113" s="288"/>
      <c r="V113" s="338">
        <v>-65</v>
      </c>
      <c r="W113" s="291"/>
      <c r="X113" s="5"/>
      <c r="Y113" s="109"/>
    </row>
    <row r="114" spans="1:25" ht="15.6" x14ac:dyDescent="0.3">
      <c r="A114" s="340">
        <v>7</v>
      </c>
      <c r="B114" s="288" t="s">
        <v>35</v>
      </c>
      <c r="C114" s="288"/>
      <c r="D114" s="288"/>
      <c r="E114" s="288"/>
      <c r="F114" s="288"/>
      <c r="G114" s="288"/>
      <c r="H114" s="288"/>
      <c r="I114" s="288"/>
      <c r="J114" s="288"/>
      <c r="K114" s="288"/>
      <c r="L114" s="288"/>
      <c r="M114" s="288"/>
      <c r="N114" s="288"/>
      <c r="O114" s="288"/>
      <c r="P114" s="288"/>
      <c r="Q114" s="288"/>
      <c r="R114" s="288"/>
      <c r="S114" s="288"/>
      <c r="T114" s="288"/>
      <c r="U114" s="288"/>
      <c r="V114" s="338">
        <v>-10</v>
      </c>
      <c r="W114" s="291"/>
      <c r="X114" s="5"/>
    </row>
    <row r="115" spans="1:25" ht="15.6" x14ac:dyDescent="0.3">
      <c r="A115" s="340">
        <f t="shared" ref="A115:A121" si="0">+A114+1</f>
        <v>8</v>
      </c>
      <c r="B115" s="288" t="s">
        <v>45</v>
      </c>
      <c r="C115" s="288"/>
      <c r="D115" s="288"/>
      <c r="E115" s="288"/>
      <c r="F115" s="288"/>
      <c r="G115" s="288"/>
      <c r="H115" s="288"/>
      <c r="I115" s="288"/>
      <c r="J115" s="288"/>
      <c r="K115" s="288"/>
      <c r="L115" s="288"/>
      <c r="M115" s="288"/>
      <c r="N115" s="288"/>
      <c r="O115" s="288"/>
      <c r="P115" s="288"/>
      <c r="Q115" s="288"/>
      <c r="R115" s="288"/>
      <c r="S115" s="288"/>
      <c r="T115" s="337">
        <f>-V115</f>
        <v>253</v>
      </c>
      <c r="U115" s="288"/>
      <c r="V115" s="338">
        <v>-253</v>
      </c>
      <c r="W115" s="291"/>
      <c r="X115" s="5"/>
    </row>
    <row r="116" spans="1:25" ht="15.6" x14ac:dyDescent="0.3">
      <c r="A116" s="340">
        <f t="shared" si="0"/>
        <v>9</v>
      </c>
      <c r="B116" s="288" t="s">
        <v>125</v>
      </c>
      <c r="C116" s="288"/>
      <c r="D116" s="288"/>
      <c r="E116" s="288"/>
      <c r="F116" s="288"/>
      <c r="G116" s="288"/>
      <c r="H116" s="288"/>
      <c r="I116" s="288"/>
      <c r="J116" s="288"/>
      <c r="K116" s="288"/>
      <c r="L116" s="288"/>
      <c r="M116" s="288"/>
      <c r="N116" s="288"/>
      <c r="O116" s="288"/>
      <c r="P116" s="288"/>
      <c r="Q116" s="288"/>
      <c r="R116" s="288"/>
      <c r="S116" s="288"/>
      <c r="T116" s="288"/>
      <c r="U116" s="288"/>
      <c r="V116" s="338">
        <v>0</v>
      </c>
      <c r="W116" s="291"/>
      <c r="X116" s="5"/>
    </row>
    <row r="117" spans="1:25" ht="15.6" x14ac:dyDescent="0.3">
      <c r="A117" s="340">
        <f t="shared" si="0"/>
        <v>10</v>
      </c>
      <c r="B117" s="288" t="s">
        <v>240</v>
      </c>
      <c r="C117" s="288"/>
      <c r="D117" s="288"/>
      <c r="E117" s="288"/>
      <c r="F117" s="288"/>
      <c r="G117" s="288"/>
      <c r="H117" s="288"/>
      <c r="I117" s="288"/>
      <c r="J117" s="288"/>
      <c r="K117" s="288"/>
      <c r="L117" s="288"/>
      <c r="M117" s="288"/>
      <c r="N117" s="288"/>
      <c r="O117" s="288"/>
      <c r="P117" s="288"/>
      <c r="Q117" s="288"/>
      <c r="R117" s="288"/>
      <c r="S117" s="288"/>
      <c r="T117" s="288"/>
      <c r="U117" s="288"/>
      <c r="V117" s="338">
        <v>0</v>
      </c>
      <c r="W117" s="291"/>
      <c r="X117" s="5"/>
    </row>
    <row r="118" spans="1:25" ht="15.6" x14ac:dyDescent="0.3">
      <c r="A118" s="340">
        <f t="shared" si="0"/>
        <v>11</v>
      </c>
      <c r="B118" s="288" t="s">
        <v>36</v>
      </c>
      <c r="C118" s="288"/>
      <c r="D118" s="288"/>
      <c r="E118" s="288"/>
      <c r="F118" s="288"/>
      <c r="G118" s="288"/>
      <c r="H118" s="288"/>
      <c r="I118" s="288"/>
      <c r="J118" s="288"/>
      <c r="K118" s="288"/>
      <c r="L118" s="288"/>
      <c r="M118" s="288"/>
      <c r="N118" s="288"/>
      <c r="O118" s="288"/>
      <c r="P118" s="288"/>
      <c r="Q118" s="288"/>
      <c r="R118" s="288"/>
      <c r="S118" s="288"/>
      <c r="T118" s="288"/>
      <c r="U118" s="288"/>
      <c r="V118" s="338">
        <v>0</v>
      </c>
      <c r="W118" s="291"/>
      <c r="X118" s="5"/>
    </row>
    <row r="119" spans="1:25" ht="15.6" x14ac:dyDescent="0.3">
      <c r="A119" s="340">
        <f t="shared" si="0"/>
        <v>12</v>
      </c>
      <c r="B119" s="288" t="s">
        <v>239</v>
      </c>
      <c r="C119" s="288"/>
      <c r="D119" s="288"/>
      <c r="E119" s="288"/>
      <c r="F119" s="288"/>
      <c r="G119" s="288"/>
      <c r="H119" s="288"/>
      <c r="I119" s="288"/>
      <c r="J119" s="288"/>
      <c r="K119" s="288"/>
      <c r="L119" s="288"/>
      <c r="M119" s="288"/>
      <c r="N119" s="288"/>
      <c r="O119" s="288"/>
      <c r="P119" s="288"/>
      <c r="Q119" s="288"/>
      <c r="R119" s="288"/>
      <c r="S119" s="288"/>
      <c r="T119" s="288"/>
      <c r="U119" s="288"/>
      <c r="V119" s="338">
        <v>0</v>
      </c>
      <c r="W119" s="291"/>
      <c r="X119" s="5"/>
    </row>
    <row r="120" spans="1:25" ht="15.6" x14ac:dyDescent="0.3">
      <c r="A120" s="340">
        <f t="shared" si="0"/>
        <v>13</v>
      </c>
      <c r="B120" s="288" t="s">
        <v>149</v>
      </c>
      <c r="C120" s="288"/>
      <c r="D120" s="288"/>
      <c r="E120" s="288"/>
      <c r="F120" s="288"/>
      <c r="G120" s="288"/>
      <c r="H120" s="288"/>
      <c r="I120" s="288"/>
      <c r="J120" s="288"/>
      <c r="K120" s="288"/>
      <c r="L120" s="288"/>
      <c r="M120" s="288"/>
      <c r="N120" s="288"/>
      <c r="O120" s="288"/>
      <c r="P120" s="288"/>
      <c r="Q120" s="288"/>
      <c r="R120" s="288"/>
      <c r="S120" s="288"/>
      <c r="T120" s="288"/>
      <c r="U120" s="288"/>
      <c r="V120" s="338">
        <v>-699</v>
      </c>
      <c r="W120" s="291"/>
      <c r="X120" s="5"/>
    </row>
    <row r="121" spans="1:25" ht="15.6" x14ac:dyDescent="0.3">
      <c r="A121" s="340">
        <f t="shared" si="0"/>
        <v>14</v>
      </c>
      <c r="B121" s="288" t="s">
        <v>126</v>
      </c>
      <c r="C121" s="288"/>
      <c r="D121" s="288"/>
      <c r="E121" s="288"/>
      <c r="F121" s="288"/>
      <c r="G121" s="288"/>
      <c r="H121" s="288"/>
      <c r="I121" s="288"/>
      <c r="J121" s="288"/>
      <c r="K121" s="288"/>
      <c r="L121" s="288"/>
      <c r="M121" s="288"/>
      <c r="N121" s="288"/>
      <c r="O121" s="288"/>
      <c r="P121" s="288"/>
      <c r="Q121" s="288"/>
      <c r="R121" s="288"/>
      <c r="S121" s="288"/>
      <c r="T121" s="288"/>
      <c r="U121" s="288"/>
      <c r="V121" s="338">
        <f>-V101-SUM(V103:V120)</f>
        <v>-3278</v>
      </c>
      <c r="W121" s="291"/>
      <c r="X121" s="5"/>
    </row>
    <row r="122" spans="1:25" ht="15.6" x14ac:dyDescent="0.3">
      <c r="A122" s="287"/>
      <c r="B122" s="343" t="s">
        <v>37</v>
      </c>
      <c r="C122" s="314"/>
      <c r="D122" s="314"/>
      <c r="E122" s="314"/>
      <c r="F122" s="314"/>
      <c r="G122" s="314"/>
      <c r="H122" s="314"/>
      <c r="I122" s="314"/>
      <c r="J122" s="314"/>
      <c r="K122" s="314"/>
      <c r="L122" s="314"/>
      <c r="M122" s="314"/>
      <c r="N122" s="314"/>
      <c r="O122" s="314"/>
      <c r="P122" s="314"/>
      <c r="Q122" s="314"/>
      <c r="R122" s="314"/>
      <c r="S122" s="314"/>
      <c r="T122" s="314"/>
      <c r="U122" s="314"/>
      <c r="V122" s="346"/>
      <c r="W122" s="318"/>
      <c r="X122" s="5"/>
    </row>
    <row r="123" spans="1:25" ht="15.6" x14ac:dyDescent="0.3">
      <c r="A123" s="340"/>
      <c r="B123" s="288" t="s">
        <v>173</v>
      </c>
      <c r="C123" s="288"/>
      <c r="D123" s="288"/>
      <c r="E123" s="288"/>
      <c r="F123" s="288"/>
      <c r="G123" s="288"/>
      <c r="H123" s="288"/>
      <c r="I123" s="288"/>
      <c r="J123" s="288"/>
      <c r="K123" s="288"/>
      <c r="L123" s="288"/>
      <c r="M123" s="288"/>
      <c r="N123" s="288"/>
      <c r="O123" s="288"/>
      <c r="P123" s="288"/>
      <c r="Q123" s="288"/>
      <c r="R123" s="288"/>
      <c r="S123" s="288"/>
      <c r="T123" s="337">
        <f>-T189</f>
        <v>0</v>
      </c>
      <c r="U123" s="337"/>
      <c r="V123" s="338"/>
      <c r="W123" s="291"/>
      <c r="X123" s="5"/>
    </row>
    <row r="124" spans="1:25" ht="15.6" x14ac:dyDescent="0.3">
      <c r="A124" s="340"/>
      <c r="B124" s="288" t="s">
        <v>174</v>
      </c>
      <c r="C124" s="288"/>
      <c r="D124" s="288"/>
      <c r="E124" s="288"/>
      <c r="F124" s="288"/>
      <c r="G124" s="288"/>
      <c r="H124" s="288"/>
      <c r="I124" s="288"/>
      <c r="J124" s="288"/>
      <c r="K124" s="288"/>
      <c r="L124" s="288"/>
      <c r="M124" s="288"/>
      <c r="N124" s="288"/>
      <c r="O124" s="288"/>
      <c r="P124" s="288"/>
      <c r="Q124" s="288"/>
      <c r="R124" s="288"/>
      <c r="S124" s="288"/>
      <c r="T124" s="337">
        <v>-2</v>
      </c>
      <c r="U124" s="337"/>
      <c r="V124" s="338"/>
      <c r="W124" s="291"/>
      <c r="X124" s="5"/>
    </row>
    <row r="125" spans="1:25" ht="15.6" x14ac:dyDescent="0.3">
      <c r="A125" s="340"/>
      <c r="B125" s="288" t="s">
        <v>38</v>
      </c>
      <c r="C125" s="288"/>
      <c r="D125" s="288"/>
      <c r="E125" s="288"/>
      <c r="F125" s="288"/>
      <c r="G125" s="288"/>
      <c r="H125" s="288"/>
      <c r="I125" s="288"/>
      <c r="J125" s="288"/>
      <c r="K125" s="288"/>
      <c r="L125" s="288"/>
      <c r="M125" s="288"/>
      <c r="N125" s="288"/>
      <c r="O125" s="288"/>
      <c r="P125" s="288"/>
      <c r="Q125" s="288"/>
      <c r="R125" s="288"/>
      <c r="S125" s="288"/>
      <c r="T125" s="337">
        <f>-S189</f>
        <v>-49</v>
      </c>
      <c r="U125" s="337"/>
      <c r="V125" s="338"/>
      <c r="W125" s="291"/>
      <c r="X125" s="5"/>
    </row>
    <row r="126" spans="1:25" ht="15.6" x14ac:dyDescent="0.3">
      <c r="A126" s="340"/>
      <c r="B126" s="288" t="s">
        <v>197</v>
      </c>
      <c r="C126" s="288"/>
      <c r="D126" s="288"/>
      <c r="E126" s="288"/>
      <c r="F126" s="288"/>
      <c r="G126" s="288"/>
      <c r="H126" s="288"/>
      <c r="I126" s="288"/>
      <c r="J126" s="288"/>
      <c r="K126" s="288"/>
      <c r="L126" s="288"/>
      <c r="M126" s="288"/>
      <c r="N126" s="288"/>
      <c r="O126" s="288"/>
      <c r="P126" s="288"/>
      <c r="Q126" s="288"/>
      <c r="R126" s="288"/>
      <c r="S126" s="288"/>
      <c r="T126" s="337">
        <v>-4868</v>
      </c>
      <c r="U126" s="337"/>
      <c r="V126" s="338"/>
      <c r="W126" s="291"/>
      <c r="X126" s="5"/>
    </row>
    <row r="127" spans="1:25" ht="15.6" x14ac:dyDescent="0.3">
      <c r="A127" s="340"/>
      <c r="B127" s="288" t="s">
        <v>195</v>
      </c>
      <c r="C127" s="288"/>
      <c r="D127" s="288"/>
      <c r="E127" s="288"/>
      <c r="F127" s="288"/>
      <c r="G127" s="288"/>
      <c r="H127" s="288"/>
      <c r="I127" s="288"/>
      <c r="J127" s="288"/>
      <c r="K127" s="288"/>
      <c r="L127" s="288"/>
      <c r="M127" s="288"/>
      <c r="N127" s="288"/>
      <c r="O127" s="288"/>
      <c r="P127" s="288"/>
      <c r="Q127" s="288"/>
      <c r="R127" s="288"/>
      <c r="S127" s="288"/>
      <c r="T127" s="337">
        <v>-785</v>
      </c>
      <c r="U127" s="337"/>
      <c r="V127" s="338"/>
      <c r="W127" s="291"/>
      <c r="X127" s="5"/>
    </row>
    <row r="128" spans="1:25" ht="15.6" x14ac:dyDescent="0.3">
      <c r="A128" s="340"/>
      <c r="B128" s="288" t="s">
        <v>194</v>
      </c>
      <c r="C128" s="288"/>
      <c r="D128" s="288"/>
      <c r="E128" s="288"/>
      <c r="F128" s="288"/>
      <c r="G128" s="288"/>
      <c r="H128" s="288"/>
      <c r="I128" s="288"/>
      <c r="J128" s="288"/>
      <c r="K128" s="288"/>
      <c r="L128" s="288"/>
      <c r="M128" s="288"/>
      <c r="N128" s="288"/>
      <c r="O128" s="288"/>
      <c r="P128" s="288"/>
      <c r="Q128" s="288"/>
      <c r="R128" s="288"/>
      <c r="S128" s="288"/>
      <c r="T128" s="337">
        <v>-1056</v>
      </c>
      <c r="U128" s="337"/>
      <c r="V128" s="338"/>
      <c r="W128" s="291"/>
      <c r="X128" s="5"/>
    </row>
    <row r="129" spans="1:24" ht="15.6" x14ac:dyDescent="0.3">
      <c r="A129" s="340"/>
      <c r="B129" s="288" t="s">
        <v>226</v>
      </c>
      <c r="C129" s="288"/>
      <c r="D129" s="288"/>
      <c r="E129" s="288"/>
      <c r="F129" s="288"/>
      <c r="G129" s="288"/>
      <c r="H129" s="288"/>
      <c r="I129" s="288"/>
      <c r="J129" s="288"/>
      <c r="K129" s="288"/>
      <c r="L129" s="288"/>
      <c r="M129" s="288"/>
      <c r="N129" s="288"/>
      <c r="O129" s="288"/>
      <c r="P129" s="288"/>
      <c r="Q129" s="288"/>
      <c r="R129" s="288"/>
      <c r="S129" s="288"/>
      <c r="T129" s="337">
        <v>-1298</v>
      </c>
      <c r="U129" s="337"/>
      <c r="V129" s="338"/>
      <c r="W129" s="291"/>
      <c r="X129" s="5"/>
    </row>
    <row r="130" spans="1:24" ht="15.6" x14ac:dyDescent="0.3">
      <c r="A130" s="340"/>
      <c r="B130" s="288" t="s">
        <v>189</v>
      </c>
      <c r="C130" s="288"/>
      <c r="D130" s="288"/>
      <c r="E130" s="288"/>
      <c r="F130" s="288"/>
      <c r="G130" s="288"/>
      <c r="H130" s="288"/>
      <c r="I130" s="288"/>
      <c r="J130" s="288"/>
      <c r="K130" s="288"/>
      <c r="L130" s="288"/>
      <c r="M130" s="288"/>
      <c r="N130" s="288"/>
      <c r="O130" s="288"/>
      <c r="P130" s="288"/>
      <c r="Q130" s="288"/>
      <c r="R130" s="288"/>
      <c r="S130" s="288"/>
      <c r="T130" s="337">
        <v>0</v>
      </c>
      <c r="U130" s="337"/>
      <c r="V130" s="338"/>
      <c r="W130" s="291"/>
      <c r="X130" s="5"/>
    </row>
    <row r="131" spans="1:24" ht="15.6" x14ac:dyDescent="0.3">
      <c r="A131" s="340"/>
      <c r="B131" s="288" t="s">
        <v>188</v>
      </c>
      <c r="C131" s="288"/>
      <c r="D131" s="288"/>
      <c r="E131" s="288"/>
      <c r="F131" s="288"/>
      <c r="G131" s="288"/>
      <c r="H131" s="288"/>
      <c r="I131" s="288"/>
      <c r="J131" s="288"/>
      <c r="K131" s="288"/>
      <c r="L131" s="288"/>
      <c r="M131" s="288"/>
      <c r="N131" s="288"/>
      <c r="O131" s="288"/>
      <c r="P131" s="288"/>
      <c r="Q131" s="288"/>
      <c r="R131" s="288"/>
      <c r="S131" s="288"/>
      <c r="T131" s="337">
        <v>0</v>
      </c>
      <c r="U131" s="337"/>
      <c r="V131" s="338"/>
      <c r="W131" s="291"/>
      <c r="X131" s="5"/>
    </row>
    <row r="132" spans="1:24" ht="15.6" x14ac:dyDescent="0.3">
      <c r="A132" s="340"/>
      <c r="B132" s="288" t="s">
        <v>227</v>
      </c>
      <c r="C132" s="288"/>
      <c r="D132" s="288"/>
      <c r="E132" s="288"/>
      <c r="F132" s="288"/>
      <c r="G132" s="288"/>
      <c r="H132" s="288"/>
      <c r="I132" s="288"/>
      <c r="J132" s="288"/>
      <c r="K132" s="288"/>
      <c r="L132" s="288"/>
      <c r="M132" s="288"/>
      <c r="N132" s="288"/>
      <c r="O132" s="288"/>
      <c r="P132" s="288"/>
      <c r="Q132" s="288"/>
      <c r="R132" s="288"/>
      <c r="S132" s="288"/>
      <c r="T132" s="337">
        <v>0</v>
      </c>
      <c r="U132" s="337"/>
      <c r="V132" s="338"/>
      <c r="W132" s="291"/>
      <c r="X132" s="5"/>
    </row>
    <row r="133" spans="1:24" ht="15.6" x14ac:dyDescent="0.3">
      <c r="A133" s="340"/>
      <c r="B133" s="288" t="s">
        <v>187</v>
      </c>
      <c r="C133" s="288"/>
      <c r="D133" s="288"/>
      <c r="E133" s="288"/>
      <c r="F133" s="288"/>
      <c r="G133" s="288"/>
      <c r="H133" s="288"/>
      <c r="I133" s="288"/>
      <c r="J133" s="288"/>
      <c r="K133" s="288"/>
      <c r="L133" s="288"/>
      <c r="M133" s="288"/>
      <c r="N133" s="288"/>
      <c r="O133" s="288"/>
      <c r="P133" s="288"/>
      <c r="Q133" s="288"/>
      <c r="R133" s="288"/>
      <c r="S133" s="288"/>
      <c r="T133" s="337">
        <v>0</v>
      </c>
      <c r="U133" s="337"/>
      <c r="V133" s="338"/>
      <c r="W133" s="291"/>
      <c r="X133" s="5"/>
    </row>
    <row r="134" spans="1:24" ht="15.6" x14ac:dyDescent="0.3">
      <c r="A134" s="340"/>
      <c r="B134" s="288" t="s">
        <v>39</v>
      </c>
      <c r="C134" s="288"/>
      <c r="D134" s="288"/>
      <c r="E134" s="288"/>
      <c r="F134" s="288"/>
      <c r="G134" s="288"/>
      <c r="H134" s="288"/>
      <c r="I134" s="288"/>
      <c r="J134" s="288"/>
      <c r="K134" s="288"/>
      <c r="L134" s="288"/>
      <c r="M134" s="288"/>
      <c r="N134" s="288"/>
      <c r="O134" s="288"/>
      <c r="P134" s="288"/>
      <c r="Q134" s="288"/>
      <c r="R134" s="288"/>
      <c r="S134" s="288"/>
      <c r="T134" s="337">
        <f>SUM(T123:T133)</f>
        <v>-8058</v>
      </c>
      <c r="U134" s="337"/>
      <c r="V134" s="337">
        <f>SUM(V102:V131)</f>
        <v>-7005</v>
      </c>
      <c r="W134" s="291"/>
      <c r="X134" s="5"/>
    </row>
    <row r="135" spans="1:24" ht="15.6" x14ac:dyDescent="0.3">
      <c r="A135" s="340"/>
      <c r="B135" s="288" t="s">
        <v>40</v>
      </c>
      <c r="C135" s="288"/>
      <c r="D135" s="288"/>
      <c r="E135" s="288"/>
      <c r="F135" s="288"/>
      <c r="G135" s="288"/>
      <c r="H135" s="288"/>
      <c r="I135" s="288"/>
      <c r="J135" s="288"/>
      <c r="K135" s="288"/>
      <c r="L135" s="288"/>
      <c r="M135" s="288"/>
      <c r="N135" s="288"/>
      <c r="O135" s="288"/>
      <c r="P135" s="288"/>
      <c r="Q135" s="288"/>
      <c r="R135" s="288"/>
      <c r="S135" s="288"/>
      <c r="T135" s="337">
        <f>T101+T134+T115</f>
        <v>0</v>
      </c>
      <c r="U135" s="337"/>
      <c r="V135" s="337">
        <f>V101+V134</f>
        <v>0</v>
      </c>
      <c r="W135" s="291"/>
      <c r="X135" s="5"/>
    </row>
    <row r="136" spans="1:24" ht="15.6" x14ac:dyDescent="0.3">
      <c r="A136" s="243"/>
      <c r="B136" s="284"/>
      <c r="C136" s="284"/>
      <c r="D136" s="284"/>
      <c r="E136" s="284"/>
      <c r="F136" s="284"/>
      <c r="G136" s="284"/>
      <c r="H136" s="284"/>
      <c r="I136" s="284"/>
      <c r="J136" s="284"/>
      <c r="K136" s="284"/>
      <c r="L136" s="284"/>
      <c r="M136" s="284"/>
      <c r="N136" s="284"/>
      <c r="O136" s="284"/>
      <c r="P136" s="284"/>
      <c r="Q136" s="284"/>
      <c r="R136" s="284"/>
      <c r="S136" s="284"/>
      <c r="T136" s="339"/>
      <c r="U136" s="339"/>
      <c r="V136" s="339"/>
      <c r="W136" s="284"/>
      <c r="X136" s="5"/>
    </row>
    <row r="137" spans="1:24" ht="15.6" x14ac:dyDescent="0.3">
      <c r="A137" s="243"/>
      <c r="B137" s="224"/>
      <c r="C137" s="224"/>
      <c r="D137" s="224"/>
      <c r="E137" s="224"/>
      <c r="F137" s="224"/>
      <c r="G137" s="224"/>
      <c r="H137" s="224"/>
      <c r="I137" s="224"/>
      <c r="J137" s="224"/>
      <c r="K137" s="224"/>
      <c r="L137" s="224"/>
      <c r="M137" s="224"/>
      <c r="N137" s="224"/>
      <c r="O137" s="224"/>
      <c r="P137" s="224"/>
      <c r="Q137" s="224"/>
      <c r="R137" s="224"/>
      <c r="S137" s="224"/>
      <c r="T137" s="224"/>
      <c r="U137" s="224"/>
      <c r="V137" s="244"/>
      <c r="W137" s="224"/>
      <c r="X137" s="5"/>
    </row>
    <row r="138" spans="1:24" ht="18" thickBot="1" x14ac:dyDescent="0.35">
      <c r="A138" s="245"/>
      <c r="B138" s="237" t="str">
        <f>B64</f>
        <v>PM14 INVESTOR REPORT QUARTER ENDING MAY 2013</v>
      </c>
      <c r="C138" s="238"/>
      <c r="D138" s="238"/>
      <c r="E138" s="238"/>
      <c r="F138" s="238"/>
      <c r="G138" s="238"/>
      <c r="H138" s="238"/>
      <c r="I138" s="238"/>
      <c r="J138" s="238"/>
      <c r="K138" s="238"/>
      <c r="L138" s="238"/>
      <c r="M138" s="238"/>
      <c r="N138" s="238"/>
      <c r="O138" s="238"/>
      <c r="P138" s="238"/>
      <c r="Q138" s="238"/>
      <c r="R138" s="238"/>
      <c r="S138" s="238"/>
      <c r="T138" s="238"/>
      <c r="U138" s="238"/>
      <c r="V138" s="246"/>
      <c r="W138" s="240"/>
      <c r="X138" s="5"/>
    </row>
    <row r="139" spans="1:24" ht="15.6" x14ac:dyDescent="0.3">
      <c r="A139" s="273"/>
      <c r="B139" s="403" t="s">
        <v>41</v>
      </c>
      <c r="C139" s="274"/>
      <c r="D139" s="274"/>
      <c r="E139" s="274"/>
      <c r="F139" s="274"/>
      <c r="G139" s="274"/>
      <c r="H139" s="274"/>
      <c r="I139" s="274"/>
      <c r="J139" s="274"/>
      <c r="K139" s="274"/>
      <c r="L139" s="274"/>
      <c r="M139" s="274"/>
      <c r="N139" s="274"/>
      <c r="O139" s="274"/>
      <c r="P139" s="274"/>
      <c r="Q139" s="274"/>
      <c r="R139" s="274"/>
      <c r="S139" s="274"/>
      <c r="T139" s="274"/>
      <c r="U139" s="274"/>
      <c r="V139" s="275"/>
      <c r="W139" s="274"/>
      <c r="X139" s="5"/>
    </row>
    <row r="140" spans="1:24" ht="15.6" x14ac:dyDescent="0.3">
      <c r="A140" s="183"/>
      <c r="B140" s="195"/>
      <c r="C140" s="185"/>
      <c r="D140" s="185"/>
      <c r="E140" s="185"/>
      <c r="F140" s="185"/>
      <c r="G140" s="185"/>
      <c r="H140" s="185"/>
      <c r="I140" s="185"/>
      <c r="J140" s="185"/>
      <c r="K140" s="185"/>
      <c r="L140" s="185"/>
      <c r="M140" s="185"/>
      <c r="N140" s="185"/>
      <c r="O140" s="185"/>
      <c r="P140" s="185"/>
      <c r="Q140" s="185"/>
      <c r="R140" s="185"/>
      <c r="S140" s="185"/>
      <c r="T140" s="185"/>
      <c r="U140" s="185"/>
      <c r="V140" s="201"/>
      <c r="W140" s="185"/>
      <c r="X140" s="5"/>
    </row>
    <row r="141" spans="1:24" ht="15.6" x14ac:dyDescent="0.3">
      <c r="A141" s="183"/>
      <c r="B141" s="208" t="s">
        <v>42</v>
      </c>
      <c r="C141" s="185"/>
      <c r="D141" s="185"/>
      <c r="E141" s="185"/>
      <c r="F141" s="185"/>
      <c r="G141" s="185"/>
      <c r="H141" s="185"/>
      <c r="I141" s="185"/>
      <c r="J141" s="185"/>
      <c r="K141" s="185"/>
      <c r="L141" s="185"/>
      <c r="M141" s="185"/>
      <c r="N141" s="185"/>
      <c r="O141" s="185"/>
      <c r="P141" s="185"/>
      <c r="Q141" s="185"/>
      <c r="R141" s="185"/>
      <c r="S141" s="185"/>
      <c r="T141" s="185"/>
      <c r="U141" s="185"/>
      <c r="V141" s="201"/>
      <c r="W141" s="185"/>
      <c r="X141" s="5"/>
    </row>
    <row r="142" spans="1:24" ht="15.6" x14ac:dyDescent="0.3">
      <c r="A142" s="287"/>
      <c r="B142" s="288" t="s">
        <v>43</v>
      </c>
      <c r="C142" s="288"/>
      <c r="D142" s="288"/>
      <c r="E142" s="288"/>
      <c r="F142" s="288"/>
      <c r="G142" s="288"/>
      <c r="H142" s="288"/>
      <c r="I142" s="288"/>
      <c r="J142" s="288"/>
      <c r="K142" s="288"/>
      <c r="L142" s="288"/>
      <c r="M142" s="288"/>
      <c r="N142" s="288"/>
      <c r="O142" s="288"/>
      <c r="P142" s="288"/>
      <c r="Q142" s="288"/>
      <c r="R142" s="288"/>
      <c r="S142" s="288"/>
      <c r="T142" s="288"/>
      <c r="U142" s="288"/>
      <c r="V142" s="338">
        <f>+V34*0.019</f>
        <v>28505.224999999999</v>
      </c>
      <c r="W142" s="291"/>
      <c r="X142" s="5"/>
    </row>
    <row r="143" spans="1:24" ht="15.6" x14ac:dyDescent="0.3">
      <c r="A143" s="287"/>
      <c r="B143" s="288" t="s">
        <v>44</v>
      </c>
      <c r="C143" s="288"/>
      <c r="D143" s="288"/>
      <c r="E143" s="288"/>
      <c r="F143" s="288"/>
      <c r="G143" s="288"/>
      <c r="H143" s="288"/>
      <c r="I143" s="288"/>
      <c r="J143" s="288"/>
      <c r="K143" s="288"/>
      <c r="L143" s="288"/>
      <c r="M143" s="288"/>
      <c r="N143" s="288"/>
      <c r="O143" s="288"/>
      <c r="P143" s="288"/>
      <c r="Q143" s="288"/>
      <c r="R143" s="288"/>
      <c r="S143" s="288"/>
      <c r="T143" s="288"/>
      <c r="U143" s="288"/>
      <c r="V143" s="338">
        <v>28505</v>
      </c>
      <c r="W143" s="291"/>
      <c r="X143" s="5"/>
    </row>
    <row r="144" spans="1:24" ht="15.6" x14ac:dyDescent="0.3">
      <c r="A144" s="287"/>
      <c r="B144" s="288" t="s">
        <v>136</v>
      </c>
      <c r="C144" s="288"/>
      <c r="D144" s="288"/>
      <c r="E144" s="288"/>
      <c r="F144" s="288"/>
      <c r="G144" s="288"/>
      <c r="H144" s="288"/>
      <c r="I144" s="288"/>
      <c r="J144" s="288"/>
      <c r="K144" s="288"/>
      <c r="L144" s="288"/>
      <c r="M144" s="288"/>
      <c r="N144" s="288"/>
      <c r="O144" s="288"/>
      <c r="P144" s="288"/>
      <c r="Q144" s="288"/>
      <c r="R144" s="288"/>
      <c r="S144" s="288"/>
      <c r="T144" s="288"/>
      <c r="U144" s="288"/>
      <c r="V144" s="338"/>
      <c r="W144" s="291"/>
      <c r="X144" s="5"/>
    </row>
    <row r="145" spans="1:25" ht="15.6" x14ac:dyDescent="0.3">
      <c r="A145" s="287"/>
      <c r="B145" s="288" t="s">
        <v>123</v>
      </c>
      <c r="C145" s="288"/>
      <c r="D145" s="288"/>
      <c r="E145" s="288"/>
      <c r="F145" s="288"/>
      <c r="G145" s="288"/>
      <c r="H145" s="288"/>
      <c r="I145" s="288"/>
      <c r="J145" s="288"/>
      <c r="K145" s="288"/>
      <c r="L145" s="288"/>
      <c r="M145" s="288"/>
      <c r="N145" s="288"/>
      <c r="O145" s="288"/>
      <c r="P145" s="288"/>
      <c r="Q145" s="288"/>
      <c r="R145" s="288"/>
      <c r="S145" s="288"/>
      <c r="T145" s="288"/>
      <c r="U145" s="288"/>
      <c r="V145" s="338">
        <v>0</v>
      </c>
      <c r="W145" s="291"/>
      <c r="X145" s="5"/>
    </row>
    <row r="146" spans="1:25" ht="15.6" x14ac:dyDescent="0.3">
      <c r="A146" s="287"/>
      <c r="B146" s="288" t="s">
        <v>124</v>
      </c>
      <c r="C146" s="288"/>
      <c r="D146" s="288"/>
      <c r="E146" s="288"/>
      <c r="F146" s="288"/>
      <c r="G146" s="288"/>
      <c r="H146" s="288"/>
      <c r="I146" s="288"/>
      <c r="J146" s="288"/>
      <c r="K146" s="288"/>
      <c r="L146" s="288"/>
      <c r="M146" s="288"/>
      <c r="N146" s="288"/>
      <c r="O146" s="288"/>
      <c r="P146" s="288"/>
      <c r="Q146" s="288"/>
      <c r="R146" s="288"/>
      <c r="S146" s="288"/>
      <c r="T146" s="288"/>
      <c r="U146" s="288"/>
      <c r="V146" s="338">
        <v>0</v>
      </c>
      <c r="W146" s="291"/>
      <c r="X146" s="5"/>
    </row>
    <row r="147" spans="1:25" ht="15.6" x14ac:dyDescent="0.3">
      <c r="A147" s="287"/>
      <c r="B147" s="288" t="s">
        <v>175</v>
      </c>
      <c r="C147" s="288"/>
      <c r="D147" s="288"/>
      <c r="E147" s="288"/>
      <c r="F147" s="288"/>
      <c r="G147" s="288"/>
      <c r="H147" s="288"/>
      <c r="I147" s="288"/>
      <c r="J147" s="288"/>
      <c r="K147" s="288"/>
      <c r="L147" s="288"/>
      <c r="M147" s="288"/>
      <c r="N147" s="288"/>
      <c r="O147" s="288"/>
      <c r="P147" s="288"/>
      <c r="Q147" s="288"/>
      <c r="R147" s="288"/>
      <c r="S147" s="288"/>
      <c r="T147" s="288"/>
      <c r="U147" s="288"/>
      <c r="V147" s="338">
        <v>0</v>
      </c>
      <c r="W147" s="291"/>
      <c r="X147" s="5"/>
    </row>
    <row r="148" spans="1:25" ht="15.6" x14ac:dyDescent="0.3">
      <c r="A148" s="287"/>
      <c r="B148" s="288" t="s">
        <v>45</v>
      </c>
      <c r="C148" s="288"/>
      <c r="D148" s="288"/>
      <c r="E148" s="288"/>
      <c r="F148" s="288"/>
      <c r="G148" s="288"/>
      <c r="H148" s="288"/>
      <c r="I148" s="288"/>
      <c r="J148" s="288"/>
      <c r="K148" s="288"/>
      <c r="L148" s="288"/>
      <c r="M148" s="288"/>
      <c r="N148" s="288"/>
      <c r="O148" s="288"/>
      <c r="P148" s="288"/>
      <c r="Q148" s="288"/>
      <c r="R148" s="288"/>
      <c r="S148" s="288"/>
      <c r="T148" s="288"/>
      <c r="U148" s="288"/>
      <c r="V148" s="338">
        <v>0</v>
      </c>
      <c r="W148" s="291"/>
      <c r="X148" s="5"/>
    </row>
    <row r="149" spans="1:25" ht="15.6" x14ac:dyDescent="0.3">
      <c r="A149" s="287"/>
      <c r="B149" s="288" t="s">
        <v>129</v>
      </c>
      <c r="C149" s="288"/>
      <c r="D149" s="288"/>
      <c r="E149" s="288"/>
      <c r="F149" s="288"/>
      <c r="G149" s="288"/>
      <c r="H149" s="288"/>
      <c r="I149" s="288"/>
      <c r="J149" s="288"/>
      <c r="K149" s="288"/>
      <c r="L149" s="288"/>
      <c r="M149" s="288"/>
      <c r="N149" s="288"/>
      <c r="O149" s="288"/>
      <c r="P149" s="288"/>
      <c r="Q149" s="288"/>
      <c r="R149" s="288"/>
      <c r="S149" s="288"/>
      <c r="T149" s="288"/>
      <c r="U149" s="288"/>
      <c r="V149" s="338">
        <v>0</v>
      </c>
      <c r="W149" s="291"/>
      <c r="X149" s="5"/>
    </row>
    <row r="150" spans="1:25" ht="15.6" x14ac:dyDescent="0.3">
      <c r="A150" s="287"/>
      <c r="B150" s="288" t="s">
        <v>267</v>
      </c>
      <c r="C150" s="288"/>
      <c r="D150" s="288"/>
      <c r="E150" s="288"/>
      <c r="F150" s="288"/>
      <c r="G150" s="288"/>
      <c r="H150" s="288"/>
      <c r="I150" s="288"/>
      <c r="J150" s="288"/>
      <c r="K150" s="288"/>
      <c r="L150" s="288"/>
      <c r="M150" s="288"/>
      <c r="N150" s="288"/>
      <c r="O150" s="288"/>
      <c r="P150" s="288"/>
      <c r="Q150" s="288"/>
      <c r="R150" s="288"/>
      <c r="S150" s="288"/>
      <c r="T150" s="288"/>
      <c r="U150" s="288"/>
      <c r="V150" s="338">
        <v>0</v>
      </c>
      <c r="W150" s="291"/>
      <c r="X150" s="5"/>
      <c r="Y150" s="109"/>
    </row>
    <row r="151" spans="1:25" ht="15.6" x14ac:dyDescent="0.3">
      <c r="A151" s="287"/>
      <c r="B151" s="288" t="s">
        <v>46</v>
      </c>
      <c r="C151" s="288"/>
      <c r="D151" s="288"/>
      <c r="E151" s="288"/>
      <c r="F151" s="288"/>
      <c r="G151" s="288"/>
      <c r="H151" s="288"/>
      <c r="I151" s="288"/>
      <c r="J151" s="288"/>
      <c r="K151" s="288"/>
      <c r="L151" s="288"/>
      <c r="M151" s="288"/>
      <c r="N151" s="288"/>
      <c r="O151" s="288"/>
      <c r="P151" s="288"/>
      <c r="Q151" s="288"/>
      <c r="R151" s="288"/>
      <c r="S151" s="288"/>
      <c r="T151" s="288"/>
      <c r="U151" s="288"/>
      <c r="V151" s="338">
        <f>SUM(V143:V150)</f>
        <v>28505</v>
      </c>
      <c r="W151" s="291"/>
      <c r="X151" s="5"/>
    </row>
    <row r="152" spans="1:25" ht="15.6" x14ac:dyDescent="0.3">
      <c r="A152" s="287"/>
      <c r="B152" s="314"/>
      <c r="C152" s="314"/>
      <c r="D152" s="314"/>
      <c r="E152" s="314"/>
      <c r="F152" s="314"/>
      <c r="G152" s="314"/>
      <c r="H152" s="314"/>
      <c r="I152" s="314"/>
      <c r="J152" s="314"/>
      <c r="K152" s="314"/>
      <c r="L152" s="314"/>
      <c r="M152" s="314"/>
      <c r="N152" s="314"/>
      <c r="O152" s="314"/>
      <c r="P152" s="314"/>
      <c r="Q152" s="314"/>
      <c r="R152" s="314"/>
      <c r="S152" s="314"/>
      <c r="T152" s="314"/>
      <c r="U152" s="314"/>
      <c r="V152" s="345"/>
      <c r="W152" s="318"/>
      <c r="X152" s="5"/>
    </row>
    <row r="153" spans="1:25" ht="15.6" x14ac:dyDescent="0.3">
      <c r="A153" s="287"/>
      <c r="B153" s="343" t="s">
        <v>237</v>
      </c>
      <c r="C153" s="314"/>
      <c r="D153" s="314"/>
      <c r="E153" s="314"/>
      <c r="F153" s="314"/>
      <c r="G153" s="314"/>
      <c r="H153" s="314"/>
      <c r="I153" s="314"/>
      <c r="J153" s="314"/>
      <c r="K153" s="314"/>
      <c r="L153" s="314"/>
      <c r="M153" s="314"/>
      <c r="N153" s="314"/>
      <c r="O153" s="314"/>
      <c r="P153" s="314"/>
      <c r="Q153" s="314"/>
      <c r="R153" s="314"/>
      <c r="S153" s="314"/>
      <c r="T153" s="314"/>
      <c r="U153" s="314"/>
      <c r="V153" s="345"/>
      <c r="W153" s="318"/>
      <c r="X153" s="5"/>
    </row>
    <row r="154" spans="1:25" ht="15.6" x14ac:dyDescent="0.3">
      <c r="A154" s="287"/>
      <c r="B154" s="288" t="s">
        <v>155</v>
      </c>
      <c r="C154" s="288"/>
      <c r="D154" s="288"/>
      <c r="E154" s="288"/>
      <c r="F154" s="288"/>
      <c r="G154" s="288"/>
      <c r="H154" s="288"/>
      <c r="I154" s="288"/>
      <c r="J154" s="288"/>
      <c r="K154" s="288"/>
      <c r="L154" s="288"/>
      <c r="M154" s="288"/>
      <c r="N154" s="288"/>
      <c r="O154" s="288"/>
      <c r="P154" s="288"/>
      <c r="Q154" s="288"/>
      <c r="R154" s="288"/>
      <c r="S154" s="288"/>
      <c r="T154" s="288"/>
      <c r="U154" s="288"/>
      <c r="V154" s="338">
        <v>7500</v>
      </c>
      <c r="W154" s="291"/>
      <c r="X154" s="5"/>
    </row>
    <row r="155" spans="1:25" ht="15.6" x14ac:dyDescent="0.3">
      <c r="A155" s="287"/>
      <c r="B155" s="288" t="s">
        <v>172</v>
      </c>
      <c r="C155" s="288"/>
      <c r="D155" s="288"/>
      <c r="E155" s="288"/>
      <c r="F155" s="288"/>
      <c r="G155" s="288"/>
      <c r="H155" s="288"/>
      <c r="I155" s="288"/>
      <c r="J155" s="288"/>
      <c r="K155" s="288"/>
      <c r="L155" s="288"/>
      <c r="M155" s="288"/>
      <c r="N155" s="288"/>
      <c r="O155" s="288"/>
      <c r="P155" s="288"/>
      <c r="Q155" s="288"/>
      <c r="R155" s="288"/>
      <c r="S155" s="288"/>
      <c r="T155" s="288"/>
      <c r="U155" s="288"/>
      <c r="V155" s="338">
        <v>0</v>
      </c>
      <c r="W155" s="291"/>
      <c r="X155" s="5"/>
    </row>
    <row r="156" spans="1:25" ht="15.6" x14ac:dyDescent="0.3">
      <c r="A156" s="287"/>
      <c r="B156" s="288" t="s">
        <v>305</v>
      </c>
      <c r="C156" s="288"/>
      <c r="D156" s="288"/>
      <c r="E156" s="288"/>
      <c r="F156" s="288"/>
      <c r="G156" s="288"/>
      <c r="H156" s="288"/>
      <c r="I156" s="288"/>
      <c r="J156" s="288"/>
      <c r="K156" s="288"/>
      <c r="L156" s="288"/>
      <c r="M156" s="288"/>
      <c r="N156" s="288"/>
      <c r="O156" s="288"/>
      <c r="P156" s="288"/>
      <c r="Q156" s="288"/>
      <c r="R156" s="288"/>
      <c r="S156" s="288"/>
      <c r="T156" s="288"/>
      <c r="U156" s="288"/>
      <c r="V156" s="338">
        <v>2101</v>
      </c>
      <c r="W156" s="291"/>
      <c r="X156" s="5"/>
    </row>
    <row r="157" spans="1:25" ht="15.6" x14ac:dyDescent="0.3">
      <c r="A157" s="287"/>
      <c r="B157" s="288"/>
      <c r="C157" s="288"/>
      <c r="D157" s="288"/>
      <c r="E157" s="288"/>
      <c r="F157" s="288"/>
      <c r="G157" s="288"/>
      <c r="H157" s="288"/>
      <c r="I157" s="288"/>
      <c r="J157" s="288"/>
      <c r="K157" s="288"/>
      <c r="L157" s="288"/>
      <c r="M157" s="288"/>
      <c r="N157" s="288"/>
      <c r="O157" s="288"/>
      <c r="P157" s="288"/>
      <c r="Q157" s="288"/>
      <c r="R157" s="288"/>
      <c r="S157" s="288"/>
      <c r="T157" s="288"/>
      <c r="U157" s="288"/>
      <c r="V157" s="338"/>
      <c r="W157" s="291"/>
      <c r="X157" s="5"/>
    </row>
    <row r="158" spans="1:25" ht="15.6" x14ac:dyDescent="0.3">
      <c r="A158" s="183"/>
      <c r="B158" s="198"/>
      <c r="C158" s="198"/>
      <c r="D158" s="198"/>
      <c r="E158" s="198"/>
      <c r="F158" s="198"/>
      <c r="G158" s="198"/>
      <c r="H158" s="198"/>
      <c r="I158" s="198"/>
      <c r="J158" s="198"/>
      <c r="K158" s="198"/>
      <c r="L158" s="198"/>
      <c r="M158" s="198"/>
      <c r="N158" s="198"/>
      <c r="O158" s="198"/>
      <c r="P158" s="198"/>
      <c r="Q158" s="198"/>
      <c r="R158" s="198"/>
      <c r="S158" s="198"/>
      <c r="T158" s="198"/>
      <c r="U158" s="198"/>
      <c r="V158" s="347"/>
      <c r="W158" s="198"/>
      <c r="X158" s="5"/>
    </row>
    <row r="159" spans="1:25" ht="15.6" x14ac:dyDescent="0.3">
      <c r="A159" s="183"/>
      <c r="B159" s="208" t="s">
        <v>24</v>
      </c>
      <c r="C159" s="185"/>
      <c r="D159" s="185"/>
      <c r="E159" s="185"/>
      <c r="F159" s="185"/>
      <c r="G159" s="185"/>
      <c r="H159" s="185"/>
      <c r="I159" s="185"/>
      <c r="J159" s="185"/>
      <c r="K159" s="185"/>
      <c r="L159" s="185"/>
      <c r="M159" s="185"/>
      <c r="N159" s="185"/>
      <c r="O159" s="185"/>
      <c r="P159" s="185"/>
      <c r="Q159" s="185"/>
      <c r="R159" s="185"/>
      <c r="S159" s="185"/>
      <c r="T159" s="185"/>
      <c r="U159" s="185"/>
      <c r="V159" s="201"/>
      <c r="W159" s="185"/>
      <c r="X159" s="5"/>
    </row>
    <row r="160" spans="1:25" ht="15.6" x14ac:dyDescent="0.3">
      <c r="A160" s="287"/>
      <c r="B160" s="288" t="s">
        <v>47</v>
      </c>
      <c r="C160" s="288"/>
      <c r="D160" s="288"/>
      <c r="E160" s="288"/>
      <c r="F160" s="288"/>
      <c r="G160" s="288"/>
      <c r="H160" s="288"/>
      <c r="I160" s="288"/>
      <c r="J160" s="288"/>
      <c r="K160" s="288"/>
      <c r="L160" s="288"/>
      <c r="M160" s="288"/>
      <c r="N160" s="288"/>
      <c r="O160" s="288"/>
      <c r="P160" s="288"/>
      <c r="Q160" s="288"/>
      <c r="R160" s="288"/>
      <c r="S160" s="288"/>
      <c r="T160" s="288"/>
      <c r="U160" s="288"/>
      <c r="V160" s="348" t="s">
        <v>118</v>
      </c>
      <c r="W160" s="291"/>
      <c r="X160" s="5"/>
    </row>
    <row r="161" spans="1:256" ht="15.6" x14ac:dyDescent="0.3">
      <c r="A161" s="287"/>
      <c r="B161" s="288" t="s">
        <v>48</v>
      </c>
      <c r="C161" s="290"/>
      <c r="D161" s="290"/>
      <c r="E161" s="290"/>
      <c r="F161" s="290"/>
      <c r="G161" s="290"/>
      <c r="H161" s="290"/>
      <c r="I161" s="290"/>
      <c r="J161" s="290"/>
      <c r="K161" s="290"/>
      <c r="L161" s="290"/>
      <c r="M161" s="290"/>
      <c r="N161" s="290"/>
      <c r="O161" s="290"/>
      <c r="P161" s="290"/>
      <c r="Q161" s="290"/>
      <c r="R161" s="290"/>
      <c r="S161" s="290"/>
      <c r="T161" s="290"/>
      <c r="U161" s="290"/>
      <c r="V161" s="348" t="s">
        <v>118</v>
      </c>
      <c r="W161" s="291"/>
      <c r="X161" s="5"/>
    </row>
    <row r="162" spans="1:256" ht="15.6" x14ac:dyDescent="0.3">
      <c r="A162" s="287"/>
      <c r="B162" s="288" t="s">
        <v>49</v>
      </c>
      <c r="C162" s="288"/>
      <c r="D162" s="288"/>
      <c r="E162" s="288"/>
      <c r="F162" s="288"/>
      <c r="G162" s="288"/>
      <c r="H162" s="288"/>
      <c r="I162" s="288"/>
      <c r="J162" s="288"/>
      <c r="K162" s="288"/>
      <c r="L162" s="288"/>
      <c r="M162" s="288"/>
      <c r="N162" s="288"/>
      <c r="O162" s="288"/>
      <c r="P162" s="288"/>
      <c r="Q162" s="288"/>
      <c r="R162" s="288"/>
      <c r="S162" s="288"/>
      <c r="T162" s="288"/>
      <c r="U162" s="288"/>
      <c r="V162" s="348" t="s">
        <v>118</v>
      </c>
      <c r="W162" s="291"/>
      <c r="X162" s="5"/>
    </row>
    <row r="163" spans="1:256" ht="15.6" x14ac:dyDescent="0.3">
      <c r="A163" s="287"/>
      <c r="B163" s="288" t="s">
        <v>50</v>
      </c>
      <c r="C163" s="288"/>
      <c r="D163" s="288"/>
      <c r="E163" s="288"/>
      <c r="F163" s="288"/>
      <c r="G163" s="288"/>
      <c r="H163" s="288"/>
      <c r="I163" s="288"/>
      <c r="J163" s="288"/>
      <c r="K163" s="288"/>
      <c r="L163" s="288"/>
      <c r="M163" s="288"/>
      <c r="N163" s="288"/>
      <c r="O163" s="288"/>
      <c r="P163" s="288"/>
      <c r="Q163" s="288"/>
      <c r="R163" s="288"/>
      <c r="S163" s="288"/>
      <c r="T163" s="288"/>
      <c r="U163" s="288"/>
      <c r="V163" s="348" t="s">
        <v>118</v>
      </c>
      <c r="W163" s="291"/>
      <c r="X163" s="5"/>
    </row>
    <row r="164" spans="1:256" ht="15.6" x14ac:dyDescent="0.3">
      <c r="A164" s="183"/>
      <c r="B164" s="198"/>
      <c r="C164" s="198"/>
      <c r="D164" s="198"/>
      <c r="E164" s="198"/>
      <c r="F164" s="198"/>
      <c r="G164" s="198"/>
      <c r="H164" s="198"/>
      <c r="I164" s="198"/>
      <c r="J164" s="198"/>
      <c r="K164" s="198"/>
      <c r="L164" s="198"/>
      <c r="M164" s="198"/>
      <c r="N164" s="198"/>
      <c r="O164" s="198"/>
      <c r="P164" s="198"/>
      <c r="Q164" s="198"/>
      <c r="R164" s="198"/>
      <c r="S164" s="198"/>
      <c r="T164" s="198"/>
      <c r="U164" s="198"/>
      <c r="V164" s="347"/>
      <c r="W164" s="198"/>
      <c r="X164" s="5"/>
    </row>
    <row r="165" spans="1:256" ht="15.6" x14ac:dyDescent="0.3">
      <c r="A165" s="183"/>
      <c r="B165" s="208" t="s">
        <v>51</v>
      </c>
      <c r="C165" s="185"/>
      <c r="D165" s="185"/>
      <c r="E165" s="185"/>
      <c r="F165" s="185"/>
      <c r="G165" s="185"/>
      <c r="H165" s="185"/>
      <c r="I165" s="185"/>
      <c r="J165" s="185"/>
      <c r="K165" s="185"/>
      <c r="L165" s="185"/>
      <c r="M165" s="185"/>
      <c r="N165" s="185"/>
      <c r="O165" s="185"/>
      <c r="P165" s="185"/>
      <c r="Q165" s="185"/>
      <c r="R165" s="185"/>
      <c r="S165" s="185"/>
      <c r="T165" s="185"/>
      <c r="U165" s="185"/>
      <c r="V165" s="209"/>
      <c r="W165" s="185"/>
      <c r="X165" s="5"/>
    </row>
    <row r="166" spans="1:256" ht="15.6" x14ac:dyDescent="0.3">
      <c r="A166" s="287"/>
      <c r="B166" s="288" t="s">
        <v>52</v>
      </c>
      <c r="C166" s="288"/>
      <c r="D166" s="288"/>
      <c r="E166" s="288"/>
      <c r="F166" s="288"/>
      <c r="G166" s="288"/>
      <c r="H166" s="288"/>
      <c r="I166" s="288"/>
      <c r="J166" s="288"/>
      <c r="K166" s="288"/>
      <c r="L166" s="288"/>
      <c r="M166" s="288"/>
      <c r="N166" s="288"/>
      <c r="O166" s="288"/>
      <c r="P166" s="288"/>
      <c r="Q166" s="288"/>
      <c r="R166" s="288"/>
      <c r="S166" s="288"/>
      <c r="T166" s="288"/>
      <c r="U166" s="288"/>
      <c r="V166" s="338">
        <v>0</v>
      </c>
      <c r="W166" s="291"/>
      <c r="X166" s="5"/>
    </row>
    <row r="167" spans="1:256" ht="15.6" x14ac:dyDescent="0.3">
      <c r="A167" s="287"/>
      <c r="B167" s="288" t="s">
        <v>53</v>
      </c>
      <c r="C167" s="288"/>
      <c r="D167" s="288"/>
      <c r="E167" s="288"/>
      <c r="F167" s="288"/>
      <c r="G167" s="288"/>
      <c r="H167" s="288"/>
      <c r="I167" s="288"/>
      <c r="J167" s="288"/>
      <c r="K167" s="288"/>
      <c r="L167" s="288"/>
      <c r="M167" s="288"/>
      <c r="N167" s="288"/>
      <c r="O167" s="288"/>
      <c r="P167" s="288"/>
      <c r="Q167" s="288"/>
      <c r="R167" s="288"/>
      <c r="S167" s="288"/>
      <c r="T167" s="288"/>
      <c r="U167" s="288"/>
      <c r="V167" s="338">
        <v>253</v>
      </c>
      <c r="W167" s="291"/>
      <c r="X167" s="5"/>
    </row>
    <row r="168" spans="1:256" ht="15.6" x14ac:dyDescent="0.3">
      <c r="A168" s="287"/>
      <c r="B168" s="288" t="s">
        <v>54</v>
      </c>
      <c r="C168" s="288"/>
      <c r="D168" s="288"/>
      <c r="E168" s="288"/>
      <c r="F168" s="288"/>
      <c r="G168" s="288"/>
      <c r="H168" s="288"/>
      <c r="I168" s="288"/>
      <c r="J168" s="288"/>
      <c r="K168" s="288"/>
      <c r="L168" s="288"/>
      <c r="M168" s="288"/>
      <c r="N168" s="288"/>
      <c r="O168" s="288"/>
      <c r="P168" s="288"/>
      <c r="Q168" s="288"/>
      <c r="R168" s="288"/>
      <c r="S168" s="288"/>
      <c r="T168" s="288"/>
      <c r="U168" s="288"/>
      <c r="V168" s="338">
        <f>V167+V166</f>
        <v>253</v>
      </c>
      <c r="W168" s="291"/>
      <c r="X168" s="5"/>
    </row>
    <row r="169" spans="1:256" ht="15.6" x14ac:dyDescent="0.3">
      <c r="A169" s="287"/>
      <c r="B169" s="288" t="s">
        <v>315</v>
      </c>
      <c r="C169" s="288"/>
      <c r="D169" s="288"/>
      <c r="E169" s="288"/>
      <c r="F169" s="288"/>
      <c r="G169" s="288"/>
      <c r="H169" s="288"/>
      <c r="I169" s="288"/>
      <c r="J169" s="288"/>
      <c r="K169" s="288"/>
      <c r="L169" s="288"/>
      <c r="M169" s="288"/>
      <c r="N169" s="288"/>
      <c r="O169" s="288"/>
      <c r="P169" s="288"/>
      <c r="Q169" s="288"/>
      <c r="R169" s="288"/>
      <c r="S169" s="288"/>
      <c r="T169" s="288"/>
      <c r="U169" s="288"/>
      <c r="V169" s="338">
        <f>V115</f>
        <v>-253</v>
      </c>
      <c r="W169" s="291"/>
      <c r="X169" s="5"/>
    </row>
    <row r="170" spans="1:256" ht="15.6" x14ac:dyDescent="0.3">
      <c r="A170" s="287"/>
      <c r="B170" s="288" t="s">
        <v>55</v>
      </c>
      <c r="C170" s="288"/>
      <c r="D170" s="288"/>
      <c r="E170" s="288"/>
      <c r="F170" s="288"/>
      <c r="G170" s="288"/>
      <c r="H170" s="288"/>
      <c r="I170" s="288"/>
      <c r="J170" s="288"/>
      <c r="K170" s="288"/>
      <c r="L170" s="288"/>
      <c r="M170" s="288"/>
      <c r="N170" s="288"/>
      <c r="O170" s="288"/>
      <c r="P170" s="288"/>
      <c r="Q170" s="288"/>
      <c r="R170" s="288"/>
      <c r="S170" s="288"/>
      <c r="T170" s="288"/>
      <c r="U170" s="288"/>
      <c r="V170" s="338">
        <f>V168+V169</f>
        <v>0</v>
      </c>
      <c r="W170" s="291"/>
      <c r="X170" s="5"/>
    </row>
    <row r="171" spans="1:256" ht="15.6" x14ac:dyDescent="0.3">
      <c r="A171" s="287"/>
      <c r="B171" s="288" t="s">
        <v>283</v>
      </c>
      <c r="C171" s="288"/>
      <c r="D171" s="288"/>
      <c r="E171" s="288"/>
      <c r="F171" s="288"/>
      <c r="G171" s="288"/>
      <c r="H171" s="288"/>
      <c r="I171" s="288"/>
      <c r="J171" s="288"/>
      <c r="K171" s="288"/>
      <c r="L171" s="288"/>
      <c r="M171" s="288"/>
      <c r="N171" s="288"/>
      <c r="O171" s="288"/>
      <c r="P171" s="288"/>
      <c r="Q171" s="288"/>
      <c r="R171" s="288"/>
      <c r="S171" s="288"/>
      <c r="T171" s="288"/>
      <c r="U171" s="288"/>
      <c r="V171" s="338">
        <v>0</v>
      </c>
      <c r="W171" s="291"/>
      <c r="X171" s="5"/>
    </row>
    <row r="172" spans="1:256" ht="16.2" thickBot="1" x14ac:dyDescent="0.35">
      <c r="A172" s="183"/>
      <c r="B172" s="284"/>
      <c r="C172" s="284"/>
      <c r="D172" s="284"/>
      <c r="E172" s="284"/>
      <c r="F172" s="284"/>
      <c r="G172" s="284"/>
      <c r="H172" s="284"/>
      <c r="I172" s="284"/>
      <c r="J172" s="284"/>
      <c r="K172" s="284"/>
      <c r="L172" s="284"/>
      <c r="M172" s="284"/>
      <c r="N172" s="284"/>
      <c r="O172" s="284"/>
      <c r="P172" s="284"/>
      <c r="Q172" s="284"/>
      <c r="R172" s="284"/>
      <c r="S172" s="284"/>
      <c r="T172" s="284"/>
      <c r="U172" s="284"/>
      <c r="V172" s="349"/>
      <c r="W172" s="284"/>
      <c r="X172" s="5"/>
    </row>
    <row r="173" spans="1:256" ht="15.6" x14ac:dyDescent="0.3">
      <c r="A173" s="180"/>
      <c r="B173" s="247"/>
      <c r="C173" s="247"/>
      <c r="D173" s="247"/>
      <c r="E173" s="247"/>
      <c r="F173" s="247"/>
      <c r="G173" s="247"/>
      <c r="H173" s="247"/>
      <c r="I173" s="247"/>
      <c r="J173" s="247"/>
      <c r="K173" s="247"/>
      <c r="L173" s="247"/>
      <c r="M173" s="247"/>
      <c r="N173" s="247"/>
      <c r="O173" s="247"/>
      <c r="P173" s="247"/>
      <c r="Q173" s="247"/>
      <c r="R173" s="247"/>
      <c r="S173" s="247"/>
      <c r="T173" s="247"/>
      <c r="U173" s="247"/>
      <c r="V173" s="248"/>
      <c r="W173" s="247"/>
      <c r="X173" s="5"/>
    </row>
    <row r="174" spans="1:256" s="161" customFormat="1" ht="15.6" x14ac:dyDescent="0.3">
      <c r="A174" s="183"/>
      <c r="B174" s="208" t="s">
        <v>269</v>
      </c>
      <c r="C174" s="198"/>
      <c r="D174" s="198"/>
      <c r="E174" s="198"/>
      <c r="F174" s="198"/>
      <c r="G174" s="198"/>
      <c r="H174" s="198"/>
      <c r="I174" s="198"/>
      <c r="J174" s="198"/>
      <c r="K174" s="198"/>
      <c r="L174" s="198"/>
      <c r="M174" s="198"/>
      <c r="N174" s="198"/>
      <c r="O174" s="198"/>
      <c r="P174" s="198"/>
      <c r="Q174" s="198"/>
      <c r="R174" s="198"/>
      <c r="S174" s="198"/>
      <c r="T174" s="198"/>
      <c r="U174" s="198"/>
      <c r="V174" s="210"/>
      <c r="W174" s="198"/>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5.6" x14ac:dyDescent="0.3">
      <c r="A175" s="287"/>
      <c r="B175" s="288" t="s">
        <v>270</v>
      </c>
      <c r="C175" s="288"/>
      <c r="D175" s="288"/>
      <c r="E175" s="288"/>
      <c r="F175" s="288"/>
      <c r="G175" s="288"/>
      <c r="H175" s="288"/>
      <c r="I175" s="288"/>
      <c r="J175" s="288"/>
      <c r="K175" s="288"/>
      <c r="L175" s="288"/>
      <c r="M175" s="288"/>
      <c r="N175" s="288"/>
      <c r="O175" s="288"/>
      <c r="P175" s="288"/>
      <c r="Q175" s="288"/>
      <c r="R175" s="288"/>
      <c r="S175" s="288"/>
      <c r="T175" s="288"/>
      <c r="U175" s="288"/>
      <c r="V175" s="338">
        <f>+'Aug 08'!V177</f>
        <v>0</v>
      </c>
      <c r="W175" s="291"/>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3" customFormat="1" ht="15.6" x14ac:dyDescent="0.3">
      <c r="A176" s="287"/>
      <c r="B176" s="288" t="s">
        <v>273</v>
      </c>
      <c r="C176" s="288"/>
      <c r="D176" s="288"/>
      <c r="E176" s="288"/>
      <c r="F176" s="288"/>
      <c r="G176" s="288"/>
      <c r="H176" s="288"/>
      <c r="I176" s="288"/>
      <c r="J176" s="288"/>
      <c r="K176" s="288"/>
      <c r="L176" s="288"/>
      <c r="M176" s="288"/>
      <c r="N176" s="288"/>
      <c r="O176" s="288"/>
      <c r="P176" s="288"/>
      <c r="Q176" s="288"/>
      <c r="R176" s="288"/>
      <c r="S176" s="288"/>
      <c r="T176" s="288"/>
      <c r="U176" s="288"/>
      <c r="V176" s="338">
        <f>+V94</f>
        <v>0</v>
      </c>
      <c r="W176" s="291"/>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s="163" customFormat="1" ht="15.6" x14ac:dyDescent="0.3">
      <c r="A177" s="287"/>
      <c r="B177" s="288" t="s">
        <v>271</v>
      </c>
      <c r="C177" s="288"/>
      <c r="D177" s="288"/>
      <c r="E177" s="288"/>
      <c r="F177" s="288"/>
      <c r="G177" s="288"/>
      <c r="H177" s="288"/>
      <c r="I177" s="288"/>
      <c r="J177" s="288"/>
      <c r="K177" s="288"/>
      <c r="L177" s="288"/>
      <c r="M177" s="288"/>
      <c r="N177" s="288"/>
      <c r="O177" s="288"/>
      <c r="P177" s="288"/>
      <c r="Q177" s="288"/>
      <c r="R177" s="288"/>
      <c r="S177" s="288"/>
      <c r="T177" s="288"/>
      <c r="U177" s="288"/>
      <c r="V177" s="338">
        <f>+V175-V176</f>
        <v>0</v>
      </c>
      <c r="W177" s="291"/>
      <c r="X177" s="5"/>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s="166" customFormat="1" ht="16.2" thickBot="1" x14ac:dyDescent="0.35">
      <c r="A178" s="199"/>
      <c r="B178" s="198"/>
      <c r="C178" s="198"/>
      <c r="D178" s="198"/>
      <c r="E178" s="198"/>
      <c r="F178" s="198"/>
      <c r="G178" s="198"/>
      <c r="H178" s="198"/>
      <c r="I178" s="198"/>
      <c r="J178" s="198"/>
      <c r="K178" s="198"/>
      <c r="L178" s="198"/>
      <c r="M178" s="198"/>
      <c r="N178" s="198"/>
      <c r="O178" s="198"/>
      <c r="P178" s="198"/>
      <c r="Q178" s="198"/>
      <c r="R178" s="198"/>
      <c r="S178" s="198"/>
      <c r="T178" s="198"/>
      <c r="U178" s="198"/>
      <c r="V178" s="347"/>
      <c r="W178" s="198"/>
      <c r="X178" s="5"/>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s="167" customFormat="1" ht="15.6" x14ac:dyDescent="0.3">
      <c r="A179" s="180"/>
      <c r="B179" s="181"/>
      <c r="C179" s="181"/>
      <c r="D179" s="181"/>
      <c r="E179" s="181"/>
      <c r="F179" s="181"/>
      <c r="G179" s="181"/>
      <c r="H179" s="181"/>
      <c r="I179" s="181"/>
      <c r="J179" s="181"/>
      <c r="K179" s="181"/>
      <c r="L179" s="181"/>
      <c r="M179" s="181"/>
      <c r="N179" s="181"/>
      <c r="O179" s="181"/>
      <c r="P179" s="181"/>
      <c r="Q179" s="181"/>
      <c r="R179" s="181"/>
      <c r="S179" s="181"/>
      <c r="T179" s="181"/>
      <c r="U179" s="181"/>
      <c r="V179" s="200"/>
      <c r="W179" s="181"/>
      <c r="X179" s="5"/>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ht="15.6" x14ac:dyDescent="0.3">
      <c r="A180" s="183"/>
      <c r="B180" s="208" t="s">
        <v>56</v>
      </c>
      <c r="C180" s="185"/>
      <c r="D180" s="185"/>
      <c r="E180" s="185"/>
      <c r="F180" s="185"/>
      <c r="G180" s="185"/>
      <c r="H180" s="185"/>
      <c r="I180" s="185"/>
      <c r="J180" s="185"/>
      <c r="K180" s="185"/>
      <c r="L180" s="185"/>
      <c r="M180" s="185"/>
      <c r="N180" s="185"/>
      <c r="O180" s="185"/>
      <c r="P180" s="185"/>
      <c r="Q180" s="185"/>
      <c r="R180" s="185"/>
      <c r="S180" s="185"/>
      <c r="T180" s="185"/>
      <c r="U180" s="185"/>
      <c r="V180" s="201"/>
      <c r="W180" s="185"/>
      <c r="X180" s="5"/>
    </row>
    <row r="181" spans="1:256" ht="15.6" x14ac:dyDescent="0.3">
      <c r="A181" s="183"/>
      <c r="B181" s="195"/>
      <c r="C181" s="185"/>
      <c r="D181" s="185"/>
      <c r="E181" s="185"/>
      <c r="F181" s="185"/>
      <c r="G181" s="185"/>
      <c r="H181" s="185"/>
      <c r="I181" s="185"/>
      <c r="J181" s="185"/>
      <c r="K181" s="185"/>
      <c r="L181" s="185"/>
      <c r="M181" s="185"/>
      <c r="N181" s="185"/>
      <c r="O181" s="185"/>
      <c r="P181" s="185"/>
      <c r="Q181" s="185"/>
      <c r="R181" s="185"/>
      <c r="S181" s="185"/>
      <c r="T181" s="185"/>
      <c r="U181" s="185"/>
      <c r="V181" s="201"/>
      <c r="W181" s="185"/>
      <c r="X181" s="5"/>
    </row>
    <row r="182" spans="1:256" ht="15.6" x14ac:dyDescent="0.3">
      <c r="A182" s="287"/>
      <c r="B182" s="288" t="s">
        <v>57</v>
      </c>
      <c r="C182" s="288"/>
      <c r="D182" s="288"/>
      <c r="E182" s="288"/>
      <c r="F182" s="288"/>
      <c r="G182" s="288"/>
      <c r="H182" s="288"/>
      <c r="I182" s="288"/>
      <c r="J182" s="288"/>
      <c r="K182" s="288"/>
      <c r="L182" s="288"/>
      <c r="M182" s="288"/>
      <c r="N182" s="288"/>
      <c r="O182" s="288"/>
      <c r="P182" s="288"/>
      <c r="Q182" s="288"/>
      <c r="R182" s="288"/>
      <c r="S182" s="288"/>
      <c r="T182" s="288"/>
      <c r="U182" s="288"/>
      <c r="V182" s="338">
        <f>V71</f>
        <v>1094792</v>
      </c>
      <c r="W182" s="291"/>
      <c r="X182" s="5"/>
    </row>
    <row r="183" spans="1:256" ht="15.6" x14ac:dyDescent="0.3">
      <c r="A183" s="287"/>
      <c r="B183" s="288" t="s">
        <v>58</v>
      </c>
      <c r="C183" s="288"/>
      <c r="D183" s="288"/>
      <c r="E183" s="288"/>
      <c r="F183" s="288"/>
      <c r="G183" s="288"/>
      <c r="H183" s="288"/>
      <c r="I183" s="288"/>
      <c r="J183" s="288"/>
      <c r="K183" s="288"/>
      <c r="L183" s="288"/>
      <c r="M183" s="288"/>
      <c r="N183" s="288"/>
      <c r="O183" s="288"/>
      <c r="P183" s="288"/>
      <c r="Q183" s="288"/>
      <c r="R183" s="288"/>
      <c r="S183" s="288"/>
      <c r="T183" s="288"/>
      <c r="U183" s="288"/>
      <c r="V183" s="338">
        <f>V84</f>
        <v>1094792</v>
      </c>
      <c r="W183" s="291"/>
      <c r="X183" s="5"/>
    </row>
    <row r="184" spans="1:256" ht="16.2" thickBot="1" x14ac:dyDescent="0.35">
      <c r="A184" s="183"/>
      <c r="B184" s="198"/>
      <c r="C184" s="198"/>
      <c r="D184" s="198"/>
      <c r="E184" s="198"/>
      <c r="F184" s="198"/>
      <c r="G184" s="198"/>
      <c r="H184" s="198"/>
      <c r="I184" s="198"/>
      <c r="J184" s="198"/>
      <c r="K184" s="198"/>
      <c r="L184" s="198"/>
      <c r="M184" s="198"/>
      <c r="N184" s="198"/>
      <c r="O184" s="198"/>
      <c r="P184" s="198"/>
      <c r="Q184" s="198"/>
      <c r="R184" s="198"/>
      <c r="S184" s="198"/>
      <c r="T184" s="198"/>
      <c r="U184" s="198"/>
      <c r="V184" s="347"/>
      <c r="W184" s="198"/>
      <c r="X184" s="5"/>
    </row>
    <row r="185" spans="1:256" ht="15.6" x14ac:dyDescent="0.3">
      <c r="A185" s="180"/>
      <c r="B185" s="181"/>
      <c r="C185" s="181"/>
      <c r="D185" s="181"/>
      <c r="E185" s="181"/>
      <c r="F185" s="181"/>
      <c r="G185" s="181"/>
      <c r="H185" s="181"/>
      <c r="I185" s="181"/>
      <c r="J185" s="181"/>
      <c r="K185" s="181"/>
      <c r="L185" s="181"/>
      <c r="M185" s="181"/>
      <c r="N185" s="181"/>
      <c r="O185" s="181"/>
      <c r="P185" s="181"/>
      <c r="Q185" s="181"/>
      <c r="R185" s="181"/>
      <c r="S185" s="181"/>
      <c r="T185" s="181"/>
      <c r="U185" s="181"/>
      <c r="V185" s="200"/>
      <c r="W185" s="181"/>
      <c r="X185" s="5"/>
    </row>
    <row r="186" spans="1:256" ht="15.6" x14ac:dyDescent="0.3">
      <c r="A186" s="183"/>
      <c r="B186" s="208" t="s">
        <v>59</v>
      </c>
      <c r="C186" s="205"/>
      <c r="D186" s="205"/>
      <c r="E186" s="205"/>
      <c r="F186" s="205"/>
      <c r="G186" s="205"/>
      <c r="H186" s="211"/>
      <c r="I186" s="211"/>
      <c r="J186" s="211"/>
      <c r="K186" s="211"/>
      <c r="L186" s="211"/>
      <c r="M186" s="211"/>
      <c r="N186" s="211"/>
      <c r="O186" s="211"/>
      <c r="P186" s="211"/>
      <c r="Q186" s="211"/>
      <c r="R186" s="211"/>
      <c r="S186" s="211" t="s">
        <v>101</v>
      </c>
      <c r="T186" s="211" t="s">
        <v>176</v>
      </c>
      <c r="U186" s="187"/>
      <c r="V186" s="212" t="s">
        <v>114</v>
      </c>
      <c r="W186" s="213"/>
      <c r="X186" s="5"/>
    </row>
    <row r="187" spans="1:256" ht="15.6" x14ac:dyDescent="0.3">
      <c r="A187" s="287"/>
      <c r="B187" s="288" t="s">
        <v>60</v>
      </c>
      <c r="C187" s="288"/>
      <c r="D187" s="288"/>
      <c r="E187" s="288"/>
      <c r="F187" s="288"/>
      <c r="G187" s="288"/>
      <c r="H187" s="288"/>
      <c r="I187" s="288"/>
      <c r="J187" s="288"/>
      <c r="K187" s="288"/>
      <c r="L187" s="288"/>
      <c r="M187" s="288"/>
      <c r="N187" s="288"/>
      <c r="O187" s="288"/>
      <c r="P187" s="288"/>
      <c r="Q187" s="288"/>
      <c r="R187" s="288"/>
      <c r="S187" s="338">
        <f>+V34*0.16</f>
        <v>240044</v>
      </c>
      <c r="T187" s="325"/>
      <c r="U187" s="288"/>
      <c r="V187" s="338"/>
      <c r="W187" s="291"/>
      <c r="X187" s="5"/>
    </row>
    <row r="188" spans="1:256" ht="15.6" x14ac:dyDescent="0.3">
      <c r="A188" s="287"/>
      <c r="B188" s="288" t="s">
        <v>61</v>
      </c>
      <c r="C188" s="288"/>
      <c r="D188" s="288"/>
      <c r="E188" s="288"/>
      <c r="F188" s="288"/>
      <c r="G188" s="288"/>
      <c r="H188" s="288"/>
      <c r="I188" s="288"/>
      <c r="J188" s="288"/>
      <c r="K188" s="288"/>
      <c r="L188" s="288"/>
      <c r="M188" s="288"/>
      <c r="N188" s="288"/>
      <c r="O188" s="288"/>
      <c r="P188" s="288"/>
      <c r="Q188" s="288"/>
      <c r="R188" s="288"/>
      <c r="S188" s="338">
        <f>+'Feb 13'!S190</f>
        <v>24248</v>
      </c>
      <c r="T188" s="338">
        <f>+'Feb 13'!T190</f>
        <v>6013</v>
      </c>
      <c r="U188" s="288"/>
      <c r="V188" s="338">
        <f>S188+T188</f>
        <v>30261</v>
      </c>
      <c r="W188" s="291"/>
      <c r="X188" s="5"/>
    </row>
    <row r="189" spans="1:256" ht="15.6" x14ac:dyDescent="0.3">
      <c r="A189" s="287"/>
      <c r="B189" s="288" t="s">
        <v>62</v>
      </c>
      <c r="C189" s="288"/>
      <c r="D189" s="288"/>
      <c r="E189" s="288"/>
      <c r="F189" s="288"/>
      <c r="G189" s="288"/>
      <c r="H189" s="288"/>
      <c r="I189" s="288"/>
      <c r="J189" s="288"/>
      <c r="K189" s="288"/>
      <c r="L189" s="288"/>
      <c r="M189" s="288"/>
      <c r="N189" s="288"/>
      <c r="O189" s="288"/>
      <c r="P189" s="288"/>
      <c r="Q189" s="288"/>
      <c r="R189" s="288"/>
      <c r="S189" s="337">
        <v>49</v>
      </c>
      <c r="T189" s="337">
        <v>0</v>
      </c>
      <c r="U189" s="288"/>
      <c r="V189" s="338">
        <f>S189+T189</f>
        <v>49</v>
      </c>
      <c r="W189" s="291"/>
      <c r="X189" s="5"/>
    </row>
    <row r="190" spans="1:256" ht="15.6" x14ac:dyDescent="0.3">
      <c r="A190" s="287"/>
      <c r="B190" s="288" t="s">
        <v>63</v>
      </c>
      <c r="C190" s="288"/>
      <c r="D190" s="288"/>
      <c r="E190" s="288"/>
      <c r="F190" s="288"/>
      <c r="G190" s="288"/>
      <c r="H190" s="288"/>
      <c r="I190" s="288"/>
      <c r="J190" s="288"/>
      <c r="K190" s="288"/>
      <c r="L190" s="288"/>
      <c r="M190" s="288"/>
      <c r="N190" s="288"/>
      <c r="O190" s="288"/>
      <c r="P190" s="288"/>
      <c r="Q190" s="288"/>
      <c r="R190" s="288"/>
      <c r="S190" s="338">
        <f>S188+S189</f>
        <v>24297</v>
      </c>
      <c r="T190" s="338">
        <f>T189+T188</f>
        <v>6013</v>
      </c>
      <c r="U190" s="288"/>
      <c r="V190" s="338">
        <f>S190+T190</f>
        <v>30310</v>
      </c>
      <c r="W190" s="291"/>
      <c r="X190" s="5"/>
    </row>
    <row r="191" spans="1:256" ht="15.6" x14ac:dyDescent="0.3">
      <c r="A191" s="287"/>
      <c r="B191" s="288" t="s">
        <v>64</v>
      </c>
      <c r="C191" s="288"/>
      <c r="D191" s="288"/>
      <c r="E191" s="288"/>
      <c r="F191" s="288"/>
      <c r="G191" s="288"/>
      <c r="H191" s="288"/>
      <c r="I191" s="288"/>
      <c r="J191" s="288"/>
      <c r="K191" s="288"/>
      <c r="L191" s="288"/>
      <c r="M191" s="288"/>
      <c r="N191" s="288"/>
      <c r="O191" s="288"/>
      <c r="P191" s="288"/>
      <c r="Q191" s="288"/>
      <c r="R191" s="288"/>
      <c r="S191" s="338">
        <f>S187-S190-T190</f>
        <v>209734</v>
      </c>
      <c r="T191" s="325"/>
      <c r="U191" s="288"/>
      <c r="V191" s="338"/>
      <c r="W191" s="291"/>
      <c r="X191" s="5"/>
    </row>
    <row r="192" spans="1:256" ht="16.2" thickBot="1" x14ac:dyDescent="0.35">
      <c r="A192" s="183"/>
      <c r="B192" s="198"/>
      <c r="C192" s="198"/>
      <c r="D192" s="198"/>
      <c r="E192" s="198"/>
      <c r="F192" s="198"/>
      <c r="G192" s="198"/>
      <c r="H192" s="198"/>
      <c r="I192" s="198"/>
      <c r="J192" s="198"/>
      <c r="K192" s="198"/>
      <c r="L192" s="198"/>
      <c r="M192" s="198"/>
      <c r="N192" s="198"/>
      <c r="O192" s="198"/>
      <c r="P192" s="198"/>
      <c r="Q192" s="198"/>
      <c r="R192" s="198"/>
      <c r="S192" s="198"/>
      <c r="T192" s="198"/>
      <c r="U192" s="198"/>
      <c r="V192" s="347"/>
      <c r="W192" s="198"/>
      <c r="X192" s="5"/>
    </row>
    <row r="193" spans="1:24" ht="15.6" x14ac:dyDescent="0.3">
      <c r="A193" s="180"/>
      <c r="B193" s="181"/>
      <c r="C193" s="181"/>
      <c r="D193" s="181"/>
      <c r="E193" s="181"/>
      <c r="F193" s="181"/>
      <c r="G193" s="181"/>
      <c r="H193" s="181"/>
      <c r="I193" s="181"/>
      <c r="J193" s="181"/>
      <c r="K193" s="181"/>
      <c r="L193" s="181"/>
      <c r="M193" s="181"/>
      <c r="N193" s="181"/>
      <c r="O193" s="181"/>
      <c r="P193" s="181"/>
      <c r="Q193" s="181"/>
      <c r="R193" s="181"/>
      <c r="S193" s="181"/>
      <c r="T193" s="181"/>
      <c r="U193" s="181"/>
      <c r="V193" s="200"/>
      <c r="W193" s="181"/>
      <c r="X193" s="5"/>
    </row>
    <row r="194" spans="1:24" ht="15.6" x14ac:dyDescent="0.3">
      <c r="A194" s="183"/>
      <c r="B194" s="208" t="s">
        <v>65</v>
      </c>
      <c r="C194" s="185"/>
      <c r="D194" s="185"/>
      <c r="E194" s="185"/>
      <c r="F194" s="185"/>
      <c r="G194" s="185"/>
      <c r="H194" s="185"/>
      <c r="I194" s="185"/>
      <c r="J194" s="185"/>
      <c r="K194" s="185"/>
      <c r="L194" s="185"/>
      <c r="M194" s="185"/>
      <c r="N194" s="185"/>
      <c r="O194" s="185"/>
      <c r="P194" s="185"/>
      <c r="Q194" s="185"/>
      <c r="R194" s="185"/>
      <c r="S194" s="185"/>
      <c r="T194" s="185"/>
      <c r="U194" s="185"/>
      <c r="V194" s="214"/>
      <c r="W194" s="185"/>
      <c r="X194" s="5"/>
    </row>
    <row r="195" spans="1:24" ht="15.6" x14ac:dyDescent="0.3">
      <c r="A195" s="287"/>
      <c r="B195" s="288" t="s">
        <v>66</v>
      </c>
      <c r="C195" s="288"/>
      <c r="D195" s="288"/>
      <c r="E195" s="288"/>
      <c r="F195" s="288"/>
      <c r="G195" s="288"/>
      <c r="H195" s="288"/>
      <c r="I195" s="288"/>
      <c r="J195" s="288"/>
      <c r="K195" s="288"/>
      <c r="L195" s="288"/>
      <c r="M195" s="288"/>
      <c r="N195" s="288"/>
      <c r="O195" s="288"/>
      <c r="P195" s="288"/>
      <c r="Q195" s="288"/>
      <c r="R195" s="288"/>
      <c r="S195" s="288"/>
      <c r="T195" s="288"/>
      <c r="U195" s="288"/>
      <c r="V195" s="348">
        <f>(V101+V103+V104+V105+V106)/-(V107+V108)</f>
        <v>3.906769596199525</v>
      </c>
      <c r="W195" s="291" t="s">
        <v>115</v>
      </c>
      <c r="X195" s="5"/>
    </row>
    <row r="196" spans="1:24" ht="15.6" x14ac:dyDescent="0.3">
      <c r="A196" s="287"/>
      <c r="B196" s="288" t="s">
        <v>67</v>
      </c>
      <c r="C196" s="288"/>
      <c r="D196" s="288"/>
      <c r="E196" s="288"/>
      <c r="F196" s="288"/>
      <c r="G196" s="288"/>
      <c r="H196" s="288"/>
      <c r="I196" s="288"/>
      <c r="J196" s="288"/>
      <c r="K196" s="288"/>
      <c r="L196" s="288"/>
      <c r="M196" s="288"/>
      <c r="N196" s="288"/>
      <c r="O196" s="288"/>
      <c r="P196" s="288"/>
      <c r="Q196" s="288"/>
      <c r="R196" s="288"/>
      <c r="S196" s="288"/>
      <c r="T196" s="288"/>
      <c r="U196" s="288"/>
      <c r="V196" s="350">
        <v>1.78</v>
      </c>
      <c r="W196" s="291" t="s">
        <v>115</v>
      </c>
      <c r="X196" s="5"/>
    </row>
    <row r="197" spans="1:24" ht="15.6" x14ac:dyDescent="0.3">
      <c r="A197" s="287"/>
      <c r="B197" s="288" t="s">
        <v>68</v>
      </c>
      <c r="C197" s="288"/>
      <c r="D197" s="288"/>
      <c r="E197" s="288"/>
      <c r="F197" s="288"/>
      <c r="G197" s="288"/>
      <c r="H197" s="288"/>
      <c r="I197" s="288"/>
      <c r="J197" s="288"/>
      <c r="K197" s="288"/>
      <c r="L197" s="288"/>
      <c r="M197" s="288"/>
      <c r="N197" s="288"/>
      <c r="O197" s="288"/>
      <c r="P197" s="288"/>
      <c r="Q197" s="288"/>
      <c r="R197" s="288"/>
      <c r="S197" s="288"/>
      <c r="T197" s="288"/>
      <c r="U197" s="288"/>
      <c r="V197" s="348">
        <f>(V101+V103+V104+V105+V106+V107+V108)/-(V110+V111)</f>
        <v>18.754789272030653</v>
      </c>
      <c r="W197" s="291" t="s">
        <v>115</v>
      </c>
      <c r="X197" s="5"/>
    </row>
    <row r="198" spans="1:24" ht="15.6" x14ac:dyDescent="0.3">
      <c r="A198" s="287"/>
      <c r="B198" s="288" t="s">
        <v>69</v>
      </c>
      <c r="C198" s="288"/>
      <c r="D198" s="288"/>
      <c r="E198" s="288"/>
      <c r="F198" s="288"/>
      <c r="G198" s="288"/>
      <c r="H198" s="288"/>
      <c r="I198" s="288"/>
      <c r="J198" s="288"/>
      <c r="K198" s="288"/>
      <c r="L198" s="288"/>
      <c r="M198" s="288"/>
      <c r="N198" s="288"/>
      <c r="O198" s="288"/>
      <c r="P198" s="288"/>
      <c r="Q198" s="288"/>
      <c r="R198" s="288"/>
      <c r="S198" s="288"/>
      <c r="T198" s="288"/>
      <c r="U198" s="288"/>
      <c r="V198" s="350">
        <v>7.47</v>
      </c>
      <c r="W198" s="291" t="s">
        <v>115</v>
      </c>
      <c r="X198" s="5"/>
    </row>
    <row r="199" spans="1:24" ht="15.6" x14ac:dyDescent="0.3">
      <c r="A199" s="287"/>
      <c r="B199" s="288" t="s">
        <v>198</v>
      </c>
      <c r="C199" s="288"/>
      <c r="D199" s="288"/>
      <c r="E199" s="288"/>
      <c r="F199" s="288"/>
      <c r="G199" s="288"/>
      <c r="H199" s="288"/>
      <c r="I199" s="288"/>
      <c r="J199" s="288"/>
      <c r="K199" s="288"/>
      <c r="L199" s="288"/>
      <c r="M199" s="288"/>
      <c r="N199" s="288"/>
      <c r="O199" s="288"/>
      <c r="P199" s="288"/>
      <c r="Q199" s="288"/>
      <c r="R199" s="288"/>
      <c r="S199" s="288"/>
      <c r="T199" s="288"/>
      <c r="U199" s="288"/>
      <c r="V199" s="348">
        <f>(V101+V103+V104+V105+V106+V107+V108+V110+V111)/-(V112+V113)</f>
        <v>11.791348600508906</v>
      </c>
      <c r="W199" s="291" t="s">
        <v>115</v>
      </c>
      <c r="X199" s="5"/>
    </row>
    <row r="200" spans="1:24" ht="15.6" x14ac:dyDescent="0.3">
      <c r="A200" s="287"/>
      <c r="B200" s="288" t="s">
        <v>199</v>
      </c>
      <c r="C200" s="288"/>
      <c r="D200" s="288"/>
      <c r="E200" s="288"/>
      <c r="F200" s="288"/>
      <c r="G200" s="288"/>
      <c r="H200" s="288"/>
      <c r="I200" s="288"/>
      <c r="J200" s="288"/>
      <c r="K200" s="288"/>
      <c r="L200" s="288"/>
      <c r="M200" s="288"/>
      <c r="N200" s="288"/>
      <c r="O200" s="288"/>
      <c r="P200" s="288"/>
      <c r="Q200" s="288"/>
      <c r="R200" s="288"/>
      <c r="S200" s="288"/>
      <c r="T200" s="288"/>
      <c r="U200" s="288"/>
      <c r="V200" s="350">
        <v>5.86</v>
      </c>
      <c r="W200" s="291" t="s">
        <v>115</v>
      </c>
      <c r="X200" s="5"/>
    </row>
    <row r="201" spans="1:24" ht="15.6" x14ac:dyDescent="0.3">
      <c r="A201" s="287"/>
      <c r="B201" s="314"/>
      <c r="C201" s="314"/>
      <c r="D201" s="314"/>
      <c r="E201" s="314"/>
      <c r="F201" s="314"/>
      <c r="G201" s="314"/>
      <c r="H201" s="314"/>
      <c r="I201" s="314"/>
      <c r="J201" s="314"/>
      <c r="K201" s="314"/>
      <c r="L201" s="314"/>
      <c r="M201" s="314"/>
      <c r="N201" s="314"/>
      <c r="O201" s="314"/>
      <c r="P201" s="314"/>
      <c r="Q201" s="314"/>
      <c r="R201" s="314"/>
      <c r="S201" s="314"/>
      <c r="T201" s="314"/>
      <c r="U201" s="314"/>
      <c r="V201" s="314"/>
      <c r="W201" s="318"/>
      <c r="X201" s="5"/>
    </row>
    <row r="202" spans="1:24" ht="15.6" x14ac:dyDescent="0.3">
      <c r="A202" s="183"/>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5"/>
    </row>
    <row r="203" spans="1:24" ht="15.6" x14ac:dyDescent="0.3">
      <c r="A203" s="183"/>
      <c r="B203" s="185"/>
      <c r="C203" s="185"/>
      <c r="D203" s="185"/>
      <c r="E203" s="185"/>
      <c r="F203" s="185"/>
      <c r="G203" s="185"/>
      <c r="H203" s="185"/>
      <c r="I203" s="185"/>
      <c r="J203" s="185"/>
      <c r="K203" s="185"/>
      <c r="L203" s="185"/>
      <c r="M203" s="185"/>
      <c r="N203" s="185"/>
      <c r="O203" s="185"/>
      <c r="P203" s="185"/>
      <c r="Q203" s="185"/>
      <c r="R203" s="185"/>
      <c r="S203" s="185"/>
      <c r="T203" s="185"/>
      <c r="U203" s="185"/>
      <c r="V203" s="185"/>
      <c r="W203" s="185"/>
      <c r="X203" s="5"/>
    </row>
    <row r="204" spans="1:24" ht="18" thickBot="1" x14ac:dyDescent="0.35">
      <c r="A204" s="199"/>
      <c r="B204" s="237" t="str">
        <f>B138</f>
        <v>PM14 INVESTOR REPORT QUARTER ENDING MAY 2013</v>
      </c>
      <c r="C204" s="215"/>
      <c r="D204" s="215"/>
      <c r="E204" s="215"/>
      <c r="F204" s="215"/>
      <c r="G204" s="215"/>
      <c r="H204" s="215"/>
      <c r="I204" s="215"/>
      <c r="J204" s="215"/>
      <c r="K204" s="215"/>
      <c r="L204" s="215"/>
      <c r="M204" s="215"/>
      <c r="N204" s="215"/>
      <c r="O204" s="215"/>
      <c r="P204" s="215"/>
      <c r="Q204" s="215"/>
      <c r="R204" s="215"/>
      <c r="S204" s="215"/>
      <c r="T204" s="215"/>
      <c r="U204" s="215"/>
      <c r="V204" s="215"/>
      <c r="W204" s="216"/>
      <c r="X204" s="5"/>
    </row>
    <row r="205" spans="1:24" ht="15.6" x14ac:dyDescent="0.3">
      <c r="A205" s="273"/>
      <c r="B205" s="403" t="s">
        <v>70</v>
      </c>
      <c r="C205" s="404"/>
      <c r="D205" s="404"/>
      <c r="E205" s="404"/>
      <c r="F205" s="404"/>
      <c r="G205" s="405"/>
      <c r="H205" s="405"/>
      <c r="I205" s="405"/>
      <c r="J205" s="405"/>
      <c r="K205" s="405"/>
      <c r="L205" s="405"/>
      <c r="M205" s="405"/>
      <c r="N205" s="405"/>
      <c r="O205" s="405"/>
      <c r="P205" s="405"/>
      <c r="Q205" s="405"/>
      <c r="R205" s="405"/>
      <c r="S205" s="405"/>
      <c r="T205" s="405">
        <v>41425</v>
      </c>
      <c r="U205" s="274"/>
      <c r="V205" s="274"/>
      <c r="W205" s="274"/>
      <c r="X205" s="5"/>
    </row>
    <row r="206" spans="1:24" ht="15.6" x14ac:dyDescent="0.3">
      <c r="A206" s="217"/>
      <c r="B206" s="230"/>
      <c r="C206" s="249"/>
      <c r="D206" s="249"/>
      <c r="E206" s="249"/>
      <c r="F206" s="249"/>
      <c r="G206" s="229"/>
      <c r="H206" s="229"/>
      <c r="I206" s="229"/>
      <c r="J206" s="229"/>
      <c r="K206" s="229"/>
      <c r="L206" s="229"/>
      <c r="M206" s="229"/>
      <c r="N206" s="229"/>
      <c r="O206" s="229"/>
      <c r="P206" s="229"/>
      <c r="Q206" s="229"/>
      <c r="R206" s="229"/>
      <c r="S206" s="229"/>
      <c r="T206" s="229"/>
      <c r="U206" s="224"/>
      <c r="V206" s="224"/>
      <c r="W206" s="224"/>
      <c r="X206" s="5"/>
    </row>
    <row r="207" spans="1:24" ht="15.6" x14ac:dyDescent="0.3">
      <c r="A207" s="352"/>
      <c r="B207" s="288" t="s">
        <v>71</v>
      </c>
      <c r="C207" s="353"/>
      <c r="D207" s="353"/>
      <c r="E207" s="353"/>
      <c r="F207" s="353"/>
      <c r="G207" s="330"/>
      <c r="H207" s="330"/>
      <c r="I207" s="330"/>
      <c r="J207" s="330"/>
      <c r="K207" s="330"/>
      <c r="L207" s="330"/>
      <c r="M207" s="330"/>
      <c r="N207" s="330"/>
      <c r="O207" s="330"/>
      <c r="P207" s="330"/>
      <c r="Q207" s="330"/>
      <c r="R207" s="330"/>
      <c r="S207" s="330"/>
      <c r="T207" s="321">
        <v>5.2819999999999999E-2</v>
      </c>
      <c r="U207" s="288"/>
      <c r="V207" s="288"/>
      <c r="W207" s="291"/>
      <c r="X207" s="5"/>
    </row>
    <row r="208" spans="1:24" ht="15.6" x14ac:dyDescent="0.3">
      <c r="A208" s="352"/>
      <c r="B208" s="288" t="s">
        <v>151</v>
      </c>
      <c r="C208" s="353"/>
      <c r="D208" s="353"/>
      <c r="E208" s="353"/>
      <c r="F208" s="353"/>
      <c r="G208" s="330"/>
      <c r="H208" s="330"/>
      <c r="I208" s="330"/>
      <c r="J208" s="330"/>
      <c r="K208" s="330"/>
      <c r="L208" s="330"/>
      <c r="M208" s="330"/>
      <c r="N208" s="330"/>
      <c r="O208" s="330"/>
      <c r="P208" s="330"/>
      <c r="Q208" s="330"/>
      <c r="R208" s="330"/>
      <c r="S208" s="330"/>
      <c r="T208" s="321">
        <v>5.7799999999999997E-2</v>
      </c>
      <c r="U208" s="288"/>
      <c r="V208" s="288"/>
      <c r="W208" s="291"/>
      <c r="X208" s="5"/>
    </row>
    <row r="209" spans="1:24" ht="15.6" x14ac:dyDescent="0.3">
      <c r="A209" s="352"/>
      <c r="B209" s="288" t="s">
        <v>72</v>
      </c>
      <c r="C209" s="353"/>
      <c r="D209" s="353"/>
      <c r="E209" s="353"/>
      <c r="F209" s="353"/>
      <c r="G209" s="330"/>
      <c r="H209" s="330"/>
      <c r="I209" s="330"/>
      <c r="J209" s="330"/>
      <c r="K209" s="330"/>
      <c r="L209" s="330"/>
      <c r="M209" s="330"/>
      <c r="N209" s="330"/>
      <c r="O209" s="330"/>
      <c r="P209" s="330"/>
      <c r="Q209" s="330"/>
      <c r="R209" s="330"/>
      <c r="S209" s="330"/>
      <c r="T209" s="321">
        <f>T207-T208</f>
        <v>-4.9799999999999983E-3</v>
      </c>
      <c r="U209" s="288"/>
      <c r="V209" s="288"/>
      <c r="W209" s="291"/>
      <c r="X209" s="5"/>
    </row>
    <row r="210" spans="1:24" ht="15.6" x14ac:dyDescent="0.3">
      <c r="A210" s="352"/>
      <c r="B210" s="288" t="s">
        <v>73</v>
      </c>
      <c r="C210" s="353"/>
      <c r="D210" s="353"/>
      <c r="E210" s="353"/>
      <c r="F210" s="353"/>
      <c r="G210" s="330"/>
      <c r="H210" s="330"/>
      <c r="I210" s="330"/>
      <c r="J210" s="330"/>
      <c r="K210" s="330"/>
      <c r="L210" s="330"/>
      <c r="M210" s="330"/>
      <c r="N210" s="330"/>
      <c r="O210" s="330"/>
      <c r="P210" s="330"/>
      <c r="Q210" s="330"/>
      <c r="R210" s="330"/>
      <c r="S210" s="330"/>
      <c r="T210" s="321">
        <v>2.3529999999999999E-2</v>
      </c>
      <c r="U210" s="288"/>
      <c r="V210" s="288"/>
      <c r="W210" s="291"/>
      <c r="X210" s="5"/>
    </row>
    <row r="211" spans="1:24" ht="15.6" x14ac:dyDescent="0.3">
      <c r="A211" s="352"/>
      <c r="B211" s="288" t="s">
        <v>219</v>
      </c>
      <c r="C211" s="353"/>
      <c r="D211" s="353"/>
      <c r="E211" s="353"/>
      <c r="F211" s="353"/>
      <c r="G211" s="330"/>
      <c r="H211" s="330"/>
      <c r="I211" s="330"/>
      <c r="J211" s="330"/>
      <c r="K211" s="330"/>
      <c r="L211" s="330"/>
      <c r="M211" s="330"/>
      <c r="N211" s="330"/>
      <c r="O211" s="330"/>
      <c r="P211" s="330"/>
      <c r="Q211" s="330"/>
      <c r="R211" s="330"/>
      <c r="S211" s="330"/>
      <c r="T211" s="321">
        <f>V43</f>
        <v>8.2301377739026939E-3</v>
      </c>
      <c r="U211" s="288"/>
      <c r="V211" s="288"/>
      <c r="W211" s="291"/>
      <c r="X211" s="5"/>
    </row>
    <row r="212" spans="1:24" ht="15.6" x14ac:dyDescent="0.3">
      <c r="A212" s="352"/>
      <c r="B212" s="288" t="s">
        <v>74</v>
      </c>
      <c r="C212" s="353"/>
      <c r="D212" s="353"/>
      <c r="E212" s="353"/>
      <c r="F212" s="353"/>
      <c r="G212" s="330"/>
      <c r="H212" s="330"/>
      <c r="I212" s="330"/>
      <c r="J212" s="330"/>
      <c r="K212" s="330"/>
      <c r="L212" s="330"/>
      <c r="M212" s="330"/>
      <c r="N212" s="330"/>
      <c r="O212" s="330"/>
      <c r="P212" s="330"/>
      <c r="Q212" s="330"/>
      <c r="R212" s="330"/>
      <c r="S212" s="330"/>
      <c r="T212" s="321">
        <f>T210-T211</f>
        <v>1.5299862226097305E-2</v>
      </c>
      <c r="U212" s="288"/>
      <c r="V212" s="288"/>
      <c r="W212" s="291"/>
      <c r="X212" s="5"/>
    </row>
    <row r="213" spans="1:24" ht="15.6" x14ac:dyDescent="0.3">
      <c r="A213" s="352"/>
      <c r="B213" s="288" t="s">
        <v>242</v>
      </c>
      <c r="C213" s="353"/>
      <c r="D213" s="353"/>
      <c r="E213" s="353"/>
      <c r="F213" s="353"/>
      <c r="G213" s="330"/>
      <c r="H213" s="330"/>
      <c r="I213" s="330"/>
      <c r="J213" s="330"/>
      <c r="K213" s="330"/>
      <c r="L213" s="330"/>
      <c r="M213" s="330"/>
      <c r="N213" s="330"/>
      <c r="O213" s="330"/>
      <c r="P213" s="330"/>
      <c r="Q213" s="330"/>
      <c r="R213" s="330"/>
      <c r="S213" s="330"/>
      <c r="T213" s="321">
        <f>V101/N71</f>
        <v>6.3520188175723771E-3</v>
      </c>
      <c r="U213" s="288"/>
      <c r="V213" s="288"/>
      <c r="W213" s="291"/>
      <c r="X213" s="5"/>
    </row>
    <row r="214" spans="1:24" ht="15.6" x14ac:dyDescent="0.3">
      <c r="A214" s="352"/>
      <c r="B214" s="288" t="s">
        <v>208</v>
      </c>
      <c r="C214" s="353"/>
      <c r="D214" s="353"/>
      <c r="E214" s="353"/>
      <c r="F214" s="353"/>
      <c r="G214" s="330"/>
      <c r="H214" s="330"/>
      <c r="I214" s="330"/>
      <c r="J214" s="330"/>
      <c r="K214" s="330"/>
      <c r="L214" s="330"/>
      <c r="M214" s="330"/>
      <c r="N214" s="330"/>
      <c r="O214" s="330"/>
      <c r="P214" s="330"/>
      <c r="Q214" s="330"/>
      <c r="R214" s="330"/>
      <c r="S214" s="330"/>
      <c r="T214" s="354">
        <v>51014</v>
      </c>
      <c r="U214" s="288"/>
      <c r="V214" s="288"/>
      <c r="W214" s="291"/>
      <c r="X214" s="5"/>
    </row>
    <row r="215" spans="1:24" ht="15.6" x14ac:dyDescent="0.3">
      <c r="A215" s="352"/>
      <c r="B215" s="288" t="s">
        <v>209</v>
      </c>
      <c r="C215" s="353"/>
      <c r="D215" s="353"/>
      <c r="E215" s="353"/>
      <c r="F215" s="353"/>
      <c r="G215" s="330"/>
      <c r="H215" s="330"/>
      <c r="I215" s="330"/>
      <c r="J215" s="330"/>
      <c r="K215" s="330"/>
      <c r="L215" s="330"/>
      <c r="M215" s="330"/>
      <c r="N215" s="330"/>
      <c r="O215" s="330"/>
      <c r="P215" s="330"/>
      <c r="Q215" s="330"/>
      <c r="R215" s="330"/>
      <c r="S215" s="330"/>
      <c r="T215" s="354">
        <v>51014</v>
      </c>
      <c r="U215" s="288"/>
      <c r="V215" s="288"/>
      <c r="W215" s="291"/>
      <c r="X215" s="5"/>
    </row>
    <row r="216" spans="1:24" ht="15.6" x14ac:dyDescent="0.3">
      <c r="A216" s="352"/>
      <c r="B216" s="288" t="s">
        <v>210</v>
      </c>
      <c r="C216" s="353"/>
      <c r="D216" s="353"/>
      <c r="E216" s="353"/>
      <c r="F216" s="353"/>
      <c r="G216" s="330"/>
      <c r="H216" s="330"/>
      <c r="I216" s="330"/>
      <c r="J216" s="330"/>
      <c r="K216" s="330"/>
      <c r="L216" s="330"/>
      <c r="M216" s="330"/>
      <c r="N216" s="330"/>
      <c r="O216" s="330"/>
      <c r="P216" s="330"/>
      <c r="Q216" s="330"/>
      <c r="R216" s="330"/>
      <c r="S216" s="330"/>
      <c r="T216" s="354">
        <v>51014</v>
      </c>
      <c r="U216" s="288"/>
      <c r="V216" s="288"/>
      <c r="W216" s="291"/>
      <c r="X216" s="5"/>
    </row>
    <row r="217" spans="1:24" ht="15.6" x14ac:dyDescent="0.3">
      <c r="A217" s="352"/>
      <c r="B217" s="288" t="s">
        <v>75</v>
      </c>
      <c r="C217" s="353"/>
      <c r="D217" s="353"/>
      <c r="E217" s="353"/>
      <c r="F217" s="353"/>
      <c r="G217" s="330"/>
      <c r="H217" s="330"/>
      <c r="I217" s="330"/>
      <c r="J217" s="330"/>
      <c r="K217" s="330"/>
      <c r="L217" s="330"/>
      <c r="M217" s="330"/>
      <c r="N217" s="330"/>
      <c r="O217" s="330"/>
      <c r="P217" s="330"/>
      <c r="Q217" s="330"/>
      <c r="R217" s="330"/>
      <c r="S217" s="330"/>
      <c r="T217" s="327">
        <v>20.66</v>
      </c>
      <c r="U217" s="288" t="s">
        <v>110</v>
      </c>
      <c r="V217" s="288"/>
      <c r="W217" s="291"/>
      <c r="X217" s="5"/>
    </row>
    <row r="218" spans="1:24" ht="15.6" x14ac:dyDescent="0.3">
      <c r="A218" s="352"/>
      <c r="B218" s="288" t="s">
        <v>76</v>
      </c>
      <c r="C218" s="353"/>
      <c r="D218" s="353"/>
      <c r="E218" s="353"/>
      <c r="F218" s="353"/>
      <c r="G218" s="330"/>
      <c r="H218" s="330"/>
      <c r="I218" s="330"/>
      <c r="J218" s="330"/>
      <c r="K218" s="330"/>
      <c r="L218" s="330"/>
      <c r="M218" s="330"/>
      <c r="N218" s="330"/>
      <c r="O218" s="330"/>
      <c r="P218" s="330"/>
      <c r="Q218" s="330"/>
      <c r="R218" s="330"/>
      <c r="S218" s="330"/>
      <c r="T218" s="327">
        <v>15.19</v>
      </c>
      <c r="U218" s="288" t="s">
        <v>110</v>
      </c>
      <c r="V218" s="288"/>
      <c r="W218" s="291"/>
      <c r="X218" s="5"/>
    </row>
    <row r="219" spans="1:24" ht="15.6" x14ac:dyDescent="0.3">
      <c r="A219" s="352"/>
      <c r="B219" s="288" t="s">
        <v>77</v>
      </c>
      <c r="C219" s="353"/>
      <c r="D219" s="353"/>
      <c r="E219" s="353"/>
      <c r="F219" s="353"/>
      <c r="G219" s="330"/>
      <c r="H219" s="330"/>
      <c r="I219" s="330"/>
      <c r="J219" s="330"/>
      <c r="K219" s="330"/>
      <c r="L219" s="330"/>
      <c r="M219" s="330"/>
      <c r="N219" s="330"/>
      <c r="O219" s="330"/>
      <c r="P219" s="330"/>
      <c r="Q219" s="330"/>
      <c r="R219" s="330"/>
      <c r="S219" s="330"/>
      <c r="T219" s="321">
        <f>+P68/N68</f>
        <v>7.3068619032117367E-3</v>
      </c>
      <c r="U219" s="288"/>
      <c r="V219" s="288"/>
      <c r="W219" s="291"/>
      <c r="X219" s="5"/>
    </row>
    <row r="220" spans="1:24" ht="15.6" x14ac:dyDescent="0.3">
      <c r="A220" s="352"/>
      <c r="B220" s="288" t="s">
        <v>78</v>
      </c>
      <c r="C220" s="353"/>
      <c r="D220" s="353"/>
      <c r="E220" s="353"/>
      <c r="F220" s="353"/>
      <c r="G220" s="330"/>
      <c r="H220" s="330"/>
      <c r="I220" s="330"/>
      <c r="J220" s="330"/>
      <c r="K220" s="330"/>
      <c r="L220" s="330"/>
      <c r="M220" s="330"/>
      <c r="N220" s="330"/>
      <c r="O220" s="330"/>
      <c r="P220" s="330"/>
      <c r="Q220" s="330"/>
      <c r="R220" s="330"/>
      <c r="S220" s="330"/>
      <c r="T220" s="321">
        <v>5.2999999999999999E-2</v>
      </c>
      <c r="U220" s="288"/>
      <c r="V220" s="288"/>
      <c r="W220" s="291"/>
      <c r="X220" s="5"/>
    </row>
    <row r="221" spans="1:24" ht="15.6" x14ac:dyDescent="0.3">
      <c r="A221" s="217"/>
      <c r="B221" s="284"/>
      <c r="C221" s="284"/>
      <c r="D221" s="284"/>
      <c r="E221" s="284"/>
      <c r="F221" s="284"/>
      <c r="G221" s="284"/>
      <c r="H221" s="284"/>
      <c r="I221" s="284"/>
      <c r="J221" s="284"/>
      <c r="K221" s="284"/>
      <c r="L221" s="284"/>
      <c r="M221" s="284"/>
      <c r="N221" s="284"/>
      <c r="O221" s="284"/>
      <c r="P221" s="284"/>
      <c r="Q221" s="284"/>
      <c r="R221" s="284"/>
      <c r="S221" s="284"/>
      <c r="T221" s="349"/>
      <c r="U221" s="284"/>
      <c r="V221" s="351"/>
      <c r="W221" s="284"/>
      <c r="X221" s="5"/>
    </row>
    <row r="222" spans="1:24" ht="15.6" x14ac:dyDescent="0.3">
      <c r="A222" s="278"/>
      <c r="B222" s="399" t="s">
        <v>79</v>
      </c>
      <c r="C222" s="400"/>
      <c r="D222" s="400"/>
      <c r="E222" s="400"/>
      <c r="F222" s="406"/>
      <c r="G222" s="400"/>
      <c r="H222" s="400"/>
      <c r="I222" s="400"/>
      <c r="J222" s="400"/>
      <c r="K222" s="400"/>
      <c r="L222" s="400"/>
      <c r="M222" s="400"/>
      <c r="N222" s="400"/>
      <c r="O222" s="400"/>
      <c r="P222" s="400"/>
      <c r="Q222" s="400"/>
      <c r="R222" s="400"/>
      <c r="S222" s="400" t="s">
        <v>102</v>
      </c>
      <c r="T222" s="406" t="s">
        <v>108</v>
      </c>
      <c r="U222" s="263"/>
      <c r="V222" s="263"/>
      <c r="W222" s="263"/>
      <c r="X222" s="5"/>
    </row>
    <row r="223" spans="1:24" ht="15.6" x14ac:dyDescent="0.3">
      <c r="A223" s="218"/>
      <c r="B223" s="231" t="s">
        <v>80</v>
      </c>
      <c r="C223" s="234"/>
      <c r="D223" s="234"/>
      <c r="E223" s="234"/>
      <c r="F223" s="231"/>
      <c r="G223" s="231"/>
      <c r="H223" s="233"/>
      <c r="I223" s="233"/>
      <c r="J223" s="233"/>
      <c r="K223" s="233"/>
      <c r="L223" s="233"/>
      <c r="M223" s="233"/>
      <c r="N223" s="233"/>
      <c r="O223" s="233"/>
      <c r="P223" s="233"/>
      <c r="Q223" s="233"/>
      <c r="R223" s="233"/>
      <c r="S223" s="233">
        <v>8</v>
      </c>
      <c r="T223" s="251">
        <v>781</v>
      </c>
      <c r="U223" s="231"/>
      <c r="V223" s="250"/>
      <c r="W223" s="252"/>
      <c r="X223" s="5"/>
    </row>
    <row r="224" spans="1:24" ht="15.6" x14ac:dyDescent="0.3">
      <c r="A224" s="362"/>
      <c r="B224" s="288" t="s">
        <v>145</v>
      </c>
      <c r="C224" s="337"/>
      <c r="D224" s="337"/>
      <c r="E224" s="337"/>
      <c r="F224" s="288"/>
      <c r="G224" s="288"/>
      <c r="H224" s="296"/>
      <c r="I224" s="296"/>
      <c r="J224" s="296"/>
      <c r="K224" s="296"/>
      <c r="L224" s="296"/>
      <c r="M224" s="296"/>
      <c r="N224" s="296"/>
      <c r="O224" s="296"/>
      <c r="P224" s="296"/>
      <c r="Q224" s="296"/>
      <c r="R224" s="296"/>
      <c r="S224" s="363">
        <f>+R276</f>
        <v>188</v>
      </c>
      <c r="T224" s="364">
        <f>+T276</f>
        <v>26313</v>
      </c>
      <c r="U224" s="288"/>
      <c r="V224" s="365"/>
      <c r="W224" s="366"/>
      <c r="X224" s="5"/>
    </row>
    <row r="225" spans="1:24" ht="15.6" x14ac:dyDescent="0.3">
      <c r="A225" s="362"/>
      <c r="B225" s="288" t="s">
        <v>81</v>
      </c>
      <c r="C225" s="337"/>
      <c r="D225" s="337"/>
      <c r="E225" s="337"/>
      <c r="F225" s="288"/>
      <c r="G225" s="288"/>
      <c r="H225" s="296"/>
      <c r="I225" s="296"/>
      <c r="J225" s="296"/>
      <c r="K225" s="296"/>
      <c r="L225" s="296"/>
      <c r="M225" s="296"/>
      <c r="N225" s="296"/>
      <c r="O225" s="296"/>
      <c r="P225" s="296"/>
      <c r="Q225" s="296"/>
      <c r="R225" s="296"/>
      <c r="S225" s="363">
        <f>+R288</f>
        <v>0</v>
      </c>
      <c r="T225" s="364">
        <f>+T288</f>
        <v>0</v>
      </c>
      <c r="U225" s="288"/>
      <c r="V225" s="365"/>
      <c r="W225" s="366"/>
      <c r="X225" s="5"/>
    </row>
    <row r="226" spans="1:24" ht="15.6" x14ac:dyDescent="0.3">
      <c r="A226" s="362"/>
      <c r="B226" s="313" t="s">
        <v>82</v>
      </c>
      <c r="C226" s="367"/>
      <c r="D226" s="367"/>
      <c r="E226" s="367"/>
      <c r="F226" s="314"/>
      <c r="G226" s="314"/>
      <c r="H226" s="314"/>
      <c r="I226" s="314"/>
      <c r="J226" s="314"/>
      <c r="K226" s="314"/>
      <c r="L226" s="314"/>
      <c r="M226" s="314"/>
      <c r="N226" s="314"/>
      <c r="O226" s="314"/>
      <c r="P226" s="314"/>
      <c r="Q226" s="314"/>
      <c r="R226" s="314"/>
      <c r="S226" s="314"/>
      <c r="T226" s="364">
        <v>0</v>
      </c>
      <c r="U226" s="314"/>
      <c r="V226" s="369"/>
      <c r="W226" s="370"/>
      <c r="X226" s="5"/>
    </row>
    <row r="227" spans="1:24" ht="15.6" x14ac:dyDescent="0.3">
      <c r="A227" s="362"/>
      <c r="B227" s="313" t="s">
        <v>243</v>
      </c>
      <c r="C227" s="367"/>
      <c r="D227" s="367"/>
      <c r="E227" s="367"/>
      <c r="F227" s="314"/>
      <c r="G227" s="314"/>
      <c r="H227" s="314"/>
      <c r="I227" s="314"/>
      <c r="J227" s="314"/>
      <c r="K227" s="314"/>
      <c r="L227" s="314"/>
      <c r="M227" s="314"/>
      <c r="N227" s="314"/>
      <c r="O227" s="314"/>
      <c r="P227" s="314"/>
      <c r="Q227" s="314"/>
      <c r="R227" s="314"/>
      <c r="S227" s="314"/>
      <c r="T227" s="364">
        <f>+N81</f>
        <v>0</v>
      </c>
      <c r="U227" s="314"/>
      <c r="V227" s="369"/>
      <c r="W227" s="370"/>
      <c r="X227" s="5"/>
    </row>
    <row r="228" spans="1:24" ht="15.6" x14ac:dyDescent="0.3">
      <c r="A228" s="371"/>
      <c r="B228" s="313" t="s">
        <v>83</v>
      </c>
      <c r="C228" s="372"/>
      <c r="D228" s="372"/>
      <c r="E228" s="372"/>
      <c r="F228" s="372"/>
      <c r="G228" s="314"/>
      <c r="H228" s="314"/>
      <c r="I228" s="314"/>
      <c r="J228" s="314"/>
      <c r="K228" s="314"/>
      <c r="L228" s="314"/>
      <c r="M228" s="314"/>
      <c r="N228" s="314"/>
      <c r="O228" s="314"/>
      <c r="P228" s="314"/>
      <c r="Q228" s="314"/>
      <c r="R228" s="314"/>
      <c r="S228" s="314"/>
      <c r="T228" s="368"/>
      <c r="U228" s="314"/>
      <c r="V228" s="369"/>
      <c r="W228" s="373"/>
      <c r="X228" s="5"/>
    </row>
    <row r="229" spans="1:24" ht="15.6" x14ac:dyDescent="0.3">
      <c r="A229" s="371"/>
      <c r="B229" s="288" t="s">
        <v>84</v>
      </c>
      <c r="C229" s="288"/>
      <c r="D229" s="288"/>
      <c r="E229" s="288"/>
      <c r="F229" s="288"/>
      <c r="G229" s="288"/>
      <c r="H229" s="288"/>
      <c r="I229" s="288"/>
      <c r="J229" s="288"/>
      <c r="K229" s="288"/>
      <c r="L229" s="288"/>
      <c r="M229" s="288"/>
      <c r="N229" s="288"/>
      <c r="O229" s="288"/>
      <c r="P229" s="288"/>
      <c r="Q229" s="288"/>
      <c r="R229" s="288"/>
      <c r="S229" s="296"/>
      <c r="T229" s="364">
        <f>V167</f>
        <v>253</v>
      </c>
      <c r="U229" s="288"/>
      <c r="V229" s="365"/>
      <c r="W229" s="378"/>
      <c r="X229" s="5"/>
    </row>
    <row r="230" spans="1:24" ht="15.6" x14ac:dyDescent="0.3">
      <c r="A230" s="362"/>
      <c r="B230" s="288" t="s">
        <v>85</v>
      </c>
      <c r="C230" s="337"/>
      <c r="D230" s="337"/>
      <c r="E230" s="337"/>
      <c r="F230" s="337"/>
      <c r="G230" s="288"/>
      <c r="H230" s="288"/>
      <c r="I230" s="288"/>
      <c r="J230" s="288"/>
      <c r="K230" s="288"/>
      <c r="L230" s="288"/>
      <c r="M230" s="288"/>
      <c r="N230" s="288"/>
      <c r="O230" s="288"/>
      <c r="P230" s="288"/>
      <c r="Q230" s="288"/>
      <c r="R230" s="288"/>
      <c r="S230" s="296"/>
      <c r="T230" s="364">
        <f>'Feb 13'!T230+T229</f>
        <v>4112</v>
      </c>
      <c r="U230" s="288"/>
      <c r="V230" s="365"/>
      <c r="W230" s="378"/>
      <c r="X230" s="5"/>
    </row>
    <row r="231" spans="1:24" ht="15.6" x14ac:dyDescent="0.3">
      <c r="A231" s="371"/>
      <c r="B231" s="313" t="s">
        <v>295</v>
      </c>
      <c r="C231" s="372"/>
      <c r="D231" s="372"/>
      <c r="E231" s="372"/>
      <c r="F231" s="372"/>
      <c r="G231" s="314"/>
      <c r="H231" s="314"/>
      <c r="I231" s="314"/>
      <c r="J231" s="314"/>
      <c r="K231" s="314"/>
      <c r="L231" s="314"/>
      <c r="M231" s="314"/>
      <c r="N231" s="314"/>
      <c r="O231" s="314"/>
      <c r="P231" s="314"/>
      <c r="Q231" s="314"/>
      <c r="R231" s="314"/>
      <c r="S231" s="316"/>
      <c r="T231" s="368"/>
      <c r="U231" s="314"/>
      <c r="V231" s="369"/>
      <c r="W231" s="373"/>
      <c r="X231" s="5"/>
    </row>
    <row r="232" spans="1:24" ht="15.6" x14ac:dyDescent="0.3">
      <c r="A232" s="371"/>
      <c r="B232" s="288" t="s">
        <v>291</v>
      </c>
      <c r="C232" s="288"/>
      <c r="D232" s="288"/>
      <c r="E232" s="288"/>
      <c r="F232" s="288"/>
      <c r="G232" s="288"/>
      <c r="H232" s="288"/>
      <c r="I232" s="288"/>
      <c r="J232" s="288"/>
      <c r="K232" s="288"/>
      <c r="L232" s="288"/>
      <c r="M232" s="288"/>
      <c r="N232" s="288"/>
      <c r="O232" s="288"/>
      <c r="P232" s="288"/>
      <c r="Q232" s="288"/>
      <c r="R232" s="288"/>
      <c r="S232" s="296">
        <v>0</v>
      </c>
      <c r="T232" s="364">
        <v>0</v>
      </c>
      <c r="U232" s="288"/>
      <c r="V232" s="365"/>
      <c r="W232" s="378"/>
      <c r="X232" s="5"/>
    </row>
    <row r="233" spans="1:24" ht="15.6" x14ac:dyDescent="0.3">
      <c r="A233" s="362"/>
      <c r="B233" s="288" t="s">
        <v>86</v>
      </c>
      <c r="C233" s="325"/>
      <c r="D233" s="325"/>
      <c r="E233" s="325"/>
      <c r="F233" s="379"/>
      <c r="G233" s="288"/>
      <c r="H233" s="288"/>
      <c r="I233" s="288"/>
      <c r="J233" s="288"/>
      <c r="K233" s="288"/>
      <c r="L233" s="288"/>
      <c r="M233" s="288"/>
      <c r="N233" s="288"/>
      <c r="O233" s="288"/>
      <c r="P233" s="288"/>
      <c r="Q233" s="288"/>
      <c r="R233" s="288"/>
      <c r="S233" s="288"/>
      <c r="T233" s="380">
        <v>0</v>
      </c>
      <c r="U233" s="288"/>
      <c r="V233" s="365"/>
      <c r="W233" s="378"/>
      <c r="X233" s="5"/>
    </row>
    <row r="234" spans="1:24" ht="15.6" x14ac:dyDescent="0.3">
      <c r="A234" s="362"/>
      <c r="B234" s="288" t="s">
        <v>87</v>
      </c>
      <c r="C234" s="325"/>
      <c r="D234" s="325"/>
      <c r="E234" s="325"/>
      <c r="F234" s="379"/>
      <c r="G234" s="288"/>
      <c r="H234" s="288"/>
      <c r="I234" s="288"/>
      <c r="J234" s="288"/>
      <c r="K234" s="288"/>
      <c r="L234" s="288"/>
      <c r="M234" s="288"/>
      <c r="N234" s="288"/>
      <c r="O234" s="288"/>
      <c r="P234" s="288"/>
      <c r="Q234" s="288"/>
      <c r="R234" s="288"/>
      <c r="S234" s="288"/>
      <c r="T234" s="380">
        <v>0</v>
      </c>
      <c r="U234" s="288"/>
      <c r="V234" s="365"/>
      <c r="W234" s="378"/>
      <c r="X234" s="5"/>
    </row>
    <row r="235" spans="1:24" ht="15.6" x14ac:dyDescent="0.3">
      <c r="A235" s="362"/>
      <c r="B235" s="313" t="s">
        <v>217</v>
      </c>
      <c r="C235" s="381"/>
      <c r="D235" s="381"/>
      <c r="E235" s="381"/>
      <c r="F235" s="382"/>
      <c r="G235" s="314"/>
      <c r="H235" s="314"/>
      <c r="I235" s="314"/>
      <c r="J235" s="314"/>
      <c r="K235" s="314"/>
      <c r="L235" s="314"/>
      <c r="M235" s="314"/>
      <c r="N235" s="314"/>
      <c r="O235" s="314"/>
      <c r="P235" s="314"/>
      <c r="Q235" s="314"/>
      <c r="R235" s="314"/>
      <c r="S235" s="314"/>
      <c r="T235" s="383"/>
      <c r="U235" s="314"/>
      <c r="V235" s="369"/>
      <c r="W235" s="373"/>
      <c r="X235" s="5"/>
    </row>
    <row r="236" spans="1:24" ht="15.6" x14ac:dyDescent="0.3">
      <c r="A236" s="362"/>
      <c r="B236" s="288" t="s">
        <v>291</v>
      </c>
      <c r="C236" s="381"/>
      <c r="D236" s="381"/>
      <c r="E236" s="381"/>
      <c r="F236" s="382"/>
      <c r="G236" s="314"/>
      <c r="H236" s="314"/>
      <c r="I236" s="314"/>
      <c r="J236" s="314"/>
      <c r="K236" s="314"/>
      <c r="L236" s="314"/>
      <c r="M236" s="314"/>
      <c r="N236" s="314"/>
      <c r="O236" s="314"/>
      <c r="P236" s="314"/>
      <c r="Q236" s="314"/>
      <c r="R236" s="314"/>
      <c r="S236" s="296">
        <v>6</v>
      </c>
      <c r="T236" s="364">
        <v>831</v>
      </c>
      <c r="U236" s="314"/>
      <c r="V236" s="369"/>
      <c r="W236" s="373"/>
      <c r="X236" s="5"/>
    </row>
    <row r="237" spans="1:24" ht="15.6" x14ac:dyDescent="0.3">
      <c r="A237" s="362"/>
      <c r="B237" s="288" t="s">
        <v>218</v>
      </c>
      <c r="C237" s="381"/>
      <c r="D237" s="381"/>
      <c r="E237" s="381"/>
      <c r="F237" s="382"/>
      <c r="G237" s="314"/>
      <c r="H237" s="314"/>
      <c r="I237" s="314"/>
      <c r="J237" s="314"/>
      <c r="K237" s="314"/>
      <c r="L237" s="314"/>
      <c r="M237" s="314"/>
      <c r="N237" s="314"/>
      <c r="O237" s="314"/>
      <c r="P237" s="314"/>
      <c r="Q237" s="314"/>
      <c r="R237" s="314"/>
      <c r="S237" s="288"/>
      <c r="T237" s="380">
        <v>3.24</v>
      </c>
      <c r="U237" s="314"/>
      <c r="V237" s="369"/>
      <c r="W237" s="373"/>
      <c r="X237" s="5"/>
    </row>
    <row r="238" spans="1:24" ht="15.6" x14ac:dyDescent="0.3">
      <c r="A238" s="362"/>
      <c r="B238" s="372"/>
      <c r="C238" s="381"/>
      <c r="D238" s="381"/>
      <c r="E238" s="381"/>
      <c r="F238" s="382"/>
      <c r="G238" s="314"/>
      <c r="H238" s="314"/>
      <c r="I238" s="314"/>
      <c r="J238" s="314"/>
      <c r="K238" s="314"/>
      <c r="L238" s="314"/>
      <c r="M238" s="314"/>
      <c r="N238" s="314"/>
      <c r="O238" s="314"/>
      <c r="P238" s="314"/>
      <c r="Q238" s="314"/>
      <c r="R238" s="314"/>
      <c r="S238" s="314"/>
      <c r="T238" s="383"/>
      <c r="U238" s="314"/>
      <c r="V238" s="369"/>
      <c r="W238" s="373"/>
      <c r="X238" s="5"/>
    </row>
    <row r="239" spans="1:24" ht="15.6" x14ac:dyDescent="0.3">
      <c r="A239" s="362"/>
      <c r="B239" s="372"/>
      <c r="C239" s="381"/>
      <c r="D239" s="381"/>
      <c r="E239" s="381"/>
      <c r="F239" s="382"/>
      <c r="G239" s="314"/>
      <c r="H239" s="314"/>
      <c r="I239" s="314"/>
      <c r="J239" s="314"/>
      <c r="K239" s="314"/>
      <c r="L239" s="314"/>
      <c r="M239" s="314"/>
      <c r="N239" s="314"/>
      <c r="O239" s="314"/>
      <c r="P239" s="314"/>
      <c r="Q239" s="314"/>
      <c r="R239" s="314"/>
      <c r="S239" s="314"/>
      <c r="T239" s="383"/>
      <c r="U239" s="314"/>
      <c r="V239" s="369"/>
      <c r="W239" s="373"/>
      <c r="X239" s="5"/>
    </row>
    <row r="240" spans="1:24" ht="17.399999999999999" x14ac:dyDescent="0.3">
      <c r="A240" s="362"/>
      <c r="B240" s="384" t="s">
        <v>168</v>
      </c>
      <c r="C240" s="381"/>
      <c r="D240" s="381"/>
      <c r="E240" s="381"/>
      <c r="F240" s="382"/>
      <c r="G240" s="314"/>
      <c r="H240" s="314"/>
      <c r="I240" s="314"/>
      <c r="J240" s="314"/>
      <c r="K240" s="314"/>
      <c r="L240" s="314"/>
      <c r="M240" s="314"/>
      <c r="N240" s="314"/>
      <c r="O240" s="314"/>
      <c r="P240" s="385" t="s">
        <v>167</v>
      </c>
      <c r="Q240" s="314"/>
      <c r="R240" s="314"/>
      <c r="S240" s="314"/>
      <c r="T240" s="383"/>
      <c r="U240" s="314"/>
      <c r="V240" s="369"/>
      <c r="W240" s="373"/>
      <c r="X240" s="5"/>
    </row>
    <row r="241" spans="1:25" ht="15.6" x14ac:dyDescent="0.3">
      <c r="A241" s="355"/>
      <c r="B241" s="356"/>
      <c r="C241" s="357"/>
      <c r="D241" s="357"/>
      <c r="E241" s="357"/>
      <c r="F241" s="358"/>
      <c r="G241" s="198"/>
      <c r="H241" s="198"/>
      <c r="I241" s="198"/>
      <c r="J241" s="198"/>
      <c r="K241" s="198"/>
      <c r="L241" s="198"/>
      <c r="M241" s="198"/>
      <c r="N241" s="198"/>
      <c r="O241" s="198"/>
      <c r="P241" s="198"/>
      <c r="Q241" s="198"/>
      <c r="R241" s="198"/>
      <c r="S241" s="198"/>
      <c r="T241" s="359"/>
      <c r="U241" s="198"/>
      <c r="V241" s="360"/>
      <c r="W241" s="361"/>
      <c r="X241" s="5"/>
    </row>
    <row r="242" spans="1:25" ht="15.6" x14ac:dyDescent="0.3">
      <c r="A242" s="262"/>
      <c r="B242" s="399" t="s">
        <v>308</v>
      </c>
      <c r="C242" s="400"/>
      <c r="D242" s="400"/>
      <c r="E242" s="400"/>
      <c r="F242" s="406"/>
      <c r="G242" s="400"/>
      <c r="H242" s="400"/>
      <c r="I242" s="400"/>
      <c r="J242" s="400"/>
      <c r="K242" s="400"/>
      <c r="L242" s="400"/>
      <c r="M242" s="400"/>
      <c r="N242" s="400"/>
      <c r="O242" s="400"/>
      <c r="P242" s="400"/>
      <c r="Q242" s="400"/>
      <c r="R242" s="406" t="s">
        <v>102</v>
      </c>
      <c r="S242" s="400" t="s">
        <v>103</v>
      </c>
      <c r="T242" s="406" t="s">
        <v>109</v>
      </c>
      <c r="U242" s="400" t="s">
        <v>103</v>
      </c>
      <c r="V242" s="263"/>
      <c r="W242" s="399"/>
      <c r="X242" s="5"/>
    </row>
    <row r="243" spans="1:25" ht="15.6" x14ac:dyDescent="0.3">
      <c r="A243" s="197"/>
      <c r="B243" s="234" t="s">
        <v>88</v>
      </c>
      <c r="C243" s="253"/>
      <c r="D243" s="253"/>
      <c r="E243" s="253"/>
      <c r="F243" s="231"/>
      <c r="G243" s="253"/>
      <c r="H243" s="253"/>
      <c r="I243" s="253"/>
      <c r="J243" s="253"/>
      <c r="K243" s="253"/>
      <c r="L243" s="253"/>
      <c r="M243" s="253"/>
      <c r="N243" s="253"/>
      <c r="O243" s="253"/>
      <c r="P243" s="253"/>
      <c r="Q243" s="253"/>
      <c r="R243" s="234">
        <f t="shared" ref="R243:R250" si="1">+R255+R267+R279</f>
        <v>7760</v>
      </c>
      <c r="S243" s="254">
        <f t="shared" ref="S243:S250" si="2">R243/$R$252</f>
        <v>0.99068045448742503</v>
      </c>
      <c r="T243" s="241">
        <f t="shared" ref="T243:T250" si="3">+T255+T267+T279</f>
        <v>1081784</v>
      </c>
      <c r="U243" s="254">
        <f t="shared" ref="U243:U250" si="4">T243/$T$252</f>
        <v>0.98811829096303228</v>
      </c>
      <c r="V243" s="250"/>
      <c r="W243" s="232"/>
      <c r="X243" s="5"/>
    </row>
    <row r="244" spans="1:25" ht="15.6" x14ac:dyDescent="0.3">
      <c r="A244" s="287"/>
      <c r="B244" s="337" t="s">
        <v>89</v>
      </c>
      <c r="C244" s="389"/>
      <c r="D244" s="389"/>
      <c r="E244" s="389"/>
      <c r="F244" s="288"/>
      <c r="G244" s="390"/>
      <c r="H244" s="389"/>
      <c r="I244" s="389"/>
      <c r="J244" s="389"/>
      <c r="K244" s="389"/>
      <c r="L244" s="389"/>
      <c r="M244" s="389"/>
      <c r="N244" s="389"/>
      <c r="O244" s="389"/>
      <c r="P244" s="389"/>
      <c r="Q244" s="389"/>
      <c r="R244" s="337">
        <f t="shared" si="1"/>
        <v>35</v>
      </c>
      <c r="S244" s="390">
        <f t="shared" si="2"/>
        <v>4.4682752457551383E-3</v>
      </c>
      <c r="T244" s="338">
        <f t="shared" si="3"/>
        <v>7759</v>
      </c>
      <c r="U244" s="390">
        <f t="shared" si="4"/>
        <v>7.0871909915308116E-3</v>
      </c>
      <c r="V244" s="365"/>
      <c r="W244" s="378"/>
      <c r="X244" s="5"/>
      <c r="Y244" s="109"/>
    </row>
    <row r="245" spans="1:25" ht="15.6" x14ac:dyDescent="0.3">
      <c r="A245" s="287"/>
      <c r="B245" s="337" t="s">
        <v>90</v>
      </c>
      <c r="C245" s="389"/>
      <c r="D245" s="389"/>
      <c r="E245" s="389"/>
      <c r="F245" s="288"/>
      <c r="G245" s="390"/>
      <c r="H245" s="389"/>
      <c r="I245" s="389"/>
      <c r="J245" s="389"/>
      <c r="K245" s="389"/>
      <c r="L245" s="389"/>
      <c r="M245" s="389"/>
      <c r="N245" s="389"/>
      <c r="O245" s="389"/>
      <c r="P245" s="389"/>
      <c r="Q245" s="389"/>
      <c r="R245" s="337">
        <f t="shared" si="1"/>
        <v>6</v>
      </c>
      <c r="S245" s="390">
        <f t="shared" si="2"/>
        <v>7.659900421294523E-4</v>
      </c>
      <c r="T245" s="338">
        <f t="shared" si="3"/>
        <v>947</v>
      </c>
      <c r="U245" s="390">
        <f t="shared" si="4"/>
        <v>8.6500449400434053E-4</v>
      </c>
      <c r="V245" s="365"/>
      <c r="W245" s="378"/>
      <c r="X245" s="5"/>
    </row>
    <row r="246" spans="1:25" ht="15.6" x14ac:dyDescent="0.3">
      <c r="A246" s="287"/>
      <c r="B246" s="337" t="s">
        <v>156</v>
      </c>
      <c r="C246" s="389"/>
      <c r="D246" s="389"/>
      <c r="E246" s="389"/>
      <c r="F246" s="288"/>
      <c r="G246" s="390"/>
      <c r="H246" s="389"/>
      <c r="I246" s="389"/>
      <c r="J246" s="389"/>
      <c r="K246" s="389"/>
      <c r="L246" s="389"/>
      <c r="M246" s="389"/>
      <c r="N246" s="389"/>
      <c r="O246" s="389"/>
      <c r="P246" s="389"/>
      <c r="Q246" s="389"/>
      <c r="R246" s="337">
        <f t="shared" si="1"/>
        <v>2</v>
      </c>
      <c r="S246" s="390">
        <f t="shared" si="2"/>
        <v>2.5533001404315077E-4</v>
      </c>
      <c r="T246" s="338">
        <f t="shared" si="3"/>
        <v>301</v>
      </c>
      <c r="U246" s="390">
        <f t="shared" si="4"/>
        <v>2.7493807042798995E-4</v>
      </c>
      <c r="V246" s="365"/>
      <c r="W246" s="378"/>
      <c r="X246" s="5"/>
      <c r="Y246" s="109"/>
    </row>
    <row r="247" spans="1:25" ht="15.6" x14ac:dyDescent="0.3">
      <c r="A247" s="287"/>
      <c r="B247" s="337" t="s">
        <v>157</v>
      </c>
      <c r="C247" s="389"/>
      <c r="D247" s="389"/>
      <c r="E247" s="389"/>
      <c r="F247" s="288"/>
      <c r="G247" s="390"/>
      <c r="H247" s="389"/>
      <c r="I247" s="389"/>
      <c r="J247" s="389"/>
      <c r="K247" s="389"/>
      <c r="L247" s="389"/>
      <c r="M247" s="389"/>
      <c r="N247" s="389"/>
      <c r="O247" s="389"/>
      <c r="P247" s="389"/>
      <c r="Q247" s="389"/>
      <c r="R247" s="337">
        <f t="shared" si="1"/>
        <v>3</v>
      </c>
      <c r="S247" s="390">
        <f t="shared" si="2"/>
        <v>3.8299502106472615E-4</v>
      </c>
      <c r="T247" s="338">
        <f t="shared" si="3"/>
        <v>368</v>
      </c>
      <c r="U247" s="390">
        <f t="shared" si="4"/>
        <v>3.3613691002491795E-4</v>
      </c>
      <c r="V247" s="365"/>
      <c r="W247" s="378"/>
      <c r="X247" s="5"/>
    </row>
    <row r="248" spans="1:25" ht="15.6" x14ac:dyDescent="0.3">
      <c r="A248" s="287"/>
      <c r="B248" s="337" t="s">
        <v>158</v>
      </c>
      <c r="C248" s="389"/>
      <c r="D248" s="389"/>
      <c r="E248" s="389"/>
      <c r="F248" s="288"/>
      <c r="G248" s="390"/>
      <c r="H248" s="389"/>
      <c r="I248" s="389"/>
      <c r="J248" s="389"/>
      <c r="K248" s="389"/>
      <c r="L248" s="389"/>
      <c r="M248" s="389"/>
      <c r="N248" s="389"/>
      <c r="O248" s="389"/>
      <c r="P248" s="389"/>
      <c r="Q248" s="389"/>
      <c r="R248" s="337">
        <f t="shared" si="1"/>
        <v>2</v>
      </c>
      <c r="S248" s="390">
        <f t="shared" si="2"/>
        <v>2.5533001404315077E-4</v>
      </c>
      <c r="T248" s="338">
        <f t="shared" si="3"/>
        <v>289</v>
      </c>
      <c r="U248" s="390">
        <f t="shared" si="4"/>
        <v>2.6397708423152528E-4</v>
      </c>
      <c r="V248" s="365"/>
      <c r="W248" s="378"/>
      <c r="X248" s="5"/>
      <c r="Y248" s="109"/>
    </row>
    <row r="249" spans="1:25" ht="15.6" x14ac:dyDescent="0.3">
      <c r="A249" s="287"/>
      <c r="B249" s="337" t="s">
        <v>159</v>
      </c>
      <c r="C249" s="389"/>
      <c r="D249" s="389"/>
      <c r="E249" s="389"/>
      <c r="F249" s="288"/>
      <c r="G249" s="390"/>
      <c r="H249" s="389"/>
      <c r="I249" s="389"/>
      <c r="J249" s="389"/>
      <c r="K249" s="389"/>
      <c r="L249" s="389"/>
      <c r="M249" s="389"/>
      <c r="N249" s="389"/>
      <c r="O249" s="389"/>
      <c r="P249" s="389"/>
      <c r="Q249" s="389"/>
      <c r="R249" s="337">
        <f t="shared" si="1"/>
        <v>5</v>
      </c>
      <c r="S249" s="390">
        <f t="shared" si="2"/>
        <v>6.3832503510787692E-4</v>
      </c>
      <c r="T249" s="338">
        <f t="shared" si="3"/>
        <v>577</v>
      </c>
      <c r="U249" s="390">
        <f t="shared" si="4"/>
        <v>5.2704075294667842E-4</v>
      </c>
      <c r="V249" s="365"/>
      <c r="W249" s="378"/>
      <c r="X249" s="5"/>
    </row>
    <row r="250" spans="1:25" ht="15.6" x14ac:dyDescent="0.3">
      <c r="A250" s="287"/>
      <c r="B250" s="337" t="s">
        <v>160</v>
      </c>
      <c r="C250" s="389"/>
      <c r="D250" s="389"/>
      <c r="E250" s="389"/>
      <c r="F250" s="288"/>
      <c r="G250" s="390"/>
      <c r="H250" s="389"/>
      <c r="I250" s="389"/>
      <c r="J250" s="389"/>
      <c r="K250" s="389"/>
      <c r="L250" s="389"/>
      <c r="M250" s="389"/>
      <c r="N250" s="389"/>
      <c r="O250" s="389"/>
      <c r="P250" s="389"/>
      <c r="Q250" s="389"/>
      <c r="R250" s="339">
        <f t="shared" si="1"/>
        <v>20</v>
      </c>
      <c r="S250" s="393">
        <f t="shared" si="2"/>
        <v>2.5533001404315077E-3</v>
      </c>
      <c r="T250" s="394">
        <f t="shared" si="3"/>
        <v>2767</v>
      </c>
      <c r="U250" s="393">
        <f t="shared" si="4"/>
        <v>2.527420733801489E-3</v>
      </c>
      <c r="V250" s="365"/>
      <c r="W250" s="378"/>
      <c r="X250" s="5"/>
      <c r="Y250" s="109"/>
    </row>
    <row r="251" spans="1:25" ht="15.6" x14ac:dyDescent="0.3">
      <c r="A251" s="287"/>
      <c r="B251" s="337"/>
      <c r="C251" s="389"/>
      <c r="D251" s="389"/>
      <c r="E251" s="389"/>
      <c r="F251" s="288"/>
      <c r="G251" s="390"/>
      <c r="H251" s="389"/>
      <c r="I251" s="389"/>
      <c r="J251" s="389"/>
      <c r="K251" s="389"/>
      <c r="L251" s="389"/>
      <c r="M251" s="389"/>
      <c r="N251" s="389"/>
      <c r="O251" s="389"/>
      <c r="P251" s="389"/>
      <c r="Q251" s="389"/>
      <c r="R251" s="337"/>
      <c r="S251" s="390"/>
      <c r="T251" s="338"/>
      <c r="U251" s="390"/>
      <c r="V251" s="365"/>
      <c r="W251" s="378"/>
      <c r="X251" s="5"/>
    </row>
    <row r="252" spans="1:25" ht="15.6" x14ac:dyDescent="0.3">
      <c r="A252" s="287"/>
      <c r="B252" s="288"/>
      <c r="C252" s="288"/>
      <c r="D252" s="288"/>
      <c r="E252" s="288"/>
      <c r="F252" s="288"/>
      <c r="G252" s="288"/>
      <c r="H252" s="391"/>
      <c r="I252" s="391"/>
      <c r="J252" s="391"/>
      <c r="K252" s="391"/>
      <c r="L252" s="391"/>
      <c r="M252" s="391"/>
      <c r="N252" s="391"/>
      <c r="O252" s="391"/>
      <c r="P252" s="391"/>
      <c r="Q252" s="391"/>
      <c r="R252" s="337">
        <f>SUM(R243:R251)</f>
        <v>7833</v>
      </c>
      <c r="S252" s="390">
        <f>SUM(S243:S251)</f>
        <v>0.99999999999999989</v>
      </c>
      <c r="T252" s="338">
        <f>SUM(T243:T251)</f>
        <v>1094792</v>
      </c>
      <c r="U252" s="390">
        <f>SUM(U243:U251)</f>
        <v>1</v>
      </c>
      <c r="V252" s="288"/>
      <c r="W252" s="291"/>
      <c r="X252" s="5"/>
    </row>
    <row r="253" spans="1:25" ht="15.6" x14ac:dyDescent="0.3">
      <c r="A253" s="183"/>
      <c r="B253" s="198"/>
      <c r="C253" s="198"/>
      <c r="D253" s="198"/>
      <c r="E253" s="198"/>
      <c r="F253" s="198"/>
      <c r="G253" s="198"/>
      <c r="H253" s="386"/>
      <c r="I253" s="386"/>
      <c r="J253" s="386"/>
      <c r="K253" s="386"/>
      <c r="L253" s="386"/>
      <c r="M253" s="386"/>
      <c r="N253" s="386"/>
      <c r="O253" s="386"/>
      <c r="P253" s="386"/>
      <c r="Q253" s="386"/>
      <c r="R253" s="335"/>
      <c r="S253" s="387"/>
      <c r="T253" s="388"/>
      <c r="U253" s="387"/>
      <c r="V253" s="198"/>
      <c r="W253" s="198"/>
      <c r="X253" s="5"/>
    </row>
    <row r="254" spans="1:25" ht="15.6" x14ac:dyDescent="0.3">
      <c r="A254" s="262"/>
      <c r="B254" s="399" t="s">
        <v>162</v>
      </c>
      <c r="C254" s="400"/>
      <c r="D254" s="400"/>
      <c r="E254" s="400"/>
      <c r="F254" s="406"/>
      <c r="G254" s="400"/>
      <c r="H254" s="400"/>
      <c r="I254" s="400"/>
      <c r="J254" s="400"/>
      <c r="K254" s="400"/>
      <c r="L254" s="400"/>
      <c r="M254" s="400"/>
      <c r="N254" s="400"/>
      <c r="O254" s="400"/>
      <c r="P254" s="400"/>
      <c r="Q254" s="400"/>
      <c r="R254" s="406" t="s">
        <v>102</v>
      </c>
      <c r="S254" s="400" t="s">
        <v>103</v>
      </c>
      <c r="T254" s="406" t="s">
        <v>109</v>
      </c>
      <c r="U254" s="400" t="s">
        <v>103</v>
      </c>
      <c r="V254" s="263"/>
      <c r="W254" s="399"/>
      <c r="X254" s="5"/>
    </row>
    <row r="255" spans="1:25" ht="15.6" x14ac:dyDescent="0.3">
      <c r="A255" s="197"/>
      <c r="B255" s="234" t="s">
        <v>88</v>
      </c>
      <c r="C255" s="253"/>
      <c r="D255" s="253"/>
      <c r="E255" s="253"/>
      <c r="F255" s="231"/>
      <c r="G255" s="253"/>
      <c r="H255" s="253"/>
      <c r="I255" s="253"/>
      <c r="J255" s="253"/>
      <c r="K255" s="253"/>
      <c r="L255" s="253"/>
      <c r="M255" s="253"/>
      <c r="N255" s="253"/>
      <c r="O255" s="253"/>
      <c r="P255" s="253"/>
      <c r="Q255" s="253"/>
      <c r="R255" s="234">
        <v>7611</v>
      </c>
      <c r="S255" s="254">
        <f t="shared" ref="S255:S262" si="5">R255/$R$264</f>
        <v>0.99555264879005889</v>
      </c>
      <c r="T255" s="241">
        <v>1061104</v>
      </c>
      <c r="U255" s="254">
        <f t="shared" ref="U255:U262" si="6">T255/$T$264</f>
        <v>0.99309766499856333</v>
      </c>
      <c r="V255" s="250"/>
      <c r="W255" s="232"/>
      <c r="X255" s="5"/>
    </row>
    <row r="256" spans="1:25" ht="15.6" x14ac:dyDescent="0.3">
      <c r="A256" s="287"/>
      <c r="B256" s="337" t="s">
        <v>89</v>
      </c>
      <c r="C256" s="389"/>
      <c r="D256" s="389"/>
      <c r="E256" s="389"/>
      <c r="F256" s="288"/>
      <c r="G256" s="390"/>
      <c r="H256" s="389"/>
      <c r="I256" s="389"/>
      <c r="J256" s="389"/>
      <c r="K256" s="389"/>
      <c r="L256" s="389"/>
      <c r="M256" s="389"/>
      <c r="N256" s="389"/>
      <c r="O256" s="389"/>
      <c r="P256" s="389"/>
      <c r="Q256" s="389"/>
      <c r="R256" s="337">
        <v>26</v>
      </c>
      <c r="S256" s="390">
        <f t="shared" si="5"/>
        <v>3.4009156311314583E-3</v>
      </c>
      <c r="T256" s="338">
        <v>6524</v>
      </c>
      <c r="U256" s="390">
        <f t="shared" si="6"/>
        <v>6.1058757355081381E-3</v>
      </c>
      <c r="V256" s="365"/>
      <c r="W256" s="378"/>
      <c r="X256" s="5"/>
      <c r="Y256" s="109"/>
    </row>
    <row r="257" spans="1:25" ht="15.6" x14ac:dyDescent="0.3">
      <c r="A257" s="287"/>
      <c r="B257" s="337" t="s">
        <v>90</v>
      </c>
      <c r="C257" s="389"/>
      <c r="D257" s="389"/>
      <c r="E257" s="389"/>
      <c r="F257" s="288"/>
      <c r="G257" s="390"/>
      <c r="H257" s="389"/>
      <c r="I257" s="389"/>
      <c r="J257" s="389"/>
      <c r="K257" s="389"/>
      <c r="L257" s="389"/>
      <c r="M257" s="389"/>
      <c r="N257" s="389"/>
      <c r="O257" s="389"/>
      <c r="P257" s="389"/>
      <c r="Q257" s="389"/>
      <c r="R257" s="337">
        <v>2</v>
      </c>
      <c r="S257" s="390">
        <f t="shared" si="5"/>
        <v>2.6160889470241988E-4</v>
      </c>
      <c r="T257" s="338">
        <v>397</v>
      </c>
      <c r="U257" s="390">
        <f t="shared" si="6"/>
        <v>3.7155620278919846E-4</v>
      </c>
      <c r="V257" s="365"/>
      <c r="W257" s="378"/>
      <c r="X257" s="5"/>
    </row>
    <row r="258" spans="1:25" ht="15.6" x14ac:dyDescent="0.3">
      <c r="A258" s="287"/>
      <c r="B258" s="337" t="s">
        <v>156</v>
      </c>
      <c r="C258" s="389"/>
      <c r="D258" s="389"/>
      <c r="E258" s="389"/>
      <c r="F258" s="288"/>
      <c r="G258" s="390"/>
      <c r="H258" s="389"/>
      <c r="I258" s="389"/>
      <c r="J258" s="389"/>
      <c r="K258" s="389"/>
      <c r="L258" s="389"/>
      <c r="M258" s="389"/>
      <c r="N258" s="389"/>
      <c r="O258" s="389"/>
      <c r="P258" s="389"/>
      <c r="Q258" s="389"/>
      <c r="R258" s="337">
        <v>0</v>
      </c>
      <c r="S258" s="390">
        <f t="shared" si="5"/>
        <v>0</v>
      </c>
      <c r="T258" s="338">
        <v>0</v>
      </c>
      <c r="U258" s="390">
        <f t="shared" si="6"/>
        <v>0</v>
      </c>
      <c r="V258" s="365"/>
      <c r="W258" s="378"/>
      <c r="X258" s="5"/>
      <c r="Y258" s="109"/>
    </row>
    <row r="259" spans="1:25" ht="15.6" x14ac:dyDescent="0.3">
      <c r="A259" s="287"/>
      <c r="B259" s="337" t="s">
        <v>157</v>
      </c>
      <c r="C259" s="389"/>
      <c r="D259" s="389"/>
      <c r="E259" s="389"/>
      <c r="F259" s="288"/>
      <c r="G259" s="390"/>
      <c r="H259" s="389"/>
      <c r="I259" s="389"/>
      <c r="J259" s="389"/>
      <c r="K259" s="389"/>
      <c r="L259" s="389"/>
      <c r="M259" s="389"/>
      <c r="N259" s="389"/>
      <c r="O259" s="389"/>
      <c r="P259" s="389"/>
      <c r="Q259" s="389"/>
      <c r="R259" s="337">
        <v>0</v>
      </c>
      <c r="S259" s="390">
        <f t="shared" si="5"/>
        <v>0</v>
      </c>
      <c r="T259" s="338">
        <v>0</v>
      </c>
      <c r="U259" s="390">
        <f t="shared" si="6"/>
        <v>0</v>
      </c>
      <c r="V259" s="365"/>
      <c r="W259" s="378"/>
      <c r="X259" s="5"/>
    </row>
    <row r="260" spans="1:25" ht="15.6" x14ac:dyDescent="0.3">
      <c r="A260" s="287"/>
      <c r="B260" s="337" t="s">
        <v>158</v>
      </c>
      <c r="C260" s="389"/>
      <c r="D260" s="389"/>
      <c r="E260" s="389"/>
      <c r="F260" s="288"/>
      <c r="G260" s="390"/>
      <c r="H260" s="389"/>
      <c r="I260" s="389"/>
      <c r="J260" s="389"/>
      <c r="K260" s="389"/>
      <c r="L260" s="389"/>
      <c r="M260" s="389"/>
      <c r="N260" s="389"/>
      <c r="O260" s="389"/>
      <c r="P260" s="389"/>
      <c r="Q260" s="389"/>
      <c r="R260" s="337">
        <v>0</v>
      </c>
      <c r="S260" s="390">
        <f t="shared" si="5"/>
        <v>0</v>
      </c>
      <c r="T260" s="338">
        <v>0</v>
      </c>
      <c r="U260" s="390">
        <f t="shared" si="6"/>
        <v>0</v>
      </c>
      <c r="V260" s="365"/>
      <c r="W260" s="378"/>
      <c r="X260" s="5"/>
      <c r="Y260" s="109"/>
    </row>
    <row r="261" spans="1:25" ht="15.6" x14ac:dyDescent="0.3">
      <c r="A261" s="287"/>
      <c r="B261" s="337" t="s">
        <v>159</v>
      </c>
      <c r="C261" s="389"/>
      <c r="D261" s="389"/>
      <c r="E261" s="389"/>
      <c r="F261" s="288"/>
      <c r="G261" s="390"/>
      <c r="H261" s="389"/>
      <c r="I261" s="389"/>
      <c r="J261" s="389"/>
      <c r="K261" s="389"/>
      <c r="L261" s="389"/>
      <c r="M261" s="389"/>
      <c r="N261" s="389"/>
      <c r="O261" s="389"/>
      <c r="P261" s="389"/>
      <c r="Q261" s="389"/>
      <c r="R261" s="337">
        <v>2</v>
      </c>
      <c r="S261" s="390">
        <f t="shared" si="5"/>
        <v>2.6160889470241988E-4</v>
      </c>
      <c r="T261" s="338">
        <v>104</v>
      </c>
      <c r="U261" s="390">
        <f t="shared" si="6"/>
        <v>9.7334622393140159E-5</v>
      </c>
      <c r="V261" s="365"/>
      <c r="W261" s="378"/>
      <c r="X261" s="5"/>
    </row>
    <row r="262" spans="1:25" ht="15.6" x14ac:dyDescent="0.3">
      <c r="A262" s="287"/>
      <c r="B262" s="337" t="s">
        <v>160</v>
      </c>
      <c r="C262" s="389"/>
      <c r="D262" s="389"/>
      <c r="E262" s="389"/>
      <c r="F262" s="288"/>
      <c r="G262" s="390"/>
      <c r="H262" s="389"/>
      <c r="I262" s="389"/>
      <c r="J262" s="389"/>
      <c r="K262" s="389"/>
      <c r="L262" s="389"/>
      <c r="M262" s="389"/>
      <c r="N262" s="389"/>
      <c r="O262" s="389"/>
      <c r="P262" s="389"/>
      <c r="Q262" s="389"/>
      <c r="R262" s="337">
        <v>4</v>
      </c>
      <c r="S262" s="390">
        <f t="shared" si="5"/>
        <v>5.2321778940483976E-4</v>
      </c>
      <c r="T262" s="338">
        <v>350</v>
      </c>
      <c r="U262" s="390">
        <f t="shared" si="6"/>
        <v>3.2756844074614475E-4</v>
      </c>
      <c r="V262" s="365"/>
      <c r="W262" s="378"/>
      <c r="X262" s="5"/>
      <c r="Y262" s="109"/>
    </row>
    <row r="263" spans="1:25" ht="15.6" x14ac:dyDescent="0.3">
      <c r="A263" s="287"/>
      <c r="B263" s="337"/>
      <c r="C263" s="389"/>
      <c r="D263" s="389"/>
      <c r="E263" s="389"/>
      <c r="F263" s="288"/>
      <c r="G263" s="390"/>
      <c r="H263" s="389"/>
      <c r="I263" s="389"/>
      <c r="J263" s="389"/>
      <c r="K263" s="389"/>
      <c r="L263" s="389"/>
      <c r="M263" s="389"/>
      <c r="N263" s="389"/>
      <c r="O263" s="389"/>
      <c r="P263" s="389"/>
      <c r="Q263" s="389"/>
      <c r="R263" s="337"/>
      <c r="S263" s="390"/>
      <c r="T263" s="338"/>
      <c r="U263" s="390"/>
      <c r="V263" s="365"/>
      <c r="W263" s="378"/>
      <c r="X263" s="5"/>
    </row>
    <row r="264" spans="1:25" ht="15.6" x14ac:dyDescent="0.3">
      <c r="A264" s="287"/>
      <c r="B264" s="288"/>
      <c r="C264" s="288"/>
      <c r="D264" s="288"/>
      <c r="E264" s="288"/>
      <c r="F264" s="288"/>
      <c r="G264" s="288"/>
      <c r="H264" s="391"/>
      <c r="I264" s="391"/>
      <c r="J264" s="391"/>
      <c r="K264" s="391"/>
      <c r="L264" s="391"/>
      <c r="M264" s="391"/>
      <c r="N264" s="391"/>
      <c r="O264" s="391"/>
      <c r="P264" s="391"/>
      <c r="Q264" s="391"/>
      <c r="R264" s="337">
        <f>SUM(R255:R263)</f>
        <v>7645</v>
      </c>
      <c r="S264" s="390">
        <f>SUM(S255:S263)</f>
        <v>1</v>
      </c>
      <c r="T264" s="338">
        <f>SUM(T255:T263)</f>
        <v>1068479</v>
      </c>
      <c r="U264" s="390">
        <f>SUM(U255:U263)</f>
        <v>0.99999999999999989</v>
      </c>
      <c r="V264" s="288"/>
      <c r="W264" s="291"/>
      <c r="X264" s="5"/>
    </row>
    <row r="265" spans="1:25" ht="15.6" x14ac:dyDescent="0.3">
      <c r="A265" s="183"/>
      <c r="B265" s="198"/>
      <c r="C265" s="198"/>
      <c r="D265" s="198"/>
      <c r="E265" s="198"/>
      <c r="F265" s="198"/>
      <c r="G265" s="198"/>
      <c r="H265" s="386"/>
      <c r="I265" s="386"/>
      <c r="J265" s="386"/>
      <c r="K265" s="386"/>
      <c r="L265" s="386"/>
      <c r="M265" s="386"/>
      <c r="N265" s="386"/>
      <c r="O265" s="386"/>
      <c r="P265" s="386"/>
      <c r="Q265" s="386"/>
      <c r="R265" s="335"/>
      <c r="S265" s="387"/>
      <c r="T265" s="388"/>
      <c r="U265" s="387"/>
      <c r="V265" s="198"/>
      <c r="W265" s="198"/>
      <c r="X265" s="5"/>
    </row>
    <row r="266" spans="1:25" ht="15.6" x14ac:dyDescent="0.3">
      <c r="A266" s="280"/>
      <c r="B266" s="399" t="s">
        <v>275</v>
      </c>
      <c r="C266" s="400"/>
      <c r="D266" s="400"/>
      <c r="E266" s="400"/>
      <c r="F266" s="406"/>
      <c r="G266" s="400"/>
      <c r="H266" s="400"/>
      <c r="I266" s="400"/>
      <c r="J266" s="400"/>
      <c r="K266" s="400"/>
      <c r="L266" s="400"/>
      <c r="M266" s="400"/>
      <c r="N266" s="400"/>
      <c r="O266" s="400"/>
      <c r="P266" s="400"/>
      <c r="Q266" s="400"/>
      <c r="R266" s="406" t="s">
        <v>102</v>
      </c>
      <c r="S266" s="400" t="s">
        <v>103</v>
      </c>
      <c r="T266" s="406" t="s">
        <v>109</v>
      </c>
      <c r="U266" s="400" t="s">
        <v>103</v>
      </c>
      <c r="V266" s="281"/>
      <c r="W266" s="282"/>
      <c r="X266" s="5"/>
    </row>
    <row r="267" spans="1:25" ht="15.6" x14ac:dyDescent="0.3">
      <c r="A267" s="197"/>
      <c r="B267" s="234" t="s">
        <v>88</v>
      </c>
      <c r="C267" s="253"/>
      <c r="D267" s="253"/>
      <c r="E267" s="253"/>
      <c r="F267" s="231"/>
      <c r="G267" s="253"/>
      <c r="H267" s="253"/>
      <c r="I267" s="253"/>
      <c r="J267" s="253"/>
      <c r="K267" s="253"/>
      <c r="L267" s="253"/>
      <c r="M267" s="253"/>
      <c r="N267" s="253"/>
      <c r="O267" s="253"/>
      <c r="P267" s="253"/>
      <c r="Q267" s="253"/>
      <c r="R267" s="234">
        <v>149</v>
      </c>
      <c r="S267" s="254">
        <f t="shared" ref="S267:S274" si="7">R267/$R$276</f>
        <v>0.79255319148936165</v>
      </c>
      <c r="T267" s="241">
        <v>20680</v>
      </c>
      <c r="U267" s="254">
        <f t="shared" ref="U267:U274" si="8">T267/$T$276</f>
        <v>0.78592330787063425</v>
      </c>
      <c r="V267" s="231"/>
      <c r="W267" s="231"/>
      <c r="X267" s="5"/>
    </row>
    <row r="268" spans="1:25" ht="15.6" x14ac:dyDescent="0.3">
      <c r="A268" s="287"/>
      <c r="B268" s="337" t="s">
        <v>89</v>
      </c>
      <c r="C268" s="389"/>
      <c r="D268" s="389"/>
      <c r="E268" s="389"/>
      <c r="F268" s="288"/>
      <c r="G268" s="390"/>
      <c r="H268" s="389"/>
      <c r="I268" s="389"/>
      <c r="J268" s="389"/>
      <c r="K268" s="389"/>
      <c r="L268" s="389"/>
      <c r="M268" s="389"/>
      <c r="N268" s="389"/>
      <c r="O268" s="389"/>
      <c r="P268" s="389"/>
      <c r="Q268" s="389"/>
      <c r="R268" s="337">
        <v>9</v>
      </c>
      <c r="S268" s="390">
        <f t="shared" si="7"/>
        <v>4.7872340425531915E-2</v>
      </c>
      <c r="T268" s="338">
        <v>1235</v>
      </c>
      <c r="U268" s="390">
        <f t="shared" si="8"/>
        <v>4.6934975107361381E-2</v>
      </c>
      <c r="V268" s="288"/>
      <c r="W268" s="291"/>
      <c r="X268" s="5"/>
    </row>
    <row r="269" spans="1:25" ht="15.6" x14ac:dyDescent="0.3">
      <c r="A269" s="287"/>
      <c r="B269" s="337" t="s">
        <v>90</v>
      </c>
      <c r="C269" s="389"/>
      <c r="D269" s="389"/>
      <c r="E269" s="389"/>
      <c r="F269" s="288"/>
      <c r="G269" s="390"/>
      <c r="H269" s="389"/>
      <c r="I269" s="389"/>
      <c r="J269" s="389"/>
      <c r="K269" s="389"/>
      <c r="L269" s="389"/>
      <c r="M269" s="389"/>
      <c r="N269" s="389"/>
      <c r="O269" s="389"/>
      <c r="P269" s="389"/>
      <c r="Q269" s="389"/>
      <c r="R269" s="337">
        <v>4</v>
      </c>
      <c r="S269" s="390">
        <f t="shared" si="7"/>
        <v>2.1276595744680851E-2</v>
      </c>
      <c r="T269" s="338">
        <v>550</v>
      </c>
      <c r="U269" s="390">
        <f t="shared" si="8"/>
        <v>2.0902215634857294E-2</v>
      </c>
      <c r="V269" s="288"/>
      <c r="W269" s="291"/>
      <c r="X269" s="5"/>
    </row>
    <row r="270" spans="1:25" ht="15.6" x14ac:dyDescent="0.3">
      <c r="A270" s="287"/>
      <c r="B270" s="337" t="s">
        <v>156</v>
      </c>
      <c r="C270" s="389"/>
      <c r="D270" s="389"/>
      <c r="E270" s="389"/>
      <c r="F270" s="288"/>
      <c r="G270" s="390"/>
      <c r="H270" s="389"/>
      <c r="I270" s="389"/>
      <c r="J270" s="389"/>
      <c r="K270" s="389"/>
      <c r="L270" s="389"/>
      <c r="M270" s="389"/>
      <c r="N270" s="389"/>
      <c r="O270" s="389"/>
      <c r="P270" s="389"/>
      <c r="Q270" s="389"/>
      <c r="R270" s="337">
        <v>2</v>
      </c>
      <c r="S270" s="390">
        <f t="shared" si="7"/>
        <v>1.0638297872340425E-2</v>
      </c>
      <c r="T270" s="338">
        <v>301</v>
      </c>
      <c r="U270" s="390">
        <f t="shared" si="8"/>
        <v>1.1439212556530992E-2</v>
      </c>
      <c r="V270" s="288"/>
      <c r="W270" s="291"/>
      <c r="X270" s="5"/>
    </row>
    <row r="271" spans="1:25" ht="15.6" x14ac:dyDescent="0.3">
      <c r="A271" s="287"/>
      <c r="B271" s="337" t="s">
        <v>157</v>
      </c>
      <c r="C271" s="389"/>
      <c r="D271" s="389"/>
      <c r="E271" s="389"/>
      <c r="F271" s="288"/>
      <c r="G271" s="390"/>
      <c r="H271" s="389"/>
      <c r="I271" s="389"/>
      <c r="J271" s="389"/>
      <c r="K271" s="389"/>
      <c r="L271" s="389"/>
      <c r="M271" s="389"/>
      <c r="N271" s="389"/>
      <c r="O271" s="389"/>
      <c r="P271" s="389"/>
      <c r="Q271" s="389"/>
      <c r="R271" s="337">
        <v>3</v>
      </c>
      <c r="S271" s="390">
        <f t="shared" si="7"/>
        <v>1.5957446808510637E-2</v>
      </c>
      <c r="T271" s="338">
        <v>368</v>
      </c>
      <c r="U271" s="390">
        <f t="shared" si="8"/>
        <v>1.3985482461140881E-2</v>
      </c>
      <c r="V271" s="288"/>
      <c r="W271" s="291"/>
      <c r="X271" s="5"/>
    </row>
    <row r="272" spans="1:25" ht="15.6" x14ac:dyDescent="0.3">
      <c r="A272" s="287"/>
      <c r="B272" s="337" t="s">
        <v>158</v>
      </c>
      <c r="C272" s="389"/>
      <c r="D272" s="389"/>
      <c r="E272" s="389"/>
      <c r="F272" s="288"/>
      <c r="G272" s="390"/>
      <c r="H272" s="389"/>
      <c r="I272" s="389"/>
      <c r="J272" s="389"/>
      <c r="K272" s="389"/>
      <c r="L272" s="389"/>
      <c r="M272" s="389"/>
      <c r="N272" s="389"/>
      <c r="O272" s="389"/>
      <c r="P272" s="389"/>
      <c r="Q272" s="389"/>
      <c r="R272" s="337">
        <v>2</v>
      </c>
      <c r="S272" s="390">
        <f t="shared" si="7"/>
        <v>1.0638297872340425E-2</v>
      </c>
      <c r="T272" s="338">
        <v>289</v>
      </c>
      <c r="U272" s="390">
        <f t="shared" si="8"/>
        <v>1.0983164215406833E-2</v>
      </c>
      <c r="V272" s="288"/>
      <c r="W272" s="291"/>
      <c r="X272" s="5"/>
    </row>
    <row r="273" spans="1:24" ht="15.6" x14ac:dyDescent="0.3">
      <c r="A273" s="287"/>
      <c r="B273" s="337" t="s">
        <v>159</v>
      </c>
      <c r="C273" s="389"/>
      <c r="D273" s="389"/>
      <c r="E273" s="389"/>
      <c r="F273" s="288"/>
      <c r="G273" s="390"/>
      <c r="H273" s="389"/>
      <c r="I273" s="389"/>
      <c r="J273" s="389"/>
      <c r="K273" s="389"/>
      <c r="L273" s="389"/>
      <c r="M273" s="389"/>
      <c r="N273" s="389"/>
      <c r="O273" s="389"/>
      <c r="P273" s="389"/>
      <c r="Q273" s="389"/>
      <c r="R273" s="337">
        <v>3</v>
      </c>
      <c r="S273" s="390">
        <f t="shared" si="7"/>
        <v>1.5957446808510637E-2</v>
      </c>
      <c r="T273" s="338">
        <v>473</v>
      </c>
      <c r="U273" s="390">
        <f t="shared" si="8"/>
        <v>1.7975905445977273E-2</v>
      </c>
      <c r="V273" s="288"/>
      <c r="W273" s="291"/>
      <c r="X273" s="5"/>
    </row>
    <row r="274" spans="1:24" ht="15.6" x14ac:dyDescent="0.3">
      <c r="A274" s="287"/>
      <c r="B274" s="337" t="s">
        <v>160</v>
      </c>
      <c r="C274" s="389"/>
      <c r="D274" s="389"/>
      <c r="E274" s="389"/>
      <c r="F274" s="288"/>
      <c r="G274" s="390"/>
      <c r="H274" s="389"/>
      <c r="I274" s="389"/>
      <c r="J274" s="389"/>
      <c r="K274" s="389"/>
      <c r="L274" s="389"/>
      <c r="M274" s="389"/>
      <c r="N274" s="389"/>
      <c r="O274" s="389"/>
      <c r="P274" s="389"/>
      <c r="Q274" s="389"/>
      <c r="R274" s="337">
        <v>16</v>
      </c>
      <c r="S274" s="390">
        <f t="shared" si="7"/>
        <v>8.5106382978723402E-2</v>
      </c>
      <c r="T274" s="338">
        <v>2417</v>
      </c>
      <c r="U274" s="390">
        <f t="shared" si="8"/>
        <v>9.1855736708091051E-2</v>
      </c>
      <c r="V274" s="288"/>
      <c r="W274" s="291"/>
      <c r="X274" s="5"/>
    </row>
    <row r="275" spans="1:24" ht="15.6" x14ac:dyDescent="0.3">
      <c r="A275" s="287"/>
      <c r="B275" s="337"/>
      <c r="C275" s="389"/>
      <c r="D275" s="389"/>
      <c r="E275" s="389"/>
      <c r="F275" s="288"/>
      <c r="G275" s="390"/>
      <c r="H275" s="389"/>
      <c r="I275" s="389"/>
      <c r="J275" s="389"/>
      <c r="K275" s="389"/>
      <c r="L275" s="389"/>
      <c r="M275" s="389"/>
      <c r="N275" s="389"/>
      <c r="O275" s="389"/>
      <c r="P275" s="389"/>
      <c r="Q275" s="389"/>
      <c r="R275" s="337"/>
      <c r="S275" s="390"/>
      <c r="T275" s="338"/>
      <c r="U275" s="390"/>
      <c r="V275" s="288"/>
      <c r="W275" s="291"/>
      <c r="X275" s="5"/>
    </row>
    <row r="276" spans="1:24" ht="15.6" x14ac:dyDescent="0.3">
      <c r="A276" s="287"/>
      <c r="B276" s="288"/>
      <c r="C276" s="288"/>
      <c r="D276" s="288"/>
      <c r="E276" s="288"/>
      <c r="F276" s="288"/>
      <c r="G276" s="288"/>
      <c r="H276" s="391"/>
      <c r="I276" s="391"/>
      <c r="J276" s="391"/>
      <c r="K276" s="391"/>
      <c r="L276" s="391"/>
      <c r="M276" s="391"/>
      <c r="N276" s="391"/>
      <c r="O276" s="391"/>
      <c r="P276" s="391"/>
      <c r="Q276" s="391"/>
      <c r="R276" s="337">
        <f>SUM(R267:R275)</f>
        <v>188</v>
      </c>
      <c r="S276" s="390">
        <f>SUM(S267:S275)</f>
        <v>0.99999999999999989</v>
      </c>
      <c r="T276" s="338">
        <f>SUM(T267:T275)</f>
        <v>26313</v>
      </c>
      <c r="U276" s="390">
        <f>SUM(U267:U275)</f>
        <v>0.99999999999999978</v>
      </c>
      <c r="V276" s="288"/>
      <c r="W276" s="291"/>
      <c r="X276" s="5"/>
    </row>
    <row r="277" spans="1:24" ht="15.6" x14ac:dyDescent="0.3">
      <c r="A277" s="183"/>
      <c r="B277" s="284"/>
      <c r="C277" s="284"/>
      <c r="D277" s="284"/>
      <c r="E277" s="284"/>
      <c r="F277" s="284"/>
      <c r="G277" s="284"/>
      <c r="H277" s="392"/>
      <c r="I277" s="392"/>
      <c r="J277" s="392"/>
      <c r="K277" s="392"/>
      <c r="L277" s="392"/>
      <c r="M277" s="392"/>
      <c r="N277" s="392"/>
      <c r="O277" s="392"/>
      <c r="P277" s="392"/>
      <c r="Q277" s="392"/>
      <c r="R277" s="339"/>
      <c r="S277" s="393"/>
      <c r="T277" s="394"/>
      <c r="U277" s="393"/>
      <c r="V277" s="284"/>
      <c r="W277" s="284"/>
      <c r="X277" s="5"/>
    </row>
    <row r="278" spans="1:24" ht="15.6" x14ac:dyDescent="0.3">
      <c r="A278" s="280"/>
      <c r="B278" s="399" t="s">
        <v>163</v>
      </c>
      <c r="C278" s="281"/>
      <c r="D278" s="281"/>
      <c r="E278" s="281"/>
      <c r="F278" s="281"/>
      <c r="G278" s="281"/>
      <c r="H278" s="283"/>
      <c r="I278" s="283"/>
      <c r="J278" s="283"/>
      <c r="K278" s="283"/>
      <c r="L278" s="283"/>
      <c r="M278" s="283"/>
      <c r="N278" s="283"/>
      <c r="O278" s="283"/>
      <c r="P278" s="283"/>
      <c r="Q278" s="283"/>
      <c r="R278" s="406" t="s">
        <v>102</v>
      </c>
      <c r="S278" s="400" t="s">
        <v>103</v>
      </c>
      <c r="T278" s="406" t="s">
        <v>109</v>
      </c>
      <c r="U278" s="400" t="s">
        <v>103</v>
      </c>
      <c r="V278" s="281"/>
      <c r="W278" s="282"/>
      <c r="X278" s="5"/>
    </row>
    <row r="279" spans="1:24" ht="15.6" x14ac:dyDescent="0.3">
      <c r="A279" s="197"/>
      <c r="B279" s="234" t="s">
        <v>88</v>
      </c>
      <c r="C279" s="231"/>
      <c r="D279" s="231"/>
      <c r="E279" s="231"/>
      <c r="F279" s="231"/>
      <c r="G279" s="231"/>
      <c r="H279" s="255"/>
      <c r="I279" s="255"/>
      <c r="J279" s="255"/>
      <c r="K279" s="255"/>
      <c r="L279" s="255"/>
      <c r="M279" s="255"/>
      <c r="N279" s="255"/>
      <c r="O279" s="255"/>
      <c r="P279" s="255"/>
      <c r="Q279" s="255"/>
      <c r="R279" s="234">
        <v>0</v>
      </c>
      <c r="S279" s="254">
        <v>0</v>
      </c>
      <c r="T279" s="241">
        <v>0</v>
      </c>
      <c r="U279" s="254">
        <v>0</v>
      </c>
      <c r="V279" s="231"/>
      <c r="W279" s="231"/>
      <c r="X279" s="5"/>
    </row>
    <row r="280" spans="1:24" ht="15.6" x14ac:dyDescent="0.3">
      <c r="A280" s="287"/>
      <c r="B280" s="337" t="s">
        <v>89</v>
      </c>
      <c r="C280" s="288"/>
      <c r="D280" s="288"/>
      <c r="E280" s="288"/>
      <c r="F280" s="288"/>
      <c r="G280" s="288"/>
      <c r="H280" s="391"/>
      <c r="I280" s="391"/>
      <c r="J280" s="391"/>
      <c r="K280" s="391"/>
      <c r="L280" s="391"/>
      <c r="M280" s="391"/>
      <c r="N280" s="391"/>
      <c r="O280" s="391"/>
      <c r="P280" s="391"/>
      <c r="Q280" s="391"/>
      <c r="R280" s="337">
        <v>0</v>
      </c>
      <c r="S280" s="390">
        <v>0</v>
      </c>
      <c r="T280" s="338">
        <v>0</v>
      </c>
      <c r="U280" s="390">
        <v>0</v>
      </c>
      <c r="V280" s="288"/>
      <c r="W280" s="291"/>
      <c r="X280" s="5"/>
    </row>
    <row r="281" spans="1:24" ht="15.6" x14ac:dyDescent="0.3">
      <c r="A281" s="287"/>
      <c r="B281" s="337" t="s">
        <v>90</v>
      </c>
      <c r="C281" s="288"/>
      <c r="D281" s="288"/>
      <c r="E281" s="288"/>
      <c r="F281" s="288"/>
      <c r="G281" s="288"/>
      <c r="H281" s="391"/>
      <c r="I281" s="391"/>
      <c r="J281" s="391"/>
      <c r="K281" s="391"/>
      <c r="L281" s="391"/>
      <c r="M281" s="391"/>
      <c r="N281" s="391"/>
      <c r="O281" s="391"/>
      <c r="P281" s="391"/>
      <c r="Q281" s="391"/>
      <c r="R281" s="337">
        <v>0</v>
      </c>
      <c r="S281" s="390">
        <v>0</v>
      </c>
      <c r="T281" s="338">
        <v>0</v>
      </c>
      <c r="U281" s="390">
        <v>0</v>
      </c>
      <c r="V281" s="288"/>
      <c r="W281" s="291"/>
      <c r="X281" s="5"/>
    </row>
    <row r="282" spans="1:24" ht="15.6" x14ac:dyDescent="0.3">
      <c r="A282" s="287"/>
      <c r="B282" s="337" t="s">
        <v>156</v>
      </c>
      <c r="C282" s="288"/>
      <c r="D282" s="288"/>
      <c r="E282" s="288"/>
      <c r="F282" s="288"/>
      <c r="G282" s="288"/>
      <c r="H282" s="391"/>
      <c r="I282" s="391"/>
      <c r="J282" s="391"/>
      <c r="K282" s="391"/>
      <c r="L282" s="391"/>
      <c r="M282" s="391"/>
      <c r="N282" s="391"/>
      <c r="O282" s="391"/>
      <c r="P282" s="391"/>
      <c r="Q282" s="391"/>
      <c r="R282" s="337">
        <v>0</v>
      </c>
      <c r="S282" s="390">
        <v>0</v>
      </c>
      <c r="T282" s="338">
        <v>0</v>
      </c>
      <c r="U282" s="390">
        <v>0</v>
      </c>
      <c r="V282" s="288"/>
      <c r="W282" s="291"/>
      <c r="X282" s="5"/>
    </row>
    <row r="283" spans="1:24" ht="15.6" x14ac:dyDescent="0.3">
      <c r="A283" s="287"/>
      <c r="B283" s="337" t="s">
        <v>157</v>
      </c>
      <c r="C283" s="288"/>
      <c r="D283" s="288"/>
      <c r="E283" s="288"/>
      <c r="F283" s="288"/>
      <c r="G283" s="288"/>
      <c r="H283" s="391"/>
      <c r="I283" s="391"/>
      <c r="J283" s="391"/>
      <c r="K283" s="391"/>
      <c r="L283" s="391"/>
      <c r="M283" s="391"/>
      <c r="N283" s="391"/>
      <c r="O283" s="391"/>
      <c r="P283" s="391"/>
      <c r="Q283" s="391"/>
      <c r="R283" s="337">
        <v>0</v>
      </c>
      <c r="S283" s="390">
        <v>0</v>
      </c>
      <c r="T283" s="338">
        <v>0</v>
      </c>
      <c r="U283" s="390">
        <v>0</v>
      </c>
      <c r="V283" s="288"/>
      <c r="W283" s="291"/>
      <c r="X283" s="5"/>
    </row>
    <row r="284" spans="1:24" ht="15.6" x14ac:dyDescent="0.3">
      <c r="A284" s="287"/>
      <c r="B284" s="337" t="s">
        <v>158</v>
      </c>
      <c r="C284" s="288"/>
      <c r="D284" s="288"/>
      <c r="E284" s="288"/>
      <c r="F284" s="288"/>
      <c r="G284" s="288"/>
      <c r="H284" s="391"/>
      <c r="I284" s="391"/>
      <c r="J284" s="391"/>
      <c r="K284" s="391"/>
      <c r="L284" s="391"/>
      <c r="M284" s="391"/>
      <c r="N284" s="391"/>
      <c r="O284" s="391"/>
      <c r="P284" s="391"/>
      <c r="Q284" s="391"/>
      <c r="R284" s="337">
        <v>0</v>
      </c>
      <c r="S284" s="390">
        <v>0</v>
      </c>
      <c r="T284" s="338">
        <v>0</v>
      </c>
      <c r="U284" s="390">
        <v>0</v>
      </c>
      <c r="V284" s="288"/>
      <c r="W284" s="291"/>
      <c r="X284" s="5"/>
    </row>
    <row r="285" spans="1:24" ht="15.6" x14ac:dyDescent="0.3">
      <c r="A285" s="287"/>
      <c r="B285" s="337" t="s">
        <v>159</v>
      </c>
      <c r="C285" s="288"/>
      <c r="D285" s="288"/>
      <c r="E285" s="288"/>
      <c r="F285" s="288"/>
      <c r="G285" s="288"/>
      <c r="H285" s="391"/>
      <c r="I285" s="391"/>
      <c r="J285" s="391"/>
      <c r="K285" s="391"/>
      <c r="L285" s="391"/>
      <c r="M285" s="391"/>
      <c r="N285" s="391"/>
      <c r="O285" s="391"/>
      <c r="P285" s="391"/>
      <c r="Q285" s="391"/>
      <c r="R285" s="337">
        <v>0</v>
      </c>
      <c r="S285" s="390">
        <v>0</v>
      </c>
      <c r="T285" s="338">
        <v>0</v>
      </c>
      <c r="U285" s="390">
        <v>0</v>
      </c>
      <c r="V285" s="288"/>
      <c r="W285" s="291"/>
      <c r="X285" s="5"/>
    </row>
    <row r="286" spans="1:24" ht="15.6" x14ac:dyDescent="0.3">
      <c r="A286" s="287"/>
      <c r="B286" s="337" t="s">
        <v>160</v>
      </c>
      <c r="C286" s="288"/>
      <c r="D286" s="288"/>
      <c r="E286" s="288"/>
      <c r="F286" s="288"/>
      <c r="G286" s="288"/>
      <c r="H286" s="391"/>
      <c r="I286" s="391"/>
      <c r="J286" s="391"/>
      <c r="K286" s="391"/>
      <c r="L286" s="391"/>
      <c r="M286" s="391"/>
      <c r="N286" s="391"/>
      <c r="O286" s="391"/>
      <c r="P286" s="391"/>
      <c r="Q286" s="391"/>
      <c r="R286" s="337">
        <v>0</v>
      </c>
      <c r="S286" s="390">
        <v>0</v>
      </c>
      <c r="T286" s="338">
        <v>0</v>
      </c>
      <c r="U286" s="390">
        <v>0</v>
      </c>
      <c r="V286" s="288"/>
      <c r="W286" s="291"/>
      <c r="X286" s="5"/>
    </row>
    <row r="287" spans="1:24" ht="15.6" x14ac:dyDescent="0.3">
      <c r="A287" s="287"/>
      <c r="B287" s="337"/>
      <c r="C287" s="288"/>
      <c r="D287" s="288"/>
      <c r="E287" s="288"/>
      <c r="F287" s="288"/>
      <c r="G287" s="288"/>
      <c r="H287" s="391"/>
      <c r="I287" s="391"/>
      <c r="J287" s="391"/>
      <c r="K287" s="391"/>
      <c r="L287" s="391"/>
      <c r="M287" s="391"/>
      <c r="N287" s="391"/>
      <c r="O287" s="391"/>
      <c r="P287" s="391"/>
      <c r="Q287" s="391"/>
      <c r="R287" s="337"/>
      <c r="S287" s="390"/>
      <c r="T287" s="338"/>
      <c r="U287" s="390"/>
      <c r="V287" s="288"/>
      <c r="W287" s="291"/>
      <c r="X287" s="5"/>
    </row>
    <row r="288" spans="1:24" ht="15.6" x14ac:dyDescent="0.3">
      <c r="A288" s="287"/>
      <c r="B288" s="288" t="s">
        <v>114</v>
      </c>
      <c r="C288" s="288"/>
      <c r="D288" s="288"/>
      <c r="E288" s="288"/>
      <c r="F288" s="288"/>
      <c r="G288" s="288"/>
      <c r="H288" s="391"/>
      <c r="I288" s="391"/>
      <c r="J288" s="391"/>
      <c r="K288" s="391"/>
      <c r="L288" s="391"/>
      <c r="M288" s="391"/>
      <c r="N288" s="391"/>
      <c r="O288" s="391"/>
      <c r="P288" s="391"/>
      <c r="Q288" s="391"/>
      <c r="R288" s="337">
        <f>SUM(R279:R286)</f>
        <v>0</v>
      </c>
      <c r="S288" s="390">
        <f>SUM(S279:S287)</f>
        <v>0</v>
      </c>
      <c r="T288" s="338">
        <f>SUM(T279:T286)</f>
        <v>0</v>
      </c>
      <c r="U288" s="390">
        <f>SUM(U279:U287)</f>
        <v>0</v>
      </c>
      <c r="V288" s="288"/>
      <c r="W288" s="291"/>
      <c r="X288" s="5"/>
    </row>
    <row r="289" spans="1:24" ht="15.6" x14ac:dyDescent="0.3">
      <c r="A289" s="287"/>
      <c r="B289" s="288"/>
      <c r="C289" s="288"/>
      <c r="D289" s="288"/>
      <c r="E289" s="288"/>
      <c r="F289" s="288"/>
      <c r="G289" s="288"/>
      <c r="H289" s="391"/>
      <c r="I289" s="391"/>
      <c r="J289" s="391"/>
      <c r="K289" s="391"/>
      <c r="L289" s="391"/>
      <c r="M289" s="391"/>
      <c r="N289" s="391"/>
      <c r="O289" s="391"/>
      <c r="P289" s="391"/>
      <c r="Q289" s="391"/>
      <c r="R289" s="337"/>
      <c r="S289" s="390"/>
      <c r="T289" s="338"/>
      <c r="U289" s="390"/>
      <c r="V289" s="288"/>
      <c r="W289" s="291"/>
      <c r="X289" s="5"/>
    </row>
    <row r="290" spans="1:24" ht="15.6" x14ac:dyDescent="0.3">
      <c r="A290" s="287"/>
      <c r="B290" s="295" t="s">
        <v>164</v>
      </c>
      <c r="C290" s="288"/>
      <c r="D290" s="288"/>
      <c r="E290" s="288"/>
      <c r="F290" s="288"/>
      <c r="G290" s="288"/>
      <c r="H290" s="391"/>
      <c r="I290" s="391"/>
      <c r="J290" s="391"/>
      <c r="K290" s="391"/>
      <c r="L290" s="391"/>
      <c r="M290" s="391"/>
      <c r="N290" s="391"/>
      <c r="O290" s="391"/>
      <c r="P290" s="391"/>
      <c r="Q290" s="391"/>
      <c r="R290" s="407">
        <f>R288+R276+R264</f>
        <v>7833</v>
      </c>
      <c r="S290" s="390"/>
      <c r="T290" s="396">
        <f>+T288+T276+T264</f>
        <v>1094792</v>
      </c>
      <c r="U290" s="390"/>
      <c r="V290" s="288"/>
      <c r="W290" s="291"/>
      <c r="X290" s="5"/>
    </row>
    <row r="291" spans="1:24" ht="15.6" x14ac:dyDescent="0.3">
      <c r="A291" s="183"/>
      <c r="B291" s="284"/>
      <c r="C291" s="284"/>
      <c r="D291" s="284"/>
      <c r="E291" s="284"/>
      <c r="F291" s="284"/>
      <c r="G291" s="284"/>
      <c r="H291" s="392"/>
      <c r="I291" s="392"/>
      <c r="J291" s="392"/>
      <c r="K291" s="392"/>
      <c r="L291" s="392"/>
      <c r="M291" s="392"/>
      <c r="N291" s="392"/>
      <c r="O291" s="392"/>
      <c r="P291" s="392"/>
      <c r="Q291" s="392"/>
      <c r="R291" s="392"/>
      <c r="S291" s="392"/>
      <c r="T291" s="394"/>
      <c r="U291" s="392"/>
      <c r="V291" s="284"/>
      <c r="W291" s="284"/>
      <c r="X291" s="5"/>
    </row>
    <row r="292" spans="1:24" ht="15.6" x14ac:dyDescent="0.3">
      <c r="A292" s="183"/>
      <c r="B292" s="224"/>
      <c r="C292" s="224"/>
      <c r="D292" s="224"/>
      <c r="E292" s="224"/>
      <c r="F292" s="224"/>
      <c r="G292" s="224"/>
      <c r="H292" s="256"/>
      <c r="I292" s="256"/>
      <c r="J292" s="256"/>
      <c r="K292" s="256"/>
      <c r="L292" s="256"/>
      <c r="M292" s="256"/>
      <c r="N292" s="256"/>
      <c r="O292" s="256"/>
      <c r="P292" s="256"/>
      <c r="Q292" s="256"/>
      <c r="R292" s="256"/>
      <c r="S292" s="256"/>
      <c r="T292" s="257"/>
      <c r="U292" s="256"/>
      <c r="V292" s="224"/>
      <c r="W292" s="224"/>
      <c r="X292" s="5"/>
    </row>
    <row r="293" spans="1:24" ht="15.6" x14ac:dyDescent="0.3">
      <c r="A293" s="219"/>
      <c r="B293" s="222" t="s">
        <v>91</v>
      </c>
      <c r="C293" s="224"/>
      <c r="D293" s="224"/>
      <c r="E293" s="224"/>
      <c r="F293" s="228" t="s">
        <v>97</v>
      </c>
      <c r="G293" s="224"/>
      <c r="H293" s="222" t="s">
        <v>99</v>
      </c>
      <c r="I293" s="222"/>
      <c r="J293" s="222"/>
      <c r="K293" s="258"/>
      <c r="L293" s="258"/>
      <c r="M293" s="258"/>
      <c r="N293" s="258"/>
      <c r="O293" s="258"/>
      <c r="P293" s="258"/>
      <c r="Q293" s="258"/>
      <c r="R293" s="258"/>
      <c r="S293" s="258"/>
      <c r="T293" s="258"/>
      <c r="U293" s="258"/>
      <c r="V293" s="258"/>
      <c r="W293" s="258"/>
      <c r="X293" s="5"/>
    </row>
    <row r="294" spans="1:24" ht="15.6" x14ac:dyDescent="0.3">
      <c r="A294" s="219"/>
      <c r="B294" s="258"/>
      <c r="C294" s="224"/>
      <c r="D294" s="224"/>
      <c r="E294" s="224"/>
      <c r="F294" s="224"/>
      <c r="G294" s="224"/>
      <c r="H294" s="224"/>
      <c r="I294" s="224"/>
      <c r="J294" s="224"/>
      <c r="K294" s="258"/>
      <c r="L294" s="258"/>
      <c r="M294" s="258"/>
      <c r="N294" s="258"/>
      <c r="O294" s="258"/>
      <c r="P294" s="258"/>
      <c r="Q294" s="258"/>
      <c r="R294" s="258"/>
      <c r="S294" s="258"/>
      <c r="T294" s="258"/>
      <c r="U294" s="258"/>
      <c r="V294" s="258"/>
      <c r="W294" s="258"/>
      <c r="X294" s="5"/>
    </row>
    <row r="295" spans="1:24" ht="15.6" x14ac:dyDescent="0.3">
      <c r="A295" s="219"/>
      <c r="B295" s="222" t="s">
        <v>338</v>
      </c>
      <c r="C295" s="222"/>
      <c r="D295" s="222"/>
      <c r="E295" s="222"/>
      <c r="F295" s="259" t="s">
        <v>148</v>
      </c>
      <c r="G295" s="222"/>
      <c r="H295" s="222" t="s">
        <v>152</v>
      </c>
      <c r="I295" s="222"/>
      <c r="J295" s="222"/>
      <c r="K295" s="258"/>
      <c r="L295" s="258"/>
      <c r="M295" s="258"/>
      <c r="N295" s="258"/>
      <c r="O295" s="258"/>
      <c r="P295" s="258"/>
      <c r="Q295" s="258"/>
      <c r="R295" s="258"/>
      <c r="S295" s="258"/>
      <c r="T295" s="258"/>
      <c r="U295" s="258"/>
      <c r="V295" s="258"/>
      <c r="W295" s="258"/>
      <c r="X295" s="5"/>
    </row>
    <row r="296" spans="1:24" ht="15.6" x14ac:dyDescent="0.3">
      <c r="A296" s="219"/>
      <c r="B296" s="222" t="s">
        <v>339</v>
      </c>
      <c r="C296" s="222"/>
      <c r="D296" s="222"/>
      <c r="E296" s="222"/>
      <c r="F296" s="259" t="s">
        <v>278</v>
      </c>
      <c r="G296" s="222"/>
      <c r="H296" s="222" t="s">
        <v>279</v>
      </c>
      <c r="I296" s="258"/>
      <c r="J296" s="222"/>
      <c r="K296" s="258"/>
      <c r="L296" s="258"/>
      <c r="M296" s="258"/>
      <c r="N296" s="258"/>
      <c r="O296" s="258"/>
      <c r="P296" s="258"/>
      <c r="Q296" s="258"/>
      <c r="R296" s="258"/>
      <c r="S296" s="258"/>
      <c r="T296" s="258"/>
      <c r="U296" s="258"/>
      <c r="V296" s="258"/>
      <c r="W296" s="258"/>
      <c r="X296" s="5"/>
    </row>
    <row r="297" spans="1:24" ht="15.6" x14ac:dyDescent="0.3">
      <c r="A297" s="219"/>
      <c r="B297" s="222" t="s">
        <v>340</v>
      </c>
      <c r="C297" s="222"/>
      <c r="D297" s="222"/>
      <c r="E297" s="222"/>
      <c r="F297" s="259" t="s">
        <v>147</v>
      </c>
      <c r="G297" s="222"/>
      <c r="H297" s="222" t="s">
        <v>153</v>
      </c>
      <c r="I297" s="222"/>
      <c r="J297" s="222"/>
      <c r="K297" s="258"/>
      <c r="L297" s="258"/>
      <c r="M297" s="258"/>
      <c r="N297" s="258"/>
      <c r="O297" s="258"/>
      <c r="P297" s="258"/>
      <c r="Q297" s="258"/>
      <c r="R297" s="258"/>
      <c r="S297" s="258"/>
      <c r="T297" s="258"/>
      <c r="U297" s="258"/>
      <c r="V297" s="258"/>
      <c r="W297" s="258"/>
      <c r="X297" s="5"/>
    </row>
    <row r="298" spans="1:24" ht="15.6" x14ac:dyDescent="0.3">
      <c r="A298" s="219"/>
      <c r="B298" s="222"/>
      <c r="C298" s="222"/>
      <c r="D298" s="222"/>
      <c r="E298" s="222"/>
      <c r="F298" s="222"/>
      <c r="G298" s="260"/>
      <c r="H298" s="258"/>
      <c r="I298" s="258"/>
      <c r="J298" s="258"/>
      <c r="K298" s="258"/>
      <c r="L298" s="258"/>
      <c r="M298" s="258"/>
      <c r="N298" s="258"/>
      <c r="O298" s="258"/>
      <c r="P298" s="258"/>
      <c r="Q298" s="258"/>
      <c r="R298" s="258"/>
      <c r="S298" s="258"/>
      <c r="T298" s="258"/>
      <c r="U298" s="258"/>
      <c r="V298" s="258"/>
      <c r="W298" s="258"/>
      <c r="X298" s="5"/>
    </row>
    <row r="299" spans="1:24" ht="15.6" x14ac:dyDescent="0.3">
      <c r="A299" s="219"/>
      <c r="B299" s="222"/>
      <c r="C299" s="222"/>
      <c r="D299" s="222"/>
      <c r="E299" s="222"/>
      <c r="F299" s="222"/>
      <c r="G299" s="260"/>
      <c r="H299" s="258"/>
      <c r="I299" s="258"/>
      <c r="J299" s="258"/>
      <c r="K299" s="258"/>
      <c r="L299" s="258"/>
      <c r="M299" s="258"/>
      <c r="N299" s="258"/>
      <c r="O299" s="258"/>
      <c r="P299" s="258"/>
      <c r="Q299" s="258"/>
      <c r="R299" s="258"/>
      <c r="S299" s="258"/>
      <c r="T299" s="258"/>
      <c r="U299" s="258"/>
      <c r="V299" s="258"/>
      <c r="W299" s="258"/>
      <c r="X299" s="5"/>
    </row>
    <row r="300" spans="1:24" ht="18" thickBot="1" x14ac:dyDescent="0.35">
      <c r="A300" s="219"/>
      <c r="B300" s="261" t="str">
        <f>B204</f>
        <v>PM14 INVESTOR REPORT QUARTER ENDING MAY 2013</v>
      </c>
      <c r="C300" s="222"/>
      <c r="D300" s="222"/>
      <c r="E300" s="222"/>
      <c r="F300" s="222"/>
      <c r="G300" s="260"/>
      <c r="H300" s="258"/>
      <c r="I300" s="258"/>
      <c r="J300" s="258"/>
      <c r="K300" s="258"/>
      <c r="L300" s="258"/>
      <c r="M300" s="258"/>
      <c r="N300" s="258"/>
      <c r="O300" s="258"/>
      <c r="P300" s="258"/>
      <c r="Q300" s="258"/>
      <c r="R300" s="258"/>
      <c r="S300" s="258"/>
      <c r="T300" s="258"/>
      <c r="U300" s="258"/>
      <c r="V300" s="258"/>
      <c r="W300" s="258"/>
      <c r="X300" s="5"/>
    </row>
    <row r="301" spans="1:24" x14ac:dyDescent="0.25">
      <c r="A301" s="100"/>
      <c r="B301" s="100"/>
      <c r="C301" s="100"/>
      <c r="D301" s="100"/>
      <c r="E301" s="100"/>
      <c r="F301" s="100"/>
      <c r="G301" s="100"/>
      <c r="H301" s="100"/>
      <c r="I301" s="100"/>
      <c r="J301" s="100"/>
      <c r="K301" s="100"/>
      <c r="L301" s="100"/>
      <c r="M301" s="100"/>
      <c r="N301" s="100"/>
      <c r="O301" s="100"/>
      <c r="P301" s="100"/>
      <c r="Q301" s="100"/>
      <c r="R301" s="100"/>
      <c r="S301" s="100"/>
      <c r="T301" s="100"/>
      <c r="U301" s="100"/>
      <c r="V301" s="100"/>
      <c r="W301" s="100"/>
    </row>
  </sheetData>
  <hyperlinks>
    <hyperlink ref="P240" r:id="rId1" xr:uid="{00000000-0004-0000-1700-000000000000}"/>
    <hyperlink ref="I9" r:id="rId2" xr:uid="{00000000-0004-0000-17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8" max="14" man="1"/>
    <brk id="204" max="14" man="1"/>
  </rowBreaks>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theme="6"/>
  </sheetPr>
  <dimension ref="A1:IV301"/>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80"/>
      <c r="B1" s="220" t="s">
        <v>244</v>
      </c>
      <c r="C1" s="181"/>
      <c r="D1" s="181"/>
      <c r="E1" s="181"/>
      <c r="F1" s="181"/>
      <c r="G1" s="181"/>
      <c r="H1" s="181"/>
      <c r="I1" s="181"/>
      <c r="J1" s="181"/>
      <c r="K1" s="181"/>
      <c r="L1" s="181"/>
      <c r="M1" s="181"/>
      <c r="N1" s="181"/>
      <c r="O1" s="181"/>
      <c r="P1" s="181"/>
      <c r="Q1" s="181"/>
      <c r="R1" s="181"/>
      <c r="S1" s="181"/>
      <c r="T1" s="181"/>
      <c r="U1" s="181"/>
      <c r="V1" s="181"/>
      <c r="W1" s="181"/>
      <c r="X1" s="5"/>
    </row>
    <row r="2" spans="1:24" ht="15.6" x14ac:dyDescent="0.3">
      <c r="A2" s="183"/>
      <c r="B2" s="184"/>
      <c r="C2" s="185"/>
      <c r="D2" s="185"/>
      <c r="E2" s="185"/>
      <c r="F2" s="185"/>
      <c r="G2" s="185"/>
      <c r="H2" s="185"/>
      <c r="I2" s="185"/>
      <c r="J2" s="185"/>
      <c r="K2" s="185"/>
      <c r="L2" s="185"/>
      <c r="M2" s="185"/>
      <c r="N2" s="185"/>
      <c r="O2" s="185"/>
      <c r="P2" s="185"/>
      <c r="Q2" s="185"/>
      <c r="R2" s="185"/>
      <c r="S2" s="185"/>
      <c r="T2" s="185"/>
      <c r="U2" s="185"/>
      <c r="V2" s="185"/>
      <c r="W2" s="185"/>
      <c r="X2" s="5"/>
    </row>
    <row r="3" spans="1:24" ht="15.6" x14ac:dyDescent="0.3">
      <c r="A3" s="186"/>
      <c r="B3" s="187" t="s">
        <v>245</v>
      </c>
      <c r="C3" s="185"/>
      <c r="D3" s="185"/>
      <c r="E3" s="185"/>
      <c r="F3" s="185"/>
      <c r="G3" s="185"/>
      <c r="H3" s="185"/>
      <c r="I3" s="185"/>
      <c r="J3" s="185"/>
      <c r="K3" s="185"/>
      <c r="L3" s="185"/>
      <c r="M3" s="185"/>
      <c r="N3" s="185"/>
      <c r="O3" s="185"/>
      <c r="P3" s="185"/>
      <c r="Q3" s="185"/>
      <c r="R3" s="185"/>
      <c r="S3" s="185"/>
      <c r="T3" s="185"/>
      <c r="U3" s="185"/>
      <c r="V3" s="185"/>
      <c r="W3" s="185"/>
      <c r="X3" s="5"/>
    </row>
    <row r="4" spans="1:24" ht="15.6" x14ac:dyDescent="0.3">
      <c r="A4" s="183"/>
      <c r="B4" s="184"/>
      <c r="C4" s="185"/>
      <c r="D4" s="185"/>
      <c r="E4" s="185"/>
      <c r="F4" s="185"/>
      <c r="G4" s="185"/>
      <c r="H4" s="185"/>
      <c r="I4" s="185"/>
      <c r="J4" s="185"/>
      <c r="K4" s="185"/>
      <c r="L4" s="185"/>
      <c r="M4" s="185"/>
      <c r="N4" s="185"/>
      <c r="O4" s="185"/>
      <c r="P4" s="185"/>
      <c r="Q4" s="185"/>
      <c r="R4" s="185"/>
      <c r="S4" s="185"/>
      <c r="T4" s="185"/>
      <c r="U4" s="185"/>
      <c r="V4" s="185"/>
      <c r="W4" s="185"/>
      <c r="X4" s="5"/>
    </row>
    <row r="5" spans="1:24" ht="15.6" x14ac:dyDescent="0.3">
      <c r="A5" s="183"/>
      <c r="B5" s="221" t="s">
        <v>137</v>
      </c>
      <c r="C5" s="185"/>
      <c r="D5" s="185"/>
      <c r="E5" s="185"/>
      <c r="F5" s="185"/>
      <c r="G5" s="185"/>
      <c r="H5" s="185"/>
      <c r="I5" s="185"/>
      <c r="J5" s="185"/>
      <c r="K5" s="185"/>
      <c r="L5" s="185"/>
      <c r="M5" s="185"/>
      <c r="N5" s="185"/>
      <c r="O5" s="185"/>
      <c r="P5" s="185"/>
      <c r="Q5" s="185"/>
      <c r="R5" s="185"/>
      <c r="S5" s="185"/>
      <c r="T5" s="185"/>
      <c r="U5" s="185"/>
      <c r="V5" s="185"/>
      <c r="W5" s="185"/>
      <c r="X5" s="5"/>
    </row>
    <row r="6" spans="1:24" ht="15.6" x14ac:dyDescent="0.3">
      <c r="A6" s="183"/>
      <c r="B6" s="221" t="s">
        <v>139</v>
      </c>
      <c r="C6" s="185"/>
      <c r="D6" s="185"/>
      <c r="E6" s="185"/>
      <c r="F6" s="185"/>
      <c r="G6" s="185"/>
      <c r="H6" s="185"/>
      <c r="I6" s="185"/>
      <c r="J6" s="185"/>
      <c r="K6" s="185"/>
      <c r="L6" s="185"/>
      <c r="M6" s="185"/>
      <c r="N6" s="185"/>
      <c r="O6" s="185"/>
      <c r="P6" s="185"/>
      <c r="Q6" s="185"/>
      <c r="R6" s="185"/>
      <c r="S6" s="185"/>
      <c r="T6" s="185"/>
      <c r="U6" s="185"/>
      <c r="V6" s="185"/>
      <c r="W6" s="185"/>
      <c r="X6" s="5"/>
    </row>
    <row r="7" spans="1:24" ht="15.6" x14ac:dyDescent="0.3">
      <c r="A7" s="183"/>
      <c r="B7" s="221" t="s">
        <v>138</v>
      </c>
      <c r="C7" s="185"/>
      <c r="D7" s="185"/>
      <c r="E7" s="185"/>
      <c r="F7" s="185"/>
      <c r="G7" s="185"/>
      <c r="H7" s="185"/>
      <c r="I7" s="185"/>
      <c r="J7" s="185"/>
      <c r="K7" s="185"/>
      <c r="L7" s="185"/>
      <c r="M7" s="185"/>
      <c r="N7" s="185"/>
      <c r="O7" s="185"/>
      <c r="P7" s="185"/>
      <c r="Q7" s="185"/>
      <c r="R7" s="185"/>
      <c r="S7" s="185"/>
      <c r="T7" s="185"/>
      <c r="U7" s="185"/>
      <c r="V7" s="185"/>
      <c r="W7" s="185"/>
      <c r="X7" s="5"/>
    </row>
    <row r="8" spans="1:24" ht="15.6" x14ac:dyDescent="0.3">
      <c r="A8" s="183"/>
      <c r="B8" s="188"/>
      <c r="C8" s="185"/>
      <c r="D8" s="185"/>
      <c r="E8" s="185"/>
      <c r="F8" s="185"/>
      <c r="G8" s="185"/>
      <c r="H8" s="185"/>
      <c r="I8" s="185"/>
      <c r="J8" s="185"/>
      <c r="K8" s="185"/>
      <c r="L8" s="185"/>
      <c r="M8" s="185"/>
      <c r="N8" s="185"/>
      <c r="O8" s="185"/>
      <c r="P8" s="185"/>
      <c r="Q8" s="185"/>
      <c r="R8" s="185"/>
      <c r="S8" s="185"/>
      <c r="T8" s="185"/>
      <c r="U8" s="185"/>
      <c r="V8" s="185"/>
      <c r="W8" s="185"/>
      <c r="X8" s="5"/>
    </row>
    <row r="9" spans="1:24" ht="17.399999999999999" x14ac:dyDescent="0.3">
      <c r="A9" s="183"/>
      <c r="B9" s="189" t="s">
        <v>166</v>
      </c>
      <c r="C9" s="185"/>
      <c r="D9" s="185"/>
      <c r="E9" s="185"/>
      <c r="F9" s="185"/>
      <c r="G9" s="185"/>
      <c r="H9" s="185"/>
      <c r="I9" s="190" t="s">
        <v>167</v>
      </c>
      <c r="J9" s="185"/>
      <c r="K9" s="185"/>
      <c r="L9" s="190"/>
      <c r="M9" s="185"/>
      <c r="N9" s="190"/>
      <c r="O9" s="185"/>
      <c r="P9" s="185"/>
      <c r="Q9" s="185"/>
      <c r="R9" s="185"/>
      <c r="S9" s="185"/>
      <c r="T9" s="185"/>
      <c r="U9" s="185"/>
      <c r="V9" s="185"/>
      <c r="W9" s="185"/>
      <c r="X9" s="5"/>
    </row>
    <row r="10" spans="1:24" ht="15.6" x14ac:dyDescent="0.3">
      <c r="A10" s="183"/>
      <c r="B10" s="188"/>
      <c r="C10" s="191"/>
      <c r="D10" s="191"/>
      <c r="E10" s="191"/>
      <c r="F10" s="185"/>
      <c r="G10" s="185"/>
      <c r="H10" s="185"/>
      <c r="I10" s="185"/>
      <c r="J10" s="185"/>
      <c r="K10" s="185"/>
      <c r="L10" s="185"/>
      <c r="M10" s="185"/>
      <c r="N10" s="185"/>
      <c r="O10" s="185"/>
      <c r="P10" s="185"/>
      <c r="Q10" s="185"/>
      <c r="R10" s="185"/>
      <c r="S10" s="185"/>
      <c r="T10" s="185"/>
      <c r="U10" s="185"/>
      <c r="V10" s="185"/>
      <c r="W10" s="185"/>
      <c r="X10" s="5"/>
    </row>
    <row r="11" spans="1:24" ht="15.6" x14ac:dyDescent="0.3">
      <c r="A11" s="183"/>
      <c r="B11" s="222" t="s">
        <v>0</v>
      </c>
      <c r="C11" s="185"/>
      <c r="D11" s="185"/>
      <c r="E11" s="185"/>
      <c r="F11" s="185"/>
      <c r="G11" s="185"/>
      <c r="H11" s="185"/>
      <c r="I11" s="185"/>
      <c r="J11" s="185"/>
      <c r="K11" s="185"/>
      <c r="L11" s="185"/>
      <c r="M11" s="185"/>
      <c r="N11" s="185"/>
      <c r="O11" s="185"/>
      <c r="P11" s="185"/>
      <c r="Q11" s="185"/>
      <c r="R11" s="185"/>
      <c r="S11" s="185"/>
      <c r="T11" s="185"/>
      <c r="U11" s="185"/>
      <c r="V11" s="185"/>
      <c r="W11" s="185"/>
      <c r="X11" s="5"/>
    </row>
    <row r="12" spans="1:24" ht="16.2" thickBot="1" x14ac:dyDescent="0.35">
      <c r="A12" s="183"/>
      <c r="B12" s="191"/>
      <c r="C12" s="185"/>
      <c r="D12" s="185"/>
      <c r="E12" s="185"/>
      <c r="F12" s="185"/>
      <c r="G12" s="185"/>
      <c r="H12" s="185"/>
      <c r="I12" s="185"/>
      <c r="J12" s="185"/>
      <c r="K12" s="185"/>
      <c r="L12" s="185"/>
      <c r="M12" s="185"/>
      <c r="N12" s="185"/>
      <c r="O12" s="185"/>
      <c r="P12" s="185"/>
      <c r="Q12" s="185"/>
      <c r="R12" s="185"/>
      <c r="S12" s="185"/>
      <c r="T12" s="185"/>
      <c r="U12" s="185"/>
      <c r="V12" s="185"/>
      <c r="W12" s="185"/>
      <c r="X12" s="5"/>
    </row>
    <row r="13" spans="1:24" ht="15.6" x14ac:dyDescent="0.3">
      <c r="A13" s="180"/>
      <c r="B13" s="181"/>
      <c r="C13" s="181"/>
      <c r="D13" s="181"/>
      <c r="E13" s="181"/>
      <c r="F13" s="181"/>
      <c r="G13" s="181"/>
      <c r="H13" s="181"/>
      <c r="I13" s="181"/>
      <c r="J13" s="181"/>
      <c r="K13" s="181"/>
      <c r="L13" s="181"/>
      <c r="M13" s="181"/>
      <c r="N13" s="181"/>
      <c r="O13" s="181"/>
      <c r="P13" s="181"/>
      <c r="Q13" s="181"/>
      <c r="R13" s="181"/>
      <c r="S13" s="181"/>
      <c r="T13" s="181"/>
      <c r="U13" s="181"/>
      <c r="V13" s="181"/>
      <c r="W13" s="181"/>
      <c r="X13" s="5"/>
    </row>
    <row r="14" spans="1:24" ht="15.6" x14ac:dyDescent="0.3">
      <c r="A14" s="183"/>
      <c r="B14" s="222" t="s">
        <v>1</v>
      </c>
      <c r="C14" s="192"/>
      <c r="D14" s="192"/>
      <c r="E14" s="192"/>
      <c r="F14" s="192"/>
      <c r="G14" s="192"/>
      <c r="H14" s="192"/>
      <c r="I14" s="192"/>
      <c r="J14" s="192"/>
      <c r="K14" s="192"/>
      <c r="L14" s="192"/>
      <c r="M14" s="192"/>
      <c r="N14" s="192"/>
      <c r="O14" s="192"/>
      <c r="P14" s="192"/>
      <c r="Q14" s="192"/>
      <c r="R14" s="224"/>
      <c r="S14" s="224"/>
      <c r="T14" s="224"/>
      <c r="U14" s="224"/>
      <c r="V14" s="225" t="s">
        <v>246</v>
      </c>
      <c r="W14" s="192"/>
      <c r="X14" s="5"/>
    </row>
    <row r="15" spans="1:24" ht="15.6" x14ac:dyDescent="0.3">
      <c r="A15" s="183"/>
      <c r="B15" s="222" t="s">
        <v>2</v>
      </c>
      <c r="C15" s="192"/>
      <c r="D15" s="192"/>
      <c r="E15" s="192"/>
      <c r="F15" s="192"/>
      <c r="G15" s="192"/>
      <c r="H15" s="193"/>
      <c r="I15" s="193"/>
      <c r="J15" s="193"/>
      <c r="K15" s="193"/>
      <c r="L15" s="193"/>
      <c r="M15" s="193"/>
      <c r="N15" s="193"/>
      <c r="O15" s="193"/>
      <c r="P15" s="193"/>
      <c r="Q15" s="193"/>
      <c r="R15" s="226" t="s">
        <v>104</v>
      </c>
      <c r="S15" s="227">
        <v>0.38300000000000001</v>
      </c>
      <c r="T15" s="228" t="s">
        <v>140</v>
      </c>
      <c r="U15" s="227">
        <v>0.61699999999999999</v>
      </c>
      <c r="V15" s="225"/>
      <c r="W15" s="192"/>
      <c r="X15" s="5"/>
    </row>
    <row r="16" spans="1:24" ht="15.6" x14ac:dyDescent="0.3">
      <c r="A16" s="183"/>
      <c r="B16" s="222" t="s">
        <v>3</v>
      </c>
      <c r="C16" s="192"/>
      <c r="D16" s="192"/>
      <c r="E16" s="192"/>
      <c r="F16" s="192"/>
      <c r="G16" s="192"/>
      <c r="H16" s="193"/>
      <c r="I16" s="193"/>
      <c r="J16" s="193"/>
      <c r="K16" s="193"/>
      <c r="L16" s="193"/>
      <c r="M16" s="193"/>
      <c r="N16" s="193"/>
      <c r="O16" s="193"/>
      <c r="P16" s="193"/>
      <c r="Q16" s="193"/>
      <c r="R16" s="226" t="s">
        <v>104</v>
      </c>
      <c r="S16" s="227">
        <v>0.46050000000000002</v>
      </c>
      <c r="T16" s="228" t="s">
        <v>140</v>
      </c>
      <c r="U16" s="227">
        <v>0.53949999999999998</v>
      </c>
      <c r="V16" s="225"/>
      <c r="W16" s="192"/>
      <c r="X16" s="5"/>
    </row>
    <row r="17" spans="1:24" ht="15.6" x14ac:dyDescent="0.3">
      <c r="A17" s="183"/>
      <c r="B17" s="222" t="s">
        <v>4</v>
      </c>
      <c r="C17" s="192"/>
      <c r="D17" s="192"/>
      <c r="E17" s="192"/>
      <c r="F17" s="192"/>
      <c r="G17" s="192"/>
      <c r="H17" s="192"/>
      <c r="I17" s="192"/>
      <c r="J17" s="192"/>
      <c r="K17" s="192"/>
      <c r="L17" s="192"/>
      <c r="M17" s="192"/>
      <c r="N17" s="192"/>
      <c r="O17" s="192"/>
      <c r="P17" s="192"/>
      <c r="Q17" s="192"/>
      <c r="R17" s="224"/>
      <c r="S17" s="224"/>
      <c r="T17" s="224"/>
      <c r="U17" s="224"/>
      <c r="V17" s="229">
        <v>39163</v>
      </c>
      <c r="W17" s="192"/>
      <c r="X17" s="5"/>
    </row>
    <row r="18" spans="1:24" ht="15.6" x14ac:dyDescent="0.3">
      <c r="A18" s="183"/>
      <c r="B18" s="222" t="s">
        <v>5</v>
      </c>
      <c r="C18" s="192"/>
      <c r="D18" s="192"/>
      <c r="E18" s="192"/>
      <c r="F18" s="192"/>
      <c r="G18" s="192"/>
      <c r="H18" s="192"/>
      <c r="I18" s="192"/>
      <c r="J18" s="192"/>
      <c r="K18" s="192"/>
      <c r="L18" s="192"/>
      <c r="M18" s="192"/>
      <c r="N18" s="192"/>
      <c r="O18" s="192"/>
      <c r="P18" s="192"/>
      <c r="Q18" s="192"/>
      <c r="R18" s="224"/>
      <c r="S18" s="224"/>
      <c r="T18" s="224"/>
      <c r="U18" s="224"/>
      <c r="V18" s="229">
        <v>41540</v>
      </c>
      <c r="W18" s="192"/>
      <c r="X18" s="5"/>
    </row>
    <row r="19" spans="1:24" ht="15.6" x14ac:dyDescent="0.3">
      <c r="A19" s="183"/>
      <c r="B19" s="185"/>
      <c r="C19" s="185"/>
      <c r="D19" s="185"/>
      <c r="E19" s="185"/>
      <c r="F19" s="185"/>
      <c r="G19" s="185"/>
      <c r="H19" s="185"/>
      <c r="I19" s="185"/>
      <c r="J19" s="185"/>
      <c r="K19" s="185"/>
      <c r="L19" s="185"/>
      <c r="M19" s="185"/>
      <c r="N19" s="185"/>
      <c r="O19" s="185"/>
      <c r="P19" s="185"/>
      <c r="Q19" s="185"/>
      <c r="R19" s="185"/>
      <c r="S19" s="185"/>
      <c r="T19" s="185"/>
      <c r="U19" s="185"/>
      <c r="V19" s="194"/>
      <c r="W19" s="185"/>
      <c r="X19" s="5"/>
    </row>
    <row r="20" spans="1:24" ht="15.6" x14ac:dyDescent="0.3">
      <c r="A20" s="183"/>
      <c r="B20" s="230" t="s">
        <v>6</v>
      </c>
      <c r="C20" s="185"/>
      <c r="D20" s="185"/>
      <c r="E20" s="185"/>
      <c r="F20" s="185"/>
      <c r="G20" s="185"/>
      <c r="H20" s="185"/>
      <c r="I20" s="185"/>
      <c r="J20" s="185"/>
      <c r="K20" s="185"/>
      <c r="L20" s="185"/>
      <c r="M20" s="185"/>
      <c r="N20" s="185"/>
      <c r="O20" s="185"/>
      <c r="P20" s="185"/>
      <c r="Q20" s="185"/>
      <c r="R20" s="185"/>
      <c r="S20" s="185"/>
      <c r="T20" s="223" t="s">
        <v>105</v>
      </c>
      <c r="U20" s="185"/>
      <c r="V20" s="182"/>
      <c r="W20" s="185"/>
      <c r="X20" s="5"/>
    </row>
    <row r="21" spans="1:24" ht="15.6" x14ac:dyDescent="0.3">
      <c r="A21" s="183"/>
      <c r="B21" s="185"/>
      <c r="C21" s="185"/>
      <c r="D21" s="185"/>
      <c r="E21" s="185"/>
      <c r="F21" s="185"/>
      <c r="G21" s="185"/>
      <c r="H21" s="185"/>
      <c r="I21" s="185"/>
      <c r="J21" s="185"/>
      <c r="K21" s="185"/>
      <c r="L21" s="185"/>
      <c r="M21" s="185"/>
      <c r="N21" s="185"/>
      <c r="O21" s="185"/>
      <c r="P21" s="185"/>
      <c r="Q21" s="185"/>
      <c r="R21" s="185"/>
      <c r="S21" s="185"/>
      <c r="T21" s="185"/>
      <c r="U21" s="185"/>
      <c r="V21" s="196"/>
      <c r="W21" s="185"/>
      <c r="X21" s="5"/>
    </row>
    <row r="22" spans="1:24" ht="15.6" x14ac:dyDescent="0.3">
      <c r="A22" s="262"/>
      <c r="B22" s="263"/>
      <c r="C22" s="264"/>
      <c r="D22" s="264" t="s">
        <v>177</v>
      </c>
      <c r="E22" s="264"/>
      <c r="F22" s="264" t="s">
        <v>178</v>
      </c>
      <c r="G22" s="264"/>
      <c r="H22" s="264" t="s">
        <v>179</v>
      </c>
      <c r="I22" s="264"/>
      <c r="J22" s="264" t="s">
        <v>220</v>
      </c>
      <c r="K22" s="264"/>
      <c r="L22" s="264" t="s">
        <v>180</v>
      </c>
      <c r="M22" s="264"/>
      <c r="N22" s="264" t="s">
        <v>181</v>
      </c>
      <c r="O22" s="264"/>
      <c r="P22" s="264" t="s">
        <v>221</v>
      </c>
      <c r="Q22" s="264"/>
      <c r="R22" s="264" t="s">
        <v>182</v>
      </c>
      <c r="S22" s="266"/>
      <c r="T22" s="266"/>
      <c r="U22" s="267"/>
      <c r="V22" s="267"/>
      <c r="W22" s="263"/>
      <c r="X22" s="5"/>
    </row>
    <row r="23" spans="1:24" ht="15.6" x14ac:dyDescent="0.3">
      <c r="A23" s="287"/>
      <c r="B23" s="288" t="s">
        <v>7</v>
      </c>
      <c r="C23" s="289"/>
      <c r="D23" s="289" t="s">
        <v>213</v>
      </c>
      <c r="E23" s="289"/>
      <c r="F23" s="289" t="s">
        <v>141</v>
      </c>
      <c r="G23" s="289"/>
      <c r="H23" s="289" t="s">
        <v>141</v>
      </c>
      <c r="I23" s="289"/>
      <c r="J23" s="289" t="s">
        <v>141</v>
      </c>
      <c r="K23" s="289"/>
      <c r="L23" s="289" t="s">
        <v>183</v>
      </c>
      <c r="M23" s="289"/>
      <c r="N23" s="289" t="s">
        <v>183</v>
      </c>
      <c r="O23" s="289"/>
      <c r="P23" s="289" t="s">
        <v>142</v>
      </c>
      <c r="Q23" s="289"/>
      <c r="R23" s="289" t="s">
        <v>142</v>
      </c>
      <c r="S23" s="289"/>
      <c r="T23" s="289"/>
      <c r="U23" s="290"/>
      <c r="V23" s="290"/>
      <c r="W23" s="291"/>
      <c r="X23" s="5"/>
    </row>
    <row r="24" spans="1:24" ht="15.6" x14ac:dyDescent="0.3">
      <c r="A24" s="287"/>
      <c r="B24" s="288" t="s">
        <v>8</v>
      </c>
      <c r="C24" s="289"/>
      <c r="D24" s="289" t="s">
        <v>214</v>
      </c>
      <c r="E24" s="289"/>
      <c r="F24" s="289" t="s">
        <v>143</v>
      </c>
      <c r="G24" s="289"/>
      <c r="H24" s="289" t="s">
        <v>143</v>
      </c>
      <c r="I24" s="289"/>
      <c r="J24" s="289" t="s">
        <v>143</v>
      </c>
      <c r="K24" s="289"/>
      <c r="L24" s="289" t="s">
        <v>165</v>
      </c>
      <c r="M24" s="289"/>
      <c r="N24" s="289" t="s">
        <v>165</v>
      </c>
      <c r="O24" s="289"/>
      <c r="P24" s="289" t="s">
        <v>144</v>
      </c>
      <c r="Q24" s="289"/>
      <c r="R24" s="289" t="s">
        <v>144</v>
      </c>
      <c r="S24" s="289"/>
      <c r="T24" s="289"/>
      <c r="U24" s="290"/>
      <c r="V24" s="290"/>
      <c r="W24" s="291"/>
      <c r="X24" s="5"/>
    </row>
    <row r="25" spans="1:24" ht="15.6" x14ac:dyDescent="0.3">
      <c r="A25" s="292"/>
      <c r="B25" s="288" t="s">
        <v>190</v>
      </c>
      <c r="C25" s="398"/>
      <c r="D25" s="289" t="s">
        <v>215</v>
      </c>
      <c r="E25" s="289"/>
      <c r="F25" s="289" t="s">
        <v>143</v>
      </c>
      <c r="G25" s="289"/>
      <c r="H25" s="289" t="s">
        <v>143</v>
      </c>
      <c r="I25" s="289"/>
      <c r="J25" s="289" t="s">
        <v>143</v>
      </c>
      <c r="K25" s="289"/>
      <c r="L25" s="289" t="s">
        <v>293</v>
      </c>
      <c r="M25" s="289"/>
      <c r="N25" s="289" t="s">
        <v>293</v>
      </c>
      <c r="O25" s="289"/>
      <c r="P25" s="289" t="s">
        <v>144</v>
      </c>
      <c r="Q25" s="289"/>
      <c r="R25" s="289" t="s">
        <v>144</v>
      </c>
      <c r="S25" s="398"/>
      <c r="T25" s="289"/>
      <c r="U25" s="290"/>
      <c r="V25" s="290"/>
      <c r="W25" s="291"/>
      <c r="X25" s="5"/>
    </row>
    <row r="26" spans="1:24" ht="15.6" x14ac:dyDescent="0.3">
      <c r="A26" s="292"/>
      <c r="B26" s="295" t="s">
        <v>9</v>
      </c>
      <c r="C26" s="398"/>
      <c r="D26" s="398" t="s">
        <v>332</v>
      </c>
      <c r="E26" s="398"/>
      <c r="F26" s="398" t="s">
        <v>333</v>
      </c>
      <c r="G26" s="398"/>
      <c r="H26" s="398" t="s">
        <v>333</v>
      </c>
      <c r="I26" s="398"/>
      <c r="J26" s="398" t="s">
        <v>333</v>
      </c>
      <c r="K26" s="398"/>
      <c r="L26" s="398" t="s">
        <v>334</v>
      </c>
      <c r="M26" s="398"/>
      <c r="N26" s="398" t="s">
        <v>334</v>
      </c>
      <c r="O26" s="398"/>
      <c r="P26" s="398" t="s">
        <v>335</v>
      </c>
      <c r="Q26" s="398"/>
      <c r="R26" s="398" t="s">
        <v>335</v>
      </c>
      <c r="S26" s="398"/>
      <c r="T26" s="289"/>
      <c r="U26" s="290"/>
      <c r="V26" s="290"/>
      <c r="W26" s="291"/>
      <c r="X26" s="5"/>
    </row>
    <row r="27" spans="1:24" ht="15.6" x14ac:dyDescent="0.3">
      <c r="A27" s="287"/>
      <c r="B27" s="295" t="s">
        <v>191</v>
      </c>
      <c r="C27" s="289"/>
      <c r="D27" s="398" t="s">
        <v>317</v>
      </c>
      <c r="E27" s="398"/>
      <c r="F27" s="398" t="s">
        <v>143</v>
      </c>
      <c r="G27" s="398"/>
      <c r="H27" s="398" t="s">
        <v>143</v>
      </c>
      <c r="I27" s="398"/>
      <c r="J27" s="398" t="s">
        <v>143</v>
      </c>
      <c r="K27" s="398"/>
      <c r="L27" s="398" t="s">
        <v>319</v>
      </c>
      <c r="M27" s="398"/>
      <c r="N27" s="398" t="s">
        <v>319</v>
      </c>
      <c r="O27" s="398"/>
      <c r="P27" s="398" t="s">
        <v>320</v>
      </c>
      <c r="Q27" s="398"/>
      <c r="R27" s="398" t="s">
        <v>320</v>
      </c>
      <c r="S27" s="289"/>
      <c r="T27" s="296"/>
      <c r="U27" s="290"/>
      <c r="V27" s="290"/>
      <c r="W27" s="291"/>
      <c r="X27" s="5"/>
    </row>
    <row r="28" spans="1:24" ht="15.6" x14ac:dyDescent="0.3">
      <c r="A28" s="287"/>
      <c r="B28" s="295" t="s">
        <v>192</v>
      </c>
      <c r="C28" s="289"/>
      <c r="D28" s="398" t="s">
        <v>314</v>
      </c>
      <c r="E28" s="398"/>
      <c r="F28" s="398" t="s">
        <v>143</v>
      </c>
      <c r="G28" s="398"/>
      <c r="H28" s="398" t="s">
        <v>143</v>
      </c>
      <c r="I28" s="398"/>
      <c r="J28" s="398" t="s">
        <v>143</v>
      </c>
      <c r="K28" s="398"/>
      <c r="L28" s="398" t="s">
        <v>293</v>
      </c>
      <c r="M28" s="398"/>
      <c r="N28" s="398" t="s">
        <v>293</v>
      </c>
      <c r="O28" s="398"/>
      <c r="P28" s="398" t="s">
        <v>337</v>
      </c>
      <c r="Q28" s="398"/>
      <c r="R28" s="398" t="s">
        <v>337</v>
      </c>
      <c r="S28" s="289"/>
      <c r="T28" s="296"/>
      <c r="U28" s="290"/>
      <c r="V28" s="290"/>
      <c r="W28" s="291"/>
      <c r="X28" s="5"/>
    </row>
    <row r="29" spans="1:24" ht="15.6" x14ac:dyDescent="0.3">
      <c r="A29" s="287"/>
      <c r="B29" s="288" t="s">
        <v>10</v>
      </c>
      <c r="C29" s="298"/>
      <c r="D29" s="289" t="s">
        <v>249</v>
      </c>
      <c r="E29" s="289"/>
      <c r="F29" s="296" t="s">
        <v>250</v>
      </c>
      <c r="G29" s="289"/>
      <c r="H29" s="289" t="s">
        <v>251</v>
      </c>
      <c r="I29" s="289"/>
      <c r="J29" s="289" t="s">
        <v>253</v>
      </c>
      <c r="K29" s="289"/>
      <c r="L29" s="289" t="s">
        <v>254</v>
      </c>
      <c r="M29" s="289"/>
      <c r="N29" s="289" t="s">
        <v>255</v>
      </c>
      <c r="O29" s="289"/>
      <c r="P29" s="289" t="s">
        <v>256</v>
      </c>
      <c r="Q29" s="289"/>
      <c r="R29" s="289" t="s">
        <v>257</v>
      </c>
      <c r="S29" s="299"/>
      <c r="T29" s="299"/>
      <c r="U29" s="300"/>
      <c r="V29" s="299"/>
      <c r="W29" s="301"/>
      <c r="X29" s="5"/>
    </row>
    <row r="30" spans="1:24" ht="15.6" x14ac:dyDescent="0.3">
      <c r="A30" s="287"/>
      <c r="B30" s="288" t="s">
        <v>10</v>
      </c>
      <c r="C30" s="298"/>
      <c r="D30" s="289" t="s">
        <v>248</v>
      </c>
      <c r="E30" s="289"/>
      <c r="F30" s="296" t="s">
        <v>118</v>
      </c>
      <c r="G30" s="289"/>
      <c r="H30" s="289" t="s">
        <v>118</v>
      </c>
      <c r="I30" s="289"/>
      <c r="J30" s="289" t="s">
        <v>252</v>
      </c>
      <c r="K30" s="289"/>
      <c r="L30" s="289" t="s">
        <v>118</v>
      </c>
      <c r="M30" s="289"/>
      <c r="N30" s="289" t="s">
        <v>118</v>
      </c>
      <c r="O30" s="289"/>
      <c r="P30" s="289" t="s">
        <v>118</v>
      </c>
      <c r="Q30" s="289"/>
      <c r="R30" s="289" t="s">
        <v>118</v>
      </c>
      <c r="S30" s="299"/>
      <c r="T30" s="299"/>
      <c r="U30" s="300"/>
      <c r="V30" s="299"/>
      <c r="W30" s="301"/>
      <c r="X30" s="5"/>
    </row>
    <row r="31" spans="1:24" ht="15.6" x14ac:dyDescent="0.3">
      <c r="A31" s="292"/>
      <c r="B31" s="288" t="s">
        <v>133</v>
      </c>
      <c r="C31" s="302"/>
      <c r="D31" s="303">
        <v>1500000</v>
      </c>
      <c r="E31" s="298"/>
      <c r="F31" s="299">
        <v>125000</v>
      </c>
      <c r="G31" s="299"/>
      <c r="H31" s="304">
        <v>246000</v>
      </c>
      <c r="I31" s="304"/>
      <c r="J31" s="303">
        <v>400000</v>
      </c>
      <c r="K31" s="299"/>
      <c r="L31" s="299">
        <v>51900</v>
      </c>
      <c r="M31" s="299"/>
      <c r="N31" s="304">
        <v>88800</v>
      </c>
      <c r="O31" s="299"/>
      <c r="P31" s="299">
        <v>20000</v>
      </c>
      <c r="Q31" s="299"/>
      <c r="R31" s="304">
        <v>135500</v>
      </c>
      <c r="S31" s="305"/>
      <c r="T31" s="305"/>
      <c r="U31" s="306"/>
      <c r="V31" s="305"/>
      <c r="W31" s="301"/>
      <c r="X31" s="5"/>
    </row>
    <row r="32" spans="1:24" ht="15.6" x14ac:dyDescent="0.3">
      <c r="A32" s="287"/>
      <c r="B32" s="288" t="s">
        <v>132</v>
      </c>
      <c r="C32" s="298"/>
      <c r="D32" s="303">
        <f>D31*D38</f>
        <v>1022983.7999999999</v>
      </c>
      <c r="E32" s="298"/>
      <c r="F32" s="299">
        <f>F31*F38</f>
        <v>85248.774999999994</v>
      </c>
      <c r="G32" s="299"/>
      <c r="H32" s="304">
        <f>H31*H38</f>
        <v>167769.58919999999</v>
      </c>
      <c r="I32" s="304"/>
      <c r="J32" s="303">
        <f>J31*J38</f>
        <v>272795.68</v>
      </c>
      <c r="K32" s="299"/>
      <c r="L32" s="299">
        <f>+L31</f>
        <v>51900</v>
      </c>
      <c r="M32" s="299"/>
      <c r="N32" s="304">
        <f>+N31</f>
        <v>88800</v>
      </c>
      <c r="O32" s="299"/>
      <c r="P32" s="299">
        <f>+P31</f>
        <v>20000</v>
      </c>
      <c r="Q32" s="299"/>
      <c r="R32" s="304">
        <f>+R31</f>
        <v>135500</v>
      </c>
      <c r="S32" s="299"/>
      <c r="T32" s="299"/>
      <c r="U32" s="300"/>
      <c r="V32" s="299"/>
      <c r="W32" s="301"/>
      <c r="X32" s="5"/>
    </row>
    <row r="33" spans="1:24" ht="15.6" x14ac:dyDescent="0.3">
      <c r="A33" s="287"/>
      <c r="B33" s="295" t="s">
        <v>134</v>
      </c>
      <c r="C33" s="298"/>
      <c r="D33" s="307">
        <f>D37*D31</f>
        <v>1014914.5499999999</v>
      </c>
      <c r="E33" s="302"/>
      <c r="F33" s="305">
        <f>F37*F31</f>
        <v>84576.349999999991</v>
      </c>
      <c r="G33" s="305"/>
      <c r="H33" s="308">
        <f>H31*H37</f>
        <v>166446.2568</v>
      </c>
      <c r="I33" s="308"/>
      <c r="J33" s="307">
        <f>J37*J31</f>
        <v>270643.88</v>
      </c>
      <c r="K33" s="305"/>
      <c r="L33" s="305">
        <f>L31*L37</f>
        <v>51900</v>
      </c>
      <c r="M33" s="305"/>
      <c r="N33" s="308">
        <f>N31*N37</f>
        <v>88800</v>
      </c>
      <c r="O33" s="305"/>
      <c r="P33" s="305">
        <f>P31*P37</f>
        <v>20000</v>
      </c>
      <c r="Q33" s="305"/>
      <c r="R33" s="308">
        <f>R31*R37</f>
        <v>135500</v>
      </c>
      <c r="S33" s="299"/>
      <c r="T33" s="299"/>
      <c r="U33" s="300"/>
      <c r="V33" s="299"/>
      <c r="W33" s="301"/>
      <c r="X33" s="5"/>
    </row>
    <row r="34" spans="1:24" ht="15.6" x14ac:dyDescent="0.3">
      <c r="A34" s="292"/>
      <c r="B34" s="288" t="s">
        <v>296</v>
      </c>
      <c r="C34" s="302"/>
      <c r="D34" s="299">
        <v>775194</v>
      </c>
      <c r="E34" s="298"/>
      <c r="F34" s="299">
        <v>125000</v>
      </c>
      <c r="G34" s="299"/>
      <c r="H34" s="299">
        <v>168148</v>
      </c>
      <c r="I34" s="299"/>
      <c r="J34" s="299">
        <v>206718</v>
      </c>
      <c r="K34" s="299"/>
      <c r="L34" s="299">
        <v>51900</v>
      </c>
      <c r="M34" s="299"/>
      <c r="N34" s="299">
        <v>60697</v>
      </c>
      <c r="O34" s="299"/>
      <c r="P34" s="299">
        <v>20000</v>
      </c>
      <c r="Q34" s="299"/>
      <c r="R34" s="299">
        <v>92618</v>
      </c>
      <c r="S34" s="305"/>
      <c r="T34" s="305"/>
      <c r="U34" s="306"/>
      <c r="V34" s="299">
        <f>SUM(C34:R34)</f>
        <v>1500275</v>
      </c>
      <c r="W34" s="301"/>
      <c r="X34" s="5"/>
    </row>
    <row r="35" spans="1:24" ht="15.6" x14ac:dyDescent="0.3">
      <c r="A35" s="292"/>
      <c r="B35" s="288" t="s">
        <v>297</v>
      </c>
      <c r="C35" s="302"/>
      <c r="D35" s="299">
        <f>D34*D38</f>
        <v>528673.93590479996</v>
      </c>
      <c r="E35" s="298"/>
      <c r="F35" s="299">
        <f>F34*F38</f>
        <v>85248.774999999994</v>
      </c>
      <c r="G35" s="299"/>
      <c r="H35" s="299">
        <f>H34*H38</f>
        <v>114675.2881496</v>
      </c>
      <c r="I35" s="299"/>
      <c r="J35" s="299">
        <f>J34*J38</f>
        <v>140979.44344559999</v>
      </c>
      <c r="K35" s="299"/>
      <c r="L35" s="299">
        <f>+L34</f>
        <v>51900</v>
      </c>
      <c r="M35" s="299"/>
      <c r="N35" s="299">
        <f>+N34</f>
        <v>60697</v>
      </c>
      <c r="O35" s="299"/>
      <c r="P35" s="299">
        <f>+P34</f>
        <v>20000</v>
      </c>
      <c r="Q35" s="299"/>
      <c r="R35" s="299">
        <f>+R34</f>
        <v>92618</v>
      </c>
      <c r="S35" s="299"/>
      <c r="T35" s="299"/>
      <c r="U35" s="300"/>
      <c r="V35" s="299">
        <f>SUM(C35:R35)</f>
        <v>1094792.4424999999</v>
      </c>
      <c r="W35" s="301"/>
      <c r="X35" s="5"/>
    </row>
    <row r="36" spans="1:24" ht="15.6" x14ac:dyDescent="0.3">
      <c r="A36" s="292"/>
      <c r="B36" s="295" t="s">
        <v>298</v>
      </c>
      <c r="C36" s="302"/>
      <c r="D36" s="305">
        <f>D34*D37</f>
        <v>524503.7797818</v>
      </c>
      <c r="E36" s="302"/>
      <c r="F36" s="305">
        <f>F34*F37</f>
        <v>84576.349999999991</v>
      </c>
      <c r="G36" s="305"/>
      <c r="H36" s="305">
        <f>H34*H37</f>
        <v>113770.75279839999</v>
      </c>
      <c r="I36" s="305"/>
      <c r="J36" s="305">
        <f>J34*J37</f>
        <v>139867.4039646</v>
      </c>
      <c r="K36" s="305"/>
      <c r="L36" s="305">
        <f>L34*L37</f>
        <v>51900</v>
      </c>
      <c r="M36" s="305"/>
      <c r="N36" s="305">
        <f>N34*N37</f>
        <v>60697</v>
      </c>
      <c r="O36" s="305"/>
      <c r="P36" s="305">
        <f>P34*P37</f>
        <v>20000</v>
      </c>
      <c r="Q36" s="305"/>
      <c r="R36" s="305">
        <f>R34*R37</f>
        <v>92618</v>
      </c>
      <c r="S36" s="328"/>
      <c r="T36" s="328"/>
      <c r="U36" s="300"/>
      <c r="V36" s="305">
        <f>SUM(C36:R36)</f>
        <v>1087933.2865448</v>
      </c>
      <c r="W36" s="301"/>
      <c r="X36" s="5"/>
    </row>
    <row r="37" spans="1:24" ht="15.6" x14ac:dyDescent="0.3">
      <c r="A37" s="287"/>
      <c r="B37" s="313" t="s">
        <v>130</v>
      </c>
      <c r="C37" s="314"/>
      <c r="D37" s="315">
        <v>0.67660969999999998</v>
      </c>
      <c r="E37" s="315"/>
      <c r="F37" s="315">
        <v>0.67661079999999996</v>
      </c>
      <c r="G37" s="315"/>
      <c r="H37" s="315">
        <v>0.67661079999999996</v>
      </c>
      <c r="I37" s="315"/>
      <c r="J37" s="315">
        <v>0.67660969999999998</v>
      </c>
      <c r="K37" s="315"/>
      <c r="L37" s="315">
        <v>1</v>
      </c>
      <c r="M37" s="315"/>
      <c r="N37" s="315">
        <v>1</v>
      </c>
      <c r="O37" s="315"/>
      <c r="P37" s="315">
        <v>1</v>
      </c>
      <c r="Q37" s="315"/>
      <c r="R37" s="315">
        <v>1</v>
      </c>
      <c r="S37" s="316"/>
      <c r="T37" s="316"/>
      <c r="U37" s="317"/>
      <c r="V37" s="317"/>
      <c r="W37" s="318"/>
      <c r="X37" s="5"/>
    </row>
    <row r="38" spans="1:24" ht="15.6" x14ac:dyDescent="0.3">
      <c r="A38" s="287"/>
      <c r="B38" s="313" t="s">
        <v>131</v>
      </c>
      <c r="C38" s="314"/>
      <c r="D38" s="315">
        <v>0.68198919999999996</v>
      </c>
      <c r="E38" s="315"/>
      <c r="F38" s="315">
        <v>0.68199019999999999</v>
      </c>
      <c r="G38" s="315"/>
      <c r="H38" s="315">
        <v>0.68199019999999999</v>
      </c>
      <c r="I38" s="315"/>
      <c r="J38" s="315">
        <v>0.68198919999999996</v>
      </c>
      <c r="K38" s="315"/>
      <c r="L38" s="315">
        <v>1</v>
      </c>
      <c r="M38" s="315"/>
      <c r="N38" s="315">
        <v>1</v>
      </c>
      <c r="O38" s="315"/>
      <c r="P38" s="315">
        <v>1</v>
      </c>
      <c r="Q38" s="315"/>
      <c r="R38" s="315">
        <v>1</v>
      </c>
      <c r="S38" s="319"/>
      <c r="T38" s="320"/>
      <c r="U38" s="317"/>
      <c r="V38" s="319"/>
      <c r="W38" s="318"/>
      <c r="X38" s="5"/>
    </row>
    <row r="39" spans="1:24" ht="15.6" x14ac:dyDescent="0.3">
      <c r="A39" s="287"/>
      <c r="B39" s="288" t="s">
        <v>11</v>
      </c>
      <c r="C39" s="288"/>
      <c r="D39" s="296" t="s">
        <v>321</v>
      </c>
      <c r="E39" s="288"/>
      <c r="F39" s="296" t="s">
        <v>231</v>
      </c>
      <c r="G39" s="296"/>
      <c r="H39" s="296" t="s">
        <v>231</v>
      </c>
      <c r="I39" s="296"/>
      <c r="J39" s="296" t="s">
        <v>231</v>
      </c>
      <c r="K39" s="296"/>
      <c r="L39" s="296" t="s">
        <v>265</v>
      </c>
      <c r="M39" s="296"/>
      <c r="N39" s="296" t="s">
        <v>265</v>
      </c>
      <c r="O39" s="296"/>
      <c r="P39" s="296" t="s">
        <v>266</v>
      </c>
      <c r="Q39" s="296"/>
      <c r="R39" s="296" t="s">
        <v>266</v>
      </c>
      <c r="S39" s="321"/>
      <c r="T39" s="322"/>
      <c r="U39" s="290"/>
      <c r="V39" s="290"/>
      <c r="W39" s="291"/>
      <c r="X39" s="5"/>
    </row>
    <row r="40" spans="1:24" ht="15.6" x14ac:dyDescent="0.3">
      <c r="A40" s="287"/>
      <c r="B40" s="288" t="s">
        <v>12</v>
      </c>
      <c r="C40" s="288"/>
      <c r="D40" s="322">
        <v>3.8406E-3</v>
      </c>
      <c r="E40" s="288"/>
      <c r="F40" s="322">
        <v>7.0850000000000002E-3</v>
      </c>
      <c r="G40" s="321"/>
      <c r="H40" s="322">
        <v>4.0899999999999999E-3</v>
      </c>
      <c r="I40" s="322"/>
      <c r="J40" s="322">
        <v>4.7324999999999997E-3</v>
      </c>
      <c r="K40" s="321"/>
      <c r="L40" s="322">
        <v>8.685E-3</v>
      </c>
      <c r="M40" s="321"/>
      <c r="N40" s="322">
        <v>5.6899999999999997E-3</v>
      </c>
      <c r="O40" s="321"/>
      <c r="P40" s="322">
        <v>1.2685E-2</v>
      </c>
      <c r="Q40" s="321"/>
      <c r="R40" s="322">
        <v>9.6900000000000007E-3</v>
      </c>
      <c r="S40" s="321"/>
      <c r="T40" s="322"/>
      <c r="U40" s="290"/>
      <c r="V40" s="296"/>
      <c r="W40" s="291"/>
      <c r="X40" s="5"/>
    </row>
    <row r="41" spans="1:24" ht="15.6" x14ac:dyDescent="0.3">
      <c r="A41" s="287"/>
      <c r="B41" s="288" t="s">
        <v>13</v>
      </c>
      <c r="C41" s="288"/>
      <c r="D41" s="322">
        <v>3.9919999999999999E-3</v>
      </c>
      <c r="E41" s="288"/>
      <c r="F41" s="322">
        <v>7.0688000000000001E-3</v>
      </c>
      <c r="G41" s="321"/>
      <c r="H41" s="322">
        <v>4.0299999999999997E-3</v>
      </c>
      <c r="I41" s="322"/>
      <c r="J41" s="322">
        <v>4.8009999999999997E-3</v>
      </c>
      <c r="K41" s="321"/>
      <c r="L41" s="322">
        <v>8.6688000000000008E-3</v>
      </c>
      <c r="M41" s="321"/>
      <c r="N41" s="322">
        <v>5.6299999999999996E-3</v>
      </c>
      <c r="O41" s="321"/>
      <c r="P41" s="322">
        <v>1.2668799999999999E-2</v>
      </c>
      <c r="Q41" s="321"/>
      <c r="R41" s="322">
        <v>9.6299999999999997E-3</v>
      </c>
      <c r="S41" s="321"/>
      <c r="T41" s="322"/>
      <c r="U41" s="290"/>
      <c r="V41" s="321" t="s">
        <v>193</v>
      </c>
      <c r="W41" s="291"/>
      <c r="X41" s="5"/>
    </row>
    <row r="42" spans="1:24" ht="15.6" x14ac:dyDescent="0.3">
      <c r="A42" s="287"/>
      <c r="B42" s="288" t="s">
        <v>299</v>
      </c>
      <c r="C42" s="288"/>
      <c r="D42" s="296" t="s">
        <v>322</v>
      </c>
      <c r="E42" s="288"/>
      <c r="F42" s="296" t="s">
        <v>231</v>
      </c>
      <c r="G42" s="296"/>
      <c r="H42" s="296" t="s">
        <v>323</v>
      </c>
      <c r="I42" s="296"/>
      <c r="J42" s="296" t="s">
        <v>324</v>
      </c>
      <c r="K42" s="296"/>
      <c r="L42" s="296" t="s">
        <v>265</v>
      </c>
      <c r="M42" s="296"/>
      <c r="N42" s="296" t="s">
        <v>234</v>
      </c>
      <c r="O42" s="296"/>
      <c r="P42" s="296" t="s">
        <v>266</v>
      </c>
      <c r="Q42" s="296"/>
      <c r="R42" s="296" t="s">
        <v>264</v>
      </c>
      <c r="S42" s="321"/>
      <c r="T42" s="322"/>
      <c r="U42" s="290"/>
      <c r="V42" s="290"/>
      <c r="W42" s="291"/>
      <c r="X42" s="5"/>
    </row>
    <row r="43" spans="1:24" ht="15.6" x14ac:dyDescent="0.3">
      <c r="A43" s="287"/>
      <c r="B43" s="288" t="s">
        <v>300</v>
      </c>
      <c r="C43" s="323"/>
      <c r="D43" s="322">
        <v>7.4590000000000004E-3</v>
      </c>
      <c r="E43" s="322"/>
      <c r="F43" s="322">
        <f>+F40</f>
        <v>7.0850000000000002E-3</v>
      </c>
      <c r="G43" s="322"/>
      <c r="H43" s="322">
        <v>7.365E-3</v>
      </c>
      <c r="I43" s="322"/>
      <c r="J43" s="322">
        <v>7.8110000000000002E-3</v>
      </c>
      <c r="K43" s="322"/>
      <c r="L43" s="322">
        <f>+L40</f>
        <v>8.685E-3</v>
      </c>
      <c r="M43" s="322"/>
      <c r="N43" s="322">
        <v>9.2770000000000005E-3</v>
      </c>
      <c r="O43" s="322"/>
      <c r="P43" s="322">
        <f>+P40</f>
        <v>1.2685E-2</v>
      </c>
      <c r="Q43" s="321"/>
      <c r="R43" s="322">
        <v>1.3750999999999999E-2</v>
      </c>
      <c r="S43" s="296"/>
      <c r="T43" s="296"/>
      <c r="U43" s="290"/>
      <c r="V43" s="321">
        <f>SUMPRODUCT(D43:R43,D35:R35)/V35</f>
        <v>8.2520373041068823E-3</v>
      </c>
      <c r="W43" s="291"/>
      <c r="X43" s="5"/>
    </row>
    <row r="44" spans="1:24" ht="15.6" x14ac:dyDescent="0.3">
      <c r="A44" s="287"/>
      <c r="B44" s="288" t="s">
        <v>301</v>
      </c>
      <c r="C44" s="323"/>
      <c r="D44" s="322">
        <v>7.4428000000000003E-3</v>
      </c>
      <c r="E44" s="322"/>
      <c r="F44" s="322">
        <f>+F41</f>
        <v>7.0688000000000001E-3</v>
      </c>
      <c r="G44" s="322"/>
      <c r="H44" s="322">
        <v>7.3488E-3</v>
      </c>
      <c r="I44" s="322"/>
      <c r="J44" s="322">
        <v>7.7948000000000002E-3</v>
      </c>
      <c r="K44" s="322"/>
      <c r="L44" s="322">
        <f>+L41</f>
        <v>8.6688000000000008E-3</v>
      </c>
      <c r="M44" s="322"/>
      <c r="N44" s="322">
        <v>9.2607999999999996E-3</v>
      </c>
      <c r="O44" s="322"/>
      <c r="P44" s="322">
        <f>+P41</f>
        <v>1.2668799999999999E-2</v>
      </c>
      <c r="Q44" s="321"/>
      <c r="R44" s="322">
        <v>1.37348E-2</v>
      </c>
      <c r="S44" s="296"/>
      <c r="T44" s="296"/>
      <c r="U44" s="290"/>
      <c r="V44" s="290"/>
      <c r="W44" s="291"/>
      <c r="X44" s="5"/>
    </row>
    <row r="45" spans="1:24" ht="15.6" x14ac:dyDescent="0.3">
      <c r="A45" s="287"/>
      <c r="B45" s="288" t="s">
        <v>14</v>
      </c>
      <c r="C45" s="288"/>
      <c r="D45" s="323">
        <v>40617</v>
      </c>
      <c r="E45" s="323"/>
      <c r="F45" s="323">
        <v>40617</v>
      </c>
      <c r="G45" s="323"/>
      <c r="H45" s="323">
        <v>40617</v>
      </c>
      <c r="I45" s="323"/>
      <c r="J45" s="323">
        <v>40617</v>
      </c>
      <c r="K45" s="323"/>
      <c r="L45" s="323">
        <v>40617</v>
      </c>
      <c r="M45" s="323"/>
      <c r="N45" s="323">
        <v>40617</v>
      </c>
      <c r="O45" s="323"/>
      <c r="P45" s="323">
        <v>40617</v>
      </c>
      <c r="Q45" s="323"/>
      <c r="R45" s="323">
        <v>40617</v>
      </c>
      <c r="S45" s="296"/>
      <c r="T45" s="296"/>
      <c r="U45" s="290"/>
      <c r="V45" s="290"/>
      <c r="W45" s="291"/>
      <c r="X45" s="5"/>
    </row>
    <row r="46" spans="1:24" ht="15.6" x14ac:dyDescent="0.3">
      <c r="A46" s="287"/>
      <c r="B46" s="288" t="s">
        <v>15</v>
      </c>
      <c r="C46" s="288"/>
      <c r="D46" s="323">
        <v>40983</v>
      </c>
      <c r="E46" s="323"/>
      <c r="F46" s="323">
        <v>40983</v>
      </c>
      <c r="G46" s="323"/>
      <c r="H46" s="323">
        <v>40983</v>
      </c>
      <c r="I46" s="323"/>
      <c r="J46" s="323">
        <v>40983</v>
      </c>
      <c r="K46" s="296"/>
      <c r="L46" s="323">
        <v>40983</v>
      </c>
      <c r="M46" s="296"/>
      <c r="N46" s="323">
        <v>40983</v>
      </c>
      <c r="O46" s="296"/>
      <c r="P46" s="323">
        <v>40983</v>
      </c>
      <c r="Q46" s="296"/>
      <c r="R46" s="323">
        <v>40983</v>
      </c>
      <c r="S46" s="296"/>
      <c r="T46" s="296"/>
      <c r="U46" s="290"/>
      <c r="V46" s="290"/>
      <c r="W46" s="291"/>
      <c r="X46" s="5"/>
    </row>
    <row r="47" spans="1:24" ht="15.6" x14ac:dyDescent="0.3">
      <c r="A47" s="287"/>
      <c r="B47" s="288" t="s">
        <v>119</v>
      </c>
      <c r="C47" s="288"/>
      <c r="D47" s="296" t="s">
        <v>231</v>
      </c>
      <c r="E47" s="288"/>
      <c r="F47" s="296" t="s">
        <v>231</v>
      </c>
      <c r="G47" s="296"/>
      <c r="H47" s="296" t="s">
        <v>231</v>
      </c>
      <c r="I47" s="296"/>
      <c r="J47" s="296" t="s">
        <v>231</v>
      </c>
      <c r="K47" s="296"/>
      <c r="L47" s="296" t="s">
        <v>265</v>
      </c>
      <c r="M47" s="296"/>
      <c r="N47" s="296" t="s">
        <v>265</v>
      </c>
      <c r="O47" s="296"/>
      <c r="P47" s="296" t="s">
        <v>266</v>
      </c>
      <c r="Q47" s="296"/>
      <c r="R47" s="296" t="s">
        <v>266</v>
      </c>
      <c r="S47" s="325"/>
      <c r="T47" s="325"/>
      <c r="U47" s="325"/>
      <c r="V47" s="325"/>
      <c r="W47" s="291"/>
      <c r="X47" s="5"/>
    </row>
    <row r="48" spans="1:24" ht="15.6" x14ac:dyDescent="0.3">
      <c r="A48" s="287"/>
      <c r="B48" s="288" t="s">
        <v>302</v>
      </c>
      <c r="C48" s="288"/>
      <c r="D48" s="296" t="s">
        <v>325</v>
      </c>
      <c r="E48" s="288"/>
      <c r="F48" s="296" t="s">
        <v>231</v>
      </c>
      <c r="G48" s="296"/>
      <c r="H48" s="296" t="s">
        <v>262</v>
      </c>
      <c r="I48" s="296"/>
      <c r="J48" s="296" t="s">
        <v>263</v>
      </c>
      <c r="K48" s="296"/>
      <c r="L48" s="296" t="s">
        <v>265</v>
      </c>
      <c r="M48" s="296"/>
      <c r="N48" s="296" t="s">
        <v>234</v>
      </c>
      <c r="O48" s="296"/>
      <c r="P48" s="296" t="s">
        <v>266</v>
      </c>
      <c r="Q48" s="296"/>
      <c r="R48" s="296" t="s">
        <v>264</v>
      </c>
      <c r="S48" s="288"/>
      <c r="T48" s="288"/>
      <c r="U48" s="288"/>
      <c r="V48" s="321"/>
      <c r="W48" s="291"/>
      <c r="X48" s="5"/>
    </row>
    <row r="49" spans="1:25" ht="15.6" x14ac:dyDescent="0.3">
      <c r="A49" s="287"/>
      <c r="B49" s="288"/>
      <c r="C49" s="288"/>
      <c r="D49" s="296"/>
      <c r="E49" s="288"/>
      <c r="F49" s="296"/>
      <c r="G49" s="296"/>
      <c r="H49" s="296"/>
      <c r="I49" s="296"/>
      <c r="J49" s="296"/>
      <c r="K49" s="296"/>
      <c r="L49" s="296"/>
      <c r="M49" s="296"/>
      <c r="N49" s="296"/>
      <c r="O49" s="296"/>
      <c r="P49" s="296"/>
      <c r="Q49" s="296"/>
      <c r="R49" s="296"/>
      <c r="S49" s="288"/>
      <c r="T49" s="288"/>
      <c r="U49" s="288"/>
      <c r="V49" s="321" t="s">
        <v>193</v>
      </c>
      <c r="W49" s="291"/>
      <c r="X49" s="5"/>
    </row>
    <row r="50" spans="1:25" ht="15.6" x14ac:dyDescent="0.3">
      <c r="A50" s="287"/>
      <c r="B50" s="288" t="s">
        <v>169</v>
      </c>
      <c r="C50" s="288"/>
      <c r="D50" s="296"/>
      <c r="E50" s="288"/>
      <c r="F50" s="296"/>
      <c r="G50" s="296"/>
      <c r="H50" s="296"/>
      <c r="I50" s="296"/>
      <c r="J50" s="296"/>
      <c r="K50" s="296"/>
      <c r="L50" s="296"/>
      <c r="M50" s="296"/>
      <c r="N50" s="296"/>
      <c r="O50" s="296"/>
      <c r="P50" s="296"/>
      <c r="Q50" s="296"/>
      <c r="R50" s="296"/>
      <c r="S50" s="288"/>
      <c r="T50" s="288"/>
      <c r="U50" s="288"/>
      <c r="V50" s="321">
        <f>SUM(L34:R34)/SUM(D34:J34)</f>
        <v>0.17663090364375009</v>
      </c>
      <c r="W50" s="291"/>
      <c r="X50" s="5"/>
    </row>
    <row r="51" spans="1:25" ht="15.6" x14ac:dyDescent="0.3">
      <c r="A51" s="287"/>
      <c r="B51" s="288" t="s">
        <v>170</v>
      </c>
      <c r="C51" s="288"/>
      <c r="D51" s="288"/>
      <c r="E51" s="288"/>
      <c r="F51" s="326"/>
      <c r="G51" s="288"/>
      <c r="H51" s="288"/>
      <c r="I51" s="288"/>
      <c r="J51" s="288"/>
      <c r="K51" s="288"/>
      <c r="L51" s="288"/>
      <c r="M51" s="288"/>
      <c r="N51" s="288"/>
      <c r="O51" s="288"/>
      <c r="P51" s="288"/>
      <c r="Q51" s="288"/>
      <c r="R51" s="288"/>
      <c r="S51" s="288"/>
      <c r="T51" s="288"/>
      <c r="U51" s="288"/>
      <c r="V51" s="321">
        <f>SUM(L36:R36)/SUM(D36:J36)</f>
        <v>0.26105277181730957</v>
      </c>
      <c r="W51" s="291"/>
      <c r="X51" s="5"/>
    </row>
    <row r="52" spans="1:25" ht="15.6" x14ac:dyDescent="0.3">
      <c r="A52" s="287"/>
      <c r="B52" s="288" t="s">
        <v>171</v>
      </c>
      <c r="C52" s="288"/>
      <c r="D52" s="288"/>
      <c r="E52" s="288"/>
      <c r="F52" s="288"/>
      <c r="G52" s="288"/>
      <c r="H52" s="288"/>
      <c r="I52" s="288"/>
      <c r="J52" s="288"/>
      <c r="K52" s="288"/>
      <c r="L52" s="288"/>
      <c r="M52" s="288"/>
      <c r="N52" s="288"/>
      <c r="O52" s="288"/>
      <c r="P52" s="288"/>
      <c r="Q52" s="288"/>
      <c r="R52" s="288"/>
      <c r="S52" s="288"/>
      <c r="T52" s="296"/>
      <c r="U52" s="296"/>
      <c r="V52" s="299" t="s">
        <v>276</v>
      </c>
      <c r="W52" s="291"/>
      <c r="X52" s="5"/>
    </row>
    <row r="53" spans="1:25" ht="15.6" x14ac:dyDescent="0.3">
      <c r="A53" s="287"/>
      <c r="B53" s="288"/>
      <c r="C53" s="288"/>
      <c r="D53" s="288"/>
      <c r="E53" s="288"/>
      <c r="F53" s="288"/>
      <c r="G53" s="288"/>
      <c r="H53" s="288"/>
      <c r="I53" s="288"/>
      <c r="J53" s="288"/>
      <c r="K53" s="288"/>
      <c r="L53" s="288"/>
      <c r="M53" s="288"/>
      <c r="N53" s="288"/>
      <c r="O53" s="288"/>
      <c r="P53" s="288"/>
      <c r="Q53" s="288"/>
      <c r="R53" s="288"/>
      <c r="S53" s="288"/>
      <c r="T53" s="288"/>
      <c r="U53" s="288"/>
      <c r="V53" s="327"/>
      <c r="W53" s="291"/>
      <c r="X53" s="5"/>
    </row>
    <row r="54" spans="1:25" ht="15.6" x14ac:dyDescent="0.3">
      <c r="A54" s="287"/>
      <c r="B54" s="288" t="s">
        <v>202</v>
      </c>
      <c r="C54" s="288"/>
      <c r="D54" s="288"/>
      <c r="E54" s="288"/>
      <c r="F54" s="288"/>
      <c r="G54" s="288"/>
      <c r="H54" s="288"/>
      <c r="I54" s="288"/>
      <c r="J54" s="288"/>
      <c r="K54" s="288"/>
      <c r="L54" s="288"/>
      <c r="M54" s="288"/>
      <c r="N54" s="288"/>
      <c r="O54" s="288"/>
      <c r="P54" s="288"/>
      <c r="Q54" s="288"/>
      <c r="R54" s="288"/>
      <c r="S54" s="288"/>
      <c r="T54" s="288"/>
      <c r="U54" s="288"/>
      <c r="V54" s="328" t="s">
        <v>203</v>
      </c>
      <c r="W54" s="291"/>
      <c r="X54" s="5"/>
    </row>
    <row r="55" spans="1:25" ht="15.6" x14ac:dyDescent="0.3">
      <c r="A55" s="287"/>
      <c r="B55" s="288" t="s">
        <v>280</v>
      </c>
      <c r="C55" s="288"/>
      <c r="D55" s="288"/>
      <c r="E55" s="288"/>
      <c r="F55" s="288"/>
      <c r="G55" s="288"/>
      <c r="H55" s="288"/>
      <c r="I55" s="288"/>
      <c r="J55" s="288"/>
      <c r="K55" s="288"/>
      <c r="L55" s="288"/>
      <c r="M55" s="288"/>
      <c r="N55" s="288"/>
      <c r="O55" s="288"/>
      <c r="P55" s="288"/>
      <c r="Q55" s="288"/>
      <c r="R55" s="288"/>
      <c r="S55" s="288"/>
      <c r="T55" s="296"/>
      <c r="U55" s="296"/>
      <c r="V55" s="329" t="s">
        <v>111</v>
      </c>
      <c r="W55" s="291"/>
      <c r="X55" s="5"/>
    </row>
    <row r="56" spans="1:25" ht="15.6" x14ac:dyDescent="0.3">
      <c r="A56" s="287"/>
      <c r="B56" s="295" t="s">
        <v>201</v>
      </c>
      <c r="C56" s="295"/>
      <c r="D56" s="295"/>
      <c r="E56" s="295"/>
      <c r="F56" s="295"/>
      <c r="G56" s="295"/>
      <c r="H56" s="295"/>
      <c r="I56" s="295"/>
      <c r="J56" s="295"/>
      <c r="K56" s="295"/>
      <c r="L56" s="295"/>
      <c r="M56" s="295"/>
      <c r="N56" s="295"/>
      <c r="O56" s="295"/>
      <c r="P56" s="295"/>
      <c r="Q56" s="295"/>
      <c r="R56" s="295"/>
      <c r="S56" s="295"/>
      <c r="T56" s="330"/>
      <c r="U56" s="330"/>
      <c r="V56" s="331">
        <v>41533</v>
      </c>
      <c r="W56" s="291"/>
      <c r="X56" s="5"/>
    </row>
    <row r="57" spans="1:25" ht="15.6" x14ac:dyDescent="0.3">
      <c r="A57" s="287"/>
      <c r="B57" s="288" t="s">
        <v>121</v>
      </c>
      <c r="C57" s="288"/>
      <c r="D57" s="288"/>
      <c r="E57" s="288"/>
      <c r="F57" s="288"/>
      <c r="G57" s="288"/>
      <c r="H57" s="332"/>
      <c r="I57" s="332"/>
      <c r="J57" s="332"/>
      <c r="K57" s="332"/>
      <c r="L57" s="332"/>
      <c r="M57" s="332"/>
      <c r="N57" s="332"/>
      <c r="O57" s="332"/>
      <c r="P57" s="332"/>
      <c r="Q57" s="332"/>
      <c r="R57" s="288">
        <f>+V57-T57+1</f>
        <v>94</v>
      </c>
      <c r="S57" s="332"/>
      <c r="T57" s="333">
        <v>41348</v>
      </c>
      <c r="U57" s="334"/>
      <c r="V57" s="333">
        <v>41441</v>
      </c>
      <c r="W57" s="291"/>
      <c r="X57" s="5"/>
    </row>
    <row r="58" spans="1:25" ht="15.6" x14ac:dyDescent="0.3">
      <c r="A58" s="287"/>
      <c r="B58" s="288" t="s">
        <v>122</v>
      </c>
      <c r="C58" s="288"/>
      <c r="D58" s="288"/>
      <c r="E58" s="288"/>
      <c r="F58" s="288"/>
      <c r="G58" s="288"/>
      <c r="H58" s="288"/>
      <c r="I58" s="288"/>
      <c r="J58" s="288"/>
      <c r="K58" s="288"/>
      <c r="L58" s="288"/>
      <c r="M58" s="288"/>
      <c r="N58" s="288"/>
      <c r="O58" s="288"/>
      <c r="P58" s="288"/>
      <c r="Q58" s="288"/>
      <c r="R58" s="288">
        <f>+V58-T58+1</f>
        <v>91</v>
      </c>
      <c r="S58" s="288"/>
      <c r="T58" s="333">
        <v>41442</v>
      </c>
      <c r="U58" s="334"/>
      <c r="V58" s="333">
        <v>41532</v>
      </c>
      <c r="W58" s="291"/>
      <c r="X58" s="5"/>
    </row>
    <row r="59" spans="1:25" ht="15.6" x14ac:dyDescent="0.3">
      <c r="A59" s="287"/>
      <c r="B59" s="288" t="s">
        <v>229</v>
      </c>
      <c r="C59" s="288"/>
      <c r="D59" s="288"/>
      <c r="E59" s="288"/>
      <c r="F59" s="288"/>
      <c r="G59" s="288"/>
      <c r="H59" s="288"/>
      <c r="I59" s="288"/>
      <c r="J59" s="288"/>
      <c r="K59" s="288"/>
      <c r="L59" s="288"/>
      <c r="M59" s="288"/>
      <c r="N59" s="288"/>
      <c r="O59" s="288"/>
      <c r="P59" s="288"/>
      <c r="Q59" s="288"/>
      <c r="R59" s="288"/>
      <c r="S59" s="288"/>
      <c r="T59" s="333"/>
      <c r="U59" s="334"/>
      <c r="V59" s="333" t="s">
        <v>120</v>
      </c>
      <c r="W59" s="291"/>
      <c r="X59" s="5"/>
    </row>
    <row r="60" spans="1:25" ht="15.6" x14ac:dyDescent="0.3">
      <c r="A60" s="287"/>
      <c r="B60" s="288" t="s">
        <v>228</v>
      </c>
      <c r="C60" s="288"/>
      <c r="D60" s="288"/>
      <c r="E60" s="288"/>
      <c r="F60" s="288"/>
      <c r="G60" s="288"/>
      <c r="H60" s="288"/>
      <c r="I60" s="288"/>
      <c r="J60" s="288"/>
      <c r="K60" s="288"/>
      <c r="L60" s="288"/>
      <c r="M60" s="288"/>
      <c r="N60" s="288"/>
      <c r="O60" s="288"/>
      <c r="P60" s="288"/>
      <c r="Q60" s="288"/>
      <c r="R60" s="288"/>
      <c r="S60" s="288"/>
      <c r="T60" s="333"/>
      <c r="U60" s="334"/>
      <c r="V60" s="333" t="s">
        <v>154</v>
      </c>
      <c r="W60" s="291"/>
      <c r="X60" s="5"/>
      <c r="Y60" s="134"/>
    </row>
    <row r="61" spans="1:25" ht="15.6" x14ac:dyDescent="0.3">
      <c r="A61" s="287"/>
      <c r="B61" s="288" t="s">
        <v>16</v>
      </c>
      <c r="C61" s="288"/>
      <c r="D61" s="288"/>
      <c r="E61" s="288"/>
      <c r="F61" s="288"/>
      <c r="G61" s="288"/>
      <c r="H61" s="288"/>
      <c r="I61" s="288"/>
      <c r="J61" s="288"/>
      <c r="K61" s="288"/>
      <c r="L61" s="288"/>
      <c r="M61" s="288"/>
      <c r="N61" s="288"/>
      <c r="O61" s="288"/>
      <c r="P61" s="288"/>
      <c r="Q61" s="288"/>
      <c r="R61" s="288"/>
      <c r="S61" s="288"/>
      <c r="T61" s="333"/>
      <c r="U61" s="334"/>
      <c r="V61" s="333">
        <v>41519</v>
      </c>
      <c r="W61" s="291"/>
      <c r="X61" s="5"/>
    </row>
    <row r="62" spans="1:25" ht="15.6" x14ac:dyDescent="0.3">
      <c r="A62" s="183"/>
      <c r="B62" s="284"/>
      <c r="C62" s="284"/>
      <c r="D62" s="284"/>
      <c r="E62" s="284"/>
      <c r="F62" s="284"/>
      <c r="G62" s="284"/>
      <c r="H62" s="284"/>
      <c r="I62" s="284"/>
      <c r="J62" s="284"/>
      <c r="K62" s="284"/>
      <c r="L62" s="284"/>
      <c r="M62" s="284"/>
      <c r="N62" s="284"/>
      <c r="O62" s="284"/>
      <c r="P62" s="284"/>
      <c r="Q62" s="284"/>
      <c r="R62" s="284"/>
      <c r="S62" s="284"/>
      <c r="T62" s="285"/>
      <c r="U62" s="286"/>
      <c r="V62" s="285"/>
      <c r="W62" s="284"/>
      <c r="X62" s="5"/>
    </row>
    <row r="63" spans="1:25" ht="15.6" x14ac:dyDescent="0.3">
      <c r="A63" s="183"/>
      <c r="B63" s="224"/>
      <c r="C63" s="224"/>
      <c r="D63" s="224"/>
      <c r="E63" s="224"/>
      <c r="F63" s="224"/>
      <c r="G63" s="224"/>
      <c r="H63" s="224"/>
      <c r="I63" s="224"/>
      <c r="J63" s="224"/>
      <c r="K63" s="224"/>
      <c r="L63" s="224"/>
      <c r="M63" s="224"/>
      <c r="N63" s="224"/>
      <c r="O63" s="224"/>
      <c r="P63" s="224"/>
      <c r="Q63" s="224"/>
      <c r="R63" s="224"/>
      <c r="S63" s="224"/>
      <c r="T63" s="235"/>
      <c r="U63" s="236"/>
      <c r="V63" s="235"/>
      <c r="W63" s="224"/>
      <c r="X63" s="5"/>
    </row>
    <row r="64" spans="1:25" ht="18" thickBot="1" x14ac:dyDescent="0.35">
      <c r="A64" s="199"/>
      <c r="B64" s="237" t="s">
        <v>341</v>
      </c>
      <c r="C64" s="238"/>
      <c r="D64" s="238"/>
      <c r="E64" s="238"/>
      <c r="F64" s="238"/>
      <c r="G64" s="238"/>
      <c r="H64" s="238"/>
      <c r="I64" s="238"/>
      <c r="J64" s="238"/>
      <c r="K64" s="238"/>
      <c r="L64" s="238"/>
      <c r="M64" s="238"/>
      <c r="N64" s="238"/>
      <c r="O64" s="238"/>
      <c r="P64" s="238"/>
      <c r="Q64" s="238"/>
      <c r="R64" s="238"/>
      <c r="S64" s="238"/>
      <c r="T64" s="238"/>
      <c r="U64" s="238"/>
      <c r="V64" s="239"/>
      <c r="W64" s="240"/>
      <c r="X64" s="5"/>
    </row>
    <row r="65" spans="1:24" ht="15.6" x14ac:dyDescent="0.3">
      <c r="A65" s="262"/>
      <c r="B65" s="399" t="s">
        <v>17</v>
      </c>
      <c r="C65" s="263"/>
      <c r="D65" s="263"/>
      <c r="E65" s="263"/>
      <c r="F65" s="263"/>
      <c r="G65" s="263"/>
      <c r="H65" s="263"/>
      <c r="I65" s="263"/>
      <c r="J65" s="263"/>
      <c r="K65" s="263"/>
      <c r="L65" s="263"/>
      <c r="M65" s="263"/>
      <c r="N65" s="263"/>
      <c r="O65" s="263"/>
      <c r="P65" s="263"/>
      <c r="Q65" s="263"/>
      <c r="R65" s="263"/>
      <c r="S65" s="263"/>
      <c r="T65" s="263"/>
      <c r="U65" s="263"/>
      <c r="V65" s="268"/>
      <c r="W65" s="263"/>
      <c r="X65" s="5"/>
    </row>
    <row r="66" spans="1:24" ht="15.6" x14ac:dyDescent="0.3">
      <c r="A66" s="183"/>
      <c r="B66" s="191"/>
      <c r="C66" s="185"/>
      <c r="D66" s="185"/>
      <c r="E66" s="185"/>
      <c r="F66" s="185"/>
      <c r="G66" s="185"/>
      <c r="H66" s="185"/>
      <c r="I66" s="185"/>
      <c r="J66" s="185"/>
      <c r="K66" s="185"/>
      <c r="L66" s="185"/>
      <c r="M66" s="185"/>
      <c r="N66" s="185"/>
      <c r="O66" s="185"/>
      <c r="P66" s="185"/>
      <c r="Q66" s="185"/>
      <c r="R66" s="185"/>
      <c r="S66" s="185"/>
      <c r="T66" s="185"/>
      <c r="U66" s="185"/>
      <c r="V66" s="201"/>
      <c r="W66" s="185"/>
      <c r="X66" s="5"/>
    </row>
    <row r="67" spans="1:24" ht="46.8" x14ac:dyDescent="0.3">
      <c r="A67" s="183"/>
      <c r="B67" s="202" t="s">
        <v>18</v>
      </c>
      <c r="C67" s="203"/>
      <c r="D67" s="203"/>
      <c r="E67" s="203"/>
      <c r="F67" s="203"/>
      <c r="G67" s="203"/>
      <c r="H67" s="203"/>
      <c r="I67" s="203"/>
      <c r="J67" s="203"/>
      <c r="K67" s="203"/>
      <c r="L67" s="203" t="s">
        <v>94</v>
      </c>
      <c r="M67" s="203"/>
      <c r="N67" s="203" t="s">
        <v>96</v>
      </c>
      <c r="O67" s="203"/>
      <c r="P67" s="203" t="s">
        <v>98</v>
      </c>
      <c r="Q67" s="203"/>
      <c r="R67" s="203" t="s">
        <v>100</v>
      </c>
      <c r="S67" s="203"/>
      <c r="T67" s="203" t="s">
        <v>106</v>
      </c>
      <c r="U67" s="203"/>
      <c r="V67" s="204" t="s">
        <v>112</v>
      </c>
      <c r="W67" s="205"/>
      <c r="X67" s="5"/>
    </row>
    <row r="68" spans="1:24" ht="15.6" x14ac:dyDescent="0.3">
      <c r="A68" s="287"/>
      <c r="B68" s="288" t="s">
        <v>19</v>
      </c>
      <c r="C68" s="337"/>
      <c r="D68" s="337"/>
      <c r="E68" s="337"/>
      <c r="F68" s="337"/>
      <c r="G68" s="337"/>
      <c r="H68" s="337"/>
      <c r="I68" s="337"/>
      <c r="J68" s="337"/>
      <c r="K68" s="337"/>
      <c r="L68" s="337">
        <v>1158015</v>
      </c>
      <c r="M68" s="337"/>
      <c r="N68" s="338">
        <v>1094792</v>
      </c>
      <c r="O68" s="337"/>
      <c r="P68" s="337">
        <f>6859+63+207</f>
        <v>7129</v>
      </c>
      <c r="Q68" s="337"/>
      <c r="R68" s="337">
        <f>63+207</f>
        <v>270</v>
      </c>
      <c r="S68" s="337"/>
      <c r="T68" s="337">
        <v>0</v>
      </c>
      <c r="U68" s="337"/>
      <c r="V68" s="338">
        <f>+N68-P68+R68-T68</f>
        <v>1087933</v>
      </c>
      <c r="W68" s="291"/>
      <c r="X68" s="5"/>
    </row>
    <row r="69" spans="1:24" ht="15.6" x14ac:dyDescent="0.3">
      <c r="A69" s="287"/>
      <c r="B69" s="288" t="s">
        <v>20</v>
      </c>
      <c r="C69" s="337"/>
      <c r="D69" s="337"/>
      <c r="E69" s="337"/>
      <c r="F69" s="337"/>
      <c r="G69" s="337"/>
      <c r="H69" s="337"/>
      <c r="I69" s="337"/>
      <c r="J69" s="337"/>
      <c r="K69" s="337"/>
      <c r="L69" s="337">
        <v>15</v>
      </c>
      <c r="M69" s="337"/>
      <c r="N69" s="338">
        <v>0</v>
      </c>
      <c r="O69" s="337"/>
      <c r="P69" s="337">
        <v>0</v>
      </c>
      <c r="Q69" s="337"/>
      <c r="R69" s="337">
        <v>0</v>
      </c>
      <c r="S69" s="337"/>
      <c r="T69" s="337">
        <v>0</v>
      </c>
      <c r="U69" s="337"/>
      <c r="V69" s="338">
        <v>0</v>
      </c>
      <c r="W69" s="291"/>
      <c r="X69" s="5"/>
    </row>
    <row r="70" spans="1:24" ht="15.6" x14ac:dyDescent="0.3">
      <c r="A70" s="287"/>
      <c r="B70" s="288"/>
      <c r="C70" s="337"/>
      <c r="D70" s="337"/>
      <c r="E70" s="337"/>
      <c r="F70" s="337"/>
      <c r="G70" s="337"/>
      <c r="H70" s="337"/>
      <c r="I70" s="337"/>
      <c r="J70" s="337"/>
      <c r="K70" s="337"/>
      <c r="L70" s="337"/>
      <c r="M70" s="337"/>
      <c r="N70" s="338"/>
      <c r="O70" s="337"/>
      <c r="P70" s="337"/>
      <c r="Q70" s="337"/>
      <c r="R70" s="337"/>
      <c r="S70" s="337"/>
      <c r="T70" s="337"/>
      <c r="U70" s="337"/>
      <c r="V70" s="338"/>
      <c r="W70" s="291"/>
      <c r="X70" s="5"/>
    </row>
    <row r="71" spans="1:24" ht="15.6" x14ac:dyDescent="0.3">
      <c r="A71" s="287"/>
      <c r="B71" s="288" t="s">
        <v>21</v>
      </c>
      <c r="C71" s="337"/>
      <c r="D71" s="337"/>
      <c r="E71" s="337"/>
      <c r="F71" s="337"/>
      <c r="G71" s="337"/>
      <c r="H71" s="337"/>
      <c r="I71" s="337"/>
      <c r="J71" s="337"/>
      <c r="K71" s="337"/>
      <c r="L71" s="337">
        <f>SUM(L68:L70)</f>
        <v>1158030</v>
      </c>
      <c r="M71" s="337"/>
      <c r="N71" s="337">
        <f>N68+N69</f>
        <v>1094792</v>
      </c>
      <c r="O71" s="337"/>
      <c r="P71" s="337">
        <f>SUM(P68:P70)</f>
        <v>7129</v>
      </c>
      <c r="Q71" s="337"/>
      <c r="R71" s="337">
        <f>SUM(R68:R70)</f>
        <v>270</v>
      </c>
      <c r="S71" s="337"/>
      <c r="T71" s="337">
        <f>SUM(T68:T70)</f>
        <v>0</v>
      </c>
      <c r="U71" s="337"/>
      <c r="V71" s="337">
        <f>SUM(V68:V70)</f>
        <v>1087933</v>
      </c>
      <c r="W71" s="291"/>
      <c r="X71" s="5"/>
    </row>
    <row r="72" spans="1:24" ht="15.6" x14ac:dyDescent="0.3">
      <c r="A72" s="183"/>
      <c r="B72" s="198"/>
      <c r="C72" s="335"/>
      <c r="D72" s="335"/>
      <c r="E72" s="335"/>
      <c r="F72" s="335"/>
      <c r="G72" s="335"/>
      <c r="H72" s="335"/>
      <c r="I72" s="335"/>
      <c r="J72" s="335"/>
      <c r="K72" s="335"/>
      <c r="L72" s="335"/>
      <c r="M72" s="335"/>
      <c r="N72" s="335"/>
      <c r="O72" s="335"/>
      <c r="P72" s="335"/>
      <c r="Q72" s="335"/>
      <c r="R72" s="335"/>
      <c r="S72" s="335"/>
      <c r="T72" s="335"/>
      <c r="U72" s="335"/>
      <c r="V72" s="336"/>
      <c r="W72" s="198"/>
      <c r="X72" s="5"/>
    </row>
    <row r="73" spans="1:24" ht="15.6" x14ac:dyDescent="0.3">
      <c r="A73" s="183"/>
      <c r="B73" s="187" t="s">
        <v>22</v>
      </c>
      <c r="C73" s="206"/>
      <c r="D73" s="206"/>
      <c r="E73" s="206"/>
      <c r="F73" s="206"/>
      <c r="G73" s="206"/>
      <c r="H73" s="206"/>
      <c r="I73" s="206"/>
      <c r="J73" s="206"/>
      <c r="K73" s="206"/>
      <c r="L73" s="206"/>
      <c r="M73" s="206"/>
      <c r="N73" s="206"/>
      <c r="O73" s="206"/>
      <c r="P73" s="206"/>
      <c r="Q73" s="206"/>
      <c r="R73" s="206"/>
      <c r="S73" s="206"/>
      <c r="T73" s="206"/>
      <c r="U73" s="206"/>
      <c r="V73" s="207"/>
      <c r="W73" s="185"/>
      <c r="X73" s="5"/>
    </row>
    <row r="74" spans="1:24" ht="15.6" x14ac:dyDescent="0.3">
      <c r="A74" s="183"/>
      <c r="B74" s="185"/>
      <c r="C74" s="206"/>
      <c r="D74" s="206"/>
      <c r="E74" s="206"/>
      <c r="F74" s="206"/>
      <c r="G74" s="206"/>
      <c r="H74" s="206"/>
      <c r="I74" s="206"/>
      <c r="J74" s="206"/>
      <c r="K74" s="206"/>
      <c r="L74" s="206"/>
      <c r="M74" s="206"/>
      <c r="N74" s="206"/>
      <c r="O74" s="206"/>
      <c r="P74" s="206"/>
      <c r="Q74" s="206"/>
      <c r="R74" s="206"/>
      <c r="S74" s="206"/>
      <c r="T74" s="206"/>
      <c r="U74" s="206"/>
      <c r="V74" s="207"/>
      <c r="W74" s="185"/>
      <c r="X74" s="5"/>
    </row>
    <row r="75" spans="1:24" ht="15.6" x14ac:dyDescent="0.3">
      <c r="A75" s="340"/>
      <c r="B75" s="288" t="s">
        <v>19</v>
      </c>
      <c r="C75" s="337"/>
      <c r="D75" s="337"/>
      <c r="E75" s="337"/>
      <c r="F75" s="337"/>
      <c r="G75" s="337"/>
      <c r="H75" s="337"/>
      <c r="I75" s="337"/>
      <c r="J75" s="337"/>
      <c r="K75" s="337"/>
      <c r="L75" s="337"/>
      <c r="M75" s="337"/>
      <c r="N75" s="337"/>
      <c r="O75" s="337"/>
      <c r="P75" s="337"/>
      <c r="Q75" s="337"/>
      <c r="R75" s="337"/>
      <c r="S75" s="337"/>
      <c r="T75" s="337"/>
      <c r="U75" s="337"/>
      <c r="V75" s="337"/>
      <c r="W75" s="291"/>
      <c r="X75" s="5"/>
    </row>
    <row r="76" spans="1:24" ht="15.6" x14ac:dyDescent="0.3">
      <c r="A76" s="340"/>
      <c r="B76" s="288" t="s">
        <v>20</v>
      </c>
      <c r="C76" s="337"/>
      <c r="D76" s="337"/>
      <c r="E76" s="337"/>
      <c r="F76" s="337"/>
      <c r="G76" s="337"/>
      <c r="H76" s="337"/>
      <c r="I76" s="337"/>
      <c r="J76" s="337"/>
      <c r="K76" s="337"/>
      <c r="L76" s="337"/>
      <c r="M76" s="337"/>
      <c r="N76" s="337"/>
      <c r="O76" s="337"/>
      <c r="P76" s="337"/>
      <c r="Q76" s="337"/>
      <c r="R76" s="337"/>
      <c r="S76" s="337"/>
      <c r="T76" s="337"/>
      <c r="U76" s="337"/>
      <c r="V76" s="337"/>
      <c r="W76" s="291"/>
      <c r="X76" s="5"/>
    </row>
    <row r="77" spans="1:24" ht="15.6" x14ac:dyDescent="0.3">
      <c r="A77" s="340"/>
      <c r="B77" s="288"/>
      <c r="C77" s="337"/>
      <c r="D77" s="337"/>
      <c r="E77" s="337"/>
      <c r="F77" s="337"/>
      <c r="G77" s="337"/>
      <c r="H77" s="337"/>
      <c r="I77" s="337"/>
      <c r="J77" s="337"/>
      <c r="K77" s="337"/>
      <c r="L77" s="337"/>
      <c r="M77" s="337"/>
      <c r="N77" s="337"/>
      <c r="O77" s="337"/>
      <c r="P77" s="337"/>
      <c r="Q77" s="337"/>
      <c r="R77" s="337"/>
      <c r="S77" s="337"/>
      <c r="T77" s="337"/>
      <c r="U77" s="337"/>
      <c r="V77" s="337"/>
      <c r="W77" s="291"/>
      <c r="X77" s="5"/>
    </row>
    <row r="78" spans="1:24" ht="15.6" x14ac:dyDescent="0.3">
      <c r="A78" s="340"/>
      <c r="B78" s="288" t="s">
        <v>21</v>
      </c>
      <c r="C78" s="337"/>
      <c r="D78" s="337"/>
      <c r="E78" s="337"/>
      <c r="F78" s="337"/>
      <c r="G78" s="337"/>
      <c r="H78" s="337"/>
      <c r="I78" s="337"/>
      <c r="J78" s="337"/>
      <c r="K78" s="337"/>
      <c r="L78" s="337"/>
      <c r="M78" s="337"/>
      <c r="N78" s="337"/>
      <c r="O78" s="337"/>
      <c r="P78" s="337"/>
      <c r="Q78" s="337"/>
      <c r="R78" s="337"/>
      <c r="S78" s="337"/>
      <c r="T78" s="337"/>
      <c r="U78" s="337"/>
      <c r="V78" s="337"/>
      <c r="W78" s="291"/>
      <c r="X78" s="5"/>
    </row>
    <row r="79" spans="1:24" ht="15.6" x14ac:dyDescent="0.3">
      <c r="A79" s="340"/>
      <c r="B79" s="288"/>
      <c r="C79" s="337"/>
      <c r="D79" s="337"/>
      <c r="E79" s="337"/>
      <c r="F79" s="337"/>
      <c r="G79" s="337"/>
      <c r="H79" s="337"/>
      <c r="I79" s="337"/>
      <c r="J79" s="337"/>
      <c r="K79" s="337"/>
      <c r="L79" s="337"/>
      <c r="M79" s="337"/>
      <c r="N79" s="337"/>
      <c r="O79" s="337"/>
      <c r="P79" s="337"/>
      <c r="Q79" s="337"/>
      <c r="R79" s="337"/>
      <c r="S79" s="337"/>
      <c r="T79" s="337"/>
      <c r="U79" s="337"/>
      <c r="V79" s="337"/>
      <c r="W79" s="291"/>
      <c r="X79" s="5"/>
    </row>
    <row r="80" spans="1:24" ht="15.6" x14ac:dyDescent="0.3">
      <c r="A80" s="340"/>
      <c r="B80" s="288" t="s">
        <v>23</v>
      </c>
      <c r="C80" s="337"/>
      <c r="D80" s="337"/>
      <c r="E80" s="337"/>
      <c r="F80" s="337"/>
      <c r="G80" s="337"/>
      <c r="H80" s="337"/>
      <c r="I80" s="337"/>
      <c r="J80" s="337"/>
      <c r="K80" s="337"/>
      <c r="L80" s="337">
        <v>0</v>
      </c>
      <c r="M80" s="337"/>
      <c r="N80" s="337">
        <v>0</v>
      </c>
      <c r="O80" s="337"/>
      <c r="P80" s="337"/>
      <c r="Q80" s="337"/>
      <c r="R80" s="337"/>
      <c r="S80" s="337"/>
      <c r="T80" s="337"/>
      <c r="U80" s="337"/>
      <c r="V80" s="338">
        <v>0</v>
      </c>
      <c r="W80" s="291"/>
      <c r="X80" s="5"/>
    </row>
    <row r="81" spans="1:24" ht="15.6" x14ac:dyDescent="0.3">
      <c r="A81" s="340"/>
      <c r="B81" s="288" t="s">
        <v>117</v>
      </c>
      <c r="C81" s="337"/>
      <c r="D81" s="337"/>
      <c r="E81" s="337"/>
      <c r="F81" s="337"/>
      <c r="G81" s="337"/>
      <c r="H81" s="337"/>
      <c r="I81" s="337"/>
      <c r="J81" s="337"/>
      <c r="K81" s="337"/>
      <c r="L81" s="337">
        <v>342245</v>
      </c>
      <c r="M81" s="337"/>
      <c r="N81" s="337">
        <v>0</v>
      </c>
      <c r="O81" s="337"/>
      <c r="P81" s="337">
        <v>0</v>
      </c>
      <c r="Q81" s="337"/>
      <c r="R81" s="337"/>
      <c r="S81" s="337"/>
      <c r="T81" s="337"/>
      <c r="U81" s="337"/>
      <c r="V81" s="337">
        <f>SUM(N81:R81)</f>
        <v>0</v>
      </c>
      <c r="W81" s="291"/>
      <c r="X81" s="5"/>
    </row>
    <row r="82" spans="1:24" ht="15.6" x14ac:dyDescent="0.3">
      <c r="A82" s="340"/>
      <c r="B82" s="288"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91"/>
      <c r="X82" s="5"/>
    </row>
    <row r="83" spans="1:24" ht="15.6" x14ac:dyDescent="0.3">
      <c r="A83" s="340"/>
      <c r="B83" s="288" t="s">
        <v>25</v>
      </c>
      <c r="C83" s="337"/>
      <c r="D83" s="337"/>
      <c r="E83" s="337"/>
      <c r="F83" s="337"/>
      <c r="G83" s="337"/>
      <c r="H83" s="337"/>
      <c r="I83" s="337"/>
      <c r="J83" s="337"/>
      <c r="K83" s="337"/>
      <c r="L83" s="337">
        <v>0</v>
      </c>
      <c r="M83" s="337"/>
      <c r="N83" s="337">
        <v>0</v>
      </c>
      <c r="O83" s="337"/>
      <c r="P83" s="337"/>
      <c r="Q83" s="337"/>
      <c r="R83" s="337"/>
      <c r="S83" s="337"/>
      <c r="T83" s="337"/>
      <c r="U83" s="337"/>
      <c r="V83" s="337">
        <v>0</v>
      </c>
      <c r="W83" s="291"/>
      <c r="X83" s="5"/>
    </row>
    <row r="84" spans="1:24" ht="15.6" x14ac:dyDescent="0.3">
      <c r="A84" s="340"/>
      <c r="B84" s="288" t="s">
        <v>26</v>
      </c>
      <c r="C84" s="337"/>
      <c r="D84" s="337"/>
      <c r="E84" s="337"/>
      <c r="F84" s="337"/>
      <c r="G84" s="337"/>
      <c r="H84" s="337"/>
      <c r="I84" s="337"/>
      <c r="J84" s="337"/>
      <c r="K84" s="337"/>
      <c r="L84" s="337">
        <f>SUM(L71:L83)</f>
        <v>1500275</v>
      </c>
      <c r="M84" s="337"/>
      <c r="N84" s="337">
        <f>SUM(N71:N83)</f>
        <v>1094792</v>
      </c>
      <c r="O84" s="337"/>
      <c r="P84" s="337"/>
      <c r="Q84" s="337"/>
      <c r="R84" s="337"/>
      <c r="S84" s="337"/>
      <c r="T84" s="337"/>
      <c r="U84" s="337"/>
      <c r="V84" s="337">
        <f>SUM(V71:V83)</f>
        <v>1087933</v>
      </c>
      <c r="W84" s="291"/>
      <c r="X84" s="5"/>
    </row>
    <row r="85" spans="1:24" ht="15.6" x14ac:dyDescent="0.3">
      <c r="A85" s="243"/>
      <c r="B85" s="284"/>
      <c r="C85" s="339"/>
      <c r="D85" s="339"/>
      <c r="E85" s="339"/>
      <c r="F85" s="339"/>
      <c r="G85" s="339"/>
      <c r="H85" s="339"/>
      <c r="I85" s="339"/>
      <c r="J85" s="339"/>
      <c r="K85" s="339"/>
      <c r="L85" s="339"/>
      <c r="M85" s="339"/>
      <c r="N85" s="339"/>
      <c r="O85" s="339"/>
      <c r="P85" s="339"/>
      <c r="Q85" s="339"/>
      <c r="R85" s="339"/>
      <c r="S85" s="339"/>
      <c r="T85" s="339"/>
      <c r="U85" s="339"/>
      <c r="V85" s="339"/>
      <c r="W85" s="284"/>
      <c r="X85" s="5"/>
    </row>
    <row r="86" spans="1:24" ht="15.6" x14ac:dyDescent="0.3">
      <c r="A86" s="243"/>
      <c r="B86" s="224"/>
      <c r="C86" s="224"/>
      <c r="D86" s="224"/>
      <c r="E86" s="224"/>
      <c r="F86" s="224"/>
      <c r="G86" s="224"/>
      <c r="H86" s="224"/>
      <c r="I86" s="224"/>
      <c r="J86" s="224"/>
      <c r="K86" s="224"/>
      <c r="L86" s="224"/>
      <c r="M86" s="224"/>
      <c r="N86" s="224"/>
      <c r="O86" s="224"/>
      <c r="P86" s="224"/>
      <c r="Q86" s="224"/>
      <c r="R86" s="224"/>
      <c r="S86" s="224"/>
      <c r="T86" s="224"/>
      <c r="U86" s="224"/>
      <c r="V86" s="224"/>
      <c r="W86" s="224"/>
      <c r="X86" s="5"/>
    </row>
    <row r="87" spans="1:24" ht="15.6" x14ac:dyDescent="0.3">
      <c r="A87" s="262"/>
      <c r="B87" s="399" t="s">
        <v>27</v>
      </c>
      <c r="C87" s="399"/>
      <c r="D87" s="399"/>
      <c r="E87" s="399"/>
      <c r="F87" s="399"/>
      <c r="G87" s="399"/>
      <c r="H87" s="400"/>
      <c r="I87" s="400"/>
      <c r="J87" s="400"/>
      <c r="K87" s="400"/>
      <c r="L87" s="401" t="s">
        <v>95</v>
      </c>
      <c r="M87" s="400"/>
      <c r="N87" s="402">
        <f>+T205</f>
        <v>41516</v>
      </c>
      <c r="O87" s="400"/>
      <c r="P87" s="400"/>
      <c r="Q87" s="400"/>
      <c r="R87" s="400"/>
      <c r="S87" s="400"/>
      <c r="T87" s="400" t="s">
        <v>107</v>
      </c>
      <c r="U87" s="400"/>
      <c r="V87" s="400" t="s">
        <v>113</v>
      </c>
      <c r="W87" s="263"/>
      <c r="X87" s="5"/>
    </row>
    <row r="88" spans="1:24" ht="15.6" x14ac:dyDescent="0.3">
      <c r="A88" s="242"/>
      <c r="B88" s="231" t="s">
        <v>28</v>
      </c>
      <c r="C88" s="231"/>
      <c r="D88" s="231"/>
      <c r="E88" s="231"/>
      <c r="F88" s="231"/>
      <c r="G88" s="231"/>
      <c r="H88" s="231"/>
      <c r="I88" s="231"/>
      <c r="J88" s="231"/>
      <c r="K88" s="231"/>
      <c r="L88" s="231"/>
      <c r="M88" s="231"/>
      <c r="N88" s="231"/>
      <c r="O88" s="231"/>
      <c r="P88" s="231"/>
      <c r="Q88" s="231"/>
      <c r="R88" s="231"/>
      <c r="S88" s="231"/>
      <c r="T88" s="234">
        <v>0</v>
      </c>
      <c r="U88" s="231"/>
      <c r="V88" s="241">
        <v>0</v>
      </c>
      <c r="W88" s="231"/>
      <c r="X88" s="5"/>
    </row>
    <row r="89" spans="1:24" ht="15.6" x14ac:dyDescent="0.3">
      <c r="A89" s="340"/>
      <c r="B89" s="288" t="s">
        <v>29</v>
      </c>
      <c r="C89" s="288"/>
      <c r="D89" s="288"/>
      <c r="E89" s="288"/>
      <c r="F89" s="288"/>
      <c r="G89" s="288"/>
      <c r="H89" s="325"/>
      <c r="I89" s="325"/>
      <c r="J89" s="325"/>
      <c r="K89" s="341"/>
      <c r="L89" s="325"/>
      <c r="M89" s="288"/>
      <c r="N89" s="342"/>
      <c r="O89" s="288"/>
      <c r="P89" s="288"/>
      <c r="Q89" s="288"/>
      <c r="R89" s="288"/>
      <c r="S89" s="288"/>
      <c r="T89" s="337">
        <f>7129-268</f>
        <v>6861</v>
      </c>
      <c r="U89" s="288"/>
      <c r="V89" s="338"/>
      <c r="W89" s="291"/>
      <c r="X89" s="5"/>
    </row>
    <row r="90" spans="1:24" ht="15.6" x14ac:dyDescent="0.3">
      <c r="A90" s="340"/>
      <c r="B90" s="288" t="s">
        <v>216</v>
      </c>
      <c r="C90" s="288"/>
      <c r="D90" s="288"/>
      <c r="E90" s="288"/>
      <c r="F90" s="288"/>
      <c r="G90" s="288"/>
      <c r="H90" s="325"/>
      <c r="I90" s="325"/>
      <c r="J90" s="325"/>
      <c r="K90" s="341"/>
      <c r="L90" s="325"/>
      <c r="M90" s="288"/>
      <c r="N90" s="342"/>
      <c r="O90" s="288"/>
      <c r="P90" s="288"/>
      <c r="Q90" s="288"/>
      <c r="R90" s="288"/>
      <c r="S90" s="288"/>
      <c r="T90" s="337"/>
      <c r="U90" s="288"/>
      <c r="V90" s="338">
        <f>3368+4515-359-958</f>
        <v>6566</v>
      </c>
      <c r="W90" s="291"/>
      <c r="X90" s="5"/>
    </row>
    <row r="91" spans="1:24" ht="15.6" x14ac:dyDescent="0.3">
      <c r="A91" s="340"/>
      <c r="B91" s="288" t="s">
        <v>211</v>
      </c>
      <c r="C91" s="288"/>
      <c r="D91" s="288"/>
      <c r="E91" s="288"/>
      <c r="F91" s="288"/>
      <c r="G91" s="288"/>
      <c r="H91" s="325"/>
      <c r="I91" s="325"/>
      <c r="J91" s="325"/>
      <c r="K91" s="341"/>
      <c r="L91" s="325"/>
      <c r="M91" s="288"/>
      <c r="N91" s="342"/>
      <c r="O91" s="288"/>
      <c r="P91" s="288"/>
      <c r="Q91" s="288"/>
      <c r="R91" s="288"/>
      <c r="S91" s="288"/>
      <c r="T91" s="337"/>
      <c r="U91" s="288"/>
      <c r="V91" s="338">
        <f>33+50</f>
        <v>83</v>
      </c>
      <c r="W91" s="291"/>
      <c r="X91" s="5"/>
    </row>
    <row r="92" spans="1:24" ht="15.6" x14ac:dyDescent="0.3">
      <c r="A92" s="340"/>
      <c r="B92" s="288" t="s">
        <v>212</v>
      </c>
      <c r="C92" s="288"/>
      <c r="D92" s="288"/>
      <c r="E92" s="288"/>
      <c r="F92" s="288"/>
      <c r="G92" s="288"/>
      <c r="H92" s="325"/>
      <c r="I92" s="325"/>
      <c r="J92" s="325"/>
      <c r="K92" s="341"/>
      <c r="L92" s="325"/>
      <c r="M92" s="288"/>
      <c r="N92" s="342"/>
      <c r="O92" s="288"/>
      <c r="P92" s="288"/>
      <c r="Q92" s="288"/>
      <c r="R92" s="288"/>
      <c r="S92" s="288"/>
      <c r="T92" s="337"/>
      <c r="U92" s="288"/>
      <c r="V92" s="338">
        <v>37</v>
      </c>
      <c r="W92" s="291"/>
      <c r="X92" s="5"/>
    </row>
    <row r="93" spans="1:24" ht="15.6" x14ac:dyDescent="0.3">
      <c r="A93" s="340"/>
      <c r="B93" s="288" t="s">
        <v>272</v>
      </c>
      <c r="C93" s="288"/>
      <c r="D93" s="288"/>
      <c r="E93" s="288"/>
      <c r="F93" s="288"/>
      <c r="G93" s="288"/>
      <c r="H93" s="325"/>
      <c r="I93" s="325"/>
      <c r="J93" s="325"/>
      <c r="K93" s="341"/>
      <c r="L93" s="325"/>
      <c r="M93" s="288"/>
      <c r="N93" s="342"/>
      <c r="O93" s="288"/>
      <c r="P93" s="288"/>
      <c r="Q93" s="288"/>
      <c r="R93" s="288"/>
      <c r="S93" s="288"/>
      <c r="T93" s="337"/>
      <c r="U93" s="288"/>
      <c r="V93" s="338">
        <v>0</v>
      </c>
      <c r="W93" s="291"/>
      <c r="X93" s="5"/>
    </row>
    <row r="94" spans="1:24" ht="15.6" x14ac:dyDescent="0.3">
      <c r="A94" s="340"/>
      <c r="B94" s="288" t="s">
        <v>274</v>
      </c>
      <c r="C94" s="288"/>
      <c r="D94" s="288"/>
      <c r="E94" s="288"/>
      <c r="F94" s="288"/>
      <c r="G94" s="288"/>
      <c r="H94" s="325"/>
      <c r="I94" s="325"/>
      <c r="J94" s="325"/>
      <c r="K94" s="341"/>
      <c r="L94" s="325"/>
      <c r="M94" s="288"/>
      <c r="N94" s="342"/>
      <c r="O94" s="288"/>
      <c r="P94" s="288"/>
      <c r="Q94" s="288"/>
      <c r="R94" s="288"/>
      <c r="S94" s="288"/>
      <c r="T94" s="337"/>
      <c r="U94" s="288"/>
      <c r="V94" s="338">
        <v>0</v>
      </c>
      <c r="W94" s="291"/>
      <c r="X94" s="5"/>
    </row>
    <row r="95" spans="1:24" ht="15.6" x14ac:dyDescent="0.3">
      <c r="A95" s="340"/>
      <c r="B95" s="288" t="s">
        <v>135</v>
      </c>
      <c r="C95" s="288"/>
      <c r="D95" s="288"/>
      <c r="E95" s="288"/>
      <c r="F95" s="288"/>
      <c r="G95" s="288"/>
      <c r="H95" s="288"/>
      <c r="I95" s="288"/>
      <c r="J95" s="288"/>
      <c r="K95" s="288"/>
      <c r="L95" s="288"/>
      <c r="M95" s="288"/>
      <c r="N95" s="288"/>
      <c r="O95" s="288"/>
      <c r="P95" s="288"/>
      <c r="Q95" s="288"/>
      <c r="R95" s="288"/>
      <c r="S95" s="288"/>
      <c r="T95" s="337"/>
      <c r="U95" s="288"/>
      <c r="V95" s="338">
        <v>0</v>
      </c>
      <c r="W95" s="291"/>
      <c r="X95" s="5"/>
    </row>
    <row r="96" spans="1:24" ht="15.6" x14ac:dyDescent="0.3">
      <c r="A96" s="340"/>
      <c r="B96" s="288" t="s">
        <v>268</v>
      </c>
      <c r="C96" s="288"/>
      <c r="D96" s="288"/>
      <c r="E96" s="288"/>
      <c r="F96" s="288"/>
      <c r="G96" s="288"/>
      <c r="H96" s="288"/>
      <c r="I96" s="288"/>
      <c r="J96" s="288"/>
      <c r="K96" s="288"/>
      <c r="L96" s="288"/>
      <c r="M96" s="288"/>
      <c r="N96" s="288"/>
      <c r="O96" s="288"/>
      <c r="P96" s="288"/>
      <c r="Q96" s="288"/>
      <c r="R96" s="288"/>
      <c r="S96" s="288"/>
      <c r="T96" s="337"/>
      <c r="U96" s="288"/>
      <c r="V96" s="338">
        <v>316</v>
      </c>
      <c r="W96" s="291"/>
      <c r="X96" s="5"/>
    </row>
    <row r="97" spans="1:25" ht="15.6" x14ac:dyDescent="0.3">
      <c r="A97" s="340"/>
      <c r="B97" s="288" t="s">
        <v>30</v>
      </c>
      <c r="C97" s="288"/>
      <c r="D97" s="288"/>
      <c r="E97" s="288"/>
      <c r="F97" s="288"/>
      <c r="G97" s="288"/>
      <c r="H97" s="288"/>
      <c r="I97" s="288"/>
      <c r="J97" s="288"/>
      <c r="K97" s="288"/>
      <c r="L97" s="288"/>
      <c r="M97" s="288"/>
      <c r="N97" s="288"/>
      <c r="O97" s="288"/>
      <c r="P97" s="288"/>
      <c r="Q97" s="288"/>
      <c r="R97" s="288"/>
      <c r="S97" s="288"/>
      <c r="T97" s="337">
        <f>SUM(T88:T96)</f>
        <v>6861</v>
      </c>
      <c r="U97" s="288"/>
      <c r="V97" s="337">
        <f>SUM(V88:V96)</f>
        <v>7002</v>
      </c>
      <c r="W97" s="291"/>
      <c r="X97" s="5"/>
    </row>
    <row r="98" spans="1:25" ht="15.6" x14ac:dyDescent="0.3">
      <c r="A98" s="340"/>
      <c r="B98" s="288" t="s">
        <v>161</v>
      </c>
      <c r="C98" s="288"/>
      <c r="D98" s="288"/>
      <c r="E98" s="288"/>
      <c r="F98" s="288"/>
      <c r="G98" s="288"/>
      <c r="H98" s="288"/>
      <c r="I98" s="288"/>
      <c r="J98" s="288"/>
      <c r="K98" s="288"/>
      <c r="L98" s="288"/>
      <c r="M98" s="288"/>
      <c r="N98" s="288"/>
      <c r="O98" s="288"/>
      <c r="P98" s="288"/>
      <c r="Q98" s="288"/>
      <c r="R98" s="288"/>
      <c r="S98" s="288"/>
      <c r="T98" s="337">
        <f>-V98</f>
        <v>-1</v>
      </c>
      <c r="U98" s="288"/>
      <c r="V98" s="337">
        <v>1</v>
      </c>
      <c r="W98" s="291"/>
      <c r="X98" s="5"/>
    </row>
    <row r="99" spans="1:25" ht="15.6" x14ac:dyDescent="0.3">
      <c r="A99" s="340"/>
      <c r="B99" s="288" t="s">
        <v>31</v>
      </c>
      <c r="C99" s="288"/>
      <c r="D99" s="288"/>
      <c r="E99" s="288"/>
      <c r="F99" s="288"/>
      <c r="G99" s="288"/>
      <c r="H99" s="288"/>
      <c r="I99" s="288"/>
      <c r="J99" s="288"/>
      <c r="K99" s="288"/>
      <c r="L99" s="288"/>
      <c r="M99" s="288"/>
      <c r="N99" s="288"/>
      <c r="O99" s="288"/>
      <c r="P99" s="288"/>
      <c r="Q99" s="288"/>
      <c r="R99" s="288"/>
      <c r="S99" s="288"/>
      <c r="T99" s="337">
        <f>-V99</f>
        <v>0</v>
      </c>
      <c r="U99" s="288"/>
      <c r="V99" s="338">
        <v>0</v>
      </c>
      <c r="W99" s="291"/>
      <c r="X99" s="5"/>
    </row>
    <row r="100" spans="1:25" ht="15.6" x14ac:dyDescent="0.3">
      <c r="A100" s="340"/>
      <c r="B100" s="288" t="s">
        <v>283</v>
      </c>
      <c r="C100" s="288"/>
      <c r="D100" s="288"/>
      <c r="E100" s="288"/>
      <c r="F100" s="288"/>
      <c r="G100" s="288"/>
      <c r="H100" s="288"/>
      <c r="I100" s="288"/>
      <c r="J100" s="288"/>
      <c r="K100" s="288"/>
      <c r="L100" s="288"/>
      <c r="M100" s="288"/>
      <c r="N100" s="288"/>
      <c r="O100" s="288"/>
      <c r="P100" s="288"/>
      <c r="Q100" s="288"/>
      <c r="R100" s="288"/>
      <c r="S100" s="288"/>
      <c r="T100" s="337"/>
      <c r="U100" s="288"/>
      <c r="V100" s="338">
        <v>-86</v>
      </c>
      <c r="W100" s="291"/>
      <c r="X100" s="5"/>
    </row>
    <row r="101" spans="1:25" ht="15.6" x14ac:dyDescent="0.3">
      <c r="A101" s="340"/>
      <c r="B101" s="288" t="s">
        <v>32</v>
      </c>
      <c r="C101" s="288"/>
      <c r="D101" s="288"/>
      <c r="E101" s="288"/>
      <c r="F101" s="288"/>
      <c r="G101" s="288"/>
      <c r="H101" s="288"/>
      <c r="I101" s="288"/>
      <c r="J101" s="288"/>
      <c r="K101" s="288"/>
      <c r="L101" s="288"/>
      <c r="M101" s="288"/>
      <c r="N101" s="288"/>
      <c r="O101" s="288"/>
      <c r="P101" s="288"/>
      <c r="Q101" s="288"/>
      <c r="R101" s="288"/>
      <c r="S101" s="288"/>
      <c r="T101" s="337">
        <f>T97+T99+T98</f>
        <v>6860</v>
      </c>
      <c r="U101" s="288"/>
      <c r="V101" s="337">
        <f>V97+V99+V98+V100</f>
        <v>6917</v>
      </c>
      <c r="W101" s="291"/>
      <c r="X101" s="5"/>
    </row>
    <row r="102" spans="1:25" ht="15.6" x14ac:dyDescent="0.3">
      <c r="A102" s="287"/>
      <c r="B102" s="343" t="s">
        <v>33</v>
      </c>
      <c r="C102" s="314"/>
      <c r="D102" s="314"/>
      <c r="E102" s="314"/>
      <c r="F102" s="314"/>
      <c r="G102" s="314"/>
      <c r="H102" s="314"/>
      <c r="I102" s="314"/>
      <c r="J102" s="314"/>
      <c r="K102" s="314"/>
      <c r="L102" s="314"/>
      <c r="M102" s="314"/>
      <c r="N102" s="314"/>
      <c r="O102" s="314"/>
      <c r="P102" s="314"/>
      <c r="Q102" s="314"/>
      <c r="R102" s="314"/>
      <c r="S102" s="314"/>
      <c r="T102" s="344"/>
      <c r="U102" s="314"/>
      <c r="V102" s="345"/>
      <c r="W102" s="318"/>
      <c r="X102" s="5"/>
    </row>
    <row r="103" spans="1:25" ht="15.6" x14ac:dyDescent="0.3">
      <c r="A103" s="340">
        <v>1</v>
      </c>
      <c r="B103" s="288" t="s">
        <v>34</v>
      </c>
      <c r="C103" s="288"/>
      <c r="D103" s="288"/>
      <c r="E103" s="288"/>
      <c r="F103" s="288"/>
      <c r="G103" s="288"/>
      <c r="H103" s="288"/>
      <c r="I103" s="288"/>
      <c r="J103" s="288"/>
      <c r="K103" s="288"/>
      <c r="L103" s="288"/>
      <c r="M103" s="288"/>
      <c r="N103" s="288"/>
      <c r="O103" s="288"/>
      <c r="P103" s="288"/>
      <c r="Q103" s="288"/>
      <c r="R103" s="288"/>
      <c r="S103" s="288"/>
      <c r="T103" s="288"/>
      <c r="U103" s="288"/>
      <c r="V103" s="338">
        <v>0</v>
      </c>
      <c r="W103" s="291"/>
      <c r="X103" s="5"/>
    </row>
    <row r="104" spans="1:25" ht="15.6" x14ac:dyDescent="0.3">
      <c r="A104" s="340">
        <f>+A103+1</f>
        <v>2</v>
      </c>
      <c r="B104" s="288" t="s">
        <v>330</v>
      </c>
      <c r="C104" s="288"/>
      <c r="D104" s="288"/>
      <c r="E104" s="288"/>
      <c r="F104" s="288"/>
      <c r="G104" s="288"/>
      <c r="H104" s="288"/>
      <c r="I104" s="288"/>
      <c r="J104" s="288"/>
      <c r="K104" s="288"/>
      <c r="L104" s="288"/>
      <c r="M104" s="288"/>
      <c r="N104" s="288"/>
      <c r="O104" s="288"/>
      <c r="P104" s="288"/>
      <c r="Q104" s="288"/>
      <c r="R104" s="288"/>
      <c r="S104" s="288"/>
      <c r="T104" s="288"/>
      <c r="U104" s="288"/>
      <c r="V104" s="338">
        <v>-2</v>
      </c>
      <c r="W104" s="291"/>
      <c r="X104" s="5"/>
    </row>
    <row r="105" spans="1:25" ht="15.6" x14ac:dyDescent="0.3">
      <c r="A105" s="340">
        <f>+A104+1</f>
        <v>3</v>
      </c>
      <c r="B105" s="288" t="s">
        <v>331</v>
      </c>
      <c r="C105" s="288"/>
      <c r="D105" s="288"/>
      <c r="E105" s="288"/>
      <c r="F105" s="288"/>
      <c r="G105" s="288"/>
      <c r="H105" s="288"/>
      <c r="I105" s="288"/>
      <c r="J105" s="288"/>
      <c r="K105" s="288"/>
      <c r="L105" s="288"/>
      <c r="M105" s="288"/>
      <c r="N105" s="288"/>
      <c r="O105" s="288"/>
      <c r="P105" s="288"/>
      <c r="Q105" s="288"/>
      <c r="R105" s="288"/>
      <c r="S105" s="288"/>
      <c r="T105" s="288"/>
      <c r="U105" s="288"/>
      <c r="V105" s="338">
        <f>-139-248-13</f>
        <v>-400</v>
      </c>
      <c r="W105" s="291"/>
      <c r="X105" s="5"/>
    </row>
    <row r="106" spans="1:25" ht="15.6" x14ac:dyDescent="0.3">
      <c r="A106" s="340" t="s">
        <v>127</v>
      </c>
      <c r="B106" s="288" t="s">
        <v>116</v>
      </c>
      <c r="C106" s="288"/>
      <c r="D106" s="288"/>
      <c r="E106" s="288"/>
      <c r="F106" s="288"/>
      <c r="G106" s="288"/>
      <c r="H106" s="288"/>
      <c r="I106" s="288"/>
      <c r="J106" s="288"/>
      <c r="K106" s="288"/>
      <c r="L106" s="288"/>
      <c r="M106" s="288"/>
      <c r="N106" s="288"/>
      <c r="O106" s="288"/>
      <c r="P106" s="288"/>
      <c r="Q106" s="288"/>
      <c r="R106" s="288"/>
      <c r="S106" s="288"/>
      <c r="T106" s="288"/>
      <c r="U106" s="288"/>
      <c r="V106" s="338">
        <v>0</v>
      </c>
      <c r="W106" s="291"/>
      <c r="X106" s="5"/>
    </row>
    <row r="107" spans="1:25" ht="15.6" x14ac:dyDescent="0.3">
      <c r="A107" s="340" t="s">
        <v>128</v>
      </c>
      <c r="B107" s="288" t="s">
        <v>222</v>
      </c>
      <c r="C107" s="288"/>
      <c r="D107" s="288"/>
      <c r="E107" s="288"/>
      <c r="F107" s="288"/>
      <c r="G107" s="288"/>
      <c r="H107" s="288"/>
      <c r="I107" s="288"/>
      <c r="J107" s="288"/>
      <c r="K107" s="288"/>
      <c r="L107" s="288"/>
      <c r="M107" s="288"/>
      <c r="N107" s="288"/>
      <c r="O107" s="288"/>
      <c r="P107" s="288"/>
      <c r="Q107" s="288"/>
      <c r="R107" s="288"/>
      <c r="S107" s="288"/>
      <c r="T107" s="288"/>
      <c r="U107" s="288"/>
      <c r="V107" s="338">
        <f>-1619+151</f>
        <v>-1468</v>
      </c>
      <c r="W107" s="291"/>
      <c r="X107" s="5"/>
      <c r="Y107" s="109"/>
    </row>
    <row r="108" spans="1:25" ht="15.6" x14ac:dyDescent="0.3">
      <c r="A108" s="340" t="s">
        <v>150</v>
      </c>
      <c r="B108" s="288" t="s">
        <v>184</v>
      </c>
      <c r="C108" s="288"/>
      <c r="D108" s="288"/>
      <c r="E108" s="288"/>
      <c r="F108" s="288"/>
      <c r="G108" s="288"/>
      <c r="H108" s="288"/>
      <c r="I108" s="288"/>
      <c r="J108" s="288"/>
      <c r="K108" s="288"/>
      <c r="L108" s="288"/>
      <c r="M108" s="288"/>
      <c r="N108" s="288"/>
      <c r="O108" s="288"/>
      <c r="P108" s="288"/>
      <c r="Q108" s="288"/>
      <c r="R108" s="288"/>
      <c r="S108" s="288"/>
      <c r="T108" s="288"/>
      <c r="U108" s="288"/>
      <c r="V108" s="338">
        <v>-151</v>
      </c>
      <c r="W108" s="291"/>
      <c r="X108" s="5"/>
      <c r="Y108" s="109"/>
    </row>
    <row r="109" spans="1:25" ht="15.6" x14ac:dyDescent="0.3">
      <c r="A109" s="340" t="s">
        <v>236</v>
      </c>
      <c r="B109" s="288" t="s">
        <v>238</v>
      </c>
      <c r="C109" s="288"/>
      <c r="D109" s="288"/>
      <c r="E109" s="288"/>
      <c r="F109" s="288"/>
      <c r="G109" s="288"/>
      <c r="H109" s="288"/>
      <c r="I109" s="288"/>
      <c r="J109" s="288"/>
      <c r="K109" s="288"/>
      <c r="L109" s="288"/>
      <c r="M109" s="288"/>
      <c r="N109" s="288"/>
      <c r="O109" s="288"/>
      <c r="P109" s="288"/>
      <c r="Q109" s="288"/>
      <c r="R109" s="288"/>
      <c r="S109" s="288"/>
      <c r="T109" s="288"/>
      <c r="U109" s="288"/>
      <c r="V109" s="338">
        <v>-1</v>
      </c>
      <c r="W109" s="291"/>
      <c r="X109" s="5"/>
    </row>
    <row r="110" spans="1:25" ht="15.6" x14ac:dyDescent="0.3">
      <c r="A110" s="340" t="s">
        <v>205</v>
      </c>
      <c r="B110" s="288" t="s">
        <v>185</v>
      </c>
      <c r="C110" s="288"/>
      <c r="D110" s="288"/>
      <c r="E110" s="288"/>
      <c r="F110" s="288"/>
      <c r="G110" s="288"/>
      <c r="H110" s="288"/>
      <c r="I110" s="288"/>
      <c r="J110" s="288"/>
      <c r="K110" s="288"/>
      <c r="L110" s="288"/>
      <c r="M110" s="288"/>
      <c r="N110" s="288"/>
      <c r="O110" s="288"/>
      <c r="P110" s="288"/>
      <c r="Q110" s="288"/>
      <c r="R110" s="288"/>
      <c r="S110" s="288"/>
      <c r="T110" s="288"/>
      <c r="U110" s="288"/>
      <c r="V110" s="338">
        <v>-140</v>
      </c>
      <c r="W110" s="291"/>
      <c r="X110" s="5"/>
      <c r="Y110" s="109"/>
    </row>
    <row r="111" spans="1:25" ht="15.6" x14ac:dyDescent="0.3">
      <c r="A111" s="340" t="s">
        <v>206</v>
      </c>
      <c r="B111" s="288" t="s">
        <v>186</v>
      </c>
      <c r="C111" s="288"/>
      <c r="D111" s="288"/>
      <c r="E111" s="288"/>
      <c r="F111" s="288"/>
      <c r="G111" s="288"/>
      <c r="H111" s="288"/>
      <c r="I111" s="288"/>
      <c r="J111" s="288"/>
      <c r="K111" s="288"/>
      <c r="L111" s="288"/>
      <c r="M111" s="288"/>
      <c r="N111" s="288"/>
      <c r="O111" s="288"/>
      <c r="P111" s="288"/>
      <c r="Q111" s="288"/>
      <c r="R111" s="288"/>
      <c r="S111" s="288"/>
      <c r="T111" s="288"/>
      <c r="U111" s="288"/>
      <c r="V111" s="338">
        <v>-113</v>
      </c>
      <c r="W111" s="291"/>
      <c r="X111" s="179"/>
      <c r="Y111" s="109"/>
    </row>
    <row r="112" spans="1:25" ht="15.6" x14ac:dyDescent="0.3">
      <c r="A112" s="340" t="s">
        <v>207</v>
      </c>
      <c r="B112" s="288" t="s">
        <v>196</v>
      </c>
      <c r="C112" s="288"/>
      <c r="D112" s="288"/>
      <c r="E112" s="288"/>
      <c r="F112" s="288"/>
      <c r="G112" s="288"/>
      <c r="H112" s="288"/>
      <c r="I112" s="288"/>
      <c r="J112" s="288"/>
      <c r="K112" s="288"/>
      <c r="L112" s="288"/>
      <c r="M112" s="288"/>
      <c r="N112" s="288"/>
      <c r="O112" s="288"/>
      <c r="P112" s="288"/>
      <c r="Q112" s="288"/>
      <c r="R112" s="288"/>
      <c r="S112" s="288"/>
      <c r="T112" s="288"/>
      <c r="U112" s="288"/>
      <c r="V112" s="338">
        <v>-318</v>
      </c>
      <c r="W112" s="291"/>
      <c r="X112" s="5"/>
      <c r="Y112" s="109"/>
    </row>
    <row r="113" spans="1:25" ht="15.6" x14ac:dyDescent="0.3">
      <c r="A113" s="340" t="s">
        <v>224</v>
      </c>
      <c r="B113" s="288" t="s">
        <v>223</v>
      </c>
      <c r="C113" s="288"/>
      <c r="D113" s="288"/>
      <c r="E113" s="288"/>
      <c r="F113" s="288"/>
      <c r="G113" s="288"/>
      <c r="H113" s="288"/>
      <c r="I113" s="288"/>
      <c r="J113" s="288"/>
      <c r="K113" s="288"/>
      <c r="L113" s="288"/>
      <c r="M113" s="288"/>
      <c r="N113" s="288"/>
      <c r="O113" s="288"/>
      <c r="P113" s="288"/>
      <c r="Q113" s="288"/>
      <c r="R113" s="288"/>
      <c r="S113" s="288"/>
      <c r="T113" s="288"/>
      <c r="U113" s="288"/>
      <c r="V113" s="338">
        <v>-63</v>
      </c>
      <c r="W113" s="291"/>
      <c r="X113" s="5"/>
      <c r="Y113" s="109"/>
    </row>
    <row r="114" spans="1:25" ht="15.6" x14ac:dyDescent="0.3">
      <c r="A114" s="340">
        <v>7</v>
      </c>
      <c r="B114" s="288" t="s">
        <v>35</v>
      </c>
      <c r="C114" s="288"/>
      <c r="D114" s="288"/>
      <c r="E114" s="288"/>
      <c r="F114" s="288"/>
      <c r="G114" s="288"/>
      <c r="H114" s="288"/>
      <c r="I114" s="288"/>
      <c r="J114" s="288"/>
      <c r="K114" s="288"/>
      <c r="L114" s="288"/>
      <c r="M114" s="288"/>
      <c r="N114" s="288"/>
      <c r="O114" s="288"/>
      <c r="P114" s="288"/>
      <c r="Q114" s="288"/>
      <c r="R114" s="288"/>
      <c r="S114" s="288"/>
      <c r="T114" s="288"/>
      <c r="U114" s="288"/>
      <c r="V114" s="338">
        <v>-10</v>
      </c>
      <c r="W114" s="291"/>
      <c r="X114" s="5"/>
    </row>
    <row r="115" spans="1:25" ht="15.6" x14ac:dyDescent="0.3">
      <c r="A115" s="340">
        <f t="shared" ref="A115:A121" si="0">+A114+1</f>
        <v>8</v>
      </c>
      <c r="B115" s="288" t="s">
        <v>45</v>
      </c>
      <c r="C115" s="288"/>
      <c r="D115" s="288"/>
      <c r="E115" s="288"/>
      <c r="F115" s="288"/>
      <c r="G115" s="288"/>
      <c r="H115" s="288"/>
      <c r="I115" s="288"/>
      <c r="J115" s="288"/>
      <c r="K115" s="288"/>
      <c r="L115" s="288"/>
      <c r="M115" s="288"/>
      <c r="N115" s="288"/>
      <c r="O115" s="288"/>
      <c r="P115" s="288"/>
      <c r="Q115" s="288"/>
      <c r="R115" s="288"/>
      <c r="S115" s="288"/>
      <c r="T115" s="337">
        <f>-V115</f>
        <v>268</v>
      </c>
      <c r="U115" s="288"/>
      <c r="V115" s="338">
        <v>-268</v>
      </c>
      <c r="W115" s="291"/>
      <c r="X115" s="5"/>
    </row>
    <row r="116" spans="1:25" ht="15.6" x14ac:dyDescent="0.3">
      <c r="A116" s="340">
        <f t="shared" si="0"/>
        <v>9</v>
      </c>
      <c r="B116" s="288" t="s">
        <v>125</v>
      </c>
      <c r="C116" s="288"/>
      <c r="D116" s="288"/>
      <c r="E116" s="288"/>
      <c r="F116" s="288"/>
      <c r="G116" s="288"/>
      <c r="H116" s="288"/>
      <c r="I116" s="288"/>
      <c r="J116" s="288"/>
      <c r="K116" s="288"/>
      <c r="L116" s="288"/>
      <c r="M116" s="288"/>
      <c r="N116" s="288"/>
      <c r="O116" s="288"/>
      <c r="P116" s="288"/>
      <c r="Q116" s="288"/>
      <c r="R116" s="288"/>
      <c r="S116" s="288"/>
      <c r="T116" s="288"/>
      <c r="U116" s="288"/>
      <c r="V116" s="338">
        <v>0</v>
      </c>
      <c r="W116" s="291"/>
      <c r="X116" s="5"/>
    </row>
    <row r="117" spans="1:25" ht="15.6" x14ac:dyDescent="0.3">
      <c r="A117" s="340">
        <f t="shared" si="0"/>
        <v>10</v>
      </c>
      <c r="B117" s="288" t="s">
        <v>240</v>
      </c>
      <c r="C117" s="288"/>
      <c r="D117" s="288"/>
      <c r="E117" s="288"/>
      <c r="F117" s="288"/>
      <c r="G117" s="288"/>
      <c r="H117" s="288"/>
      <c r="I117" s="288"/>
      <c r="J117" s="288"/>
      <c r="K117" s="288"/>
      <c r="L117" s="288"/>
      <c r="M117" s="288"/>
      <c r="N117" s="288"/>
      <c r="O117" s="288"/>
      <c r="P117" s="288"/>
      <c r="Q117" s="288"/>
      <c r="R117" s="288"/>
      <c r="S117" s="288"/>
      <c r="T117" s="288"/>
      <c r="U117" s="288"/>
      <c r="V117" s="338">
        <v>0</v>
      </c>
      <c r="W117" s="291"/>
      <c r="X117" s="5"/>
    </row>
    <row r="118" spans="1:25" ht="15.6" x14ac:dyDescent="0.3">
      <c r="A118" s="340">
        <f t="shared" si="0"/>
        <v>11</v>
      </c>
      <c r="B118" s="288" t="s">
        <v>36</v>
      </c>
      <c r="C118" s="288"/>
      <c r="D118" s="288"/>
      <c r="E118" s="288"/>
      <c r="F118" s="288"/>
      <c r="G118" s="288"/>
      <c r="H118" s="288"/>
      <c r="I118" s="288"/>
      <c r="J118" s="288"/>
      <c r="K118" s="288"/>
      <c r="L118" s="288"/>
      <c r="M118" s="288"/>
      <c r="N118" s="288"/>
      <c r="O118" s="288"/>
      <c r="P118" s="288"/>
      <c r="Q118" s="288"/>
      <c r="R118" s="288"/>
      <c r="S118" s="288"/>
      <c r="T118" s="288"/>
      <c r="U118" s="288"/>
      <c r="V118" s="338">
        <v>0</v>
      </c>
      <c r="W118" s="291"/>
      <c r="X118" s="5"/>
    </row>
    <row r="119" spans="1:25" ht="15.6" x14ac:dyDescent="0.3">
      <c r="A119" s="340">
        <f t="shared" si="0"/>
        <v>12</v>
      </c>
      <c r="B119" s="288" t="s">
        <v>239</v>
      </c>
      <c r="C119" s="288"/>
      <c r="D119" s="288"/>
      <c r="E119" s="288"/>
      <c r="F119" s="288"/>
      <c r="G119" s="288"/>
      <c r="H119" s="288"/>
      <c r="I119" s="288"/>
      <c r="J119" s="288"/>
      <c r="K119" s="288"/>
      <c r="L119" s="288"/>
      <c r="M119" s="288"/>
      <c r="N119" s="288"/>
      <c r="O119" s="288"/>
      <c r="P119" s="288"/>
      <c r="Q119" s="288"/>
      <c r="R119" s="288"/>
      <c r="S119" s="288"/>
      <c r="T119" s="288"/>
      <c r="U119" s="288"/>
      <c r="V119" s="338">
        <v>0</v>
      </c>
      <c r="W119" s="291"/>
      <c r="X119" s="5"/>
    </row>
    <row r="120" spans="1:25" ht="15.6" x14ac:dyDescent="0.3">
      <c r="A120" s="340">
        <f t="shared" si="0"/>
        <v>13</v>
      </c>
      <c r="B120" s="288" t="s">
        <v>149</v>
      </c>
      <c r="C120" s="288"/>
      <c r="D120" s="288"/>
      <c r="E120" s="288"/>
      <c r="F120" s="288"/>
      <c r="G120" s="288"/>
      <c r="H120" s="288"/>
      <c r="I120" s="288"/>
      <c r="J120" s="288"/>
      <c r="K120" s="288"/>
      <c r="L120" s="288"/>
      <c r="M120" s="288"/>
      <c r="N120" s="288"/>
      <c r="O120" s="288"/>
      <c r="P120" s="288"/>
      <c r="Q120" s="288"/>
      <c r="R120" s="288"/>
      <c r="S120" s="288"/>
      <c r="T120" s="288"/>
      <c r="U120" s="288"/>
      <c r="V120" s="338">
        <v>-694</v>
      </c>
      <c r="W120" s="291"/>
      <c r="X120" s="5"/>
    </row>
    <row r="121" spans="1:25" ht="15.6" x14ac:dyDescent="0.3">
      <c r="A121" s="340">
        <f t="shared" si="0"/>
        <v>14</v>
      </c>
      <c r="B121" s="288" t="s">
        <v>126</v>
      </c>
      <c r="C121" s="288"/>
      <c r="D121" s="288"/>
      <c r="E121" s="288"/>
      <c r="F121" s="288"/>
      <c r="G121" s="288"/>
      <c r="H121" s="288"/>
      <c r="I121" s="288"/>
      <c r="J121" s="288"/>
      <c r="K121" s="288"/>
      <c r="L121" s="288"/>
      <c r="M121" s="288"/>
      <c r="N121" s="288"/>
      <c r="O121" s="288"/>
      <c r="P121" s="288"/>
      <c r="Q121" s="288"/>
      <c r="R121" s="288"/>
      <c r="S121" s="288"/>
      <c r="T121" s="288"/>
      <c r="U121" s="288"/>
      <c r="V121" s="338">
        <f>-V101-SUM(V103:V120)</f>
        <v>-3289</v>
      </c>
      <c r="W121" s="291"/>
      <c r="X121" s="5"/>
    </row>
    <row r="122" spans="1:25" ht="15.6" x14ac:dyDescent="0.3">
      <c r="A122" s="287"/>
      <c r="B122" s="343" t="s">
        <v>37</v>
      </c>
      <c r="C122" s="314"/>
      <c r="D122" s="314"/>
      <c r="E122" s="314"/>
      <c r="F122" s="314"/>
      <c r="G122" s="314"/>
      <c r="H122" s="314"/>
      <c r="I122" s="314"/>
      <c r="J122" s="314"/>
      <c r="K122" s="314"/>
      <c r="L122" s="314"/>
      <c r="M122" s="314"/>
      <c r="N122" s="314"/>
      <c r="O122" s="314"/>
      <c r="P122" s="314"/>
      <c r="Q122" s="314"/>
      <c r="R122" s="314"/>
      <c r="S122" s="314"/>
      <c r="T122" s="314"/>
      <c r="U122" s="314"/>
      <c r="V122" s="346"/>
      <c r="W122" s="318"/>
      <c r="X122" s="5"/>
    </row>
    <row r="123" spans="1:25" ht="15.6" x14ac:dyDescent="0.3">
      <c r="A123" s="340"/>
      <c r="B123" s="288" t="s">
        <v>173</v>
      </c>
      <c r="C123" s="288"/>
      <c r="D123" s="288"/>
      <c r="E123" s="288"/>
      <c r="F123" s="288"/>
      <c r="G123" s="288"/>
      <c r="H123" s="288"/>
      <c r="I123" s="288"/>
      <c r="J123" s="288"/>
      <c r="K123" s="288"/>
      <c r="L123" s="288"/>
      <c r="M123" s="288"/>
      <c r="N123" s="288"/>
      <c r="O123" s="288"/>
      <c r="P123" s="288"/>
      <c r="Q123" s="288"/>
      <c r="R123" s="288"/>
      <c r="S123" s="288"/>
      <c r="T123" s="337">
        <f>-T189</f>
        <v>0</v>
      </c>
      <c r="U123" s="337"/>
      <c r="V123" s="338"/>
      <c r="W123" s="291"/>
      <c r="X123" s="5"/>
    </row>
    <row r="124" spans="1:25" ht="15.6" x14ac:dyDescent="0.3">
      <c r="A124" s="340"/>
      <c r="B124" s="288" t="s">
        <v>174</v>
      </c>
      <c r="C124" s="288"/>
      <c r="D124" s="288"/>
      <c r="E124" s="288"/>
      <c r="F124" s="288"/>
      <c r="G124" s="288"/>
      <c r="H124" s="288"/>
      <c r="I124" s="288"/>
      <c r="J124" s="288"/>
      <c r="K124" s="288"/>
      <c r="L124" s="288"/>
      <c r="M124" s="288"/>
      <c r="N124" s="288"/>
      <c r="O124" s="288"/>
      <c r="P124" s="288"/>
      <c r="Q124" s="288"/>
      <c r="R124" s="288"/>
      <c r="S124" s="288"/>
      <c r="T124" s="337">
        <v>-24</v>
      </c>
      <c r="U124" s="337"/>
      <c r="V124" s="338"/>
      <c r="W124" s="291"/>
      <c r="X124" s="5"/>
    </row>
    <row r="125" spans="1:25" ht="15.6" x14ac:dyDescent="0.3">
      <c r="A125" s="340"/>
      <c r="B125" s="288" t="s">
        <v>38</v>
      </c>
      <c r="C125" s="288"/>
      <c r="D125" s="288"/>
      <c r="E125" s="288"/>
      <c r="F125" s="288"/>
      <c r="G125" s="288"/>
      <c r="H125" s="288"/>
      <c r="I125" s="288"/>
      <c r="J125" s="288"/>
      <c r="K125" s="288"/>
      <c r="L125" s="288"/>
      <c r="M125" s="288"/>
      <c r="N125" s="288"/>
      <c r="O125" s="288"/>
      <c r="P125" s="288"/>
      <c r="Q125" s="288"/>
      <c r="R125" s="288"/>
      <c r="S125" s="288"/>
      <c r="T125" s="337">
        <f>-S189</f>
        <v>-245</v>
      </c>
      <c r="U125" s="337"/>
      <c r="V125" s="338"/>
      <c r="W125" s="291"/>
      <c r="X125" s="5"/>
    </row>
    <row r="126" spans="1:25" ht="15.6" x14ac:dyDescent="0.3">
      <c r="A126" s="340"/>
      <c r="B126" s="288" t="s">
        <v>197</v>
      </c>
      <c r="C126" s="288"/>
      <c r="D126" s="288"/>
      <c r="E126" s="288"/>
      <c r="F126" s="288"/>
      <c r="G126" s="288"/>
      <c r="H126" s="288"/>
      <c r="I126" s="288"/>
      <c r="J126" s="288"/>
      <c r="K126" s="288"/>
      <c r="L126" s="288"/>
      <c r="M126" s="288"/>
      <c r="N126" s="288"/>
      <c r="O126" s="288"/>
      <c r="P126" s="288"/>
      <c r="Q126" s="288"/>
      <c r="R126" s="288"/>
      <c r="S126" s="288"/>
      <c r="T126" s="337">
        <v>-4170</v>
      </c>
      <c r="U126" s="337"/>
      <c r="V126" s="338"/>
      <c r="W126" s="291"/>
      <c r="X126" s="5"/>
    </row>
    <row r="127" spans="1:25" ht="15.6" x14ac:dyDescent="0.3">
      <c r="A127" s="340"/>
      <c r="B127" s="288" t="s">
        <v>195</v>
      </c>
      <c r="C127" s="288"/>
      <c r="D127" s="288"/>
      <c r="E127" s="288"/>
      <c r="F127" s="288"/>
      <c r="G127" s="288"/>
      <c r="H127" s="288"/>
      <c r="I127" s="288"/>
      <c r="J127" s="288"/>
      <c r="K127" s="288"/>
      <c r="L127" s="288"/>
      <c r="M127" s="288"/>
      <c r="N127" s="288"/>
      <c r="O127" s="288"/>
      <c r="P127" s="288"/>
      <c r="Q127" s="288"/>
      <c r="R127" s="288"/>
      <c r="S127" s="288"/>
      <c r="T127" s="337">
        <v>-672</v>
      </c>
      <c r="U127" s="337"/>
      <c r="V127" s="338"/>
      <c r="W127" s="291"/>
      <c r="X127" s="5"/>
    </row>
    <row r="128" spans="1:25" ht="15.6" x14ac:dyDescent="0.3">
      <c r="A128" s="340"/>
      <c r="B128" s="288" t="s">
        <v>194</v>
      </c>
      <c r="C128" s="288"/>
      <c r="D128" s="288"/>
      <c r="E128" s="288"/>
      <c r="F128" s="288"/>
      <c r="G128" s="288"/>
      <c r="H128" s="288"/>
      <c r="I128" s="288"/>
      <c r="J128" s="288"/>
      <c r="K128" s="288"/>
      <c r="L128" s="288"/>
      <c r="M128" s="288"/>
      <c r="N128" s="288"/>
      <c r="O128" s="288"/>
      <c r="P128" s="288"/>
      <c r="Q128" s="288"/>
      <c r="R128" s="288"/>
      <c r="S128" s="288"/>
      <c r="T128" s="337">
        <v>-905</v>
      </c>
      <c r="U128" s="337"/>
      <c r="V128" s="338"/>
      <c r="W128" s="291"/>
      <c r="X128" s="5"/>
    </row>
    <row r="129" spans="1:24" ht="15.6" x14ac:dyDescent="0.3">
      <c r="A129" s="340"/>
      <c r="B129" s="288" t="s">
        <v>226</v>
      </c>
      <c r="C129" s="288"/>
      <c r="D129" s="288"/>
      <c r="E129" s="288"/>
      <c r="F129" s="288"/>
      <c r="G129" s="288"/>
      <c r="H129" s="288"/>
      <c r="I129" s="288"/>
      <c r="J129" s="288"/>
      <c r="K129" s="288"/>
      <c r="L129" s="288"/>
      <c r="M129" s="288"/>
      <c r="N129" s="288"/>
      <c r="O129" s="288"/>
      <c r="P129" s="288"/>
      <c r="Q129" s="288"/>
      <c r="R129" s="288"/>
      <c r="S129" s="288"/>
      <c r="T129" s="337">
        <v>-1112</v>
      </c>
      <c r="U129" s="337"/>
      <c r="V129" s="338"/>
      <c r="W129" s="291"/>
      <c r="X129" s="5"/>
    </row>
    <row r="130" spans="1:24" ht="15.6" x14ac:dyDescent="0.3">
      <c r="A130" s="340"/>
      <c r="B130" s="288" t="s">
        <v>189</v>
      </c>
      <c r="C130" s="288"/>
      <c r="D130" s="288"/>
      <c r="E130" s="288"/>
      <c r="F130" s="288"/>
      <c r="G130" s="288"/>
      <c r="H130" s="288"/>
      <c r="I130" s="288"/>
      <c r="J130" s="288"/>
      <c r="K130" s="288"/>
      <c r="L130" s="288"/>
      <c r="M130" s="288"/>
      <c r="N130" s="288"/>
      <c r="O130" s="288"/>
      <c r="P130" s="288"/>
      <c r="Q130" s="288"/>
      <c r="R130" s="288"/>
      <c r="S130" s="288"/>
      <c r="T130" s="337">
        <v>0</v>
      </c>
      <c r="U130" s="337"/>
      <c r="V130" s="338"/>
      <c r="W130" s="291"/>
      <c r="X130" s="5"/>
    </row>
    <row r="131" spans="1:24" ht="15.6" x14ac:dyDescent="0.3">
      <c r="A131" s="340"/>
      <c r="B131" s="288" t="s">
        <v>188</v>
      </c>
      <c r="C131" s="288"/>
      <c r="D131" s="288"/>
      <c r="E131" s="288"/>
      <c r="F131" s="288"/>
      <c r="G131" s="288"/>
      <c r="H131" s="288"/>
      <c r="I131" s="288"/>
      <c r="J131" s="288"/>
      <c r="K131" s="288"/>
      <c r="L131" s="288"/>
      <c r="M131" s="288"/>
      <c r="N131" s="288"/>
      <c r="O131" s="288"/>
      <c r="P131" s="288"/>
      <c r="Q131" s="288"/>
      <c r="R131" s="288"/>
      <c r="S131" s="288"/>
      <c r="T131" s="337">
        <v>0</v>
      </c>
      <c r="U131" s="337"/>
      <c r="V131" s="338"/>
      <c r="W131" s="291"/>
      <c r="X131" s="5"/>
    </row>
    <row r="132" spans="1:24" ht="15.6" x14ac:dyDescent="0.3">
      <c r="A132" s="340"/>
      <c r="B132" s="288" t="s">
        <v>227</v>
      </c>
      <c r="C132" s="288"/>
      <c r="D132" s="288"/>
      <c r="E132" s="288"/>
      <c r="F132" s="288"/>
      <c r="G132" s="288"/>
      <c r="H132" s="288"/>
      <c r="I132" s="288"/>
      <c r="J132" s="288"/>
      <c r="K132" s="288"/>
      <c r="L132" s="288"/>
      <c r="M132" s="288"/>
      <c r="N132" s="288"/>
      <c r="O132" s="288"/>
      <c r="P132" s="288"/>
      <c r="Q132" s="288"/>
      <c r="R132" s="288"/>
      <c r="S132" s="288"/>
      <c r="T132" s="337">
        <v>0</v>
      </c>
      <c r="U132" s="337"/>
      <c r="V132" s="338"/>
      <c r="W132" s="291"/>
      <c r="X132" s="5"/>
    </row>
    <row r="133" spans="1:24" ht="15.6" x14ac:dyDescent="0.3">
      <c r="A133" s="340"/>
      <c r="B133" s="288" t="s">
        <v>187</v>
      </c>
      <c r="C133" s="288"/>
      <c r="D133" s="288"/>
      <c r="E133" s="288"/>
      <c r="F133" s="288"/>
      <c r="G133" s="288"/>
      <c r="H133" s="288"/>
      <c r="I133" s="288"/>
      <c r="J133" s="288"/>
      <c r="K133" s="288"/>
      <c r="L133" s="288"/>
      <c r="M133" s="288"/>
      <c r="N133" s="288"/>
      <c r="O133" s="288"/>
      <c r="P133" s="288"/>
      <c r="Q133" s="288"/>
      <c r="R133" s="288"/>
      <c r="S133" s="288"/>
      <c r="T133" s="337">
        <v>0</v>
      </c>
      <c r="U133" s="337"/>
      <c r="V133" s="338"/>
      <c r="W133" s="291"/>
      <c r="X133" s="5"/>
    </row>
    <row r="134" spans="1:24" ht="15.6" x14ac:dyDescent="0.3">
      <c r="A134" s="340"/>
      <c r="B134" s="288" t="s">
        <v>39</v>
      </c>
      <c r="C134" s="288"/>
      <c r="D134" s="288"/>
      <c r="E134" s="288"/>
      <c r="F134" s="288"/>
      <c r="G134" s="288"/>
      <c r="H134" s="288"/>
      <c r="I134" s="288"/>
      <c r="J134" s="288"/>
      <c r="K134" s="288"/>
      <c r="L134" s="288"/>
      <c r="M134" s="288"/>
      <c r="N134" s="288"/>
      <c r="O134" s="288"/>
      <c r="P134" s="288"/>
      <c r="Q134" s="288"/>
      <c r="R134" s="288"/>
      <c r="S134" s="288"/>
      <c r="T134" s="337">
        <f>SUM(T123:T133)</f>
        <v>-7128</v>
      </c>
      <c r="U134" s="337"/>
      <c r="V134" s="337">
        <f>SUM(V102:V131)</f>
        <v>-6917</v>
      </c>
      <c r="W134" s="291"/>
      <c r="X134" s="5"/>
    </row>
    <row r="135" spans="1:24" ht="15.6" x14ac:dyDescent="0.3">
      <c r="A135" s="340"/>
      <c r="B135" s="288" t="s">
        <v>40</v>
      </c>
      <c r="C135" s="288"/>
      <c r="D135" s="288"/>
      <c r="E135" s="288"/>
      <c r="F135" s="288"/>
      <c r="G135" s="288"/>
      <c r="H135" s="288"/>
      <c r="I135" s="288"/>
      <c r="J135" s="288"/>
      <c r="K135" s="288"/>
      <c r="L135" s="288"/>
      <c r="M135" s="288"/>
      <c r="N135" s="288"/>
      <c r="O135" s="288"/>
      <c r="P135" s="288"/>
      <c r="Q135" s="288"/>
      <c r="R135" s="288"/>
      <c r="S135" s="288"/>
      <c r="T135" s="337">
        <f>T101+T134+T115</f>
        <v>0</v>
      </c>
      <c r="U135" s="337"/>
      <c r="V135" s="337">
        <f>V101+V134</f>
        <v>0</v>
      </c>
      <c r="W135" s="291"/>
      <c r="X135" s="5"/>
    </row>
    <row r="136" spans="1:24" ht="15.6" x14ac:dyDescent="0.3">
      <c r="A136" s="243"/>
      <c r="B136" s="284"/>
      <c r="C136" s="284"/>
      <c r="D136" s="284"/>
      <c r="E136" s="284"/>
      <c r="F136" s="284"/>
      <c r="G136" s="284"/>
      <c r="H136" s="284"/>
      <c r="I136" s="284"/>
      <c r="J136" s="284"/>
      <c r="K136" s="284"/>
      <c r="L136" s="284"/>
      <c r="M136" s="284"/>
      <c r="N136" s="284"/>
      <c r="O136" s="284"/>
      <c r="P136" s="284"/>
      <c r="Q136" s="284"/>
      <c r="R136" s="284"/>
      <c r="S136" s="284"/>
      <c r="T136" s="339"/>
      <c r="U136" s="339"/>
      <c r="V136" s="339"/>
      <c r="W136" s="284"/>
      <c r="X136" s="5"/>
    </row>
    <row r="137" spans="1:24" ht="15.6" x14ac:dyDescent="0.3">
      <c r="A137" s="243"/>
      <c r="B137" s="224"/>
      <c r="C137" s="224"/>
      <c r="D137" s="224"/>
      <c r="E137" s="224"/>
      <c r="F137" s="224"/>
      <c r="G137" s="224"/>
      <c r="H137" s="224"/>
      <c r="I137" s="224"/>
      <c r="J137" s="224"/>
      <c r="K137" s="224"/>
      <c r="L137" s="224"/>
      <c r="M137" s="224"/>
      <c r="N137" s="224"/>
      <c r="O137" s="224"/>
      <c r="P137" s="224"/>
      <c r="Q137" s="224"/>
      <c r="R137" s="224"/>
      <c r="S137" s="224"/>
      <c r="T137" s="224"/>
      <c r="U137" s="224"/>
      <c r="V137" s="244"/>
      <c r="W137" s="224"/>
      <c r="X137" s="5"/>
    </row>
    <row r="138" spans="1:24" ht="18" thickBot="1" x14ac:dyDescent="0.35">
      <c r="A138" s="245"/>
      <c r="B138" s="237" t="str">
        <f>B64</f>
        <v>PM14 INVESTOR REPORT QUARTER ENDING AUGUST 2013</v>
      </c>
      <c r="C138" s="238"/>
      <c r="D138" s="238"/>
      <c r="E138" s="238"/>
      <c r="F138" s="238"/>
      <c r="G138" s="238"/>
      <c r="H138" s="238"/>
      <c r="I138" s="238"/>
      <c r="J138" s="238"/>
      <c r="K138" s="238"/>
      <c r="L138" s="238"/>
      <c r="M138" s="238"/>
      <c r="N138" s="238"/>
      <c r="O138" s="238"/>
      <c r="P138" s="238"/>
      <c r="Q138" s="238"/>
      <c r="R138" s="238"/>
      <c r="S138" s="238"/>
      <c r="T138" s="238"/>
      <c r="U138" s="238"/>
      <c r="V138" s="246"/>
      <c r="W138" s="240"/>
      <c r="X138" s="5"/>
    </row>
    <row r="139" spans="1:24" ht="15.6" x14ac:dyDescent="0.3">
      <c r="A139" s="273"/>
      <c r="B139" s="403" t="s">
        <v>41</v>
      </c>
      <c r="C139" s="274"/>
      <c r="D139" s="274"/>
      <c r="E139" s="274"/>
      <c r="F139" s="274"/>
      <c r="G139" s="274"/>
      <c r="H139" s="274"/>
      <c r="I139" s="274"/>
      <c r="J139" s="274"/>
      <c r="K139" s="274"/>
      <c r="L139" s="274"/>
      <c r="M139" s="274"/>
      <c r="N139" s="274"/>
      <c r="O139" s="274"/>
      <c r="P139" s="274"/>
      <c r="Q139" s="274"/>
      <c r="R139" s="274"/>
      <c r="S139" s="274"/>
      <c r="T139" s="274"/>
      <c r="U139" s="274"/>
      <c r="V139" s="275"/>
      <c r="W139" s="274"/>
      <c r="X139" s="5"/>
    </row>
    <row r="140" spans="1:24" ht="15.6" x14ac:dyDescent="0.3">
      <c r="A140" s="183"/>
      <c r="B140" s="195"/>
      <c r="C140" s="185"/>
      <c r="D140" s="185"/>
      <c r="E140" s="185"/>
      <c r="F140" s="185"/>
      <c r="G140" s="185"/>
      <c r="H140" s="185"/>
      <c r="I140" s="185"/>
      <c r="J140" s="185"/>
      <c r="K140" s="185"/>
      <c r="L140" s="185"/>
      <c r="M140" s="185"/>
      <c r="N140" s="185"/>
      <c r="O140" s="185"/>
      <c r="P140" s="185"/>
      <c r="Q140" s="185"/>
      <c r="R140" s="185"/>
      <c r="S140" s="185"/>
      <c r="T140" s="185"/>
      <c r="U140" s="185"/>
      <c r="V140" s="201"/>
      <c r="W140" s="185"/>
      <c r="X140" s="5"/>
    </row>
    <row r="141" spans="1:24" ht="15.6" x14ac:dyDescent="0.3">
      <c r="A141" s="183"/>
      <c r="B141" s="208" t="s">
        <v>42</v>
      </c>
      <c r="C141" s="185"/>
      <c r="D141" s="185"/>
      <c r="E141" s="185"/>
      <c r="F141" s="185"/>
      <c r="G141" s="185"/>
      <c r="H141" s="185"/>
      <c r="I141" s="185"/>
      <c r="J141" s="185"/>
      <c r="K141" s="185"/>
      <c r="L141" s="185"/>
      <c r="M141" s="185"/>
      <c r="N141" s="185"/>
      <c r="O141" s="185"/>
      <c r="P141" s="185"/>
      <c r="Q141" s="185"/>
      <c r="R141" s="185"/>
      <c r="S141" s="185"/>
      <c r="T141" s="185"/>
      <c r="U141" s="185"/>
      <c r="V141" s="201"/>
      <c r="W141" s="185"/>
      <c r="X141" s="5"/>
    </row>
    <row r="142" spans="1:24" ht="15.6" x14ac:dyDescent="0.3">
      <c r="A142" s="287"/>
      <c r="B142" s="288" t="s">
        <v>43</v>
      </c>
      <c r="C142" s="288"/>
      <c r="D142" s="288"/>
      <c r="E142" s="288"/>
      <c r="F142" s="288"/>
      <c r="G142" s="288"/>
      <c r="H142" s="288"/>
      <c r="I142" s="288"/>
      <c r="J142" s="288"/>
      <c r="K142" s="288"/>
      <c r="L142" s="288"/>
      <c r="M142" s="288"/>
      <c r="N142" s="288"/>
      <c r="O142" s="288"/>
      <c r="P142" s="288"/>
      <c r="Q142" s="288"/>
      <c r="R142" s="288"/>
      <c r="S142" s="288"/>
      <c r="T142" s="288"/>
      <c r="U142" s="288"/>
      <c r="V142" s="338">
        <f>+V34*0.019</f>
        <v>28505.224999999999</v>
      </c>
      <c r="W142" s="291"/>
      <c r="X142" s="5"/>
    </row>
    <row r="143" spans="1:24" ht="15.6" x14ac:dyDescent="0.3">
      <c r="A143" s="287"/>
      <c r="B143" s="288" t="s">
        <v>44</v>
      </c>
      <c r="C143" s="288"/>
      <c r="D143" s="288"/>
      <c r="E143" s="288"/>
      <c r="F143" s="288"/>
      <c r="G143" s="288"/>
      <c r="H143" s="288"/>
      <c r="I143" s="288"/>
      <c r="J143" s="288"/>
      <c r="K143" s="288"/>
      <c r="L143" s="288"/>
      <c r="M143" s="288"/>
      <c r="N143" s="288"/>
      <c r="O143" s="288"/>
      <c r="P143" s="288"/>
      <c r="Q143" s="288"/>
      <c r="R143" s="288"/>
      <c r="S143" s="288"/>
      <c r="T143" s="288"/>
      <c r="U143" s="288"/>
      <c r="V143" s="338">
        <v>28505</v>
      </c>
      <c r="W143" s="291"/>
      <c r="X143" s="5"/>
    </row>
    <row r="144" spans="1:24" ht="15.6" x14ac:dyDescent="0.3">
      <c r="A144" s="287"/>
      <c r="B144" s="288" t="s">
        <v>136</v>
      </c>
      <c r="C144" s="288"/>
      <c r="D144" s="288"/>
      <c r="E144" s="288"/>
      <c r="F144" s="288"/>
      <c r="G144" s="288"/>
      <c r="H144" s="288"/>
      <c r="I144" s="288"/>
      <c r="J144" s="288"/>
      <c r="K144" s="288"/>
      <c r="L144" s="288"/>
      <c r="M144" s="288"/>
      <c r="N144" s="288"/>
      <c r="O144" s="288"/>
      <c r="P144" s="288"/>
      <c r="Q144" s="288"/>
      <c r="R144" s="288"/>
      <c r="S144" s="288"/>
      <c r="T144" s="288"/>
      <c r="U144" s="288"/>
      <c r="V144" s="338"/>
      <c r="W144" s="291"/>
      <c r="X144" s="5"/>
    </row>
    <row r="145" spans="1:25" ht="15.6" x14ac:dyDescent="0.3">
      <c r="A145" s="287"/>
      <c r="B145" s="288" t="s">
        <v>123</v>
      </c>
      <c r="C145" s="288"/>
      <c r="D145" s="288"/>
      <c r="E145" s="288"/>
      <c r="F145" s="288"/>
      <c r="G145" s="288"/>
      <c r="H145" s="288"/>
      <c r="I145" s="288"/>
      <c r="J145" s="288"/>
      <c r="K145" s="288"/>
      <c r="L145" s="288"/>
      <c r="M145" s="288"/>
      <c r="N145" s="288"/>
      <c r="O145" s="288"/>
      <c r="P145" s="288"/>
      <c r="Q145" s="288"/>
      <c r="R145" s="288"/>
      <c r="S145" s="288"/>
      <c r="T145" s="288"/>
      <c r="U145" s="288"/>
      <c r="V145" s="338">
        <v>0</v>
      </c>
      <c r="W145" s="291"/>
      <c r="X145" s="5"/>
    </row>
    <row r="146" spans="1:25" ht="15.6" x14ac:dyDescent="0.3">
      <c r="A146" s="287"/>
      <c r="B146" s="288" t="s">
        <v>124</v>
      </c>
      <c r="C146" s="288"/>
      <c r="D146" s="288"/>
      <c r="E146" s="288"/>
      <c r="F146" s="288"/>
      <c r="G146" s="288"/>
      <c r="H146" s="288"/>
      <c r="I146" s="288"/>
      <c r="J146" s="288"/>
      <c r="K146" s="288"/>
      <c r="L146" s="288"/>
      <c r="M146" s="288"/>
      <c r="N146" s="288"/>
      <c r="O146" s="288"/>
      <c r="P146" s="288"/>
      <c r="Q146" s="288"/>
      <c r="R146" s="288"/>
      <c r="S146" s="288"/>
      <c r="T146" s="288"/>
      <c r="U146" s="288"/>
      <c r="V146" s="338">
        <v>0</v>
      </c>
      <c r="W146" s="291"/>
      <c r="X146" s="5"/>
    </row>
    <row r="147" spans="1:25" ht="15.6" x14ac:dyDescent="0.3">
      <c r="A147" s="287"/>
      <c r="B147" s="288" t="s">
        <v>175</v>
      </c>
      <c r="C147" s="288"/>
      <c r="D147" s="288"/>
      <c r="E147" s="288"/>
      <c r="F147" s="288"/>
      <c r="G147" s="288"/>
      <c r="H147" s="288"/>
      <c r="I147" s="288"/>
      <c r="J147" s="288"/>
      <c r="K147" s="288"/>
      <c r="L147" s="288"/>
      <c r="M147" s="288"/>
      <c r="N147" s="288"/>
      <c r="O147" s="288"/>
      <c r="P147" s="288"/>
      <c r="Q147" s="288"/>
      <c r="R147" s="288"/>
      <c r="S147" s="288"/>
      <c r="T147" s="288"/>
      <c r="U147" s="288"/>
      <c r="V147" s="338">
        <v>0</v>
      </c>
      <c r="W147" s="291"/>
      <c r="X147" s="5"/>
    </row>
    <row r="148" spans="1:25" ht="15.6" x14ac:dyDescent="0.3">
      <c r="A148" s="287"/>
      <c r="B148" s="288" t="s">
        <v>45</v>
      </c>
      <c r="C148" s="288"/>
      <c r="D148" s="288"/>
      <c r="E148" s="288"/>
      <c r="F148" s="288"/>
      <c r="G148" s="288"/>
      <c r="H148" s="288"/>
      <c r="I148" s="288"/>
      <c r="J148" s="288"/>
      <c r="K148" s="288"/>
      <c r="L148" s="288"/>
      <c r="M148" s="288"/>
      <c r="N148" s="288"/>
      <c r="O148" s="288"/>
      <c r="P148" s="288"/>
      <c r="Q148" s="288"/>
      <c r="R148" s="288"/>
      <c r="S148" s="288"/>
      <c r="T148" s="288"/>
      <c r="U148" s="288"/>
      <c r="V148" s="338">
        <v>0</v>
      </c>
      <c r="W148" s="291"/>
      <c r="X148" s="5"/>
    </row>
    <row r="149" spans="1:25" ht="15.6" x14ac:dyDescent="0.3">
      <c r="A149" s="287"/>
      <c r="B149" s="288" t="s">
        <v>129</v>
      </c>
      <c r="C149" s="288"/>
      <c r="D149" s="288"/>
      <c r="E149" s="288"/>
      <c r="F149" s="288"/>
      <c r="G149" s="288"/>
      <c r="H149" s="288"/>
      <c r="I149" s="288"/>
      <c r="J149" s="288"/>
      <c r="K149" s="288"/>
      <c r="L149" s="288"/>
      <c r="M149" s="288"/>
      <c r="N149" s="288"/>
      <c r="O149" s="288"/>
      <c r="P149" s="288"/>
      <c r="Q149" s="288"/>
      <c r="R149" s="288"/>
      <c r="S149" s="288"/>
      <c r="T149" s="288"/>
      <c r="U149" s="288"/>
      <c r="V149" s="338">
        <v>0</v>
      </c>
      <c r="W149" s="291"/>
      <c r="X149" s="5"/>
    </row>
    <row r="150" spans="1:25" ht="15.6" x14ac:dyDescent="0.3">
      <c r="A150" s="287"/>
      <c r="B150" s="288" t="s">
        <v>267</v>
      </c>
      <c r="C150" s="288"/>
      <c r="D150" s="288"/>
      <c r="E150" s="288"/>
      <c r="F150" s="288"/>
      <c r="G150" s="288"/>
      <c r="H150" s="288"/>
      <c r="I150" s="288"/>
      <c r="J150" s="288"/>
      <c r="K150" s="288"/>
      <c r="L150" s="288"/>
      <c r="M150" s="288"/>
      <c r="N150" s="288"/>
      <c r="O150" s="288"/>
      <c r="P150" s="288"/>
      <c r="Q150" s="288"/>
      <c r="R150" s="288"/>
      <c r="S150" s="288"/>
      <c r="T150" s="288"/>
      <c r="U150" s="288"/>
      <c r="V150" s="338">
        <v>0</v>
      </c>
      <c r="W150" s="291"/>
      <c r="X150" s="5"/>
      <c r="Y150" s="109"/>
    </row>
    <row r="151" spans="1:25" ht="15.6" x14ac:dyDescent="0.3">
      <c r="A151" s="287"/>
      <c r="B151" s="288" t="s">
        <v>46</v>
      </c>
      <c r="C151" s="288"/>
      <c r="D151" s="288"/>
      <c r="E151" s="288"/>
      <c r="F151" s="288"/>
      <c r="G151" s="288"/>
      <c r="H151" s="288"/>
      <c r="I151" s="288"/>
      <c r="J151" s="288"/>
      <c r="K151" s="288"/>
      <c r="L151" s="288"/>
      <c r="M151" s="288"/>
      <c r="N151" s="288"/>
      <c r="O151" s="288"/>
      <c r="P151" s="288"/>
      <c r="Q151" s="288"/>
      <c r="R151" s="288"/>
      <c r="S151" s="288"/>
      <c r="T151" s="288"/>
      <c r="U151" s="288"/>
      <c r="V151" s="338">
        <f>SUM(V143:V150)</f>
        <v>28505</v>
      </c>
      <c r="W151" s="291"/>
      <c r="X151" s="5"/>
    </row>
    <row r="152" spans="1:25" ht="15.6" x14ac:dyDescent="0.3">
      <c r="A152" s="287"/>
      <c r="B152" s="314"/>
      <c r="C152" s="314"/>
      <c r="D152" s="314"/>
      <c r="E152" s="314"/>
      <c r="F152" s="314"/>
      <c r="G152" s="314"/>
      <c r="H152" s="314"/>
      <c r="I152" s="314"/>
      <c r="J152" s="314"/>
      <c r="K152" s="314"/>
      <c r="L152" s="314"/>
      <c r="M152" s="314"/>
      <c r="N152" s="314"/>
      <c r="O152" s="314"/>
      <c r="P152" s="314"/>
      <c r="Q152" s="314"/>
      <c r="R152" s="314"/>
      <c r="S152" s="314"/>
      <c r="T152" s="314"/>
      <c r="U152" s="314"/>
      <c r="V152" s="345"/>
      <c r="W152" s="318"/>
      <c r="X152" s="5"/>
    </row>
    <row r="153" spans="1:25" ht="15.6" x14ac:dyDescent="0.3">
      <c r="A153" s="287"/>
      <c r="B153" s="343" t="s">
        <v>237</v>
      </c>
      <c r="C153" s="314"/>
      <c r="D153" s="314"/>
      <c r="E153" s="314"/>
      <c r="F153" s="314"/>
      <c r="G153" s="314"/>
      <c r="H153" s="314"/>
      <c r="I153" s="314"/>
      <c r="J153" s="314"/>
      <c r="K153" s="314"/>
      <c r="L153" s="314"/>
      <c r="M153" s="314"/>
      <c r="N153" s="314"/>
      <c r="O153" s="314"/>
      <c r="P153" s="314"/>
      <c r="Q153" s="314"/>
      <c r="R153" s="314"/>
      <c r="S153" s="314"/>
      <c r="T153" s="314"/>
      <c r="U153" s="314"/>
      <c r="V153" s="345"/>
      <c r="W153" s="318"/>
      <c r="X153" s="5"/>
    </row>
    <row r="154" spans="1:25" ht="15.6" x14ac:dyDescent="0.3">
      <c r="A154" s="287"/>
      <c r="B154" s="288" t="s">
        <v>155</v>
      </c>
      <c r="C154" s="288"/>
      <c r="D154" s="288"/>
      <c r="E154" s="288"/>
      <c r="F154" s="288"/>
      <c r="G154" s="288"/>
      <c r="H154" s="288"/>
      <c r="I154" s="288"/>
      <c r="J154" s="288"/>
      <c r="K154" s="288"/>
      <c r="L154" s="288"/>
      <c r="M154" s="288"/>
      <c r="N154" s="288"/>
      <c r="O154" s="288"/>
      <c r="P154" s="288"/>
      <c r="Q154" s="288"/>
      <c r="R154" s="288"/>
      <c r="S154" s="288"/>
      <c r="T154" s="288"/>
      <c r="U154" s="288"/>
      <c r="V154" s="338">
        <v>7500</v>
      </c>
      <c r="W154" s="291"/>
      <c r="X154" s="5"/>
    </row>
    <row r="155" spans="1:25" ht="15.6" x14ac:dyDescent="0.3">
      <c r="A155" s="287"/>
      <c r="B155" s="288" t="s">
        <v>172</v>
      </c>
      <c r="C155" s="288"/>
      <c r="D155" s="288"/>
      <c r="E155" s="288"/>
      <c r="F155" s="288"/>
      <c r="G155" s="288"/>
      <c r="H155" s="288"/>
      <c r="I155" s="288"/>
      <c r="J155" s="288"/>
      <c r="K155" s="288"/>
      <c r="L155" s="288"/>
      <c r="M155" s="288"/>
      <c r="N155" s="288"/>
      <c r="O155" s="288"/>
      <c r="P155" s="288"/>
      <c r="Q155" s="288"/>
      <c r="R155" s="288"/>
      <c r="S155" s="288"/>
      <c r="T155" s="288"/>
      <c r="U155" s="288"/>
      <c r="V155" s="338">
        <v>0</v>
      </c>
      <c r="W155" s="291"/>
      <c r="X155" s="5"/>
    </row>
    <row r="156" spans="1:25" ht="15.6" x14ac:dyDescent="0.3">
      <c r="A156" s="287"/>
      <c r="B156" s="288" t="s">
        <v>305</v>
      </c>
      <c r="C156" s="288"/>
      <c r="D156" s="288"/>
      <c r="E156" s="288"/>
      <c r="F156" s="288"/>
      <c r="G156" s="288"/>
      <c r="H156" s="288"/>
      <c r="I156" s="288"/>
      <c r="J156" s="288"/>
      <c r="K156" s="288"/>
      <c r="L156" s="288"/>
      <c r="M156" s="288"/>
      <c r="N156" s="288"/>
      <c r="O156" s="288"/>
      <c r="P156" s="288"/>
      <c r="Q156" s="288"/>
      <c r="R156" s="288"/>
      <c r="S156" s="288"/>
      <c r="T156" s="288"/>
      <c r="U156" s="288"/>
      <c r="V156" s="338">
        <v>2101</v>
      </c>
      <c r="W156" s="291"/>
      <c r="X156" s="5"/>
    </row>
    <row r="157" spans="1:25" ht="15.6" x14ac:dyDescent="0.3">
      <c r="A157" s="287"/>
      <c r="B157" s="288"/>
      <c r="C157" s="288"/>
      <c r="D157" s="288"/>
      <c r="E157" s="288"/>
      <c r="F157" s="288"/>
      <c r="G157" s="288"/>
      <c r="H157" s="288"/>
      <c r="I157" s="288"/>
      <c r="J157" s="288"/>
      <c r="K157" s="288"/>
      <c r="L157" s="288"/>
      <c r="M157" s="288"/>
      <c r="N157" s="288"/>
      <c r="O157" s="288"/>
      <c r="P157" s="288"/>
      <c r="Q157" s="288"/>
      <c r="R157" s="288"/>
      <c r="S157" s="288"/>
      <c r="T157" s="288"/>
      <c r="U157" s="288"/>
      <c r="V157" s="338"/>
      <c r="W157" s="291"/>
      <c r="X157" s="5"/>
    </row>
    <row r="158" spans="1:25" ht="15.6" x14ac:dyDescent="0.3">
      <c r="A158" s="183"/>
      <c r="B158" s="198"/>
      <c r="C158" s="198"/>
      <c r="D158" s="198"/>
      <c r="E158" s="198"/>
      <c r="F158" s="198"/>
      <c r="G158" s="198"/>
      <c r="H158" s="198"/>
      <c r="I158" s="198"/>
      <c r="J158" s="198"/>
      <c r="K158" s="198"/>
      <c r="L158" s="198"/>
      <c r="M158" s="198"/>
      <c r="N158" s="198"/>
      <c r="O158" s="198"/>
      <c r="P158" s="198"/>
      <c r="Q158" s="198"/>
      <c r="R158" s="198"/>
      <c r="S158" s="198"/>
      <c r="T158" s="198"/>
      <c r="U158" s="198"/>
      <c r="V158" s="347"/>
      <c r="W158" s="198"/>
      <c r="X158" s="5"/>
    </row>
    <row r="159" spans="1:25" ht="15.6" x14ac:dyDescent="0.3">
      <c r="A159" s="183"/>
      <c r="B159" s="208" t="s">
        <v>24</v>
      </c>
      <c r="C159" s="185"/>
      <c r="D159" s="185"/>
      <c r="E159" s="185"/>
      <c r="F159" s="185"/>
      <c r="G159" s="185"/>
      <c r="H159" s="185"/>
      <c r="I159" s="185"/>
      <c r="J159" s="185"/>
      <c r="K159" s="185"/>
      <c r="L159" s="185"/>
      <c r="M159" s="185"/>
      <c r="N159" s="185"/>
      <c r="O159" s="185"/>
      <c r="P159" s="185"/>
      <c r="Q159" s="185"/>
      <c r="R159" s="185"/>
      <c r="S159" s="185"/>
      <c r="T159" s="185"/>
      <c r="U159" s="185"/>
      <c r="V159" s="201"/>
      <c r="W159" s="185"/>
      <c r="X159" s="5"/>
    </row>
    <row r="160" spans="1:25" ht="15.6" x14ac:dyDescent="0.3">
      <c r="A160" s="287"/>
      <c r="B160" s="288" t="s">
        <v>47</v>
      </c>
      <c r="C160" s="288"/>
      <c r="D160" s="288"/>
      <c r="E160" s="288"/>
      <c r="F160" s="288"/>
      <c r="G160" s="288"/>
      <c r="H160" s="288"/>
      <c r="I160" s="288"/>
      <c r="J160" s="288"/>
      <c r="K160" s="288"/>
      <c r="L160" s="288"/>
      <c r="M160" s="288"/>
      <c r="N160" s="288"/>
      <c r="O160" s="288"/>
      <c r="P160" s="288"/>
      <c r="Q160" s="288"/>
      <c r="R160" s="288"/>
      <c r="S160" s="288"/>
      <c r="T160" s="288"/>
      <c r="U160" s="288"/>
      <c r="V160" s="348" t="s">
        <v>118</v>
      </c>
      <c r="W160" s="291"/>
      <c r="X160" s="5"/>
    </row>
    <row r="161" spans="1:256" ht="15.6" x14ac:dyDescent="0.3">
      <c r="A161" s="287"/>
      <c r="B161" s="288" t="s">
        <v>48</v>
      </c>
      <c r="C161" s="290"/>
      <c r="D161" s="290"/>
      <c r="E161" s="290"/>
      <c r="F161" s="290"/>
      <c r="G161" s="290"/>
      <c r="H161" s="290"/>
      <c r="I161" s="290"/>
      <c r="J161" s="290"/>
      <c r="K161" s="290"/>
      <c r="L161" s="290"/>
      <c r="M161" s="290"/>
      <c r="N161" s="290"/>
      <c r="O161" s="290"/>
      <c r="P161" s="290"/>
      <c r="Q161" s="290"/>
      <c r="R161" s="290"/>
      <c r="S161" s="290"/>
      <c r="T161" s="290"/>
      <c r="U161" s="290"/>
      <c r="V161" s="348" t="s">
        <v>118</v>
      </c>
      <c r="W161" s="291"/>
      <c r="X161" s="5"/>
    </row>
    <row r="162" spans="1:256" ht="15.6" x14ac:dyDescent="0.3">
      <c r="A162" s="287"/>
      <c r="B162" s="288" t="s">
        <v>49</v>
      </c>
      <c r="C162" s="288"/>
      <c r="D162" s="288"/>
      <c r="E162" s="288"/>
      <c r="F162" s="288"/>
      <c r="G162" s="288"/>
      <c r="H162" s="288"/>
      <c r="I162" s="288"/>
      <c r="J162" s="288"/>
      <c r="K162" s="288"/>
      <c r="L162" s="288"/>
      <c r="M162" s="288"/>
      <c r="N162" s="288"/>
      <c r="O162" s="288"/>
      <c r="P162" s="288"/>
      <c r="Q162" s="288"/>
      <c r="R162" s="288"/>
      <c r="S162" s="288"/>
      <c r="T162" s="288"/>
      <c r="U162" s="288"/>
      <c r="V162" s="348" t="s">
        <v>118</v>
      </c>
      <c r="W162" s="291"/>
      <c r="X162" s="5"/>
    </row>
    <row r="163" spans="1:256" ht="15.6" x14ac:dyDescent="0.3">
      <c r="A163" s="287"/>
      <c r="B163" s="288" t="s">
        <v>50</v>
      </c>
      <c r="C163" s="288"/>
      <c r="D163" s="288"/>
      <c r="E163" s="288"/>
      <c r="F163" s="288"/>
      <c r="G163" s="288"/>
      <c r="H163" s="288"/>
      <c r="I163" s="288"/>
      <c r="J163" s="288"/>
      <c r="K163" s="288"/>
      <c r="L163" s="288"/>
      <c r="M163" s="288"/>
      <c r="N163" s="288"/>
      <c r="O163" s="288"/>
      <c r="P163" s="288"/>
      <c r="Q163" s="288"/>
      <c r="R163" s="288"/>
      <c r="S163" s="288"/>
      <c r="T163" s="288"/>
      <c r="U163" s="288"/>
      <c r="V163" s="348" t="s">
        <v>118</v>
      </c>
      <c r="W163" s="291"/>
      <c r="X163" s="5"/>
    </row>
    <row r="164" spans="1:256" ht="15.6" x14ac:dyDescent="0.3">
      <c r="A164" s="183"/>
      <c r="B164" s="198"/>
      <c r="C164" s="198"/>
      <c r="D164" s="198"/>
      <c r="E164" s="198"/>
      <c r="F164" s="198"/>
      <c r="G164" s="198"/>
      <c r="H164" s="198"/>
      <c r="I164" s="198"/>
      <c r="J164" s="198"/>
      <c r="K164" s="198"/>
      <c r="L164" s="198"/>
      <c r="M164" s="198"/>
      <c r="N164" s="198"/>
      <c r="O164" s="198"/>
      <c r="P164" s="198"/>
      <c r="Q164" s="198"/>
      <c r="R164" s="198"/>
      <c r="S164" s="198"/>
      <c r="T164" s="198"/>
      <c r="U164" s="198"/>
      <c r="V164" s="347"/>
      <c r="W164" s="198"/>
      <c r="X164" s="5"/>
    </row>
    <row r="165" spans="1:256" ht="15.6" x14ac:dyDescent="0.3">
      <c r="A165" s="183"/>
      <c r="B165" s="208" t="s">
        <v>51</v>
      </c>
      <c r="C165" s="185"/>
      <c r="D165" s="185"/>
      <c r="E165" s="185"/>
      <c r="F165" s="185"/>
      <c r="G165" s="185"/>
      <c r="H165" s="185"/>
      <c r="I165" s="185"/>
      <c r="J165" s="185"/>
      <c r="K165" s="185"/>
      <c r="L165" s="185"/>
      <c r="M165" s="185"/>
      <c r="N165" s="185"/>
      <c r="O165" s="185"/>
      <c r="P165" s="185"/>
      <c r="Q165" s="185"/>
      <c r="R165" s="185"/>
      <c r="S165" s="185"/>
      <c r="T165" s="185"/>
      <c r="U165" s="185"/>
      <c r="V165" s="209"/>
      <c r="W165" s="185"/>
      <c r="X165" s="5"/>
    </row>
    <row r="166" spans="1:256" ht="15.6" x14ac:dyDescent="0.3">
      <c r="A166" s="287"/>
      <c r="B166" s="288" t="s">
        <v>52</v>
      </c>
      <c r="C166" s="288"/>
      <c r="D166" s="288"/>
      <c r="E166" s="288"/>
      <c r="F166" s="288"/>
      <c r="G166" s="288"/>
      <c r="H166" s="288"/>
      <c r="I166" s="288"/>
      <c r="J166" s="288"/>
      <c r="K166" s="288"/>
      <c r="L166" s="288"/>
      <c r="M166" s="288"/>
      <c r="N166" s="288"/>
      <c r="O166" s="288"/>
      <c r="P166" s="288"/>
      <c r="Q166" s="288"/>
      <c r="R166" s="288"/>
      <c r="S166" s="288"/>
      <c r="T166" s="288"/>
      <c r="U166" s="288"/>
      <c r="V166" s="338">
        <v>0</v>
      </c>
      <c r="W166" s="291"/>
      <c r="X166" s="5"/>
    </row>
    <row r="167" spans="1:256" ht="15.6" x14ac:dyDescent="0.3">
      <c r="A167" s="287"/>
      <c r="B167" s="288" t="s">
        <v>53</v>
      </c>
      <c r="C167" s="288"/>
      <c r="D167" s="288"/>
      <c r="E167" s="288"/>
      <c r="F167" s="288"/>
      <c r="G167" s="288"/>
      <c r="H167" s="288"/>
      <c r="I167" s="288"/>
      <c r="J167" s="288"/>
      <c r="K167" s="288"/>
      <c r="L167" s="288"/>
      <c r="M167" s="288"/>
      <c r="N167" s="288"/>
      <c r="O167" s="288"/>
      <c r="P167" s="288"/>
      <c r="Q167" s="288"/>
      <c r="R167" s="288"/>
      <c r="S167" s="288"/>
      <c r="T167" s="288"/>
      <c r="U167" s="288"/>
      <c r="V167" s="338">
        <v>268</v>
      </c>
      <c r="W167" s="291"/>
      <c r="X167" s="5"/>
    </row>
    <row r="168" spans="1:256" ht="15.6" x14ac:dyDescent="0.3">
      <c r="A168" s="287"/>
      <c r="B168" s="288" t="s">
        <v>54</v>
      </c>
      <c r="C168" s="288"/>
      <c r="D168" s="288"/>
      <c r="E168" s="288"/>
      <c r="F168" s="288"/>
      <c r="G168" s="288"/>
      <c r="H168" s="288"/>
      <c r="I168" s="288"/>
      <c r="J168" s="288"/>
      <c r="K168" s="288"/>
      <c r="L168" s="288"/>
      <c r="M168" s="288"/>
      <c r="N168" s="288"/>
      <c r="O168" s="288"/>
      <c r="P168" s="288"/>
      <c r="Q168" s="288"/>
      <c r="R168" s="288"/>
      <c r="S168" s="288"/>
      <c r="T168" s="288"/>
      <c r="U168" s="288"/>
      <c r="V168" s="338">
        <f>V167+V166</f>
        <v>268</v>
      </c>
      <c r="W168" s="291"/>
      <c r="X168" s="5"/>
    </row>
    <row r="169" spans="1:256" ht="15.6" x14ac:dyDescent="0.3">
      <c r="A169" s="287"/>
      <c r="B169" s="288" t="s">
        <v>315</v>
      </c>
      <c r="C169" s="288"/>
      <c r="D169" s="288"/>
      <c r="E169" s="288"/>
      <c r="F169" s="288"/>
      <c r="G169" s="288"/>
      <c r="H169" s="288"/>
      <c r="I169" s="288"/>
      <c r="J169" s="288"/>
      <c r="K169" s="288"/>
      <c r="L169" s="288"/>
      <c r="M169" s="288"/>
      <c r="N169" s="288"/>
      <c r="O169" s="288"/>
      <c r="P169" s="288"/>
      <c r="Q169" s="288"/>
      <c r="R169" s="288"/>
      <c r="S169" s="288"/>
      <c r="T169" s="288"/>
      <c r="U169" s="288"/>
      <c r="V169" s="338">
        <f>V115</f>
        <v>-268</v>
      </c>
      <c r="W169" s="291"/>
      <c r="X169" s="5"/>
    </row>
    <row r="170" spans="1:256" ht="15.6" x14ac:dyDescent="0.3">
      <c r="A170" s="287"/>
      <c r="B170" s="288" t="s">
        <v>55</v>
      </c>
      <c r="C170" s="288"/>
      <c r="D170" s="288"/>
      <c r="E170" s="288"/>
      <c r="F170" s="288"/>
      <c r="G170" s="288"/>
      <c r="H170" s="288"/>
      <c r="I170" s="288"/>
      <c r="J170" s="288"/>
      <c r="K170" s="288"/>
      <c r="L170" s="288"/>
      <c r="M170" s="288"/>
      <c r="N170" s="288"/>
      <c r="O170" s="288"/>
      <c r="P170" s="288"/>
      <c r="Q170" s="288"/>
      <c r="R170" s="288"/>
      <c r="S170" s="288"/>
      <c r="T170" s="288"/>
      <c r="U170" s="288"/>
      <c r="V170" s="338">
        <f>V168+V169</f>
        <v>0</v>
      </c>
      <c r="W170" s="291"/>
      <c r="X170" s="5"/>
    </row>
    <row r="171" spans="1:256" ht="15.6" x14ac:dyDescent="0.3">
      <c r="A171" s="287"/>
      <c r="B171" s="288" t="s">
        <v>283</v>
      </c>
      <c r="C171" s="288"/>
      <c r="D171" s="288"/>
      <c r="E171" s="288"/>
      <c r="F171" s="288"/>
      <c r="G171" s="288"/>
      <c r="H171" s="288"/>
      <c r="I171" s="288"/>
      <c r="J171" s="288"/>
      <c r="K171" s="288"/>
      <c r="L171" s="288"/>
      <c r="M171" s="288"/>
      <c r="N171" s="288"/>
      <c r="O171" s="288"/>
      <c r="P171" s="288"/>
      <c r="Q171" s="288"/>
      <c r="R171" s="288"/>
      <c r="S171" s="288"/>
      <c r="T171" s="288"/>
      <c r="U171" s="288"/>
      <c r="V171" s="338">
        <f>-V100</f>
        <v>86</v>
      </c>
      <c r="W171" s="291"/>
      <c r="X171" s="5"/>
    </row>
    <row r="172" spans="1:256" ht="16.2" thickBot="1" x14ac:dyDescent="0.35">
      <c r="A172" s="183"/>
      <c r="B172" s="284"/>
      <c r="C172" s="284"/>
      <c r="D172" s="284"/>
      <c r="E172" s="284"/>
      <c r="F172" s="284"/>
      <c r="G172" s="284"/>
      <c r="H172" s="284"/>
      <c r="I172" s="284"/>
      <c r="J172" s="284"/>
      <c r="K172" s="284"/>
      <c r="L172" s="284"/>
      <c r="M172" s="284"/>
      <c r="N172" s="284"/>
      <c r="O172" s="284"/>
      <c r="P172" s="284"/>
      <c r="Q172" s="284"/>
      <c r="R172" s="284"/>
      <c r="S172" s="284"/>
      <c r="T172" s="284"/>
      <c r="U172" s="284"/>
      <c r="V172" s="349"/>
      <c r="W172" s="284"/>
      <c r="X172" s="5"/>
    </row>
    <row r="173" spans="1:256" ht="15.6" x14ac:dyDescent="0.3">
      <c r="A173" s="180"/>
      <c r="B173" s="247"/>
      <c r="C173" s="247"/>
      <c r="D173" s="247"/>
      <c r="E173" s="247"/>
      <c r="F173" s="247"/>
      <c r="G173" s="247"/>
      <c r="H173" s="247"/>
      <c r="I173" s="247"/>
      <c r="J173" s="247"/>
      <c r="K173" s="247"/>
      <c r="L173" s="247"/>
      <c r="M173" s="247"/>
      <c r="N173" s="247"/>
      <c r="O173" s="247"/>
      <c r="P173" s="247"/>
      <c r="Q173" s="247"/>
      <c r="R173" s="247"/>
      <c r="S173" s="247"/>
      <c r="T173" s="247"/>
      <c r="U173" s="247"/>
      <c r="V173" s="248"/>
      <c r="W173" s="247"/>
      <c r="X173" s="5"/>
    </row>
    <row r="174" spans="1:256" s="161" customFormat="1" ht="15.6" x14ac:dyDescent="0.3">
      <c r="A174" s="183"/>
      <c r="B174" s="208" t="s">
        <v>269</v>
      </c>
      <c r="C174" s="198"/>
      <c r="D174" s="198"/>
      <c r="E174" s="198"/>
      <c r="F174" s="198"/>
      <c r="G174" s="198"/>
      <c r="H174" s="198"/>
      <c r="I174" s="198"/>
      <c r="J174" s="198"/>
      <c r="K174" s="198"/>
      <c r="L174" s="198"/>
      <c r="M174" s="198"/>
      <c r="N174" s="198"/>
      <c r="O174" s="198"/>
      <c r="P174" s="198"/>
      <c r="Q174" s="198"/>
      <c r="R174" s="198"/>
      <c r="S174" s="198"/>
      <c r="T174" s="198"/>
      <c r="U174" s="198"/>
      <c r="V174" s="210"/>
      <c r="W174" s="198"/>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5.6" x14ac:dyDescent="0.3">
      <c r="A175" s="287"/>
      <c r="B175" s="288" t="s">
        <v>270</v>
      </c>
      <c r="C175" s="288"/>
      <c r="D175" s="288"/>
      <c r="E175" s="288"/>
      <c r="F175" s="288"/>
      <c r="G175" s="288"/>
      <c r="H175" s="288"/>
      <c r="I175" s="288"/>
      <c r="J175" s="288"/>
      <c r="K175" s="288"/>
      <c r="L175" s="288"/>
      <c r="M175" s="288"/>
      <c r="N175" s="288"/>
      <c r="O175" s="288"/>
      <c r="P175" s="288"/>
      <c r="Q175" s="288"/>
      <c r="R175" s="288"/>
      <c r="S175" s="288"/>
      <c r="T175" s="288"/>
      <c r="U175" s="288"/>
      <c r="V175" s="338">
        <f>+'Aug 08'!V177</f>
        <v>0</v>
      </c>
      <c r="W175" s="291"/>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3" customFormat="1" ht="15.6" x14ac:dyDescent="0.3">
      <c r="A176" s="287"/>
      <c r="B176" s="288" t="s">
        <v>273</v>
      </c>
      <c r="C176" s="288"/>
      <c r="D176" s="288"/>
      <c r="E176" s="288"/>
      <c r="F176" s="288"/>
      <c r="G176" s="288"/>
      <c r="H176" s="288"/>
      <c r="I176" s="288"/>
      <c r="J176" s="288"/>
      <c r="K176" s="288"/>
      <c r="L176" s="288"/>
      <c r="M176" s="288"/>
      <c r="N176" s="288"/>
      <c r="O176" s="288"/>
      <c r="P176" s="288"/>
      <c r="Q176" s="288"/>
      <c r="R176" s="288"/>
      <c r="S176" s="288"/>
      <c r="T176" s="288"/>
      <c r="U176" s="288"/>
      <c r="V176" s="338">
        <f>+V94</f>
        <v>0</v>
      </c>
      <c r="W176" s="291"/>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s="163" customFormat="1" ht="15.6" x14ac:dyDescent="0.3">
      <c r="A177" s="287"/>
      <c r="B177" s="288" t="s">
        <v>271</v>
      </c>
      <c r="C177" s="288"/>
      <c r="D177" s="288"/>
      <c r="E177" s="288"/>
      <c r="F177" s="288"/>
      <c r="G177" s="288"/>
      <c r="H177" s="288"/>
      <c r="I177" s="288"/>
      <c r="J177" s="288"/>
      <c r="K177" s="288"/>
      <c r="L177" s="288"/>
      <c r="M177" s="288"/>
      <c r="N177" s="288"/>
      <c r="O177" s="288"/>
      <c r="P177" s="288"/>
      <c r="Q177" s="288"/>
      <c r="R177" s="288"/>
      <c r="S177" s="288"/>
      <c r="T177" s="288"/>
      <c r="U177" s="288"/>
      <c r="V177" s="338">
        <f>+V175-V176</f>
        <v>0</v>
      </c>
      <c r="W177" s="291"/>
      <c r="X177" s="5"/>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s="166" customFormat="1" ht="16.2" thickBot="1" x14ac:dyDescent="0.35">
      <c r="A178" s="199"/>
      <c r="B178" s="198"/>
      <c r="C178" s="198"/>
      <c r="D178" s="198"/>
      <c r="E178" s="198"/>
      <c r="F178" s="198"/>
      <c r="G178" s="198"/>
      <c r="H178" s="198"/>
      <c r="I178" s="198"/>
      <c r="J178" s="198"/>
      <c r="K178" s="198"/>
      <c r="L178" s="198"/>
      <c r="M178" s="198"/>
      <c r="N178" s="198"/>
      <c r="O178" s="198"/>
      <c r="P178" s="198"/>
      <c r="Q178" s="198"/>
      <c r="R178" s="198"/>
      <c r="S178" s="198"/>
      <c r="T178" s="198"/>
      <c r="U178" s="198"/>
      <c r="V178" s="347"/>
      <c r="W178" s="198"/>
      <c r="X178" s="5"/>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s="167" customFormat="1" ht="15.6" x14ac:dyDescent="0.3">
      <c r="A179" s="180"/>
      <c r="B179" s="181"/>
      <c r="C179" s="181"/>
      <c r="D179" s="181"/>
      <c r="E179" s="181"/>
      <c r="F179" s="181"/>
      <c r="G179" s="181"/>
      <c r="H179" s="181"/>
      <c r="I179" s="181"/>
      <c r="J179" s="181"/>
      <c r="K179" s="181"/>
      <c r="L179" s="181"/>
      <c r="M179" s="181"/>
      <c r="N179" s="181"/>
      <c r="O179" s="181"/>
      <c r="P179" s="181"/>
      <c r="Q179" s="181"/>
      <c r="R179" s="181"/>
      <c r="S179" s="181"/>
      <c r="T179" s="181"/>
      <c r="U179" s="181"/>
      <c r="V179" s="200"/>
      <c r="W179" s="181"/>
      <c r="X179" s="5"/>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ht="15.6" x14ac:dyDescent="0.3">
      <c r="A180" s="183"/>
      <c r="B180" s="208" t="s">
        <v>56</v>
      </c>
      <c r="C180" s="185"/>
      <c r="D180" s="185"/>
      <c r="E180" s="185"/>
      <c r="F180" s="185"/>
      <c r="G180" s="185"/>
      <c r="H180" s="185"/>
      <c r="I180" s="185"/>
      <c r="J180" s="185"/>
      <c r="K180" s="185"/>
      <c r="L180" s="185"/>
      <c r="M180" s="185"/>
      <c r="N180" s="185"/>
      <c r="O180" s="185"/>
      <c r="P180" s="185"/>
      <c r="Q180" s="185"/>
      <c r="R180" s="185"/>
      <c r="S180" s="185"/>
      <c r="T180" s="185"/>
      <c r="U180" s="185"/>
      <c r="V180" s="201"/>
      <c r="W180" s="185"/>
      <c r="X180" s="5"/>
    </row>
    <row r="181" spans="1:256" ht="15.6" x14ac:dyDescent="0.3">
      <c r="A181" s="183"/>
      <c r="B181" s="195"/>
      <c r="C181" s="185"/>
      <c r="D181" s="185"/>
      <c r="E181" s="185"/>
      <c r="F181" s="185"/>
      <c r="G181" s="185"/>
      <c r="H181" s="185"/>
      <c r="I181" s="185"/>
      <c r="J181" s="185"/>
      <c r="K181" s="185"/>
      <c r="L181" s="185"/>
      <c r="M181" s="185"/>
      <c r="N181" s="185"/>
      <c r="O181" s="185"/>
      <c r="P181" s="185"/>
      <c r="Q181" s="185"/>
      <c r="R181" s="185"/>
      <c r="S181" s="185"/>
      <c r="T181" s="185"/>
      <c r="U181" s="185"/>
      <c r="V181" s="201"/>
      <c r="W181" s="185"/>
      <c r="X181" s="5"/>
    </row>
    <row r="182" spans="1:256" ht="15.6" x14ac:dyDescent="0.3">
      <c r="A182" s="287"/>
      <c r="B182" s="288" t="s">
        <v>57</v>
      </c>
      <c r="C182" s="288"/>
      <c r="D182" s="288"/>
      <c r="E182" s="288"/>
      <c r="F182" s="288"/>
      <c r="G182" s="288"/>
      <c r="H182" s="288"/>
      <c r="I182" s="288"/>
      <c r="J182" s="288"/>
      <c r="K182" s="288"/>
      <c r="L182" s="288"/>
      <c r="M182" s="288"/>
      <c r="N182" s="288"/>
      <c r="O182" s="288"/>
      <c r="P182" s="288"/>
      <c r="Q182" s="288"/>
      <c r="R182" s="288"/>
      <c r="S182" s="288"/>
      <c r="T182" s="288"/>
      <c r="U182" s="288"/>
      <c r="V182" s="338">
        <f>V71</f>
        <v>1087933</v>
      </c>
      <c r="W182" s="291"/>
      <c r="X182" s="5"/>
    </row>
    <row r="183" spans="1:256" ht="15.6" x14ac:dyDescent="0.3">
      <c r="A183" s="287"/>
      <c r="B183" s="288" t="s">
        <v>58</v>
      </c>
      <c r="C183" s="288"/>
      <c r="D183" s="288"/>
      <c r="E183" s="288"/>
      <c r="F183" s="288"/>
      <c r="G183" s="288"/>
      <c r="H183" s="288"/>
      <c r="I183" s="288"/>
      <c r="J183" s="288"/>
      <c r="K183" s="288"/>
      <c r="L183" s="288"/>
      <c r="M183" s="288"/>
      <c r="N183" s="288"/>
      <c r="O183" s="288"/>
      <c r="P183" s="288"/>
      <c r="Q183" s="288"/>
      <c r="R183" s="288"/>
      <c r="S183" s="288"/>
      <c r="T183" s="288"/>
      <c r="U183" s="288"/>
      <c r="V183" s="338">
        <f>V84</f>
        <v>1087933</v>
      </c>
      <c r="W183" s="291"/>
      <c r="X183" s="5"/>
    </row>
    <row r="184" spans="1:256" ht="16.2" thickBot="1" x14ac:dyDescent="0.35">
      <c r="A184" s="183"/>
      <c r="B184" s="198"/>
      <c r="C184" s="198"/>
      <c r="D184" s="198"/>
      <c r="E184" s="198"/>
      <c r="F184" s="198"/>
      <c r="G184" s="198"/>
      <c r="H184" s="198"/>
      <c r="I184" s="198"/>
      <c r="J184" s="198"/>
      <c r="K184" s="198"/>
      <c r="L184" s="198"/>
      <c r="M184" s="198"/>
      <c r="N184" s="198"/>
      <c r="O184" s="198"/>
      <c r="P184" s="198"/>
      <c r="Q184" s="198"/>
      <c r="R184" s="198"/>
      <c r="S184" s="198"/>
      <c r="T184" s="198"/>
      <c r="U184" s="198"/>
      <c r="V184" s="347"/>
      <c r="W184" s="198"/>
      <c r="X184" s="5"/>
    </row>
    <row r="185" spans="1:256" ht="15.6" x14ac:dyDescent="0.3">
      <c r="A185" s="180"/>
      <c r="B185" s="181"/>
      <c r="C185" s="181"/>
      <c r="D185" s="181"/>
      <c r="E185" s="181"/>
      <c r="F185" s="181"/>
      <c r="G185" s="181"/>
      <c r="H185" s="181"/>
      <c r="I185" s="181"/>
      <c r="J185" s="181"/>
      <c r="K185" s="181"/>
      <c r="L185" s="181"/>
      <c r="M185" s="181"/>
      <c r="N185" s="181"/>
      <c r="O185" s="181"/>
      <c r="P185" s="181"/>
      <c r="Q185" s="181"/>
      <c r="R185" s="181"/>
      <c r="S185" s="181"/>
      <c r="T185" s="181"/>
      <c r="U185" s="181"/>
      <c r="V185" s="200"/>
      <c r="W185" s="181"/>
      <c r="X185" s="5"/>
    </row>
    <row r="186" spans="1:256" ht="15.6" x14ac:dyDescent="0.3">
      <c r="A186" s="183"/>
      <c r="B186" s="208" t="s">
        <v>59</v>
      </c>
      <c r="C186" s="205"/>
      <c r="D186" s="205"/>
      <c r="E186" s="205"/>
      <c r="F186" s="205"/>
      <c r="G186" s="205"/>
      <c r="H186" s="211"/>
      <c r="I186" s="211"/>
      <c r="J186" s="211"/>
      <c r="K186" s="211"/>
      <c r="L186" s="211"/>
      <c r="M186" s="211"/>
      <c r="N186" s="211"/>
      <c r="O186" s="211"/>
      <c r="P186" s="211"/>
      <c r="Q186" s="211"/>
      <c r="R186" s="211"/>
      <c r="S186" s="211" t="s">
        <v>101</v>
      </c>
      <c r="T186" s="211" t="s">
        <v>176</v>
      </c>
      <c r="U186" s="187"/>
      <c r="V186" s="212" t="s">
        <v>114</v>
      </c>
      <c r="W186" s="213"/>
      <c r="X186" s="5"/>
    </row>
    <row r="187" spans="1:256" ht="15.6" x14ac:dyDescent="0.3">
      <c r="A187" s="287"/>
      <c r="B187" s="288" t="s">
        <v>60</v>
      </c>
      <c r="C187" s="288"/>
      <c r="D187" s="288"/>
      <c r="E187" s="288"/>
      <c r="F187" s="288"/>
      <c r="G187" s="288"/>
      <c r="H187" s="288"/>
      <c r="I187" s="288"/>
      <c r="J187" s="288"/>
      <c r="K187" s="288"/>
      <c r="L187" s="288"/>
      <c r="M187" s="288"/>
      <c r="N187" s="288"/>
      <c r="O187" s="288"/>
      <c r="P187" s="288"/>
      <c r="Q187" s="288"/>
      <c r="R187" s="288"/>
      <c r="S187" s="338">
        <f>+V34*0.16</f>
        <v>240044</v>
      </c>
      <c r="T187" s="325"/>
      <c r="U187" s="288"/>
      <c r="V187" s="338"/>
      <c r="W187" s="291"/>
      <c r="X187" s="5"/>
    </row>
    <row r="188" spans="1:256" ht="15.6" x14ac:dyDescent="0.3">
      <c r="A188" s="287"/>
      <c r="B188" s="288" t="s">
        <v>61</v>
      </c>
      <c r="C188" s="288"/>
      <c r="D188" s="288"/>
      <c r="E188" s="288"/>
      <c r="F188" s="288"/>
      <c r="G188" s="288"/>
      <c r="H188" s="288"/>
      <c r="I188" s="288"/>
      <c r="J188" s="288"/>
      <c r="K188" s="288"/>
      <c r="L188" s="288"/>
      <c r="M188" s="288"/>
      <c r="N188" s="288"/>
      <c r="O188" s="288"/>
      <c r="P188" s="288"/>
      <c r="Q188" s="288"/>
      <c r="R188" s="288"/>
      <c r="S188" s="338">
        <f>+'May 13'!S190</f>
        <v>24297</v>
      </c>
      <c r="T188" s="338">
        <f>+'May 13'!T190</f>
        <v>6013</v>
      </c>
      <c r="U188" s="288"/>
      <c r="V188" s="338">
        <f>S188+T188</f>
        <v>30310</v>
      </c>
      <c r="W188" s="291"/>
      <c r="X188" s="5"/>
    </row>
    <row r="189" spans="1:256" ht="15.6" x14ac:dyDescent="0.3">
      <c r="A189" s="287"/>
      <c r="B189" s="288" t="s">
        <v>62</v>
      </c>
      <c r="C189" s="288"/>
      <c r="D189" s="288"/>
      <c r="E189" s="288"/>
      <c r="F189" s="288"/>
      <c r="G189" s="288"/>
      <c r="H189" s="288"/>
      <c r="I189" s="288"/>
      <c r="J189" s="288"/>
      <c r="K189" s="288"/>
      <c r="L189" s="288"/>
      <c r="M189" s="288"/>
      <c r="N189" s="288"/>
      <c r="O189" s="288"/>
      <c r="P189" s="288"/>
      <c r="Q189" s="288"/>
      <c r="R189" s="288"/>
      <c r="S189" s="337">
        <f>182+63</f>
        <v>245</v>
      </c>
      <c r="T189" s="337">
        <v>0</v>
      </c>
      <c r="U189" s="288"/>
      <c r="V189" s="338">
        <f>S189+T189</f>
        <v>245</v>
      </c>
      <c r="W189" s="291"/>
      <c r="X189" s="5"/>
    </row>
    <row r="190" spans="1:256" ht="15.6" x14ac:dyDescent="0.3">
      <c r="A190" s="287"/>
      <c r="B190" s="288" t="s">
        <v>63</v>
      </c>
      <c r="C190" s="288"/>
      <c r="D190" s="288"/>
      <c r="E190" s="288"/>
      <c r="F190" s="288"/>
      <c r="G190" s="288"/>
      <c r="H190" s="288"/>
      <c r="I190" s="288"/>
      <c r="J190" s="288"/>
      <c r="K190" s="288"/>
      <c r="L190" s="288"/>
      <c r="M190" s="288"/>
      <c r="N190" s="288"/>
      <c r="O190" s="288"/>
      <c r="P190" s="288"/>
      <c r="Q190" s="288"/>
      <c r="R190" s="288"/>
      <c r="S190" s="338">
        <f>S188+S189</f>
        <v>24542</v>
      </c>
      <c r="T190" s="338">
        <f>T189+T188</f>
        <v>6013</v>
      </c>
      <c r="U190" s="288"/>
      <c r="V190" s="338">
        <f>S190+T190</f>
        <v>30555</v>
      </c>
      <c r="W190" s="291"/>
      <c r="X190" s="5"/>
    </row>
    <row r="191" spans="1:256" ht="15.6" x14ac:dyDescent="0.3">
      <c r="A191" s="287"/>
      <c r="B191" s="288" t="s">
        <v>64</v>
      </c>
      <c r="C191" s="288"/>
      <c r="D191" s="288"/>
      <c r="E191" s="288"/>
      <c r="F191" s="288"/>
      <c r="G191" s="288"/>
      <c r="H191" s="288"/>
      <c r="I191" s="288"/>
      <c r="J191" s="288"/>
      <c r="K191" s="288"/>
      <c r="L191" s="288"/>
      <c r="M191" s="288"/>
      <c r="N191" s="288"/>
      <c r="O191" s="288"/>
      <c r="P191" s="288"/>
      <c r="Q191" s="288"/>
      <c r="R191" s="288"/>
      <c r="S191" s="338">
        <f>S187-S190-T190</f>
        <v>209489</v>
      </c>
      <c r="T191" s="325"/>
      <c r="U191" s="288"/>
      <c r="V191" s="338"/>
      <c r="W191" s="291"/>
      <c r="X191" s="5"/>
    </row>
    <row r="192" spans="1:256" ht="16.2" thickBot="1" x14ac:dyDescent="0.35">
      <c r="A192" s="183"/>
      <c r="B192" s="198"/>
      <c r="C192" s="198"/>
      <c r="D192" s="198"/>
      <c r="E192" s="198"/>
      <c r="F192" s="198"/>
      <c r="G192" s="198"/>
      <c r="H192" s="198"/>
      <c r="I192" s="198"/>
      <c r="J192" s="198"/>
      <c r="K192" s="198"/>
      <c r="L192" s="198"/>
      <c r="M192" s="198"/>
      <c r="N192" s="198"/>
      <c r="O192" s="198"/>
      <c r="P192" s="198"/>
      <c r="Q192" s="198"/>
      <c r="R192" s="198"/>
      <c r="S192" s="198"/>
      <c r="T192" s="198"/>
      <c r="U192" s="198"/>
      <c r="V192" s="347"/>
      <c r="W192" s="198"/>
      <c r="X192" s="5"/>
    </row>
    <row r="193" spans="1:24" ht="15.6" x14ac:dyDescent="0.3">
      <c r="A193" s="180"/>
      <c r="B193" s="181"/>
      <c r="C193" s="181"/>
      <c r="D193" s="181"/>
      <c r="E193" s="181"/>
      <c r="F193" s="181"/>
      <c r="G193" s="181"/>
      <c r="H193" s="181"/>
      <c r="I193" s="181"/>
      <c r="J193" s="181"/>
      <c r="K193" s="181"/>
      <c r="L193" s="181"/>
      <c r="M193" s="181"/>
      <c r="N193" s="181"/>
      <c r="O193" s="181"/>
      <c r="P193" s="181"/>
      <c r="Q193" s="181"/>
      <c r="R193" s="181"/>
      <c r="S193" s="181"/>
      <c r="T193" s="181"/>
      <c r="U193" s="181"/>
      <c r="V193" s="200"/>
      <c r="W193" s="181"/>
      <c r="X193" s="5"/>
    </row>
    <row r="194" spans="1:24" ht="15.6" x14ac:dyDescent="0.3">
      <c r="A194" s="183"/>
      <c r="B194" s="208" t="s">
        <v>65</v>
      </c>
      <c r="C194" s="185"/>
      <c r="D194" s="185"/>
      <c r="E194" s="185"/>
      <c r="F194" s="185"/>
      <c r="G194" s="185"/>
      <c r="H194" s="185"/>
      <c r="I194" s="185"/>
      <c r="J194" s="185"/>
      <c r="K194" s="185"/>
      <c r="L194" s="185"/>
      <c r="M194" s="185"/>
      <c r="N194" s="185"/>
      <c r="O194" s="185"/>
      <c r="P194" s="185"/>
      <c r="Q194" s="185"/>
      <c r="R194" s="185"/>
      <c r="S194" s="185"/>
      <c r="T194" s="185"/>
      <c r="U194" s="185"/>
      <c r="V194" s="214"/>
      <c r="W194" s="185"/>
      <c r="X194" s="5"/>
    </row>
    <row r="195" spans="1:24" ht="15.6" x14ac:dyDescent="0.3">
      <c r="A195" s="287"/>
      <c r="B195" s="288" t="s">
        <v>66</v>
      </c>
      <c r="C195" s="288"/>
      <c r="D195" s="288"/>
      <c r="E195" s="288"/>
      <c r="F195" s="288"/>
      <c r="G195" s="288"/>
      <c r="H195" s="288"/>
      <c r="I195" s="288"/>
      <c r="J195" s="288"/>
      <c r="K195" s="288"/>
      <c r="L195" s="288"/>
      <c r="M195" s="288"/>
      <c r="N195" s="288"/>
      <c r="O195" s="288"/>
      <c r="P195" s="288"/>
      <c r="Q195" s="288"/>
      <c r="R195" s="288"/>
      <c r="S195" s="288"/>
      <c r="T195" s="288"/>
      <c r="U195" s="288"/>
      <c r="V195" s="348">
        <f>(V101+V103+V104+V105+V106)/-(V107+V108)</f>
        <v>4.0240889437924645</v>
      </c>
      <c r="W195" s="291" t="s">
        <v>115</v>
      </c>
      <c r="X195" s="5"/>
    </row>
    <row r="196" spans="1:24" ht="15.6" x14ac:dyDescent="0.3">
      <c r="A196" s="287"/>
      <c r="B196" s="288" t="s">
        <v>67</v>
      </c>
      <c r="C196" s="288"/>
      <c r="D196" s="288"/>
      <c r="E196" s="288"/>
      <c r="F196" s="288"/>
      <c r="G196" s="288"/>
      <c r="H196" s="288"/>
      <c r="I196" s="288"/>
      <c r="J196" s="288"/>
      <c r="K196" s="288"/>
      <c r="L196" s="288"/>
      <c r="M196" s="288"/>
      <c r="N196" s="288"/>
      <c r="O196" s="288"/>
      <c r="P196" s="288"/>
      <c r="Q196" s="288"/>
      <c r="R196" s="288"/>
      <c r="S196" s="288"/>
      <c r="T196" s="288"/>
      <c r="U196" s="288"/>
      <c r="V196" s="350">
        <v>1.8</v>
      </c>
      <c r="W196" s="291" t="s">
        <v>115</v>
      </c>
      <c r="X196" s="5"/>
    </row>
    <row r="197" spans="1:24" ht="15.6" x14ac:dyDescent="0.3">
      <c r="A197" s="287"/>
      <c r="B197" s="288" t="s">
        <v>68</v>
      </c>
      <c r="C197" s="288"/>
      <c r="D197" s="288"/>
      <c r="E197" s="288"/>
      <c r="F197" s="288"/>
      <c r="G197" s="288"/>
      <c r="H197" s="288"/>
      <c r="I197" s="288"/>
      <c r="J197" s="288"/>
      <c r="K197" s="288"/>
      <c r="L197" s="288"/>
      <c r="M197" s="288"/>
      <c r="N197" s="288"/>
      <c r="O197" s="288"/>
      <c r="P197" s="288"/>
      <c r="Q197" s="288"/>
      <c r="R197" s="288"/>
      <c r="S197" s="288"/>
      <c r="T197" s="288"/>
      <c r="U197" s="288"/>
      <c r="V197" s="348">
        <f>(V101+V103+V104+V105+V106+V107+V108)/-(V110+V111)</f>
        <v>19.351778656126481</v>
      </c>
      <c r="W197" s="291" t="s">
        <v>115</v>
      </c>
      <c r="X197" s="5"/>
    </row>
    <row r="198" spans="1:24" ht="15.6" x14ac:dyDescent="0.3">
      <c r="A198" s="287"/>
      <c r="B198" s="288" t="s">
        <v>69</v>
      </c>
      <c r="C198" s="288"/>
      <c r="D198" s="288"/>
      <c r="E198" s="288"/>
      <c r="F198" s="288"/>
      <c r="G198" s="288"/>
      <c r="H198" s="288"/>
      <c r="I198" s="288"/>
      <c r="J198" s="288"/>
      <c r="K198" s="288"/>
      <c r="L198" s="288"/>
      <c r="M198" s="288"/>
      <c r="N198" s="288"/>
      <c r="O198" s="288"/>
      <c r="P198" s="288"/>
      <c r="Q198" s="288"/>
      <c r="R198" s="288"/>
      <c r="S198" s="288"/>
      <c r="T198" s="288"/>
      <c r="U198" s="288"/>
      <c r="V198" s="350">
        <v>7.64</v>
      </c>
      <c r="W198" s="291" t="s">
        <v>115</v>
      </c>
      <c r="X198" s="5"/>
    </row>
    <row r="199" spans="1:24" ht="15.6" x14ac:dyDescent="0.3">
      <c r="A199" s="287"/>
      <c r="B199" s="288" t="s">
        <v>198</v>
      </c>
      <c r="C199" s="288"/>
      <c r="D199" s="288"/>
      <c r="E199" s="288"/>
      <c r="F199" s="288"/>
      <c r="G199" s="288"/>
      <c r="H199" s="288"/>
      <c r="I199" s="288"/>
      <c r="J199" s="288"/>
      <c r="K199" s="288"/>
      <c r="L199" s="288"/>
      <c r="M199" s="288"/>
      <c r="N199" s="288"/>
      <c r="O199" s="288"/>
      <c r="P199" s="288"/>
      <c r="Q199" s="288"/>
      <c r="R199" s="288"/>
      <c r="S199" s="288"/>
      <c r="T199" s="288"/>
      <c r="U199" s="288"/>
      <c r="V199" s="348">
        <f>(V101+V103+V104+V105+V106+V107+V108+V110+V111)/-(V112+V113)</f>
        <v>12.186351706036746</v>
      </c>
      <c r="W199" s="291" t="s">
        <v>115</v>
      </c>
      <c r="X199" s="5"/>
    </row>
    <row r="200" spans="1:24" ht="15.6" x14ac:dyDescent="0.3">
      <c r="A200" s="287"/>
      <c r="B200" s="288" t="s">
        <v>199</v>
      </c>
      <c r="C200" s="288"/>
      <c r="D200" s="288"/>
      <c r="E200" s="288"/>
      <c r="F200" s="288"/>
      <c r="G200" s="288"/>
      <c r="H200" s="288"/>
      <c r="I200" s="288"/>
      <c r="J200" s="288"/>
      <c r="K200" s="288"/>
      <c r="L200" s="288"/>
      <c r="M200" s="288"/>
      <c r="N200" s="288"/>
      <c r="O200" s="288"/>
      <c r="P200" s="288"/>
      <c r="Q200" s="288"/>
      <c r="R200" s="288"/>
      <c r="S200" s="288"/>
      <c r="T200" s="288"/>
      <c r="U200" s="288"/>
      <c r="V200" s="350">
        <v>5.98</v>
      </c>
      <c r="W200" s="291" t="s">
        <v>115</v>
      </c>
      <c r="X200" s="5"/>
    </row>
    <row r="201" spans="1:24" ht="15.6" x14ac:dyDescent="0.3">
      <c r="A201" s="287"/>
      <c r="B201" s="314"/>
      <c r="C201" s="314"/>
      <c r="D201" s="314"/>
      <c r="E201" s="314"/>
      <c r="F201" s="314"/>
      <c r="G201" s="314"/>
      <c r="H201" s="314"/>
      <c r="I201" s="314"/>
      <c r="J201" s="314"/>
      <c r="K201" s="314"/>
      <c r="L201" s="314"/>
      <c r="M201" s="314"/>
      <c r="N201" s="314"/>
      <c r="O201" s="314"/>
      <c r="P201" s="314"/>
      <c r="Q201" s="314"/>
      <c r="R201" s="314"/>
      <c r="S201" s="314"/>
      <c r="T201" s="314"/>
      <c r="U201" s="314"/>
      <c r="V201" s="314"/>
      <c r="W201" s="318"/>
      <c r="X201" s="5"/>
    </row>
    <row r="202" spans="1:24" ht="15.6" x14ac:dyDescent="0.3">
      <c r="A202" s="183"/>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5"/>
    </row>
    <row r="203" spans="1:24" ht="15.6" x14ac:dyDescent="0.3">
      <c r="A203" s="183"/>
      <c r="B203" s="185"/>
      <c r="C203" s="185"/>
      <c r="D203" s="185"/>
      <c r="E203" s="185"/>
      <c r="F203" s="185"/>
      <c r="G203" s="185"/>
      <c r="H203" s="185"/>
      <c r="I203" s="185"/>
      <c r="J203" s="185"/>
      <c r="K203" s="185"/>
      <c r="L203" s="185"/>
      <c r="M203" s="185"/>
      <c r="N203" s="185"/>
      <c r="O203" s="185"/>
      <c r="P203" s="185"/>
      <c r="Q203" s="185"/>
      <c r="R203" s="185"/>
      <c r="S203" s="185"/>
      <c r="T203" s="185"/>
      <c r="U203" s="185"/>
      <c r="V203" s="185"/>
      <c r="W203" s="185"/>
      <c r="X203" s="5"/>
    </row>
    <row r="204" spans="1:24" ht="18" thickBot="1" x14ac:dyDescent="0.35">
      <c r="A204" s="199"/>
      <c r="B204" s="237" t="str">
        <f>B138</f>
        <v>PM14 INVESTOR REPORT QUARTER ENDING AUGUST 2013</v>
      </c>
      <c r="C204" s="215"/>
      <c r="D204" s="215"/>
      <c r="E204" s="215"/>
      <c r="F204" s="215"/>
      <c r="G204" s="215"/>
      <c r="H204" s="215"/>
      <c r="I204" s="215"/>
      <c r="J204" s="215"/>
      <c r="K204" s="215"/>
      <c r="L204" s="215"/>
      <c r="M204" s="215"/>
      <c r="N204" s="215"/>
      <c r="O204" s="215"/>
      <c r="P204" s="215"/>
      <c r="Q204" s="215"/>
      <c r="R204" s="215"/>
      <c r="S204" s="215"/>
      <c r="T204" s="215"/>
      <c r="U204" s="215"/>
      <c r="V204" s="215"/>
      <c r="W204" s="216"/>
      <c r="X204" s="5"/>
    </row>
    <row r="205" spans="1:24" ht="15.6" x14ac:dyDescent="0.3">
      <c r="A205" s="273"/>
      <c r="B205" s="403" t="s">
        <v>70</v>
      </c>
      <c r="C205" s="404"/>
      <c r="D205" s="404"/>
      <c r="E205" s="404"/>
      <c r="F205" s="404"/>
      <c r="G205" s="405"/>
      <c r="H205" s="405"/>
      <c r="I205" s="405"/>
      <c r="J205" s="405"/>
      <c r="K205" s="405"/>
      <c r="L205" s="405"/>
      <c r="M205" s="405"/>
      <c r="N205" s="405"/>
      <c r="O205" s="405"/>
      <c r="P205" s="405"/>
      <c r="Q205" s="405"/>
      <c r="R205" s="405"/>
      <c r="S205" s="405"/>
      <c r="T205" s="405">
        <v>41516</v>
      </c>
      <c r="U205" s="274"/>
      <c r="V205" s="274"/>
      <c r="W205" s="274"/>
      <c r="X205" s="5"/>
    </row>
    <row r="206" spans="1:24" ht="15.6" x14ac:dyDescent="0.3">
      <c r="A206" s="217"/>
      <c r="B206" s="230"/>
      <c r="C206" s="249"/>
      <c r="D206" s="249"/>
      <c r="E206" s="249"/>
      <c r="F206" s="249"/>
      <c r="G206" s="229"/>
      <c r="H206" s="229"/>
      <c r="I206" s="229"/>
      <c r="J206" s="229"/>
      <c r="K206" s="229"/>
      <c r="L206" s="229"/>
      <c r="M206" s="229"/>
      <c r="N206" s="229"/>
      <c r="O206" s="229"/>
      <c r="P206" s="229"/>
      <c r="Q206" s="229"/>
      <c r="R206" s="229"/>
      <c r="S206" s="229"/>
      <c r="T206" s="229"/>
      <c r="U206" s="224"/>
      <c r="V206" s="224"/>
      <c r="W206" s="224"/>
      <c r="X206" s="5"/>
    </row>
    <row r="207" spans="1:24" ht="15.6" x14ac:dyDescent="0.3">
      <c r="A207" s="352"/>
      <c r="B207" s="288" t="s">
        <v>71</v>
      </c>
      <c r="C207" s="353"/>
      <c r="D207" s="353"/>
      <c r="E207" s="353"/>
      <c r="F207" s="353"/>
      <c r="G207" s="330"/>
      <c r="H207" s="330"/>
      <c r="I207" s="330"/>
      <c r="J207" s="330"/>
      <c r="K207" s="330"/>
      <c r="L207" s="330"/>
      <c r="M207" s="330"/>
      <c r="N207" s="330"/>
      <c r="O207" s="330"/>
      <c r="P207" s="330"/>
      <c r="Q207" s="330"/>
      <c r="R207" s="330"/>
      <c r="S207" s="330"/>
      <c r="T207" s="321">
        <v>5.2819999999999999E-2</v>
      </c>
      <c r="U207" s="288"/>
      <c r="V207" s="288"/>
      <c r="W207" s="291"/>
      <c r="X207" s="5"/>
    </row>
    <row r="208" spans="1:24" ht="15.6" x14ac:dyDescent="0.3">
      <c r="A208" s="352"/>
      <c r="B208" s="288" t="s">
        <v>151</v>
      </c>
      <c r="C208" s="353"/>
      <c r="D208" s="353"/>
      <c r="E208" s="353"/>
      <c r="F208" s="353"/>
      <c r="G208" s="330"/>
      <c r="H208" s="330"/>
      <c r="I208" s="330"/>
      <c r="J208" s="330"/>
      <c r="K208" s="330"/>
      <c r="L208" s="330"/>
      <c r="M208" s="330"/>
      <c r="N208" s="330"/>
      <c r="O208" s="330"/>
      <c r="P208" s="330"/>
      <c r="Q208" s="330"/>
      <c r="R208" s="330"/>
      <c r="S208" s="330"/>
      <c r="T208" s="321">
        <v>5.7799999999999997E-2</v>
      </c>
      <c r="U208" s="288"/>
      <c r="V208" s="288"/>
      <c r="W208" s="291"/>
      <c r="X208" s="5"/>
    </row>
    <row r="209" spans="1:24" ht="15.6" x14ac:dyDescent="0.3">
      <c r="A209" s="352"/>
      <c r="B209" s="288" t="s">
        <v>72</v>
      </c>
      <c r="C209" s="353"/>
      <c r="D209" s="353"/>
      <c r="E209" s="353"/>
      <c r="F209" s="353"/>
      <c r="G209" s="330"/>
      <c r="H209" s="330"/>
      <c r="I209" s="330"/>
      <c r="J209" s="330"/>
      <c r="K209" s="330"/>
      <c r="L209" s="330"/>
      <c r="M209" s="330"/>
      <c r="N209" s="330"/>
      <c r="O209" s="330"/>
      <c r="P209" s="330"/>
      <c r="Q209" s="330"/>
      <c r="R209" s="330"/>
      <c r="S209" s="330"/>
      <c r="T209" s="321">
        <f>T207-T208</f>
        <v>-4.9799999999999983E-3</v>
      </c>
      <c r="U209" s="288"/>
      <c r="V209" s="288"/>
      <c r="W209" s="291"/>
      <c r="X209" s="5"/>
    </row>
    <row r="210" spans="1:24" ht="15.6" x14ac:dyDescent="0.3">
      <c r="A210" s="352"/>
      <c r="B210" s="288" t="s">
        <v>73</v>
      </c>
      <c r="C210" s="353"/>
      <c r="D210" s="353"/>
      <c r="E210" s="353"/>
      <c r="F210" s="353"/>
      <c r="G210" s="330"/>
      <c r="H210" s="330"/>
      <c r="I210" s="330"/>
      <c r="J210" s="330"/>
      <c r="K210" s="330"/>
      <c r="L210" s="330"/>
      <c r="M210" s="330"/>
      <c r="N210" s="330"/>
      <c r="O210" s="330"/>
      <c r="P210" s="330"/>
      <c r="Q210" s="330"/>
      <c r="R210" s="330"/>
      <c r="S210" s="330"/>
      <c r="T210" s="321">
        <v>2.35E-2</v>
      </c>
      <c r="U210" s="288"/>
      <c r="V210" s="288"/>
      <c r="W210" s="291"/>
      <c r="X210" s="5"/>
    </row>
    <row r="211" spans="1:24" ht="15.6" x14ac:dyDescent="0.3">
      <c r="A211" s="352"/>
      <c r="B211" s="288" t="s">
        <v>219</v>
      </c>
      <c r="C211" s="353"/>
      <c r="D211" s="353"/>
      <c r="E211" s="353"/>
      <c r="F211" s="353"/>
      <c r="G211" s="330"/>
      <c r="H211" s="330"/>
      <c r="I211" s="330"/>
      <c r="J211" s="330"/>
      <c r="K211" s="330"/>
      <c r="L211" s="330"/>
      <c r="M211" s="330"/>
      <c r="N211" s="330"/>
      <c r="O211" s="330"/>
      <c r="P211" s="330"/>
      <c r="Q211" s="330"/>
      <c r="R211" s="330"/>
      <c r="S211" s="330"/>
      <c r="T211" s="321">
        <f>V43</f>
        <v>8.2520373041068823E-3</v>
      </c>
      <c r="U211" s="288"/>
      <c r="V211" s="288"/>
      <c r="W211" s="291"/>
      <c r="X211" s="5"/>
    </row>
    <row r="212" spans="1:24" ht="15.6" x14ac:dyDescent="0.3">
      <c r="A212" s="352"/>
      <c r="B212" s="288" t="s">
        <v>74</v>
      </c>
      <c r="C212" s="353"/>
      <c r="D212" s="353"/>
      <c r="E212" s="353"/>
      <c r="F212" s="353"/>
      <c r="G212" s="330"/>
      <c r="H212" s="330"/>
      <c r="I212" s="330"/>
      <c r="J212" s="330"/>
      <c r="K212" s="330"/>
      <c r="L212" s="330"/>
      <c r="M212" s="330"/>
      <c r="N212" s="330"/>
      <c r="O212" s="330"/>
      <c r="P212" s="330"/>
      <c r="Q212" s="330"/>
      <c r="R212" s="330"/>
      <c r="S212" s="330"/>
      <c r="T212" s="321">
        <f>T210-T211</f>
        <v>1.5247962695893118E-2</v>
      </c>
      <c r="U212" s="288"/>
      <c r="V212" s="288"/>
      <c r="W212" s="291"/>
      <c r="X212" s="5"/>
    </row>
    <row r="213" spans="1:24" ht="15.6" x14ac:dyDescent="0.3">
      <c r="A213" s="352"/>
      <c r="B213" s="288" t="s">
        <v>242</v>
      </c>
      <c r="C213" s="353"/>
      <c r="D213" s="353"/>
      <c r="E213" s="353"/>
      <c r="F213" s="353"/>
      <c r="G213" s="330"/>
      <c r="H213" s="330"/>
      <c r="I213" s="330"/>
      <c r="J213" s="330"/>
      <c r="K213" s="330"/>
      <c r="L213" s="330"/>
      <c r="M213" s="330"/>
      <c r="N213" s="330"/>
      <c r="O213" s="330"/>
      <c r="P213" s="330"/>
      <c r="Q213" s="330"/>
      <c r="R213" s="330"/>
      <c r="S213" s="330"/>
      <c r="T213" s="321">
        <f>V101/N71</f>
        <v>6.3180951267455369E-3</v>
      </c>
      <c r="U213" s="288"/>
      <c r="V213" s="288"/>
      <c r="W213" s="291"/>
      <c r="X213" s="5"/>
    </row>
    <row r="214" spans="1:24" ht="15.6" x14ac:dyDescent="0.3">
      <c r="A214" s="352"/>
      <c r="B214" s="288" t="s">
        <v>208</v>
      </c>
      <c r="C214" s="353"/>
      <c r="D214" s="353"/>
      <c r="E214" s="353"/>
      <c r="F214" s="353"/>
      <c r="G214" s="330"/>
      <c r="H214" s="330"/>
      <c r="I214" s="330"/>
      <c r="J214" s="330"/>
      <c r="K214" s="330"/>
      <c r="L214" s="330"/>
      <c r="M214" s="330"/>
      <c r="N214" s="330"/>
      <c r="O214" s="330"/>
      <c r="P214" s="330"/>
      <c r="Q214" s="330"/>
      <c r="R214" s="330"/>
      <c r="S214" s="330"/>
      <c r="T214" s="354">
        <v>51014</v>
      </c>
      <c r="U214" s="288"/>
      <c r="V214" s="288"/>
      <c r="W214" s="291"/>
      <c r="X214" s="5"/>
    </row>
    <row r="215" spans="1:24" ht="15.6" x14ac:dyDescent="0.3">
      <c r="A215" s="352"/>
      <c r="B215" s="288" t="s">
        <v>209</v>
      </c>
      <c r="C215" s="353"/>
      <c r="D215" s="353"/>
      <c r="E215" s="353"/>
      <c r="F215" s="353"/>
      <c r="G215" s="330"/>
      <c r="H215" s="330"/>
      <c r="I215" s="330"/>
      <c r="J215" s="330"/>
      <c r="K215" s="330"/>
      <c r="L215" s="330"/>
      <c r="M215" s="330"/>
      <c r="N215" s="330"/>
      <c r="O215" s="330"/>
      <c r="P215" s="330"/>
      <c r="Q215" s="330"/>
      <c r="R215" s="330"/>
      <c r="S215" s="330"/>
      <c r="T215" s="354">
        <v>51014</v>
      </c>
      <c r="U215" s="288"/>
      <c r="V215" s="288"/>
      <c r="W215" s="291"/>
      <c r="X215" s="5"/>
    </row>
    <row r="216" spans="1:24" ht="15.6" x14ac:dyDescent="0.3">
      <c r="A216" s="352"/>
      <c r="B216" s="288" t="s">
        <v>210</v>
      </c>
      <c r="C216" s="353"/>
      <c r="D216" s="353"/>
      <c r="E216" s="353"/>
      <c r="F216" s="353"/>
      <c r="G216" s="330"/>
      <c r="H216" s="330"/>
      <c r="I216" s="330"/>
      <c r="J216" s="330"/>
      <c r="K216" s="330"/>
      <c r="L216" s="330"/>
      <c r="M216" s="330"/>
      <c r="N216" s="330"/>
      <c r="O216" s="330"/>
      <c r="P216" s="330"/>
      <c r="Q216" s="330"/>
      <c r="R216" s="330"/>
      <c r="S216" s="330"/>
      <c r="T216" s="354">
        <v>51014</v>
      </c>
      <c r="U216" s="288"/>
      <c r="V216" s="288"/>
      <c r="W216" s="291"/>
      <c r="X216" s="5"/>
    </row>
    <row r="217" spans="1:24" ht="15.6" x14ac:dyDescent="0.3">
      <c r="A217" s="352"/>
      <c r="B217" s="288" t="s">
        <v>75</v>
      </c>
      <c r="C217" s="353"/>
      <c r="D217" s="353"/>
      <c r="E217" s="353"/>
      <c r="F217" s="353"/>
      <c r="G217" s="330"/>
      <c r="H217" s="330"/>
      <c r="I217" s="330"/>
      <c r="J217" s="330"/>
      <c r="K217" s="330"/>
      <c r="L217" s="330"/>
      <c r="M217" s="330"/>
      <c r="N217" s="330"/>
      <c r="O217" s="330"/>
      <c r="P217" s="330"/>
      <c r="Q217" s="330"/>
      <c r="R217" s="330"/>
      <c r="S217" s="330"/>
      <c r="T217" s="327">
        <v>20.66</v>
      </c>
      <c r="U217" s="288" t="s">
        <v>110</v>
      </c>
      <c r="V217" s="288"/>
      <c r="W217" s="291"/>
      <c r="X217" s="5"/>
    </row>
    <row r="218" spans="1:24" ht="15.6" x14ac:dyDescent="0.3">
      <c r="A218" s="352"/>
      <c r="B218" s="288" t="s">
        <v>76</v>
      </c>
      <c r="C218" s="353"/>
      <c r="D218" s="353"/>
      <c r="E218" s="353"/>
      <c r="F218" s="353"/>
      <c r="G218" s="330"/>
      <c r="H218" s="330"/>
      <c r="I218" s="330"/>
      <c r="J218" s="330"/>
      <c r="K218" s="330"/>
      <c r="L218" s="330"/>
      <c r="M218" s="330"/>
      <c r="N218" s="330"/>
      <c r="O218" s="330"/>
      <c r="P218" s="330"/>
      <c r="Q218" s="330"/>
      <c r="R218" s="330"/>
      <c r="S218" s="330"/>
      <c r="T218" s="327">
        <v>14.95</v>
      </c>
      <c r="U218" s="288" t="s">
        <v>110</v>
      </c>
      <c r="V218" s="288"/>
      <c r="W218" s="291"/>
      <c r="X218" s="5"/>
    </row>
    <row r="219" spans="1:24" ht="15.6" x14ac:dyDescent="0.3">
      <c r="A219" s="352"/>
      <c r="B219" s="288" t="s">
        <v>77</v>
      </c>
      <c r="C219" s="353"/>
      <c r="D219" s="353"/>
      <c r="E219" s="353"/>
      <c r="F219" s="353"/>
      <c r="G219" s="330"/>
      <c r="H219" s="330"/>
      <c r="I219" s="330"/>
      <c r="J219" s="330"/>
      <c r="K219" s="330"/>
      <c r="L219" s="330"/>
      <c r="M219" s="330"/>
      <c r="N219" s="330"/>
      <c r="O219" s="330"/>
      <c r="P219" s="330"/>
      <c r="Q219" s="330"/>
      <c r="R219" s="330"/>
      <c r="S219" s="330"/>
      <c r="T219" s="321">
        <f>+P68/N68</f>
        <v>6.5117392162164136E-3</v>
      </c>
      <c r="U219" s="288"/>
      <c r="V219" s="288"/>
      <c r="W219" s="291"/>
      <c r="X219" s="5"/>
    </row>
    <row r="220" spans="1:24" ht="15.6" x14ac:dyDescent="0.3">
      <c r="A220" s="352"/>
      <c r="B220" s="288" t="s">
        <v>78</v>
      </c>
      <c r="C220" s="353"/>
      <c r="D220" s="353"/>
      <c r="E220" s="353"/>
      <c r="F220" s="353"/>
      <c r="G220" s="330"/>
      <c r="H220" s="330"/>
      <c r="I220" s="330"/>
      <c r="J220" s="330"/>
      <c r="K220" s="330"/>
      <c r="L220" s="330"/>
      <c r="M220" s="330"/>
      <c r="N220" s="330"/>
      <c r="O220" s="330"/>
      <c r="P220" s="330"/>
      <c r="Q220" s="330"/>
      <c r="R220" s="330"/>
      <c r="S220" s="330"/>
      <c r="T220" s="321">
        <v>5.1900000000000002E-2</v>
      </c>
      <c r="U220" s="288"/>
      <c r="V220" s="288"/>
      <c r="W220" s="291"/>
      <c r="X220" s="5"/>
    </row>
    <row r="221" spans="1:24" ht="15.6" x14ac:dyDescent="0.3">
      <c r="A221" s="217"/>
      <c r="B221" s="284"/>
      <c r="C221" s="284"/>
      <c r="D221" s="284"/>
      <c r="E221" s="284"/>
      <c r="F221" s="284"/>
      <c r="G221" s="284"/>
      <c r="H221" s="284"/>
      <c r="I221" s="284"/>
      <c r="J221" s="284"/>
      <c r="K221" s="284"/>
      <c r="L221" s="284"/>
      <c r="M221" s="284"/>
      <c r="N221" s="284"/>
      <c r="O221" s="284"/>
      <c r="P221" s="284"/>
      <c r="Q221" s="284"/>
      <c r="R221" s="284"/>
      <c r="S221" s="284"/>
      <c r="T221" s="349"/>
      <c r="U221" s="284"/>
      <c r="V221" s="351"/>
      <c r="W221" s="284"/>
      <c r="X221" s="5"/>
    </row>
    <row r="222" spans="1:24" ht="15.6" x14ac:dyDescent="0.3">
      <c r="A222" s="278"/>
      <c r="B222" s="399" t="s">
        <v>79</v>
      </c>
      <c r="C222" s="400"/>
      <c r="D222" s="400"/>
      <c r="E222" s="400"/>
      <c r="F222" s="406"/>
      <c r="G222" s="400"/>
      <c r="H222" s="400"/>
      <c r="I222" s="400"/>
      <c r="J222" s="400"/>
      <c r="K222" s="400"/>
      <c r="L222" s="400"/>
      <c r="M222" s="400"/>
      <c r="N222" s="400"/>
      <c r="O222" s="400"/>
      <c r="P222" s="400"/>
      <c r="Q222" s="400"/>
      <c r="R222" s="400"/>
      <c r="S222" s="400" t="s">
        <v>102</v>
      </c>
      <c r="T222" s="406" t="s">
        <v>108</v>
      </c>
      <c r="U222" s="263"/>
      <c r="V222" s="263"/>
      <c r="W222" s="263"/>
      <c r="X222" s="5"/>
    </row>
    <row r="223" spans="1:24" ht="15.6" x14ac:dyDescent="0.3">
      <c r="A223" s="218"/>
      <c r="B223" s="231" t="s">
        <v>80</v>
      </c>
      <c r="C223" s="234"/>
      <c r="D223" s="234"/>
      <c r="E223" s="234"/>
      <c r="F223" s="231"/>
      <c r="G223" s="231"/>
      <c r="H223" s="233"/>
      <c r="I223" s="233"/>
      <c r="J223" s="233"/>
      <c r="K223" s="233"/>
      <c r="L223" s="233"/>
      <c r="M223" s="233"/>
      <c r="N223" s="233"/>
      <c r="O223" s="233"/>
      <c r="P223" s="233"/>
      <c r="Q223" s="233"/>
      <c r="R223" s="233"/>
      <c r="S223" s="233">
        <v>2</v>
      </c>
      <c r="T223" s="251">
        <v>168</v>
      </c>
      <c r="U223" s="231"/>
      <c r="V223" s="250"/>
      <c r="W223" s="252"/>
      <c r="X223" s="5"/>
    </row>
    <row r="224" spans="1:24" ht="15.6" x14ac:dyDescent="0.3">
      <c r="A224" s="362"/>
      <c r="B224" s="288" t="s">
        <v>145</v>
      </c>
      <c r="C224" s="337"/>
      <c r="D224" s="337"/>
      <c r="E224" s="337"/>
      <c r="F224" s="288"/>
      <c r="G224" s="288"/>
      <c r="H224" s="296"/>
      <c r="I224" s="296"/>
      <c r="J224" s="296"/>
      <c r="K224" s="296"/>
      <c r="L224" s="296"/>
      <c r="M224" s="296"/>
      <c r="N224" s="296"/>
      <c r="O224" s="296"/>
      <c r="P224" s="296"/>
      <c r="Q224" s="296"/>
      <c r="R224" s="296"/>
      <c r="S224" s="363">
        <f>+R276</f>
        <v>183</v>
      </c>
      <c r="T224" s="364">
        <f>+T276</f>
        <v>25435</v>
      </c>
      <c r="U224" s="288"/>
      <c r="V224" s="365"/>
      <c r="W224" s="366"/>
      <c r="X224" s="5"/>
    </row>
    <row r="225" spans="1:24" ht="15.6" x14ac:dyDescent="0.3">
      <c r="A225" s="362"/>
      <c r="B225" s="288" t="s">
        <v>81</v>
      </c>
      <c r="C225" s="337"/>
      <c r="D225" s="337"/>
      <c r="E225" s="337"/>
      <c r="F225" s="288"/>
      <c r="G225" s="288"/>
      <c r="H225" s="296"/>
      <c r="I225" s="296"/>
      <c r="J225" s="296"/>
      <c r="K225" s="296"/>
      <c r="L225" s="296"/>
      <c r="M225" s="296"/>
      <c r="N225" s="296"/>
      <c r="O225" s="296"/>
      <c r="P225" s="296"/>
      <c r="Q225" s="296"/>
      <c r="R225" s="296"/>
      <c r="S225" s="363">
        <f>+R288</f>
        <v>0</v>
      </c>
      <c r="T225" s="364">
        <f>+T288</f>
        <v>0</v>
      </c>
      <c r="U225" s="288"/>
      <c r="V225" s="365"/>
      <c r="W225" s="366"/>
      <c r="X225" s="5"/>
    </row>
    <row r="226" spans="1:24" ht="15.6" x14ac:dyDescent="0.3">
      <c r="A226" s="362"/>
      <c r="B226" s="313" t="s">
        <v>82</v>
      </c>
      <c r="C226" s="367"/>
      <c r="D226" s="367"/>
      <c r="E226" s="367"/>
      <c r="F226" s="314"/>
      <c r="G226" s="314"/>
      <c r="H226" s="314"/>
      <c r="I226" s="314"/>
      <c r="J226" s="314"/>
      <c r="K226" s="314"/>
      <c r="L226" s="314"/>
      <c r="M226" s="314"/>
      <c r="N226" s="314"/>
      <c r="O226" s="314"/>
      <c r="P226" s="314"/>
      <c r="Q226" s="314"/>
      <c r="R226" s="314"/>
      <c r="S226" s="314"/>
      <c r="T226" s="364">
        <v>0</v>
      </c>
      <c r="U226" s="314"/>
      <c r="V226" s="369"/>
      <c r="W226" s="370"/>
      <c r="X226" s="5"/>
    </row>
    <row r="227" spans="1:24" ht="15.6" x14ac:dyDescent="0.3">
      <c r="A227" s="362"/>
      <c r="B227" s="313" t="s">
        <v>243</v>
      </c>
      <c r="C227" s="367"/>
      <c r="D227" s="367"/>
      <c r="E227" s="367"/>
      <c r="F227" s="314"/>
      <c r="G227" s="314"/>
      <c r="H227" s="314"/>
      <c r="I227" s="314"/>
      <c r="J227" s="314"/>
      <c r="K227" s="314"/>
      <c r="L227" s="314"/>
      <c r="M227" s="314"/>
      <c r="N227" s="314"/>
      <c r="O227" s="314"/>
      <c r="P227" s="314"/>
      <c r="Q227" s="314"/>
      <c r="R227" s="314"/>
      <c r="S227" s="314"/>
      <c r="T227" s="364">
        <f>+N81</f>
        <v>0</v>
      </c>
      <c r="U227" s="314"/>
      <c r="V227" s="369"/>
      <c r="W227" s="370"/>
      <c r="X227" s="5"/>
    </row>
    <row r="228" spans="1:24" ht="15.6" x14ac:dyDescent="0.3">
      <c r="A228" s="371"/>
      <c r="B228" s="313" t="s">
        <v>83</v>
      </c>
      <c r="C228" s="372"/>
      <c r="D228" s="372"/>
      <c r="E228" s="372"/>
      <c r="F228" s="372"/>
      <c r="G228" s="314"/>
      <c r="H228" s="314"/>
      <c r="I228" s="314"/>
      <c r="J228" s="314"/>
      <c r="K228" s="314"/>
      <c r="L228" s="314"/>
      <c r="M228" s="314"/>
      <c r="N228" s="314"/>
      <c r="O228" s="314"/>
      <c r="P228" s="314"/>
      <c r="Q228" s="314"/>
      <c r="R228" s="314"/>
      <c r="S228" s="314"/>
      <c r="T228" s="368"/>
      <c r="U228" s="314"/>
      <c r="V228" s="369"/>
      <c r="W228" s="373"/>
      <c r="X228" s="5"/>
    </row>
    <row r="229" spans="1:24" ht="15.6" x14ac:dyDescent="0.3">
      <c r="A229" s="371"/>
      <c r="B229" s="288" t="s">
        <v>84</v>
      </c>
      <c r="C229" s="288"/>
      <c r="D229" s="288"/>
      <c r="E229" s="288"/>
      <c r="F229" s="288"/>
      <c r="G229" s="288"/>
      <c r="H229" s="288"/>
      <c r="I229" s="288"/>
      <c r="J229" s="288"/>
      <c r="K229" s="288"/>
      <c r="L229" s="288"/>
      <c r="M229" s="288"/>
      <c r="N229" s="288"/>
      <c r="O229" s="288"/>
      <c r="P229" s="288"/>
      <c r="Q229" s="288"/>
      <c r="R229" s="288"/>
      <c r="S229" s="296"/>
      <c r="T229" s="364">
        <f>V167</f>
        <v>268</v>
      </c>
      <c r="U229" s="288"/>
      <c r="V229" s="365"/>
      <c r="W229" s="378"/>
      <c r="X229" s="5"/>
    </row>
    <row r="230" spans="1:24" ht="15.6" x14ac:dyDescent="0.3">
      <c r="A230" s="362"/>
      <c r="B230" s="288" t="s">
        <v>85</v>
      </c>
      <c r="C230" s="337"/>
      <c r="D230" s="337"/>
      <c r="E230" s="337"/>
      <c r="F230" s="337"/>
      <c r="G230" s="288"/>
      <c r="H230" s="288"/>
      <c r="I230" s="288"/>
      <c r="J230" s="288"/>
      <c r="K230" s="288"/>
      <c r="L230" s="288"/>
      <c r="M230" s="288"/>
      <c r="N230" s="288"/>
      <c r="O230" s="288"/>
      <c r="P230" s="288"/>
      <c r="Q230" s="288"/>
      <c r="R230" s="288"/>
      <c r="S230" s="296"/>
      <c r="T230" s="364">
        <f>'May 13'!T230+T229</f>
        <v>4380</v>
      </c>
      <c r="U230" s="288"/>
      <c r="V230" s="365"/>
      <c r="W230" s="378"/>
      <c r="X230" s="5"/>
    </row>
    <row r="231" spans="1:24" ht="15.6" x14ac:dyDescent="0.3">
      <c r="A231" s="371"/>
      <c r="B231" s="313" t="s">
        <v>295</v>
      </c>
      <c r="C231" s="372"/>
      <c r="D231" s="372"/>
      <c r="E231" s="372"/>
      <c r="F231" s="372"/>
      <c r="G231" s="314"/>
      <c r="H231" s="314"/>
      <c r="I231" s="314"/>
      <c r="J231" s="314"/>
      <c r="K231" s="314"/>
      <c r="L231" s="314"/>
      <c r="M231" s="314"/>
      <c r="N231" s="314"/>
      <c r="O231" s="314"/>
      <c r="P231" s="314"/>
      <c r="Q231" s="314"/>
      <c r="R231" s="314"/>
      <c r="S231" s="316"/>
      <c r="T231" s="368"/>
      <c r="U231" s="314"/>
      <c r="V231" s="369"/>
      <c r="W231" s="373"/>
      <c r="X231" s="5"/>
    </row>
    <row r="232" spans="1:24" ht="15.6" x14ac:dyDescent="0.3">
      <c r="A232" s="371"/>
      <c r="B232" s="288" t="s">
        <v>291</v>
      </c>
      <c r="C232" s="288"/>
      <c r="D232" s="288"/>
      <c r="E232" s="288"/>
      <c r="F232" s="288"/>
      <c r="G232" s="288"/>
      <c r="H232" s="288"/>
      <c r="I232" s="288"/>
      <c r="J232" s="288"/>
      <c r="K232" s="288"/>
      <c r="L232" s="288"/>
      <c r="M232" s="288"/>
      <c r="N232" s="288"/>
      <c r="O232" s="288"/>
      <c r="P232" s="288"/>
      <c r="Q232" s="288"/>
      <c r="R232" s="288"/>
      <c r="S232" s="296">
        <v>0</v>
      </c>
      <c r="T232" s="364">
        <v>0</v>
      </c>
      <c r="U232" s="288"/>
      <c r="V232" s="365"/>
      <c r="W232" s="378"/>
      <c r="X232" s="5"/>
    </row>
    <row r="233" spans="1:24" ht="15.6" x14ac:dyDescent="0.3">
      <c r="A233" s="362"/>
      <c r="B233" s="288" t="s">
        <v>86</v>
      </c>
      <c r="C233" s="325"/>
      <c r="D233" s="325"/>
      <c r="E233" s="325"/>
      <c r="F233" s="379"/>
      <c r="G233" s="288"/>
      <c r="H233" s="288"/>
      <c r="I233" s="288"/>
      <c r="J233" s="288"/>
      <c r="K233" s="288"/>
      <c r="L233" s="288"/>
      <c r="M233" s="288"/>
      <c r="N233" s="288"/>
      <c r="O233" s="288"/>
      <c r="P233" s="288"/>
      <c r="Q233" s="288"/>
      <c r="R233" s="288"/>
      <c r="S233" s="288"/>
      <c r="T233" s="380">
        <v>0</v>
      </c>
      <c r="U233" s="288"/>
      <c r="V233" s="365"/>
      <c r="W233" s="378"/>
      <c r="X233" s="5"/>
    </row>
    <row r="234" spans="1:24" ht="15.6" x14ac:dyDescent="0.3">
      <c r="A234" s="362"/>
      <c r="B234" s="288" t="s">
        <v>87</v>
      </c>
      <c r="C234" s="325"/>
      <c r="D234" s="325"/>
      <c r="E234" s="325"/>
      <c r="F234" s="379"/>
      <c r="G234" s="288"/>
      <c r="H234" s="288"/>
      <c r="I234" s="288"/>
      <c r="J234" s="288"/>
      <c r="K234" s="288"/>
      <c r="L234" s="288"/>
      <c r="M234" s="288"/>
      <c r="N234" s="288"/>
      <c r="O234" s="288"/>
      <c r="P234" s="288"/>
      <c r="Q234" s="288"/>
      <c r="R234" s="288"/>
      <c r="S234" s="288"/>
      <c r="T234" s="380">
        <v>0</v>
      </c>
      <c r="U234" s="288"/>
      <c r="V234" s="365"/>
      <c r="W234" s="378"/>
      <c r="X234" s="5"/>
    </row>
    <row r="235" spans="1:24" ht="15.6" x14ac:dyDescent="0.3">
      <c r="A235" s="362"/>
      <c r="B235" s="313" t="s">
        <v>217</v>
      </c>
      <c r="C235" s="381"/>
      <c r="D235" s="381"/>
      <c r="E235" s="381"/>
      <c r="F235" s="382"/>
      <c r="G235" s="314"/>
      <c r="H235" s="314"/>
      <c r="I235" s="314"/>
      <c r="J235" s="314"/>
      <c r="K235" s="314"/>
      <c r="L235" s="314"/>
      <c r="M235" s="314"/>
      <c r="N235" s="314"/>
      <c r="O235" s="314"/>
      <c r="P235" s="314"/>
      <c r="Q235" s="314"/>
      <c r="R235" s="314"/>
      <c r="S235" s="314"/>
      <c r="T235" s="383"/>
      <c r="U235" s="314"/>
      <c r="V235" s="369"/>
      <c r="W235" s="373"/>
      <c r="X235" s="5"/>
    </row>
    <row r="236" spans="1:24" ht="15.6" x14ac:dyDescent="0.3">
      <c r="A236" s="362"/>
      <c r="B236" s="288" t="s">
        <v>291</v>
      </c>
      <c r="C236" s="381"/>
      <c r="D236" s="381"/>
      <c r="E236" s="381"/>
      <c r="F236" s="382"/>
      <c r="G236" s="314"/>
      <c r="H236" s="314"/>
      <c r="I236" s="314"/>
      <c r="J236" s="314"/>
      <c r="K236" s="314"/>
      <c r="L236" s="314"/>
      <c r="M236" s="314"/>
      <c r="N236" s="314"/>
      <c r="O236" s="314"/>
      <c r="P236" s="314"/>
      <c r="Q236" s="314"/>
      <c r="R236" s="314"/>
      <c r="S236" s="296">
        <v>8</v>
      </c>
      <c r="T236" s="364">
        <v>1102</v>
      </c>
      <c r="U236" s="314"/>
      <c r="V236" s="369"/>
      <c r="W236" s="373"/>
      <c r="X236" s="5"/>
    </row>
    <row r="237" spans="1:24" ht="15.6" x14ac:dyDescent="0.3">
      <c r="A237" s="362"/>
      <c r="B237" s="288" t="s">
        <v>218</v>
      </c>
      <c r="C237" s="381"/>
      <c r="D237" s="381"/>
      <c r="E237" s="381"/>
      <c r="F237" s="382"/>
      <c r="G237" s="314"/>
      <c r="H237" s="314"/>
      <c r="I237" s="314"/>
      <c r="J237" s="314"/>
      <c r="K237" s="314"/>
      <c r="L237" s="314"/>
      <c r="M237" s="314"/>
      <c r="N237" s="314"/>
      <c r="O237" s="314"/>
      <c r="P237" s="314"/>
      <c r="Q237" s="314"/>
      <c r="R237" s="314"/>
      <c r="S237" s="288"/>
      <c r="T237" s="380">
        <v>1.1000000000000001</v>
      </c>
      <c r="U237" s="314"/>
      <c r="V237" s="369"/>
      <c r="W237" s="373"/>
      <c r="X237" s="5"/>
    </row>
    <row r="238" spans="1:24" ht="15.6" x14ac:dyDescent="0.3">
      <c r="A238" s="362"/>
      <c r="B238" s="372"/>
      <c r="C238" s="381"/>
      <c r="D238" s="381"/>
      <c r="E238" s="381"/>
      <c r="F238" s="382"/>
      <c r="G238" s="314"/>
      <c r="H238" s="314"/>
      <c r="I238" s="314"/>
      <c r="J238" s="314"/>
      <c r="K238" s="314"/>
      <c r="L238" s="314"/>
      <c r="M238" s="314"/>
      <c r="N238" s="314"/>
      <c r="O238" s="314"/>
      <c r="P238" s="314"/>
      <c r="Q238" s="314"/>
      <c r="R238" s="314"/>
      <c r="S238" s="314"/>
      <c r="T238" s="383"/>
      <c r="U238" s="314"/>
      <c r="V238" s="369"/>
      <c r="W238" s="373"/>
      <c r="X238" s="5"/>
    </row>
    <row r="239" spans="1:24" ht="15.6" x14ac:dyDescent="0.3">
      <c r="A239" s="362"/>
      <c r="B239" s="372"/>
      <c r="C239" s="381"/>
      <c r="D239" s="381"/>
      <c r="E239" s="381"/>
      <c r="F239" s="382"/>
      <c r="G239" s="314"/>
      <c r="H239" s="314"/>
      <c r="I239" s="314"/>
      <c r="J239" s="314"/>
      <c r="K239" s="314"/>
      <c r="L239" s="314"/>
      <c r="M239" s="314"/>
      <c r="N239" s="314"/>
      <c r="O239" s="314"/>
      <c r="P239" s="314"/>
      <c r="Q239" s="314"/>
      <c r="R239" s="314"/>
      <c r="S239" s="314"/>
      <c r="T239" s="383"/>
      <c r="U239" s="314"/>
      <c r="V239" s="369"/>
      <c r="W239" s="373"/>
      <c r="X239" s="5"/>
    </row>
    <row r="240" spans="1:24" ht="17.399999999999999" x14ac:dyDescent="0.3">
      <c r="A240" s="362"/>
      <c r="B240" s="384" t="s">
        <v>168</v>
      </c>
      <c r="C240" s="381"/>
      <c r="D240" s="381"/>
      <c r="E240" s="381"/>
      <c r="F240" s="382"/>
      <c r="G240" s="314"/>
      <c r="H240" s="314"/>
      <c r="I240" s="314"/>
      <c r="J240" s="314"/>
      <c r="K240" s="314"/>
      <c r="L240" s="314"/>
      <c r="M240" s="314"/>
      <c r="N240" s="314"/>
      <c r="O240" s="314"/>
      <c r="P240" s="385" t="s">
        <v>167</v>
      </c>
      <c r="Q240" s="314"/>
      <c r="R240" s="314"/>
      <c r="S240" s="314"/>
      <c r="T240" s="383"/>
      <c r="U240" s="314"/>
      <c r="V240" s="369"/>
      <c r="W240" s="373"/>
      <c r="X240" s="5"/>
    </row>
    <row r="241" spans="1:25" ht="15.6" x14ac:dyDescent="0.3">
      <c r="A241" s="355"/>
      <c r="B241" s="356"/>
      <c r="C241" s="357"/>
      <c r="D241" s="357"/>
      <c r="E241" s="357"/>
      <c r="F241" s="358"/>
      <c r="G241" s="198"/>
      <c r="H241" s="198"/>
      <c r="I241" s="198"/>
      <c r="J241" s="198"/>
      <c r="K241" s="198"/>
      <c r="L241" s="198"/>
      <c r="M241" s="198"/>
      <c r="N241" s="198"/>
      <c r="O241" s="198"/>
      <c r="P241" s="198"/>
      <c r="Q241" s="198"/>
      <c r="R241" s="198"/>
      <c r="S241" s="198"/>
      <c r="T241" s="359"/>
      <c r="U241" s="198"/>
      <c r="V241" s="360"/>
      <c r="W241" s="361"/>
      <c r="X241" s="5"/>
    </row>
    <row r="242" spans="1:25" ht="15.6" x14ac:dyDescent="0.3">
      <c r="A242" s="262"/>
      <c r="B242" s="399" t="s">
        <v>308</v>
      </c>
      <c r="C242" s="400"/>
      <c r="D242" s="400"/>
      <c r="E242" s="400"/>
      <c r="F242" s="406"/>
      <c r="G242" s="400"/>
      <c r="H242" s="400"/>
      <c r="I242" s="400"/>
      <c r="J242" s="400"/>
      <c r="K242" s="400"/>
      <c r="L242" s="400"/>
      <c r="M242" s="400"/>
      <c r="N242" s="400"/>
      <c r="O242" s="400"/>
      <c r="P242" s="400"/>
      <c r="Q242" s="400"/>
      <c r="R242" s="406" t="s">
        <v>102</v>
      </c>
      <c r="S242" s="400" t="s">
        <v>103</v>
      </c>
      <c r="T242" s="406" t="s">
        <v>109</v>
      </c>
      <c r="U242" s="400" t="s">
        <v>103</v>
      </c>
      <c r="V242" s="263"/>
      <c r="W242" s="399"/>
      <c r="X242" s="5"/>
    </row>
    <row r="243" spans="1:25" ht="15.6" x14ac:dyDescent="0.3">
      <c r="A243" s="197"/>
      <c r="B243" s="234" t="s">
        <v>88</v>
      </c>
      <c r="C243" s="253"/>
      <c r="D243" s="253"/>
      <c r="E243" s="253"/>
      <c r="F243" s="231"/>
      <c r="G243" s="253"/>
      <c r="H243" s="253"/>
      <c r="I243" s="253"/>
      <c r="J243" s="253"/>
      <c r="K243" s="253"/>
      <c r="L243" s="253"/>
      <c r="M243" s="253"/>
      <c r="N243" s="253"/>
      <c r="O243" s="253"/>
      <c r="P243" s="253"/>
      <c r="Q243" s="253"/>
      <c r="R243" s="234">
        <f t="shared" ref="R243:R250" si="1">+R255+R267+R279</f>
        <v>7746</v>
      </c>
      <c r="S243" s="254">
        <f t="shared" ref="S243:S250" si="2">R243/$R$252</f>
        <v>0.9937139191789609</v>
      </c>
      <c r="T243" s="241">
        <f t="shared" ref="T243:T250" si="3">+T255+T267+T279</f>
        <v>1080062</v>
      </c>
      <c r="U243" s="254">
        <f t="shared" ref="U243:U250" si="4">T243/$T$252</f>
        <v>0.99276517947336829</v>
      </c>
      <c r="V243" s="250"/>
      <c r="W243" s="232"/>
      <c r="X243" s="5"/>
    </row>
    <row r="244" spans="1:25" ht="15.6" x14ac:dyDescent="0.3">
      <c r="A244" s="287"/>
      <c r="B244" s="337" t="s">
        <v>89</v>
      </c>
      <c r="C244" s="389"/>
      <c r="D244" s="389"/>
      <c r="E244" s="389"/>
      <c r="F244" s="288"/>
      <c r="G244" s="390"/>
      <c r="H244" s="389"/>
      <c r="I244" s="389"/>
      <c r="J244" s="389"/>
      <c r="K244" s="389"/>
      <c r="L244" s="389"/>
      <c r="M244" s="389"/>
      <c r="N244" s="389"/>
      <c r="O244" s="389"/>
      <c r="P244" s="389"/>
      <c r="Q244" s="389"/>
      <c r="R244" s="337">
        <f t="shared" si="1"/>
        <v>12</v>
      </c>
      <c r="S244" s="390">
        <f t="shared" si="2"/>
        <v>1.5394483643361128E-3</v>
      </c>
      <c r="T244" s="338">
        <f t="shared" si="3"/>
        <v>2836</v>
      </c>
      <c r="U244" s="390">
        <f t="shared" si="4"/>
        <v>2.6067781747589236E-3</v>
      </c>
      <c r="V244" s="365"/>
      <c r="W244" s="378"/>
      <c r="X244" s="5"/>
      <c r="Y244" s="109"/>
    </row>
    <row r="245" spans="1:25" ht="15.6" x14ac:dyDescent="0.3">
      <c r="A245" s="287"/>
      <c r="B245" s="337" t="s">
        <v>90</v>
      </c>
      <c r="C245" s="389"/>
      <c r="D245" s="389"/>
      <c r="E245" s="389"/>
      <c r="F245" s="288"/>
      <c r="G245" s="390"/>
      <c r="H245" s="389"/>
      <c r="I245" s="389"/>
      <c r="J245" s="389"/>
      <c r="K245" s="389"/>
      <c r="L245" s="389"/>
      <c r="M245" s="389"/>
      <c r="N245" s="389"/>
      <c r="O245" s="389"/>
      <c r="P245" s="389"/>
      <c r="Q245" s="389"/>
      <c r="R245" s="337">
        <f t="shared" si="1"/>
        <v>5</v>
      </c>
      <c r="S245" s="390">
        <f t="shared" si="2"/>
        <v>6.4143681847338033E-4</v>
      </c>
      <c r="T245" s="338">
        <f t="shared" si="3"/>
        <v>769</v>
      </c>
      <c r="U245" s="390">
        <f t="shared" si="4"/>
        <v>7.0684499872694369E-4</v>
      </c>
      <c r="V245" s="365"/>
      <c r="W245" s="378"/>
      <c r="X245" s="5"/>
    </row>
    <row r="246" spans="1:25" ht="15.6" x14ac:dyDescent="0.3">
      <c r="A246" s="287"/>
      <c r="B246" s="337" t="s">
        <v>156</v>
      </c>
      <c r="C246" s="389"/>
      <c r="D246" s="389"/>
      <c r="E246" s="389"/>
      <c r="F246" s="288"/>
      <c r="G246" s="390"/>
      <c r="H246" s="389"/>
      <c r="I246" s="389"/>
      <c r="J246" s="389"/>
      <c r="K246" s="389"/>
      <c r="L246" s="389"/>
      <c r="M246" s="389"/>
      <c r="N246" s="389"/>
      <c r="O246" s="389"/>
      <c r="P246" s="389"/>
      <c r="Q246" s="389"/>
      <c r="R246" s="337">
        <f t="shared" si="1"/>
        <v>5</v>
      </c>
      <c r="S246" s="390">
        <f t="shared" si="2"/>
        <v>6.4143681847338033E-4</v>
      </c>
      <c r="T246" s="338">
        <f t="shared" si="3"/>
        <v>505</v>
      </c>
      <c r="U246" s="390">
        <f t="shared" si="4"/>
        <v>4.6418299656320749E-4</v>
      </c>
      <c r="V246" s="365"/>
      <c r="W246" s="378"/>
      <c r="X246" s="5"/>
      <c r="Y246" s="109"/>
    </row>
    <row r="247" spans="1:25" ht="15.6" x14ac:dyDescent="0.3">
      <c r="A247" s="287"/>
      <c r="B247" s="337" t="s">
        <v>157</v>
      </c>
      <c r="C247" s="389"/>
      <c r="D247" s="389"/>
      <c r="E247" s="389"/>
      <c r="F247" s="288"/>
      <c r="G247" s="390"/>
      <c r="H247" s="389"/>
      <c r="I247" s="389"/>
      <c r="J247" s="389"/>
      <c r="K247" s="389"/>
      <c r="L247" s="389"/>
      <c r="M247" s="389"/>
      <c r="N247" s="389"/>
      <c r="O247" s="389"/>
      <c r="P247" s="389"/>
      <c r="Q247" s="389"/>
      <c r="R247" s="337">
        <f t="shared" si="1"/>
        <v>1</v>
      </c>
      <c r="S247" s="390">
        <f t="shared" si="2"/>
        <v>1.2828736369467609E-4</v>
      </c>
      <c r="T247" s="338">
        <f t="shared" si="3"/>
        <v>70</v>
      </c>
      <c r="U247" s="390">
        <f t="shared" si="4"/>
        <v>6.4342197543414896E-5</v>
      </c>
      <c r="V247" s="365"/>
      <c r="W247" s="378"/>
      <c r="X247" s="5"/>
    </row>
    <row r="248" spans="1:25" ht="15.6" x14ac:dyDescent="0.3">
      <c r="A248" s="287"/>
      <c r="B248" s="337" t="s">
        <v>158</v>
      </c>
      <c r="C248" s="389"/>
      <c r="D248" s="389"/>
      <c r="E248" s="389"/>
      <c r="F248" s="288"/>
      <c r="G248" s="390"/>
      <c r="H248" s="389"/>
      <c r="I248" s="389"/>
      <c r="J248" s="389"/>
      <c r="K248" s="389"/>
      <c r="L248" s="389"/>
      <c r="M248" s="389"/>
      <c r="N248" s="389"/>
      <c r="O248" s="389"/>
      <c r="P248" s="389"/>
      <c r="Q248" s="389"/>
      <c r="R248" s="337">
        <f t="shared" si="1"/>
        <v>3</v>
      </c>
      <c r="S248" s="390">
        <f t="shared" si="2"/>
        <v>3.8486209108402821E-4</v>
      </c>
      <c r="T248" s="338">
        <f t="shared" si="3"/>
        <v>272</v>
      </c>
      <c r="U248" s="390">
        <f t="shared" si="4"/>
        <v>2.5001539616869791E-4</v>
      </c>
      <c r="V248" s="365"/>
      <c r="W248" s="378"/>
      <c r="X248" s="5"/>
      <c r="Y248" s="109"/>
    </row>
    <row r="249" spans="1:25" ht="15.6" x14ac:dyDescent="0.3">
      <c r="A249" s="287"/>
      <c r="B249" s="337" t="s">
        <v>159</v>
      </c>
      <c r="C249" s="389"/>
      <c r="D249" s="389"/>
      <c r="E249" s="389"/>
      <c r="F249" s="288"/>
      <c r="G249" s="390"/>
      <c r="H249" s="389"/>
      <c r="I249" s="389"/>
      <c r="J249" s="389"/>
      <c r="K249" s="389"/>
      <c r="L249" s="389"/>
      <c r="M249" s="389"/>
      <c r="N249" s="389"/>
      <c r="O249" s="389"/>
      <c r="P249" s="389"/>
      <c r="Q249" s="389"/>
      <c r="R249" s="337">
        <f t="shared" si="1"/>
        <v>4</v>
      </c>
      <c r="S249" s="390">
        <f t="shared" si="2"/>
        <v>5.1314945477870435E-4</v>
      </c>
      <c r="T249" s="338">
        <f t="shared" si="3"/>
        <v>752</v>
      </c>
      <c r="U249" s="390">
        <f t="shared" si="4"/>
        <v>6.9121903646640007E-4</v>
      </c>
      <c r="V249" s="365"/>
      <c r="W249" s="378"/>
      <c r="X249" s="5"/>
    </row>
    <row r="250" spans="1:25" ht="15.6" x14ac:dyDescent="0.3">
      <c r="A250" s="287"/>
      <c r="B250" s="337" t="s">
        <v>160</v>
      </c>
      <c r="C250" s="389"/>
      <c r="D250" s="389"/>
      <c r="E250" s="389"/>
      <c r="F250" s="288"/>
      <c r="G250" s="390"/>
      <c r="H250" s="389"/>
      <c r="I250" s="389"/>
      <c r="J250" s="389"/>
      <c r="K250" s="389"/>
      <c r="L250" s="389"/>
      <c r="M250" s="389"/>
      <c r="N250" s="389"/>
      <c r="O250" s="389"/>
      <c r="P250" s="389"/>
      <c r="Q250" s="389"/>
      <c r="R250" s="339">
        <f t="shared" si="1"/>
        <v>19</v>
      </c>
      <c r="S250" s="393">
        <f t="shared" si="2"/>
        <v>2.4374599101988454E-3</v>
      </c>
      <c r="T250" s="394">
        <f t="shared" si="3"/>
        <v>2667</v>
      </c>
      <c r="U250" s="393">
        <f t="shared" si="4"/>
        <v>2.4514377264041078E-3</v>
      </c>
      <c r="V250" s="365"/>
      <c r="W250" s="378"/>
      <c r="X250" s="5"/>
      <c r="Y250" s="109"/>
    </row>
    <row r="251" spans="1:25" ht="15.6" x14ac:dyDescent="0.3">
      <c r="A251" s="287"/>
      <c r="B251" s="337"/>
      <c r="C251" s="389"/>
      <c r="D251" s="389"/>
      <c r="E251" s="389"/>
      <c r="F251" s="288"/>
      <c r="G251" s="390"/>
      <c r="H251" s="389"/>
      <c r="I251" s="389"/>
      <c r="J251" s="389"/>
      <c r="K251" s="389"/>
      <c r="L251" s="389"/>
      <c r="M251" s="389"/>
      <c r="N251" s="389"/>
      <c r="O251" s="389"/>
      <c r="P251" s="389"/>
      <c r="Q251" s="389"/>
      <c r="R251" s="337"/>
      <c r="S251" s="390"/>
      <c r="T251" s="338"/>
      <c r="U251" s="390"/>
      <c r="V251" s="365"/>
      <c r="W251" s="378"/>
      <c r="X251" s="5"/>
    </row>
    <row r="252" spans="1:25" ht="15.6" x14ac:dyDescent="0.3">
      <c r="A252" s="287"/>
      <c r="B252" s="288"/>
      <c r="C252" s="288"/>
      <c r="D252" s="288"/>
      <c r="E252" s="288"/>
      <c r="F252" s="288"/>
      <c r="G252" s="288"/>
      <c r="H252" s="391"/>
      <c r="I252" s="391"/>
      <c r="J252" s="391"/>
      <c r="K252" s="391"/>
      <c r="L252" s="391"/>
      <c r="M252" s="391"/>
      <c r="N252" s="391"/>
      <c r="O252" s="391"/>
      <c r="P252" s="391"/>
      <c r="Q252" s="391"/>
      <c r="R252" s="337">
        <f>SUM(R243:R251)</f>
        <v>7795</v>
      </c>
      <c r="S252" s="390">
        <f>SUM(S243:S251)</f>
        <v>0.99999999999999989</v>
      </c>
      <c r="T252" s="338">
        <f>SUM(T243:T251)</f>
        <v>1087933</v>
      </c>
      <c r="U252" s="390">
        <f>SUM(U243:U251)</f>
        <v>1</v>
      </c>
      <c r="V252" s="288"/>
      <c r="W252" s="291"/>
      <c r="X252" s="5"/>
    </row>
    <row r="253" spans="1:25" ht="15.6" x14ac:dyDescent="0.3">
      <c r="A253" s="183"/>
      <c r="B253" s="198"/>
      <c r="C253" s="198"/>
      <c r="D253" s="198"/>
      <c r="E253" s="198"/>
      <c r="F253" s="198"/>
      <c r="G253" s="198"/>
      <c r="H253" s="386"/>
      <c r="I253" s="386"/>
      <c r="J253" s="386"/>
      <c r="K253" s="386"/>
      <c r="L253" s="386"/>
      <c r="M253" s="386"/>
      <c r="N253" s="386"/>
      <c r="O253" s="386"/>
      <c r="P253" s="386"/>
      <c r="Q253" s="386"/>
      <c r="R253" s="335"/>
      <c r="S253" s="387"/>
      <c r="T253" s="388"/>
      <c r="U253" s="387"/>
      <c r="V253" s="198"/>
      <c r="W253" s="198"/>
      <c r="X253" s="5"/>
    </row>
    <row r="254" spans="1:25" ht="15.6" x14ac:dyDescent="0.3">
      <c r="A254" s="262"/>
      <c r="B254" s="399" t="s">
        <v>162</v>
      </c>
      <c r="C254" s="400"/>
      <c r="D254" s="400"/>
      <c r="E254" s="400"/>
      <c r="F254" s="406"/>
      <c r="G254" s="400"/>
      <c r="H254" s="400"/>
      <c r="I254" s="400"/>
      <c r="J254" s="400"/>
      <c r="K254" s="400"/>
      <c r="L254" s="400"/>
      <c r="M254" s="400"/>
      <c r="N254" s="400"/>
      <c r="O254" s="400"/>
      <c r="P254" s="400"/>
      <c r="Q254" s="400"/>
      <c r="R254" s="406" t="s">
        <v>102</v>
      </c>
      <c r="S254" s="400" t="s">
        <v>103</v>
      </c>
      <c r="T254" s="406" t="s">
        <v>109</v>
      </c>
      <c r="U254" s="400" t="s">
        <v>103</v>
      </c>
      <c r="V254" s="263"/>
      <c r="W254" s="399"/>
      <c r="X254" s="5"/>
    </row>
    <row r="255" spans="1:25" ht="15.6" x14ac:dyDescent="0.3">
      <c r="A255" s="197"/>
      <c r="B255" s="234" t="s">
        <v>88</v>
      </c>
      <c r="C255" s="253"/>
      <c r="D255" s="253"/>
      <c r="E255" s="253"/>
      <c r="F255" s="231"/>
      <c r="G255" s="253"/>
      <c r="H255" s="253"/>
      <c r="I255" s="253"/>
      <c r="J255" s="253"/>
      <c r="K255" s="253"/>
      <c r="L255" s="253"/>
      <c r="M255" s="253"/>
      <c r="N255" s="253"/>
      <c r="O255" s="253"/>
      <c r="P255" s="253"/>
      <c r="Q255" s="253"/>
      <c r="R255" s="234">
        <v>7601</v>
      </c>
      <c r="S255" s="254">
        <f t="shared" ref="S255:S262" si="5">R255/$R$264</f>
        <v>0.99855491329479773</v>
      </c>
      <c r="T255" s="241">
        <v>1059714</v>
      </c>
      <c r="U255" s="254">
        <f t="shared" ref="U255:U262" si="6">T255/$T$264</f>
        <v>0.99737975977366544</v>
      </c>
      <c r="V255" s="250"/>
      <c r="W255" s="232"/>
      <c r="X255" s="5"/>
    </row>
    <row r="256" spans="1:25" ht="15.6" x14ac:dyDescent="0.3">
      <c r="A256" s="287"/>
      <c r="B256" s="337" t="s">
        <v>89</v>
      </c>
      <c r="C256" s="389"/>
      <c r="D256" s="389"/>
      <c r="E256" s="389"/>
      <c r="F256" s="288"/>
      <c r="G256" s="390"/>
      <c r="H256" s="389"/>
      <c r="I256" s="389"/>
      <c r="J256" s="389"/>
      <c r="K256" s="389"/>
      <c r="L256" s="389"/>
      <c r="M256" s="389"/>
      <c r="N256" s="389"/>
      <c r="O256" s="389"/>
      <c r="P256" s="389"/>
      <c r="Q256" s="389"/>
      <c r="R256" s="337">
        <v>7</v>
      </c>
      <c r="S256" s="390">
        <f t="shared" si="5"/>
        <v>9.196006305832896E-4</v>
      </c>
      <c r="T256" s="338">
        <v>2296</v>
      </c>
      <c r="U256" s="390">
        <f t="shared" si="6"/>
        <v>2.160945244132224E-3</v>
      </c>
      <c r="V256" s="365"/>
      <c r="W256" s="378"/>
      <c r="X256" s="5"/>
      <c r="Y256" s="109"/>
    </row>
    <row r="257" spans="1:25" ht="15.6" x14ac:dyDescent="0.3">
      <c r="A257" s="287"/>
      <c r="B257" s="337" t="s">
        <v>90</v>
      </c>
      <c r="C257" s="389"/>
      <c r="D257" s="389"/>
      <c r="E257" s="389"/>
      <c r="F257" s="288"/>
      <c r="G257" s="390"/>
      <c r="H257" s="389"/>
      <c r="I257" s="389"/>
      <c r="J257" s="389"/>
      <c r="K257" s="389"/>
      <c r="L257" s="389"/>
      <c r="M257" s="389"/>
      <c r="N257" s="389"/>
      <c r="O257" s="389"/>
      <c r="P257" s="389"/>
      <c r="Q257" s="389"/>
      <c r="R257" s="337">
        <v>1</v>
      </c>
      <c r="S257" s="390">
        <f t="shared" si="5"/>
        <v>1.3137151865475564E-4</v>
      </c>
      <c r="T257" s="338">
        <v>238</v>
      </c>
      <c r="U257" s="390">
        <f t="shared" si="6"/>
        <v>2.2400042164785251E-4</v>
      </c>
      <c r="V257" s="365"/>
      <c r="W257" s="378"/>
      <c r="X257" s="5"/>
    </row>
    <row r="258" spans="1:25" ht="15.6" x14ac:dyDescent="0.3">
      <c r="A258" s="287"/>
      <c r="B258" s="337" t="s">
        <v>156</v>
      </c>
      <c r="C258" s="389"/>
      <c r="D258" s="389"/>
      <c r="E258" s="389"/>
      <c r="F258" s="288"/>
      <c r="G258" s="390"/>
      <c r="H258" s="389"/>
      <c r="I258" s="389"/>
      <c r="J258" s="389"/>
      <c r="K258" s="389"/>
      <c r="L258" s="389"/>
      <c r="M258" s="389"/>
      <c r="N258" s="389"/>
      <c r="O258" s="389"/>
      <c r="P258" s="389"/>
      <c r="Q258" s="389"/>
      <c r="R258" s="337">
        <v>0</v>
      </c>
      <c r="S258" s="390">
        <f t="shared" si="5"/>
        <v>0</v>
      </c>
      <c r="T258" s="338">
        <v>0</v>
      </c>
      <c r="U258" s="390">
        <f t="shared" si="6"/>
        <v>0</v>
      </c>
      <c r="V258" s="365"/>
      <c r="W258" s="378"/>
      <c r="X258" s="5"/>
      <c r="Y258" s="109"/>
    </row>
    <row r="259" spans="1:25" ht="15.6" x14ac:dyDescent="0.3">
      <c r="A259" s="287"/>
      <c r="B259" s="337" t="s">
        <v>157</v>
      </c>
      <c r="C259" s="389"/>
      <c r="D259" s="389"/>
      <c r="E259" s="389"/>
      <c r="F259" s="288"/>
      <c r="G259" s="390"/>
      <c r="H259" s="389"/>
      <c r="I259" s="389"/>
      <c r="J259" s="389"/>
      <c r="K259" s="389"/>
      <c r="L259" s="389"/>
      <c r="M259" s="389"/>
      <c r="N259" s="389"/>
      <c r="O259" s="389"/>
      <c r="P259" s="389"/>
      <c r="Q259" s="389"/>
      <c r="R259" s="337">
        <v>0</v>
      </c>
      <c r="S259" s="390">
        <f t="shared" si="5"/>
        <v>0</v>
      </c>
      <c r="T259" s="338">
        <v>0</v>
      </c>
      <c r="U259" s="390">
        <f t="shared" si="6"/>
        <v>0</v>
      </c>
      <c r="V259" s="365"/>
      <c r="W259" s="378"/>
      <c r="X259" s="5"/>
    </row>
    <row r="260" spans="1:25" ht="15.6" x14ac:dyDescent="0.3">
      <c r="A260" s="287"/>
      <c r="B260" s="337" t="s">
        <v>158</v>
      </c>
      <c r="C260" s="389"/>
      <c r="D260" s="389"/>
      <c r="E260" s="389"/>
      <c r="F260" s="288"/>
      <c r="G260" s="390"/>
      <c r="H260" s="389"/>
      <c r="I260" s="389"/>
      <c r="J260" s="389"/>
      <c r="K260" s="389"/>
      <c r="L260" s="389"/>
      <c r="M260" s="389"/>
      <c r="N260" s="389"/>
      <c r="O260" s="389"/>
      <c r="P260" s="389"/>
      <c r="Q260" s="389"/>
      <c r="R260" s="337">
        <v>0</v>
      </c>
      <c r="S260" s="390">
        <f t="shared" si="5"/>
        <v>0</v>
      </c>
      <c r="T260" s="338">
        <v>0</v>
      </c>
      <c r="U260" s="390">
        <f t="shared" si="6"/>
        <v>0</v>
      </c>
      <c r="V260" s="365"/>
      <c r="W260" s="378"/>
      <c r="X260" s="5"/>
      <c r="Y260" s="109"/>
    </row>
    <row r="261" spans="1:25" ht="15.6" x14ac:dyDescent="0.3">
      <c r="A261" s="287"/>
      <c r="B261" s="337" t="s">
        <v>159</v>
      </c>
      <c r="C261" s="389"/>
      <c r="D261" s="389"/>
      <c r="E261" s="389"/>
      <c r="F261" s="288"/>
      <c r="G261" s="390"/>
      <c r="H261" s="389"/>
      <c r="I261" s="389"/>
      <c r="J261" s="389"/>
      <c r="K261" s="389"/>
      <c r="L261" s="389"/>
      <c r="M261" s="389"/>
      <c r="N261" s="389"/>
      <c r="O261" s="389"/>
      <c r="P261" s="389"/>
      <c r="Q261" s="389"/>
      <c r="R261" s="337">
        <v>0</v>
      </c>
      <c r="S261" s="390">
        <f t="shared" si="5"/>
        <v>0</v>
      </c>
      <c r="T261" s="338">
        <v>0</v>
      </c>
      <c r="U261" s="390">
        <f t="shared" si="6"/>
        <v>0</v>
      </c>
      <c r="V261" s="365"/>
      <c r="W261" s="378"/>
      <c r="X261" s="5"/>
    </row>
    <row r="262" spans="1:25" ht="15.6" x14ac:dyDescent="0.3">
      <c r="A262" s="287"/>
      <c r="B262" s="337" t="s">
        <v>160</v>
      </c>
      <c r="C262" s="389"/>
      <c r="D262" s="389"/>
      <c r="E262" s="389"/>
      <c r="F262" s="288"/>
      <c r="G262" s="390"/>
      <c r="H262" s="389"/>
      <c r="I262" s="389"/>
      <c r="J262" s="389"/>
      <c r="K262" s="389"/>
      <c r="L262" s="389"/>
      <c r="M262" s="389"/>
      <c r="N262" s="389"/>
      <c r="O262" s="389"/>
      <c r="P262" s="389"/>
      <c r="Q262" s="389"/>
      <c r="R262" s="337">
        <v>3</v>
      </c>
      <c r="S262" s="390">
        <f t="shared" si="5"/>
        <v>3.9411455596426696E-4</v>
      </c>
      <c r="T262" s="338">
        <v>250</v>
      </c>
      <c r="U262" s="390">
        <f t="shared" si="6"/>
        <v>2.3529456055446693E-4</v>
      </c>
      <c r="V262" s="365"/>
      <c r="W262" s="378"/>
      <c r="X262" s="5"/>
      <c r="Y262" s="109"/>
    </row>
    <row r="263" spans="1:25" ht="15.6" x14ac:dyDescent="0.3">
      <c r="A263" s="287"/>
      <c r="B263" s="337"/>
      <c r="C263" s="389"/>
      <c r="D263" s="389"/>
      <c r="E263" s="389"/>
      <c r="F263" s="288"/>
      <c r="G263" s="390"/>
      <c r="H263" s="389"/>
      <c r="I263" s="389"/>
      <c r="J263" s="389"/>
      <c r="K263" s="389"/>
      <c r="L263" s="389"/>
      <c r="M263" s="389"/>
      <c r="N263" s="389"/>
      <c r="O263" s="389"/>
      <c r="P263" s="389"/>
      <c r="Q263" s="389"/>
      <c r="R263" s="337"/>
      <c r="S263" s="390"/>
      <c r="T263" s="338"/>
      <c r="U263" s="390"/>
      <c r="V263" s="365"/>
      <c r="W263" s="378"/>
      <c r="X263" s="5"/>
    </row>
    <row r="264" spans="1:25" ht="15.6" x14ac:dyDescent="0.3">
      <c r="A264" s="287"/>
      <c r="B264" s="288"/>
      <c r="C264" s="288"/>
      <c r="D264" s="288"/>
      <c r="E264" s="288"/>
      <c r="F264" s="288"/>
      <c r="G264" s="288"/>
      <c r="H264" s="391"/>
      <c r="I264" s="391"/>
      <c r="J264" s="391"/>
      <c r="K264" s="391"/>
      <c r="L264" s="391"/>
      <c r="M264" s="391"/>
      <c r="N264" s="391"/>
      <c r="O264" s="391"/>
      <c r="P264" s="391"/>
      <c r="Q264" s="391"/>
      <c r="R264" s="337">
        <f>SUM(R255:R263)</f>
        <v>7612</v>
      </c>
      <c r="S264" s="390">
        <f>SUM(S255:S263)</f>
        <v>1</v>
      </c>
      <c r="T264" s="338">
        <f>SUM(T255:T263)</f>
        <v>1062498</v>
      </c>
      <c r="U264" s="390">
        <f>SUM(U255:U263)</f>
        <v>1</v>
      </c>
      <c r="V264" s="288"/>
      <c r="W264" s="291"/>
      <c r="X264" s="5"/>
    </row>
    <row r="265" spans="1:25" ht="15.6" x14ac:dyDescent="0.3">
      <c r="A265" s="183"/>
      <c r="B265" s="198"/>
      <c r="C265" s="198"/>
      <c r="D265" s="198"/>
      <c r="E265" s="198"/>
      <c r="F265" s="198"/>
      <c r="G265" s="198"/>
      <c r="H265" s="386"/>
      <c r="I265" s="386"/>
      <c r="J265" s="386"/>
      <c r="K265" s="386"/>
      <c r="L265" s="386"/>
      <c r="M265" s="386"/>
      <c r="N265" s="386"/>
      <c r="O265" s="386"/>
      <c r="P265" s="386"/>
      <c r="Q265" s="386"/>
      <c r="R265" s="335"/>
      <c r="S265" s="387"/>
      <c r="T265" s="388"/>
      <c r="U265" s="387"/>
      <c r="V265" s="198"/>
      <c r="W265" s="198"/>
      <c r="X265" s="5"/>
    </row>
    <row r="266" spans="1:25" ht="15.6" x14ac:dyDescent="0.3">
      <c r="A266" s="280"/>
      <c r="B266" s="399" t="s">
        <v>275</v>
      </c>
      <c r="C266" s="400"/>
      <c r="D266" s="400"/>
      <c r="E266" s="400"/>
      <c r="F266" s="406"/>
      <c r="G266" s="400"/>
      <c r="H266" s="400"/>
      <c r="I266" s="400"/>
      <c r="J266" s="400"/>
      <c r="K266" s="400"/>
      <c r="L266" s="400"/>
      <c r="M266" s="400"/>
      <c r="N266" s="400"/>
      <c r="O266" s="400"/>
      <c r="P266" s="400"/>
      <c r="Q266" s="400"/>
      <c r="R266" s="406" t="s">
        <v>102</v>
      </c>
      <c r="S266" s="400" t="s">
        <v>103</v>
      </c>
      <c r="T266" s="406" t="s">
        <v>109</v>
      </c>
      <c r="U266" s="400" t="s">
        <v>103</v>
      </c>
      <c r="V266" s="281"/>
      <c r="W266" s="282"/>
      <c r="X266" s="5"/>
    </row>
    <row r="267" spans="1:25" ht="15.6" x14ac:dyDescent="0.3">
      <c r="A267" s="197"/>
      <c r="B267" s="234" t="s">
        <v>88</v>
      </c>
      <c r="C267" s="253"/>
      <c r="D267" s="253"/>
      <c r="E267" s="253"/>
      <c r="F267" s="231"/>
      <c r="G267" s="253"/>
      <c r="H267" s="253"/>
      <c r="I267" s="253"/>
      <c r="J267" s="253"/>
      <c r="K267" s="253"/>
      <c r="L267" s="253"/>
      <c r="M267" s="253"/>
      <c r="N267" s="253"/>
      <c r="O267" s="253"/>
      <c r="P267" s="253"/>
      <c r="Q267" s="253"/>
      <c r="R267" s="234">
        <v>145</v>
      </c>
      <c r="S267" s="254">
        <f t="shared" ref="S267:S274" si="7">R267/$R$276</f>
        <v>0.79234972677595628</v>
      </c>
      <c r="T267" s="241">
        <v>20348</v>
      </c>
      <c r="U267" s="254">
        <f t="shared" ref="U267:U274" si="8">T267/$T$276</f>
        <v>0.8</v>
      </c>
      <c r="V267" s="231"/>
      <c r="W267" s="231"/>
      <c r="X267" s="5"/>
    </row>
    <row r="268" spans="1:25" ht="15.6" x14ac:dyDescent="0.3">
      <c r="A268" s="287"/>
      <c r="B268" s="337" t="s">
        <v>89</v>
      </c>
      <c r="C268" s="389"/>
      <c r="D268" s="389"/>
      <c r="E268" s="389"/>
      <c r="F268" s="288"/>
      <c r="G268" s="390"/>
      <c r="H268" s="389"/>
      <c r="I268" s="389"/>
      <c r="J268" s="389"/>
      <c r="K268" s="389"/>
      <c r="L268" s="389"/>
      <c r="M268" s="389"/>
      <c r="N268" s="389"/>
      <c r="O268" s="389"/>
      <c r="P268" s="389"/>
      <c r="Q268" s="389"/>
      <c r="R268" s="337">
        <v>5</v>
      </c>
      <c r="S268" s="390">
        <f t="shared" si="7"/>
        <v>2.7322404371584699E-2</v>
      </c>
      <c r="T268" s="338">
        <v>540</v>
      </c>
      <c r="U268" s="390">
        <f t="shared" si="8"/>
        <v>2.1230587772754078E-2</v>
      </c>
      <c r="V268" s="288"/>
      <c r="W268" s="291"/>
      <c r="X268" s="5"/>
    </row>
    <row r="269" spans="1:25" ht="15.6" x14ac:dyDescent="0.3">
      <c r="A269" s="287"/>
      <c r="B269" s="337" t="s">
        <v>90</v>
      </c>
      <c r="C269" s="389"/>
      <c r="D269" s="389"/>
      <c r="E269" s="389"/>
      <c r="F269" s="288"/>
      <c r="G269" s="390"/>
      <c r="H269" s="389"/>
      <c r="I269" s="389"/>
      <c r="J269" s="389"/>
      <c r="K269" s="389"/>
      <c r="L269" s="389"/>
      <c r="M269" s="389"/>
      <c r="N269" s="389"/>
      <c r="O269" s="389"/>
      <c r="P269" s="389"/>
      <c r="Q269" s="389"/>
      <c r="R269" s="337">
        <v>4</v>
      </c>
      <c r="S269" s="390">
        <f t="shared" si="7"/>
        <v>2.185792349726776E-2</v>
      </c>
      <c r="T269" s="338">
        <v>531</v>
      </c>
      <c r="U269" s="390">
        <f t="shared" si="8"/>
        <v>2.0876744643208177E-2</v>
      </c>
      <c r="V269" s="288"/>
      <c r="W269" s="291"/>
      <c r="X269" s="5"/>
    </row>
    <row r="270" spans="1:25" ht="15.6" x14ac:dyDescent="0.3">
      <c r="A270" s="287"/>
      <c r="B270" s="337" t="s">
        <v>156</v>
      </c>
      <c r="C270" s="389"/>
      <c r="D270" s="389"/>
      <c r="E270" s="389"/>
      <c r="F270" s="288"/>
      <c r="G270" s="390"/>
      <c r="H270" s="389"/>
      <c r="I270" s="389"/>
      <c r="J270" s="389"/>
      <c r="K270" s="389"/>
      <c r="L270" s="389"/>
      <c r="M270" s="389"/>
      <c r="N270" s="389"/>
      <c r="O270" s="389"/>
      <c r="P270" s="389"/>
      <c r="Q270" s="389"/>
      <c r="R270" s="337">
        <v>5</v>
      </c>
      <c r="S270" s="390">
        <f t="shared" si="7"/>
        <v>2.7322404371584699E-2</v>
      </c>
      <c r="T270" s="338">
        <v>505</v>
      </c>
      <c r="U270" s="390">
        <f t="shared" si="8"/>
        <v>1.985453115785335E-2</v>
      </c>
      <c r="V270" s="288"/>
      <c r="W270" s="291"/>
      <c r="X270" s="5"/>
    </row>
    <row r="271" spans="1:25" ht="15.6" x14ac:dyDescent="0.3">
      <c r="A271" s="287"/>
      <c r="B271" s="337" t="s">
        <v>157</v>
      </c>
      <c r="C271" s="389"/>
      <c r="D271" s="389"/>
      <c r="E271" s="389"/>
      <c r="F271" s="288"/>
      <c r="G271" s="390"/>
      <c r="H271" s="389"/>
      <c r="I271" s="389"/>
      <c r="J271" s="389"/>
      <c r="K271" s="389"/>
      <c r="L271" s="389"/>
      <c r="M271" s="389"/>
      <c r="N271" s="389"/>
      <c r="O271" s="389"/>
      <c r="P271" s="389"/>
      <c r="Q271" s="389"/>
      <c r="R271" s="337">
        <v>1</v>
      </c>
      <c r="S271" s="390">
        <f t="shared" si="7"/>
        <v>5.4644808743169399E-3</v>
      </c>
      <c r="T271" s="338">
        <v>70</v>
      </c>
      <c r="U271" s="390">
        <f t="shared" si="8"/>
        <v>2.7521132298014548E-3</v>
      </c>
      <c r="V271" s="288"/>
      <c r="W271" s="291"/>
      <c r="X271" s="5"/>
    </row>
    <row r="272" spans="1:25" ht="15.6" x14ac:dyDescent="0.3">
      <c r="A272" s="287"/>
      <c r="B272" s="337" t="s">
        <v>158</v>
      </c>
      <c r="C272" s="389"/>
      <c r="D272" s="389"/>
      <c r="E272" s="389"/>
      <c r="F272" s="288"/>
      <c r="G272" s="390"/>
      <c r="H272" s="389"/>
      <c r="I272" s="389"/>
      <c r="J272" s="389"/>
      <c r="K272" s="389"/>
      <c r="L272" s="389"/>
      <c r="M272" s="389"/>
      <c r="N272" s="389"/>
      <c r="O272" s="389"/>
      <c r="P272" s="389"/>
      <c r="Q272" s="389"/>
      <c r="R272" s="337">
        <v>3</v>
      </c>
      <c r="S272" s="390">
        <f t="shared" si="7"/>
        <v>1.6393442622950821E-2</v>
      </c>
      <c r="T272" s="338">
        <v>272</v>
      </c>
      <c r="U272" s="390">
        <f t="shared" si="8"/>
        <v>1.0693925692942795E-2</v>
      </c>
      <c r="V272" s="288"/>
      <c r="W272" s="291"/>
      <c r="X272" s="5"/>
    </row>
    <row r="273" spans="1:24" ht="15.6" x14ac:dyDescent="0.3">
      <c r="A273" s="287"/>
      <c r="B273" s="337" t="s">
        <v>159</v>
      </c>
      <c r="C273" s="389"/>
      <c r="D273" s="389"/>
      <c r="E273" s="389"/>
      <c r="F273" s="288"/>
      <c r="G273" s="390"/>
      <c r="H273" s="389"/>
      <c r="I273" s="389"/>
      <c r="J273" s="389"/>
      <c r="K273" s="389"/>
      <c r="L273" s="389"/>
      <c r="M273" s="389"/>
      <c r="N273" s="389"/>
      <c r="O273" s="389"/>
      <c r="P273" s="389"/>
      <c r="Q273" s="389"/>
      <c r="R273" s="337">
        <v>4</v>
      </c>
      <c r="S273" s="390">
        <f t="shared" si="7"/>
        <v>2.185792349726776E-2</v>
      </c>
      <c r="T273" s="338">
        <v>752</v>
      </c>
      <c r="U273" s="390">
        <f t="shared" si="8"/>
        <v>2.9565559268724197E-2</v>
      </c>
      <c r="V273" s="288"/>
      <c r="W273" s="291"/>
      <c r="X273" s="5"/>
    </row>
    <row r="274" spans="1:24" ht="15.6" x14ac:dyDescent="0.3">
      <c r="A274" s="287"/>
      <c r="B274" s="337" t="s">
        <v>160</v>
      </c>
      <c r="C274" s="389"/>
      <c r="D274" s="389"/>
      <c r="E274" s="389"/>
      <c r="F274" s="288"/>
      <c r="G274" s="390"/>
      <c r="H274" s="389"/>
      <c r="I274" s="389"/>
      <c r="J274" s="389"/>
      <c r="K274" s="389"/>
      <c r="L274" s="389"/>
      <c r="M274" s="389"/>
      <c r="N274" s="389"/>
      <c r="O274" s="389"/>
      <c r="P274" s="389"/>
      <c r="Q274" s="389"/>
      <c r="R274" s="337">
        <v>16</v>
      </c>
      <c r="S274" s="390">
        <f t="shared" si="7"/>
        <v>8.7431693989071038E-2</v>
      </c>
      <c r="T274" s="338">
        <v>2417</v>
      </c>
      <c r="U274" s="390">
        <f t="shared" si="8"/>
        <v>9.5026538234715949E-2</v>
      </c>
      <c r="V274" s="288"/>
      <c r="W274" s="291"/>
      <c r="X274" s="5"/>
    </row>
    <row r="275" spans="1:24" ht="15.6" x14ac:dyDescent="0.3">
      <c r="A275" s="287"/>
      <c r="B275" s="337"/>
      <c r="C275" s="389"/>
      <c r="D275" s="389"/>
      <c r="E275" s="389"/>
      <c r="F275" s="288"/>
      <c r="G275" s="390"/>
      <c r="H275" s="389"/>
      <c r="I275" s="389"/>
      <c r="J275" s="389"/>
      <c r="K275" s="389"/>
      <c r="L275" s="389"/>
      <c r="M275" s="389"/>
      <c r="N275" s="389"/>
      <c r="O275" s="389"/>
      <c r="P275" s="389"/>
      <c r="Q275" s="389"/>
      <c r="R275" s="337"/>
      <c r="S275" s="390"/>
      <c r="T275" s="338"/>
      <c r="U275" s="390"/>
      <c r="V275" s="288"/>
      <c r="W275" s="291"/>
      <c r="X275" s="5"/>
    </row>
    <row r="276" spans="1:24" ht="15.6" x14ac:dyDescent="0.3">
      <c r="A276" s="287"/>
      <c r="B276" s="288"/>
      <c r="C276" s="288"/>
      <c r="D276" s="288"/>
      <c r="E276" s="288"/>
      <c r="F276" s="288"/>
      <c r="G276" s="288"/>
      <c r="H276" s="391"/>
      <c r="I276" s="391"/>
      <c r="J276" s="391"/>
      <c r="K276" s="391"/>
      <c r="L276" s="391"/>
      <c r="M276" s="391"/>
      <c r="N276" s="391"/>
      <c r="O276" s="391"/>
      <c r="P276" s="391"/>
      <c r="Q276" s="391"/>
      <c r="R276" s="337">
        <f>SUM(R267:R275)</f>
        <v>183</v>
      </c>
      <c r="S276" s="390">
        <f>SUM(S267:S275)</f>
        <v>1.0000000000000002</v>
      </c>
      <c r="T276" s="338">
        <f>SUM(T267:T275)</f>
        <v>25435</v>
      </c>
      <c r="U276" s="390">
        <f>SUM(U267:U275)</f>
        <v>1</v>
      </c>
      <c r="V276" s="288"/>
      <c r="W276" s="291"/>
      <c r="X276" s="5"/>
    </row>
    <row r="277" spans="1:24" ht="15.6" x14ac:dyDescent="0.3">
      <c r="A277" s="183"/>
      <c r="B277" s="284"/>
      <c r="C277" s="284"/>
      <c r="D277" s="284"/>
      <c r="E277" s="284"/>
      <c r="F277" s="284"/>
      <c r="G277" s="284"/>
      <c r="H277" s="392"/>
      <c r="I277" s="392"/>
      <c r="J277" s="392"/>
      <c r="K277" s="392"/>
      <c r="L277" s="392"/>
      <c r="M277" s="392"/>
      <c r="N277" s="392"/>
      <c r="O277" s="392"/>
      <c r="P277" s="392"/>
      <c r="Q277" s="392"/>
      <c r="R277" s="339"/>
      <c r="S277" s="393"/>
      <c r="T277" s="394"/>
      <c r="U277" s="393"/>
      <c r="V277" s="284"/>
      <c r="W277" s="284"/>
      <c r="X277" s="5"/>
    </row>
    <row r="278" spans="1:24" ht="15.6" x14ac:dyDescent="0.3">
      <c r="A278" s="280"/>
      <c r="B278" s="399" t="s">
        <v>163</v>
      </c>
      <c r="C278" s="281"/>
      <c r="D278" s="281"/>
      <c r="E278" s="281"/>
      <c r="F278" s="281"/>
      <c r="G278" s="281"/>
      <c r="H278" s="283"/>
      <c r="I278" s="283"/>
      <c r="J278" s="283"/>
      <c r="K278" s="283"/>
      <c r="L278" s="283"/>
      <c r="M278" s="283"/>
      <c r="N278" s="283"/>
      <c r="O278" s="283"/>
      <c r="P278" s="283"/>
      <c r="Q278" s="283"/>
      <c r="R278" s="406" t="s">
        <v>102</v>
      </c>
      <c r="S278" s="400" t="s">
        <v>103</v>
      </c>
      <c r="T278" s="406" t="s">
        <v>109</v>
      </c>
      <c r="U278" s="400" t="s">
        <v>103</v>
      </c>
      <c r="V278" s="281"/>
      <c r="W278" s="282"/>
      <c r="X278" s="5"/>
    </row>
    <row r="279" spans="1:24" ht="15.6" x14ac:dyDescent="0.3">
      <c r="A279" s="197"/>
      <c r="B279" s="234" t="s">
        <v>88</v>
      </c>
      <c r="C279" s="231"/>
      <c r="D279" s="231"/>
      <c r="E279" s="231"/>
      <c r="F279" s="231"/>
      <c r="G279" s="231"/>
      <c r="H279" s="255"/>
      <c r="I279" s="255"/>
      <c r="J279" s="255"/>
      <c r="K279" s="255"/>
      <c r="L279" s="255"/>
      <c r="M279" s="255"/>
      <c r="N279" s="255"/>
      <c r="O279" s="255"/>
      <c r="P279" s="255"/>
      <c r="Q279" s="255"/>
      <c r="R279" s="234">
        <v>0</v>
      </c>
      <c r="S279" s="254">
        <v>0</v>
      </c>
      <c r="T279" s="241">
        <v>0</v>
      </c>
      <c r="U279" s="254">
        <v>0</v>
      </c>
      <c r="V279" s="231"/>
      <c r="W279" s="231"/>
      <c r="X279" s="5"/>
    </row>
    <row r="280" spans="1:24" ht="15.6" x14ac:dyDescent="0.3">
      <c r="A280" s="287"/>
      <c r="B280" s="337" t="s">
        <v>89</v>
      </c>
      <c r="C280" s="288"/>
      <c r="D280" s="288"/>
      <c r="E280" s="288"/>
      <c r="F280" s="288"/>
      <c r="G280" s="288"/>
      <c r="H280" s="391"/>
      <c r="I280" s="391"/>
      <c r="J280" s="391"/>
      <c r="K280" s="391"/>
      <c r="L280" s="391"/>
      <c r="M280" s="391"/>
      <c r="N280" s="391"/>
      <c r="O280" s="391"/>
      <c r="P280" s="391"/>
      <c r="Q280" s="391"/>
      <c r="R280" s="337">
        <v>0</v>
      </c>
      <c r="S280" s="390">
        <v>0</v>
      </c>
      <c r="T280" s="338">
        <v>0</v>
      </c>
      <c r="U280" s="390">
        <v>0</v>
      </c>
      <c r="V280" s="288"/>
      <c r="W280" s="291"/>
      <c r="X280" s="5"/>
    </row>
    <row r="281" spans="1:24" ht="15.6" x14ac:dyDescent="0.3">
      <c r="A281" s="287"/>
      <c r="B281" s="337" t="s">
        <v>90</v>
      </c>
      <c r="C281" s="288"/>
      <c r="D281" s="288"/>
      <c r="E281" s="288"/>
      <c r="F281" s="288"/>
      <c r="G281" s="288"/>
      <c r="H281" s="391"/>
      <c r="I281" s="391"/>
      <c r="J281" s="391"/>
      <c r="K281" s="391"/>
      <c r="L281" s="391"/>
      <c r="M281" s="391"/>
      <c r="N281" s="391"/>
      <c r="O281" s="391"/>
      <c r="P281" s="391"/>
      <c r="Q281" s="391"/>
      <c r="R281" s="337">
        <v>0</v>
      </c>
      <c r="S281" s="390">
        <v>0</v>
      </c>
      <c r="T281" s="338">
        <v>0</v>
      </c>
      <c r="U281" s="390">
        <v>0</v>
      </c>
      <c r="V281" s="288"/>
      <c r="W281" s="291"/>
      <c r="X281" s="5"/>
    </row>
    <row r="282" spans="1:24" ht="15.6" x14ac:dyDescent="0.3">
      <c r="A282" s="287"/>
      <c r="B282" s="337" t="s">
        <v>156</v>
      </c>
      <c r="C282" s="288"/>
      <c r="D282" s="288"/>
      <c r="E282" s="288"/>
      <c r="F282" s="288"/>
      <c r="G282" s="288"/>
      <c r="H282" s="391"/>
      <c r="I282" s="391"/>
      <c r="J282" s="391"/>
      <c r="K282" s="391"/>
      <c r="L282" s="391"/>
      <c r="M282" s="391"/>
      <c r="N282" s="391"/>
      <c r="O282" s="391"/>
      <c r="P282" s="391"/>
      <c r="Q282" s="391"/>
      <c r="R282" s="337">
        <v>0</v>
      </c>
      <c r="S282" s="390">
        <v>0</v>
      </c>
      <c r="T282" s="338">
        <v>0</v>
      </c>
      <c r="U282" s="390">
        <v>0</v>
      </c>
      <c r="V282" s="288"/>
      <c r="W282" s="291"/>
      <c r="X282" s="5"/>
    </row>
    <row r="283" spans="1:24" ht="15.6" x14ac:dyDescent="0.3">
      <c r="A283" s="287"/>
      <c r="B283" s="337" t="s">
        <v>157</v>
      </c>
      <c r="C283" s="288"/>
      <c r="D283" s="288"/>
      <c r="E283" s="288"/>
      <c r="F283" s="288"/>
      <c r="G283" s="288"/>
      <c r="H283" s="391"/>
      <c r="I283" s="391"/>
      <c r="J283" s="391"/>
      <c r="K283" s="391"/>
      <c r="L283" s="391"/>
      <c r="M283" s="391"/>
      <c r="N283" s="391"/>
      <c r="O283" s="391"/>
      <c r="P283" s="391"/>
      <c r="Q283" s="391"/>
      <c r="R283" s="337">
        <v>0</v>
      </c>
      <c r="S283" s="390">
        <v>0</v>
      </c>
      <c r="T283" s="338">
        <v>0</v>
      </c>
      <c r="U283" s="390">
        <v>0</v>
      </c>
      <c r="V283" s="288"/>
      <c r="W283" s="291"/>
      <c r="X283" s="5"/>
    </row>
    <row r="284" spans="1:24" ht="15.6" x14ac:dyDescent="0.3">
      <c r="A284" s="287"/>
      <c r="B284" s="337" t="s">
        <v>158</v>
      </c>
      <c r="C284" s="288"/>
      <c r="D284" s="288"/>
      <c r="E284" s="288"/>
      <c r="F284" s="288"/>
      <c r="G284" s="288"/>
      <c r="H284" s="391"/>
      <c r="I284" s="391"/>
      <c r="J284" s="391"/>
      <c r="K284" s="391"/>
      <c r="L284" s="391"/>
      <c r="M284" s="391"/>
      <c r="N284" s="391"/>
      <c r="O284" s="391"/>
      <c r="P284" s="391"/>
      <c r="Q284" s="391"/>
      <c r="R284" s="337">
        <v>0</v>
      </c>
      <c r="S284" s="390">
        <v>0</v>
      </c>
      <c r="T284" s="338">
        <v>0</v>
      </c>
      <c r="U284" s="390">
        <v>0</v>
      </c>
      <c r="V284" s="288"/>
      <c r="W284" s="291"/>
      <c r="X284" s="5"/>
    </row>
    <row r="285" spans="1:24" ht="15.6" x14ac:dyDescent="0.3">
      <c r="A285" s="287"/>
      <c r="B285" s="337" t="s">
        <v>159</v>
      </c>
      <c r="C285" s="288"/>
      <c r="D285" s="288"/>
      <c r="E285" s="288"/>
      <c r="F285" s="288"/>
      <c r="G285" s="288"/>
      <c r="H285" s="391"/>
      <c r="I285" s="391"/>
      <c r="J285" s="391"/>
      <c r="K285" s="391"/>
      <c r="L285" s="391"/>
      <c r="M285" s="391"/>
      <c r="N285" s="391"/>
      <c r="O285" s="391"/>
      <c r="P285" s="391"/>
      <c r="Q285" s="391"/>
      <c r="R285" s="337">
        <v>0</v>
      </c>
      <c r="S285" s="390">
        <v>0</v>
      </c>
      <c r="T285" s="338">
        <v>0</v>
      </c>
      <c r="U285" s="390">
        <v>0</v>
      </c>
      <c r="V285" s="288"/>
      <c r="W285" s="291"/>
      <c r="X285" s="5"/>
    </row>
    <row r="286" spans="1:24" ht="15.6" x14ac:dyDescent="0.3">
      <c r="A286" s="287"/>
      <c r="B286" s="337" t="s">
        <v>160</v>
      </c>
      <c r="C286" s="288"/>
      <c r="D286" s="288"/>
      <c r="E286" s="288"/>
      <c r="F286" s="288"/>
      <c r="G286" s="288"/>
      <c r="H286" s="391"/>
      <c r="I286" s="391"/>
      <c r="J286" s="391"/>
      <c r="K286" s="391"/>
      <c r="L286" s="391"/>
      <c r="M286" s="391"/>
      <c r="N286" s="391"/>
      <c r="O286" s="391"/>
      <c r="P286" s="391"/>
      <c r="Q286" s="391"/>
      <c r="R286" s="337">
        <v>0</v>
      </c>
      <c r="S286" s="390">
        <v>0</v>
      </c>
      <c r="T286" s="338">
        <v>0</v>
      </c>
      <c r="U286" s="390">
        <v>0</v>
      </c>
      <c r="V286" s="288"/>
      <c r="W286" s="291"/>
      <c r="X286" s="5"/>
    </row>
    <row r="287" spans="1:24" ht="15.6" x14ac:dyDescent="0.3">
      <c r="A287" s="287"/>
      <c r="B287" s="337"/>
      <c r="C287" s="288"/>
      <c r="D287" s="288"/>
      <c r="E287" s="288"/>
      <c r="F287" s="288"/>
      <c r="G287" s="288"/>
      <c r="H287" s="391"/>
      <c r="I287" s="391"/>
      <c r="J287" s="391"/>
      <c r="K287" s="391"/>
      <c r="L287" s="391"/>
      <c r="M287" s="391"/>
      <c r="N287" s="391"/>
      <c r="O287" s="391"/>
      <c r="P287" s="391"/>
      <c r="Q287" s="391"/>
      <c r="R287" s="337"/>
      <c r="S287" s="390"/>
      <c r="T287" s="338"/>
      <c r="U287" s="390"/>
      <c r="V287" s="288"/>
      <c r="W287" s="291"/>
      <c r="X287" s="5"/>
    </row>
    <row r="288" spans="1:24" ht="15.6" x14ac:dyDescent="0.3">
      <c r="A288" s="287"/>
      <c r="B288" s="288" t="s">
        <v>114</v>
      </c>
      <c r="C288" s="288"/>
      <c r="D288" s="288"/>
      <c r="E288" s="288"/>
      <c r="F288" s="288"/>
      <c r="G288" s="288"/>
      <c r="H288" s="391"/>
      <c r="I288" s="391"/>
      <c r="J288" s="391"/>
      <c r="K288" s="391"/>
      <c r="L288" s="391"/>
      <c r="M288" s="391"/>
      <c r="N288" s="391"/>
      <c r="O288" s="391"/>
      <c r="P288" s="391"/>
      <c r="Q288" s="391"/>
      <c r="R288" s="337">
        <f>SUM(R279:R286)</f>
        <v>0</v>
      </c>
      <c r="S288" s="390">
        <f>SUM(S279:S287)</f>
        <v>0</v>
      </c>
      <c r="T288" s="338">
        <f>SUM(T279:T286)</f>
        <v>0</v>
      </c>
      <c r="U288" s="390">
        <f>SUM(U279:U287)</f>
        <v>0</v>
      </c>
      <c r="V288" s="288"/>
      <c r="W288" s="291"/>
      <c r="X288" s="5"/>
    </row>
    <row r="289" spans="1:24" ht="15.6" x14ac:dyDescent="0.3">
      <c r="A289" s="287"/>
      <c r="B289" s="288"/>
      <c r="C289" s="288"/>
      <c r="D289" s="288"/>
      <c r="E289" s="288"/>
      <c r="F289" s="288"/>
      <c r="G289" s="288"/>
      <c r="H289" s="391"/>
      <c r="I289" s="391"/>
      <c r="J289" s="391"/>
      <c r="K289" s="391"/>
      <c r="L289" s="391"/>
      <c r="M289" s="391"/>
      <c r="N289" s="391"/>
      <c r="O289" s="391"/>
      <c r="P289" s="391"/>
      <c r="Q289" s="391"/>
      <c r="R289" s="337"/>
      <c r="S289" s="390"/>
      <c r="T289" s="338"/>
      <c r="U289" s="390"/>
      <c r="V289" s="288"/>
      <c r="W289" s="291"/>
      <c r="X289" s="5"/>
    </row>
    <row r="290" spans="1:24" ht="15.6" x14ac:dyDescent="0.3">
      <c r="A290" s="287"/>
      <c r="B290" s="295" t="s">
        <v>164</v>
      </c>
      <c r="C290" s="288"/>
      <c r="D290" s="288"/>
      <c r="E290" s="288"/>
      <c r="F290" s="288"/>
      <c r="G290" s="288"/>
      <c r="H290" s="391"/>
      <c r="I290" s="391"/>
      <c r="J290" s="391"/>
      <c r="K290" s="391"/>
      <c r="L290" s="391"/>
      <c r="M290" s="391"/>
      <c r="N290" s="391"/>
      <c r="O290" s="391"/>
      <c r="P290" s="391"/>
      <c r="Q290" s="391"/>
      <c r="R290" s="407">
        <f>R288+R276+R264</f>
        <v>7795</v>
      </c>
      <c r="S290" s="390"/>
      <c r="T290" s="396">
        <f>+T288+T276+T264</f>
        <v>1087933</v>
      </c>
      <c r="U290" s="390"/>
      <c r="V290" s="288"/>
      <c r="W290" s="291"/>
      <c r="X290" s="5"/>
    </row>
    <row r="291" spans="1:24" ht="15.6" x14ac:dyDescent="0.3">
      <c r="A291" s="183"/>
      <c r="B291" s="284"/>
      <c r="C291" s="284"/>
      <c r="D291" s="284"/>
      <c r="E291" s="284"/>
      <c r="F291" s="284"/>
      <c r="G291" s="284"/>
      <c r="H291" s="392"/>
      <c r="I291" s="392"/>
      <c r="J291" s="392"/>
      <c r="K291" s="392"/>
      <c r="L291" s="392"/>
      <c r="M291" s="392"/>
      <c r="N291" s="392"/>
      <c r="O291" s="392"/>
      <c r="P291" s="392"/>
      <c r="Q291" s="392"/>
      <c r="R291" s="392"/>
      <c r="S291" s="392"/>
      <c r="T291" s="394"/>
      <c r="U291" s="392"/>
      <c r="V291" s="284"/>
      <c r="W291" s="284"/>
      <c r="X291" s="5"/>
    </row>
    <row r="292" spans="1:24" ht="15.6" x14ac:dyDescent="0.3">
      <c r="A292" s="183"/>
      <c r="B292" s="224"/>
      <c r="C292" s="224"/>
      <c r="D292" s="224"/>
      <c r="E292" s="224"/>
      <c r="F292" s="224"/>
      <c r="G292" s="224"/>
      <c r="H292" s="256"/>
      <c r="I292" s="256"/>
      <c r="J292" s="256"/>
      <c r="K292" s="256"/>
      <c r="L292" s="256"/>
      <c r="M292" s="256"/>
      <c r="N292" s="256"/>
      <c r="O292" s="256"/>
      <c r="P292" s="256"/>
      <c r="Q292" s="256"/>
      <c r="R292" s="256"/>
      <c r="S292" s="256"/>
      <c r="T292" s="257"/>
      <c r="U292" s="256"/>
      <c r="V292" s="224"/>
      <c r="W292" s="224"/>
      <c r="X292" s="5"/>
    </row>
    <row r="293" spans="1:24" ht="15.6" x14ac:dyDescent="0.3">
      <c r="A293" s="219"/>
      <c r="B293" s="222" t="s">
        <v>91</v>
      </c>
      <c r="C293" s="224"/>
      <c r="D293" s="224"/>
      <c r="E293" s="224"/>
      <c r="F293" s="228" t="s">
        <v>97</v>
      </c>
      <c r="G293" s="224"/>
      <c r="H293" s="222" t="s">
        <v>99</v>
      </c>
      <c r="I293" s="222"/>
      <c r="J293" s="222"/>
      <c r="K293" s="258"/>
      <c r="L293" s="258"/>
      <c r="M293" s="258"/>
      <c r="N293" s="258"/>
      <c r="O293" s="258"/>
      <c r="P293" s="258"/>
      <c r="Q293" s="258"/>
      <c r="R293" s="258"/>
      <c r="S293" s="258"/>
      <c r="T293" s="258"/>
      <c r="U293" s="258"/>
      <c r="V293" s="258"/>
      <c r="W293" s="258"/>
      <c r="X293" s="5"/>
    </row>
    <row r="294" spans="1:24" ht="15.6" x14ac:dyDescent="0.3">
      <c r="A294" s="219"/>
      <c r="B294" s="258"/>
      <c r="C294" s="224"/>
      <c r="D294" s="224"/>
      <c r="E294" s="224"/>
      <c r="F294" s="224"/>
      <c r="G294" s="224"/>
      <c r="H294" s="224"/>
      <c r="I294" s="224"/>
      <c r="J294" s="224"/>
      <c r="K294" s="258"/>
      <c r="L294" s="258"/>
      <c r="M294" s="258"/>
      <c r="N294" s="258"/>
      <c r="O294" s="258"/>
      <c r="P294" s="258"/>
      <c r="Q294" s="258"/>
      <c r="R294" s="258"/>
      <c r="S294" s="258"/>
      <c r="T294" s="258"/>
      <c r="U294" s="258"/>
      <c r="V294" s="258"/>
      <c r="W294" s="258"/>
      <c r="X294" s="5"/>
    </row>
    <row r="295" spans="1:24" ht="15.6" x14ac:dyDescent="0.3">
      <c r="A295" s="219"/>
      <c r="B295" s="222" t="s">
        <v>338</v>
      </c>
      <c r="C295" s="222"/>
      <c r="D295" s="222"/>
      <c r="E295" s="222"/>
      <c r="F295" s="259" t="s">
        <v>148</v>
      </c>
      <c r="G295" s="222"/>
      <c r="H295" s="222" t="s">
        <v>152</v>
      </c>
      <c r="I295" s="222"/>
      <c r="J295" s="222"/>
      <c r="K295" s="258"/>
      <c r="L295" s="258"/>
      <c r="M295" s="258"/>
      <c r="N295" s="258"/>
      <c r="O295" s="258"/>
      <c r="P295" s="258"/>
      <c r="Q295" s="258"/>
      <c r="R295" s="258"/>
      <c r="S295" s="258"/>
      <c r="T295" s="258"/>
      <c r="U295" s="258"/>
      <c r="V295" s="258"/>
      <c r="W295" s="258"/>
      <c r="X295" s="5"/>
    </row>
    <row r="296" spans="1:24" ht="15.6" x14ac:dyDescent="0.3">
      <c r="A296" s="219"/>
      <c r="B296" s="222" t="s">
        <v>339</v>
      </c>
      <c r="C296" s="222"/>
      <c r="D296" s="222"/>
      <c r="E296" s="222"/>
      <c r="F296" s="259" t="s">
        <v>278</v>
      </c>
      <c r="G296" s="222"/>
      <c r="H296" s="222" t="s">
        <v>279</v>
      </c>
      <c r="I296" s="258"/>
      <c r="J296" s="222"/>
      <c r="K296" s="258"/>
      <c r="L296" s="258"/>
      <c r="M296" s="258"/>
      <c r="N296" s="258"/>
      <c r="O296" s="258"/>
      <c r="P296" s="258"/>
      <c r="Q296" s="258"/>
      <c r="R296" s="258"/>
      <c r="S296" s="258"/>
      <c r="T296" s="258"/>
      <c r="U296" s="258"/>
      <c r="V296" s="258"/>
      <c r="W296" s="258"/>
      <c r="X296" s="5"/>
    </row>
    <row r="297" spans="1:24" ht="15.6" x14ac:dyDescent="0.3">
      <c r="A297" s="219"/>
      <c r="B297" s="222" t="s">
        <v>340</v>
      </c>
      <c r="C297" s="222"/>
      <c r="D297" s="222"/>
      <c r="E297" s="222"/>
      <c r="F297" s="259" t="s">
        <v>147</v>
      </c>
      <c r="G297" s="222"/>
      <c r="H297" s="222" t="s">
        <v>153</v>
      </c>
      <c r="I297" s="222"/>
      <c r="J297" s="222"/>
      <c r="K297" s="258"/>
      <c r="L297" s="258"/>
      <c r="M297" s="258"/>
      <c r="N297" s="258"/>
      <c r="O297" s="258"/>
      <c r="P297" s="258"/>
      <c r="Q297" s="258"/>
      <c r="R297" s="258"/>
      <c r="S297" s="258"/>
      <c r="T297" s="258"/>
      <c r="U297" s="258"/>
      <c r="V297" s="258"/>
      <c r="W297" s="258"/>
      <c r="X297" s="5"/>
    </row>
    <row r="298" spans="1:24" ht="15.6" x14ac:dyDescent="0.3">
      <c r="A298" s="219"/>
      <c r="B298" s="222"/>
      <c r="C298" s="222"/>
      <c r="D298" s="222"/>
      <c r="E298" s="222"/>
      <c r="F298" s="222"/>
      <c r="G298" s="260"/>
      <c r="H298" s="258"/>
      <c r="I298" s="258"/>
      <c r="J298" s="258"/>
      <c r="K298" s="258"/>
      <c r="L298" s="258"/>
      <c r="M298" s="258"/>
      <c r="N298" s="258"/>
      <c r="O298" s="258"/>
      <c r="P298" s="258"/>
      <c r="Q298" s="258"/>
      <c r="R298" s="258"/>
      <c r="S298" s="258"/>
      <c r="T298" s="258"/>
      <c r="U298" s="258"/>
      <c r="V298" s="258"/>
      <c r="W298" s="258"/>
      <c r="X298" s="5"/>
    </row>
    <row r="299" spans="1:24" ht="15.6" x14ac:dyDescent="0.3">
      <c r="A299" s="219"/>
      <c r="B299" s="222"/>
      <c r="C299" s="222"/>
      <c r="D299" s="222"/>
      <c r="E299" s="222"/>
      <c r="F299" s="222"/>
      <c r="G299" s="260"/>
      <c r="H299" s="258"/>
      <c r="I299" s="258"/>
      <c r="J299" s="258"/>
      <c r="K299" s="258"/>
      <c r="L299" s="258"/>
      <c r="M299" s="258"/>
      <c r="N299" s="258"/>
      <c r="O299" s="258"/>
      <c r="P299" s="258"/>
      <c r="Q299" s="258"/>
      <c r="R299" s="258"/>
      <c r="S299" s="258"/>
      <c r="T299" s="258"/>
      <c r="U299" s="258"/>
      <c r="V299" s="258"/>
      <c r="W299" s="258"/>
      <c r="X299" s="5"/>
    </row>
    <row r="300" spans="1:24" ht="18" thickBot="1" x14ac:dyDescent="0.35">
      <c r="A300" s="219"/>
      <c r="B300" s="261" t="str">
        <f>B204</f>
        <v>PM14 INVESTOR REPORT QUARTER ENDING AUGUST 2013</v>
      </c>
      <c r="C300" s="222"/>
      <c r="D300" s="222"/>
      <c r="E300" s="222"/>
      <c r="F300" s="222"/>
      <c r="G300" s="260"/>
      <c r="H300" s="258"/>
      <c r="I300" s="258"/>
      <c r="J300" s="258"/>
      <c r="K300" s="258"/>
      <c r="L300" s="258"/>
      <c r="M300" s="258"/>
      <c r="N300" s="258"/>
      <c r="O300" s="258"/>
      <c r="P300" s="258"/>
      <c r="Q300" s="258"/>
      <c r="R300" s="258"/>
      <c r="S300" s="258"/>
      <c r="T300" s="258"/>
      <c r="U300" s="258"/>
      <c r="V300" s="258"/>
      <c r="W300" s="258"/>
      <c r="X300" s="5"/>
    </row>
    <row r="301" spans="1:24" x14ac:dyDescent="0.25">
      <c r="A301" s="100"/>
      <c r="B301" s="100"/>
      <c r="C301" s="100"/>
      <c r="D301" s="100"/>
      <c r="E301" s="100"/>
      <c r="F301" s="100"/>
      <c r="G301" s="100"/>
      <c r="H301" s="100"/>
      <c r="I301" s="100"/>
      <c r="J301" s="100"/>
      <c r="K301" s="100"/>
      <c r="L301" s="100"/>
      <c r="M301" s="100"/>
      <c r="N301" s="100"/>
      <c r="O301" s="100"/>
      <c r="P301" s="100"/>
      <c r="Q301" s="100"/>
      <c r="R301" s="100"/>
      <c r="S301" s="100"/>
      <c r="T301" s="100"/>
      <c r="U301" s="100"/>
      <c r="V301" s="100"/>
      <c r="W301" s="100"/>
    </row>
  </sheetData>
  <hyperlinks>
    <hyperlink ref="P240" r:id="rId1" xr:uid="{00000000-0004-0000-1800-000000000000}"/>
    <hyperlink ref="I9" r:id="rId2" xr:uid="{00000000-0004-0000-18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8" max="14" man="1"/>
    <brk id="204" max="14" man="1"/>
  </rowBreaks>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theme="4"/>
  </sheetPr>
  <dimension ref="A1:IV301"/>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80"/>
      <c r="B1" s="220" t="s">
        <v>244</v>
      </c>
      <c r="C1" s="181"/>
      <c r="D1" s="181"/>
      <c r="E1" s="181"/>
      <c r="F1" s="181"/>
      <c r="G1" s="181"/>
      <c r="H1" s="181"/>
      <c r="I1" s="181"/>
      <c r="J1" s="181"/>
      <c r="K1" s="181"/>
      <c r="L1" s="181"/>
      <c r="M1" s="181"/>
      <c r="N1" s="181"/>
      <c r="O1" s="181"/>
      <c r="P1" s="181"/>
      <c r="Q1" s="181"/>
      <c r="R1" s="181"/>
      <c r="S1" s="181"/>
      <c r="T1" s="181"/>
      <c r="U1" s="181"/>
      <c r="V1" s="181"/>
      <c r="W1" s="181"/>
      <c r="X1" s="5"/>
    </row>
    <row r="2" spans="1:24" ht="15.6" x14ac:dyDescent="0.3">
      <c r="A2" s="183"/>
      <c r="B2" s="184"/>
      <c r="C2" s="185"/>
      <c r="D2" s="185"/>
      <c r="E2" s="185"/>
      <c r="F2" s="185"/>
      <c r="G2" s="185"/>
      <c r="H2" s="185"/>
      <c r="I2" s="185"/>
      <c r="J2" s="185"/>
      <c r="K2" s="185"/>
      <c r="L2" s="185"/>
      <c r="M2" s="185"/>
      <c r="N2" s="185"/>
      <c r="O2" s="185"/>
      <c r="P2" s="185"/>
      <c r="Q2" s="185"/>
      <c r="R2" s="185"/>
      <c r="S2" s="185"/>
      <c r="T2" s="185"/>
      <c r="U2" s="185"/>
      <c r="V2" s="185"/>
      <c r="W2" s="185"/>
      <c r="X2" s="5"/>
    </row>
    <row r="3" spans="1:24" ht="15.6" x14ac:dyDescent="0.3">
      <c r="A3" s="186"/>
      <c r="B3" s="187" t="s">
        <v>245</v>
      </c>
      <c r="C3" s="185"/>
      <c r="D3" s="185"/>
      <c r="E3" s="185"/>
      <c r="F3" s="185"/>
      <c r="G3" s="185"/>
      <c r="H3" s="185"/>
      <c r="I3" s="185"/>
      <c r="J3" s="185"/>
      <c r="K3" s="185"/>
      <c r="L3" s="185"/>
      <c r="M3" s="185"/>
      <c r="N3" s="185"/>
      <c r="O3" s="185"/>
      <c r="P3" s="185"/>
      <c r="Q3" s="185"/>
      <c r="R3" s="185"/>
      <c r="S3" s="185"/>
      <c r="T3" s="185"/>
      <c r="U3" s="185"/>
      <c r="V3" s="185"/>
      <c r="W3" s="185"/>
      <c r="X3" s="5"/>
    </row>
    <row r="4" spans="1:24" ht="15.6" x14ac:dyDescent="0.3">
      <c r="A4" s="183"/>
      <c r="B4" s="184"/>
      <c r="C4" s="185"/>
      <c r="D4" s="185"/>
      <c r="E4" s="185"/>
      <c r="F4" s="185"/>
      <c r="G4" s="185"/>
      <c r="H4" s="185"/>
      <c r="I4" s="185"/>
      <c r="J4" s="185"/>
      <c r="K4" s="185"/>
      <c r="L4" s="185"/>
      <c r="M4" s="185"/>
      <c r="N4" s="185"/>
      <c r="O4" s="185"/>
      <c r="P4" s="185"/>
      <c r="Q4" s="185"/>
      <c r="R4" s="185"/>
      <c r="S4" s="185"/>
      <c r="T4" s="185"/>
      <c r="U4" s="185"/>
      <c r="V4" s="185"/>
      <c r="W4" s="185"/>
      <c r="X4" s="5"/>
    </row>
    <row r="5" spans="1:24" ht="15.6" x14ac:dyDescent="0.3">
      <c r="A5" s="183"/>
      <c r="B5" s="221" t="s">
        <v>137</v>
      </c>
      <c r="C5" s="185"/>
      <c r="D5" s="185"/>
      <c r="E5" s="185"/>
      <c r="F5" s="185"/>
      <c r="G5" s="185"/>
      <c r="H5" s="185"/>
      <c r="I5" s="185"/>
      <c r="J5" s="185"/>
      <c r="K5" s="185"/>
      <c r="L5" s="185"/>
      <c r="M5" s="185"/>
      <c r="N5" s="185"/>
      <c r="O5" s="185"/>
      <c r="P5" s="185"/>
      <c r="Q5" s="185"/>
      <c r="R5" s="185"/>
      <c r="S5" s="185"/>
      <c r="T5" s="185"/>
      <c r="U5" s="185"/>
      <c r="V5" s="185"/>
      <c r="W5" s="185"/>
      <c r="X5" s="5"/>
    </row>
    <row r="6" spans="1:24" ht="15.6" x14ac:dyDescent="0.3">
      <c r="A6" s="183"/>
      <c r="B6" s="221" t="s">
        <v>139</v>
      </c>
      <c r="C6" s="185"/>
      <c r="D6" s="185"/>
      <c r="E6" s="185"/>
      <c r="F6" s="185"/>
      <c r="G6" s="185"/>
      <c r="H6" s="185"/>
      <c r="I6" s="185"/>
      <c r="J6" s="185"/>
      <c r="K6" s="185"/>
      <c r="L6" s="185"/>
      <c r="M6" s="185"/>
      <c r="N6" s="185"/>
      <c r="O6" s="185"/>
      <c r="P6" s="185"/>
      <c r="Q6" s="185"/>
      <c r="R6" s="185"/>
      <c r="S6" s="185"/>
      <c r="T6" s="185"/>
      <c r="U6" s="185"/>
      <c r="V6" s="185"/>
      <c r="W6" s="185"/>
      <c r="X6" s="5"/>
    </row>
    <row r="7" spans="1:24" ht="15.6" x14ac:dyDescent="0.3">
      <c r="A7" s="183"/>
      <c r="B7" s="221" t="s">
        <v>138</v>
      </c>
      <c r="C7" s="185"/>
      <c r="D7" s="185"/>
      <c r="E7" s="185"/>
      <c r="F7" s="185"/>
      <c r="G7" s="185"/>
      <c r="H7" s="185"/>
      <c r="I7" s="185"/>
      <c r="J7" s="185"/>
      <c r="K7" s="185"/>
      <c r="L7" s="185"/>
      <c r="M7" s="185"/>
      <c r="N7" s="185"/>
      <c r="O7" s="185"/>
      <c r="P7" s="185"/>
      <c r="Q7" s="185"/>
      <c r="R7" s="185"/>
      <c r="S7" s="185"/>
      <c r="T7" s="185"/>
      <c r="U7" s="185"/>
      <c r="V7" s="185"/>
      <c r="W7" s="185"/>
      <c r="X7" s="5"/>
    </row>
    <row r="8" spans="1:24" ht="15.6" x14ac:dyDescent="0.3">
      <c r="A8" s="183"/>
      <c r="B8" s="188"/>
      <c r="C8" s="185"/>
      <c r="D8" s="185"/>
      <c r="E8" s="185"/>
      <c r="F8" s="185"/>
      <c r="G8" s="185"/>
      <c r="H8" s="185"/>
      <c r="I8" s="185"/>
      <c r="J8" s="185"/>
      <c r="K8" s="185"/>
      <c r="L8" s="185"/>
      <c r="M8" s="185"/>
      <c r="N8" s="185"/>
      <c r="O8" s="185"/>
      <c r="P8" s="185"/>
      <c r="Q8" s="185"/>
      <c r="R8" s="185"/>
      <c r="S8" s="185"/>
      <c r="T8" s="185"/>
      <c r="U8" s="185"/>
      <c r="V8" s="185"/>
      <c r="W8" s="185"/>
      <c r="X8" s="5"/>
    </row>
    <row r="9" spans="1:24" ht="17.399999999999999" x14ac:dyDescent="0.3">
      <c r="A9" s="183"/>
      <c r="B9" s="189" t="s">
        <v>166</v>
      </c>
      <c r="C9" s="185"/>
      <c r="D9" s="185"/>
      <c r="E9" s="185"/>
      <c r="F9" s="185"/>
      <c r="G9" s="185"/>
      <c r="H9" s="185"/>
      <c r="I9" s="190" t="s">
        <v>167</v>
      </c>
      <c r="J9" s="185"/>
      <c r="K9" s="185"/>
      <c r="L9" s="190"/>
      <c r="M9" s="185"/>
      <c r="N9" s="190"/>
      <c r="O9" s="185"/>
      <c r="P9" s="185"/>
      <c r="Q9" s="185"/>
      <c r="R9" s="185"/>
      <c r="S9" s="185"/>
      <c r="T9" s="185"/>
      <c r="U9" s="185"/>
      <c r="V9" s="185"/>
      <c r="W9" s="185"/>
      <c r="X9" s="5"/>
    </row>
    <row r="10" spans="1:24" ht="15.6" x14ac:dyDescent="0.3">
      <c r="A10" s="183"/>
      <c r="B10" s="188"/>
      <c r="C10" s="191"/>
      <c r="D10" s="191"/>
      <c r="E10" s="191"/>
      <c r="F10" s="185"/>
      <c r="G10" s="185"/>
      <c r="H10" s="185"/>
      <c r="I10" s="185"/>
      <c r="J10" s="185"/>
      <c r="K10" s="185"/>
      <c r="L10" s="185"/>
      <c r="M10" s="185"/>
      <c r="N10" s="185"/>
      <c r="O10" s="185"/>
      <c r="P10" s="185"/>
      <c r="Q10" s="185"/>
      <c r="R10" s="185"/>
      <c r="S10" s="185"/>
      <c r="T10" s="185"/>
      <c r="U10" s="185"/>
      <c r="V10" s="185"/>
      <c r="W10" s="185"/>
      <c r="X10" s="5"/>
    </row>
    <row r="11" spans="1:24" ht="15.6" x14ac:dyDescent="0.3">
      <c r="A11" s="183"/>
      <c r="B11" s="222" t="s">
        <v>0</v>
      </c>
      <c r="C11" s="185"/>
      <c r="D11" s="185"/>
      <c r="E11" s="185"/>
      <c r="F11" s="185"/>
      <c r="G11" s="185"/>
      <c r="H11" s="185"/>
      <c r="I11" s="185"/>
      <c r="J11" s="185"/>
      <c r="K11" s="185"/>
      <c r="L11" s="185"/>
      <c r="M11" s="185"/>
      <c r="N11" s="185"/>
      <c r="O11" s="185"/>
      <c r="P11" s="185"/>
      <c r="Q11" s="185"/>
      <c r="R11" s="185"/>
      <c r="S11" s="185"/>
      <c r="T11" s="185"/>
      <c r="U11" s="185"/>
      <c r="V11" s="185"/>
      <c r="W11" s="185"/>
      <c r="X11" s="5"/>
    </row>
    <row r="12" spans="1:24" ht="16.2" thickBot="1" x14ac:dyDescent="0.35">
      <c r="A12" s="183"/>
      <c r="B12" s="191"/>
      <c r="C12" s="185"/>
      <c r="D12" s="185"/>
      <c r="E12" s="185"/>
      <c r="F12" s="185"/>
      <c r="G12" s="185"/>
      <c r="H12" s="185"/>
      <c r="I12" s="185"/>
      <c r="J12" s="185"/>
      <c r="K12" s="185"/>
      <c r="L12" s="185"/>
      <c r="M12" s="185"/>
      <c r="N12" s="185"/>
      <c r="O12" s="185"/>
      <c r="P12" s="185"/>
      <c r="Q12" s="185"/>
      <c r="R12" s="185"/>
      <c r="S12" s="185"/>
      <c r="T12" s="185"/>
      <c r="U12" s="185"/>
      <c r="V12" s="185"/>
      <c r="W12" s="185"/>
      <c r="X12" s="5"/>
    </row>
    <row r="13" spans="1:24" ht="15.6" x14ac:dyDescent="0.3">
      <c r="A13" s="180"/>
      <c r="B13" s="181"/>
      <c r="C13" s="181"/>
      <c r="D13" s="181"/>
      <c r="E13" s="181"/>
      <c r="F13" s="181"/>
      <c r="G13" s="181"/>
      <c r="H13" s="181"/>
      <c r="I13" s="181"/>
      <c r="J13" s="181"/>
      <c r="K13" s="181"/>
      <c r="L13" s="181"/>
      <c r="M13" s="181"/>
      <c r="N13" s="181"/>
      <c r="O13" s="181"/>
      <c r="P13" s="181"/>
      <c r="Q13" s="181"/>
      <c r="R13" s="181"/>
      <c r="S13" s="181"/>
      <c r="T13" s="181"/>
      <c r="U13" s="181"/>
      <c r="V13" s="181"/>
      <c r="W13" s="181"/>
      <c r="X13" s="5"/>
    </row>
    <row r="14" spans="1:24" ht="15.6" x14ac:dyDescent="0.3">
      <c r="A14" s="183"/>
      <c r="B14" s="222" t="s">
        <v>1</v>
      </c>
      <c r="C14" s="192"/>
      <c r="D14" s="192"/>
      <c r="E14" s="192"/>
      <c r="F14" s="192"/>
      <c r="G14" s="192"/>
      <c r="H14" s="192"/>
      <c r="I14" s="192"/>
      <c r="J14" s="192"/>
      <c r="K14" s="192"/>
      <c r="L14" s="192"/>
      <c r="M14" s="192"/>
      <c r="N14" s="192"/>
      <c r="O14" s="192"/>
      <c r="P14" s="192"/>
      <c r="Q14" s="192"/>
      <c r="R14" s="224"/>
      <c r="S14" s="224"/>
      <c r="T14" s="224"/>
      <c r="U14" s="224"/>
      <c r="V14" s="225" t="s">
        <v>246</v>
      </c>
      <c r="W14" s="192"/>
      <c r="X14" s="5"/>
    </row>
    <row r="15" spans="1:24" ht="15.6" x14ac:dyDescent="0.3">
      <c r="A15" s="183"/>
      <c r="B15" s="222" t="s">
        <v>2</v>
      </c>
      <c r="C15" s="192"/>
      <c r="D15" s="192"/>
      <c r="E15" s="192"/>
      <c r="F15" s="192"/>
      <c r="G15" s="192"/>
      <c r="H15" s="193"/>
      <c r="I15" s="193"/>
      <c r="J15" s="193"/>
      <c r="K15" s="193"/>
      <c r="L15" s="193"/>
      <c r="M15" s="193"/>
      <c r="N15" s="193"/>
      <c r="O15" s="193"/>
      <c r="P15" s="193"/>
      <c r="Q15" s="193"/>
      <c r="R15" s="226" t="s">
        <v>104</v>
      </c>
      <c r="S15" s="227">
        <v>0.38300000000000001</v>
      </c>
      <c r="T15" s="228" t="s">
        <v>140</v>
      </c>
      <c r="U15" s="227">
        <v>0.61699999999999999</v>
      </c>
      <c r="V15" s="225"/>
      <c r="W15" s="192"/>
      <c r="X15" s="5"/>
    </row>
    <row r="16" spans="1:24" ht="15.6" x14ac:dyDescent="0.3">
      <c r="A16" s="183"/>
      <c r="B16" s="222" t="s">
        <v>3</v>
      </c>
      <c r="C16" s="192"/>
      <c r="D16" s="192"/>
      <c r="E16" s="192"/>
      <c r="F16" s="192"/>
      <c r="G16" s="192"/>
      <c r="H16" s="193"/>
      <c r="I16" s="193"/>
      <c r="J16" s="193"/>
      <c r="K16" s="193"/>
      <c r="L16" s="193"/>
      <c r="M16" s="193"/>
      <c r="N16" s="193"/>
      <c r="O16" s="193"/>
      <c r="P16" s="193"/>
      <c r="Q16" s="193"/>
      <c r="R16" s="226" t="s">
        <v>104</v>
      </c>
      <c r="S16" s="227">
        <v>0.46189999999999998</v>
      </c>
      <c r="T16" s="228" t="s">
        <v>140</v>
      </c>
      <c r="U16" s="227">
        <v>0.53810000000000002</v>
      </c>
      <c r="V16" s="225"/>
      <c r="W16" s="192"/>
      <c r="X16" s="5"/>
    </row>
    <row r="17" spans="1:24" ht="15.6" x14ac:dyDescent="0.3">
      <c r="A17" s="183"/>
      <c r="B17" s="222" t="s">
        <v>4</v>
      </c>
      <c r="C17" s="192"/>
      <c r="D17" s="192"/>
      <c r="E17" s="192"/>
      <c r="F17" s="192"/>
      <c r="G17" s="192"/>
      <c r="H17" s="192"/>
      <c r="I17" s="192"/>
      <c r="J17" s="192"/>
      <c r="K17" s="192"/>
      <c r="L17" s="192"/>
      <c r="M17" s="192"/>
      <c r="N17" s="192"/>
      <c r="O17" s="192"/>
      <c r="P17" s="192"/>
      <c r="Q17" s="192"/>
      <c r="R17" s="224"/>
      <c r="S17" s="224"/>
      <c r="T17" s="224"/>
      <c r="U17" s="224"/>
      <c r="V17" s="229">
        <v>39163</v>
      </c>
      <c r="W17" s="192"/>
      <c r="X17" s="5"/>
    </row>
    <row r="18" spans="1:24" ht="15.6" x14ac:dyDescent="0.3">
      <c r="A18" s="183"/>
      <c r="B18" s="222" t="s">
        <v>5</v>
      </c>
      <c r="C18" s="192"/>
      <c r="D18" s="192"/>
      <c r="E18" s="192"/>
      <c r="F18" s="192"/>
      <c r="G18" s="192"/>
      <c r="H18" s="192"/>
      <c r="I18" s="192"/>
      <c r="J18" s="192"/>
      <c r="K18" s="192"/>
      <c r="L18" s="192"/>
      <c r="M18" s="192"/>
      <c r="N18" s="192"/>
      <c r="O18" s="192"/>
      <c r="P18" s="192"/>
      <c r="Q18" s="192"/>
      <c r="R18" s="224"/>
      <c r="S18" s="224"/>
      <c r="T18" s="224"/>
      <c r="U18" s="224"/>
      <c r="V18" s="229">
        <v>41628</v>
      </c>
      <c r="W18" s="192"/>
      <c r="X18" s="5"/>
    </row>
    <row r="19" spans="1:24" ht="15.6" x14ac:dyDescent="0.3">
      <c r="A19" s="183"/>
      <c r="B19" s="185"/>
      <c r="C19" s="185"/>
      <c r="D19" s="185"/>
      <c r="E19" s="185"/>
      <c r="F19" s="185"/>
      <c r="G19" s="185"/>
      <c r="H19" s="185"/>
      <c r="I19" s="185"/>
      <c r="J19" s="185"/>
      <c r="K19" s="185"/>
      <c r="L19" s="185"/>
      <c r="M19" s="185"/>
      <c r="N19" s="185"/>
      <c r="O19" s="185"/>
      <c r="P19" s="185"/>
      <c r="Q19" s="185"/>
      <c r="R19" s="185"/>
      <c r="S19" s="185"/>
      <c r="T19" s="185"/>
      <c r="U19" s="185"/>
      <c r="V19" s="194"/>
      <c r="W19" s="185"/>
      <c r="X19" s="5"/>
    </row>
    <row r="20" spans="1:24" ht="15.6" x14ac:dyDescent="0.3">
      <c r="A20" s="183"/>
      <c r="B20" s="230" t="s">
        <v>6</v>
      </c>
      <c r="C20" s="185"/>
      <c r="D20" s="185"/>
      <c r="E20" s="185"/>
      <c r="F20" s="185"/>
      <c r="G20" s="185"/>
      <c r="H20" s="185"/>
      <c r="I20" s="185"/>
      <c r="J20" s="185"/>
      <c r="K20" s="185"/>
      <c r="L20" s="185"/>
      <c r="M20" s="185"/>
      <c r="N20" s="185"/>
      <c r="O20" s="185"/>
      <c r="P20" s="185"/>
      <c r="Q20" s="185"/>
      <c r="R20" s="185"/>
      <c r="S20" s="185"/>
      <c r="T20" s="223" t="s">
        <v>105</v>
      </c>
      <c r="U20" s="185"/>
      <c r="V20" s="182"/>
      <c r="W20" s="185"/>
      <c r="X20" s="5"/>
    </row>
    <row r="21" spans="1:24" ht="15.6" x14ac:dyDescent="0.3">
      <c r="A21" s="183"/>
      <c r="B21" s="185"/>
      <c r="C21" s="185"/>
      <c r="D21" s="185"/>
      <c r="E21" s="185"/>
      <c r="F21" s="185"/>
      <c r="G21" s="185"/>
      <c r="H21" s="185"/>
      <c r="I21" s="185"/>
      <c r="J21" s="185"/>
      <c r="K21" s="185"/>
      <c r="L21" s="185"/>
      <c r="M21" s="185"/>
      <c r="N21" s="185"/>
      <c r="O21" s="185"/>
      <c r="P21" s="185"/>
      <c r="Q21" s="185"/>
      <c r="R21" s="185"/>
      <c r="S21" s="185"/>
      <c r="T21" s="185"/>
      <c r="U21" s="185"/>
      <c r="V21" s="196"/>
      <c r="W21" s="185"/>
      <c r="X21" s="5"/>
    </row>
    <row r="22" spans="1:24" ht="15.6" x14ac:dyDescent="0.3">
      <c r="A22" s="262"/>
      <c r="B22" s="263"/>
      <c r="C22" s="264"/>
      <c r="D22" s="264" t="s">
        <v>177</v>
      </c>
      <c r="E22" s="264"/>
      <c r="F22" s="264" t="s">
        <v>178</v>
      </c>
      <c r="G22" s="264"/>
      <c r="H22" s="264" t="s">
        <v>179</v>
      </c>
      <c r="I22" s="264"/>
      <c r="J22" s="264" t="s">
        <v>220</v>
      </c>
      <c r="K22" s="264"/>
      <c r="L22" s="264" t="s">
        <v>180</v>
      </c>
      <c r="M22" s="264"/>
      <c r="N22" s="264" t="s">
        <v>181</v>
      </c>
      <c r="O22" s="264"/>
      <c r="P22" s="264" t="s">
        <v>221</v>
      </c>
      <c r="Q22" s="264"/>
      <c r="R22" s="264" t="s">
        <v>182</v>
      </c>
      <c r="S22" s="266"/>
      <c r="T22" s="266"/>
      <c r="U22" s="267"/>
      <c r="V22" s="267"/>
      <c r="W22" s="263"/>
      <c r="X22" s="5"/>
    </row>
    <row r="23" spans="1:24" ht="15.6" x14ac:dyDescent="0.3">
      <c r="A23" s="287"/>
      <c r="B23" s="288" t="s">
        <v>7</v>
      </c>
      <c r="C23" s="289"/>
      <c r="D23" s="289" t="s">
        <v>213</v>
      </c>
      <c r="E23" s="289"/>
      <c r="F23" s="289" t="s">
        <v>141</v>
      </c>
      <c r="G23" s="289"/>
      <c r="H23" s="289" t="s">
        <v>141</v>
      </c>
      <c r="I23" s="289"/>
      <c r="J23" s="289" t="s">
        <v>141</v>
      </c>
      <c r="K23" s="289"/>
      <c r="L23" s="289" t="s">
        <v>183</v>
      </c>
      <c r="M23" s="289"/>
      <c r="N23" s="289" t="s">
        <v>183</v>
      </c>
      <c r="O23" s="289"/>
      <c r="P23" s="289" t="s">
        <v>142</v>
      </c>
      <c r="Q23" s="289"/>
      <c r="R23" s="289" t="s">
        <v>142</v>
      </c>
      <c r="S23" s="289"/>
      <c r="T23" s="289"/>
      <c r="U23" s="290"/>
      <c r="V23" s="290"/>
      <c r="W23" s="291"/>
      <c r="X23" s="5"/>
    </row>
    <row r="24" spans="1:24" ht="15.6" x14ac:dyDescent="0.3">
      <c r="A24" s="287"/>
      <c r="B24" s="288" t="s">
        <v>8</v>
      </c>
      <c r="C24" s="289"/>
      <c r="D24" s="289" t="s">
        <v>214</v>
      </c>
      <c r="E24" s="289"/>
      <c r="F24" s="289" t="s">
        <v>143</v>
      </c>
      <c r="G24" s="289"/>
      <c r="H24" s="289" t="s">
        <v>143</v>
      </c>
      <c r="I24" s="289"/>
      <c r="J24" s="289" t="s">
        <v>143</v>
      </c>
      <c r="K24" s="289"/>
      <c r="L24" s="289" t="s">
        <v>165</v>
      </c>
      <c r="M24" s="289"/>
      <c r="N24" s="289" t="s">
        <v>165</v>
      </c>
      <c r="O24" s="289"/>
      <c r="P24" s="289" t="s">
        <v>144</v>
      </c>
      <c r="Q24" s="289"/>
      <c r="R24" s="289" t="s">
        <v>144</v>
      </c>
      <c r="S24" s="289"/>
      <c r="T24" s="289"/>
      <c r="U24" s="290"/>
      <c r="V24" s="290"/>
      <c r="W24" s="291"/>
      <c r="X24" s="5"/>
    </row>
    <row r="25" spans="1:24" ht="15.6" x14ac:dyDescent="0.3">
      <c r="A25" s="292"/>
      <c r="B25" s="288" t="s">
        <v>190</v>
      </c>
      <c r="C25" s="398"/>
      <c r="D25" s="289" t="s">
        <v>215</v>
      </c>
      <c r="E25" s="289"/>
      <c r="F25" s="289" t="s">
        <v>143</v>
      </c>
      <c r="G25" s="289"/>
      <c r="H25" s="289" t="s">
        <v>143</v>
      </c>
      <c r="I25" s="289"/>
      <c r="J25" s="289" t="s">
        <v>143</v>
      </c>
      <c r="K25" s="289"/>
      <c r="L25" s="289" t="s">
        <v>293</v>
      </c>
      <c r="M25" s="289"/>
      <c r="N25" s="289" t="s">
        <v>293</v>
      </c>
      <c r="O25" s="289"/>
      <c r="P25" s="289" t="s">
        <v>144</v>
      </c>
      <c r="Q25" s="289"/>
      <c r="R25" s="289" t="s">
        <v>144</v>
      </c>
      <c r="S25" s="398"/>
      <c r="T25" s="289"/>
      <c r="U25" s="290"/>
      <c r="V25" s="290"/>
      <c r="W25" s="291"/>
      <c r="X25" s="5"/>
    </row>
    <row r="26" spans="1:24" ht="15.6" x14ac:dyDescent="0.3">
      <c r="A26" s="292"/>
      <c r="B26" s="295" t="s">
        <v>9</v>
      </c>
      <c r="C26" s="398"/>
      <c r="D26" s="398" t="s">
        <v>332</v>
      </c>
      <c r="E26" s="398"/>
      <c r="F26" s="398" t="s">
        <v>333</v>
      </c>
      <c r="G26" s="398"/>
      <c r="H26" s="398" t="s">
        <v>333</v>
      </c>
      <c r="I26" s="398"/>
      <c r="J26" s="398" t="s">
        <v>333</v>
      </c>
      <c r="K26" s="398"/>
      <c r="L26" s="398" t="s">
        <v>334</v>
      </c>
      <c r="M26" s="398"/>
      <c r="N26" s="398" t="s">
        <v>334</v>
      </c>
      <c r="O26" s="398"/>
      <c r="P26" s="398" t="s">
        <v>335</v>
      </c>
      <c r="Q26" s="398"/>
      <c r="R26" s="398" t="s">
        <v>335</v>
      </c>
      <c r="S26" s="398"/>
      <c r="T26" s="289"/>
      <c r="U26" s="290"/>
      <c r="V26" s="290"/>
      <c r="W26" s="291"/>
      <c r="X26" s="5"/>
    </row>
    <row r="27" spans="1:24" ht="15.6" x14ac:dyDescent="0.3">
      <c r="A27" s="287"/>
      <c r="B27" s="295" t="s">
        <v>191</v>
      </c>
      <c r="C27" s="289"/>
      <c r="D27" s="398" t="s">
        <v>317</v>
      </c>
      <c r="E27" s="398"/>
      <c r="F27" s="398" t="s">
        <v>143</v>
      </c>
      <c r="G27" s="398"/>
      <c r="H27" s="398" t="s">
        <v>143</v>
      </c>
      <c r="I27" s="398"/>
      <c r="J27" s="398" t="s">
        <v>143</v>
      </c>
      <c r="K27" s="398"/>
      <c r="L27" s="398" t="s">
        <v>319</v>
      </c>
      <c r="M27" s="398"/>
      <c r="N27" s="398" t="s">
        <v>319</v>
      </c>
      <c r="O27" s="398"/>
      <c r="P27" s="398" t="s">
        <v>320</v>
      </c>
      <c r="Q27" s="398"/>
      <c r="R27" s="398" t="s">
        <v>320</v>
      </c>
      <c r="S27" s="289"/>
      <c r="T27" s="296"/>
      <c r="U27" s="290"/>
      <c r="V27" s="290"/>
      <c r="W27" s="291"/>
      <c r="X27" s="5"/>
    </row>
    <row r="28" spans="1:24" ht="15.6" x14ac:dyDescent="0.3">
      <c r="A28" s="287"/>
      <c r="B28" s="295" t="s">
        <v>192</v>
      </c>
      <c r="C28" s="289"/>
      <c r="D28" s="398" t="s">
        <v>314</v>
      </c>
      <c r="E28" s="398"/>
      <c r="F28" s="398" t="s">
        <v>143</v>
      </c>
      <c r="G28" s="398"/>
      <c r="H28" s="398" t="s">
        <v>143</v>
      </c>
      <c r="I28" s="398"/>
      <c r="J28" s="398" t="s">
        <v>143</v>
      </c>
      <c r="K28" s="398"/>
      <c r="L28" s="398" t="s">
        <v>293</v>
      </c>
      <c r="M28" s="398"/>
      <c r="N28" s="398" t="s">
        <v>293</v>
      </c>
      <c r="O28" s="398"/>
      <c r="P28" s="398" t="s">
        <v>337</v>
      </c>
      <c r="Q28" s="398"/>
      <c r="R28" s="398" t="s">
        <v>337</v>
      </c>
      <c r="S28" s="289"/>
      <c r="T28" s="296"/>
      <c r="U28" s="290"/>
      <c r="V28" s="290"/>
      <c r="W28" s="291"/>
      <c r="X28" s="5"/>
    </row>
    <row r="29" spans="1:24" ht="15.6" x14ac:dyDescent="0.3">
      <c r="A29" s="287"/>
      <c r="B29" s="288" t="s">
        <v>10</v>
      </c>
      <c r="C29" s="298"/>
      <c r="D29" s="289" t="s">
        <v>249</v>
      </c>
      <c r="E29" s="289"/>
      <c r="F29" s="296" t="s">
        <v>250</v>
      </c>
      <c r="G29" s="289"/>
      <c r="H29" s="289" t="s">
        <v>251</v>
      </c>
      <c r="I29" s="289"/>
      <c r="J29" s="289" t="s">
        <v>253</v>
      </c>
      <c r="K29" s="289"/>
      <c r="L29" s="289" t="s">
        <v>254</v>
      </c>
      <c r="M29" s="289"/>
      <c r="N29" s="289" t="s">
        <v>255</v>
      </c>
      <c r="O29" s="289"/>
      <c r="P29" s="289" t="s">
        <v>256</v>
      </c>
      <c r="Q29" s="289"/>
      <c r="R29" s="289" t="s">
        <v>257</v>
      </c>
      <c r="S29" s="299"/>
      <c r="T29" s="299"/>
      <c r="U29" s="300"/>
      <c r="V29" s="299"/>
      <c r="W29" s="301"/>
      <c r="X29" s="5"/>
    </row>
    <row r="30" spans="1:24" ht="15.6" x14ac:dyDescent="0.3">
      <c r="A30" s="287"/>
      <c r="B30" s="288" t="s">
        <v>10</v>
      </c>
      <c r="C30" s="298"/>
      <c r="D30" s="289" t="s">
        <v>248</v>
      </c>
      <c r="E30" s="289"/>
      <c r="F30" s="296" t="s">
        <v>118</v>
      </c>
      <c r="G30" s="289"/>
      <c r="H30" s="289" t="s">
        <v>118</v>
      </c>
      <c r="I30" s="289"/>
      <c r="J30" s="289" t="s">
        <v>252</v>
      </c>
      <c r="K30" s="289"/>
      <c r="L30" s="289" t="s">
        <v>118</v>
      </c>
      <c r="M30" s="289"/>
      <c r="N30" s="289" t="s">
        <v>118</v>
      </c>
      <c r="O30" s="289"/>
      <c r="P30" s="289" t="s">
        <v>118</v>
      </c>
      <c r="Q30" s="289"/>
      <c r="R30" s="289" t="s">
        <v>118</v>
      </c>
      <c r="S30" s="299"/>
      <c r="T30" s="299"/>
      <c r="U30" s="300"/>
      <c r="V30" s="299"/>
      <c r="W30" s="301"/>
      <c r="X30" s="5"/>
    </row>
    <row r="31" spans="1:24" ht="15.6" x14ac:dyDescent="0.3">
      <c r="A31" s="292"/>
      <c r="B31" s="288" t="s">
        <v>133</v>
      </c>
      <c r="C31" s="302"/>
      <c r="D31" s="303">
        <v>1500000</v>
      </c>
      <c r="E31" s="298"/>
      <c r="F31" s="299">
        <v>125000</v>
      </c>
      <c r="G31" s="299"/>
      <c r="H31" s="304">
        <v>246000</v>
      </c>
      <c r="I31" s="304"/>
      <c r="J31" s="303">
        <v>400000</v>
      </c>
      <c r="K31" s="299"/>
      <c r="L31" s="299">
        <v>51900</v>
      </c>
      <c r="M31" s="299"/>
      <c r="N31" s="304">
        <v>88800</v>
      </c>
      <c r="O31" s="299"/>
      <c r="P31" s="299">
        <v>20000</v>
      </c>
      <c r="Q31" s="299"/>
      <c r="R31" s="304">
        <v>135500</v>
      </c>
      <c r="S31" s="305"/>
      <c r="T31" s="305"/>
      <c r="U31" s="306"/>
      <c r="V31" s="305"/>
      <c r="W31" s="301"/>
      <c r="X31" s="5"/>
    </row>
    <row r="32" spans="1:24" ht="15.6" x14ac:dyDescent="0.3">
      <c r="A32" s="287"/>
      <c r="B32" s="288" t="s">
        <v>132</v>
      </c>
      <c r="C32" s="298"/>
      <c r="D32" s="303">
        <f>D31*D38</f>
        <v>1014914.5499999999</v>
      </c>
      <c r="E32" s="298"/>
      <c r="F32" s="299">
        <f>F31*F38</f>
        <v>84576.349999999991</v>
      </c>
      <c r="G32" s="299"/>
      <c r="H32" s="304">
        <f>H31*H38</f>
        <v>166446.2568</v>
      </c>
      <c r="I32" s="304"/>
      <c r="J32" s="303">
        <f>J31*J38</f>
        <v>270643.88</v>
      </c>
      <c r="K32" s="299"/>
      <c r="L32" s="299">
        <f>+L31</f>
        <v>51900</v>
      </c>
      <c r="M32" s="299"/>
      <c r="N32" s="304">
        <f>+N31</f>
        <v>88800</v>
      </c>
      <c r="O32" s="299"/>
      <c r="P32" s="299">
        <f>+P31</f>
        <v>20000</v>
      </c>
      <c r="Q32" s="299"/>
      <c r="R32" s="304">
        <f>+R31</f>
        <v>135500</v>
      </c>
      <c r="S32" s="299"/>
      <c r="T32" s="299"/>
      <c r="U32" s="300"/>
      <c r="V32" s="299"/>
      <c r="W32" s="301"/>
      <c r="X32" s="5"/>
    </row>
    <row r="33" spans="1:24" ht="15.6" x14ac:dyDescent="0.3">
      <c r="A33" s="287"/>
      <c r="B33" s="295" t="s">
        <v>134</v>
      </c>
      <c r="C33" s="298"/>
      <c r="D33" s="307">
        <f>D37*D31</f>
        <v>1003883.3999999999</v>
      </c>
      <c r="E33" s="302"/>
      <c r="F33" s="305">
        <f>F37*F31</f>
        <v>83657.099999999991</v>
      </c>
      <c r="G33" s="305"/>
      <c r="H33" s="308">
        <f>H31*H37</f>
        <v>164637.1728</v>
      </c>
      <c r="I33" s="308"/>
      <c r="J33" s="307">
        <f>J37*J31</f>
        <v>267702.24</v>
      </c>
      <c r="K33" s="305"/>
      <c r="L33" s="305">
        <f>L31*L37</f>
        <v>51900</v>
      </c>
      <c r="M33" s="305"/>
      <c r="N33" s="308">
        <f>N31*N37</f>
        <v>88800</v>
      </c>
      <c r="O33" s="305"/>
      <c r="P33" s="305">
        <f>P31*P37</f>
        <v>20000</v>
      </c>
      <c r="Q33" s="305"/>
      <c r="R33" s="308">
        <f>R31*R37</f>
        <v>135500</v>
      </c>
      <c r="S33" s="299"/>
      <c r="T33" s="299"/>
      <c r="U33" s="300"/>
      <c r="V33" s="299"/>
      <c r="W33" s="301"/>
      <c r="X33" s="5"/>
    </row>
    <row r="34" spans="1:24" ht="15.6" x14ac:dyDescent="0.3">
      <c r="A34" s="292"/>
      <c r="B34" s="288" t="s">
        <v>296</v>
      </c>
      <c r="C34" s="302"/>
      <c r="D34" s="299">
        <v>775194</v>
      </c>
      <c r="E34" s="298"/>
      <c r="F34" s="299">
        <v>125000</v>
      </c>
      <c r="G34" s="299"/>
      <c r="H34" s="299">
        <v>168148</v>
      </c>
      <c r="I34" s="299"/>
      <c r="J34" s="299">
        <v>206718</v>
      </c>
      <c r="K34" s="299"/>
      <c r="L34" s="299">
        <v>51900</v>
      </c>
      <c r="M34" s="299"/>
      <c r="N34" s="299">
        <v>60697</v>
      </c>
      <c r="O34" s="299"/>
      <c r="P34" s="299">
        <v>20000</v>
      </c>
      <c r="Q34" s="299"/>
      <c r="R34" s="299">
        <v>92618</v>
      </c>
      <c r="S34" s="305"/>
      <c r="T34" s="305"/>
      <c r="U34" s="306"/>
      <c r="V34" s="299">
        <f>SUM(C34:R34)</f>
        <v>1500275</v>
      </c>
      <c r="W34" s="301"/>
      <c r="X34" s="5"/>
    </row>
    <row r="35" spans="1:24" ht="15.6" x14ac:dyDescent="0.3">
      <c r="A35" s="292"/>
      <c r="B35" s="288" t="s">
        <v>297</v>
      </c>
      <c r="C35" s="302"/>
      <c r="D35" s="299">
        <f>D34*D38</f>
        <v>524503.7797818</v>
      </c>
      <c r="E35" s="298"/>
      <c r="F35" s="299">
        <f>F34*F38</f>
        <v>84576.349999999991</v>
      </c>
      <c r="G35" s="299"/>
      <c r="H35" s="299">
        <f>H34*H38</f>
        <v>113770.75279839999</v>
      </c>
      <c r="I35" s="299"/>
      <c r="J35" s="299">
        <f>J34*J38</f>
        <v>139867.4039646</v>
      </c>
      <c r="K35" s="299"/>
      <c r="L35" s="299">
        <f>+L34</f>
        <v>51900</v>
      </c>
      <c r="M35" s="299"/>
      <c r="N35" s="299">
        <f>+N34</f>
        <v>60697</v>
      </c>
      <c r="O35" s="299"/>
      <c r="P35" s="299">
        <f>+P34</f>
        <v>20000</v>
      </c>
      <c r="Q35" s="299"/>
      <c r="R35" s="299">
        <f>+R34</f>
        <v>92618</v>
      </c>
      <c r="S35" s="299"/>
      <c r="T35" s="299"/>
      <c r="U35" s="300"/>
      <c r="V35" s="299">
        <f>SUM(C35:R35)</f>
        <v>1087933.2865448</v>
      </c>
      <c r="W35" s="301"/>
      <c r="X35" s="5"/>
    </row>
    <row r="36" spans="1:24" ht="15.6" x14ac:dyDescent="0.3">
      <c r="A36" s="292"/>
      <c r="B36" s="295" t="s">
        <v>298</v>
      </c>
      <c r="C36" s="302"/>
      <c r="D36" s="305">
        <f>D34*D37</f>
        <v>518802.92558639997</v>
      </c>
      <c r="E36" s="302"/>
      <c r="F36" s="305">
        <f>F34*F37</f>
        <v>83657.099999999991</v>
      </c>
      <c r="G36" s="305"/>
      <c r="H36" s="305">
        <f>H34*H37</f>
        <v>112534.19240639999</v>
      </c>
      <c r="I36" s="305"/>
      <c r="J36" s="305">
        <f>J34*J37</f>
        <v>138347.17912079999</v>
      </c>
      <c r="K36" s="305"/>
      <c r="L36" s="305">
        <f>L34*L37</f>
        <v>51900</v>
      </c>
      <c r="M36" s="305"/>
      <c r="N36" s="305">
        <f>N34*N37</f>
        <v>60697</v>
      </c>
      <c r="O36" s="305"/>
      <c r="P36" s="305">
        <f>P34*P37</f>
        <v>20000</v>
      </c>
      <c r="Q36" s="305"/>
      <c r="R36" s="305">
        <f>R34*R37</f>
        <v>92618</v>
      </c>
      <c r="S36" s="328"/>
      <c r="T36" s="328"/>
      <c r="U36" s="300"/>
      <c r="V36" s="305">
        <f>SUM(C36:R36)</f>
        <v>1078556.3971135998</v>
      </c>
      <c r="W36" s="301"/>
      <c r="X36" s="5"/>
    </row>
    <row r="37" spans="1:24" ht="15.6" x14ac:dyDescent="0.3">
      <c r="A37" s="287"/>
      <c r="B37" s="313" t="s">
        <v>130</v>
      </c>
      <c r="C37" s="314"/>
      <c r="D37" s="315">
        <v>0.66925559999999995</v>
      </c>
      <c r="E37" s="315"/>
      <c r="F37" s="315">
        <v>0.66925679999999999</v>
      </c>
      <c r="G37" s="315"/>
      <c r="H37" s="315">
        <v>0.66925679999999999</v>
      </c>
      <c r="I37" s="315"/>
      <c r="J37" s="315">
        <v>0.66925559999999995</v>
      </c>
      <c r="K37" s="315"/>
      <c r="L37" s="315">
        <v>1</v>
      </c>
      <c r="M37" s="315"/>
      <c r="N37" s="315">
        <v>1</v>
      </c>
      <c r="O37" s="315"/>
      <c r="P37" s="315">
        <v>1</v>
      </c>
      <c r="Q37" s="315"/>
      <c r="R37" s="315">
        <v>1</v>
      </c>
      <c r="S37" s="316"/>
      <c r="T37" s="316"/>
      <c r="U37" s="317"/>
      <c r="V37" s="317"/>
      <c r="W37" s="318"/>
      <c r="X37" s="5"/>
    </row>
    <row r="38" spans="1:24" ht="15.6" x14ac:dyDescent="0.3">
      <c r="A38" s="287"/>
      <c r="B38" s="313" t="s">
        <v>131</v>
      </c>
      <c r="C38" s="314"/>
      <c r="D38" s="315">
        <v>0.67660969999999998</v>
      </c>
      <c r="E38" s="315"/>
      <c r="F38" s="315">
        <v>0.67661079999999996</v>
      </c>
      <c r="G38" s="315"/>
      <c r="H38" s="315">
        <v>0.67661079999999996</v>
      </c>
      <c r="I38" s="315"/>
      <c r="J38" s="315">
        <v>0.67660969999999998</v>
      </c>
      <c r="K38" s="315"/>
      <c r="L38" s="315">
        <v>1</v>
      </c>
      <c r="M38" s="315"/>
      <c r="N38" s="315">
        <v>1</v>
      </c>
      <c r="O38" s="315"/>
      <c r="P38" s="315">
        <v>1</v>
      </c>
      <c r="Q38" s="315"/>
      <c r="R38" s="315">
        <v>1</v>
      </c>
      <c r="S38" s="319"/>
      <c r="T38" s="320"/>
      <c r="U38" s="317"/>
      <c r="V38" s="319"/>
      <c r="W38" s="318"/>
      <c r="X38" s="5"/>
    </row>
    <row r="39" spans="1:24" ht="15.6" x14ac:dyDescent="0.3">
      <c r="A39" s="287"/>
      <c r="B39" s="288" t="s">
        <v>11</v>
      </c>
      <c r="C39" s="288"/>
      <c r="D39" s="296" t="s">
        <v>321</v>
      </c>
      <c r="E39" s="288"/>
      <c r="F39" s="296" t="s">
        <v>231</v>
      </c>
      <c r="G39" s="296"/>
      <c r="H39" s="296" t="s">
        <v>231</v>
      </c>
      <c r="I39" s="296"/>
      <c r="J39" s="296" t="s">
        <v>231</v>
      </c>
      <c r="K39" s="296"/>
      <c r="L39" s="296" t="s">
        <v>265</v>
      </c>
      <c r="M39" s="296"/>
      <c r="N39" s="296" t="s">
        <v>265</v>
      </c>
      <c r="O39" s="296"/>
      <c r="P39" s="296" t="s">
        <v>266</v>
      </c>
      <c r="Q39" s="296"/>
      <c r="R39" s="296" t="s">
        <v>266</v>
      </c>
      <c r="S39" s="321"/>
      <c r="T39" s="322"/>
      <c r="U39" s="290"/>
      <c r="V39" s="290"/>
      <c r="W39" s="291"/>
      <c r="X39" s="5"/>
    </row>
    <row r="40" spans="1:24" ht="15.6" x14ac:dyDescent="0.3">
      <c r="A40" s="287"/>
      <c r="B40" s="288" t="s">
        <v>12</v>
      </c>
      <c r="C40" s="288"/>
      <c r="D40" s="322">
        <v>3.6770000000000001E-3</v>
      </c>
      <c r="E40" s="288"/>
      <c r="F40" s="322">
        <v>7.1738000000000001E-3</v>
      </c>
      <c r="G40" s="321"/>
      <c r="H40" s="322">
        <v>4.2399999999999998E-3</v>
      </c>
      <c r="I40" s="322"/>
      <c r="J40" s="322">
        <v>4.5440000000000003E-3</v>
      </c>
      <c r="K40" s="321"/>
      <c r="L40" s="322">
        <v>8.7738E-3</v>
      </c>
      <c r="M40" s="321"/>
      <c r="N40" s="322">
        <v>5.8399999999999997E-3</v>
      </c>
      <c r="O40" s="321"/>
      <c r="P40" s="322">
        <v>1.27738E-2</v>
      </c>
      <c r="Q40" s="321"/>
      <c r="R40" s="322">
        <v>9.8399999999999998E-3</v>
      </c>
      <c r="S40" s="321"/>
      <c r="T40" s="322"/>
      <c r="U40" s="290"/>
      <c r="V40" s="296"/>
      <c r="W40" s="291"/>
      <c r="X40" s="5"/>
    </row>
    <row r="41" spans="1:24" ht="15.6" x14ac:dyDescent="0.3">
      <c r="A41" s="287"/>
      <c r="B41" s="288" t="s">
        <v>13</v>
      </c>
      <c r="C41" s="288"/>
      <c r="D41" s="322">
        <v>3.8406E-3</v>
      </c>
      <c r="E41" s="288"/>
      <c r="F41" s="322">
        <v>7.0850000000000002E-3</v>
      </c>
      <c r="G41" s="321"/>
      <c r="H41" s="322">
        <v>4.0899999999999999E-3</v>
      </c>
      <c r="I41" s="322"/>
      <c r="J41" s="322">
        <v>4.7324999999999997E-3</v>
      </c>
      <c r="K41" s="321"/>
      <c r="L41" s="322">
        <v>8.685E-3</v>
      </c>
      <c r="M41" s="321"/>
      <c r="N41" s="322">
        <v>5.6899999999999997E-3</v>
      </c>
      <c r="O41" s="321"/>
      <c r="P41" s="322">
        <v>1.2685E-2</v>
      </c>
      <c r="Q41" s="321"/>
      <c r="R41" s="322">
        <v>9.6900000000000007E-3</v>
      </c>
      <c r="S41" s="321"/>
      <c r="T41" s="322"/>
      <c r="U41" s="290"/>
      <c r="V41" s="321" t="s">
        <v>193</v>
      </c>
      <c r="W41" s="291"/>
      <c r="X41" s="5"/>
    </row>
    <row r="42" spans="1:24" ht="15.6" x14ac:dyDescent="0.3">
      <c r="A42" s="287"/>
      <c r="B42" s="288" t="s">
        <v>299</v>
      </c>
      <c r="C42" s="288"/>
      <c r="D42" s="296" t="s">
        <v>322</v>
      </c>
      <c r="E42" s="288"/>
      <c r="F42" s="296" t="s">
        <v>231</v>
      </c>
      <c r="G42" s="296"/>
      <c r="H42" s="296" t="s">
        <v>323</v>
      </c>
      <c r="I42" s="296"/>
      <c r="J42" s="296" t="s">
        <v>324</v>
      </c>
      <c r="K42" s="296"/>
      <c r="L42" s="296" t="s">
        <v>265</v>
      </c>
      <c r="M42" s="296"/>
      <c r="N42" s="296" t="s">
        <v>234</v>
      </c>
      <c r="O42" s="296"/>
      <c r="P42" s="296" t="s">
        <v>266</v>
      </c>
      <c r="Q42" s="296"/>
      <c r="R42" s="296" t="s">
        <v>264</v>
      </c>
      <c r="S42" s="321"/>
      <c r="T42" s="322"/>
      <c r="U42" s="290"/>
      <c r="V42" s="290"/>
      <c r="W42" s="291"/>
      <c r="X42" s="5"/>
    </row>
    <row r="43" spans="1:24" ht="15.6" x14ac:dyDescent="0.3">
      <c r="A43" s="287"/>
      <c r="B43" s="288" t="s">
        <v>300</v>
      </c>
      <c r="C43" s="323"/>
      <c r="D43" s="322">
        <v>7.5478000000000003E-3</v>
      </c>
      <c r="E43" s="322"/>
      <c r="F43" s="322">
        <f>+F40</f>
        <v>7.1738000000000001E-3</v>
      </c>
      <c r="G43" s="322"/>
      <c r="H43" s="322">
        <v>7.4538E-3</v>
      </c>
      <c r="I43" s="322"/>
      <c r="J43" s="322">
        <v>7.8998000000000002E-3</v>
      </c>
      <c r="K43" s="322"/>
      <c r="L43" s="322">
        <f>+L40</f>
        <v>8.7738E-3</v>
      </c>
      <c r="M43" s="322"/>
      <c r="N43" s="322">
        <v>9.3658000000000005E-3</v>
      </c>
      <c r="O43" s="322"/>
      <c r="P43" s="322">
        <f>+P40</f>
        <v>1.27738E-2</v>
      </c>
      <c r="Q43" s="321"/>
      <c r="R43" s="322">
        <v>1.3839799999999999E-2</v>
      </c>
      <c r="S43" s="296"/>
      <c r="T43" s="296"/>
      <c r="U43" s="290"/>
      <c r="V43" s="321">
        <f>SUMPRODUCT(D43:R43,D35:R35)/V35</f>
        <v>8.3457867270075852E-3</v>
      </c>
      <c r="W43" s="291"/>
      <c r="X43" s="5"/>
    </row>
    <row r="44" spans="1:24" ht="15.6" x14ac:dyDescent="0.3">
      <c r="A44" s="287"/>
      <c r="B44" s="288" t="s">
        <v>301</v>
      </c>
      <c r="C44" s="323"/>
      <c r="D44" s="322">
        <v>7.4590000000000004E-3</v>
      </c>
      <c r="E44" s="322"/>
      <c r="F44" s="322">
        <f>+F41</f>
        <v>7.0850000000000002E-3</v>
      </c>
      <c r="G44" s="322"/>
      <c r="H44" s="322">
        <v>7.365E-3</v>
      </c>
      <c r="I44" s="322"/>
      <c r="J44" s="322">
        <v>7.8110000000000002E-3</v>
      </c>
      <c r="K44" s="322"/>
      <c r="L44" s="322">
        <f>+L41</f>
        <v>8.685E-3</v>
      </c>
      <c r="M44" s="322"/>
      <c r="N44" s="322">
        <v>9.2770000000000005E-3</v>
      </c>
      <c r="O44" s="322"/>
      <c r="P44" s="322">
        <f>+P41</f>
        <v>1.2685E-2</v>
      </c>
      <c r="Q44" s="321"/>
      <c r="R44" s="322">
        <v>1.3750999999999999E-2</v>
      </c>
      <c r="S44" s="296"/>
      <c r="T44" s="296"/>
      <c r="U44" s="290"/>
      <c r="V44" s="290"/>
      <c r="W44" s="291"/>
      <c r="X44" s="5"/>
    </row>
    <row r="45" spans="1:24" ht="15.6" x14ac:dyDescent="0.3">
      <c r="A45" s="287"/>
      <c r="B45" s="288" t="s">
        <v>14</v>
      </c>
      <c r="C45" s="288"/>
      <c r="D45" s="323">
        <v>40617</v>
      </c>
      <c r="E45" s="323"/>
      <c r="F45" s="323">
        <v>40617</v>
      </c>
      <c r="G45" s="323"/>
      <c r="H45" s="323">
        <v>40617</v>
      </c>
      <c r="I45" s="323"/>
      <c r="J45" s="323">
        <v>40617</v>
      </c>
      <c r="K45" s="323"/>
      <c r="L45" s="323">
        <v>40617</v>
      </c>
      <c r="M45" s="323"/>
      <c r="N45" s="323">
        <v>40617</v>
      </c>
      <c r="O45" s="323"/>
      <c r="P45" s="323">
        <v>40617</v>
      </c>
      <c r="Q45" s="323"/>
      <c r="R45" s="323">
        <v>40617</v>
      </c>
      <c r="S45" s="296"/>
      <c r="T45" s="296"/>
      <c r="U45" s="290"/>
      <c r="V45" s="290"/>
      <c r="W45" s="291"/>
      <c r="X45" s="5"/>
    </row>
    <row r="46" spans="1:24" ht="15.6" x14ac:dyDescent="0.3">
      <c r="A46" s="287"/>
      <c r="B46" s="288" t="s">
        <v>15</v>
      </c>
      <c r="C46" s="288"/>
      <c r="D46" s="323">
        <v>40983</v>
      </c>
      <c r="E46" s="323"/>
      <c r="F46" s="323">
        <v>40983</v>
      </c>
      <c r="G46" s="323"/>
      <c r="H46" s="323">
        <v>40983</v>
      </c>
      <c r="I46" s="323"/>
      <c r="J46" s="323">
        <v>40983</v>
      </c>
      <c r="K46" s="296"/>
      <c r="L46" s="323">
        <v>40983</v>
      </c>
      <c r="M46" s="296"/>
      <c r="N46" s="323">
        <v>40983</v>
      </c>
      <c r="O46" s="296"/>
      <c r="P46" s="323">
        <v>40983</v>
      </c>
      <c r="Q46" s="296"/>
      <c r="R46" s="323">
        <v>40983</v>
      </c>
      <c r="S46" s="296"/>
      <c r="T46" s="296"/>
      <c r="U46" s="290"/>
      <c r="V46" s="290"/>
      <c r="W46" s="291"/>
      <c r="X46" s="5"/>
    </row>
    <row r="47" spans="1:24" ht="15.6" x14ac:dyDescent="0.3">
      <c r="A47" s="287"/>
      <c r="B47" s="288" t="s">
        <v>119</v>
      </c>
      <c r="C47" s="288"/>
      <c r="D47" s="296" t="s">
        <v>231</v>
      </c>
      <c r="E47" s="288"/>
      <c r="F47" s="296" t="s">
        <v>231</v>
      </c>
      <c r="G47" s="296"/>
      <c r="H47" s="296" t="s">
        <v>231</v>
      </c>
      <c r="I47" s="296"/>
      <c r="J47" s="296" t="s">
        <v>231</v>
      </c>
      <c r="K47" s="296"/>
      <c r="L47" s="296" t="s">
        <v>265</v>
      </c>
      <c r="M47" s="296"/>
      <c r="N47" s="296" t="s">
        <v>265</v>
      </c>
      <c r="O47" s="296"/>
      <c r="P47" s="296" t="s">
        <v>266</v>
      </c>
      <c r="Q47" s="296"/>
      <c r="R47" s="296" t="s">
        <v>266</v>
      </c>
      <c r="S47" s="325"/>
      <c r="T47" s="325"/>
      <c r="U47" s="325"/>
      <c r="V47" s="325"/>
      <c r="W47" s="291"/>
      <c r="X47" s="5"/>
    </row>
    <row r="48" spans="1:24" ht="15.6" x14ac:dyDescent="0.3">
      <c r="A48" s="287"/>
      <c r="B48" s="288" t="s">
        <v>302</v>
      </c>
      <c r="C48" s="288"/>
      <c r="D48" s="296" t="s">
        <v>325</v>
      </c>
      <c r="E48" s="288"/>
      <c r="F48" s="296" t="s">
        <v>231</v>
      </c>
      <c r="G48" s="296"/>
      <c r="H48" s="296" t="s">
        <v>262</v>
      </c>
      <c r="I48" s="296"/>
      <c r="J48" s="296" t="s">
        <v>263</v>
      </c>
      <c r="K48" s="296"/>
      <c r="L48" s="296" t="s">
        <v>265</v>
      </c>
      <c r="M48" s="296"/>
      <c r="N48" s="296" t="s">
        <v>234</v>
      </c>
      <c r="O48" s="296"/>
      <c r="P48" s="296" t="s">
        <v>266</v>
      </c>
      <c r="Q48" s="296"/>
      <c r="R48" s="296" t="s">
        <v>264</v>
      </c>
      <c r="S48" s="288"/>
      <c r="T48" s="288"/>
      <c r="U48" s="288"/>
      <c r="V48" s="321"/>
      <c r="W48" s="291"/>
      <c r="X48" s="5"/>
    </row>
    <row r="49" spans="1:25" ht="15.6" x14ac:dyDescent="0.3">
      <c r="A49" s="287"/>
      <c r="B49" s="288"/>
      <c r="C49" s="288"/>
      <c r="D49" s="296"/>
      <c r="E49" s="288"/>
      <c r="F49" s="296"/>
      <c r="G49" s="296"/>
      <c r="H49" s="296"/>
      <c r="I49" s="296"/>
      <c r="J49" s="296"/>
      <c r="K49" s="296"/>
      <c r="L49" s="296"/>
      <c r="M49" s="296"/>
      <c r="N49" s="296"/>
      <c r="O49" s="296"/>
      <c r="P49" s="296"/>
      <c r="Q49" s="296"/>
      <c r="R49" s="296"/>
      <c r="S49" s="288"/>
      <c r="T49" s="288"/>
      <c r="U49" s="288"/>
      <c r="V49" s="321" t="s">
        <v>193</v>
      </c>
      <c r="W49" s="291"/>
      <c r="X49" s="5"/>
    </row>
    <row r="50" spans="1:25" ht="15.6" x14ac:dyDescent="0.3">
      <c r="A50" s="287"/>
      <c r="B50" s="288" t="s">
        <v>169</v>
      </c>
      <c r="C50" s="288"/>
      <c r="D50" s="296"/>
      <c r="E50" s="288"/>
      <c r="F50" s="296"/>
      <c r="G50" s="296"/>
      <c r="H50" s="296"/>
      <c r="I50" s="296"/>
      <c r="J50" s="296"/>
      <c r="K50" s="296"/>
      <c r="L50" s="296"/>
      <c r="M50" s="296"/>
      <c r="N50" s="296"/>
      <c r="O50" s="296"/>
      <c r="P50" s="296"/>
      <c r="Q50" s="296"/>
      <c r="R50" s="296"/>
      <c r="S50" s="288"/>
      <c r="T50" s="288"/>
      <c r="U50" s="288"/>
      <c r="V50" s="321">
        <f>SUM(L34:R34)/SUM(D34:J34)</f>
        <v>0.17663090364375009</v>
      </c>
      <c r="W50" s="291"/>
      <c r="X50" s="5"/>
    </row>
    <row r="51" spans="1:25" ht="15.6" x14ac:dyDescent="0.3">
      <c r="A51" s="287"/>
      <c r="B51" s="288" t="s">
        <v>170</v>
      </c>
      <c r="C51" s="288"/>
      <c r="D51" s="288"/>
      <c r="E51" s="288"/>
      <c r="F51" s="326"/>
      <c r="G51" s="288"/>
      <c r="H51" s="288"/>
      <c r="I51" s="288"/>
      <c r="J51" s="288"/>
      <c r="K51" s="288"/>
      <c r="L51" s="288"/>
      <c r="M51" s="288"/>
      <c r="N51" s="288"/>
      <c r="O51" s="288"/>
      <c r="P51" s="288"/>
      <c r="Q51" s="288"/>
      <c r="R51" s="288"/>
      <c r="S51" s="288"/>
      <c r="T51" s="288"/>
      <c r="U51" s="288"/>
      <c r="V51" s="321">
        <f>SUM(L36:R36)/SUM(D36:J36)</f>
        <v>0.26392133413635216</v>
      </c>
      <c r="W51" s="291"/>
      <c r="X51" s="5"/>
    </row>
    <row r="52" spans="1:25" ht="15.6" x14ac:dyDescent="0.3">
      <c r="A52" s="287"/>
      <c r="B52" s="288" t="s">
        <v>171</v>
      </c>
      <c r="C52" s="288"/>
      <c r="D52" s="288"/>
      <c r="E52" s="288"/>
      <c r="F52" s="288"/>
      <c r="G52" s="288"/>
      <c r="H52" s="288"/>
      <c r="I52" s="288"/>
      <c r="J52" s="288"/>
      <c r="K52" s="288"/>
      <c r="L52" s="288"/>
      <c r="M52" s="288"/>
      <c r="N52" s="288"/>
      <c r="O52" s="288"/>
      <c r="P52" s="288"/>
      <c r="Q52" s="288"/>
      <c r="R52" s="288"/>
      <c r="S52" s="288"/>
      <c r="T52" s="296"/>
      <c r="U52" s="296"/>
      <c r="V52" s="299" t="s">
        <v>276</v>
      </c>
      <c r="W52" s="291"/>
      <c r="X52" s="5"/>
    </row>
    <row r="53" spans="1:25" ht="15.6" x14ac:dyDescent="0.3">
      <c r="A53" s="287"/>
      <c r="B53" s="288"/>
      <c r="C53" s="288"/>
      <c r="D53" s="288"/>
      <c r="E53" s="288"/>
      <c r="F53" s="288"/>
      <c r="G53" s="288"/>
      <c r="H53" s="288"/>
      <c r="I53" s="288"/>
      <c r="J53" s="288"/>
      <c r="K53" s="288"/>
      <c r="L53" s="288"/>
      <c r="M53" s="288"/>
      <c r="N53" s="288"/>
      <c r="O53" s="288"/>
      <c r="P53" s="288"/>
      <c r="Q53" s="288"/>
      <c r="R53" s="288"/>
      <c r="S53" s="288"/>
      <c r="T53" s="288"/>
      <c r="U53" s="288"/>
      <c r="V53" s="327"/>
      <c r="W53" s="291"/>
      <c r="X53" s="5"/>
    </row>
    <row r="54" spans="1:25" ht="15.6" x14ac:dyDescent="0.3">
      <c r="A54" s="287"/>
      <c r="B54" s="288" t="s">
        <v>202</v>
      </c>
      <c r="C54" s="288"/>
      <c r="D54" s="288"/>
      <c r="E54" s="288"/>
      <c r="F54" s="288"/>
      <c r="G54" s="288"/>
      <c r="H54" s="288"/>
      <c r="I54" s="288"/>
      <c r="J54" s="288"/>
      <c r="K54" s="288"/>
      <c r="L54" s="288"/>
      <c r="M54" s="288"/>
      <c r="N54" s="288"/>
      <c r="O54" s="288"/>
      <c r="P54" s="288"/>
      <c r="Q54" s="288"/>
      <c r="R54" s="288"/>
      <c r="S54" s="288"/>
      <c r="T54" s="288"/>
      <c r="U54" s="288"/>
      <c r="V54" s="328" t="s">
        <v>203</v>
      </c>
      <c r="W54" s="291"/>
      <c r="X54" s="5"/>
    </row>
    <row r="55" spans="1:25" ht="15.6" x14ac:dyDescent="0.3">
      <c r="A55" s="287"/>
      <c r="B55" s="288" t="s">
        <v>280</v>
      </c>
      <c r="C55" s="288"/>
      <c r="D55" s="288"/>
      <c r="E55" s="288"/>
      <c r="F55" s="288"/>
      <c r="G55" s="288"/>
      <c r="H55" s="288"/>
      <c r="I55" s="288"/>
      <c r="J55" s="288"/>
      <c r="K55" s="288"/>
      <c r="L55" s="288"/>
      <c r="M55" s="288"/>
      <c r="N55" s="288"/>
      <c r="O55" s="288"/>
      <c r="P55" s="288"/>
      <c r="Q55" s="288"/>
      <c r="R55" s="288"/>
      <c r="S55" s="288"/>
      <c r="T55" s="296"/>
      <c r="U55" s="296"/>
      <c r="V55" s="329" t="s">
        <v>111</v>
      </c>
      <c r="W55" s="291"/>
      <c r="X55" s="5"/>
    </row>
    <row r="56" spans="1:25" ht="15.6" x14ac:dyDescent="0.3">
      <c r="A56" s="287"/>
      <c r="B56" s="295" t="s">
        <v>201</v>
      </c>
      <c r="C56" s="295"/>
      <c r="D56" s="295"/>
      <c r="E56" s="295"/>
      <c r="F56" s="295"/>
      <c r="G56" s="295"/>
      <c r="H56" s="295"/>
      <c r="I56" s="295"/>
      <c r="J56" s="295"/>
      <c r="K56" s="295"/>
      <c r="L56" s="295"/>
      <c r="M56" s="295"/>
      <c r="N56" s="295"/>
      <c r="O56" s="295"/>
      <c r="P56" s="295"/>
      <c r="Q56" s="295"/>
      <c r="R56" s="295"/>
      <c r="S56" s="295"/>
      <c r="T56" s="330"/>
      <c r="U56" s="330"/>
      <c r="V56" s="331">
        <v>41624</v>
      </c>
      <c r="W56" s="291"/>
      <c r="X56" s="5"/>
    </row>
    <row r="57" spans="1:25" ht="15.6" x14ac:dyDescent="0.3">
      <c r="A57" s="287"/>
      <c r="B57" s="288" t="s">
        <v>121</v>
      </c>
      <c r="C57" s="288"/>
      <c r="D57" s="288"/>
      <c r="E57" s="288"/>
      <c r="F57" s="288"/>
      <c r="G57" s="288"/>
      <c r="H57" s="332"/>
      <c r="I57" s="332"/>
      <c r="J57" s="332"/>
      <c r="K57" s="332"/>
      <c r="L57" s="332"/>
      <c r="M57" s="332"/>
      <c r="N57" s="332"/>
      <c r="O57" s="332"/>
      <c r="P57" s="332"/>
      <c r="Q57" s="332"/>
      <c r="R57" s="288">
        <f>+V57-T57+1</f>
        <v>91</v>
      </c>
      <c r="S57" s="332"/>
      <c r="T57" s="333">
        <v>41442</v>
      </c>
      <c r="U57" s="334"/>
      <c r="V57" s="333">
        <v>41532</v>
      </c>
      <c r="W57" s="291"/>
      <c r="X57" s="5"/>
    </row>
    <row r="58" spans="1:25" ht="15.6" x14ac:dyDescent="0.3">
      <c r="A58" s="287"/>
      <c r="B58" s="288" t="s">
        <v>122</v>
      </c>
      <c r="C58" s="288"/>
      <c r="D58" s="288"/>
      <c r="E58" s="288"/>
      <c r="F58" s="288"/>
      <c r="G58" s="288"/>
      <c r="H58" s="288"/>
      <c r="I58" s="288"/>
      <c r="J58" s="288"/>
      <c r="K58" s="288"/>
      <c r="L58" s="288"/>
      <c r="M58" s="288"/>
      <c r="N58" s="288"/>
      <c r="O58" s="288"/>
      <c r="P58" s="288"/>
      <c r="Q58" s="288"/>
      <c r="R58" s="288">
        <f>+V58-T58+1</f>
        <v>91</v>
      </c>
      <c r="S58" s="288"/>
      <c r="T58" s="333">
        <v>41533</v>
      </c>
      <c r="U58" s="334"/>
      <c r="V58" s="333">
        <v>41623</v>
      </c>
      <c r="W58" s="291"/>
      <c r="X58" s="5"/>
    </row>
    <row r="59" spans="1:25" ht="15.6" x14ac:dyDescent="0.3">
      <c r="A59" s="287"/>
      <c r="B59" s="288" t="s">
        <v>229</v>
      </c>
      <c r="C59" s="288"/>
      <c r="D59" s="288"/>
      <c r="E59" s="288"/>
      <c r="F59" s="288"/>
      <c r="G59" s="288"/>
      <c r="H59" s="288"/>
      <c r="I59" s="288"/>
      <c r="J59" s="288"/>
      <c r="K59" s="288"/>
      <c r="L59" s="288"/>
      <c r="M59" s="288"/>
      <c r="N59" s="288"/>
      <c r="O59" s="288"/>
      <c r="P59" s="288"/>
      <c r="Q59" s="288"/>
      <c r="R59" s="288"/>
      <c r="S59" s="288"/>
      <c r="T59" s="333"/>
      <c r="U59" s="334"/>
      <c r="V59" s="333" t="s">
        <v>120</v>
      </c>
      <c r="W59" s="291"/>
      <c r="X59" s="5"/>
    </row>
    <row r="60" spans="1:25" ht="15.6" x14ac:dyDescent="0.3">
      <c r="A60" s="287"/>
      <c r="B60" s="288" t="s">
        <v>228</v>
      </c>
      <c r="C60" s="288"/>
      <c r="D60" s="288"/>
      <c r="E60" s="288"/>
      <c r="F60" s="288"/>
      <c r="G60" s="288"/>
      <c r="H60" s="288"/>
      <c r="I60" s="288"/>
      <c r="J60" s="288"/>
      <c r="K60" s="288"/>
      <c r="L60" s="288"/>
      <c r="M60" s="288"/>
      <c r="N60" s="288"/>
      <c r="O60" s="288"/>
      <c r="P60" s="288"/>
      <c r="Q60" s="288"/>
      <c r="R60" s="288"/>
      <c r="S60" s="288"/>
      <c r="T60" s="333"/>
      <c r="U60" s="334"/>
      <c r="V60" s="333" t="s">
        <v>154</v>
      </c>
      <c r="W60" s="291"/>
      <c r="X60" s="5"/>
      <c r="Y60" s="134"/>
    </row>
    <row r="61" spans="1:25" ht="15.6" x14ac:dyDescent="0.3">
      <c r="A61" s="287"/>
      <c r="B61" s="288" t="s">
        <v>16</v>
      </c>
      <c r="C61" s="288"/>
      <c r="D61" s="288"/>
      <c r="E61" s="288"/>
      <c r="F61" s="288"/>
      <c r="G61" s="288"/>
      <c r="H61" s="288"/>
      <c r="I61" s="288"/>
      <c r="J61" s="288"/>
      <c r="K61" s="288"/>
      <c r="L61" s="288"/>
      <c r="M61" s="288"/>
      <c r="N61" s="288"/>
      <c r="O61" s="288"/>
      <c r="P61" s="288"/>
      <c r="Q61" s="288"/>
      <c r="R61" s="288"/>
      <c r="S61" s="288"/>
      <c r="T61" s="333"/>
      <c r="U61" s="334"/>
      <c r="V61" s="333">
        <v>41610</v>
      </c>
      <c r="W61" s="291"/>
      <c r="X61" s="5"/>
    </row>
    <row r="62" spans="1:25" ht="15.6" x14ac:dyDescent="0.3">
      <c r="A62" s="183"/>
      <c r="B62" s="284"/>
      <c r="C62" s="284"/>
      <c r="D62" s="284"/>
      <c r="E62" s="284"/>
      <c r="F62" s="284"/>
      <c r="G62" s="284"/>
      <c r="H62" s="284"/>
      <c r="I62" s="284"/>
      <c r="J62" s="284"/>
      <c r="K62" s="284"/>
      <c r="L62" s="284"/>
      <c r="M62" s="284"/>
      <c r="N62" s="284"/>
      <c r="O62" s="284"/>
      <c r="P62" s="284"/>
      <c r="Q62" s="284"/>
      <c r="R62" s="284"/>
      <c r="S62" s="284"/>
      <c r="T62" s="285"/>
      <c r="U62" s="286"/>
      <c r="V62" s="285"/>
      <c r="W62" s="284"/>
      <c r="X62" s="5"/>
    </row>
    <row r="63" spans="1:25" ht="15.6" x14ac:dyDescent="0.3">
      <c r="A63" s="183"/>
      <c r="B63" s="224"/>
      <c r="C63" s="224"/>
      <c r="D63" s="224"/>
      <c r="E63" s="224"/>
      <c r="F63" s="224"/>
      <c r="G63" s="224"/>
      <c r="H63" s="224"/>
      <c r="I63" s="224"/>
      <c r="J63" s="224"/>
      <c r="K63" s="224"/>
      <c r="L63" s="224"/>
      <c r="M63" s="224"/>
      <c r="N63" s="224"/>
      <c r="O63" s="224"/>
      <c r="P63" s="224"/>
      <c r="Q63" s="224"/>
      <c r="R63" s="224"/>
      <c r="S63" s="224"/>
      <c r="T63" s="235"/>
      <c r="U63" s="236"/>
      <c r="V63" s="235"/>
      <c r="W63" s="224"/>
      <c r="X63" s="5"/>
    </row>
    <row r="64" spans="1:25" ht="18" thickBot="1" x14ac:dyDescent="0.35">
      <c r="A64" s="199"/>
      <c r="B64" s="237" t="s">
        <v>342</v>
      </c>
      <c r="C64" s="238"/>
      <c r="D64" s="238"/>
      <c r="E64" s="238"/>
      <c r="F64" s="238"/>
      <c r="G64" s="238"/>
      <c r="H64" s="238"/>
      <c r="I64" s="238"/>
      <c r="J64" s="238"/>
      <c r="K64" s="238"/>
      <c r="L64" s="238"/>
      <c r="M64" s="238"/>
      <c r="N64" s="238"/>
      <c r="O64" s="238"/>
      <c r="P64" s="238"/>
      <c r="Q64" s="238"/>
      <c r="R64" s="238"/>
      <c r="S64" s="238"/>
      <c r="T64" s="238"/>
      <c r="U64" s="238"/>
      <c r="V64" s="239"/>
      <c r="W64" s="240"/>
      <c r="X64" s="5"/>
    </row>
    <row r="65" spans="1:24" ht="15.6" x14ac:dyDescent="0.3">
      <c r="A65" s="262"/>
      <c r="B65" s="399" t="s">
        <v>17</v>
      </c>
      <c r="C65" s="263"/>
      <c r="D65" s="263"/>
      <c r="E65" s="263"/>
      <c r="F65" s="263"/>
      <c r="G65" s="263"/>
      <c r="H65" s="263"/>
      <c r="I65" s="263"/>
      <c r="J65" s="263"/>
      <c r="K65" s="263"/>
      <c r="L65" s="263"/>
      <c r="M65" s="263"/>
      <c r="N65" s="263"/>
      <c r="O65" s="263"/>
      <c r="P65" s="263"/>
      <c r="Q65" s="263"/>
      <c r="R65" s="263"/>
      <c r="S65" s="263"/>
      <c r="T65" s="263"/>
      <c r="U65" s="263"/>
      <c r="V65" s="268"/>
      <c r="W65" s="263"/>
      <c r="X65" s="5"/>
    </row>
    <row r="66" spans="1:24" ht="15.6" x14ac:dyDescent="0.3">
      <c r="A66" s="183"/>
      <c r="B66" s="191"/>
      <c r="C66" s="185"/>
      <c r="D66" s="185"/>
      <c r="E66" s="185"/>
      <c r="F66" s="185"/>
      <c r="G66" s="185"/>
      <c r="H66" s="185"/>
      <c r="I66" s="185"/>
      <c r="J66" s="185"/>
      <c r="K66" s="185"/>
      <c r="L66" s="185"/>
      <c r="M66" s="185"/>
      <c r="N66" s="185"/>
      <c r="O66" s="185"/>
      <c r="P66" s="185"/>
      <c r="Q66" s="185"/>
      <c r="R66" s="185"/>
      <c r="S66" s="185"/>
      <c r="T66" s="185"/>
      <c r="U66" s="185"/>
      <c r="V66" s="201"/>
      <c r="W66" s="185"/>
      <c r="X66" s="5"/>
    </row>
    <row r="67" spans="1:24" ht="46.8" x14ac:dyDescent="0.3">
      <c r="A67" s="183"/>
      <c r="B67" s="202" t="s">
        <v>18</v>
      </c>
      <c r="C67" s="203"/>
      <c r="D67" s="203"/>
      <c r="E67" s="203"/>
      <c r="F67" s="203"/>
      <c r="G67" s="203"/>
      <c r="H67" s="203"/>
      <c r="I67" s="203"/>
      <c r="J67" s="203"/>
      <c r="K67" s="203"/>
      <c r="L67" s="203" t="s">
        <v>94</v>
      </c>
      <c r="M67" s="203"/>
      <c r="N67" s="203" t="s">
        <v>96</v>
      </c>
      <c r="O67" s="203"/>
      <c r="P67" s="203" t="s">
        <v>98</v>
      </c>
      <c r="Q67" s="203"/>
      <c r="R67" s="203" t="s">
        <v>100</v>
      </c>
      <c r="S67" s="203"/>
      <c r="T67" s="203" t="s">
        <v>106</v>
      </c>
      <c r="U67" s="203"/>
      <c r="V67" s="204" t="s">
        <v>112</v>
      </c>
      <c r="W67" s="205"/>
      <c r="X67" s="5"/>
    </row>
    <row r="68" spans="1:24" ht="15.6" x14ac:dyDescent="0.3">
      <c r="A68" s="287"/>
      <c r="B68" s="288" t="s">
        <v>19</v>
      </c>
      <c r="C68" s="337"/>
      <c r="D68" s="337"/>
      <c r="E68" s="337"/>
      <c r="F68" s="337"/>
      <c r="G68" s="337"/>
      <c r="H68" s="337"/>
      <c r="I68" s="337"/>
      <c r="J68" s="337"/>
      <c r="K68" s="337"/>
      <c r="L68" s="337">
        <v>1158015</v>
      </c>
      <c r="M68" s="337"/>
      <c r="N68" s="338">
        <v>1087933</v>
      </c>
      <c r="O68" s="337"/>
      <c r="P68" s="337">
        <f>9377+230</f>
        <v>9607</v>
      </c>
      <c r="Q68" s="337"/>
      <c r="R68" s="337">
        <v>230</v>
      </c>
      <c r="S68" s="337"/>
      <c r="T68" s="337">
        <v>0</v>
      </c>
      <c r="U68" s="337"/>
      <c r="V68" s="338">
        <f>+N68-P68+R68-T68</f>
        <v>1078556</v>
      </c>
      <c r="W68" s="291"/>
      <c r="X68" s="5"/>
    </row>
    <row r="69" spans="1:24" ht="15.6" x14ac:dyDescent="0.3">
      <c r="A69" s="287"/>
      <c r="B69" s="288" t="s">
        <v>20</v>
      </c>
      <c r="C69" s="337"/>
      <c r="D69" s="337"/>
      <c r="E69" s="337"/>
      <c r="F69" s="337"/>
      <c r="G69" s="337"/>
      <c r="H69" s="337"/>
      <c r="I69" s="337"/>
      <c r="J69" s="337"/>
      <c r="K69" s="337"/>
      <c r="L69" s="337">
        <v>15</v>
      </c>
      <c r="M69" s="337"/>
      <c r="N69" s="338">
        <v>0</v>
      </c>
      <c r="O69" s="337"/>
      <c r="P69" s="337">
        <v>0</v>
      </c>
      <c r="Q69" s="337"/>
      <c r="R69" s="337">
        <v>0</v>
      </c>
      <c r="S69" s="337"/>
      <c r="T69" s="337">
        <v>0</v>
      </c>
      <c r="U69" s="337"/>
      <c r="V69" s="338">
        <v>0</v>
      </c>
      <c r="W69" s="291"/>
      <c r="X69" s="5"/>
    </row>
    <row r="70" spans="1:24" ht="15.6" x14ac:dyDescent="0.3">
      <c r="A70" s="287"/>
      <c r="B70" s="288"/>
      <c r="C70" s="337"/>
      <c r="D70" s="337"/>
      <c r="E70" s="337"/>
      <c r="F70" s="337"/>
      <c r="G70" s="337"/>
      <c r="H70" s="337"/>
      <c r="I70" s="337"/>
      <c r="J70" s="337"/>
      <c r="K70" s="337"/>
      <c r="L70" s="337"/>
      <c r="M70" s="337"/>
      <c r="N70" s="338"/>
      <c r="O70" s="337"/>
      <c r="P70" s="337"/>
      <c r="Q70" s="337"/>
      <c r="R70" s="337"/>
      <c r="S70" s="337"/>
      <c r="T70" s="337"/>
      <c r="U70" s="337"/>
      <c r="V70" s="338"/>
      <c r="W70" s="291"/>
      <c r="X70" s="5"/>
    </row>
    <row r="71" spans="1:24" ht="15.6" x14ac:dyDescent="0.3">
      <c r="A71" s="287"/>
      <c r="B71" s="288" t="s">
        <v>21</v>
      </c>
      <c r="C71" s="337"/>
      <c r="D71" s="337"/>
      <c r="E71" s="337"/>
      <c r="F71" s="337"/>
      <c r="G71" s="337"/>
      <c r="H71" s="337"/>
      <c r="I71" s="337"/>
      <c r="J71" s="337"/>
      <c r="K71" s="337"/>
      <c r="L71" s="337">
        <f>SUM(L68:L70)</f>
        <v>1158030</v>
      </c>
      <c r="M71" s="337"/>
      <c r="N71" s="337">
        <f>N68+N69</f>
        <v>1087933</v>
      </c>
      <c r="O71" s="337"/>
      <c r="P71" s="337">
        <f>SUM(P68:P70)</f>
        <v>9607</v>
      </c>
      <c r="Q71" s="337"/>
      <c r="R71" s="337">
        <f>SUM(R68:R70)</f>
        <v>230</v>
      </c>
      <c r="S71" s="337"/>
      <c r="T71" s="337">
        <f>SUM(T68:T70)</f>
        <v>0</v>
      </c>
      <c r="U71" s="337"/>
      <c r="V71" s="337">
        <f>SUM(V68:V70)</f>
        <v>1078556</v>
      </c>
      <c r="W71" s="291"/>
      <c r="X71" s="5"/>
    </row>
    <row r="72" spans="1:24" ht="15.6" x14ac:dyDescent="0.3">
      <c r="A72" s="183"/>
      <c r="B72" s="198"/>
      <c r="C72" s="335"/>
      <c r="D72" s="335"/>
      <c r="E72" s="335"/>
      <c r="F72" s="335"/>
      <c r="G72" s="335"/>
      <c r="H72" s="335"/>
      <c r="I72" s="335"/>
      <c r="J72" s="335"/>
      <c r="K72" s="335"/>
      <c r="L72" s="335"/>
      <c r="M72" s="335"/>
      <c r="N72" s="335"/>
      <c r="O72" s="335"/>
      <c r="P72" s="335"/>
      <c r="Q72" s="335"/>
      <c r="R72" s="335"/>
      <c r="S72" s="335"/>
      <c r="T72" s="335"/>
      <c r="U72" s="335"/>
      <c r="V72" s="336"/>
      <c r="W72" s="198"/>
      <c r="X72" s="5"/>
    </row>
    <row r="73" spans="1:24" ht="15.6" x14ac:dyDescent="0.3">
      <c r="A73" s="183"/>
      <c r="B73" s="187" t="s">
        <v>22</v>
      </c>
      <c r="C73" s="206"/>
      <c r="D73" s="206"/>
      <c r="E73" s="206"/>
      <c r="F73" s="206"/>
      <c r="G73" s="206"/>
      <c r="H73" s="206"/>
      <c r="I73" s="206"/>
      <c r="J73" s="206"/>
      <c r="K73" s="206"/>
      <c r="L73" s="206"/>
      <c r="M73" s="206"/>
      <c r="N73" s="206"/>
      <c r="O73" s="206"/>
      <c r="P73" s="206"/>
      <c r="Q73" s="206"/>
      <c r="R73" s="206"/>
      <c r="S73" s="206"/>
      <c r="T73" s="206"/>
      <c r="U73" s="206"/>
      <c r="V73" s="207"/>
      <c r="W73" s="185"/>
      <c r="X73" s="5"/>
    </row>
    <row r="74" spans="1:24" ht="15.6" x14ac:dyDescent="0.3">
      <c r="A74" s="183"/>
      <c r="B74" s="185"/>
      <c r="C74" s="206"/>
      <c r="D74" s="206"/>
      <c r="E74" s="206"/>
      <c r="F74" s="206"/>
      <c r="G74" s="206"/>
      <c r="H74" s="206"/>
      <c r="I74" s="206"/>
      <c r="J74" s="206"/>
      <c r="K74" s="206"/>
      <c r="L74" s="206"/>
      <c r="M74" s="206"/>
      <c r="N74" s="206"/>
      <c r="O74" s="206"/>
      <c r="P74" s="206"/>
      <c r="Q74" s="206"/>
      <c r="R74" s="206"/>
      <c r="S74" s="206"/>
      <c r="T74" s="206"/>
      <c r="U74" s="206"/>
      <c r="V74" s="207"/>
      <c r="W74" s="185"/>
      <c r="X74" s="5"/>
    </row>
    <row r="75" spans="1:24" ht="15.6" x14ac:dyDescent="0.3">
      <c r="A75" s="340"/>
      <c r="B75" s="288" t="s">
        <v>19</v>
      </c>
      <c r="C75" s="337"/>
      <c r="D75" s="337"/>
      <c r="E75" s="337"/>
      <c r="F75" s="337"/>
      <c r="G75" s="337"/>
      <c r="H75" s="337"/>
      <c r="I75" s="337"/>
      <c r="J75" s="337"/>
      <c r="K75" s="337"/>
      <c r="L75" s="337"/>
      <c r="M75" s="337"/>
      <c r="N75" s="337"/>
      <c r="O75" s="337"/>
      <c r="P75" s="337"/>
      <c r="Q75" s="337"/>
      <c r="R75" s="337"/>
      <c r="S75" s="337"/>
      <c r="T75" s="337"/>
      <c r="U75" s="337"/>
      <c r="V75" s="337"/>
      <c r="W75" s="291"/>
      <c r="X75" s="5"/>
    </row>
    <row r="76" spans="1:24" ht="15.6" x14ac:dyDescent="0.3">
      <c r="A76" s="340"/>
      <c r="B76" s="288" t="s">
        <v>20</v>
      </c>
      <c r="C76" s="337"/>
      <c r="D76" s="337"/>
      <c r="E76" s="337"/>
      <c r="F76" s="337"/>
      <c r="G76" s="337"/>
      <c r="H76" s="337"/>
      <c r="I76" s="337"/>
      <c r="J76" s="337"/>
      <c r="K76" s="337"/>
      <c r="L76" s="337"/>
      <c r="M76" s="337"/>
      <c r="N76" s="337"/>
      <c r="O76" s="337"/>
      <c r="P76" s="337"/>
      <c r="Q76" s="337"/>
      <c r="R76" s="337"/>
      <c r="S76" s="337"/>
      <c r="T76" s="337"/>
      <c r="U76" s="337"/>
      <c r="V76" s="337"/>
      <c r="W76" s="291"/>
      <c r="X76" s="5"/>
    </row>
    <row r="77" spans="1:24" ht="15.6" x14ac:dyDescent="0.3">
      <c r="A77" s="340"/>
      <c r="B77" s="288"/>
      <c r="C77" s="337"/>
      <c r="D77" s="337"/>
      <c r="E77" s="337"/>
      <c r="F77" s="337"/>
      <c r="G77" s="337"/>
      <c r="H77" s="337"/>
      <c r="I77" s="337"/>
      <c r="J77" s="337"/>
      <c r="K77" s="337"/>
      <c r="L77" s="337"/>
      <c r="M77" s="337"/>
      <c r="N77" s="337"/>
      <c r="O77" s="337"/>
      <c r="P77" s="337"/>
      <c r="Q77" s="337"/>
      <c r="R77" s="337"/>
      <c r="S77" s="337"/>
      <c r="T77" s="337"/>
      <c r="U77" s="337"/>
      <c r="V77" s="337"/>
      <c r="W77" s="291"/>
      <c r="X77" s="5"/>
    </row>
    <row r="78" spans="1:24" ht="15.6" x14ac:dyDescent="0.3">
      <c r="A78" s="340"/>
      <c r="B78" s="288" t="s">
        <v>21</v>
      </c>
      <c r="C78" s="337"/>
      <c r="D78" s="337"/>
      <c r="E78" s="337"/>
      <c r="F78" s="337"/>
      <c r="G78" s="337"/>
      <c r="H78" s="337"/>
      <c r="I78" s="337"/>
      <c r="J78" s="337"/>
      <c r="K78" s="337"/>
      <c r="L78" s="337"/>
      <c r="M78" s="337"/>
      <c r="N78" s="337"/>
      <c r="O78" s="337"/>
      <c r="P78" s="337"/>
      <c r="Q78" s="337"/>
      <c r="R78" s="337"/>
      <c r="S78" s="337"/>
      <c r="T78" s="337"/>
      <c r="U78" s="337"/>
      <c r="V78" s="337"/>
      <c r="W78" s="291"/>
      <c r="X78" s="5"/>
    </row>
    <row r="79" spans="1:24" ht="15.6" x14ac:dyDescent="0.3">
      <c r="A79" s="340"/>
      <c r="B79" s="288"/>
      <c r="C79" s="337"/>
      <c r="D79" s="337"/>
      <c r="E79" s="337"/>
      <c r="F79" s="337"/>
      <c r="G79" s="337"/>
      <c r="H79" s="337"/>
      <c r="I79" s="337"/>
      <c r="J79" s="337"/>
      <c r="K79" s="337"/>
      <c r="L79" s="337"/>
      <c r="M79" s="337"/>
      <c r="N79" s="337"/>
      <c r="O79" s="337"/>
      <c r="P79" s="337"/>
      <c r="Q79" s="337"/>
      <c r="R79" s="337"/>
      <c r="S79" s="337"/>
      <c r="T79" s="337"/>
      <c r="U79" s="337"/>
      <c r="V79" s="337"/>
      <c r="W79" s="291"/>
      <c r="X79" s="5"/>
    </row>
    <row r="80" spans="1:24" ht="15.6" x14ac:dyDescent="0.3">
      <c r="A80" s="340"/>
      <c r="B80" s="288" t="s">
        <v>23</v>
      </c>
      <c r="C80" s="337"/>
      <c r="D80" s="337"/>
      <c r="E80" s="337"/>
      <c r="F80" s="337"/>
      <c r="G80" s="337"/>
      <c r="H80" s="337"/>
      <c r="I80" s="337"/>
      <c r="J80" s="337"/>
      <c r="K80" s="337"/>
      <c r="L80" s="337">
        <v>0</v>
      </c>
      <c r="M80" s="337"/>
      <c r="N80" s="337">
        <v>0</v>
      </c>
      <c r="O80" s="337"/>
      <c r="P80" s="337"/>
      <c r="Q80" s="337"/>
      <c r="R80" s="337"/>
      <c r="S80" s="337"/>
      <c r="T80" s="337"/>
      <c r="U80" s="337"/>
      <c r="V80" s="338">
        <v>0</v>
      </c>
      <c r="W80" s="291"/>
      <c r="X80" s="5"/>
    </row>
    <row r="81" spans="1:24" ht="15.6" x14ac:dyDescent="0.3">
      <c r="A81" s="340"/>
      <c r="B81" s="288" t="s">
        <v>117</v>
      </c>
      <c r="C81" s="337"/>
      <c r="D81" s="337"/>
      <c r="E81" s="337"/>
      <c r="F81" s="337"/>
      <c r="G81" s="337"/>
      <c r="H81" s="337"/>
      <c r="I81" s="337"/>
      <c r="J81" s="337"/>
      <c r="K81" s="337"/>
      <c r="L81" s="337">
        <v>342245</v>
      </c>
      <c r="M81" s="337"/>
      <c r="N81" s="337">
        <v>0</v>
      </c>
      <c r="O81" s="337"/>
      <c r="P81" s="337">
        <v>0</v>
      </c>
      <c r="Q81" s="337"/>
      <c r="R81" s="337"/>
      <c r="S81" s="337"/>
      <c r="T81" s="337"/>
      <c r="U81" s="337"/>
      <c r="V81" s="337">
        <f>SUM(N81:R81)</f>
        <v>0</v>
      </c>
      <c r="W81" s="291"/>
      <c r="X81" s="5"/>
    </row>
    <row r="82" spans="1:24" ht="15.6" x14ac:dyDescent="0.3">
      <c r="A82" s="340"/>
      <c r="B82" s="288"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91"/>
      <c r="X82" s="5"/>
    </row>
    <row r="83" spans="1:24" ht="15.6" x14ac:dyDescent="0.3">
      <c r="A83" s="340"/>
      <c r="B83" s="288" t="s">
        <v>25</v>
      </c>
      <c r="C83" s="337"/>
      <c r="D83" s="337"/>
      <c r="E83" s="337"/>
      <c r="F83" s="337"/>
      <c r="G83" s="337"/>
      <c r="H83" s="337"/>
      <c r="I83" s="337"/>
      <c r="J83" s="337"/>
      <c r="K83" s="337"/>
      <c r="L83" s="337">
        <v>0</v>
      </c>
      <c r="M83" s="337"/>
      <c r="N83" s="337">
        <v>0</v>
      </c>
      <c r="O83" s="337"/>
      <c r="P83" s="337"/>
      <c r="Q83" s="337"/>
      <c r="R83" s="337"/>
      <c r="S83" s="337"/>
      <c r="T83" s="337"/>
      <c r="U83" s="337"/>
      <c r="V83" s="337">
        <v>0</v>
      </c>
      <c r="W83" s="291"/>
      <c r="X83" s="5"/>
    </row>
    <row r="84" spans="1:24" ht="15.6" x14ac:dyDescent="0.3">
      <c r="A84" s="340"/>
      <c r="B84" s="288" t="s">
        <v>26</v>
      </c>
      <c r="C84" s="337"/>
      <c r="D84" s="337"/>
      <c r="E84" s="337"/>
      <c r="F84" s="337"/>
      <c r="G84" s="337"/>
      <c r="H84" s="337"/>
      <c r="I84" s="337"/>
      <c r="J84" s="337"/>
      <c r="K84" s="337"/>
      <c r="L84" s="337">
        <f>SUM(L71:L83)</f>
        <v>1500275</v>
      </c>
      <c r="M84" s="337"/>
      <c r="N84" s="337">
        <f>SUM(N71:N83)</f>
        <v>1087933</v>
      </c>
      <c r="O84" s="337"/>
      <c r="P84" s="337"/>
      <c r="Q84" s="337"/>
      <c r="R84" s="337"/>
      <c r="S84" s="337"/>
      <c r="T84" s="337"/>
      <c r="U84" s="337"/>
      <c r="V84" s="337">
        <f>SUM(V71:V83)</f>
        <v>1078556</v>
      </c>
      <c r="W84" s="291"/>
      <c r="X84" s="5"/>
    </row>
    <row r="85" spans="1:24" ht="15.6" x14ac:dyDescent="0.3">
      <c r="A85" s="243"/>
      <c r="B85" s="284"/>
      <c r="C85" s="339"/>
      <c r="D85" s="339"/>
      <c r="E85" s="339"/>
      <c r="F85" s="339"/>
      <c r="G85" s="339"/>
      <c r="H85" s="339"/>
      <c r="I85" s="339"/>
      <c r="J85" s="339"/>
      <c r="K85" s="339"/>
      <c r="L85" s="339"/>
      <c r="M85" s="339"/>
      <c r="N85" s="339"/>
      <c r="O85" s="339"/>
      <c r="P85" s="339"/>
      <c r="Q85" s="339"/>
      <c r="R85" s="339"/>
      <c r="S85" s="339"/>
      <c r="T85" s="339"/>
      <c r="U85" s="339"/>
      <c r="V85" s="339"/>
      <c r="W85" s="284"/>
      <c r="X85" s="5"/>
    </row>
    <row r="86" spans="1:24" ht="15.6" x14ac:dyDescent="0.3">
      <c r="A86" s="243"/>
      <c r="B86" s="224"/>
      <c r="C86" s="224"/>
      <c r="D86" s="224"/>
      <c r="E86" s="224"/>
      <c r="F86" s="224"/>
      <c r="G86" s="224"/>
      <c r="H86" s="224"/>
      <c r="I86" s="224"/>
      <c r="J86" s="224"/>
      <c r="K86" s="224"/>
      <c r="L86" s="224"/>
      <c r="M86" s="224"/>
      <c r="N86" s="224"/>
      <c r="O86" s="224"/>
      <c r="P86" s="224"/>
      <c r="Q86" s="224"/>
      <c r="R86" s="224"/>
      <c r="S86" s="224"/>
      <c r="T86" s="224"/>
      <c r="U86" s="224"/>
      <c r="V86" s="224"/>
      <c r="W86" s="224"/>
      <c r="X86" s="5"/>
    </row>
    <row r="87" spans="1:24" ht="15.6" x14ac:dyDescent="0.3">
      <c r="A87" s="262"/>
      <c r="B87" s="399" t="s">
        <v>27</v>
      </c>
      <c r="C87" s="399"/>
      <c r="D87" s="399"/>
      <c r="E87" s="399"/>
      <c r="F87" s="399"/>
      <c r="G87" s="399"/>
      <c r="H87" s="400"/>
      <c r="I87" s="400"/>
      <c r="J87" s="400"/>
      <c r="K87" s="400"/>
      <c r="L87" s="401" t="s">
        <v>95</v>
      </c>
      <c r="M87" s="400"/>
      <c r="N87" s="402">
        <f>+T205</f>
        <v>41607</v>
      </c>
      <c r="O87" s="400"/>
      <c r="P87" s="400"/>
      <c r="Q87" s="400"/>
      <c r="R87" s="400"/>
      <c r="S87" s="400"/>
      <c r="T87" s="400" t="s">
        <v>107</v>
      </c>
      <c r="U87" s="400"/>
      <c r="V87" s="400" t="s">
        <v>113</v>
      </c>
      <c r="W87" s="263"/>
      <c r="X87" s="5"/>
    </row>
    <row r="88" spans="1:24" ht="15.6" x14ac:dyDescent="0.3">
      <c r="A88" s="242"/>
      <c r="B88" s="231" t="s">
        <v>28</v>
      </c>
      <c r="C88" s="231"/>
      <c r="D88" s="231"/>
      <c r="E88" s="231"/>
      <c r="F88" s="231"/>
      <c r="G88" s="231"/>
      <c r="H88" s="231"/>
      <c r="I88" s="231"/>
      <c r="J88" s="231"/>
      <c r="K88" s="231"/>
      <c r="L88" s="231"/>
      <c r="M88" s="231"/>
      <c r="N88" s="231"/>
      <c r="O88" s="231"/>
      <c r="P88" s="231"/>
      <c r="Q88" s="231"/>
      <c r="R88" s="231"/>
      <c r="S88" s="231"/>
      <c r="T88" s="234">
        <v>0</v>
      </c>
      <c r="U88" s="231"/>
      <c r="V88" s="241">
        <v>0</v>
      </c>
      <c r="W88" s="231"/>
      <c r="X88" s="5"/>
    </row>
    <row r="89" spans="1:24" ht="15.6" x14ac:dyDescent="0.3">
      <c r="A89" s="340"/>
      <c r="B89" s="288" t="s">
        <v>29</v>
      </c>
      <c r="C89" s="288"/>
      <c r="D89" s="288"/>
      <c r="E89" s="288"/>
      <c r="F89" s="288"/>
      <c r="G89" s="288"/>
      <c r="H89" s="325"/>
      <c r="I89" s="325"/>
      <c r="J89" s="325"/>
      <c r="K89" s="341"/>
      <c r="L89" s="325"/>
      <c r="M89" s="288"/>
      <c r="N89" s="342"/>
      <c r="O89" s="288"/>
      <c r="P89" s="288"/>
      <c r="Q89" s="288"/>
      <c r="R89" s="288"/>
      <c r="S89" s="288"/>
      <c r="T89" s="337">
        <f>9607-203</f>
        <v>9404</v>
      </c>
      <c r="U89" s="288"/>
      <c r="V89" s="338"/>
      <c r="W89" s="291"/>
      <c r="X89" s="5"/>
    </row>
    <row r="90" spans="1:24" ht="15.6" x14ac:dyDescent="0.3">
      <c r="A90" s="340"/>
      <c r="B90" s="288" t="s">
        <v>216</v>
      </c>
      <c r="C90" s="288"/>
      <c r="D90" s="288"/>
      <c r="E90" s="288"/>
      <c r="F90" s="288"/>
      <c r="G90" s="288"/>
      <c r="H90" s="325"/>
      <c r="I90" s="325"/>
      <c r="J90" s="325"/>
      <c r="K90" s="341"/>
      <c r="L90" s="325"/>
      <c r="M90" s="288"/>
      <c r="N90" s="342"/>
      <c r="O90" s="288"/>
      <c r="P90" s="288"/>
      <c r="Q90" s="288"/>
      <c r="R90" s="288"/>
      <c r="S90" s="288"/>
      <c r="T90" s="337"/>
      <c r="U90" s="288"/>
      <c r="V90" s="338">
        <f>3478+4308-493-757</f>
        <v>6536</v>
      </c>
      <c r="W90" s="291"/>
      <c r="X90" s="5"/>
    </row>
    <row r="91" spans="1:24" ht="15.6" x14ac:dyDescent="0.3">
      <c r="A91" s="340"/>
      <c r="B91" s="288" t="s">
        <v>211</v>
      </c>
      <c r="C91" s="288"/>
      <c r="D91" s="288"/>
      <c r="E91" s="288"/>
      <c r="F91" s="288"/>
      <c r="G91" s="288"/>
      <c r="H91" s="325"/>
      <c r="I91" s="325"/>
      <c r="J91" s="325"/>
      <c r="K91" s="341"/>
      <c r="L91" s="325"/>
      <c r="M91" s="288"/>
      <c r="N91" s="342"/>
      <c r="O91" s="288"/>
      <c r="P91" s="288"/>
      <c r="Q91" s="288"/>
      <c r="R91" s="288"/>
      <c r="S91" s="288"/>
      <c r="T91" s="337"/>
      <c r="U91" s="288"/>
      <c r="V91" s="338">
        <f>10+76</f>
        <v>86</v>
      </c>
      <c r="W91" s="291"/>
      <c r="X91" s="5"/>
    </row>
    <row r="92" spans="1:24" ht="15.6" x14ac:dyDescent="0.3">
      <c r="A92" s="340"/>
      <c r="B92" s="288" t="s">
        <v>212</v>
      </c>
      <c r="C92" s="288"/>
      <c r="D92" s="288"/>
      <c r="E92" s="288"/>
      <c r="F92" s="288"/>
      <c r="G92" s="288"/>
      <c r="H92" s="325"/>
      <c r="I92" s="325"/>
      <c r="J92" s="325"/>
      <c r="K92" s="341"/>
      <c r="L92" s="325"/>
      <c r="M92" s="288"/>
      <c r="N92" s="342"/>
      <c r="O92" s="288"/>
      <c r="P92" s="288"/>
      <c r="Q92" s="288"/>
      <c r="R92" s="288"/>
      <c r="S92" s="288"/>
      <c r="T92" s="337"/>
      <c r="U92" s="288"/>
      <c r="V92" s="338">
        <v>40</v>
      </c>
      <c r="W92" s="291"/>
      <c r="X92" s="5"/>
    </row>
    <row r="93" spans="1:24" ht="15.6" x14ac:dyDescent="0.3">
      <c r="A93" s="340"/>
      <c r="B93" s="288" t="s">
        <v>272</v>
      </c>
      <c r="C93" s="288"/>
      <c r="D93" s="288"/>
      <c r="E93" s="288"/>
      <c r="F93" s="288"/>
      <c r="G93" s="288"/>
      <c r="H93" s="325"/>
      <c r="I93" s="325"/>
      <c r="J93" s="325"/>
      <c r="K93" s="341"/>
      <c r="L93" s="325"/>
      <c r="M93" s="288"/>
      <c r="N93" s="342"/>
      <c r="O93" s="288"/>
      <c r="P93" s="288"/>
      <c r="Q93" s="288"/>
      <c r="R93" s="288"/>
      <c r="S93" s="288"/>
      <c r="T93" s="337"/>
      <c r="U93" s="288"/>
      <c r="V93" s="338">
        <v>0</v>
      </c>
      <c r="W93" s="291"/>
      <c r="X93" s="5"/>
    </row>
    <row r="94" spans="1:24" ht="15.6" x14ac:dyDescent="0.3">
      <c r="A94" s="340"/>
      <c r="B94" s="288" t="s">
        <v>274</v>
      </c>
      <c r="C94" s="288"/>
      <c r="D94" s="288"/>
      <c r="E94" s="288"/>
      <c r="F94" s="288"/>
      <c r="G94" s="288"/>
      <c r="H94" s="325"/>
      <c r="I94" s="325"/>
      <c r="J94" s="325"/>
      <c r="K94" s="341"/>
      <c r="L94" s="325"/>
      <c r="M94" s="288"/>
      <c r="N94" s="342"/>
      <c r="O94" s="288"/>
      <c r="P94" s="288"/>
      <c r="Q94" s="288"/>
      <c r="R94" s="288"/>
      <c r="S94" s="288"/>
      <c r="T94" s="337"/>
      <c r="U94" s="288"/>
      <c r="V94" s="338">
        <v>0</v>
      </c>
      <c r="W94" s="291"/>
      <c r="X94" s="5"/>
    </row>
    <row r="95" spans="1:24" ht="15.6" x14ac:dyDescent="0.3">
      <c r="A95" s="340"/>
      <c r="B95" s="288" t="s">
        <v>135</v>
      </c>
      <c r="C95" s="288"/>
      <c r="D95" s="288"/>
      <c r="E95" s="288"/>
      <c r="F95" s="288"/>
      <c r="G95" s="288"/>
      <c r="H95" s="288"/>
      <c r="I95" s="288"/>
      <c r="J95" s="288"/>
      <c r="K95" s="288"/>
      <c r="L95" s="288"/>
      <c r="M95" s="288"/>
      <c r="N95" s="288"/>
      <c r="O95" s="288"/>
      <c r="P95" s="288"/>
      <c r="Q95" s="288"/>
      <c r="R95" s="288"/>
      <c r="S95" s="288"/>
      <c r="T95" s="337"/>
      <c r="U95" s="288"/>
      <c r="V95" s="338">
        <v>0</v>
      </c>
      <c r="W95" s="291"/>
      <c r="X95" s="5"/>
    </row>
    <row r="96" spans="1:24" ht="15.6" x14ac:dyDescent="0.3">
      <c r="A96" s="340"/>
      <c r="B96" s="288" t="s">
        <v>268</v>
      </c>
      <c r="C96" s="288"/>
      <c r="D96" s="288"/>
      <c r="E96" s="288"/>
      <c r="F96" s="288"/>
      <c r="G96" s="288"/>
      <c r="H96" s="288"/>
      <c r="I96" s="288"/>
      <c r="J96" s="288"/>
      <c r="K96" s="288"/>
      <c r="L96" s="288"/>
      <c r="M96" s="288"/>
      <c r="N96" s="288"/>
      <c r="O96" s="288"/>
      <c r="P96" s="288"/>
      <c r="Q96" s="288"/>
      <c r="R96" s="288"/>
      <c r="S96" s="288"/>
      <c r="T96" s="337"/>
      <c r="U96" s="288"/>
      <c r="V96" s="338">
        <v>313</v>
      </c>
      <c r="W96" s="291"/>
      <c r="X96" s="5"/>
    </row>
    <row r="97" spans="1:25" ht="15.6" x14ac:dyDescent="0.3">
      <c r="A97" s="340"/>
      <c r="B97" s="288" t="s">
        <v>30</v>
      </c>
      <c r="C97" s="288"/>
      <c r="D97" s="288"/>
      <c r="E97" s="288"/>
      <c r="F97" s="288"/>
      <c r="G97" s="288"/>
      <c r="H97" s="288"/>
      <c r="I97" s="288"/>
      <c r="J97" s="288"/>
      <c r="K97" s="288"/>
      <c r="L97" s="288"/>
      <c r="M97" s="288"/>
      <c r="N97" s="288"/>
      <c r="O97" s="288"/>
      <c r="P97" s="288"/>
      <c r="Q97" s="288"/>
      <c r="R97" s="288"/>
      <c r="S97" s="288"/>
      <c r="T97" s="337">
        <f>SUM(T88:T96)</f>
        <v>9404</v>
      </c>
      <c r="U97" s="288"/>
      <c r="V97" s="337">
        <f>SUM(V88:V96)</f>
        <v>6975</v>
      </c>
      <c r="W97" s="291"/>
      <c r="X97" s="5"/>
    </row>
    <row r="98" spans="1:25" ht="15.6" x14ac:dyDescent="0.3">
      <c r="A98" s="340"/>
      <c r="B98" s="288" t="s">
        <v>161</v>
      </c>
      <c r="C98" s="288"/>
      <c r="D98" s="288"/>
      <c r="E98" s="288"/>
      <c r="F98" s="288"/>
      <c r="G98" s="288"/>
      <c r="H98" s="288"/>
      <c r="I98" s="288"/>
      <c r="J98" s="288"/>
      <c r="K98" s="288"/>
      <c r="L98" s="288"/>
      <c r="M98" s="288"/>
      <c r="N98" s="288"/>
      <c r="O98" s="288"/>
      <c r="P98" s="288"/>
      <c r="Q98" s="288"/>
      <c r="R98" s="288"/>
      <c r="S98" s="288"/>
      <c r="T98" s="337">
        <f>-V98</f>
        <v>-1</v>
      </c>
      <c r="U98" s="288"/>
      <c r="V98" s="337">
        <v>1</v>
      </c>
      <c r="W98" s="291"/>
      <c r="X98" s="5"/>
    </row>
    <row r="99" spans="1:25" ht="15.6" x14ac:dyDescent="0.3">
      <c r="A99" s="340"/>
      <c r="B99" s="288" t="s">
        <v>31</v>
      </c>
      <c r="C99" s="288"/>
      <c r="D99" s="288"/>
      <c r="E99" s="288"/>
      <c r="F99" s="288"/>
      <c r="G99" s="288"/>
      <c r="H99" s="288"/>
      <c r="I99" s="288"/>
      <c r="J99" s="288"/>
      <c r="K99" s="288"/>
      <c r="L99" s="288"/>
      <c r="M99" s="288"/>
      <c r="N99" s="288"/>
      <c r="O99" s="288"/>
      <c r="P99" s="288"/>
      <c r="Q99" s="288"/>
      <c r="R99" s="288"/>
      <c r="S99" s="288"/>
      <c r="T99" s="337">
        <f>-V99</f>
        <v>0</v>
      </c>
      <c r="U99" s="288"/>
      <c r="V99" s="338">
        <v>0</v>
      </c>
      <c r="W99" s="291"/>
      <c r="X99" s="5"/>
    </row>
    <row r="100" spans="1:25" ht="15.6" x14ac:dyDescent="0.3">
      <c r="A100" s="340"/>
      <c r="B100" s="288" t="s">
        <v>283</v>
      </c>
      <c r="C100" s="288"/>
      <c r="D100" s="288"/>
      <c r="E100" s="288"/>
      <c r="F100" s="288"/>
      <c r="G100" s="288"/>
      <c r="H100" s="288"/>
      <c r="I100" s="288"/>
      <c r="J100" s="288"/>
      <c r="K100" s="288"/>
      <c r="L100" s="288"/>
      <c r="M100" s="288"/>
      <c r="N100" s="288"/>
      <c r="O100" s="288"/>
      <c r="P100" s="288"/>
      <c r="Q100" s="288"/>
      <c r="R100" s="288"/>
      <c r="S100" s="288"/>
      <c r="T100" s="337"/>
      <c r="U100" s="288"/>
      <c r="V100" s="338">
        <v>16</v>
      </c>
      <c r="W100" s="291"/>
      <c r="X100" s="5"/>
    </row>
    <row r="101" spans="1:25" ht="15.6" x14ac:dyDescent="0.3">
      <c r="A101" s="340"/>
      <c r="B101" s="288" t="s">
        <v>32</v>
      </c>
      <c r="C101" s="288"/>
      <c r="D101" s="288"/>
      <c r="E101" s="288"/>
      <c r="F101" s="288"/>
      <c r="G101" s="288"/>
      <c r="H101" s="288"/>
      <c r="I101" s="288"/>
      <c r="J101" s="288"/>
      <c r="K101" s="288"/>
      <c r="L101" s="288"/>
      <c r="M101" s="288"/>
      <c r="N101" s="288"/>
      <c r="O101" s="288"/>
      <c r="P101" s="288"/>
      <c r="Q101" s="288"/>
      <c r="R101" s="288"/>
      <c r="S101" s="288"/>
      <c r="T101" s="337">
        <f>T97+T99+T98</f>
        <v>9403</v>
      </c>
      <c r="U101" s="288"/>
      <c r="V101" s="337">
        <f>V97+V99+V98+V100</f>
        <v>6992</v>
      </c>
      <c r="W101" s="291"/>
      <c r="X101" s="5"/>
    </row>
    <row r="102" spans="1:25" ht="15.6" x14ac:dyDescent="0.3">
      <c r="A102" s="287"/>
      <c r="B102" s="343" t="s">
        <v>33</v>
      </c>
      <c r="C102" s="314"/>
      <c r="D102" s="314"/>
      <c r="E102" s="314"/>
      <c r="F102" s="314"/>
      <c r="G102" s="314"/>
      <c r="H102" s="314"/>
      <c r="I102" s="314"/>
      <c r="J102" s="314"/>
      <c r="K102" s="314"/>
      <c r="L102" s="314"/>
      <c r="M102" s="314"/>
      <c r="N102" s="314"/>
      <c r="O102" s="314"/>
      <c r="P102" s="314"/>
      <c r="Q102" s="314"/>
      <c r="R102" s="314"/>
      <c r="S102" s="314"/>
      <c r="T102" s="344"/>
      <c r="U102" s="314"/>
      <c r="V102" s="345"/>
      <c r="W102" s="318"/>
      <c r="X102" s="5"/>
    </row>
    <row r="103" spans="1:25" ht="15.6" x14ac:dyDescent="0.3">
      <c r="A103" s="340">
        <v>1</v>
      </c>
      <c r="B103" s="288" t="s">
        <v>34</v>
      </c>
      <c r="C103" s="288"/>
      <c r="D103" s="288"/>
      <c r="E103" s="288"/>
      <c r="F103" s="288"/>
      <c r="G103" s="288"/>
      <c r="H103" s="288"/>
      <c r="I103" s="288"/>
      <c r="J103" s="288"/>
      <c r="K103" s="288"/>
      <c r="L103" s="288"/>
      <c r="M103" s="288"/>
      <c r="N103" s="288"/>
      <c r="O103" s="288"/>
      <c r="P103" s="288"/>
      <c r="Q103" s="288"/>
      <c r="R103" s="288"/>
      <c r="S103" s="288"/>
      <c r="T103" s="288"/>
      <c r="U103" s="288"/>
      <c r="V103" s="338">
        <v>0</v>
      </c>
      <c r="W103" s="291"/>
      <c r="X103" s="5"/>
    </row>
    <row r="104" spans="1:25" ht="15.6" x14ac:dyDescent="0.3">
      <c r="A104" s="340">
        <f>+A103+1</f>
        <v>2</v>
      </c>
      <c r="B104" s="288" t="s">
        <v>330</v>
      </c>
      <c r="C104" s="288"/>
      <c r="D104" s="288"/>
      <c r="E104" s="288"/>
      <c r="F104" s="288"/>
      <c r="G104" s="288"/>
      <c r="H104" s="288"/>
      <c r="I104" s="288"/>
      <c r="J104" s="288"/>
      <c r="K104" s="288"/>
      <c r="L104" s="288"/>
      <c r="M104" s="288"/>
      <c r="N104" s="288"/>
      <c r="O104" s="288"/>
      <c r="P104" s="288"/>
      <c r="Q104" s="288"/>
      <c r="R104" s="288"/>
      <c r="S104" s="288"/>
      <c r="T104" s="288"/>
      <c r="U104" s="288"/>
      <c r="V104" s="338">
        <v>-2</v>
      </c>
      <c r="W104" s="291"/>
      <c r="X104" s="5"/>
    </row>
    <row r="105" spans="1:25" ht="15.6" x14ac:dyDescent="0.3">
      <c r="A105" s="340">
        <f>+A104+1</f>
        <v>3</v>
      </c>
      <c r="B105" s="288" t="s">
        <v>331</v>
      </c>
      <c r="C105" s="288"/>
      <c r="D105" s="288"/>
      <c r="E105" s="288"/>
      <c r="F105" s="288"/>
      <c r="G105" s="288"/>
      <c r="H105" s="288"/>
      <c r="I105" s="288"/>
      <c r="J105" s="288"/>
      <c r="K105" s="288"/>
      <c r="L105" s="288"/>
      <c r="M105" s="288"/>
      <c r="N105" s="288"/>
      <c r="O105" s="288"/>
      <c r="P105" s="288"/>
      <c r="Q105" s="288"/>
      <c r="R105" s="288"/>
      <c r="S105" s="288"/>
      <c r="T105" s="288"/>
      <c r="U105" s="288"/>
      <c r="V105" s="338">
        <f>-136-203-13</f>
        <v>-352</v>
      </c>
      <c r="W105" s="291"/>
      <c r="X105" s="5"/>
    </row>
    <row r="106" spans="1:25" ht="15.6" x14ac:dyDescent="0.3">
      <c r="A106" s="340" t="s">
        <v>127</v>
      </c>
      <c r="B106" s="288" t="s">
        <v>116</v>
      </c>
      <c r="C106" s="288"/>
      <c r="D106" s="288"/>
      <c r="E106" s="288"/>
      <c r="F106" s="288"/>
      <c r="G106" s="288"/>
      <c r="H106" s="288"/>
      <c r="I106" s="288"/>
      <c r="J106" s="288"/>
      <c r="K106" s="288"/>
      <c r="L106" s="288"/>
      <c r="M106" s="288"/>
      <c r="N106" s="288"/>
      <c r="O106" s="288"/>
      <c r="P106" s="288"/>
      <c r="Q106" s="288"/>
      <c r="R106" s="288"/>
      <c r="S106" s="288"/>
      <c r="T106" s="288"/>
      <c r="U106" s="288"/>
      <c r="V106" s="338">
        <v>0</v>
      </c>
      <c r="W106" s="291"/>
      <c r="X106" s="5"/>
    </row>
    <row r="107" spans="1:25" ht="15.6" x14ac:dyDescent="0.3">
      <c r="A107" s="340" t="s">
        <v>128</v>
      </c>
      <c r="B107" s="288" t="s">
        <v>222</v>
      </c>
      <c r="C107" s="288"/>
      <c r="D107" s="288"/>
      <c r="E107" s="288"/>
      <c r="F107" s="288"/>
      <c r="G107" s="288"/>
      <c r="H107" s="288"/>
      <c r="I107" s="288"/>
      <c r="J107" s="288"/>
      <c r="K107" s="288"/>
      <c r="L107" s="288"/>
      <c r="M107" s="288"/>
      <c r="N107" s="288"/>
      <c r="O107" s="288"/>
      <c r="P107" s="288"/>
      <c r="Q107" s="288"/>
      <c r="R107" s="288"/>
      <c r="S107" s="288"/>
      <c r="T107" s="288"/>
      <c r="U107" s="288"/>
      <c r="V107" s="338">
        <f>-1625+151</f>
        <v>-1474</v>
      </c>
      <c r="W107" s="291"/>
      <c r="X107" s="5"/>
      <c r="Y107" s="109"/>
    </row>
    <row r="108" spans="1:25" ht="15.6" x14ac:dyDescent="0.3">
      <c r="A108" s="340" t="s">
        <v>150</v>
      </c>
      <c r="B108" s="288" t="s">
        <v>184</v>
      </c>
      <c r="C108" s="288"/>
      <c r="D108" s="288"/>
      <c r="E108" s="288"/>
      <c r="F108" s="288"/>
      <c r="G108" s="288"/>
      <c r="H108" s="288"/>
      <c r="I108" s="288"/>
      <c r="J108" s="288"/>
      <c r="K108" s="288"/>
      <c r="L108" s="288"/>
      <c r="M108" s="288"/>
      <c r="N108" s="288"/>
      <c r="O108" s="288"/>
      <c r="P108" s="288"/>
      <c r="Q108" s="288"/>
      <c r="R108" s="288"/>
      <c r="S108" s="288"/>
      <c r="T108" s="288"/>
      <c r="U108" s="288"/>
      <c r="V108" s="338">
        <v>-151</v>
      </c>
      <c r="W108" s="291"/>
      <c r="X108" s="5"/>
      <c r="Y108" s="109"/>
    </row>
    <row r="109" spans="1:25" ht="15.6" x14ac:dyDescent="0.3">
      <c r="A109" s="340" t="s">
        <v>236</v>
      </c>
      <c r="B109" s="288" t="s">
        <v>238</v>
      </c>
      <c r="C109" s="288"/>
      <c r="D109" s="288"/>
      <c r="E109" s="288"/>
      <c r="F109" s="288"/>
      <c r="G109" s="288"/>
      <c r="H109" s="288"/>
      <c r="I109" s="288"/>
      <c r="J109" s="288"/>
      <c r="K109" s="288"/>
      <c r="L109" s="288"/>
      <c r="M109" s="288"/>
      <c r="N109" s="288"/>
      <c r="O109" s="288"/>
      <c r="P109" s="288"/>
      <c r="Q109" s="288"/>
      <c r="R109" s="288"/>
      <c r="S109" s="288"/>
      <c r="T109" s="288"/>
      <c r="U109" s="288"/>
      <c r="V109" s="338">
        <v>-1</v>
      </c>
      <c r="W109" s="291"/>
      <c r="X109" s="5"/>
    </row>
    <row r="110" spans="1:25" ht="15.6" x14ac:dyDescent="0.3">
      <c r="A110" s="340" t="s">
        <v>205</v>
      </c>
      <c r="B110" s="288" t="s">
        <v>185</v>
      </c>
      <c r="C110" s="288"/>
      <c r="D110" s="288"/>
      <c r="E110" s="288"/>
      <c r="F110" s="288"/>
      <c r="G110" s="288"/>
      <c r="H110" s="288"/>
      <c r="I110" s="288"/>
      <c r="J110" s="288"/>
      <c r="K110" s="288"/>
      <c r="L110" s="288"/>
      <c r="M110" s="288"/>
      <c r="N110" s="288"/>
      <c r="O110" s="288"/>
      <c r="P110" s="288"/>
      <c r="Q110" s="288"/>
      <c r="R110" s="288"/>
      <c r="S110" s="288"/>
      <c r="T110" s="288"/>
      <c r="U110" s="288"/>
      <c r="V110" s="338">
        <v>-142</v>
      </c>
      <c r="W110" s="291"/>
      <c r="X110" s="5"/>
      <c r="Y110" s="109"/>
    </row>
    <row r="111" spans="1:25" ht="15.6" x14ac:dyDescent="0.3">
      <c r="A111" s="340" t="s">
        <v>206</v>
      </c>
      <c r="B111" s="288" t="s">
        <v>186</v>
      </c>
      <c r="C111" s="288"/>
      <c r="D111" s="288"/>
      <c r="E111" s="288"/>
      <c r="F111" s="288"/>
      <c r="G111" s="288"/>
      <c r="H111" s="288"/>
      <c r="I111" s="288"/>
      <c r="J111" s="288"/>
      <c r="K111" s="288"/>
      <c r="L111" s="288"/>
      <c r="M111" s="288"/>
      <c r="N111" s="288"/>
      <c r="O111" s="288"/>
      <c r="P111" s="288"/>
      <c r="Q111" s="288"/>
      <c r="R111" s="288"/>
      <c r="S111" s="288"/>
      <c r="T111" s="288"/>
      <c r="U111" s="288"/>
      <c r="V111" s="338">
        <v>-113</v>
      </c>
      <c r="W111" s="291"/>
      <c r="X111" s="179"/>
      <c r="Y111" s="109"/>
    </row>
    <row r="112" spans="1:25" ht="15.6" x14ac:dyDescent="0.3">
      <c r="A112" s="340" t="s">
        <v>207</v>
      </c>
      <c r="B112" s="288" t="s">
        <v>196</v>
      </c>
      <c r="C112" s="288"/>
      <c r="D112" s="288"/>
      <c r="E112" s="288"/>
      <c r="F112" s="288"/>
      <c r="G112" s="288"/>
      <c r="H112" s="288"/>
      <c r="I112" s="288"/>
      <c r="J112" s="288"/>
      <c r="K112" s="288"/>
      <c r="L112" s="288"/>
      <c r="M112" s="288"/>
      <c r="N112" s="288"/>
      <c r="O112" s="288"/>
      <c r="P112" s="288"/>
      <c r="Q112" s="288"/>
      <c r="R112" s="288"/>
      <c r="S112" s="288"/>
      <c r="T112" s="288"/>
      <c r="U112" s="288"/>
      <c r="V112" s="338">
        <v>-320</v>
      </c>
      <c r="W112" s="291"/>
      <c r="X112" s="5"/>
      <c r="Y112" s="109"/>
    </row>
    <row r="113" spans="1:25" ht="15.6" x14ac:dyDescent="0.3">
      <c r="A113" s="340" t="s">
        <v>224</v>
      </c>
      <c r="B113" s="288" t="s">
        <v>223</v>
      </c>
      <c r="C113" s="288"/>
      <c r="D113" s="288"/>
      <c r="E113" s="288"/>
      <c r="F113" s="288"/>
      <c r="G113" s="288"/>
      <c r="H113" s="288"/>
      <c r="I113" s="288"/>
      <c r="J113" s="288"/>
      <c r="K113" s="288"/>
      <c r="L113" s="288"/>
      <c r="M113" s="288"/>
      <c r="N113" s="288"/>
      <c r="O113" s="288"/>
      <c r="P113" s="288"/>
      <c r="Q113" s="288"/>
      <c r="R113" s="288"/>
      <c r="S113" s="288"/>
      <c r="T113" s="288"/>
      <c r="U113" s="288"/>
      <c r="V113" s="338">
        <v>-63</v>
      </c>
      <c r="W113" s="291"/>
      <c r="X113" s="5"/>
      <c r="Y113" s="109"/>
    </row>
    <row r="114" spans="1:25" ht="15.6" x14ac:dyDescent="0.3">
      <c r="A114" s="340">
        <v>7</v>
      </c>
      <c r="B114" s="288" t="s">
        <v>35</v>
      </c>
      <c r="C114" s="288"/>
      <c r="D114" s="288"/>
      <c r="E114" s="288"/>
      <c r="F114" s="288"/>
      <c r="G114" s="288"/>
      <c r="H114" s="288"/>
      <c r="I114" s="288"/>
      <c r="J114" s="288"/>
      <c r="K114" s="288"/>
      <c r="L114" s="288"/>
      <c r="M114" s="288"/>
      <c r="N114" s="288"/>
      <c r="O114" s="288"/>
      <c r="P114" s="288"/>
      <c r="Q114" s="288"/>
      <c r="R114" s="288"/>
      <c r="S114" s="288"/>
      <c r="T114" s="288"/>
      <c r="U114" s="288"/>
      <c r="V114" s="338">
        <v>-8</v>
      </c>
      <c r="W114" s="291"/>
      <c r="X114" s="5"/>
    </row>
    <row r="115" spans="1:25" ht="15.6" x14ac:dyDescent="0.3">
      <c r="A115" s="340">
        <f t="shared" ref="A115:A121" si="0">+A114+1</f>
        <v>8</v>
      </c>
      <c r="B115" s="288" t="s">
        <v>45</v>
      </c>
      <c r="C115" s="288"/>
      <c r="D115" s="288"/>
      <c r="E115" s="288"/>
      <c r="F115" s="288"/>
      <c r="G115" s="288"/>
      <c r="H115" s="288"/>
      <c r="I115" s="288"/>
      <c r="J115" s="288"/>
      <c r="K115" s="288"/>
      <c r="L115" s="288"/>
      <c r="M115" s="288"/>
      <c r="N115" s="288"/>
      <c r="O115" s="288"/>
      <c r="P115" s="288"/>
      <c r="Q115" s="288"/>
      <c r="R115" s="288"/>
      <c r="S115" s="288"/>
      <c r="T115" s="337">
        <f>-V115</f>
        <v>203</v>
      </c>
      <c r="U115" s="288"/>
      <c r="V115" s="338">
        <v>-203</v>
      </c>
      <c r="W115" s="291"/>
      <c r="X115" s="5"/>
    </row>
    <row r="116" spans="1:25" ht="15.6" x14ac:dyDescent="0.3">
      <c r="A116" s="340">
        <f t="shared" si="0"/>
        <v>9</v>
      </c>
      <c r="B116" s="288" t="s">
        <v>125</v>
      </c>
      <c r="C116" s="288"/>
      <c r="D116" s="288"/>
      <c r="E116" s="288"/>
      <c r="F116" s="288"/>
      <c r="G116" s="288"/>
      <c r="H116" s="288"/>
      <c r="I116" s="288"/>
      <c r="J116" s="288"/>
      <c r="K116" s="288"/>
      <c r="L116" s="288"/>
      <c r="M116" s="288"/>
      <c r="N116" s="288"/>
      <c r="O116" s="288"/>
      <c r="P116" s="288"/>
      <c r="Q116" s="288"/>
      <c r="R116" s="288"/>
      <c r="S116" s="288"/>
      <c r="T116" s="288"/>
      <c r="U116" s="288"/>
      <c r="V116" s="338">
        <v>0</v>
      </c>
      <c r="W116" s="291"/>
      <c r="X116" s="5"/>
    </row>
    <row r="117" spans="1:25" ht="15.6" x14ac:dyDescent="0.3">
      <c r="A117" s="340">
        <f t="shared" si="0"/>
        <v>10</v>
      </c>
      <c r="B117" s="288" t="s">
        <v>240</v>
      </c>
      <c r="C117" s="288"/>
      <c r="D117" s="288"/>
      <c r="E117" s="288"/>
      <c r="F117" s="288"/>
      <c r="G117" s="288"/>
      <c r="H117" s="288"/>
      <c r="I117" s="288"/>
      <c r="J117" s="288"/>
      <c r="K117" s="288"/>
      <c r="L117" s="288"/>
      <c r="M117" s="288"/>
      <c r="N117" s="288"/>
      <c r="O117" s="288"/>
      <c r="P117" s="288"/>
      <c r="Q117" s="288"/>
      <c r="R117" s="288"/>
      <c r="S117" s="288"/>
      <c r="T117" s="288"/>
      <c r="U117" s="288"/>
      <c r="V117" s="338">
        <v>0</v>
      </c>
      <c r="W117" s="291"/>
      <c r="X117" s="5"/>
    </row>
    <row r="118" spans="1:25" ht="15.6" x14ac:dyDescent="0.3">
      <c r="A118" s="340">
        <f t="shared" si="0"/>
        <v>11</v>
      </c>
      <c r="B118" s="288" t="s">
        <v>36</v>
      </c>
      <c r="C118" s="288"/>
      <c r="D118" s="288"/>
      <c r="E118" s="288"/>
      <c r="F118" s="288"/>
      <c r="G118" s="288"/>
      <c r="H118" s="288"/>
      <c r="I118" s="288"/>
      <c r="J118" s="288"/>
      <c r="K118" s="288"/>
      <c r="L118" s="288"/>
      <c r="M118" s="288"/>
      <c r="N118" s="288"/>
      <c r="O118" s="288"/>
      <c r="P118" s="288"/>
      <c r="Q118" s="288"/>
      <c r="R118" s="288"/>
      <c r="S118" s="288"/>
      <c r="T118" s="288"/>
      <c r="U118" s="288"/>
      <c r="V118" s="338">
        <v>0</v>
      </c>
      <c r="W118" s="291"/>
      <c r="X118" s="5"/>
    </row>
    <row r="119" spans="1:25" ht="15.6" x14ac:dyDescent="0.3">
      <c r="A119" s="340">
        <f t="shared" si="0"/>
        <v>12</v>
      </c>
      <c r="B119" s="288" t="s">
        <v>239</v>
      </c>
      <c r="C119" s="288"/>
      <c r="D119" s="288"/>
      <c r="E119" s="288"/>
      <c r="F119" s="288"/>
      <c r="G119" s="288"/>
      <c r="H119" s="288"/>
      <c r="I119" s="288"/>
      <c r="J119" s="288"/>
      <c r="K119" s="288"/>
      <c r="L119" s="288"/>
      <c r="M119" s="288"/>
      <c r="N119" s="288"/>
      <c r="O119" s="288"/>
      <c r="P119" s="288"/>
      <c r="Q119" s="288"/>
      <c r="R119" s="288"/>
      <c r="S119" s="288"/>
      <c r="T119" s="288"/>
      <c r="U119" s="288"/>
      <c r="V119" s="338">
        <v>0</v>
      </c>
      <c r="W119" s="291"/>
      <c r="X119" s="5"/>
    </row>
    <row r="120" spans="1:25" ht="15.6" x14ac:dyDescent="0.3">
      <c r="A120" s="340">
        <f t="shared" si="0"/>
        <v>13</v>
      </c>
      <c r="B120" s="288" t="s">
        <v>149</v>
      </c>
      <c r="C120" s="288"/>
      <c r="D120" s="288"/>
      <c r="E120" s="288"/>
      <c r="F120" s="288"/>
      <c r="G120" s="288"/>
      <c r="H120" s="288"/>
      <c r="I120" s="288"/>
      <c r="J120" s="288"/>
      <c r="K120" s="288"/>
      <c r="L120" s="288"/>
      <c r="M120" s="288"/>
      <c r="N120" s="288"/>
      <c r="O120" s="288"/>
      <c r="P120" s="288"/>
      <c r="Q120" s="288"/>
      <c r="R120" s="288"/>
      <c r="S120" s="288"/>
      <c r="T120" s="288"/>
      <c r="U120" s="288"/>
      <c r="V120" s="338">
        <v>-683</v>
      </c>
      <c r="W120" s="291"/>
      <c r="X120" s="5"/>
    </row>
    <row r="121" spans="1:25" ht="15.6" x14ac:dyDescent="0.3">
      <c r="A121" s="340">
        <f t="shared" si="0"/>
        <v>14</v>
      </c>
      <c r="B121" s="288" t="s">
        <v>126</v>
      </c>
      <c r="C121" s="288"/>
      <c r="D121" s="288"/>
      <c r="E121" s="288"/>
      <c r="F121" s="288"/>
      <c r="G121" s="288"/>
      <c r="H121" s="288"/>
      <c r="I121" s="288"/>
      <c r="J121" s="288"/>
      <c r="K121" s="288"/>
      <c r="L121" s="288"/>
      <c r="M121" s="288"/>
      <c r="N121" s="288"/>
      <c r="O121" s="288"/>
      <c r="P121" s="288"/>
      <c r="Q121" s="288"/>
      <c r="R121" s="288"/>
      <c r="S121" s="288"/>
      <c r="T121" s="288"/>
      <c r="U121" s="288"/>
      <c r="V121" s="338">
        <f>-V101-SUM(V103:V120)</f>
        <v>-3480</v>
      </c>
      <c r="W121" s="291"/>
      <c r="X121" s="5"/>
    </row>
    <row r="122" spans="1:25" ht="15.6" x14ac:dyDescent="0.3">
      <c r="A122" s="287"/>
      <c r="B122" s="343" t="s">
        <v>37</v>
      </c>
      <c r="C122" s="314"/>
      <c r="D122" s="314"/>
      <c r="E122" s="314"/>
      <c r="F122" s="314"/>
      <c r="G122" s="314"/>
      <c r="H122" s="314"/>
      <c r="I122" s="314"/>
      <c r="J122" s="314"/>
      <c r="K122" s="314"/>
      <c r="L122" s="314"/>
      <c r="M122" s="314"/>
      <c r="N122" s="314"/>
      <c r="O122" s="314"/>
      <c r="P122" s="314"/>
      <c r="Q122" s="314"/>
      <c r="R122" s="314"/>
      <c r="S122" s="314"/>
      <c r="T122" s="314"/>
      <c r="U122" s="314"/>
      <c r="V122" s="346"/>
      <c r="W122" s="318"/>
      <c r="X122" s="5"/>
    </row>
    <row r="123" spans="1:25" ht="15.6" x14ac:dyDescent="0.3">
      <c r="A123" s="340"/>
      <c r="B123" s="288" t="s">
        <v>173</v>
      </c>
      <c r="C123" s="288"/>
      <c r="D123" s="288"/>
      <c r="E123" s="288"/>
      <c r="F123" s="288"/>
      <c r="G123" s="288"/>
      <c r="H123" s="288"/>
      <c r="I123" s="288"/>
      <c r="J123" s="288"/>
      <c r="K123" s="288"/>
      <c r="L123" s="288"/>
      <c r="M123" s="288"/>
      <c r="N123" s="288"/>
      <c r="O123" s="288"/>
      <c r="P123" s="288"/>
      <c r="Q123" s="288"/>
      <c r="R123" s="288"/>
      <c r="S123" s="288"/>
      <c r="T123" s="337">
        <f>-T189</f>
        <v>0</v>
      </c>
      <c r="U123" s="337"/>
      <c r="V123" s="338"/>
      <c r="W123" s="291"/>
      <c r="X123" s="5"/>
    </row>
    <row r="124" spans="1:25" ht="15.6" x14ac:dyDescent="0.3">
      <c r="A124" s="340"/>
      <c r="B124" s="288" t="s">
        <v>174</v>
      </c>
      <c r="C124" s="288"/>
      <c r="D124" s="288"/>
      <c r="E124" s="288"/>
      <c r="F124" s="288"/>
      <c r="G124" s="288"/>
      <c r="H124" s="288"/>
      <c r="I124" s="288"/>
      <c r="J124" s="288"/>
      <c r="K124" s="288"/>
      <c r="L124" s="288"/>
      <c r="M124" s="288"/>
      <c r="N124" s="288"/>
      <c r="O124" s="288"/>
      <c r="P124" s="288"/>
      <c r="Q124" s="288"/>
      <c r="R124" s="288"/>
      <c r="S124" s="288"/>
      <c r="T124" s="337">
        <v>-10</v>
      </c>
      <c r="U124" s="337"/>
      <c r="V124" s="338"/>
      <c r="W124" s="291"/>
      <c r="X124" s="5"/>
    </row>
    <row r="125" spans="1:25" ht="15.6" x14ac:dyDescent="0.3">
      <c r="A125" s="340"/>
      <c r="B125" s="288" t="s">
        <v>38</v>
      </c>
      <c r="C125" s="288"/>
      <c r="D125" s="288"/>
      <c r="E125" s="288"/>
      <c r="F125" s="288"/>
      <c r="G125" s="288"/>
      <c r="H125" s="288"/>
      <c r="I125" s="288"/>
      <c r="J125" s="288"/>
      <c r="K125" s="288"/>
      <c r="L125" s="288"/>
      <c r="M125" s="288"/>
      <c r="N125" s="288"/>
      <c r="O125" s="288"/>
      <c r="P125" s="288"/>
      <c r="Q125" s="288"/>
      <c r="R125" s="288"/>
      <c r="S125" s="288"/>
      <c r="T125" s="337">
        <f>-S189</f>
        <v>-219</v>
      </c>
      <c r="U125" s="337"/>
      <c r="V125" s="338"/>
      <c r="W125" s="291"/>
      <c r="X125" s="5"/>
    </row>
    <row r="126" spans="1:25" ht="15.6" x14ac:dyDescent="0.3">
      <c r="A126" s="340"/>
      <c r="B126" s="288" t="s">
        <v>197</v>
      </c>
      <c r="C126" s="288"/>
      <c r="D126" s="288"/>
      <c r="E126" s="288"/>
      <c r="F126" s="288"/>
      <c r="G126" s="288"/>
      <c r="H126" s="288"/>
      <c r="I126" s="288"/>
      <c r="J126" s="288"/>
      <c r="K126" s="288"/>
      <c r="L126" s="288"/>
      <c r="M126" s="288"/>
      <c r="N126" s="288"/>
      <c r="O126" s="288"/>
      <c r="P126" s="288"/>
      <c r="Q126" s="288"/>
      <c r="R126" s="288"/>
      <c r="S126" s="288"/>
      <c r="T126" s="337">
        <v>-5701</v>
      </c>
      <c r="U126" s="337"/>
      <c r="V126" s="338"/>
      <c r="W126" s="291"/>
      <c r="X126" s="5"/>
    </row>
    <row r="127" spans="1:25" ht="15.6" x14ac:dyDescent="0.3">
      <c r="A127" s="340"/>
      <c r="B127" s="288" t="s">
        <v>195</v>
      </c>
      <c r="C127" s="288"/>
      <c r="D127" s="288"/>
      <c r="E127" s="288"/>
      <c r="F127" s="288"/>
      <c r="G127" s="288"/>
      <c r="H127" s="288"/>
      <c r="I127" s="288"/>
      <c r="J127" s="288"/>
      <c r="K127" s="288"/>
      <c r="L127" s="288"/>
      <c r="M127" s="288"/>
      <c r="N127" s="288"/>
      <c r="O127" s="288"/>
      <c r="P127" s="288"/>
      <c r="Q127" s="288"/>
      <c r="R127" s="288"/>
      <c r="S127" s="288"/>
      <c r="T127" s="337">
        <v>-919</v>
      </c>
      <c r="U127" s="337"/>
      <c r="V127" s="338"/>
      <c r="W127" s="291"/>
      <c r="X127" s="5"/>
    </row>
    <row r="128" spans="1:25" ht="15.6" x14ac:dyDescent="0.3">
      <c r="A128" s="340"/>
      <c r="B128" s="288" t="s">
        <v>194</v>
      </c>
      <c r="C128" s="288"/>
      <c r="D128" s="288"/>
      <c r="E128" s="288"/>
      <c r="F128" s="288"/>
      <c r="G128" s="288"/>
      <c r="H128" s="288"/>
      <c r="I128" s="288"/>
      <c r="J128" s="288"/>
      <c r="K128" s="288"/>
      <c r="L128" s="288"/>
      <c r="M128" s="288"/>
      <c r="N128" s="288"/>
      <c r="O128" s="288"/>
      <c r="P128" s="288"/>
      <c r="Q128" s="288"/>
      <c r="R128" s="288"/>
      <c r="S128" s="288"/>
      <c r="T128" s="337">
        <v>-1237</v>
      </c>
      <c r="U128" s="337"/>
      <c r="V128" s="338"/>
      <c r="W128" s="291"/>
      <c r="X128" s="5"/>
    </row>
    <row r="129" spans="1:24" ht="15.6" x14ac:dyDescent="0.3">
      <c r="A129" s="340"/>
      <c r="B129" s="288" t="s">
        <v>226</v>
      </c>
      <c r="C129" s="288"/>
      <c r="D129" s="288"/>
      <c r="E129" s="288"/>
      <c r="F129" s="288"/>
      <c r="G129" s="288"/>
      <c r="H129" s="288"/>
      <c r="I129" s="288"/>
      <c r="J129" s="288"/>
      <c r="K129" s="288"/>
      <c r="L129" s="288"/>
      <c r="M129" s="288"/>
      <c r="N129" s="288"/>
      <c r="O129" s="288"/>
      <c r="P129" s="288"/>
      <c r="Q129" s="288"/>
      <c r="R129" s="288"/>
      <c r="S129" s="288"/>
      <c r="T129" s="337">
        <v>-1520</v>
      </c>
      <c r="U129" s="337"/>
      <c r="V129" s="338"/>
      <c r="W129" s="291"/>
      <c r="X129" s="5"/>
    </row>
    <row r="130" spans="1:24" ht="15.6" x14ac:dyDescent="0.3">
      <c r="A130" s="340"/>
      <c r="B130" s="288" t="s">
        <v>189</v>
      </c>
      <c r="C130" s="288"/>
      <c r="D130" s="288"/>
      <c r="E130" s="288"/>
      <c r="F130" s="288"/>
      <c r="G130" s="288"/>
      <c r="H130" s="288"/>
      <c r="I130" s="288"/>
      <c r="J130" s="288"/>
      <c r="K130" s="288"/>
      <c r="L130" s="288"/>
      <c r="M130" s="288"/>
      <c r="N130" s="288"/>
      <c r="O130" s="288"/>
      <c r="P130" s="288"/>
      <c r="Q130" s="288"/>
      <c r="R130" s="288"/>
      <c r="S130" s="288"/>
      <c r="T130" s="337">
        <v>0</v>
      </c>
      <c r="U130" s="337"/>
      <c r="V130" s="338"/>
      <c r="W130" s="291"/>
      <c r="X130" s="5"/>
    </row>
    <row r="131" spans="1:24" ht="15.6" x14ac:dyDescent="0.3">
      <c r="A131" s="340"/>
      <c r="B131" s="288" t="s">
        <v>188</v>
      </c>
      <c r="C131" s="288"/>
      <c r="D131" s="288"/>
      <c r="E131" s="288"/>
      <c r="F131" s="288"/>
      <c r="G131" s="288"/>
      <c r="H131" s="288"/>
      <c r="I131" s="288"/>
      <c r="J131" s="288"/>
      <c r="K131" s="288"/>
      <c r="L131" s="288"/>
      <c r="M131" s="288"/>
      <c r="N131" s="288"/>
      <c r="O131" s="288"/>
      <c r="P131" s="288"/>
      <c r="Q131" s="288"/>
      <c r="R131" s="288"/>
      <c r="S131" s="288"/>
      <c r="T131" s="337">
        <v>0</v>
      </c>
      <c r="U131" s="337"/>
      <c r="V131" s="338"/>
      <c r="W131" s="291"/>
      <c r="X131" s="5"/>
    </row>
    <row r="132" spans="1:24" ht="15.6" x14ac:dyDescent="0.3">
      <c r="A132" s="340"/>
      <c r="B132" s="288" t="s">
        <v>227</v>
      </c>
      <c r="C132" s="288"/>
      <c r="D132" s="288"/>
      <c r="E132" s="288"/>
      <c r="F132" s="288"/>
      <c r="G132" s="288"/>
      <c r="H132" s="288"/>
      <c r="I132" s="288"/>
      <c r="J132" s="288"/>
      <c r="K132" s="288"/>
      <c r="L132" s="288"/>
      <c r="M132" s="288"/>
      <c r="N132" s="288"/>
      <c r="O132" s="288"/>
      <c r="P132" s="288"/>
      <c r="Q132" s="288"/>
      <c r="R132" s="288"/>
      <c r="S132" s="288"/>
      <c r="T132" s="337">
        <v>0</v>
      </c>
      <c r="U132" s="337"/>
      <c r="V132" s="338"/>
      <c r="W132" s="291"/>
      <c r="X132" s="5"/>
    </row>
    <row r="133" spans="1:24" ht="15.6" x14ac:dyDescent="0.3">
      <c r="A133" s="340"/>
      <c r="B133" s="288" t="s">
        <v>187</v>
      </c>
      <c r="C133" s="288"/>
      <c r="D133" s="288"/>
      <c r="E133" s="288"/>
      <c r="F133" s="288"/>
      <c r="G133" s="288"/>
      <c r="H133" s="288"/>
      <c r="I133" s="288"/>
      <c r="J133" s="288"/>
      <c r="K133" s="288"/>
      <c r="L133" s="288"/>
      <c r="M133" s="288"/>
      <c r="N133" s="288"/>
      <c r="O133" s="288"/>
      <c r="P133" s="288"/>
      <c r="Q133" s="288"/>
      <c r="R133" s="288"/>
      <c r="S133" s="288"/>
      <c r="T133" s="337">
        <v>0</v>
      </c>
      <c r="U133" s="337"/>
      <c r="V133" s="338"/>
      <c r="W133" s="291"/>
      <c r="X133" s="5"/>
    </row>
    <row r="134" spans="1:24" ht="15.6" x14ac:dyDescent="0.3">
      <c r="A134" s="340"/>
      <c r="B134" s="288" t="s">
        <v>39</v>
      </c>
      <c r="C134" s="288"/>
      <c r="D134" s="288"/>
      <c r="E134" s="288"/>
      <c r="F134" s="288"/>
      <c r="G134" s="288"/>
      <c r="H134" s="288"/>
      <c r="I134" s="288"/>
      <c r="J134" s="288"/>
      <c r="K134" s="288"/>
      <c r="L134" s="288"/>
      <c r="M134" s="288"/>
      <c r="N134" s="288"/>
      <c r="O134" s="288"/>
      <c r="P134" s="288"/>
      <c r="Q134" s="288"/>
      <c r="R134" s="288"/>
      <c r="S134" s="288"/>
      <c r="T134" s="337">
        <f>SUM(T123:T133)</f>
        <v>-9606</v>
      </c>
      <c r="U134" s="337"/>
      <c r="V134" s="337">
        <f>SUM(V102:V131)</f>
        <v>-6992</v>
      </c>
      <c r="W134" s="291"/>
      <c r="X134" s="5"/>
    </row>
    <row r="135" spans="1:24" ht="15.6" x14ac:dyDescent="0.3">
      <c r="A135" s="340"/>
      <c r="B135" s="288" t="s">
        <v>40</v>
      </c>
      <c r="C135" s="288"/>
      <c r="D135" s="288"/>
      <c r="E135" s="288"/>
      <c r="F135" s="288"/>
      <c r="G135" s="288"/>
      <c r="H135" s="288"/>
      <c r="I135" s="288"/>
      <c r="J135" s="288"/>
      <c r="K135" s="288"/>
      <c r="L135" s="288"/>
      <c r="M135" s="288"/>
      <c r="N135" s="288"/>
      <c r="O135" s="288"/>
      <c r="P135" s="288"/>
      <c r="Q135" s="288"/>
      <c r="R135" s="288"/>
      <c r="S135" s="288"/>
      <c r="T135" s="337">
        <f>T101+T134+T115</f>
        <v>0</v>
      </c>
      <c r="U135" s="337"/>
      <c r="V135" s="337">
        <f>V101+V134</f>
        <v>0</v>
      </c>
      <c r="W135" s="291"/>
      <c r="X135" s="5"/>
    </row>
    <row r="136" spans="1:24" ht="15.6" x14ac:dyDescent="0.3">
      <c r="A136" s="243"/>
      <c r="B136" s="284"/>
      <c r="C136" s="284"/>
      <c r="D136" s="284"/>
      <c r="E136" s="284"/>
      <c r="F136" s="284"/>
      <c r="G136" s="284"/>
      <c r="H136" s="284"/>
      <c r="I136" s="284"/>
      <c r="J136" s="284"/>
      <c r="K136" s="284"/>
      <c r="L136" s="284"/>
      <c r="M136" s="284"/>
      <c r="N136" s="284"/>
      <c r="O136" s="284"/>
      <c r="P136" s="284"/>
      <c r="Q136" s="284"/>
      <c r="R136" s="284"/>
      <c r="S136" s="284"/>
      <c r="T136" s="339"/>
      <c r="U136" s="339"/>
      <c r="V136" s="339"/>
      <c r="W136" s="284"/>
      <c r="X136" s="5"/>
    </row>
    <row r="137" spans="1:24" ht="15.6" x14ac:dyDescent="0.3">
      <c r="A137" s="243"/>
      <c r="B137" s="224"/>
      <c r="C137" s="224"/>
      <c r="D137" s="224"/>
      <c r="E137" s="224"/>
      <c r="F137" s="224"/>
      <c r="G137" s="224"/>
      <c r="H137" s="224"/>
      <c r="I137" s="224"/>
      <c r="J137" s="224"/>
      <c r="K137" s="224"/>
      <c r="L137" s="224"/>
      <c r="M137" s="224"/>
      <c r="N137" s="224"/>
      <c r="O137" s="224"/>
      <c r="P137" s="224"/>
      <c r="Q137" s="224"/>
      <c r="R137" s="224"/>
      <c r="S137" s="224"/>
      <c r="T137" s="224"/>
      <c r="U137" s="224"/>
      <c r="V137" s="244"/>
      <c r="W137" s="224"/>
      <c r="X137" s="5"/>
    </row>
    <row r="138" spans="1:24" ht="18" thickBot="1" x14ac:dyDescent="0.35">
      <c r="A138" s="245"/>
      <c r="B138" s="237" t="str">
        <f>B64</f>
        <v>PM14 INVESTOR REPORT QUARTER ENDING NOVEMBER 2013</v>
      </c>
      <c r="C138" s="238"/>
      <c r="D138" s="238"/>
      <c r="E138" s="238"/>
      <c r="F138" s="238"/>
      <c r="G138" s="238"/>
      <c r="H138" s="238"/>
      <c r="I138" s="238"/>
      <c r="J138" s="238"/>
      <c r="K138" s="238"/>
      <c r="L138" s="238"/>
      <c r="M138" s="238"/>
      <c r="N138" s="238"/>
      <c r="O138" s="238"/>
      <c r="P138" s="238"/>
      <c r="Q138" s="238"/>
      <c r="R138" s="238"/>
      <c r="S138" s="238"/>
      <c r="T138" s="238"/>
      <c r="U138" s="238"/>
      <c r="V138" s="246"/>
      <c r="W138" s="240"/>
      <c r="X138" s="5"/>
    </row>
    <row r="139" spans="1:24" ht="15.6" x14ac:dyDescent="0.3">
      <c r="A139" s="273"/>
      <c r="B139" s="403" t="s">
        <v>41</v>
      </c>
      <c r="C139" s="274"/>
      <c r="D139" s="274"/>
      <c r="E139" s="274"/>
      <c r="F139" s="274"/>
      <c r="G139" s="274"/>
      <c r="H139" s="274"/>
      <c r="I139" s="274"/>
      <c r="J139" s="274"/>
      <c r="K139" s="274"/>
      <c r="L139" s="274"/>
      <c r="M139" s="274"/>
      <c r="N139" s="274"/>
      <c r="O139" s="274"/>
      <c r="P139" s="274"/>
      <c r="Q139" s="274"/>
      <c r="R139" s="274"/>
      <c r="S139" s="274"/>
      <c r="T139" s="274"/>
      <c r="U139" s="274"/>
      <c r="V139" s="275"/>
      <c r="W139" s="274"/>
      <c r="X139" s="5"/>
    </row>
    <row r="140" spans="1:24" ht="15.6" x14ac:dyDescent="0.3">
      <c r="A140" s="183"/>
      <c r="B140" s="195"/>
      <c r="C140" s="185"/>
      <c r="D140" s="185"/>
      <c r="E140" s="185"/>
      <c r="F140" s="185"/>
      <c r="G140" s="185"/>
      <c r="H140" s="185"/>
      <c r="I140" s="185"/>
      <c r="J140" s="185"/>
      <c r="K140" s="185"/>
      <c r="L140" s="185"/>
      <c r="M140" s="185"/>
      <c r="N140" s="185"/>
      <c r="O140" s="185"/>
      <c r="P140" s="185"/>
      <c r="Q140" s="185"/>
      <c r="R140" s="185"/>
      <c r="S140" s="185"/>
      <c r="T140" s="185"/>
      <c r="U140" s="185"/>
      <c r="V140" s="201"/>
      <c r="W140" s="185"/>
      <c r="X140" s="5"/>
    </row>
    <row r="141" spans="1:24" ht="15.6" x14ac:dyDescent="0.3">
      <c r="A141" s="183"/>
      <c r="B141" s="208" t="s">
        <v>42</v>
      </c>
      <c r="C141" s="185"/>
      <c r="D141" s="185"/>
      <c r="E141" s="185"/>
      <c r="F141" s="185"/>
      <c r="G141" s="185"/>
      <c r="H141" s="185"/>
      <c r="I141" s="185"/>
      <c r="J141" s="185"/>
      <c r="K141" s="185"/>
      <c r="L141" s="185"/>
      <c r="M141" s="185"/>
      <c r="N141" s="185"/>
      <c r="O141" s="185"/>
      <c r="P141" s="185"/>
      <c r="Q141" s="185"/>
      <c r="R141" s="185"/>
      <c r="S141" s="185"/>
      <c r="T141" s="185"/>
      <c r="U141" s="185"/>
      <c r="V141" s="201"/>
      <c r="W141" s="185"/>
      <c r="X141" s="5"/>
    </row>
    <row r="142" spans="1:24" ht="15.6" x14ac:dyDescent="0.3">
      <c r="A142" s="287"/>
      <c r="B142" s="288" t="s">
        <v>43</v>
      </c>
      <c r="C142" s="288"/>
      <c r="D142" s="288"/>
      <c r="E142" s="288"/>
      <c r="F142" s="288"/>
      <c r="G142" s="288"/>
      <c r="H142" s="288"/>
      <c r="I142" s="288"/>
      <c r="J142" s="288"/>
      <c r="K142" s="288"/>
      <c r="L142" s="288"/>
      <c r="M142" s="288"/>
      <c r="N142" s="288"/>
      <c r="O142" s="288"/>
      <c r="P142" s="288"/>
      <c r="Q142" s="288"/>
      <c r="R142" s="288"/>
      <c r="S142" s="288"/>
      <c r="T142" s="288"/>
      <c r="U142" s="288"/>
      <c r="V142" s="338">
        <f>+V34*0.019</f>
        <v>28505.224999999999</v>
      </c>
      <c r="W142" s="291"/>
      <c r="X142" s="5"/>
    </row>
    <row r="143" spans="1:24" ht="15.6" x14ac:dyDescent="0.3">
      <c r="A143" s="287"/>
      <c r="B143" s="288" t="s">
        <v>44</v>
      </c>
      <c r="C143" s="288"/>
      <c r="D143" s="288"/>
      <c r="E143" s="288"/>
      <c r="F143" s="288"/>
      <c r="G143" s="288"/>
      <c r="H143" s="288"/>
      <c r="I143" s="288"/>
      <c r="J143" s="288"/>
      <c r="K143" s="288"/>
      <c r="L143" s="288"/>
      <c r="M143" s="288"/>
      <c r="N143" s="288"/>
      <c r="O143" s="288"/>
      <c r="P143" s="288"/>
      <c r="Q143" s="288"/>
      <c r="R143" s="288"/>
      <c r="S143" s="288"/>
      <c r="T143" s="288"/>
      <c r="U143" s="288"/>
      <c r="V143" s="338">
        <v>28505</v>
      </c>
      <c r="W143" s="291"/>
      <c r="X143" s="5"/>
    </row>
    <row r="144" spans="1:24" ht="15.6" x14ac:dyDescent="0.3">
      <c r="A144" s="287"/>
      <c r="B144" s="288" t="s">
        <v>136</v>
      </c>
      <c r="C144" s="288"/>
      <c r="D144" s="288"/>
      <c r="E144" s="288"/>
      <c r="F144" s="288"/>
      <c r="G144" s="288"/>
      <c r="H144" s="288"/>
      <c r="I144" s="288"/>
      <c r="J144" s="288"/>
      <c r="K144" s="288"/>
      <c r="L144" s="288"/>
      <c r="M144" s="288"/>
      <c r="N144" s="288"/>
      <c r="O144" s="288"/>
      <c r="P144" s="288"/>
      <c r="Q144" s="288"/>
      <c r="R144" s="288"/>
      <c r="S144" s="288"/>
      <c r="T144" s="288"/>
      <c r="U144" s="288"/>
      <c r="V144" s="338"/>
      <c r="W144" s="291"/>
      <c r="X144" s="5"/>
    </row>
    <row r="145" spans="1:25" ht="15.6" x14ac:dyDescent="0.3">
      <c r="A145" s="287"/>
      <c r="B145" s="288" t="s">
        <v>123</v>
      </c>
      <c r="C145" s="288"/>
      <c r="D145" s="288"/>
      <c r="E145" s="288"/>
      <c r="F145" s="288"/>
      <c r="G145" s="288"/>
      <c r="H145" s="288"/>
      <c r="I145" s="288"/>
      <c r="J145" s="288"/>
      <c r="K145" s="288"/>
      <c r="L145" s="288"/>
      <c r="M145" s="288"/>
      <c r="N145" s="288"/>
      <c r="O145" s="288"/>
      <c r="P145" s="288"/>
      <c r="Q145" s="288"/>
      <c r="R145" s="288"/>
      <c r="S145" s="288"/>
      <c r="T145" s="288"/>
      <c r="U145" s="288"/>
      <c r="V145" s="338">
        <v>0</v>
      </c>
      <c r="W145" s="291"/>
      <c r="X145" s="5"/>
    </row>
    <row r="146" spans="1:25" ht="15.6" x14ac:dyDescent="0.3">
      <c r="A146" s="287"/>
      <c r="B146" s="288" t="s">
        <v>124</v>
      </c>
      <c r="C146" s="288"/>
      <c r="D146" s="288"/>
      <c r="E146" s="288"/>
      <c r="F146" s="288"/>
      <c r="G146" s="288"/>
      <c r="H146" s="288"/>
      <c r="I146" s="288"/>
      <c r="J146" s="288"/>
      <c r="K146" s="288"/>
      <c r="L146" s="288"/>
      <c r="M146" s="288"/>
      <c r="N146" s="288"/>
      <c r="O146" s="288"/>
      <c r="P146" s="288"/>
      <c r="Q146" s="288"/>
      <c r="R146" s="288"/>
      <c r="S146" s="288"/>
      <c r="T146" s="288"/>
      <c r="U146" s="288"/>
      <c r="V146" s="338">
        <v>0</v>
      </c>
      <c r="W146" s="291"/>
      <c r="X146" s="5"/>
    </row>
    <row r="147" spans="1:25" ht="15.6" x14ac:dyDescent="0.3">
      <c r="A147" s="287"/>
      <c r="B147" s="288" t="s">
        <v>175</v>
      </c>
      <c r="C147" s="288"/>
      <c r="D147" s="288"/>
      <c r="E147" s="288"/>
      <c r="F147" s="288"/>
      <c r="G147" s="288"/>
      <c r="H147" s="288"/>
      <c r="I147" s="288"/>
      <c r="J147" s="288"/>
      <c r="K147" s="288"/>
      <c r="L147" s="288"/>
      <c r="M147" s="288"/>
      <c r="N147" s="288"/>
      <c r="O147" s="288"/>
      <c r="P147" s="288"/>
      <c r="Q147" s="288"/>
      <c r="R147" s="288"/>
      <c r="S147" s="288"/>
      <c r="T147" s="288"/>
      <c r="U147" s="288"/>
      <c r="V147" s="338">
        <v>0</v>
      </c>
      <c r="W147" s="291"/>
      <c r="X147" s="5"/>
    </row>
    <row r="148" spans="1:25" ht="15.6" x14ac:dyDescent="0.3">
      <c r="A148" s="287"/>
      <c r="B148" s="288" t="s">
        <v>45</v>
      </c>
      <c r="C148" s="288"/>
      <c r="D148" s="288"/>
      <c r="E148" s="288"/>
      <c r="F148" s="288"/>
      <c r="G148" s="288"/>
      <c r="H148" s="288"/>
      <c r="I148" s="288"/>
      <c r="J148" s="288"/>
      <c r="K148" s="288"/>
      <c r="L148" s="288"/>
      <c r="M148" s="288"/>
      <c r="N148" s="288"/>
      <c r="O148" s="288"/>
      <c r="P148" s="288"/>
      <c r="Q148" s="288"/>
      <c r="R148" s="288"/>
      <c r="S148" s="288"/>
      <c r="T148" s="288"/>
      <c r="U148" s="288"/>
      <c r="V148" s="338">
        <v>0</v>
      </c>
      <c r="W148" s="291"/>
      <c r="X148" s="5"/>
    </row>
    <row r="149" spans="1:25" ht="15.6" x14ac:dyDescent="0.3">
      <c r="A149" s="287"/>
      <c r="B149" s="288" t="s">
        <v>129</v>
      </c>
      <c r="C149" s="288"/>
      <c r="D149" s="288"/>
      <c r="E149" s="288"/>
      <c r="F149" s="288"/>
      <c r="G149" s="288"/>
      <c r="H149" s="288"/>
      <c r="I149" s="288"/>
      <c r="J149" s="288"/>
      <c r="K149" s="288"/>
      <c r="L149" s="288"/>
      <c r="M149" s="288"/>
      <c r="N149" s="288"/>
      <c r="O149" s="288"/>
      <c r="P149" s="288"/>
      <c r="Q149" s="288"/>
      <c r="R149" s="288"/>
      <c r="S149" s="288"/>
      <c r="T149" s="288"/>
      <c r="U149" s="288"/>
      <c r="V149" s="338">
        <v>0</v>
      </c>
      <c r="W149" s="291"/>
      <c r="X149" s="5"/>
    </row>
    <row r="150" spans="1:25" ht="15.6" x14ac:dyDescent="0.3">
      <c r="A150" s="287"/>
      <c r="B150" s="288" t="s">
        <v>267</v>
      </c>
      <c r="C150" s="288"/>
      <c r="D150" s="288"/>
      <c r="E150" s="288"/>
      <c r="F150" s="288"/>
      <c r="G150" s="288"/>
      <c r="H150" s="288"/>
      <c r="I150" s="288"/>
      <c r="J150" s="288"/>
      <c r="K150" s="288"/>
      <c r="L150" s="288"/>
      <c r="M150" s="288"/>
      <c r="N150" s="288"/>
      <c r="O150" s="288"/>
      <c r="P150" s="288"/>
      <c r="Q150" s="288"/>
      <c r="R150" s="288"/>
      <c r="S150" s="288"/>
      <c r="T150" s="288"/>
      <c r="U150" s="288"/>
      <c r="V150" s="338">
        <v>0</v>
      </c>
      <c r="W150" s="291"/>
      <c r="X150" s="5"/>
      <c r="Y150" s="109"/>
    </row>
    <row r="151" spans="1:25" ht="15.6" x14ac:dyDescent="0.3">
      <c r="A151" s="287"/>
      <c r="B151" s="288" t="s">
        <v>46</v>
      </c>
      <c r="C151" s="288"/>
      <c r="D151" s="288"/>
      <c r="E151" s="288"/>
      <c r="F151" s="288"/>
      <c r="G151" s="288"/>
      <c r="H151" s="288"/>
      <c r="I151" s="288"/>
      <c r="J151" s="288"/>
      <c r="K151" s="288"/>
      <c r="L151" s="288"/>
      <c r="M151" s="288"/>
      <c r="N151" s="288"/>
      <c r="O151" s="288"/>
      <c r="P151" s="288"/>
      <c r="Q151" s="288"/>
      <c r="R151" s="288"/>
      <c r="S151" s="288"/>
      <c r="T151" s="288"/>
      <c r="U151" s="288"/>
      <c r="V151" s="338">
        <f>SUM(V143:V150)</f>
        <v>28505</v>
      </c>
      <c r="W151" s="291"/>
      <c r="X151" s="5"/>
    </row>
    <row r="152" spans="1:25" ht="15.6" x14ac:dyDescent="0.3">
      <c r="A152" s="287"/>
      <c r="B152" s="314"/>
      <c r="C152" s="314"/>
      <c r="D152" s="314"/>
      <c r="E152" s="314"/>
      <c r="F152" s="314"/>
      <c r="G152" s="314"/>
      <c r="H152" s="314"/>
      <c r="I152" s="314"/>
      <c r="J152" s="314"/>
      <c r="K152" s="314"/>
      <c r="L152" s="314"/>
      <c r="M152" s="314"/>
      <c r="N152" s="314"/>
      <c r="O152" s="314"/>
      <c r="P152" s="314"/>
      <c r="Q152" s="314"/>
      <c r="R152" s="314"/>
      <c r="S152" s="314"/>
      <c r="T152" s="314"/>
      <c r="U152" s="314"/>
      <c r="V152" s="345"/>
      <c r="W152" s="318"/>
      <c r="X152" s="5"/>
    </row>
    <row r="153" spans="1:25" ht="15.6" x14ac:dyDescent="0.3">
      <c r="A153" s="287"/>
      <c r="B153" s="343" t="s">
        <v>237</v>
      </c>
      <c r="C153" s="314"/>
      <c r="D153" s="314"/>
      <c r="E153" s="314"/>
      <c r="F153" s="314"/>
      <c r="G153" s="314"/>
      <c r="H153" s="314"/>
      <c r="I153" s="314"/>
      <c r="J153" s="314"/>
      <c r="K153" s="314"/>
      <c r="L153" s="314"/>
      <c r="M153" s="314"/>
      <c r="N153" s="314"/>
      <c r="O153" s="314"/>
      <c r="P153" s="314"/>
      <c r="Q153" s="314"/>
      <c r="R153" s="314"/>
      <c r="S153" s="314"/>
      <c r="T153" s="314"/>
      <c r="U153" s="314"/>
      <c r="V153" s="345"/>
      <c r="W153" s="318"/>
      <c r="X153" s="5"/>
    </row>
    <row r="154" spans="1:25" ht="15.6" x14ac:dyDescent="0.3">
      <c r="A154" s="287"/>
      <c r="B154" s="288" t="s">
        <v>155</v>
      </c>
      <c r="C154" s="288"/>
      <c r="D154" s="288"/>
      <c r="E154" s="288"/>
      <c r="F154" s="288"/>
      <c r="G154" s="288"/>
      <c r="H154" s="288"/>
      <c r="I154" s="288"/>
      <c r="J154" s="288"/>
      <c r="K154" s="288"/>
      <c r="L154" s="288"/>
      <c r="M154" s="288"/>
      <c r="N154" s="288"/>
      <c r="O154" s="288"/>
      <c r="P154" s="288"/>
      <c r="Q154" s="288"/>
      <c r="R154" s="288"/>
      <c r="S154" s="288"/>
      <c r="T154" s="288"/>
      <c r="U154" s="288"/>
      <c r="V154" s="338">
        <v>7500</v>
      </c>
      <c r="W154" s="291"/>
      <c r="X154" s="5"/>
    </row>
    <row r="155" spans="1:25" ht="15.6" x14ac:dyDescent="0.3">
      <c r="A155" s="287"/>
      <c r="B155" s="288" t="s">
        <v>172</v>
      </c>
      <c r="C155" s="288"/>
      <c r="D155" s="288"/>
      <c r="E155" s="288"/>
      <c r="F155" s="288"/>
      <c r="G155" s="288"/>
      <c r="H155" s="288"/>
      <c r="I155" s="288"/>
      <c r="J155" s="288"/>
      <c r="K155" s="288"/>
      <c r="L155" s="288"/>
      <c r="M155" s="288"/>
      <c r="N155" s="288"/>
      <c r="O155" s="288"/>
      <c r="P155" s="288"/>
      <c r="Q155" s="288"/>
      <c r="R155" s="288"/>
      <c r="S155" s="288"/>
      <c r="T155" s="288"/>
      <c r="U155" s="288"/>
      <c r="V155" s="338">
        <v>0</v>
      </c>
      <c r="W155" s="291"/>
      <c r="X155" s="5"/>
    </row>
    <row r="156" spans="1:25" ht="15.6" x14ac:dyDescent="0.3">
      <c r="A156" s="287"/>
      <c r="B156" s="288" t="s">
        <v>305</v>
      </c>
      <c r="C156" s="288"/>
      <c r="D156" s="288"/>
      <c r="E156" s="288"/>
      <c r="F156" s="288"/>
      <c r="G156" s="288"/>
      <c r="H156" s="288"/>
      <c r="I156" s="288"/>
      <c r="J156" s="288"/>
      <c r="K156" s="288"/>
      <c r="L156" s="288"/>
      <c r="M156" s="288"/>
      <c r="N156" s="288"/>
      <c r="O156" s="288"/>
      <c r="P156" s="288"/>
      <c r="Q156" s="288"/>
      <c r="R156" s="288"/>
      <c r="S156" s="288"/>
      <c r="T156" s="288"/>
      <c r="U156" s="288"/>
      <c r="V156" s="338">
        <v>2101</v>
      </c>
      <c r="W156" s="291"/>
      <c r="X156" s="5"/>
    </row>
    <row r="157" spans="1:25" ht="15.6" x14ac:dyDescent="0.3">
      <c r="A157" s="287"/>
      <c r="B157" s="288"/>
      <c r="C157" s="288"/>
      <c r="D157" s="288"/>
      <c r="E157" s="288"/>
      <c r="F157" s="288"/>
      <c r="G157" s="288"/>
      <c r="H157" s="288"/>
      <c r="I157" s="288"/>
      <c r="J157" s="288"/>
      <c r="K157" s="288"/>
      <c r="L157" s="288"/>
      <c r="M157" s="288"/>
      <c r="N157" s="288"/>
      <c r="O157" s="288"/>
      <c r="P157" s="288"/>
      <c r="Q157" s="288"/>
      <c r="R157" s="288"/>
      <c r="S157" s="288"/>
      <c r="T157" s="288"/>
      <c r="U157" s="288"/>
      <c r="V157" s="338"/>
      <c r="W157" s="291"/>
      <c r="X157" s="5"/>
    </row>
    <row r="158" spans="1:25" ht="15.6" x14ac:dyDescent="0.3">
      <c r="A158" s="183"/>
      <c r="B158" s="198"/>
      <c r="C158" s="198"/>
      <c r="D158" s="198"/>
      <c r="E158" s="198"/>
      <c r="F158" s="198"/>
      <c r="G158" s="198"/>
      <c r="H158" s="198"/>
      <c r="I158" s="198"/>
      <c r="J158" s="198"/>
      <c r="K158" s="198"/>
      <c r="L158" s="198"/>
      <c r="M158" s="198"/>
      <c r="N158" s="198"/>
      <c r="O158" s="198"/>
      <c r="P158" s="198"/>
      <c r="Q158" s="198"/>
      <c r="R158" s="198"/>
      <c r="S158" s="198"/>
      <c r="T158" s="198"/>
      <c r="U158" s="198"/>
      <c r="V158" s="347"/>
      <c r="W158" s="198"/>
      <c r="X158" s="5"/>
    </row>
    <row r="159" spans="1:25" ht="15.6" x14ac:dyDescent="0.3">
      <c r="A159" s="183"/>
      <c r="B159" s="208" t="s">
        <v>24</v>
      </c>
      <c r="C159" s="185"/>
      <c r="D159" s="185"/>
      <c r="E159" s="185"/>
      <c r="F159" s="185"/>
      <c r="G159" s="185"/>
      <c r="H159" s="185"/>
      <c r="I159" s="185"/>
      <c r="J159" s="185"/>
      <c r="K159" s="185"/>
      <c r="L159" s="185"/>
      <c r="M159" s="185"/>
      <c r="N159" s="185"/>
      <c r="O159" s="185"/>
      <c r="P159" s="185"/>
      <c r="Q159" s="185"/>
      <c r="R159" s="185"/>
      <c r="S159" s="185"/>
      <c r="T159" s="185"/>
      <c r="U159" s="185"/>
      <c r="V159" s="201"/>
      <c r="W159" s="185"/>
      <c r="X159" s="5"/>
    </row>
    <row r="160" spans="1:25" ht="15.6" x14ac:dyDescent="0.3">
      <c r="A160" s="287"/>
      <c r="B160" s="288" t="s">
        <v>47</v>
      </c>
      <c r="C160" s="288"/>
      <c r="D160" s="288"/>
      <c r="E160" s="288"/>
      <c r="F160" s="288"/>
      <c r="G160" s="288"/>
      <c r="H160" s="288"/>
      <c r="I160" s="288"/>
      <c r="J160" s="288"/>
      <c r="K160" s="288"/>
      <c r="L160" s="288"/>
      <c r="M160" s="288"/>
      <c r="N160" s="288"/>
      <c r="O160" s="288"/>
      <c r="P160" s="288"/>
      <c r="Q160" s="288"/>
      <c r="R160" s="288"/>
      <c r="S160" s="288"/>
      <c r="T160" s="288"/>
      <c r="U160" s="288"/>
      <c r="V160" s="348" t="s">
        <v>118</v>
      </c>
      <c r="W160" s="291"/>
      <c r="X160" s="5"/>
    </row>
    <row r="161" spans="1:256" ht="15.6" x14ac:dyDescent="0.3">
      <c r="A161" s="287"/>
      <c r="B161" s="288" t="s">
        <v>48</v>
      </c>
      <c r="C161" s="290"/>
      <c r="D161" s="290"/>
      <c r="E161" s="290"/>
      <c r="F161" s="290"/>
      <c r="G161" s="290"/>
      <c r="H161" s="290"/>
      <c r="I161" s="290"/>
      <c r="J161" s="290"/>
      <c r="K161" s="290"/>
      <c r="L161" s="290"/>
      <c r="M161" s="290"/>
      <c r="N161" s="290"/>
      <c r="O161" s="290"/>
      <c r="P161" s="290"/>
      <c r="Q161" s="290"/>
      <c r="R161" s="290"/>
      <c r="S161" s="290"/>
      <c r="T161" s="290"/>
      <c r="U161" s="290"/>
      <c r="V161" s="348" t="s">
        <v>118</v>
      </c>
      <c r="W161" s="291"/>
      <c r="X161" s="5"/>
    </row>
    <row r="162" spans="1:256" ht="15.6" x14ac:dyDescent="0.3">
      <c r="A162" s="287"/>
      <c r="B162" s="288" t="s">
        <v>49</v>
      </c>
      <c r="C162" s="288"/>
      <c r="D162" s="288"/>
      <c r="E162" s="288"/>
      <c r="F162" s="288"/>
      <c r="G162" s="288"/>
      <c r="H162" s="288"/>
      <c r="I162" s="288"/>
      <c r="J162" s="288"/>
      <c r="K162" s="288"/>
      <c r="L162" s="288"/>
      <c r="M162" s="288"/>
      <c r="N162" s="288"/>
      <c r="O162" s="288"/>
      <c r="P162" s="288"/>
      <c r="Q162" s="288"/>
      <c r="R162" s="288"/>
      <c r="S162" s="288"/>
      <c r="T162" s="288"/>
      <c r="U162" s="288"/>
      <c r="V162" s="348" t="s">
        <v>118</v>
      </c>
      <c r="W162" s="291"/>
      <c r="X162" s="5"/>
    </row>
    <row r="163" spans="1:256" ht="15.6" x14ac:dyDescent="0.3">
      <c r="A163" s="287"/>
      <c r="B163" s="288" t="s">
        <v>50</v>
      </c>
      <c r="C163" s="288"/>
      <c r="D163" s="288"/>
      <c r="E163" s="288"/>
      <c r="F163" s="288"/>
      <c r="G163" s="288"/>
      <c r="H163" s="288"/>
      <c r="I163" s="288"/>
      <c r="J163" s="288"/>
      <c r="K163" s="288"/>
      <c r="L163" s="288"/>
      <c r="M163" s="288"/>
      <c r="N163" s="288"/>
      <c r="O163" s="288"/>
      <c r="P163" s="288"/>
      <c r="Q163" s="288"/>
      <c r="R163" s="288"/>
      <c r="S163" s="288"/>
      <c r="T163" s="288"/>
      <c r="U163" s="288"/>
      <c r="V163" s="348" t="s">
        <v>118</v>
      </c>
      <c r="W163" s="291"/>
      <c r="X163" s="5"/>
    </row>
    <row r="164" spans="1:256" ht="15.6" x14ac:dyDescent="0.3">
      <c r="A164" s="183"/>
      <c r="B164" s="198"/>
      <c r="C164" s="198"/>
      <c r="D164" s="198"/>
      <c r="E164" s="198"/>
      <c r="F164" s="198"/>
      <c r="G164" s="198"/>
      <c r="H164" s="198"/>
      <c r="I164" s="198"/>
      <c r="J164" s="198"/>
      <c r="K164" s="198"/>
      <c r="L164" s="198"/>
      <c r="M164" s="198"/>
      <c r="N164" s="198"/>
      <c r="O164" s="198"/>
      <c r="P164" s="198"/>
      <c r="Q164" s="198"/>
      <c r="R164" s="198"/>
      <c r="S164" s="198"/>
      <c r="T164" s="198"/>
      <c r="U164" s="198"/>
      <c r="V164" s="347"/>
      <c r="W164" s="198"/>
      <c r="X164" s="5"/>
    </row>
    <row r="165" spans="1:256" ht="15.6" x14ac:dyDescent="0.3">
      <c r="A165" s="183"/>
      <c r="B165" s="208" t="s">
        <v>51</v>
      </c>
      <c r="C165" s="185"/>
      <c r="D165" s="185"/>
      <c r="E165" s="185"/>
      <c r="F165" s="185"/>
      <c r="G165" s="185"/>
      <c r="H165" s="185"/>
      <c r="I165" s="185"/>
      <c r="J165" s="185"/>
      <c r="K165" s="185"/>
      <c r="L165" s="185"/>
      <c r="M165" s="185"/>
      <c r="N165" s="185"/>
      <c r="O165" s="185"/>
      <c r="P165" s="185"/>
      <c r="Q165" s="185"/>
      <c r="R165" s="185"/>
      <c r="S165" s="185"/>
      <c r="T165" s="185"/>
      <c r="U165" s="185"/>
      <c r="V165" s="209"/>
      <c r="W165" s="185"/>
      <c r="X165" s="5"/>
    </row>
    <row r="166" spans="1:256" ht="15.6" x14ac:dyDescent="0.3">
      <c r="A166" s="287"/>
      <c r="B166" s="288" t="s">
        <v>52</v>
      </c>
      <c r="C166" s="288"/>
      <c r="D166" s="288"/>
      <c r="E166" s="288"/>
      <c r="F166" s="288"/>
      <c r="G166" s="288"/>
      <c r="H166" s="288"/>
      <c r="I166" s="288"/>
      <c r="J166" s="288"/>
      <c r="K166" s="288"/>
      <c r="L166" s="288"/>
      <c r="M166" s="288"/>
      <c r="N166" s="288"/>
      <c r="O166" s="288"/>
      <c r="P166" s="288"/>
      <c r="Q166" s="288"/>
      <c r="R166" s="288"/>
      <c r="S166" s="288"/>
      <c r="T166" s="288"/>
      <c r="U166" s="288"/>
      <c r="V166" s="338">
        <v>0</v>
      </c>
      <c r="W166" s="291"/>
      <c r="X166" s="5"/>
    </row>
    <row r="167" spans="1:256" ht="15.6" x14ac:dyDescent="0.3">
      <c r="A167" s="287"/>
      <c r="B167" s="288" t="s">
        <v>53</v>
      </c>
      <c r="C167" s="288"/>
      <c r="D167" s="288"/>
      <c r="E167" s="288"/>
      <c r="F167" s="288"/>
      <c r="G167" s="288"/>
      <c r="H167" s="288"/>
      <c r="I167" s="288"/>
      <c r="J167" s="288"/>
      <c r="K167" s="288"/>
      <c r="L167" s="288"/>
      <c r="M167" s="288"/>
      <c r="N167" s="288"/>
      <c r="O167" s="288"/>
      <c r="P167" s="288"/>
      <c r="Q167" s="288"/>
      <c r="R167" s="288"/>
      <c r="S167" s="288"/>
      <c r="T167" s="288"/>
      <c r="U167" s="288"/>
      <c r="V167" s="338">
        <v>203</v>
      </c>
      <c r="W167" s="291"/>
      <c r="X167" s="5"/>
    </row>
    <row r="168" spans="1:256" ht="15.6" x14ac:dyDescent="0.3">
      <c r="A168" s="287"/>
      <c r="B168" s="288" t="s">
        <v>54</v>
      </c>
      <c r="C168" s="288"/>
      <c r="D168" s="288"/>
      <c r="E168" s="288"/>
      <c r="F168" s="288"/>
      <c r="G168" s="288"/>
      <c r="H168" s="288"/>
      <c r="I168" s="288"/>
      <c r="J168" s="288"/>
      <c r="K168" s="288"/>
      <c r="L168" s="288"/>
      <c r="M168" s="288"/>
      <c r="N168" s="288"/>
      <c r="O168" s="288"/>
      <c r="P168" s="288"/>
      <c r="Q168" s="288"/>
      <c r="R168" s="288"/>
      <c r="S168" s="288"/>
      <c r="T168" s="288"/>
      <c r="U168" s="288"/>
      <c r="V168" s="338">
        <f>V167+V166</f>
        <v>203</v>
      </c>
      <c r="W168" s="291"/>
      <c r="X168" s="5"/>
    </row>
    <row r="169" spans="1:256" ht="15.6" x14ac:dyDescent="0.3">
      <c r="A169" s="287"/>
      <c r="B169" s="288" t="s">
        <v>315</v>
      </c>
      <c r="C169" s="288"/>
      <c r="D169" s="288"/>
      <c r="E169" s="288"/>
      <c r="F169" s="288"/>
      <c r="G169" s="288"/>
      <c r="H169" s="288"/>
      <c r="I169" s="288"/>
      <c r="J169" s="288"/>
      <c r="K169" s="288"/>
      <c r="L169" s="288"/>
      <c r="M169" s="288"/>
      <c r="N169" s="288"/>
      <c r="O169" s="288"/>
      <c r="P169" s="288"/>
      <c r="Q169" s="288"/>
      <c r="R169" s="288"/>
      <c r="S169" s="288"/>
      <c r="T169" s="288"/>
      <c r="U169" s="288"/>
      <c r="V169" s="338">
        <f>V115</f>
        <v>-203</v>
      </c>
      <c r="W169" s="291"/>
      <c r="X169" s="5"/>
    </row>
    <row r="170" spans="1:256" ht="15.6" x14ac:dyDescent="0.3">
      <c r="A170" s="287"/>
      <c r="B170" s="288" t="s">
        <v>55</v>
      </c>
      <c r="C170" s="288"/>
      <c r="D170" s="288"/>
      <c r="E170" s="288"/>
      <c r="F170" s="288"/>
      <c r="G170" s="288"/>
      <c r="H170" s="288"/>
      <c r="I170" s="288"/>
      <c r="J170" s="288"/>
      <c r="K170" s="288"/>
      <c r="L170" s="288"/>
      <c r="M170" s="288"/>
      <c r="N170" s="288"/>
      <c r="O170" s="288"/>
      <c r="P170" s="288"/>
      <c r="Q170" s="288"/>
      <c r="R170" s="288"/>
      <c r="S170" s="288"/>
      <c r="T170" s="288"/>
      <c r="U170" s="288"/>
      <c r="V170" s="338">
        <f>V168+V169</f>
        <v>0</v>
      </c>
      <c r="W170" s="291"/>
      <c r="X170" s="5"/>
    </row>
    <row r="171" spans="1:256" ht="15.6" x14ac:dyDescent="0.3">
      <c r="A171" s="287"/>
      <c r="B171" s="288" t="s">
        <v>283</v>
      </c>
      <c r="C171" s="288"/>
      <c r="D171" s="288"/>
      <c r="E171" s="288"/>
      <c r="F171" s="288"/>
      <c r="G171" s="288"/>
      <c r="H171" s="288"/>
      <c r="I171" s="288"/>
      <c r="J171" s="288"/>
      <c r="K171" s="288"/>
      <c r="L171" s="288"/>
      <c r="M171" s="288"/>
      <c r="N171" s="288"/>
      <c r="O171" s="288"/>
      <c r="P171" s="288"/>
      <c r="Q171" s="288"/>
      <c r="R171" s="288"/>
      <c r="S171" s="288"/>
      <c r="T171" s="288"/>
      <c r="U171" s="288"/>
      <c r="V171" s="338">
        <v>0</v>
      </c>
      <c r="W171" s="291"/>
      <c r="X171" s="5"/>
    </row>
    <row r="172" spans="1:256" ht="16.2" thickBot="1" x14ac:dyDescent="0.35">
      <c r="A172" s="183"/>
      <c r="B172" s="284"/>
      <c r="C172" s="284"/>
      <c r="D172" s="284"/>
      <c r="E172" s="284"/>
      <c r="F172" s="284"/>
      <c r="G172" s="284"/>
      <c r="H172" s="284"/>
      <c r="I172" s="284"/>
      <c r="J172" s="284"/>
      <c r="K172" s="284"/>
      <c r="L172" s="284"/>
      <c r="M172" s="284"/>
      <c r="N172" s="284"/>
      <c r="O172" s="284"/>
      <c r="P172" s="284"/>
      <c r="Q172" s="284"/>
      <c r="R172" s="284"/>
      <c r="S172" s="284"/>
      <c r="T172" s="284"/>
      <c r="U172" s="284"/>
      <c r="V172" s="349"/>
      <c r="W172" s="284"/>
      <c r="X172" s="5"/>
    </row>
    <row r="173" spans="1:256" ht="15.6" x14ac:dyDescent="0.3">
      <c r="A173" s="180"/>
      <c r="B173" s="247"/>
      <c r="C173" s="247"/>
      <c r="D173" s="247"/>
      <c r="E173" s="247"/>
      <c r="F173" s="247"/>
      <c r="G173" s="247"/>
      <c r="H173" s="247"/>
      <c r="I173" s="247"/>
      <c r="J173" s="247"/>
      <c r="K173" s="247"/>
      <c r="L173" s="247"/>
      <c r="M173" s="247"/>
      <c r="N173" s="247"/>
      <c r="O173" s="247"/>
      <c r="P173" s="247"/>
      <c r="Q173" s="247"/>
      <c r="R173" s="247"/>
      <c r="S173" s="247"/>
      <c r="T173" s="247"/>
      <c r="U173" s="247"/>
      <c r="V173" s="248"/>
      <c r="W173" s="247"/>
      <c r="X173" s="5"/>
    </row>
    <row r="174" spans="1:256" s="161" customFormat="1" ht="15.6" x14ac:dyDescent="0.3">
      <c r="A174" s="183"/>
      <c r="B174" s="208" t="s">
        <v>269</v>
      </c>
      <c r="C174" s="198"/>
      <c r="D174" s="198"/>
      <c r="E174" s="198"/>
      <c r="F174" s="198"/>
      <c r="G174" s="198"/>
      <c r="H174" s="198"/>
      <c r="I174" s="198"/>
      <c r="J174" s="198"/>
      <c r="K174" s="198"/>
      <c r="L174" s="198"/>
      <c r="M174" s="198"/>
      <c r="N174" s="198"/>
      <c r="O174" s="198"/>
      <c r="P174" s="198"/>
      <c r="Q174" s="198"/>
      <c r="R174" s="198"/>
      <c r="S174" s="198"/>
      <c r="T174" s="198"/>
      <c r="U174" s="198"/>
      <c r="V174" s="210"/>
      <c r="W174" s="198"/>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5.6" x14ac:dyDescent="0.3">
      <c r="A175" s="287"/>
      <c r="B175" s="288" t="s">
        <v>270</v>
      </c>
      <c r="C175" s="288"/>
      <c r="D175" s="288"/>
      <c r="E175" s="288"/>
      <c r="F175" s="288"/>
      <c r="G175" s="288"/>
      <c r="H175" s="288"/>
      <c r="I175" s="288"/>
      <c r="J175" s="288"/>
      <c r="K175" s="288"/>
      <c r="L175" s="288"/>
      <c r="M175" s="288"/>
      <c r="N175" s="288"/>
      <c r="O175" s="288"/>
      <c r="P175" s="288"/>
      <c r="Q175" s="288"/>
      <c r="R175" s="288"/>
      <c r="S175" s="288"/>
      <c r="T175" s="288"/>
      <c r="U175" s="288"/>
      <c r="V175" s="338">
        <f>+'Aug 08'!V177</f>
        <v>0</v>
      </c>
      <c r="W175" s="291"/>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3" customFormat="1" ht="15.6" x14ac:dyDescent="0.3">
      <c r="A176" s="287"/>
      <c r="B176" s="288" t="s">
        <v>273</v>
      </c>
      <c r="C176" s="288"/>
      <c r="D176" s="288"/>
      <c r="E176" s="288"/>
      <c r="F176" s="288"/>
      <c r="G176" s="288"/>
      <c r="H176" s="288"/>
      <c r="I176" s="288"/>
      <c r="J176" s="288"/>
      <c r="K176" s="288"/>
      <c r="L176" s="288"/>
      <c r="M176" s="288"/>
      <c r="N176" s="288"/>
      <c r="O176" s="288"/>
      <c r="P176" s="288"/>
      <c r="Q176" s="288"/>
      <c r="R176" s="288"/>
      <c r="S176" s="288"/>
      <c r="T176" s="288"/>
      <c r="U176" s="288"/>
      <c r="V176" s="338">
        <f>+V94</f>
        <v>0</v>
      </c>
      <c r="W176" s="291"/>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s="163" customFormat="1" ht="15.6" x14ac:dyDescent="0.3">
      <c r="A177" s="287"/>
      <c r="B177" s="288" t="s">
        <v>271</v>
      </c>
      <c r="C177" s="288"/>
      <c r="D177" s="288"/>
      <c r="E177" s="288"/>
      <c r="F177" s="288"/>
      <c r="G177" s="288"/>
      <c r="H177" s="288"/>
      <c r="I177" s="288"/>
      <c r="J177" s="288"/>
      <c r="K177" s="288"/>
      <c r="L177" s="288"/>
      <c r="M177" s="288"/>
      <c r="N177" s="288"/>
      <c r="O177" s="288"/>
      <c r="P177" s="288"/>
      <c r="Q177" s="288"/>
      <c r="R177" s="288"/>
      <c r="S177" s="288"/>
      <c r="T177" s="288"/>
      <c r="U177" s="288"/>
      <c r="V177" s="338">
        <f>+V175-V176</f>
        <v>0</v>
      </c>
      <c r="W177" s="291"/>
      <c r="X177" s="5"/>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s="166" customFormat="1" ht="16.2" thickBot="1" x14ac:dyDescent="0.35">
      <c r="A178" s="199"/>
      <c r="B178" s="198"/>
      <c r="C178" s="198"/>
      <c r="D178" s="198"/>
      <c r="E178" s="198"/>
      <c r="F178" s="198"/>
      <c r="G178" s="198"/>
      <c r="H178" s="198"/>
      <c r="I178" s="198"/>
      <c r="J178" s="198"/>
      <c r="K178" s="198"/>
      <c r="L178" s="198"/>
      <c r="M178" s="198"/>
      <c r="N178" s="198"/>
      <c r="O178" s="198"/>
      <c r="P178" s="198"/>
      <c r="Q178" s="198"/>
      <c r="R178" s="198"/>
      <c r="S178" s="198"/>
      <c r="T178" s="198"/>
      <c r="U178" s="198"/>
      <c r="V178" s="347"/>
      <c r="W178" s="198"/>
      <c r="X178" s="5"/>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s="167" customFormat="1" ht="15.6" x14ac:dyDescent="0.3">
      <c r="A179" s="180"/>
      <c r="B179" s="181"/>
      <c r="C179" s="181"/>
      <c r="D179" s="181"/>
      <c r="E179" s="181"/>
      <c r="F179" s="181"/>
      <c r="G179" s="181"/>
      <c r="H179" s="181"/>
      <c r="I179" s="181"/>
      <c r="J179" s="181"/>
      <c r="K179" s="181"/>
      <c r="L179" s="181"/>
      <c r="M179" s="181"/>
      <c r="N179" s="181"/>
      <c r="O179" s="181"/>
      <c r="P179" s="181"/>
      <c r="Q179" s="181"/>
      <c r="R179" s="181"/>
      <c r="S179" s="181"/>
      <c r="T179" s="181"/>
      <c r="U179" s="181"/>
      <c r="V179" s="200"/>
      <c r="W179" s="181"/>
      <c r="X179" s="5"/>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ht="15.6" x14ac:dyDescent="0.3">
      <c r="A180" s="183"/>
      <c r="B180" s="208" t="s">
        <v>56</v>
      </c>
      <c r="C180" s="185"/>
      <c r="D180" s="185"/>
      <c r="E180" s="185"/>
      <c r="F180" s="185"/>
      <c r="G180" s="185"/>
      <c r="H180" s="185"/>
      <c r="I180" s="185"/>
      <c r="J180" s="185"/>
      <c r="K180" s="185"/>
      <c r="L180" s="185"/>
      <c r="M180" s="185"/>
      <c r="N180" s="185"/>
      <c r="O180" s="185"/>
      <c r="P180" s="185"/>
      <c r="Q180" s="185"/>
      <c r="R180" s="185"/>
      <c r="S180" s="185"/>
      <c r="T180" s="185"/>
      <c r="U180" s="185"/>
      <c r="V180" s="201"/>
      <c r="W180" s="185"/>
      <c r="X180" s="5"/>
    </row>
    <row r="181" spans="1:256" ht="15.6" x14ac:dyDescent="0.3">
      <c r="A181" s="183"/>
      <c r="B181" s="195"/>
      <c r="C181" s="185"/>
      <c r="D181" s="185"/>
      <c r="E181" s="185"/>
      <c r="F181" s="185"/>
      <c r="G181" s="185"/>
      <c r="H181" s="185"/>
      <c r="I181" s="185"/>
      <c r="J181" s="185"/>
      <c r="K181" s="185"/>
      <c r="L181" s="185"/>
      <c r="M181" s="185"/>
      <c r="N181" s="185"/>
      <c r="O181" s="185"/>
      <c r="P181" s="185"/>
      <c r="Q181" s="185"/>
      <c r="R181" s="185"/>
      <c r="S181" s="185"/>
      <c r="T181" s="185"/>
      <c r="U181" s="185"/>
      <c r="V181" s="201"/>
      <c r="W181" s="185"/>
      <c r="X181" s="5"/>
    </row>
    <row r="182" spans="1:256" ht="15.6" x14ac:dyDescent="0.3">
      <c r="A182" s="287"/>
      <c r="B182" s="288" t="s">
        <v>57</v>
      </c>
      <c r="C182" s="288"/>
      <c r="D182" s="288"/>
      <c r="E182" s="288"/>
      <c r="F182" s="288"/>
      <c r="G182" s="288"/>
      <c r="H182" s="288"/>
      <c r="I182" s="288"/>
      <c r="J182" s="288"/>
      <c r="K182" s="288"/>
      <c r="L182" s="288"/>
      <c r="M182" s="288"/>
      <c r="N182" s="288"/>
      <c r="O182" s="288"/>
      <c r="P182" s="288"/>
      <c r="Q182" s="288"/>
      <c r="R182" s="288"/>
      <c r="S182" s="288"/>
      <c r="T182" s="288"/>
      <c r="U182" s="288"/>
      <c r="V182" s="338">
        <f>V71</f>
        <v>1078556</v>
      </c>
      <c r="W182" s="291"/>
      <c r="X182" s="5"/>
    </row>
    <row r="183" spans="1:256" ht="15.6" x14ac:dyDescent="0.3">
      <c r="A183" s="287"/>
      <c r="B183" s="288" t="s">
        <v>58</v>
      </c>
      <c r="C183" s="288"/>
      <c r="D183" s="288"/>
      <c r="E183" s="288"/>
      <c r="F183" s="288"/>
      <c r="G183" s="288"/>
      <c r="H183" s="288"/>
      <c r="I183" s="288"/>
      <c r="J183" s="288"/>
      <c r="K183" s="288"/>
      <c r="L183" s="288"/>
      <c r="M183" s="288"/>
      <c r="N183" s="288"/>
      <c r="O183" s="288"/>
      <c r="P183" s="288"/>
      <c r="Q183" s="288"/>
      <c r="R183" s="288"/>
      <c r="S183" s="288"/>
      <c r="T183" s="288"/>
      <c r="U183" s="288"/>
      <c r="V183" s="338">
        <f>V84</f>
        <v>1078556</v>
      </c>
      <c r="W183" s="291"/>
      <c r="X183" s="5"/>
    </row>
    <row r="184" spans="1:256" ht="16.2" thickBot="1" x14ac:dyDescent="0.35">
      <c r="A184" s="183"/>
      <c r="B184" s="198"/>
      <c r="C184" s="198"/>
      <c r="D184" s="198"/>
      <c r="E184" s="198"/>
      <c r="F184" s="198"/>
      <c r="G184" s="198"/>
      <c r="H184" s="198"/>
      <c r="I184" s="198"/>
      <c r="J184" s="198"/>
      <c r="K184" s="198"/>
      <c r="L184" s="198"/>
      <c r="M184" s="198"/>
      <c r="N184" s="198"/>
      <c r="O184" s="198"/>
      <c r="P184" s="198"/>
      <c r="Q184" s="198"/>
      <c r="R184" s="198"/>
      <c r="S184" s="198"/>
      <c r="T184" s="198"/>
      <c r="U184" s="198"/>
      <c r="V184" s="347"/>
      <c r="W184" s="198"/>
      <c r="X184" s="5"/>
    </row>
    <row r="185" spans="1:256" ht="15.6" x14ac:dyDescent="0.3">
      <c r="A185" s="180"/>
      <c r="B185" s="181"/>
      <c r="C185" s="181"/>
      <c r="D185" s="181"/>
      <c r="E185" s="181"/>
      <c r="F185" s="181"/>
      <c r="G185" s="181"/>
      <c r="H185" s="181"/>
      <c r="I185" s="181"/>
      <c r="J185" s="181"/>
      <c r="K185" s="181"/>
      <c r="L185" s="181"/>
      <c r="M185" s="181"/>
      <c r="N185" s="181"/>
      <c r="O185" s="181"/>
      <c r="P185" s="181"/>
      <c r="Q185" s="181"/>
      <c r="R185" s="181"/>
      <c r="S185" s="181"/>
      <c r="T185" s="181"/>
      <c r="U185" s="181"/>
      <c r="V185" s="200"/>
      <c r="W185" s="181"/>
      <c r="X185" s="5"/>
    </row>
    <row r="186" spans="1:256" ht="15.6" x14ac:dyDescent="0.3">
      <c r="A186" s="183"/>
      <c r="B186" s="208" t="s">
        <v>59</v>
      </c>
      <c r="C186" s="205"/>
      <c r="D186" s="205"/>
      <c r="E186" s="205"/>
      <c r="F186" s="205"/>
      <c r="G186" s="205"/>
      <c r="H186" s="211"/>
      <c r="I186" s="211"/>
      <c r="J186" s="211"/>
      <c r="K186" s="211"/>
      <c r="L186" s="211"/>
      <c r="M186" s="211"/>
      <c r="N186" s="211"/>
      <c r="O186" s="211"/>
      <c r="P186" s="211"/>
      <c r="Q186" s="211"/>
      <c r="R186" s="211"/>
      <c r="S186" s="211" t="s">
        <v>101</v>
      </c>
      <c r="T186" s="211" t="s">
        <v>176</v>
      </c>
      <c r="U186" s="187"/>
      <c r="V186" s="212" t="s">
        <v>114</v>
      </c>
      <c r="W186" s="213"/>
      <c r="X186" s="5"/>
    </row>
    <row r="187" spans="1:256" ht="15.6" x14ac:dyDescent="0.3">
      <c r="A187" s="287"/>
      <c r="B187" s="288" t="s">
        <v>60</v>
      </c>
      <c r="C187" s="288"/>
      <c r="D187" s="288"/>
      <c r="E187" s="288"/>
      <c r="F187" s="288"/>
      <c r="G187" s="288"/>
      <c r="H187" s="288"/>
      <c r="I187" s="288"/>
      <c r="J187" s="288"/>
      <c r="K187" s="288"/>
      <c r="L187" s="288"/>
      <c r="M187" s="288"/>
      <c r="N187" s="288"/>
      <c r="O187" s="288"/>
      <c r="P187" s="288"/>
      <c r="Q187" s="288"/>
      <c r="R187" s="288"/>
      <c r="S187" s="338">
        <f>+V34*0.16</f>
        <v>240044</v>
      </c>
      <c r="T187" s="325"/>
      <c r="U187" s="288"/>
      <c r="V187" s="338"/>
      <c r="W187" s="291"/>
      <c r="X187" s="5"/>
    </row>
    <row r="188" spans="1:256" ht="15.6" x14ac:dyDescent="0.3">
      <c r="A188" s="287"/>
      <c r="B188" s="288" t="s">
        <v>61</v>
      </c>
      <c r="C188" s="288"/>
      <c r="D188" s="288"/>
      <c r="E188" s="288"/>
      <c r="F188" s="288"/>
      <c r="G188" s="288"/>
      <c r="H188" s="288"/>
      <c r="I188" s="288"/>
      <c r="J188" s="288"/>
      <c r="K188" s="288"/>
      <c r="L188" s="288"/>
      <c r="M188" s="288"/>
      <c r="N188" s="288"/>
      <c r="O188" s="288"/>
      <c r="P188" s="288"/>
      <c r="Q188" s="288"/>
      <c r="R188" s="288"/>
      <c r="S188" s="338">
        <f>+'Aug 13'!S190</f>
        <v>24542</v>
      </c>
      <c r="T188" s="338">
        <f>+'Aug 13'!T190</f>
        <v>6013</v>
      </c>
      <c r="U188" s="288"/>
      <c r="V188" s="338">
        <f>S188+T188</f>
        <v>30555</v>
      </c>
      <c r="W188" s="291"/>
      <c r="X188" s="5"/>
    </row>
    <row r="189" spans="1:256" ht="15.6" x14ac:dyDescent="0.3">
      <c r="A189" s="287"/>
      <c r="B189" s="288" t="s">
        <v>62</v>
      </c>
      <c r="C189" s="288"/>
      <c r="D189" s="288"/>
      <c r="E189" s="288"/>
      <c r="F189" s="288"/>
      <c r="G189" s="288"/>
      <c r="H189" s="288"/>
      <c r="I189" s="288"/>
      <c r="J189" s="288"/>
      <c r="K189" s="288"/>
      <c r="L189" s="288"/>
      <c r="M189" s="288"/>
      <c r="N189" s="288"/>
      <c r="O189" s="288"/>
      <c r="P189" s="288"/>
      <c r="Q189" s="288"/>
      <c r="R189" s="288"/>
      <c r="S189" s="337">
        <v>219</v>
      </c>
      <c r="T189" s="337">
        <v>0</v>
      </c>
      <c r="U189" s="288"/>
      <c r="V189" s="338">
        <f>S189+T189</f>
        <v>219</v>
      </c>
      <c r="W189" s="291"/>
      <c r="X189" s="5"/>
    </row>
    <row r="190" spans="1:256" ht="15.6" x14ac:dyDescent="0.3">
      <c r="A190" s="287"/>
      <c r="B190" s="288" t="s">
        <v>63</v>
      </c>
      <c r="C190" s="288"/>
      <c r="D190" s="288"/>
      <c r="E190" s="288"/>
      <c r="F190" s="288"/>
      <c r="G190" s="288"/>
      <c r="H190" s="288"/>
      <c r="I190" s="288"/>
      <c r="J190" s="288"/>
      <c r="K190" s="288"/>
      <c r="L190" s="288"/>
      <c r="M190" s="288"/>
      <c r="N190" s="288"/>
      <c r="O190" s="288"/>
      <c r="P190" s="288"/>
      <c r="Q190" s="288"/>
      <c r="R190" s="288"/>
      <c r="S190" s="338">
        <f>S188+S189</f>
        <v>24761</v>
      </c>
      <c r="T190" s="338">
        <f>T189+T188</f>
        <v>6013</v>
      </c>
      <c r="U190" s="288"/>
      <c r="V190" s="338">
        <f>S190+T190</f>
        <v>30774</v>
      </c>
      <c r="W190" s="291"/>
      <c r="X190" s="5"/>
    </row>
    <row r="191" spans="1:256" ht="15.6" x14ac:dyDescent="0.3">
      <c r="A191" s="287"/>
      <c r="B191" s="288" t="s">
        <v>64</v>
      </c>
      <c r="C191" s="288"/>
      <c r="D191" s="288"/>
      <c r="E191" s="288"/>
      <c r="F191" s="288"/>
      <c r="G191" s="288"/>
      <c r="H191" s="288"/>
      <c r="I191" s="288"/>
      <c r="J191" s="288"/>
      <c r="K191" s="288"/>
      <c r="L191" s="288"/>
      <c r="M191" s="288"/>
      <c r="N191" s="288"/>
      <c r="O191" s="288"/>
      <c r="P191" s="288"/>
      <c r="Q191" s="288"/>
      <c r="R191" s="288"/>
      <c r="S191" s="338">
        <f>S187-S190-T190</f>
        <v>209270</v>
      </c>
      <c r="T191" s="325"/>
      <c r="U191" s="288"/>
      <c r="V191" s="338"/>
      <c r="W191" s="291"/>
      <c r="X191" s="5"/>
    </row>
    <row r="192" spans="1:256" ht="16.2" thickBot="1" x14ac:dyDescent="0.35">
      <c r="A192" s="183"/>
      <c r="B192" s="198"/>
      <c r="C192" s="198"/>
      <c r="D192" s="198"/>
      <c r="E192" s="198"/>
      <c r="F192" s="198"/>
      <c r="G192" s="198"/>
      <c r="H192" s="198"/>
      <c r="I192" s="198"/>
      <c r="J192" s="198"/>
      <c r="K192" s="198"/>
      <c r="L192" s="198"/>
      <c r="M192" s="198"/>
      <c r="N192" s="198"/>
      <c r="O192" s="198"/>
      <c r="P192" s="198"/>
      <c r="Q192" s="198"/>
      <c r="R192" s="198"/>
      <c r="S192" s="198"/>
      <c r="T192" s="198"/>
      <c r="U192" s="198"/>
      <c r="V192" s="347"/>
      <c r="W192" s="198"/>
      <c r="X192" s="5"/>
    </row>
    <row r="193" spans="1:24" ht="15.6" x14ac:dyDescent="0.3">
      <c r="A193" s="180"/>
      <c r="B193" s="181"/>
      <c r="C193" s="181"/>
      <c r="D193" s="181"/>
      <c r="E193" s="181"/>
      <c r="F193" s="181"/>
      <c r="G193" s="181"/>
      <c r="H193" s="181"/>
      <c r="I193" s="181"/>
      <c r="J193" s="181"/>
      <c r="K193" s="181"/>
      <c r="L193" s="181"/>
      <c r="M193" s="181"/>
      <c r="N193" s="181"/>
      <c r="O193" s="181"/>
      <c r="P193" s="181"/>
      <c r="Q193" s="181"/>
      <c r="R193" s="181"/>
      <c r="S193" s="181"/>
      <c r="T193" s="181"/>
      <c r="U193" s="181"/>
      <c r="V193" s="200"/>
      <c r="W193" s="181"/>
      <c r="X193" s="5"/>
    </row>
    <row r="194" spans="1:24" ht="15.6" x14ac:dyDescent="0.3">
      <c r="A194" s="183"/>
      <c r="B194" s="208" t="s">
        <v>65</v>
      </c>
      <c r="C194" s="185"/>
      <c r="D194" s="185"/>
      <c r="E194" s="185"/>
      <c r="F194" s="185"/>
      <c r="G194" s="185"/>
      <c r="H194" s="185"/>
      <c r="I194" s="185"/>
      <c r="J194" s="185"/>
      <c r="K194" s="185"/>
      <c r="L194" s="185"/>
      <c r="M194" s="185"/>
      <c r="N194" s="185"/>
      <c r="O194" s="185"/>
      <c r="P194" s="185"/>
      <c r="Q194" s="185"/>
      <c r="R194" s="185"/>
      <c r="S194" s="185"/>
      <c r="T194" s="185"/>
      <c r="U194" s="185"/>
      <c r="V194" s="214"/>
      <c r="W194" s="185"/>
      <c r="X194" s="5"/>
    </row>
    <row r="195" spans="1:24" ht="15.6" x14ac:dyDescent="0.3">
      <c r="A195" s="287"/>
      <c r="B195" s="288" t="s">
        <v>66</v>
      </c>
      <c r="C195" s="288"/>
      <c r="D195" s="288"/>
      <c r="E195" s="288"/>
      <c r="F195" s="288"/>
      <c r="G195" s="288"/>
      <c r="H195" s="288"/>
      <c r="I195" s="288"/>
      <c r="J195" s="288"/>
      <c r="K195" s="288"/>
      <c r="L195" s="288"/>
      <c r="M195" s="288"/>
      <c r="N195" s="288"/>
      <c r="O195" s="288"/>
      <c r="P195" s="288"/>
      <c r="Q195" s="288"/>
      <c r="R195" s="288"/>
      <c r="S195" s="288"/>
      <c r="T195" s="288"/>
      <c r="U195" s="288"/>
      <c r="V195" s="348">
        <f>(V101+V103+V104+V105+V106)/-(V107+V108)</f>
        <v>4.0849230769230767</v>
      </c>
      <c r="W195" s="291" t="s">
        <v>115</v>
      </c>
      <c r="X195" s="5"/>
    </row>
    <row r="196" spans="1:24" ht="15.6" x14ac:dyDescent="0.3">
      <c r="A196" s="287"/>
      <c r="B196" s="288" t="s">
        <v>67</v>
      </c>
      <c r="C196" s="288"/>
      <c r="D196" s="288"/>
      <c r="E196" s="288"/>
      <c r="F196" s="288"/>
      <c r="G196" s="288"/>
      <c r="H196" s="288"/>
      <c r="I196" s="288"/>
      <c r="J196" s="288"/>
      <c r="K196" s="288"/>
      <c r="L196" s="288"/>
      <c r="M196" s="288"/>
      <c r="N196" s="288"/>
      <c r="O196" s="288"/>
      <c r="P196" s="288"/>
      <c r="Q196" s="288"/>
      <c r="R196" s="288"/>
      <c r="S196" s="288"/>
      <c r="T196" s="288"/>
      <c r="U196" s="288"/>
      <c r="V196" s="350">
        <v>1.82</v>
      </c>
      <c r="W196" s="291" t="s">
        <v>115</v>
      </c>
      <c r="X196" s="5"/>
    </row>
    <row r="197" spans="1:24" ht="15.6" x14ac:dyDescent="0.3">
      <c r="A197" s="287"/>
      <c r="B197" s="288" t="s">
        <v>68</v>
      </c>
      <c r="C197" s="288"/>
      <c r="D197" s="288"/>
      <c r="E197" s="288"/>
      <c r="F197" s="288"/>
      <c r="G197" s="288"/>
      <c r="H197" s="288"/>
      <c r="I197" s="288"/>
      <c r="J197" s="288"/>
      <c r="K197" s="288"/>
      <c r="L197" s="288"/>
      <c r="M197" s="288"/>
      <c r="N197" s="288"/>
      <c r="O197" s="288"/>
      <c r="P197" s="288"/>
      <c r="Q197" s="288"/>
      <c r="R197" s="288"/>
      <c r="S197" s="288"/>
      <c r="T197" s="288"/>
      <c r="U197" s="288"/>
      <c r="V197" s="348">
        <f>(V101+V103+V104+V105+V106+V107+V108)/-(V110+V111)</f>
        <v>19.658823529411766</v>
      </c>
      <c r="W197" s="291" t="s">
        <v>115</v>
      </c>
      <c r="X197" s="5"/>
    </row>
    <row r="198" spans="1:24" ht="15.6" x14ac:dyDescent="0.3">
      <c r="A198" s="287"/>
      <c r="B198" s="288" t="s">
        <v>69</v>
      </c>
      <c r="C198" s="288"/>
      <c r="D198" s="288"/>
      <c r="E198" s="288"/>
      <c r="F198" s="288"/>
      <c r="G198" s="288"/>
      <c r="H198" s="288"/>
      <c r="I198" s="288"/>
      <c r="J198" s="288"/>
      <c r="K198" s="288"/>
      <c r="L198" s="288"/>
      <c r="M198" s="288"/>
      <c r="N198" s="288"/>
      <c r="O198" s="288"/>
      <c r="P198" s="288"/>
      <c r="Q198" s="288"/>
      <c r="R198" s="288"/>
      <c r="S198" s="288"/>
      <c r="T198" s="288"/>
      <c r="U198" s="288"/>
      <c r="V198" s="350">
        <v>7.8</v>
      </c>
      <c r="W198" s="291" t="s">
        <v>115</v>
      </c>
      <c r="X198" s="5"/>
    </row>
    <row r="199" spans="1:24" ht="15.6" x14ac:dyDescent="0.3">
      <c r="A199" s="287"/>
      <c r="B199" s="288" t="s">
        <v>198</v>
      </c>
      <c r="C199" s="288"/>
      <c r="D199" s="288"/>
      <c r="E199" s="288"/>
      <c r="F199" s="288"/>
      <c r="G199" s="288"/>
      <c r="H199" s="288"/>
      <c r="I199" s="288"/>
      <c r="J199" s="288"/>
      <c r="K199" s="288"/>
      <c r="L199" s="288"/>
      <c r="M199" s="288"/>
      <c r="N199" s="288"/>
      <c r="O199" s="288"/>
      <c r="P199" s="288"/>
      <c r="Q199" s="288"/>
      <c r="R199" s="288"/>
      <c r="S199" s="288"/>
      <c r="T199" s="288"/>
      <c r="U199" s="288"/>
      <c r="V199" s="348">
        <f>(V101+V103+V104+V105+V106+V107+V108+V110+V111)/-(V112+V113)</f>
        <v>12.422976501305483</v>
      </c>
      <c r="W199" s="291" t="s">
        <v>115</v>
      </c>
      <c r="X199" s="5"/>
    </row>
    <row r="200" spans="1:24" ht="15.6" x14ac:dyDescent="0.3">
      <c r="A200" s="287"/>
      <c r="B200" s="288" t="s">
        <v>199</v>
      </c>
      <c r="C200" s="288"/>
      <c r="D200" s="288"/>
      <c r="E200" s="288"/>
      <c r="F200" s="288"/>
      <c r="G200" s="288"/>
      <c r="H200" s="288"/>
      <c r="I200" s="288"/>
      <c r="J200" s="288"/>
      <c r="K200" s="288"/>
      <c r="L200" s="288"/>
      <c r="M200" s="288"/>
      <c r="N200" s="288"/>
      <c r="O200" s="288"/>
      <c r="P200" s="288"/>
      <c r="Q200" s="288"/>
      <c r="R200" s="288"/>
      <c r="S200" s="288"/>
      <c r="T200" s="288"/>
      <c r="U200" s="288"/>
      <c r="V200" s="350">
        <v>6.09</v>
      </c>
      <c r="W200" s="291" t="s">
        <v>115</v>
      </c>
      <c r="X200" s="5"/>
    </row>
    <row r="201" spans="1:24" ht="15.6" x14ac:dyDescent="0.3">
      <c r="A201" s="287"/>
      <c r="B201" s="314"/>
      <c r="C201" s="314"/>
      <c r="D201" s="314"/>
      <c r="E201" s="314"/>
      <c r="F201" s="314"/>
      <c r="G201" s="314"/>
      <c r="H201" s="314"/>
      <c r="I201" s="314"/>
      <c r="J201" s="314"/>
      <c r="K201" s="314"/>
      <c r="L201" s="314"/>
      <c r="M201" s="314"/>
      <c r="N201" s="314"/>
      <c r="O201" s="314"/>
      <c r="P201" s="314"/>
      <c r="Q201" s="314"/>
      <c r="R201" s="314"/>
      <c r="S201" s="314"/>
      <c r="T201" s="314"/>
      <c r="U201" s="314"/>
      <c r="V201" s="314"/>
      <c r="W201" s="318"/>
      <c r="X201" s="5"/>
    </row>
    <row r="202" spans="1:24" ht="15.6" x14ac:dyDescent="0.3">
      <c r="A202" s="183"/>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5"/>
    </row>
    <row r="203" spans="1:24" ht="15.6" x14ac:dyDescent="0.3">
      <c r="A203" s="183"/>
      <c r="B203" s="185"/>
      <c r="C203" s="185"/>
      <c r="D203" s="185"/>
      <c r="E203" s="185"/>
      <c r="F203" s="185"/>
      <c r="G203" s="185"/>
      <c r="H203" s="185"/>
      <c r="I203" s="185"/>
      <c r="J203" s="185"/>
      <c r="K203" s="185"/>
      <c r="L203" s="185"/>
      <c r="M203" s="185"/>
      <c r="N203" s="185"/>
      <c r="O203" s="185"/>
      <c r="P203" s="185"/>
      <c r="Q203" s="185"/>
      <c r="R203" s="185"/>
      <c r="S203" s="185"/>
      <c r="T203" s="185"/>
      <c r="U203" s="185"/>
      <c r="V203" s="185"/>
      <c r="W203" s="185"/>
      <c r="X203" s="5"/>
    </row>
    <row r="204" spans="1:24" ht="18" thickBot="1" x14ac:dyDescent="0.35">
      <c r="A204" s="199"/>
      <c r="B204" s="237" t="str">
        <f>B138</f>
        <v>PM14 INVESTOR REPORT QUARTER ENDING NOVEMBER 2013</v>
      </c>
      <c r="C204" s="215"/>
      <c r="D204" s="215"/>
      <c r="E204" s="215"/>
      <c r="F204" s="215"/>
      <c r="G204" s="215"/>
      <c r="H204" s="215"/>
      <c r="I204" s="215"/>
      <c r="J204" s="215"/>
      <c r="K204" s="215"/>
      <c r="L204" s="215"/>
      <c r="M204" s="215"/>
      <c r="N204" s="215"/>
      <c r="O204" s="215"/>
      <c r="P204" s="215"/>
      <c r="Q204" s="215"/>
      <c r="R204" s="215"/>
      <c r="S204" s="215"/>
      <c r="T204" s="215"/>
      <c r="U204" s="215"/>
      <c r="V204" s="215"/>
      <c r="W204" s="216"/>
      <c r="X204" s="5"/>
    </row>
    <row r="205" spans="1:24" ht="15.6" x14ac:dyDescent="0.3">
      <c r="A205" s="273"/>
      <c r="B205" s="403" t="s">
        <v>70</v>
      </c>
      <c r="C205" s="404"/>
      <c r="D205" s="404"/>
      <c r="E205" s="404"/>
      <c r="F205" s="404"/>
      <c r="G205" s="405"/>
      <c r="H205" s="405"/>
      <c r="I205" s="405"/>
      <c r="J205" s="405"/>
      <c r="K205" s="405"/>
      <c r="L205" s="405"/>
      <c r="M205" s="405"/>
      <c r="N205" s="405"/>
      <c r="O205" s="405"/>
      <c r="P205" s="405"/>
      <c r="Q205" s="405"/>
      <c r="R205" s="405"/>
      <c r="S205" s="405"/>
      <c r="T205" s="405">
        <v>41607</v>
      </c>
      <c r="U205" s="274"/>
      <c r="V205" s="274"/>
      <c r="W205" s="274"/>
      <c r="X205" s="5"/>
    </row>
    <row r="206" spans="1:24" ht="15.6" x14ac:dyDescent="0.3">
      <c r="A206" s="217"/>
      <c r="B206" s="230"/>
      <c r="C206" s="249"/>
      <c r="D206" s="249"/>
      <c r="E206" s="249"/>
      <c r="F206" s="249"/>
      <c r="G206" s="229"/>
      <c r="H206" s="229"/>
      <c r="I206" s="229"/>
      <c r="J206" s="229"/>
      <c r="K206" s="229"/>
      <c r="L206" s="229"/>
      <c r="M206" s="229"/>
      <c r="N206" s="229"/>
      <c r="O206" s="229"/>
      <c r="P206" s="229"/>
      <c r="Q206" s="229"/>
      <c r="R206" s="229"/>
      <c r="S206" s="229"/>
      <c r="T206" s="229"/>
      <c r="U206" s="224"/>
      <c r="V206" s="224"/>
      <c r="W206" s="224"/>
      <c r="X206" s="5"/>
    </row>
    <row r="207" spans="1:24" ht="15.6" x14ac:dyDescent="0.3">
      <c r="A207" s="352"/>
      <c r="B207" s="288" t="s">
        <v>71</v>
      </c>
      <c r="C207" s="353"/>
      <c r="D207" s="353"/>
      <c r="E207" s="353"/>
      <c r="F207" s="353"/>
      <c r="G207" s="330"/>
      <c r="H207" s="330"/>
      <c r="I207" s="330"/>
      <c r="J207" s="330"/>
      <c r="K207" s="330"/>
      <c r="L207" s="330"/>
      <c r="M207" s="330"/>
      <c r="N207" s="330"/>
      <c r="O207" s="330"/>
      <c r="P207" s="330"/>
      <c r="Q207" s="330"/>
      <c r="R207" s="330"/>
      <c r="S207" s="330"/>
      <c r="T207" s="321">
        <v>5.2819999999999999E-2</v>
      </c>
      <c r="U207" s="288"/>
      <c r="V207" s="288"/>
      <c r="W207" s="291"/>
      <c r="X207" s="5"/>
    </row>
    <row r="208" spans="1:24" ht="15.6" x14ac:dyDescent="0.3">
      <c r="A208" s="352"/>
      <c r="B208" s="288" t="s">
        <v>151</v>
      </c>
      <c r="C208" s="353"/>
      <c r="D208" s="353"/>
      <c r="E208" s="353"/>
      <c r="F208" s="353"/>
      <c r="G208" s="330"/>
      <c r="H208" s="330"/>
      <c r="I208" s="330"/>
      <c r="J208" s="330"/>
      <c r="K208" s="330"/>
      <c r="L208" s="330"/>
      <c r="M208" s="330"/>
      <c r="N208" s="330"/>
      <c r="O208" s="330"/>
      <c r="P208" s="330"/>
      <c r="Q208" s="330"/>
      <c r="R208" s="330"/>
      <c r="S208" s="330"/>
      <c r="T208" s="321">
        <v>5.7799999999999997E-2</v>
      </c>
      <c r="U208" s="288"/>
      <c r="V208" s="288"/>
      <c r="W208" s="291"/>
      <c r="X208" s="5"/>
    </row>
    <row r="209" spans="1:24" ht="15.6" x14ac:dyDescent="0.3">
      <c r="A209" s="352"/>
      <c r="B209" s="288" t="s">
        <v>72</v>
      </c>
      <c r="C209" s="353"/>
      <c r="D209" s="353"/>
      <c r="E209" s="353"/>
      <c r="F209" s="353"/>
      <c r="G209" s="330"/>
      <c r="H209" s="330"/>
      <c r="I209" s="330"/>
      <c r="J209" s="330"/>
      <c r="K209" s="330"/>
      <c r="L209" s="330"/>
      <c r="M209" s="330"/>
      <c r="N209" s="330"/>
      <c r="O209" s="330"/>
      <c r="P209" s="330"/>
      <c r="Q209" s="330"/>
      <c r="R209" s="330"/>
      <c r="S209" s="330"/>
      <c r="T209" s="321">
        <f>T207-T208</f>
        <v>-4.9799999999999983E-3</v>
      </c>
      <c r="U209" s="288"/>
      <c r="V209" s="288"/>
      <c r="W209" s="291"/>
      <c r="X209" s="5"/>
    </row>
    <row r="210" spans="1:24" ht="15.6" x14ac:dyDescent="0.3">
      <c r="A210" s="352"/>
      <c r="B210" s="288" t="s">
        <v>73</v>
      </c>
      <c r="C210" s="353"/>
      <c r="D210" s="353"/>
      <c r="E210" s="353"/>
      <c r="F210" s="353"/>
      <c r="G210" s="330"/>
      <c r="H210" s="330"/>
      <c r="I210" s="330"/>
      <c r="J210" s="330"/>
      <c r="K210" s="330"/>
      <c r="L210" s="330"/>
      <c r="M210" s="330"/>
      <c r="N210" s="330"/>
      <c r="O210" s="330"/>
      <c r="P210" s="330"/>
      <c r="Q210" s="330"/>
      <c r="R210" s="330"/>
      <c r="S210" s="330"/>
      <c r="T210" s="321">
        <v>2.3550000000000001E-2</v>
      </c>
      <c r="U210" s="288"/>
      <c r="V210" s="288"/>
      <c r="W210" s="291"/>
      <c r="X210" s="5"/>
    </row>
    <row r="211" spans="1:24" ht="15.6" x14ac:dyDescent="0.3">
      <c r="A211" s="352"/>
      <c r="B211" s="288" t="s">
        <v>219</v>
      </c>
      <c r="C211" s="353"/>
      <c r="D211" s="353"/>
      <c r="E211" s="353"/>
      <c r="F211" s="353"/>
      <c r="G211" s="330"/>
      <c r="H211" s="330"/>
      <c r="I211" s="330"/>
      <c r="J211" s="330"/>
      <c r="K211" s="330"/>
      <c r="L211" s="330"/>
      <c r="M211" s="330"/>
      <c r="N211" s="330"/>
      <c r="O211" s="330"/>
      <c r="P211" s="330"/>
      <c r="Q211" s="330"/>
      <c r="R211" s="330"/>
      <c r="S211" s="330"/>
      <c r="T211" s="321">
        <f>V43</f>
        <v>8.3457867270075852E-3</v>
      </c>
      <c r="U211" s="288"/>
      <c r="V211" s="288"/>
      <c r="W211" s="291"/>
      <c r="X211" s="5"/>
    </row>
    <row r="212" spans="1:24" ht="15.6" x14ac:dyDescent="0.3">
      <c r="A212" s="352"/>
      <c r="B212" s="288" t="s">
        <v>74</v>
      </c>
      <c r="C212" s="353"/>
      <c r="D212" s="353"/>
      <c r="E212" s="353"/>
      <c r="F212" s="353"/>
      <c r="G212" s="330"/>
      <c r="H212" s="330"/>
      <c r="I212" s="330"/>
      <c r="J212" s="330"/>
      <c r="K212" s="330"/>
      <c r="L212" s="330"/>
      <c r="M212" s="330"/>
      <c r="N212" s="330"/>
      <c r="O212" s="330"/>
      <c r="P212" s="330"/>
      <c r="Q212" s="330"/>
      <c r="R212" s="330"/>
      <c r="S212" s="330"/>
      <c r="T212" s="321">
        <f>T210-T211</f>
        <v>1.5204213272992416E-2</v>
      </c>
      <c r="U212" s="288"/>
      <c r="V212" s="288"/>
      <c r="W212" s="291"/>
      <c r="X212" s="5"/>
    </row>
    <row r="213" spans="1:24" ht="15.6" x14ac:dyDescent="0.3">
      <c r="A213" s="352"/>
      <c r="B213" s="288" t="s">
        <v>242</v>
      </c>
      <c r="C213" s="353"/>
      <c r="D213" s="353"/>
      <c r="E213" s="353"/>
      <c r="F213" s="353"/>
      <c r="G213" s="330"/>
      <c r="H213" s="330"/>
      <c r="I213" s="330"/>
      <c r="J213" s="330"/>
      <c r="K213" s="330"/>
      <c r="L213" s="330"/>
      <c r="M213" s="330"/>
      <c r="N213" s="330"/>
      <c r="O213" s="330"/>
      <c r="P213" s="330"/>
      <c r="Q213" s="330"/>
      <c r="R213" s="330"/>
      <c r="S213" s="330"/>
      <c r="T213" s="321">
        <f>V101/N71</f>
        <v>6.4268663603365278E-3</v>
      </c>
      <c r="U213" s="288"/>
      <c r="V213" s="288"/>
      <c r="W213" s="291"/>
      <c r="X213" s="5"/>
    </row>
    <row r="214" spans="1:24" ht="15.6" x14ac:dyDescent="0.3">
      <c r="A214" s="352"/>
      <c r="B214" s="288" t="s">
        <v>208</v>
      </c>
      <c r="C214" s="353"/>
      <c r="D214" s="353"/>
      <c r="E214" s="353"/>
      <c r="F214" s="353"/>
      <c r="G214" s="330"/>
      <c r="H214" s="330"/>
      <c r="I214" s="330"/>
      <c r="J214" s="330"/>
      <c r="K214" s="330"/>
      <c r="L214" s="330"/>
      <c r="M214" s="330"/>
      <c r="N214" s="330"/>
      <c r="O214" s="330"/>
      <c r="P214" s="330"/>
      <c r="Q214" s="330"/>
      <c r="R214" s="330"/>
      <c r="S214" s="330"/>
      <c r="T214" s="354">
        <v>51014</v>
      </c>
      <c r="U214" s="288"/>
      <c r="V214" s="288"/>
      <c r="W214" s="291"/>
      <c r="X214" s="5"/>
    </row>
    <row r="215" spans="1:24" ht="15.6" x14ac:dyDescent="0.3">
      <c r="A215" s="352"/>
      <c r="B215" s="288" t="s">
        <v>209</v>
      </c>
      <c r="C215" s="353"/>
      <c r="D215" s="353"/>
      <c r="E215" s="353"/>
      <c r="F215" s="353"/>
      <c r="G215" s="330"/>
      <c r="H215" s="330"/>
      <c r="I215" s="330"/>
      <c r="J215" s="330"/>
      <c r="K215" s="330"/>
      <c r="L215" s="330"/>
      <c r="M215" s="330"/>
      <c r="N215" s="330"/>
      <c r="O215" s="330"/>
      <c r="P215" s="330"/>
      <c r="Q215" s="330"/>
      <c r="R215" s="330"/>
      <c r="S215" s="330"/>
      <c r="T215" s="354">
        <v>51014</v>
      </c>
      <c r="U215" s="288"/>
      <c r="V215" s="288"/>
      <c r="W215" s="291"/>
      <c r="X215" s="5"/>
    </row>
    <row r="216" spans="1:24" ht="15.6" x14ac:dyDescent="0.3">
      <c r="A216" s="352"/>
      <c r="B216" s="288" t="s">
        <v>210</v>
      </c>
      <c r="C216" s="353"/>
      <c r="D216" s="353"/>
      <c r="E216" s="353"/>
      <c r="F216" s="353"/>
      <c r="G216" s="330"/>
      <c r="H216" s="330"/>
      <c r="I216" s="330"/>
      <c r="J216" s="330"/>
      <c r="K216" s="330"/>
      <c r="L216" s="330"/>
      <c r="M216" s="330"/>
      <c r="N216" s="330"/>
      <c r="O216" s="330"/>
      <c r="P216" s="330"/>
      <c r="Q216" s="330"/>
      <c r="R216" s="330"/>
      <c r="S216" s="330"/>
      <c r="T216" s="354">
        <v>51014</v>
      </c>
      <c r="U216" s="288"/>
      <c r="V216" s="288"/>
      <c r="W216" s="291"/>
      <c r="X216" s="5"/>
    </row>
    <row r="217" spans="1:24" ht="15.6" x14ac:dyDescent="0.3">
      <c r="A217" s="352"/>
      <c r="B217" s="288" t="s">
        <v>75</v>
      </c>
      <c r="C217" s="353"/>
      <c r="D217" s="353"/>
      <c r="E217" s="353"/>
      <c r="F217" s="353"/>
      <c r="G217" s="330"/>
      <c r="H217" s="330"/>
      <c r="I217" s="330"/>
      <c r="J217" s="330"/>
      <c r="K217" s="330"/>
      <c r="L217" s="330"/>
      <c r="M217" s="330"/>
      <c r="N217" s="330"/>
      <c r="O217" s="330"/>
      <c r="P217" s="330"/>
      <c r="Q217" s="330"/>
      <c r="R217" s="330"/>
      <c r="S217" s="330"/>
      <c r="T217" s="327">
        <v>20.66</v>
      </c>
      <c r="U217" s="288" t="s">
        <v>110</v>
      </c>
      <c r="V217" s="288"/>
      <c r="W217" s="291"/>
      <c r="X217" s="5"/>
    </row>
    <row r="218" spans="1:24" ht="15.6" x14ac:dyDescent="0.3">
      <c r="A218" s="352"/>
      <c r="B218" s="288" t="s">
        <v>76</v>
      </c>
      <c r="C218" s="353"/>
      <c r="D218" s="353"/>
      <c r="E218" s="353"/>
      <c r="F218" s="353"/>
      <c r="G218" s="330"/>
      <c r="H218" s="330"/>
      <c r="I218" s="330"/>
      <c r="J218" s="330"/>
      <c r="K218" s="330"/>
      <c r="L218" s="330"/>
      <c r="M218" s="330"/>
      <c r="N218" s="330"/>
      <c r="O218" s="330"/>
      <c r="P218" s="330"/>
      <c r="Q218" s="330"/>
      <c r="R218" s="330"/>
      <c r="S218" s="330"/>
      <c r="T218" s="327">
        <v>14.7</v>
      </c>
      <c r="U218" s="288" t="s">
        <v>110</v>
      </c>
      <c r="V218" s="288"/>
      <c r="W218" s="291"/>
      <c r="X218" s="5"/>
    </row>
    <row r="219" spans="1:24" ht="15.6" x14ac:dyDescent="0.3">
      <c r="A219" s="352"/>
      <c r="B219" s="288" t="s">
        <v>77</v>
      </c>
      <c r="C219" s="353"/>
      <c r="D219" s="353"/>
      <c r="E219" s="353"/>
      <c r="F219" s="353"/>
      <c r="G219" s="330"/>
      <c r="H219" s="330"/>
      <c r="I219" s="330"/>
      <c r="J219" s="330"/>
      <c r="K219" s="330"/>
      <c r="L219" s="330"/>
      <c r="M219" s="330"/>
      <c r="N219" s="330"/>
      <c r="O219" s="330"/>
      <c r="P219" s="330"/>
      <c r="Q219" s="330"/>
      <c r="R219" s="330"/>
      <c r="S219" s="330"/>
      <c r="T219" s="321">
        <f>+P68/N68</f>
        <v>8.8305070257083847E-3</v>
      </c>
      <c r="U219" s="288"/>
      <c r="V219" s="288"/>
      <c r="W219" s="291"/>
      <c r="X219" s="5"/>
    </row>
    <row r="220" spans="1:24" ht="15.6" x14ac:dyDescent="0.3">
      <c r="A220" s="352"/>
      <c r="B220" s="288" t="s">
        <v>78</v>
      </c>
      <c r="C220" s="353"/>
      <c r="D220" s="353"/>
      <c r="E220" s="353"/>
      <c r="F220" s="353"/>
      <c r="G220" s="330"/>
      <c r="H220" s="330"/>
      <c r="I220" s="330"/>
      <c r="J220" s="330"/>
      <c r="K220" s="330"/>
      <c r="L220" s="330"/>
      <c r="M220" s="330"/>
      <c r="N220" s="330"/>
      <c r="O220" s="330"/>
      <c r="P220" s="330"/>
      <c r="Q220" s="330"/>
      <c r="R220" s="330"/>
      <c r="S220" s="330"/>
      <c r="T220" s="321">
        <v>5.1299999999999998E-2</v>
      </c>
      <c r="U220" s="288"/>
      <c r="V220" s="288"/>
      <c r="W220" s="291"/>
      <c r="X220" s="5"/>
    </row>
    <row r="221" spans="1:24" ht="15.6" x14ac:dyDescent="0.3">
      <c r="A221" s="217"/>
      <c r="B221" s="284"/>
      <c r="C221" s="284"/>
      <c r="D221" s="284"/>
      <c r="E221" s="284"/>
      <c r="F221" s="284"/>
      <c r="G221" s="284"/>
      <c r="H221" s="284"/>
      <c r="I221" s="284"/>
      <c r="J221" s="284"/>
      <c r="K221" s="284"/>
      <c r="L221" s="284"/>
      <c r="M221" s="284"/>
      <c r="N221" s="284"/>
      <c r="O221" s="284"/>
      <c r="P221" s="284"/>
      <c r="Q221" s="284"/>
      <c r="R221" s="284"/>
      <c r="S221" s="284"/>
      <c r="T221" s="349"/>
      <c r="U221" s="284"/>
      <c r="V221" s="351"/>
      <c r="W221" s="284"/>
      <c r="X221" s="5"/>
    </row>
    <row r="222" spans="1:24" ht="15.6" x14ac:dyDescent="0.3">
      <c r="A222" s="278"/>
      <c r="B222" s="399" t="s">
        <v>79</v>
      </c>
      <c r="C222" s="400"/>
      <c r="D222" s="400"/>
      <c r="E222" s="400"/>
      <c r="F222" s="406"/>
      <c r="G222" s="400"/>
      <c r="H222" s="400"/>
      <c r="I222" s="400"/>
      <c r="J222" s="400"/>
      <c r="K222" s="400"/>
      <c r="L222" s="400"/>
      <c r="M222" s="400"/>
      <c r="N222" s="400"/>
      <c r="O222" s="400"/>
      <c r="P222" s="400"/>
      <c r="Q222" s="400"/>
      <c r="R222" s="400"/>
      <c r="S222" s="400" t="s">
        <v>102</v>
      </c>
      <c r="T222" s="406" t="s">
        <v>108</v>
      </c>
      <c r="U222" s="263"/>
      <c r="V222" s="263"/>
      <c r="W222" s="263"/>
      <c r="X222" s="5"/>
    </row>
    <row r="223" spans="1:24" ht="15.6" x14ac:dyDescent="0.3">
      <c r="A223" s="218"/>
      <c r="B223" s="231" t="s">
        <v>80</v>
      </c>
      <c r="C223" s="234"/>
      <c r="D223" s="234"/>
      <c r="E223" s="234"/>
      <c r="F223" s="231"/>
      <c r="G223" s="231"/>
      <c r="H223" s="233"/>
      <c r="I223" s="233"/>
      <c r="J223" s="233"/>
      <c r="K223" s="233"/>
      <c r="L223" s="233"/>
      <c r="M223" s="233"/>
      <c r="N223" s="233"/>
      <c r="O223" s="233"/>
      <c r="P223" s="233"/>
      <c r="Q223" s="233"/>
      <c r="R223" s="233"/>
      <c r="S223" s="233">
        <v>2</v>
      </c>
      <c r="T223" s="251">
        <v>125</v>
      </c>
      <c r="U223" s="231"/>
      <c r="V223" s="250"/>
      <c r="W223" s="252"/>
      <c r="X223" s="5"/>
    </row>
    <row r="224" spans="1:24" ht="15.6" x14ac:dyDescent="0.3">
      <c r="A224" s="362"/>
      <c r="B224" s="288" t="s">
        <v>145</v>
      </c>
      <c r="C224" s="337"/>
      <c r="D224" s="337"/>
      <c r="E224" s="337"/>
      <c r="F224" s="288"/>
      <c r="G224" s="288"/>
      <c r="H224" s="296"/>
      <c r="I224" s="296"/>
      <c r="J224" s="296"/>
      <c r="K224" s="296"/>
      <c r="L224" s="296"/>
      <c r="M224" s="296"/>
      <c r="N224" s="296"/>
      <c r="O224" s="296"/>
      <c r="P224" s="296"/>
      <c r="Q224" s="296"/>
      <c r="R224" s="296"/>
      <c r="S224" s="363">
        <f>+R276</f>
        <v>172</v>
      </c>
      <c r="T224" s="364">
        <f>+T276</f>
        <v>24178</v>
      </c>
      <c r="U224" s="288"/>
      <c r="V224" s="365"/>
      <c r="W224" s="366"/>
      <c r="X224" s="5"/>
    </row>
    <row r="225" spans="1:24" ht="15.6" x14ac:dyDescent="0.3">
      <c r="A225" s="362"/>
      <c r="B225" s="288" t="s">
        <v>81</v>
      </c>
      <c r="C225" s="337"/>
      <c r="D225" s="337"/>
      <c r="E225" s="337"/>
      <c r="F225" s="288"/>
      <c r="G225" s="288"/>
      <c r="H225" s="296"/>
      <c r="I225" s="296"/>
      <c r="J225" s="296"/>
      <c r="K225" s="296"/>
      <c r="L225" s="296"/>
      <c r="M225" s="296"/>
      <c r="N225" s="296"/>
      <c r="O225" s="296"/>
      <c r="P225" s="296"/>
      <c r="Q225" s="296"/>
      <c r="R225" s="296"/>
      <c r="S225" s="363">
        <f>+R288</f>
        <v>0</v>
      </c>
      <c r="T225" s="364">
        <f>+T288</f>
        <v>0</v>
      </c>
      <c r="U225" s="288"/>
      <c r="V225" s="365"/>
      <c r="W225" s="366"/>
      <c r="X225" s="5"/>
    </row>
    <row r="226" spans="1:24" ht="15.6" x14ac:dyDescent="0.3">
      <c r="A226" s="362"/>
      <c r="B226" s="313" t="s">
        <v>82</v>
      </c>
      <c r="C226" s="367"/>
      <c r="D226" s="367"/>
      <c r="E226" s="367"/>
      <c r="F226" s="314"/>
      <c r="G226" s="314"/>
      <c r="H226" s="314"/>
      <c r="I226" s="314"/>
      <c r="J226" s="314"/>
      <c r="K226" s="314"/>
      <c r="L226" s="314"/>
      <c r="M226" s="314"/>
      <c r="N226" s="314"/>
      <c r="O226" s="314"/>
      <c r="P226" s="314"/>
      <c r="Q226" s="314"/>
      <c r="R226" s="314"/>
      <c r="S226" s="314"/>
      <c r="T226" s="364">
        <v>0</v>
      </c>
      <c r="U226" s="314"/>
      <c r="V226" s="369"/>
      <c r="W226" s="370"/>
      <c r="X226" s="5"/>
    </row>
    <row r="227" spans="1:24" ht="15.6" x14ac:dyDescent="0.3">
      <c r="A227" s="362"/>
      <c r="B227" s="313" t="s">
        <v>243</v>
      </c>
      <c r="C227" s="367"/>
      <c r="D227" s="367"/>
      <c r="E227" s="367"/>
      <c r="F227" s="314"/>
      <c r="G227" s="314"/>
      <c r="H227" s="314"/>
      <c r="I227" s="314"/>
      <c r="J227" s="314"/>
      <c r="K227" s="314"/>
      <c r="L227" s="314"/>
      <c r="M227" s="314"/>
      <c r="N227" s="314"/>
      <c r="O227" s="314"/>
      <c r="P227" s="314"/>
      <c r="Q227" s="314"/>
      <c r="R227" s="314"/>
      <c r="S227" s="314"/>
      <c r="T227" s="364">
        <f>+N81</f>
        <v>0</v>
      </c>
      <c r="U227" s="314"/>
      <c r="V227" s="369"/>
      <c r="W227" s="370"/>
      <c r="X227" s="5"/>
    </row>
    <row r="228" spans="1:24" ht="15.6" x14ac:dyDescent="0.3">
      <c r="A228" s="371"/>
      <c r="B228" s="313" t="s">
        <v>83</v>
      </c>
      <c r="C228" s="372"/>
      <c r="D228" s="372"/>
      <c r="E228" s="372"/>
      <c r="F228" s="372"/>
      <c r="G228" s="314"/>
      <c r="H228" s="314"/>
      <c r="I228" s="314"/>
      <c r="J228" s="314"/>
      <c r="K228" s="314"/>
      <c r="L228" s="314"/>
      <c r="M228" s="314"/>
      <c r="N228" s="314"/>
      <c r="O228" s="314"/>
      <c r="P228" s="314"/>
      <c r="Q228" s="314"/>
      <c r="R228" s="314"/>
      <c r="S228" s="314"/>
      <c r="T228" s="368"/>
      <c r="U228" s="314"/>
      <c r="V228" s="369"/>
      <c r="W228" s="373"/>
      <c r="X228" s="5"/>
    </row>
    <row r="229" spans="1:24" ht="15.6" x14ac:dyDescent="0.3">
      <c r="A229" s="371"/>
      <c r="B229" s="288" t="s">
        <v>84</v>
      </c>
      <c r="C229" s="288"/>
      <c r="D229" s="288"/>
      <c r="E229" s="288"/>
      <c r="F229" s="288"/>
      <c r="G229" s="288"/>
      <c r="H229" s="288"/>
      <c r="I229" s="288"/>
      <c r="J229" s="288"/>
      <c r="K229" s="288"/>
      <c r="L229" s="288"/>
      <c r="M229" s="288"/>
      <c r="N229" s="288"/>
      <c r="O229" s="288"/>
      <c r="P229" s="288"/>
      <c r="Q229" s="288"/>
      <c r="R229" s="288"/>
      <c r="S229" s="296"/>
      <c r="T229" s="364">
        <f>V167</f>
        <v>203</v>
      </c>
      <c r="U229" s="288"/>
      <c r="V229" s="365"/>
      <c r="W229" s="378"/>
      <c r="X229" s="5"/>
    </row>
    <row r="230" spans="1:24" ht="15.6" x14ac:dyDescent="0.3">
      <c r="A230" s="362"/>
      <c r="B230" s="288" t="s">
        <v>85</v>
      </c>
      <c r="C230" s="337"/>
      <c r="D230" s="337"/>
      <c r="E230" s="337"/>
      <c r="F230" s="337"/>
      <c r="G230" s="288"/>
      <c r="H230" s="288"/>
      <c r="I230" s="288"/>
      <c r="J230" s="288"/>
      <c r="K230" s="288"/>
      <c r="L230" s="288"/>
      <c r="M230" s="288"/>
      <c r="N230" s="288"/>
      <c r="O230" s="288"/>
      <c r="P230" s="288"/>
      <c r="Q230" s="288"/>
      <c r="R230" s="288"/>
      <c r="S230" s="296"/>
      <c r="T230" s="364">
        <f>'Aug 13'!T230+T229</f>
        <v>4583</v>
      </c>
      <c r="U230" s="288"/>
      <c r="V230" s="365"/>
      <c r="W230" s="378"/>
      <c r="X230" s="5"/>
    </row>
    <row r="231" spans="1:24" ht="15.6" x14ac:dyDescent="0.3">
      <c r="A231" s="371"/>
      <c r="B231" s="313" t="s">
        <v>295</v>
      </c>
      <c r="C231" s="372"/>
      <c r="D231" s="372"/>
      <c r="E231" s="372"/>
      <c r="F231" s="372"/>
      <c r="G231" s="314"/>
      <c r="H231" s="314"/>
      <c r="I231" s="314"/>
      <c r="J231" s="314"/>
      <c r="K231" s="314"/>
      <c r="L231" s="314"/>
      <c r="M231" s="314"/>
      <c r="N231" s="314"/>
      <c r="O231" s="314"/>
      <c r="P231" s="314"/>
      <c r="Q231" s="314"/>
      <c r="R231" s="314"/>
      <c r="S231" s="316"/>
      <c r="T231" s="368"/>
      <c r="U231" s="314"/>
      <c r="V231" s="369"/>
      <c r="W231" s="373"/>
      <c r="X231" s="5"/>
    </row>
    <row r="232" spans="1:24" ht="15.6" x14ac:dyDescent="0.3">
      <c r="A232" s="371"/>
      <c r="B232" s="288" t="s">
        <v>291</v>
      </c>
      <c r="C232" s="288"/>
      <c r="D232" s="288"/>
      <c r="E232" s="288"/>
      <c r="F232" s="288"/>
      <c r="G232" s="288"/>
      <c r="H232" s="288"/>
      <c r="I232" s="288"/>
      <c r="J232" s="288"/>
      <c r="K232" s="288"/>
      <c r="L232" s="288"/>
      <c r="M232" s="288"/>
      <c r="N232" s="288"/>
      <c r="O232" s="288"/>
      <c r="P232" s="288"/>
      <c r="Q232" s="288"/>
      <c r="R232" s="288"/>
      <c r="S232" s="296">
        <v>0</v>
      </c>
      <c r="T232" s="364">
        <v>0</v>
      </c>
      <c r="U232" s="288"/>
      <c r="V232" s="365"/>
      <c r="W232" s="378"/>
      <c r="X232" s="5"/>
    </row>
    <row r="233" spans="1:24" ht="15.6" x14ac:dyDescent="0.3">
      <c r="A233" s="362"/>
      <c r="B233" s="288" t="s">
        <v>86</v>
      </c>
      <c r="C233" s="325"/>
      <c r="D233" s="325"/>
      <c r="E233" s="325"/>
      <c r="F233" s="379"/>
      <c r="G233" s="288"/>
      <c r="H233" s="288"/>
      <c r="I233" s="288"/>
      <c r="J233" s="288"/>
      <c r="K233" s="288"/>
      <c r="L233" s="288"/>
      <c r="M233" s="288"/>
      <c r="N233" s="288"/>
      <c r="O233" s="288"/>
      <c r="P233" s="288"/>
      <c r="Q233" s="288"/>
      <c r="R233" s="288"/>
      <c r="S233" s="288"/>
      <c r="T233" s="380">
        <v>0</v>
      </c>
      <c r="U233" s="288"/>
      <c r="V233" s="365"/>
      <c r="W233" s="378"/>
      <c r="X233" s="5"/>
    </row>
    <row r="234" spans="1:24" ht="15.6" x14ac:dyDescent="0.3">
      <c r="A234" s="362"/>
      <c r="B234" s="288" t="s">
        <v>87</v>
      </c>
      <c r="C234" s="325"/>
      <c r="D234" s="325"/>
      <c r="E234" s="325"/>
      <c r="F234" s="379"/>
      <c r="G234" s="288"/>
      <c r="H234" s="288"/>
      <c r="I234" s="288"/>
      <c r="J234" s="288"/>
      <c r="K234" s="288"/>
      <c r="L234" s="288"/>
      <c r="M234" s="288"/>
      <c r="N234" s="288"/>
      <c r="O234" s="288"/>
      <c r="P234" s="288"/>
      <c r="Q234" s="288"/>
      <c r="R234" s="288"/>
      <c r="S234" s="288"/>
      <c r="T234" s="380">
        <v>0</v>
      </c>
      <c r="U234" s="288"/>
      <c r="V234" s="365"/>
      <c r="W234" s="378"/>
      <c r="X234" s="5"/>
    </row>
    <row r="235" spans="1:24" ht="15.6" x14ac:dyDescent="0.3">
      <c r="A235" s="362"/>
      <c r="B235" s="313" t="s">
        <v>217</v>
      </c>
      <c r="C235" s="381"/>
      <c r="D235" s="381"/>
      <c r="E235" s="381"/>
      <c r="F235" s="382"/>
      <c r="G235" s="314"/>
      <c r="H235" s="314"/>
      <c r="I235" s="314"/>
      <c r="J235" s="314"/>
      <c r="K235" s="314"/>
      <c r="L235" s="314"/>
      <c r="M235" s="314"/>
      <c r="N235" s="314"/>
      <c r="O235" s="314"/>
      <c r="P235" s="314"/>
      <c r="Q235" s="314"/>
      <c r="R235" s="314"/>
      <c r="S235" s="314"/>
      <c r="T235" s="383"/>
      <c r="U235" s="314"/>
      <c r="V235" s="369"/>
      <c r="W235" s="373"/>
      <c r="X235" s="5"/>
    </row>
    <row r="236" spans="1:24" ht="15.6" x14ac:dyDescent="0.3">
      <c r="A236" s="362"/>
      <c r="B236" s="288" t="s">
        <v>291</v>
      </c>
      <c r="C236" s="381"/>
      <c r="D236" s="381"/>
      <c r="E236" s="381"/>
      <c r="F236" s="382"/>
      <c r="G236" s="314"/>
      <c r="H236" s="314"/>
      <c r="I236" s="314"/>
      <c r="J236" s="314"/>
      <c r="K236" s="314"/>
      <c r="L236" s="314"/>
      <c r="M236" s="314"/>
      <c r="N236" s="314"/>
      <c r="O236" s="314"/>
      <c r="P236" s="314"/>
      <c r="Q236" s="314"/>
      <c r="R236" s="314"/>
      <c r="S236" s="296">
        <v>7</v>
      </c>
      <c r="T236" s="364">
        <v>987</v>
      </c>
      <c r="U236" s="314"/>
      <c r="V236" s="369"/>
      <c r="W236" s="373"/>
      <c r="X236" s="5"/>
    </row>
    <row r="237" spans="1:24" ht="15.6" x14ac:dyDescent="0.3">
      <c r="A237" s="362"/>
      <c r="B237" s="288" t="s">
        <v>218</v>
      </c>
      <c r="C237" s="381"/>
      <c r="D237" s="381"/>
      <c r="E237" s="381"/>
      <c r="F237" s="382"/>
      <c r="G237" s="314"/>
      <c r="H237" s="314"/>
      <c r="I237" s="314"/>
      <c r="J237" s="314"/>
      <c r="K237" s="314"/>
      <c r="L237" s="314"/>
      <c r="M237" s="314"/>
      <c r="N237" s="314"/>
      <c r="O237" s="314"/>
      <c r="P237" s="314"/>
      <c r="Q237" s="314"/>
      <c r="R237" s="314"/>
      <c r="S237" s="288"/>
      <c r="T237" s="380">
        <v>0</v>
      </c>
      <c r="U237" s="314"/>
      <c r="V237" s="369"/>
      <c r="W237" s="373"/>
      <c r="X237" s="5"/>
    </row>
    <row r="238" spans="1:24" ht="15.6" x14ac:dyDescent="0.3">
      <c r="A238" s="362"/>
      <c r="B238" s="372"/>
      <c r="C238" s="381"/>
      <c r="D238" s="381"/>
      <c r="E238" s="381"/>
      <c r="F238" s="382"/>
      <c r="G238" s="314"/>
      <c r="H238" s="314"/>
      <c r="I238" s="314"/>
      <c r="J238" s="314"/>
      <c r="K238" s="314"/>
      <c r="L238" s="314"/>
      <c r="M238" s="314"/>
      <c r="N238" s="314"/>
      <c r="O238" s="314"/>
      <c r="P238" s="314"/>
      <c r="Q238" s="314"/>
      <c r="R238" s="314"/>
      <c r="S238" s="314"/>
      <c r="T238" s="383"/>
      <c r="U238" s="314"/>
      <c r="V238" s="369"/>
      <c r="W238" s="373"/>
      <c r="X238" s="5"/>
    </row>
    <row r="239" spans="1:24" ht="15.6" x14ac:dyDescent="0.3">
      <c r="A239" s="362"/>
      <c r="B239" s="372"/>
      <c r="C239" s="381"/>
      <c r="D239" s="381"/>
      <c r="E239" s="381"/>
      <c r="F239" s="382"/>
      <c r="G239" s="314"/>
      <c r="H239" s="314"/>
      <c r="I239" s="314"/>
      <c r="J239" s="314"/>
      <c r="K239" s="314"/>
      <c r="L239" s="314"/>
      <c r="M239" s="314"/>
      <c r="N239" s="314"/>
      <c r="O239" s="314"/>
      <c r="P239" s="314"/>
      <c r="Q239" s="314"/>
      <c r="R239" s="314"/>
      <c r="S239" s="314"/>
      <c r="T239" s="383"/>
      <c r="U239" s="314"/>
      <c r="V239" s="369"/>
      <c r="W239" s="373"/>
      <c r="X239" s="5"/>
    </row>
    <row r="240" spans="1:24" ht="17.399999999999999" x14ac:dyDescent="0.3">
      <c r="A240" s="362"/>
      <c r="B240" s="384" t="s">
        <v>168</v>
      </c>
      <c r="C240" s="381"/>
      <c r="D240" s="381"/>
      <c r="E240" s="381"/>
      <c r="F240" s="382"/>
      <c r="G240" s="314"/>
      <c r="H240" s="314"/>
      <c r="I240" s="314"/>
      <c r="J240" s="314"/>
      <c r="K240" s="314"/>
      <c r="L240" s="314"/>
      <c r="M240" s="314"/>
      <c r="N240" s="314"/>
      <c r="O240" s="314"/>
      <c r="P240" s="385" t="s">
        <v>167</v>
      </c>
      <c r="Q240" s="314"/>
      <c r="R240" s="314"/>
      <c r="S240" s="314"/>
      <c r="T240" s="383"/>
      <c r="U240" s="314"/>
      <c r="V240" s="369"/>
      <c r="W240" s="373"/>
      <c r="X240" s="5"/>
    </row>
    <row r="241" spans="1:25" ht="15.6" x14ac:dyDescent="0.3">
      <c r="A241" s="355"/>
      <c r="B241" s="356"/>
      <c r="C241" s="357"/>
      <c r="D241" s="357"/>
      <c r="E241" s="357"/>
      <c r="F241" s="358"/>
      <c r="G241" s="198"/>
      <c r="H241" s="198"/>
      <c r="I241" s="198"/>
      <c r="J241" s="198"/>
      <c r="K241" s="198"/>
      <c r="L241" s="198"/>
      <c r="M241" s="198"/>
      <c r="N241" s="198"/>
      <c r="O241" s="198"/>
      <c r="P241" s="198"/>
      <c r="Q241" s="198"/>
      <c r="R241" s="198"/>
      <c r="S241" s="198"/>
      <c r="T241" s="359"/>
      <c r="U241" s="198"/>
      <c r="V241" s="360"/>
      <c r="W241" s="361"/>
      <c r="X241" s="5"/>
    </row>
    <row r="242" spans="1:25" ht="15.6" x14ac:dyDescent="0.3">
      <c r="A242" s="262"/>
      <c r="B242" s="399" t="s">
        <v>308</v>
      </c>
      <c r="C242" s="400"/>
      <c r="D242" s="400"/>
      <c r="E242" s="400"/>
      <c r="F242" s="406"/>
      <c r="G242" s="400"/>
      <c r="H242" s="400"/>
      <c r="I242" s="400"/>
      <c r="J242" s="400"/>
      <c r="K242" s="400"/>
      <c r="L242" s="400"/>
      <c r="M242" s="400"/>
      <c r="N242" s="400"/>
      <c r="O242" s="400"/>
      <c r="P242" s="400"/>
      <c r="Q242" s="400"/>
      <c r="R242" s="406" t="s">
        <v>102</v>
      </c>
      <c r="S242" s="400" t="s">
        <v>103</v>
      </c>
      <c r="T242" s="406" t="s">
        <v>109</v>
      </c>
      <c r="U242" s="400" t="s">
        <v>103</v>
      </c>
      <c r="V242" s="263"/>
      <c r="W242" s="399"/>
      <c r="X242" s="5"/>
    </row>
    <row r="243" spans="1:25" ht="15.6" x14ac:dyDescent="0.3">
      <c r="A243" s="197"/>
      <c r="B243" s="234" t="s">
        <v>88</v>
      </c>
      <c r="C243" s="253"/>
      <c r="D243" s="253"/>
      <c r="E243" s="253"/>
      <c r="F243" s="231"/>
      <c r="G243" s="253"/>
      <c r="H243" s="253"/>
      <c r="I243" s="253"/>
      <c r="J243" s="253"/>
      <c r="K243" s="253"/>
      <c r="L243" s="253"/>
      <c r="M243" s="253"/>
      <c r="N243" s="253"/>
      <c r="O243" s="253"/>
      <c r="P243" s="253"/>
      <c r="Q243" s="253"/>
      <c r="R243" s="234">
        <f t="shared" ref="R243:R250" si="1">+R255+R267+R279</f>
        <v>7705</v>
      </c>
      <c r="S243" s="254">
        <f t="shared" ref="S243:S250" si="2">R243/$R$252</f>
        <v>0.99496384297520657</v>
      </c>
      <c r="T243" s="241">
        <f t="shared" ref="T243:T250" si="3">+T255+T267+T279</f>
        <v>1073386</v>
      </c>
      <c r="U243" s="254">
        <f t="shared" ref="U243:U250" si="4">T243/$T$252</f>
        <v>0.99520655394805646</v>
      </c>
      <c r="V243" s="250"/>
      <c r="W243" s="232"/>
      <c r="X243" s="5"/>
    </row>
    <row r="244" spans="1:25" ht="15.6" x14ac:dyDescent="0.3">
      <c r="A244" s="287"/>
      <c r="B244" s="337" t="s">
        <v>89</v>
      </c>
      <c r="C244" s="389"/>
      <c r="D244" s="389"/>
      <c r="E244" s="389"/>
      <c r="F244" s="288"/>
      <c r="G244" s="390"/>
      <c r="H244" s="389"/>
      <c r="I244" s="389"/>
      <c r="J244" s="389"/>
      <c r="K244" s="389"/>
      <c r="L244" s="389"/>
      <c r="M244" s="389"/>
      <c r="N244" s="389"/>
      <c r="O244" s="389"/>
      <c r="P244" s="389"/>
      <c r="Q244" s="389"/>
      <c r="R244" s="337">
        <f t="shared" si="1"/>
        <v>6</v>
      </c>
      <c r="S244" s="390">
        <f t="shared" si="2"/>
        <v>7.7479338842975209E-4</v>
      </c>
      <c r="T244" s="338">
        <f t="shared" si="3"/>
        <v>781</v>
      </c>
      <c r="U244" s="390">
        <f t="shared" si="4"/>
        <v>7.2411631848508565E-4</v>
      </c>
      <c r="V244" s="365"/>
      <c r="W244" s="378"/>
      <c r="X244" s="5"/>
      <c r="Y244" s="109"/>
    </row>
    <row r="245" spans="1:25" ht="15.6" x14ac:dyDescent="0.3">
      <c r="A245" s="287"/>
      <c r="B245" s="337" t="s">
        <v>90</v>
      </c>
      <c r="C245" s="389"/>
      <c r="D245" s="389"/>
      <c r="E245" s="389"/>
      <c r="F245" s="288"/>
      <c r="G245" s="390"/>
      <c r="H245" s="389"/>
      <c r="I245" s="389"/>
      <c r="J245" s="389"/>
      <c r="K245" s="389"/>
      <c r="L245" s="389"/>
      <c r="M245" s="389"/>
      <c r="N245" s="389"/>
      <c r="O245" s="389"/>
      <c r="P245" s="389"/>
      <c r="Q245" s="389"/>
      <c r="R245" s="337">
        <f t="shared" si="1"/>
        <v>3</v>
      </c>
      <c r="S245" s="390">
        <f t="shared" si="2"/>
        <v>3.8739669421487604E-4</v>
      </c>
      <c r="T245" s="338">
        <f t="shared" si="3"/>
        <v>385</v>
      </c>
      <c r="U245" s="390">
        <f t="shared" si="4"/>
        <v>3.5695874854898586E-4</v>
      </c>
      <c r="V245" s="365"/>
      <c r="W245" s="378"/>
      <c r="X245" s="5"/>
    </row>
    <row r="246" spans="1:25" ht="15.6" x14ac:dyDescent="0.3">
      <c r="A246" s="287"/>
      <c r="B246" s="337" t="s">
        <v>156</v>
      </c>
      <c r="C246" s="389"/>
      <c r="D246" s="389"/>
      <c r="E246" s="389"/>
      <c r="F246" s="288"/>
      <c r="G246" s="390"/>
      <c r="H246" s="389"/>
      <c r="I246" s="389"/>
      <c r="J246" s="389"/>
      <c r="K246" s="389"/>
      <c r="L246" s="389"/>
      <c r="M246" s="389"/>
      <c r="N246" s="389"/>
      <c r="O246" s="389"/>
      <c r="P246" s="389"/>
      <c r="Q246" s="389"/>
      <c r="R246" s="337">
        <f t="shared" si="1"/>
        <v>2</v>
      </c>
      <c r="S246" s="390">
        <f t="shared" si="2"/>
        <v>2.5826446280991736E-4</v>
      </c>
      <c r="T246" s="338">
        <f t="shared" si="3"/>
        <v>164</v>
      </c>
      <c r="U246" s="390">
        <f t="shared" si="4"/>
        <v>1.520551552260615E-4</v>
      </c>
      <c r="V246" s="365"/>
      <c r="W246" s="378"/>
      <c r="X246" s="5"/>
      <c r="Y246" s="109"/>
    </row>
    <row r="247" spans="1:25" ht="15.6" x14ac:dyDescent="0.3">
      <c r="A247" s="287"/>
      <c r="B247" s="337" t="s">
        <v>157</v>
      </c>
      <c r="C247" s="389"/>
      <c r="D247" s="389"/>
      <c r="E247" s="389"/>
      <c r="F247" s="288"/>
      <c r="G247" s="390"/>
      <c r="H247" s="389"/>
      <c r="I247" s="389"/>
      <c r="J247" s="389"/>
      <c r="K247" s="389"/>
      <c r="L247" s="389"/>
      <c r="M247" s="389"/>
      <c r="N247" s="389"/>
      <c r="O247" s="389"/>
      <c r="P247" s="389"/>
      <c r="Q247" s="389"/>
      <c r="R247" s="337">
        <f t="shared" si="1"/>
        <v>1</v>
      </c>
      <c r="S247" s="390">
        <f t="shared" si="2"/>
        <v>1.2913223140495868E-4</v>
      </c>
      <c r="T247" s="338">
        <f t="shared" si="3"/>
        <v>82</v>
      </c>
      <c r="U247" s="390">
        <f t="shared" si="4"/>
        <v>7.6027577613030752E-5</v>
      </c>
      <c r="V247" s="365"/>
      <c r="W247" s="378"/>
      <c r="X247" s="5"/>
    </row>
    <row r="248" spans="1:25" ht="15.6" x14ac:dyDescent="0.3">
      <c r="A248" s="287"/>
      <c r="B248" s="337" t="s">
        <v>158</v>
      </c>
      <c r="C248" s="389"/>
      <c r="D248" s="389"/>
      <c r="E248" s="389"/>
      <c r="F248" s="288"/>
      <c r="G248" s="390"/>
      <c r="H248" s="389"/>
      <c r="I248" s="389"/>
      <c r="J248" s="389"/>
      <c r="K248" s="389"/>
      <c r="L248" s="389"/>
      <c r="M248" s="389"/>
      <c r="N248" s="389"/>
      <c r="O248" s="389"/>
      <c r="P248" s="389"/>
      <c r="Q248" s="389"/>
      <c r="R248" s="337">
        <f t="shared" si="1"/>
        <v>1</v>
      </c>
      <c r="S248" s="390">
        <f t="shared" si="2"/>
        <v>1.2913223140495868E-4</v>
      </c>
      <c r="T248" s="338">
        <f t="shared" si="3"/>
        <v>142</v>
      </c>
      <c r="U248" s="390">
        <f t="shared" si="4"/>
        <v>1.3165751245183374E-4</v>
      </c>
      <c r="V248" s="365"/>
      <c r="W248" s="378"/>
      <c r="X248" s="5"/>
      <c r="Y248" s="109"/>
    </row>
    <row r="249" spans="1:25" ht="15.6" x14ac:dyDescent="0.3">
      <c r="A249" s="287"/>
      <c r="B249" s="337" t="s">
        <v>159</v>
      </c>
      <c r="C249" s="389"/>
      <c r="D249" s="389"/>
      <c r="E249" s="389"/>
      <c r="F249" s="288"/>
      <c r="G249" s="390"/>
      <c r="H249" s="389"/>
      <c r="I249" s="389"/>
      <c r="J249" s="389"/>
      <c r="K249" s="389"/>
      <c r="L249" s="389"/>
      <c r="M249" s="389"/>
      <c r="N249" s="389"/>
      <c r="O249" s="389"/>
      <c r="P249" s="389"/>
      <c r="Q249" s="389"/>
      <c r="R249" s="337">
        <f t="shared" si="1"/>
        <v>10</v>
      </c>
      <c r="S249" s="390">
        <f t="shared" si="2"/>
        <v>1.2913223140495868E-3</v>
      </c>
      <c r="T249" s="338">
        <f t="shared" si="3"/>
        <v>1292</v>
      </c>
      <c r="U249" s="390">
        <f t="shared" si="4"/>
        <v>1.1978979301955578E-3</v>
      </c>
      <c r="V249" s="365"/>
      <c r="W249" s="378"/>
      <c r="X249" s="5"/>
    </row>
    <row r="250" spans="1:25" ht="15.6" x14ac:dyDescent="0.3">
      <c r="A250" s="287"/>
      <c r="B250" s="337" t="s">
        <v>160</v>
      </c>
      <c r="C250" s="389"/>
      <c r="D250" s="389"/>
      <c r="E250" s="389"/>
      <c r="F250" s="288"/>
      <c r="G250" s="390"/>
      <c r="H250" s="389"/>
      <c r="I250" s="389"/>
      <c r="J250" s="389"/>
      <c r="K250" s="389"/>
      <c r="L250" s="389"/>
      <c r="M250" s="389"/>
      <c r="N250" s="389"/>
      <c r="O250" s="389"/>
      <c r="P250" s="389"/>
      <c r="Q250" s="389"/>
      <c r="R250" s="339">
        <f t="shared" si="1"/>
        <v>16</v>
      </c>
      <c r="S250" s="393">
        <f t="shared" si="2"/>
        <v>2.0661157024793389E-3</v>
      </c>
      <c r="T250" s="394">
        <f t="shared" si="3"/>
        <v>2324</v>
      </c>
      <c r="U250" s="393">
        <f t="shared" si="4"/>
        <v>2.1547328094229691E-3</v>
      </c>
      <c r="V250" s="365"/>
      <c r="W250" s="378"/>
      <c r="X250" s="5"/>
      <c r="Y250" s="109"/>
    </row>
    <row r="251" spans="1:25" ht="15.6" x14ac:dyDescent="0.3">
      <c r="A251" s="287"/>
      <c r="B251" s="337"/>
      <c r="C251" s="389"/>
      <c r="D251" s="389"/>
      <c r="E251" s="389"/>
      <c r="F251" s="288"/>
      <c r="G251" s="390"/>
      <c r="H251" s="389"/>
      <c r="I251" s="389"/>
      <c r="J251" s="389"/>
      <c r="K251" s="389"/>
      <c r="L251" s="389"/>
      <c r="M251" s="389"/>
      <c r="N251" s="389"/>
      <c r="O251" s="389"/>
      <c r="P251" s="389"/>
      <c r="Q251" s="389"/>
      <c r="R251" s="337"/>
      <c r="S251" s="390"/>
      <c r="T251" s="338"/>
      <c r="U251" s="390"/>
      <c r="V251" s="365"/>
      <c r="W251" s="378"/>
      <c r="X251" s="5"/>
    </row>
    <row r="252" spans="1:25" ht="15.6" x14ac:dyDescent="0.3">
      <c r="A252" s="287"/>
      <c r="B252" s="288"/>
      <c r="C252" s="288"/>
      <c r="D252" s="288"/>
      <c r="E252" s="288"/>
      <c r="F252" s="288"/>
      <c r="G252" s="288"/>
      <c r="H252" s="391"/>
      <c r="I252" s="391"/>
      <c r="J252" s="391"/>
      <c r="K252" s="391"/>
      <c r="L252" s="391"/>
      <c r="M252" s="391"/>
      <c r="N252" s="391"/>
      <c r="O252" s="391"/>
      <c r="P252" s="391"/>
      <c r="Q252" s="391"/>
      <c r="R252" s="337">
        <f>SUM(R243:R251)</f>
        <v>7744</v>
      </c>
      <c r="S252" s="390">
        <f>SUM(S243:S251)</f>
        <v>1</v>
      </c>
      <c r="T252" s="338">
        <f>SUM(T243:T251)</f>
        <v>1078556</v>
      </c>
      <c r="U252" s="390">
        <f>SUM(U243:U251)</f>
        <v>1</v>
      </c>
      <c r="V252" s="288"/>
      <c r="W252" s="291"/>
      <c r="X252" s="5"/>
    </row>
    <row r="253" spans="1:25" ht="15.6" x14ac:dyDescent="0.3">
      <c r="A253" s="183"/>
      <c r="B253" s="198"/>
      <c r="C253" s="198"/>
      <c r="D253" s="198"/>
      <c r="E253" s="198"/>
      <c r="F253" s="198"/>
      <c r="G253" s="198"/>
      <c r="H253" s="386"/>
      <c r="I253" s="386"/>
      <c r="J253" s="386"/>
      <c r="K253" s="386"/>
      <c r="L253" s="386"/>
      <c r="M253" s="386"/>
      <c r="N253" s="386"/>
      <c r="O253" s="386"/>
      <c r="P253" s="386"/>
      <c r="Q253" s="386"/>
      <c r="R253" s="335"/>
      <c r="S253" s="387"/>
      <c r="T253" s="388"/>
      <c r="U253" s="387"/>
      <c r="V253" s="198"/>
      <c r="W253" s="198"/>
      <c r="X253" s="5"/>
    </row>
    <row r="254" spans="1:25" ht="15.6" x14ac:dyDescent="0.3">
      <c r="A254" s="262"/>
      <c r="B254" s="399" t="s">
        <v>162</v>
      </c>
      <c r="C254" s="400"/>
      <c r="D254" s="400"/>
      <c r="E254" s="400"/>
      <c r="F254" s="406"/>
      <c r="G254" s="400"/>
      <c r="H254" s="400"/>
      <c r="I254" s="400"/>
      <c r="J254" s="400"/>
      <c r="K254" s="400"/>
      <c r="L254" s="400"/>
      <c r="M254" s="400"/>
      <c r="N254" s="400"/>
      <c r="O254" s="400"/>
      <c r="P254" s="400"/>
      <c r="Q254" s="400"/>
      <c r="R254" s="406" t="s">
        <v>102</v>
      </c>
      <c r="S254" s="400" t="s">
        <v>103</v>
      </c>
      <c r="T254" s="406" t="s">
        <v>109</v>
      </c>
      <c r="U254" s="400" t="s">
        <v>103</v>
      </c>
      <c r="V254" s="263"/>
      <c r="W254" s="399"/>
      <c r="X254" s="5"/>
    </row>
    <row r="255" spans="1:25" ht="15.6" x14ac:dyDescent="0.3">
      <c r="A255" s="197"/>
      <c r="B255" s="234" t="s">
        <v>88</v>
      </c>
      <c r="C255" s="253"/>
      <c r="D255" s="253"/>
      <c r="E255" s="253"/>
      <c r="F255" s="231"/>
      <c r="G255" s="253"/>
      <c r="H255" s="253"/>
      <c r="I255" s="253"/>
      <c r="J255" s="253"/>
      <c r="K255" s="253"/>
      <c r="L255" s="253"/>
      <c r="M255" s="253"/>
      <c r="N255" s="253"/>
      <c r="O255" s="253"/>
      <c r="P255" s="253"/>
      <c r="Q255" s="253"/>
      <c r="R255" s="234">
        <v>7562</v>
      </c>
      <c r="S255" s="254">
        <f t="shared" ref="S255:S262" si="5">R255/$R$264</f>
        <v>0.99867934495509769</v>
      </c>
      <c r="T255" s="241">
        <v>1053175</v>
      </c>
      <c r="U255" s="254">
        <f t="shared" ref="U255:U262" si="6">T255/$T$264</f>
        <v>0.99885904296182204</v>
      </c>
      <c r="V255" s="250"/>
      <c r="W255" s="232"/>
      <c r="X255" s="5"/>
    </row>
    <row r="256" spans="1:25" ht="15.6" x14ac:dyDescent="0.3">
      <c r="A256" s="287"/>
      <c r="B256" s="337" t="s">
        <v>89</v>
      </c>
      <c r="C256" s="389"/>
      <c r="D256" s="389"/>
      <c r="E256" s="389"/>
      <c r="F256" s="288"/>
      <c r="G256" s="390"/>
      <c r="H256" s="389"/>
      <c r="I256" s="389"/>
      <c r="J256" s="389"/>
      <c r="K256" s="389"/>
      <c r="L256" s="389"/>
      <c r="M256" s="389"/>
      <c r="N256" s="389"/>
      <c r="O256" s="389"/>
      <c r="P256" s="389"/>
      <c r="Q256" s="389"/>
      <c r="R256" s="337">
        <v>5</v>
      </c>
      <c r="S256" s="390">
        <f t="shared" si="5"/>
        <v>6.6032752245113579E-4</v>
      </c>
      <c r="T256" s="338">
        <v>643</v>
      </c>
      <c r="U256" s="390">
        <f t="shared" si="6"/>
        <v>6.0983821741348926E-4</v>
      </c>
      <c r="V256" s="365"/>
      <c r="W256" s="378"/>
      <c r="X256" s="5"/>
      <c r="Y256" s="109"/>
    </row>
    <row r="257" spans="1:25" ht="15.6" x14ac:dyDescent="0.3">
      <c r="A257" s="287"/>
      <c r="B257" s="337" t="s">
        <v>90</v>
      </c>
      <c r="C257" s="389"/>
      <c r="D257" s="389"/>
      <c r="E257" s="389"/>
      <c r="F257" s="288"/>
      <c r="G257" s="390"/>
      <c r="H257" s="389"/>
      <c r="I257" s="389"/>
      <c r="J257" s="389"/>
      <c r="K257" s="389"/>
      <c r="L257" s="389"/>
      <c r="M257" s="389"/>
      <c r="N257" s="389"/>
      <c r="O257" s="389"/>
      <c r="P257" s="389"/>
      <c r="Q257" s="389"/>
      <c r="R257" s="337">
        <v>1</v>
      </c>
      <c r="S257" s="390">
        <f t="shared" si="5"/>
        <v>1.3206550449022716E-4</v>
      </c>
      <c r="T257" s="338">
        <v>242</v>
      </c>
      <c r="U257" s="390">
        <f t="shared" si="6"/>
        <v>2.2951920468750297E-4</v>
      </c>
      <c r="V257" s="365"/>
      <c r="W257" s="378"/>
      <c r="X257" s="5"/>
    </row>
    <row r="258" spans="1:25" ht="15.6" x14ac:dyDescent="0.3">
      <c r="A258" s="287"/>
      <c r="B258" s="337" t="s">
        <v>156</v>
      </c>
      <c r="C258" s="389"/>
      <c r="D258" s="389"/>
      <c r="E258" s="389"/>
      <c r="F258" s="288"/>
      <c r="G258" s="390"/>
      <c r="H258" s="389"/>
      <c r="I258" s="389"/>
      <c r="J258" s="389"/>
      <c r="K258" s="389"/>
      <c r="L258" s="389"/>
      <c r="M258" s="389"/>
      <c r="N258" s="389"/>
      <c r="O258" s="389"/>
      <c r="P258" s="389"/>
      <c r="Q258" s="389"/>
      <c r="R258" s="337">
        <v>1</v>
      </c>
      <c r="S258" s="390">
        <f t="shared" si="5"/>
        <v>1.3206550449022716E-4</v>
      </c>
      <c r="T258" s="338">
        <v>69</v>
      </c>
      <c r="U258" s="390">
        <f t="shared" si="6"/>
        <v>6.5441426129907875E-5</v>
      </c>
      <c r="V258" s="365"/>
      <c r="W258" s="378"/>
      <c r="X258" s="5"/>
      <c r="Y258" s="109"/>
    </row>
    <row r="259" spans="1:25" ht="15.6" x14ac:dyDescent="0.3">
      <c r="A259" s="287"/>
      <c r="B259" s="337" t="s">
        <v>157</v>
      </c>
      <c r="C259" s="389"/>
      <c r="D259" s="389"/>
      <c r="E259" s="389"/>
      <c r="F259" s="288"/>
      <c r="G259" s="390"/>
      <c r="H259" s="389"/>
      <c r="I259" s="389"/>
      <c r="J259" s="389"/>
      <c r="K259" s="389"/>
      <c r="L259" s="389"/>
      <c r="M259" s="389"/>
      <c r="N259" s="389"/>
      <c r="O259" s="389"/>
      <c r="P259" s="389"/>
      <c r="Q259" s="389"/>
      <c r="R259" s="337">
        <v>0</v>
      </c>
      <c r="S259" s="390">
        <f t="shared" si="5"/>
        <v>0</v>
      </c>
      <c r="T259" s="338">
        <v>0</v>
      </c>
      <c r="U259" s="390">
        <f t="shared" si="6"/>
        <v>0</v>
      </c>
      <c r="V259" s="365"/>
      <c r="W259" s="378"/>
      <c r="X259" s="5"/>
    </row>
    <row r="260" spans="1:25" ht="15.6" x14ac:dyDescent="0.3">
      <c r="A260" s="287"/>
      <c r="B260" s="337" t="s">
        <v>158</v>
      </c>
      <c r="C260" s="389"/>
      <c r="D260" s="389"/>
      <c r="E260" s="389"/>
      <c r="F260" s="288"/>
      <c r="G260" s="390"/>
      <c r="H260" s="389"/>
      <c r="I260" s="389"/>
      <c r="J260" s="389"/>
      <c r="K260" s="389"/>
      <c r="L260" s="389"/>
      <c r="M260" s="389"/>
      <c r="N260" s="389"/>
      <c r="O260" s="389"/>
      <c r="P260" s="389"/>
      <c r="Q260" s="389"/>
      <c r="R260" s="337">
        <v>0</v>
      </c>
      <c r="S260" s="390">
        <f t="shared" si="5"/>
        <v>0</v>
      </c>
      <c r="T260" s="338">
        <v>0</v>
      </c>
      <c r="U260" s="390">
        <f t="shared" si="6"/>
        <v>0</v>
      </c>
      <c r="V260" s="365"/>
      <c r="W260" s="378"/>
      <c r="X260" s="5"/>
      <c r="Y260" s="109"/>
    </row>
    <row r="261" spans="1:25" ht="15.6" x14ac:dyDescent="0.3">
      <c r="A261" s="287"/>
      <c r="B261" s="337" t="s">
        <v>159</v>
      </c>
      <c r="C261" s="389"/>
      <c r="D261" s="389"/>
      <c r="E261" s="389"/>
      <c r="F261" s="288"/>
      <c r="G261" s="390"/>
      <c r="H261" s="389"/>
      <c r="I261" s="389"/>
      <c r="J261" s="389"/>
      <c r="K261" s="389"/>
      <c r="L261" s="389"/>
      <c r="M261" s="389"/>
      <c r="N261" s="389"/>
      <c r="O261" s="389"/>
      <c r="P261" s="389"/>
      <c r="Q261" s="389"/>
      <c r="R261" s="337">
        <v>1</v>
      </c>
      <c r="S261" s="390">
        <f t="shared" si="5"/>
        <v>1.3206550449022716E-4</v>
      </c>
      <c r="T261" s="338">
        <v>47</v>
      </c>
      <c r="U261" s="390">
        <f t="shared" si="6"/>
        <v>4.4576043885589419E-5</v>
      </c>
      <c r="V261" s="365"/>
      <c r="W261" s="378"/>
      <c r="X261" s="5"/>
    </row>
    <row r="262" spans="1:25" ht="15.6" x14ac:dyDescent="0.3">
      <c r="A262" s="287"/>
      <c r="B262" s="337" t="s">
        <v>160</v>
      </c>
      <c r="C262" s="389"/>
      <c r="D262" s="389"/>
      <c r="E262" s="389"/>
      <c r="F262" s="288"/>
      <c r="G262" s="390"/>
      <c r="H262" s="389"/>
      <c r="I262" s="389"/>
      <c r="J262" s="389"/>
      <c r="K262" s="389"/>
      <c r="L262" s="389"/>
      <c r="M262" s="389"/>
      <c r="N262" s="389"/>
      <c r="O262" s="389"/>
      <c r="P262" s="389"/>
      <c r="Q262" s="389"/>
      <c r="R262" s="337">
        <v>2</v>
      </c>
      <c r="S262" s="390">
        <f t="shared" si="5"/>
        <v>2.6413100898045432E-4</v>
      </c>
      <c r="T262" s="338">
        <v>202</v>
      </c>
      <c r="U262" s="390">
        <f t="shared" si="6"/>
        <v>1.9158214606146941E-4</v>
      </c>
      <c r="V262" s="365"/>
      <c r="W262" s="378"/>
      <c r="X262" s="5"/>
      <c r="Y262" s="109"/>
    </row>
    <row r="263" spans="1:25" ht="15.6" x14ac:dyDescent="0.3">
      <c r="A263" s="287"/>
      <c r="B263" s="337"/>
      <c r="C263" s="389"/>
      <c r="D263" s="389"/>
      <c r="E263" s="389"/>
      <c r="F263" s="288"/>
      <c r="G263" s="390"/>
      <c r="H263" s="389"/>
      <c r="I263" s="389"/>
      <c r="J263" s="389"/>
      <c r="K263" s="389"/>
      <c r="L263" s="389"/>
      <c r="M263" s="389"/>
      <c r="N263" s="389"/>
      <c r="O263" s="389"/>
      <c r="P263" s="389"/>
      <c r="Q263" s="389"/>
      <c r="R263" s="337"/>
      <c r="S263" s="390"/>
      <c r="T263" s="338"/>
      <c r="U263" s="390"/>
      <c r="V263" s="365"/>
      <c r="W263" s="378"/>
      <c r="X263" s="5"/>
    </row>
    <row r="264" spans="1:25" ht="15.6" x14ac:dyDescent="0.3">
      <c r="A264" s="287"/>
      <c r="B264" s="288"/>
      <c r="C264" s="288"/>
      <c r="D264" s="288"/>
      <c r="E264" s="288"/>
      <c r="F264" s="288"/>
      <c r="G264" s="288"/>
      <c r="H264" s="391"/>
      <c r="I264" s="391"/>
      <c r="J264" s="391"/>
      <c r="K264" s="391"/>
      <c r="L264" s="391"/>
      <c r="M264" s="391"/>
      <c r="N264" s="391"/>
      <c r="O264" s="391"/>
      <c r="P264" s="391"/>
      <c r="Q264" s="391"/>
      <c r="R264" s="337">
        <f>SUM(R255:R263)</f>
        <v>7572</v>
      </c>
      <c r="S264" s="390">
        <f>SUM(S255:S263)</f>
        <v>0.99999999999999989</v>
      </c>
      <c r="T264" s="338">
        <f>SUM(T255:T263)</f>
        <v>1054378</v>
      </c>
      <c r="U264" s="390">
        <f>SUM(U255:U263)</f>
        <v>1</v>
      </c>
      <c r="V264" s="288"/>
      <c r="W264" s="291"/>
      <c r="X264" s="5"/>
    </row>
    <row r="265" spans="1:25" ht="15.6" x14ac:dyDescent="0.3">
      <c r="A265" s="183"/>
      <c r="B265" s="198"/>
      <c r="C265" s="198"/>
      <c r="D265" s="198"/>
      <c r="E265" s="198"/>
      <c r="F265" s="198"/>
      <c r="G265" s="198"/>
      <c r="H265" s="386"/>
      <c r="I265" s="386"/>
      <c r="J265" s="386"/>
      <c r="K265" s="386"/>
      <c r="L265" s="386"/>
      <c r="M265" s="386"/>
      <c r="N265" s="386"/>
      <c r="O265" s="386"/>
      <c r="P265" s="386"/>
      <c r="Q265" s="386"/>
      <c r="R265" s="335"/>
      <c r="S265" s="387"/>
      <c r="T265" s="388"/>
      <c r="U265" s="387"/>
      <c r="V265" s="198"/>
      <c r="W265" s="198"/>
      <c r="X265" s="5"/>
    </row>
    <row r="266" spans="1:25" ht="15.6" x14ac:dyDescent="0.3">
      <c r="A266" s="280"/>
      <c r="B266" s="399" t="s">
        <v>275</v>
      </c>
      <c r="C266" s="400"/>
      <c r="D266" s="400"/>
      <c r="E266" s="400"/>
      <c r="F266" s="406"/>
      <c r="G266" s="400"/>
      <c r="H266" s="400"/>
      <c r="I266" s="400"/>
      <c r="J266" s="400"/>
      <c r="K266" s="400"/>
      <c r="L266" s="400"/>
      <c r="M266" s="400"/>
      <c r="N266" s="400"/>
      <c r="O266" s="400"/>
      <c r="P266" s="400"/>
      <c r="Q266" s="400"/>
      <c r="R266" s="406" t="s">
        <v>102</v>
      </c>
      <c r="S266" s="400" t="s">
        <v>103</v>
      </c>
      <c r="T266" s="406" t="s">
        <v>109</v>
      </c>
      <c r="U266" s="400" t="s">
        <v>103</v>
      </c>
      <c r="V266" s="281"/>
      <c r="W266" s="282"/>
      <c r="X266" s="5"/>
    </row>
    <row r="267" spans="1:25" ht="15.6" x14ac:dyDescent="0.3">
      <c r="A267" s="197"/>
      <c r="B267" s="234" t="s">
        <v>88</v>
      </c>
      <c r="C267" s="253"/>
      <c r="D267" s="253"/>
      <c r="E267" s="253"/>
      <c r="F267" s="231"/>
      <c r="G267" s="253"/>
      <c r="H267" s="253"/>
      <c r="I267" s="253"/>
      <c r="J267" s="253"/>
      <c r="K267" s="253"/>
      <c r="L267" s="253"/>
      <c r="M267" s="253"/>
      <c r="N267" s="253"/>
      <c r="O267" s="253"/>
      <c r="P267" s="253"/>
      <c r="Q267" s="253"/>
      <c r="R267" s="234">
        <v>143</v>
      </c>
      <c r="S267" s="254">
        <f t="shared" ref="S267:S274" si="7">R267/$R$276</f>
        <v>0.83139534883720934</v>
      </c>
      <c r="T267" s="241">
        <v>20211</v>
      </c>
      <c r="U267" s="254">
        <f t="shared" ref="U267:U274" si="8">T267/$T$276</f>
        <v>0.8359252212755397</v>
      </c>
      <c r="V267" s="231"/>
      <c r="W267" s="231"/>
      <c r="X267" s="5"/>
    </row>
    <row r="268" spans="1:25" ht="15.6" x14ac:dyDescent="0.3">
      <c r="A268" s="287"/>
      <c r="B268" s="337" t="s">
        <v>89</v>
      </c>
      <c r="C268" s="389"/>
      <c r="D268" s="389"/>
      <c r="E268" s="389"/>
      <c r="F268" s="288"/>
      <c r="G268" s="390"/>
      <c r="H268" s="389"/>
      <c r="I268" s="389"/>
      <c r="J268" s="389"/>
      <c r="K268" s="389"/>
      <c r="L268" s="389"/>
      <c r="M268" s="389"/>
      <c r="N268" s="389"/>
      <c r="O268" s="389"/>
      <c r="P268" s="389"/>
      <c r="Q268" s="389"/>
      <c r="R268" s="337">
        <v>1</v>
      </c>
      <c r="S268" s="390">
        <f t="shared" si="7"/>
        <v>5.8139534883720929E-3</v>
      </c>
      <c r="T268" s="338">
        <v>138</v>
      </c>
      <c r="U268" s="390">
        <f t="shared" si="8"/>
        <v>5.7076681280502934E-3</v>
      </c>
      <c r="V268" s="288"/>
      <c r="W268" s="291"/>
      <c r="X268" s="5"/>
    </row>
    <row r="269" spans="1:25" ht="15.6" x14ac:dyDescent="0.3">
      <c r="A269" s="287"/>
      <c r="B269" s="337" t="s">
        <v>90</v>
      </c>
      <c r="C269" s="389"/>
      <c r="D269" s="389"/>
      <c r="E269" s="389"/>
      <c r="F269" s="288"/>
      <c r="G269" s="390"/>
      <c r="H269" s="389"/>
      <c r="I269" s="389"/>
      <c r="J269" s="389"/>
      <c r="K269" s="389"/>
      <c r="L269" s="389"/>
      <c r="M269" s="389"/>
      <c r="N269" s="389"/>
      <c r="O269" s="389"/>
      <c r="P269" s="389"/>
      <c r="Q269" s="389"/>
      <c r="R269" s="337">
        <v>2</v>
      </c>
      <c r="S269" s="390">
        <f t="shared" si="7"/>
        <v>1.1627906976744186E-2</v>
      </c>
      <c r="T269" s="338">
        <v>143</v>
      </c>
      <c r="U269" s="390">
        <f t="shared" si="8"/>
        <v>5.9144676979071883E-3</v>
      </c>
      <c r="V269" s="288"/>
      <c r="W269" s="291"/>
      <c r="X269" s="5"/>
    </row>
    <row r="270" spans="1:25" ht="15.6" x14ac:dyDescent="0.3">
      <c r="A270" s="287"/>
      <c r="B270" s="337" t="s">
        <v>156</v>
      </c>
      <c r="C270" s="389"/>
      <c r="D270" s="389"/>
      <c r="E270" s="389"/>
      <c r="F270" s="288"/>
      <c r="G270" s="390"/>
      <c r="H270" s="389"/>
      <c r="I270" s="389"/>
      <c r="J270" s="389"/>
      <c r="K270" s="389"/>
      <c r="L270" s="389"/>
      <c r="M270" s="389"/>
      <c r="N270" s="389"/>
      <c r="O270" s="389"/>
      <c r="P270" s="389"/>
      <c r="Q270" s="389"/>
      <c r="R270" s="337">
        <v>1</v>
      </c>
      <c r="S270" s="390">
        <f t="shared" si="7"/>
        <v>5.8139534883720929E-3</v>
      </c>
      <c r="T270" s="338">
        <v>95</v>
      </c>
      <c r="U270" s="390">
        <f t="shared" si="8"/>
        <v>3.9291918272809992E-3</v>
      </c>
      <c r="V270" s="288"/>
      <c r="W270" s="291"/>
      <c r="X270" s="5"/>
    </row>
    <row r="271" spans="1:25" ht="15.6" x14ac:dyDescent="0.3">
      <c r="A271" s="287"/>
      <c r="B271" s="337" t="s">
        <v>157</v>
      </c>
      <c r="C271" s="389"/>
      <c r="D271" s="389"/>
      <c r="E271" s="389"/>
      <c r="F271" s="288"/>
      <c r="G271" s="390"/>
      <c r="H271" s="389"/>
      <c r="I271" s="389"/>
      <c r="J271" s="389"/>
      <c r="K271" s="389"/>
      <c r="L271" s="389"/>
      <c r="M271" s="389"/>
      <c r="N271" s="389"/>
      <c r="O271" s="389"/>
      <c r="P271" s="389"/>
      <c r="Q271" s="389"/>
      <c r="R271" s="337">
        <v>1</v>
      </c>
      <c r="S271" s="390">
        <f t="shared" si="7"/>
        <v>5.8139534883720929E-3</v>
      </c>
      <c r="T271" s="338">
        <v>82</v>
      </c>
      <c r="U271" s="390">
        <f t="shared" si="8"/>
        <v>3.3915129456530729E-3</v>
      </c>
      <c r="V271" s="288"/>
      <c r="W271" s="291"/>
      <c r="X271" s="5"/>
    </row>
    <row r="272" spans="1:25" ht="15.6" x14ac:dyDescent="0.3">
      <c r="A272" s="287"/>
      <c r="B272" s="337" t="s">
        <v>158</v>
      </c>
      <c r="C272" s="389"/>
      <c r="D272" s="389"/>
      <c r="E272" s="389"/>
      <c r="F272" s="288"/>
      <c r="G272" s="390"/>
      <c r="H272" s="389"/>
      <c r="I272" s="389"/>
      <c r="J272" s="389"/>
      <c r="K272" s="389"/>
      <c r="L272" s="389"/>
      <c r="M272" s="389"/>
      <c r="N272" s="389"/>
      <c r="O272" s="389"/>
      <c r="P272" s="389"/>
      <c r="Q272" s="389"/>
      <c r="R272" s="337">
        <v>1</v>
      </c>
      <c r="S272" s="390">
        <f t="shared" si="7"/>
        <v>5.8139534883720929E-3</v>
      </c>
      <c r="T272" s="338">
        <v>142</v>
      </c>
      <c r="U272" s="390">
        <f t="shared" si="8"/>
        <v>5.8731077839358093E-3</v>
      </c>
      <c r="V272" s="288"/>
      <c r="W272" s="291"/>
      <c r="X272" s="5"/>
    </row>
    <row r="273" spans="1:24" ht="15.6" x14ac:dyDescent="0.3">
      <c r="A273" s="287"/>
      <c r="B273" s="337" t="s">
        <v>159</v>
      </c>
      <c r="C273" s="389"/>
      <c r="D273" s="389"/>
      <c r="E273" s="389"/>
      <c r="F273" s="288"/>
      <c r="G273" s="390"/>
      <c r="H273" s="389"/>
      <c r="I273" s="389"/>
      <c r="J273" s="389"/>
      <c r="K273" s="389"/>
      <c r="L273" s="389"/>
      <c r="M273" s="389"/>
      <c r="N273" s="389"/>
      <c r="O273" s="389"/>
      <c r="P273" s="389"/>
      <c r="Q273" s="389"/>
      <c r="R273" s="337">
        <v>9</v>
      </c>
      <c r="S273" s="390">
        <f t="shared" si="7"/>
        <v>5.232558139534884E-2</v>
      </c>
      <c r="T273" s="338">
        <v>1245</v>
      </c>
      <c r="U273" s="390">
        <f t="shared" si="8"/>
        <v>5.1493092894366779E-2</v>
      </c>
      <c r="V273" s="288"/>
      <c r="W273" s="291"/>
      <c r="X273" s="5"/>
    </row>
    <row r="274" spans="1:24" ht="15.6" x14ac:dyDescent="0.3">
      <c r="A274" s="287"/>
      <c r="B274" s="337" t="s">
        <v>160</v>
      </c>
      <c r="C274" s="389"/>
      <c r="D274" s="389"/>
      <c r="E274" s="389"/>
      <c r="F274" s="288"/>
      <c r="G274" s="390"/>
      <c r="H274" s="389"/>
      <c r="I274" s="389"/>
      <c r="J274" s="389"/>
      <c r="K274" s="389"/>
      <c r="L274" s="389"/>
      <c r="M274" s="389"/>
      <c r="N274" s="389"/>
      <c r="O274" s="389"/>
      <c r="P274" s="389"/>
      <c r="Q274" s="389"/>
      <c r="R274" s="337">
        <v>14</v>
      </c>
      <c r="S274" s="390">
        <f t="shared" si="7"/>
        <v>8.1395348837209308E-2</v>
      </c>
      <c r="T274" s="338">
        <v>2122</v>
      </c>
      <c r="U274" s="390">
        <f t="shared" si="8"/>
        <v>8.7765737447266109E-2</v>
      </c>
      <c r="V274" s="288"/>
      <c r="W274" s="291"/>
      <c r="X274" s="5"/>
    </row>
    <row r="275" spans="1:24" ht="15.6" x14ac:dyDescent="0.3">
      <c r="A275" s="287"/>
      <c r="B275" s="337"/>
      <c r="C275" s="389"/>
      <c r="D275" s="389"/>
      <c r="E275" s="389"/>
      <c r="F275" s="288"/>
      <c r="G275" s="390"/>
      <c r="H275" s="389"/>
      <c r="I275" s="389"/>
      <c r="J275" s="389"/>
      <c r="K275" s="389"/>
      <c r="L275" s="389"/>
      <c r="M275" s="389"/>
      <c r="N275" s="389"/>
      <c r="O275" s="389"/>
      <c r="P275" s="389"/>
      <c r="Q275" s="389"/>
      <c r="R275" s="337"/>
      <c r="S275" s="390"/>
      <c r="T275" s="338"/>
      <c r="U275" s="390"/>
      <c r="V275" s="288"/>
      <c r="W275" s="291"/>
      <c r="X275" s="5"/>
    </row>
    <row r="276" spans="1:24" ht="15.6" x14ac:dyDescent="0.3">
      <c r="A276" s="287"/>
      <c r="B276" s="288"/>
      <c r="C276" s="288"/>
      <c r="D276" s="288"/>
      <c r="E276" s="288"/>
      <c r="F276" s="288"/>
      <c r="G276" s="288"/>
      <c r="H276" s="391"/>
      <c r="I276" s="391"/>
      <c r="J276" s="391"/>
      <c r="K276" s="391"/>
      <c r="L276" s="391"/>
      <c r="M276" s="391"/>
      <c r="N276" s="391"/>
      <c r="O276" s="391"/>
      <c r="P276" s="391"/>
      <c r="Q276" s="391"/>
      <c r="R276" s="337">
        <f>SUM(R267:R275)</f>
        <v>172</v>
      </c>
      <c r="S276" s="390">
        <f>SUM(S267:S275)</f>
        <v>1</v>
      </c>
      <c r="T276" s="338">
        <f>SUM(T267:T275)</f>
        <v>24178</v>
      </c>
      <c r="U276" s="390">
        <f>SUM(U267:U275)</f>
        <v>1</v>
      </c>
      <c r="V276" s="288"/>
      <c r="W276" s="291"/>
      <c r="X276" s="5"/>
    </row>
    <row r="277" spans="1:24" ht="15.6" x14ac:dyDescent="0.3">
      <c r="A277" s="183"/>
      <c r="B277" s="284"/>
      <c r="C277" s="284"/>
      <c r="D277" s="284"/>
      <c r="E277" s="284"/>
      <c r="F277" s="284"/>
      <c r="G277" s="284"/>
      <c r="H277" s="392"/>
      <c r="I277" s="392"/>
      <c r="J277" s="392"/>
      <c r="K277" s="392"/>
      <c r="L277" s="392"/>
      <c r="M277" s="392"/>
      <c r="N277" s="392"/>
      <c r="O277" s="392"/>
      <c r="P277" s="392"/>
      <c r="Q277" s="392"/>
      <c r="R277" s="339"/>
      <c r="S277" s="393"/>
      <c r="T277" s="394"/>
      <c r="U277" s="393"/>
      <c r="V277" s="284"/>
      <c r="W277" s="284"/>
      <c r="X277" s="5"/>
    </row>
    <row r="278" spans="1:24" ht="15.6" x14ac:dyDescent="0.3">
      <c r="A278" s="280"/>
      <c r="B278" s="399" t="s">
        <v>163</v>
      </c>
      <c r="C278" s="281"/>
      <c r="D278" s="281"/>
      <c r="E278" s="281"/>
      <c r="F278" s="281"/>
      <c r="G278" s="281"/>
      <c r="H278" s="283"/>
      <c r="I278" s="283"/>
      <c r="J278" s="283"/>
      <c r="K278" s="283"/>
      <c r="L278" s="283"/>
      <c r="M278" s="283"/>
      <c r="N278" s="283"/>
      <c r="O278" s="283"/>
      <c r="P278" s="283"/>
      <c r="Q278" s="283"/>
      <c r="R278" s="406" t="s">
        <v>102</v>
      </c>
      <c r="S278" s="400" t="s">
        <v>103</v>
      </c>
      <c r="T278" s="406" t="s">
        <v>109</v>
      </c>
      <c r="U278" s="400" t="s">
        <v>103</v>
      </c>
      <c r="V278" s="281"/>
      <c r="W278" s="282"/>
      <c r="X278" s="5"/>
    </row>
    <row r="279" spans="1:24" ht="15.6" x14ac:dyDescent="0.3">
      <c r="A279" s="197"/>
      <c r="B279" s="234" t="s">
        <v>88</v>
      </c>
      <c r="C279" s="231"/>
      <c r="D279" s="231"/>
      <c r="E279" s="231"/>
      <c r="F279" s="231"/>
      <c r="G279" s="231"/>
      <c r="H279" s="255"/>
      <c r="I279" s="255"/>
      <c r="J279" s="255"/>
      <c r="K279" s="255"/>
      <c r="L279" s="255"/>
      <c r="M279" s="255"/>
      <c r="N279" s="255"/>
      <c r="O279" s="255"/>
      <c r="P279" s="255"/>
      <c r="Q279" s="255"/>
      <c r="R279" s="234">
        <v>0</v>
      </c>
      <c r="S279" s="254">
        <v>0</v>
      </c>
      <c r="T279" s="241">
        <v>0</v>
      </c>
      <c r="U279" s="254">
        <v>0</v>
      </c>
      <c r="V279" s="231"/>
      <c r="W279" s="231"/>
      <c r="X279" s="5"/>
    </row>
    <row r="280" spans="1:24" ht="15.6" x14ac:dyDescent="0.3">
      <c r="A280" s="287"/>
      <c r="B280" s="337" t="s">
        <v>89</v>
      </c>
      <c r="C280" s="288"/>
      <c r="D280" s="288"/>
      <c r="E280" s="288"/>
      <c r="F280" s="288"/>
      <c r="G280" s="288"/>
      <c r="H280" s="391"/>
      <c r="I280" s="391"/>
      <c r="J280" s="391"/>
      <c r="K280" s="391"/>
      <c r="L280" s="391"/>
      <c r="M280" s="391"/>
      <c r="N280" s="391"/>
      <c r="O280" s="391"/>
      <c r="P280" s="391"/>
      <c r="Q280" s="391"/>
      <c r="R280" s="337">
        <v>0</v>
      </c>
      <c r="S280" s="390">
        <v>0</v>
      </c>
      <c r="T280" s="338">
        <v>0</v>
      </c>
      <c r="U280" s="390">
        <v>0</v>
      </c>
      <c r="V280" s="288"/>
      <c r="W280" s="291"/>
      <c r="X280" s="5"/>
    </row>
    <row r="281" spans="1:24" ht="15.6" x14ac:dyDescent="0.3">
      <c r="A281" s="287"/>
      <c r="B281" s="337" t="s">
        <v>90</v>
      </c>
      <c r="C281" s="288"/>
      <c r="D281" s="288"/>
      <c r="E281" s="288"/>
      <c r="F281" s="288"/>
      <c r="G281" s="288"/>
      <c r="H281" s="391"/>
      <c r="I281" s="391"/>
      <c r="J281" s="391"/>
      <c r="K281" s="391"/>
      <c r="L281" s="391"/>
      <c r="M281" s="391"/>
      <c r="N281" s="391"/>
      <c r="O281" s="391"/>
      <c r="P281" s="391"/>
      <c r="Q281" s="391"/>
      <c r="R281" s="337">
        <v>0</v>
      </c>
      <c r="S281" s="390">
        <v>0</v>
      </c>
      <c r="T281" s="338">
        <v>0</v>
      </c>
      <c r="U281" s="390">
        <v>0</v>
      </c>
      <c r="V281" s="288"/>
      <c r="W281" s="291"/>
      <c r="X281" s="5"/>
    </row>
    <row r="282" spans="1:24" ht="15.6" x14ac:dyDescent="0.3">
      <c r="A282" s="287"/>
      <c r="B282" s="337" t="s">
        <v>156</v>
      </c>
      <c r="C282" s="288"/>
      <c r="D282" s="288"/>
      <c r="E282" s="288"/>
      <c r="F282" s="288"/>
      <c r="G282" s="288"/>
      <c r="H282" s="391"/>
      <c r="I282" s="391"/>
      <c r="J282" s="391"/>
      <c r="K282" s="391"/>
      <c r="L282" s="391"/>
      <c r="M282" s="391"/>
      <c r="N282" s="391"/>
      <c r="O282" s="391"/>
      <c r="P282" s="391"/>
      <c r="Q282" s="391"/>
      <c r="R282" s="337">
        <v>0</v>
      </c>
      <c r="S282" s="390">
        <v>0</v>
      </c>
      <c r="T282" s="338">
        <v>0</v>
      </c>
      <c r="U282" s="390">
        <v>0</v>
      </c>
      <c r="V282" s="288"/>
      <c r="W282" s="291"/>
      <c r="X282" s="5"/>
    </row>
    <row r="283" spans="1:24" ht="15.6" x14ac:dyDescent="0.3">
      <c r="A283" s="287"/>
      <c r="B283" s="337" t="s">
        <v>157</v>
      </c>
      <c r="C283" s="288"/>
      <c r="D283" s="288"/>
      <c r="E283" s="288"/>
      <c r="F283" s="288"/>
      <c r="G283" s="288"/>
      <c r="H283" s="391"/>
      <c r="I283" s="391"/>
      <c r="J283" s="391"/>
      <c r="K283" s="391"/>
      <c r="L283" s="391"/>
      <c r="M283" s="391"/>
      <c r="N283" s="391"/>
      <c r="O283" s="391"/>
      <c r="P283" s="391"/>
      <c r="Q283" s="391"/>
      <c r="R283" s="337">
        <v>0</v>
      </c>
      <c r="S283" s="390">
        <v>0</v>
      </c>
      <c r="T283" s="338">
        <v>0</v>
      </c>
      <c r="U283" s="390">
        <v>0</v>
      </c>
      <c r="V283" s="288"/>
      <c r="W283" s="291"/>
      <c r="X283" s="5"/>
    </row>
    <row r="284" spans="1:24" ht="15.6" x14ac:dyDescent="0.3">
      <c r="A284" s="287"/>
      <c r="B284" s="337" t="s">
        <v>158</v>
      </c>
      <c r="C284" s="288"/>
      <c r="D284" s="288"/>
      <c r="E284" s="288"/>
      <c r="F284" s="288"/>
      <c r="G284" s="288"/>
      <c r="H284" s="391"/>
      <c r="I284" s="391"/>
      <c r="J284" s="391"/>
      <c r="K284" s="391"/>
      <c r="L284" s="391"/>
      <c r="M284" s="391"/>
      <c r="N284" s="391"/>
      <c r="O284" s="391"/>
      <c r="P284" s="391"/>
      <c r="Q284" s="391"/>
      <c r="R284" s="337">
        <v>0</v>
      </c>
      <c r="S284" s="390">
        <v>0</v>
      </c>
      <c r="T284" s="338">
        <v>0</v>
      </c>
      <c r="U284" s="390">
        <v>0</v>
      </c>
      <c r="V284" s="288"/>
      <c r="W284" s="291"/>
      <c r="X284" s="5"/>
    </row>
    <row r="285" spans="1:24" ht="15.6" x14ac:dyDescent="0.3">
      <c r="A285" s="287"/>
      <c r="B285" s="337" t="s">
        <v>159</v>
      </c>
      <c r="C285" s="288"/>
      <c r="D285" s="288"/>
      <c r="E285" s="288"/>
      <c r="F285" s="288"/>
      <c r="G285" s="288"/>
      <c r="H285" s="391"/>
      <c r="I285" s="391"/>
      <c r="J285" s="391"/>
      <c r="K285" s="391"/>
      <c r="L285" s="391"/>
      <c r="M285" s="391"/>
      <c r="N285" s="391"/>
      <c r="O285" s="391"/>
      <c r="P285" s="391"/>
      <c r="Q285" s="391"/>
      <c r="R285" s="337">
        <v>0</v>
      </c>
      <c r="S285" s="390">
        <v>0</v>
      </c>
      <c r="T285" s="338">
        <v>0</v>
      </c>
      <c r="U285" s="390">
        <v>0</v>
      </c>
      <c r="V285" s="288"/>
      <c r="W285" s="291"/>
      <c r="X285" s="5"/>
    </row>
    <row r="286" spans="1:24" ht="15.6" x14ac:dyDescent="0.3">
      <c r="A286" s="287"/>
      <c r="B286" s="337" t="s">
        <v>160</v>
      </c>
      <c r="C286" s="288"/>
      <c r="D286" s="288"/>
      <c r="E286" s="288"/>
      <c r="F286" s="288"/>
      <c r="G286" s="288"/>
      <c r="H286" s="391"/>
      <c r="I286" s="391"/>
      <c r="J286" s="391"/>
      <c r="K286" s="391"/>
      <c r="L286" s="391"/>
      <c r="M286" s="391"/>
      <c r="N286" s="391"/>
      <c r="O286" s="391"/>
      <c r="P286" s="391"/>
      <c r="Q286" s="391"/>
      <c r="R286" s="337">
        <v>0</v>
      </c>
      <c r="S286" s="390">
        <v>0</v>
      </c>
      <c r="T286" s="338">
        <v>0</v>
      </c>
      <c r="U286" s="390">
        <v>0</v>
      </c>
      <c r="V286" s="288"/>
      <c r="W286" s="291"/>
      <c r="X286" s="5"/>
    </row>
    <row r="287" spans="1:24" ht="15.6" x14ac:dyDescent="0.3">
      <c r="A287" s="287"/>
      <c r="B287" s="337"/>
      <c r="C287" s="288"/>
      <c r="D287" s="288"/>
      <c r="E287" s="288"/>
      <c r="F287" s="288"/>
      <c r="G287" s="288"/>
      <c r="H287" s="391"/>
      <c r="I287" s="391"/>
      <c r="J287" s="391"/>
      <c r="K287" s="391"/>
      <c r="L287" s="391"/>
      <c r="M287" s="391"/>
      <c r="N287" s="391"/>
      <c r="O287" s="391"/>
      <c r="P287" s="391"/>
      <c r="Q287" s="391"/>
      <c r="R287" s="337"/>
      <c r="S287" s="390"/>
      <c r="T287" s="338"/>
      <c r="U287" s="390"/>
      <c r="V287" s="288"/>
      <c r="W287" s="291"/>
      <c r="X287" s="5"/>
    </row>
    <row r="288" spans="1:24" ht="15.6" x14ac:dyDescent="0.3">
      <c r="A288" s="287"/>
      <c r="B288" s="288" t="s">
        <v>114</v>
      </c>
      <c r="C288" s="288"/>
      <c r="D288" s="288"/>
      <c r="E288" s="288"/>
      <c r="F288" s="288"/>
      <c r="G288" s="288"/>
      <c r="H288" s="391"/>
      <c r="I288" s="391"/>
      <c r="J288" s="391"/>
      <c r="K288" s="391"/>
      <c r="L288" s="391"/>
      <c r="M288" s="391"/>
      <c r="N288" s="391"/>
      <c r="O288" s="391"/>
      <c r="P288" s="391"/>
      <c r="Q288" s="391"/>
      <c r="R288" s="337">
        <f>SUM(R279:R286)</f>
        <v>0</v>
      </c>
      <c r="S288" s="390">
        <f>SUM(S279:S287)</f>
        <v>0</v>
      </c>
      <c r="T288" s="338">
        <f>SUM(T279:T286)</f>
        <v>0</v>
      </c>
      <c r="U288" s="390">
        <f>SUM(U279:U287)</f>
        <v>0</v>
      </c>
      <c r="V288" s="288"/>
      <c r="W288" s="291"/>
      <c r="X288" s="5"/>
    </row>
    <row r="289" spans="1:24" ht="15.6" x14ac:dyDescent="0.3">
      <c r="A289" s="287"/>
      <c r="B289" s="288"/>
      <c r="C289" s="288"/>
      <c r="D289" s="288"/>
      <c r="E289" s="288"/>
      <c r="F289" s="288"/>
      <c r="G289" s="288"/>
      <c r="H289" s="391"/>
      <c r="I289" s="391"/>
      <c r="J289" s="391"/>
      <c r="K289" s="391"/>
      <c r="L289" s="391"/>
      <c r="M289" s="391"/>
      <c r="N289" s="391"/>
      <c r="O289" s="391"/>
      <c r="P289" s="391"/>
      <c r="Q289" s="391"/>
      <c r="R289" s="337"/>
      <c r="S289" s="390"/>
      <c r="T289" s="338"/>
      <c r="U289" s="390"/>
      <c r="V289" s="288"/>
      <c r="W289" s="291"/>
      <c r="X289" s="5"/>
    </row>
    <row r="290" spans="1:24" ht="15.6" x14ac:dyDescent="0.3">
      <c r="A290" s="287"/>
      <c r="B290" s="295" t="s">
        <v>164</v>
      </c>
      <c r="C290" s="288"/>
      <c r="D290" s="288"/>
      <c r="E290" s="288"/>
      <c r="F290" s="288"/>
      <c r="G290" s="288"/>
      <c r="H290" s="391"/>
      <c r="I290" s="391"/>
      <c r="J290" s="391"/>
      <c r="K290" s="391"/>
      <c r="L290" s="391"/>
      <c r="M290" s="391"/>
      <c r="N290" s="391"/>
      <c r="O290" s="391"/>
      <c r="P290" s="391"/>
      <c r="Q290" s="391"/>
      <c r="R290" s="407">
        <f>R288+R276+R264</f>
        <v>7744</v>
      </c>
      <c r="S290" s="390"/>
      <c r="T290" s="396">
        <f>+T288+T276+T264</f>
        <v>1078556</v>
      </c>
      <c r="U290" s="390"/>
      <c r="V290" s="288"/>
      <c r="W290" s="291"/>
      <c r="X290" s="5"/>
    </row>
    <row r="291" spans="1:24" ht="15.6" x14ac:dyDescent="0.3">
      <c r="A291" s="183"/>
      <c r="B291" s="284"/>
      <c r="C291" s="284"/>
      <c r="D291" s="284"/>
      <c r="E291" s="284"/>
      <c r="F291" s="284"/>
      <c r="G291" s="284"/>
      <c r="H291" s="392"/>
      <c r="I291" s="392"/>
      <c r="J291" s="392"/>
      <c r="K291" s="392"/>
      <c r="L291" s="392"/>
      <c r="M291" s="392"/>
      <c r="N291" s="392"/>
      <c r="O291" s="392"/>
      <c r="P291" s="392"/>
      <c r="Q291" s="392"/>
      <c r="R291" s="392"/>
      <c r="S291" s="392"/>
      <c r="T291" s="394"/>
      <c r="U291" s="392"/>
      <c r="V291" s="284"/>
      <c r="W291" s="284"/>
      <c r="X291" s="5"/>
    </row>
    <row r="292" spans="1:24" ht="15.6" x14ac:dyDescent="0.3">
      <c r="A292" s="183"/>
      <c r="B292" s="224"/>
      <c r="C292" s="224"/>
      <c r="D292" s="224"/>
      <c r="E292" s="224"/>
      <c r="F292" s="224"/>
      <c r="G292" s="224"/>
      <c r="H292" s="256"/>
      <c r="I292" s="256"/>
      <c r="J292" s="256"/>
      <c r="K292" s="256"/>
      <c r="L292" s="256"/>
      <c r="M292" s="256"/>
      <c r="N292" s="256"/>
      <c r="O292" s="256"/>
      <c r="P292" s="256"/>
      <c r="Q292" s="256"/>
      <c r="R292" s="256"/>
      <c r="S292" s="256"/>
      <c r="T292" s="257"/>
      <c r="U292" s="256"/>
      <c r="V292" s="224"/>
      <c r="W292" s="224"/>
      <c r="X292" s="5"/>
    </row>
    <row r="293" spans="1:24" ht="15.6" x14ac:dyDescent="0.3">
      <c r="A293" s="219"/>
      <c r="B293" s="222" t="s">
        <v>91</v>
      </c>
      <c r="C293" s="224"/>
      <c r="D293" s="224"/>
      <c r="E293" s="224"/>
      <c r="F293" s="228" t="s">
        <v>97</v>
      </c>
      <c r="G293" s="224"/>
      <c r="H293" s="222" t="s">
        <v>99</v>
      </c>
      <c r="I293" s="222"/>
      <c r="J293" s="222"/>
      <c r="K293" s="258"/>
      <c r="L293" s="258"/>
      <c r="M293" s="258"/>
      <c r="N293" s="258"/>
      <c r="O293" s="258"/>
      <c r="P293" s="258"/>
      <c r="Q293" s="258"/>
      <c r="R293" s="258"/>
      <c r="S293" s="258"/>
      <c r="T293" s="258"/>
      <c r="U293" s="258"/>
      <c r="V293" s="258"/>
      <c r="W293" s="258"/>
      <c r="X293" s="5"/>
    </row>
    <row r="294" spans="1:24" ht="15.6" x14ac:dyDescent="0.3">
      <c r="A294" s="219"/>
      <c r="B294" s="258"/>
      <c r="C294" s="224"/>
      <c r="D294" s="224"/>
      <c r="E294" s="224"/>
      <c r="F294" s="224"/>
      <c r="G294" s="224"/>
      <c r="H294" s="224"/>
      <c r="I294" s="224"/>
      <c r="J294" s="224"/>
      <c r="K294" s="258"/>
      <c r="L294" s="258"/>
      <c r="M294" s="258"/>
      <c r="N294" s="258"/>
      <c r="O294" s="258"/>
      <c r="P294" s="258"/>
      <c r="Q294" s="258"/>
      <c r="R294" s="258"/>
      <c r="S294" s="258"/>
      <c r="T294" s="258"/>
      <c r="U294" s="258"/>
      <c r="V294" s="258"/>
      <c r="W294" s="258"/>
      <c r="X294" s="5"/>
    </row>
    <row r="295" spans="1:24" ht="15.6" x14ac:dyDescent="0.3">
      <c r="A295" s="219"/>
      <c r="B295" s="222" t="s">
        <v>338</v>
      </c>
      <c r="C295" s="222"/>
      <c r="D295" s="222"/>
      <c r="E295" s="222"/>
      <c r="F295" s="259" t="s">
        <v>148</v>
      </c>
      <c r="G295" s="222"/>
      <c r="H295" s="222" t="s">
        <v>152</v>
      </c>
      <c r="I295" s="222"/>
      <c r="J295" s="222"/>
      <c r="K295" s="258"/>
      <c r="L295" s="258"/>
      <c r="M295" s="258"/>
      <c r="N295" s="258"/>
      <c r="O295" s="258"/>
      <c r="P295" s="258"/>
      <c r="Q295" s="258"/>
      <c r="R295" s="258"/>
      <c r="S295" s="258"/>
      <c r="T295" s="258"/>
      <c r="U295" s="258"/>
      <c r="V295" s="258"/>
      <c r="W295" s="258"/>
      <c r="X295" s="5"/>
    </row>
    <row r="296" spans="1:24" ht="15.6" x14ac:dyDescent="0.3">
      <c r="A296" s="219"/>
      <c r="B296" s="222" t="s">
        <v>339</v>
      </c>
      <c r="C296" s="222"/>
      <c r="D296" s="222"/>
      <c r="E296" s="222"/>
      <c r="F296" s="259" t="s">
        <v>278</v>
      </c>
      <c r="G296" s="222"/>
      <c r="H296" s="222" t="s">
        <v>279</v>
      </c>
      <c r="I296" s="258"/>
      <c r="J296" s="222"/>
      <c r="K296" s="258"/>
      <c r="L296" s="258"/>
      <c r="M296" s="258"/>
      <c r="N296" s="258"/>
      <c r="O296" s="258"/>
      <c r="P296" s="258"/>
      <c r="Q296" s="258"/>
      <c r="R296" s="258"/>
      <c r="S296" s="258"/>
      <c r="T296" s="258"/>
      <c r="U296" s="258"/>
      <c r="V296" s="258"/>
      <c r="W296" s="258"/>
      <c r="X296" s="5"/>
    </row>
    <row r="297" spans="1:24" ht="15.6" x14ac:dyDescent="0.3">
      <c r="A297" s="219"/>
      <c r="B297" s="222" t="s">
        <v>340</v>
      </c>
      <c r="C297" s="222"/>
      <c r="D297" s="222"/>
      <c r="E297" s="222"/>
      <c r="F297" s="259" t="s">
        <v>147</v>
      </c>
      <c r="G297" s="222"/>
      <c r="H297" s="222" t="s">
        <v>153</v>
      </c>
      <c r="I297" s="222"/>
      <c r="J297" s="222"/>
      <c r="K297" s="258"/>
      <c r="L297" s="258"/>
      <c r="M297" s="258"/>
      <c r="N297" s="258"/>
      <c r="O297" s="258"/>
      <c r="P297" s="258"/>
      <c r="Q297" s="258"/>
      <c r="R297" s="258"/>
      <c r="S297" s="258"/>
      <c r="T297" s="258"/>
      <c r="U297" s="258"/>
      <c r="V297" s="258"/>
      <c r="W297" s="258"/>
      <c r="X297" s="5"/>
    </row>
    <row r="298" spans="1:24" ht="15.6" x14ac:dyDescent="0.3">
      <c r="A298" s="219"/>
      <c r="B298" s="222"/>
      <c r="C298" s="222"/>
      <c r="D298" s="222"/>
      <c r="E298" s="222"/>
      <c r="F298" s="222"/>
      <c r="G298" s="260"/>
      <c r="H298" s="258"/>
      <c r="I298" s="258"/>
      <c r="J298" s="258"/>
      <c r="K298" s="258"/>
      <c r="L298" s="258"/>
      <c r="M298" s="258"/>
      <c r="N298" s="258"/>
      <c r="O298" s="258"/>
      <c r="P298" s="258"/>
      <c r="Q298" s="258"/>
      <c r="R298" s="258"/>
      <c r="S298" s="258"/>
      <c r="T298" s="258"/>
      <c r="U298" s="258"/>
      <c r="V298" s="258"/>
      <c r="W298" s="258"/>
      <c r="X298" s="5"/>
    </row>
    <row r="299" spans="1:24" ht="15.6" x14ac:dyDescent="0.3">
      <c r="A299" s="219"/>
      <c r="B299" s="222"/>
      <c r="C299" s="222"/>
      <c r="D299" s="222"/>
      <c r="E299" s="222"/>
      <c r="F299" s="222"/>
      <c r="G299" s="260"/>
      <c r="H299" s="258"/>
      <c r="I299" s="258"/>
      <c r="J299" s="258"/>
      <c r="K299" s="258"/>
      <c r="L299" s="258"/>
      <c r="M299" s="258"/>
      <c r="N299" s="258"/>
      <c r="O299" s="258"/>
      <c r="P299" s="258"/>
      <c r="Q299" s="258"/>
      <c r="R299" s="258"/>
      <c r="S299" s="258"/>
      <c r="T299" s="258"/>
      <c r="U299" s="258"/>
      <c r="V299" s="258"/>
      <c r="W299" s="258"/>
      <c r="X299" s="5"/>
    </row>
    <row r="300" spans="1:24" ht="18" thickBot="1" x14ac:dyDescent="0.35">
      <c r="A300" s="219"/>
      <c r="B300" s="261" t="str">
        <f>B204</f>
        <v>PM14 INVESTOR REPORT QUARTER ENDING NOVEMBER 2013</v>
      </c>
      <c r="C300" s="222"/>
      <c r="D300" s="222"/>
      <c r="E300" s="222"/>
      <c r="F300" s="222"/>
      <c r="G300" s="260"/>
      <c r="H300" s="258"/>
      <c r="I300" s="258"/>
      <c r="J300" s="258"/>
      <c r="K300" s="258"/>
      <c r="L300" s="258"/>
      <c r="M300" s="258"/>
      <c r="N300" s="258"/>
      <c r="O300" s="258"/>
      <c r="P300" s="258"/>
      <c r="Q300" s="258"/>
      <c r="R300" s="258"/>
      <c r="S300" s="258"/>
      <c r="T300" s="258"/>
      <c r="U300" s="258"/>
      <c r="V300" s="258"/>
      <c r="W300" s="258"/>
      <c r="X300" s="5"/>
    </row>
    <row r="301" spans="1:24" x14ac:dyDescent="0.25">
      <c r="A301" s="100"/>
      <c r="B301" s="100"/>
      <c r="C301" s="100"/>
      <c r="D301" s="100"/>
      <c r="E301" s="100"/>
      <c r="F301" s="100"/>
      <c r="G301" s="100"/>
      <c r="H301" s="100"/>
      <c r="I301" s="100"/>
      <c r="J301" s="100"/>
      <c r="K301" s="100"/>
      <c r="L301" s="100"/>
      <c r="M301" s="100"/>
      <c r="N301" s="100"/>
      <c r="O301" s="100"/>
      <c r="P301" s="100"/>
      <c r="Q301" s="100"/>
      <c r="R301" s="100"/>
      <c r="S301" s="100"/>
      <c r="T301" s="100"/>
      <c r="U301" s="100"/>
      <c r="V301" s="100"/>
      <c r="W301" s="100"/>
    </row>
  </sheetData>
  <hyperlinks>
    <hyperlink ref="P240" r:id="rId1" xr:uid="{00000000-0004-0000-1900-000000000000}"/>
    <hyperlink ref="I9" r:id="rId2" xr:uid="{00000000-0004-0000-19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8" max="14" man="1"/>
    <brk id="204" max="14" man="1"/>
  </rowBreak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theme="6"/>
  </sheetPr>
  <dimension ref="A1:IV301"/>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80"/>
      <c r="B1" s="220" t="s">
        <v>244</v>
      </c>
      <c r="C1" s="181"/>
      <c r="D1" s="181"/>
      <c r="E1" s="181"/>
      <c r="F1" s="181"/>
      <c r="G1" s="181"/>
      <c r="H1" s="181"/>
      <c r="I1" s="181"/>
      <c r="J1" s="181"/>
      <c r="K1" s="181"/>
      <c r="L1" s="181"/>
      <c r="M1" s="181"/>
      <c r="N1" s="181"/>
      <c r="O1" s="181"/>
      <c r="P1" s="181"/>
      <c r="Q1" s="181"/>
      <c r="R1" s="181"/>
      <c r="S1" s="181"/>
      <c r="T1" s="181"/>
      <c r="U1" s="181"/>
      <c r="V1" s="181"/>
      <c r="W1" s="181"/>
      <c r="X1" s="5"/>
    </row>
    <row r="2" spans="1:24" ht="15.6" x14ac:dyDescent="0.3">
      <c r="A2" s="183"/>
      <c r="B2" s="184"/>
      <c r="C2" s="185"/>
      <c r="D2" s="185"/>
      <c r="E2" s="185"/>
      <c r="F2" s="185"/>
      <c r="G2" s="185"/>
      <c r="H2" s="185"/>
      <c r="I2" s="185"/>
      <c r="J2" s="185"/>
      <c r="K2" s="185"/>
      <c r="L2" s="185"/>
      <c r="M2" s="185"/>
      <c r="N2" s="185"/>
      <c r="O2" s="185"/>
      <c r="P2" s="185"/>
      <c r="Q2" s="185"/>
      <c r="R2" s="185"/>
      <c r="S2" s="185"/>
      <c r="T2" s="185"/>
      <c r="U2" s="185"/>
      <c r="V2" s="185"/>
      <c r="W2" s="185"/>
      <c r="X2" s="5"/>
    </row>
    <row r="3" spans="1:24" ht="15.6" x14ac:dyDescent="0.3">
      <c r="A3" s="186"/>
      <c r="B3" s="187" t="s">
        <v>245</v>
      </c>
      <c r="C3" s="185"/>
      <c r="D3" s="185"/>
      <c r="E3" s="185"/>
      <c r="F3" s="185"/>
      <c r="G3" s="185"/>
      <c r="H3" s="185"/>
      <c r="I3" s="185"/>
      <c r="J3" s="185"/>
      <c r="K3" s="185"/>
      <c r="L3" s="185"/>
      <c r="M3" s="185"/>
      <c r="N3" s="185"/>
      <c r="O3" s="185"/>
      <c r="P3" s="185"/>
      <c r="Q3" s="185"/>
      <c r="R3" s="185"/>
      <c r="S3" s="185"/>
      <c r="T3" s="185"/>
      <c r="U3" s="185"/>
      <c r="V3" s="185"/>
      <c r="W3" s="185"/>
      <c r="X3" s="5"/>
    </row>
    <row r="4" spans="1:24" ht="15.6" x14ac:dyDescent="0.3">
      <c r="A4" s="183"/>
      <c r="B4" s="184"/>
      <c r="C4" s="185"/>
      <c r="D4" s="185"/>
      <c r="E4" s="185"/>
      <c r="F4" s="185"/>
      <c r="G4" s="185"/>
      <c r="H4" s="185"/>
      <c r="I4" s="185"/>
      <c r="J4" s="185"/>
      <c r="K4" s="185"/>
      <c r="L4" s="185"/>
      <c r="M4" s="185"/>
      <c r="N4" s="185"/>
      <c r="O4" s="185"/>
      <c r="P4" s="185"/>
      <c r="Q4" s="185"/>
      <c r="R4" s="185"/>
      <c r="S4" s="185"/>
      <c r="T4" s="185"/>
      <c r="U4" s="185"/>
      <c r="V4" s="185"/>
      <c r="W4" s="185"/>
      <c r="X4" s="5"/>
    </row>
    <row r="5" spans="1:24" ht="15.6" x14ac:dyDescent="0.3">
      <c r="A5" s="183"/>
      <c r="B5" s="221" t="s">
        <v>137</v>
      </c>
      <c r="C5" s="185"/>
      <c r="D5" s="185"/>
      <c r="E5" s="185"/>
      <c r="F5" s="185"/>
      <c r="G5" s="185"/>
      <c r="H5" s="185"/>
      <c r="I5" s="185"/>
      <c r="J5" s="185"/>
      <c r="K5" s="185"/>
      <c r="L5" s="185"/>
      <c r="M5" s="185"/>
      <c r="N5" s="185"/>
      <c r="O5" s="185"/>
      <c r="P5" s="185"/>
      <c r="Q5" s="185"/>
      <c r="R5" s="185"/>
      <c r="S5" s="185"/>
      <c r="T5" s="185"/>
      <c r="U5" s="185"/>
      <c r="V5" s="185"/>
      <c r="W5" s="185"/>
      <c r="X5" s="5"/>
    </row>
    <row r="6" spans="1:24" ht="15.6" x14ac:dyDescent="0.3">
      <c r="A6" s="183"/>
      <c r="B6" s="221" t="s">
        <v>139</v>
      </c>
      <c r="C6" s="185"/>
      <c r="D6" s="185"/>
      <c r="E6" s="185"/>
      <c r="F6" s="185"/>
      <c r="G6" s="185"/>
      <c r="H6" s="185"/>
      <c r="I6" s="185"/>
      <c r="J6" s="185"/>
      <c r="K6" s="185"/>
      <c r="L6" s="185"/>
      <c r="M6" s="185"/>
      <c r="N6" s="185"/>
      <c r="O6" s="185"/>
      <c r="P6" s="185"/>
      <c r="Q6" s="185"/>
      <c r="R6" s="185"/>
      <c r="S6" s="185"/>
      <c r="T6" s="185"/>
      <c r="U6" s="185"/>
      <c r="V6" s="185"/>
      <c r="W6" s="185"/>
      <c r="X6" s="5"/>
    </row>
    <row r="7" spans="1:24" ht="15.6" x14ac:dyDescent="0.3">
      <c r="A7" s="183"/>
      <c r="B7" s="221" t="s">
        <v>138</v>
      </c>
      <c r="C7" s="185"/>
      <c r="D7" s="185"/>
      <c r="E7" s="185"/>
      <c r="F7" s="185"/>
      <c r="G7" s="185"/>
      <c r="H7" s="185"/>
      <c r="I7" s="185"/>
      <c r="J7" s="185"/>
      <c r="K7" s="185"/>
      <c r="L7" s="185"/>
      <c r="M7" s="185"/>
      <c r="N7" s="185"/>
      <c r="O7" s="185"/>
      <c r="P7" s="185"/>
      <c r="Q7" s="185"/>
      <c r="R7" s="185"/>
      <c r="S7" s="185"/>
      <c r="T7" s="185"/>
      <c r="U7" s="185"/>
      <c r="V7" s="185"/>
      <c r="W7" s="185"/>
      <c r="X7" s="5"/>
    </row>
    <row r="8" spans="1:24" ht="15.6" x14ac:dyDescent="0.3">
      <c r="A8" s="183"/>
      <c r="B8" s="188"/>
      <c r="C8" s="185"/>
      <c r="D8" s="185"/>
      <c r="E8" s="185"/>
      <c r="F8" s="185"/>
      <c r="G8" s="185"/>
      <c r="H8" s="185"/>
      <c r="I8" s="185"/>
      <c r="J8" s="185"/>
      <c r="K8" s="185"/>
      <c r="L8" s="185"/>
      <c r="M8" s="185"/>
      <c r="N8" s="185"/>
      <c r="O8" s="185"/>
      <c r="P8" s="185"/>
      <c r="Q8" s="185"/>
      <c r="R8" s="185"/>
      <c r="S8" s="185"/>
      <c r="T8" s="185"/>
      <c r="U8" s="185"/>
      <c r="V8" s="185"/>
      <c r="W8" s="185"/>
      <c r="X8" s="5"/>
    </row>
    <row r="9" spans="1:24" ht="17.399999999999999" x14ac:dyDescent="0.3">
      <c r="A9" s="183"/>
      <c r="B9" s="189" t="s">
        <v>166</v>
      </c>
      <c r="C9" s="185"/>
      <c r="D9" s="185"/>
      <c r="E9" s="185"/>
      <c r="F9" s="185"/>
      <c r="G9" s="185"/>
      <c r="H9" s="185"/>
      <c r="I9" s="190" t="s">
        <v>167</v>
      </c>
      <c r="J9" s="185"/>
      <c r="K9" s="185"/>
      <c r="L9" s="190"/>
      <c r="M9" s="185"/>
      <c r="N9" s="190"/>
      <c r="O9" s="185"/>
      <c r="P9" s="185"/>
      <c r="Q9" s="185"/>
      <c r="R9" s="185"/>
      <c r="S9" s="185"/>
      <c r="T9" s="185"/>
      <c r="U9" s="185"/>
      <c r="V9" s="185"/>
      <c r="W9" s="185"/>
      <c r="X9" s="5"/>
    </row>
    <row r="10" spans="1:24" ht="15.6" x14ac:dyDescent="0.3">
      <c r="A10" s="183"/>
      <c r="B10" s="188"/>
      <c r="C10" s="191"/>
      <c r="D10" s="191"/>
      <c r="E10" s="191"/>
      <c r="F10" s="185"/>
      <c r="G10" s="185"/>
      <c r="H10" s="185"/>
      <c r="I10" s="185"/>
      <c r="J10" s="185"/>
      <c r="K10" s="185"/>
      <c r="L10" s="185"/>
      <c r="M10" s="185"/>
      <c r="N10" s="185"/>
      <c r="O10" s="185"/>
      <c r="P10" s="185"/>
      <c r="Q10" s="185"/>
      <c r="R10" s="185"/>
      <c r="S10" s="185"/>
      <c r="T10" s="185"/>
      <c r="U10" s="185"/>
      <c r="V10" s="185"/>
      <c r="W10" s="185"/>
      <c r="X10" s="5"/>
    </row>
    <row r="11" spans="1:24" ht="15.6" x14ac:dyDescent="0.3">
      <c r="A11" s="183"/>
      <c r="B11" s="222" t="s">
        <v>0</v>
      </c>
      <c r="C11" s="185"/>
      <c r="D11" s="185"/>
      <c r="E11" s="185"/>
      <c r="F11" s="185"/>
      <c r="G11" s="185"/>
      <c r="H11" s="185"/>
      <c r="I11" s="185"/>
      <c r="J11" s="185"/>
      <c r="K11" s="185"/>
      <c r="L11" s="185"/>
      <c r="M11" s="185"/>
      <c r="N11" s="185"/>
      <c r="O11" s="185"/>
      <c r="P11" s="185"/>
      <c r="Q11" s="185"/>
      <c r="R11" s="185"/>
      <c r="S11" s="185"/>
      <c r="T11" s="185"/>
      <c r="U11" s="185"/>
      <c r="V11" s="185"/>
      <c r="W11" s="185"/>
      <c r="X11" s="5"/>
    </row>
    <row r="12" spans="1:24" ht="16.2" thickBot="1" x14ac:dyDescent="0.35">
      <c r="A12" s="183"/>
      <c r="B12" s="191"/>
      <c r="C12" s="185"/>
      <c r="D12" s="185"/>
      <c r="E12" s="185"/>
      <c r="F12" s="185"/>
      <c r="G12" s="185"/>
      <c r="H12" s="185"/>
      <c r="I12" s="185"/>
      <c r="J12" s="185"/>
      <c r="K12" s="185"/>
      <c r="L12" s="185"/>
      <c r="M12" s="185"/>
      <c r="N12" s="185"/>
      <c r="O12" s="185"/>
      <c r="P12" s="185"/>
      <c r="Q12" s="185"/>
      <c r="R12" s="185"/>
      <c r="S12" s="185"/>
      <c r="T12" s="185"/>
      <c r="U12" s="185"/>
      <c r="V12" s="185"/>
      <c r="W12" s="185"/>
      <c r="X12" s="5"/>
    </row>
    <row r="13" spans="1:24" ht="15.6" x14ac:dyDescent="0.3">
      <c r="A13" s="180"/>
      <c r="B13" s="181"/>
      <c r="C13" s="181"/>
      <c r="D13" s="181"/>
      <c r="E13" s="181"/>
      <c r="F13" s="181"/>
      <c r="G13" s="181"/>
      <c r="H13" s="181"/>
      <c r="I13" s="181"/>
      <c r="J13" s="181"/>
      <c r="K13" s="181"/>
      <c r="L13" s="181"/>
      <c r="M13" s="181"/>
      <c r="N13" s="181"/>
      <c r="O13" s="181"/>
      <c r="P13" s="181"/>
      <c r="Q13" s="181"/>
      <c r="R13" s="181"/>
      <c r="S13" s="181"/>
      <c r="T13" s="181"/>
      <c r="U13" s="181"/>
      <c r="V13" s="181"/>
      <c r="W13" s="181"/>
      <c r="X13" s="5"/>
    </row>
    <row r="14" spans="1:24" ht="15.6" x14ac:dyDescent="0.3">
      <c r="A14" s="183"/>
      <c r="B14" s="222" t="s">
        <v>1</v>
      </c>
      <c r="C14" s="192"/>
      <c r="D14" s="192"/>
      <c r="E14" s="192"/>
      <c r="F14" s="192"/>
      <c r="G14" s="192"/>
      <c r="H14" s="192"/>
      <c r="I14" s="192"/>
      <c r="J14" s="192"/>
      <c r="K14" s="192"/>
      <c r="L14" s="192"/>
      <c r="M14" s="192"/>
      <c r="N14" s="192"/>
      <c r="O14" s="192"/>
      <c r="P14" s="192"/>
      <c r="Q14" s="192"/>
      <c r="R14" s="224"/>
      <c r="S14" s="224"/>
      <c r="T14" s="224"/>
      <c r="U14" s="224"/>
      <c r="V14" s="225" t="s">
        <v>246</v>
      </c>
      <c r="W14" s="192"/>
      <c r="X14" s="5"/>
    </row>
    <row r="15" spans="1:24" ht="15.6" x14ac:dyDescent="0.3">
      <c r="A15" s="183"/>
      <c r="B15" s="222" t="s">
        <v>2</v>
      </c>
      <c r="C15" s="192"/>
      <c r="D15" s="192"/>
      <c r="E15" s="192"/>
      <c r="F15" s="192"/>
      <c r="G15" s="192"/>
      <c r="H15" s="193"/>
      <c r="I15" s="193"/>
      <c r="J15" s="193"/>
      <c r="K15" s="193"/>
      <c r="L15" s="193"/>
      <c r="M15" s="193"/>
      <c r="N15" s="193"/>
      <c r="O15" s="193"/>
      <c r="P15" s="193"/>
      <c r="Q15" s="193"/>
      <c r="R15" s="226" t="s">
        <v>104</v>
      </c>
      <c r="S15" s="227">
        <v>0.38300000000000001</v>
      </c>
      <c r="T15" s="228" t="s">
        <v>140</v>
      </c>
      <c r="U15" s="227">
        <v>0.61699999999999999</v>
      </c>
      <c r="V15" s="225"/>
      <c r="W15" s="192"/>
      <c r="X15" s="5"/>
    </row>
    <row r="16" spans="1:24" ht="15.6" x14ac:dyDescent="0.3">
      <c r="A16" s="183"/>
      <c r="B16" s="222" t="s">
        <v>3</v>
      </c>
      <c r="C16" s="192"/>
      <c r="D16" s="192"/>
      <c r="E16" s="192"/>
      <c r="F16" s="192"/>
      <c r="G16" s="192"/>
      <c r="H16" s="193"/>
      <c r="I16" s="193"/>
      <c r="J16" s="193"/>
      <c r="K16" s="193"/>
      <c r="L16" s="193"/>
      <c r="M16" s="193"/>
      <c r="N16" s="193"/>
      <c r="O16" s="193"/>
      <c r="P16" s="193"/>
      <c r="Q16" s="193"/>
      <c r="R16" s="226" t="s">
        <v>104</v>
      </c>
      <c r="S16" s="227">
        <v>0.4622</v>
      </c>
      <c r="T16" s="228" t="s">
        <v>140</v>
      </c>
      <c r="U16" s="227">
        <v>0.53779999999999994</v>
      </c>
      <c r="V16" s="225"/>
      <c r="W16" s="192"/>
      <c r="X16" s="5"/>
    </row>
    <row r="17" spans="1:24" ht="15.6" x14ac:dyDescent="0.3">
      <c r="A17" s="183"/>
      <c r="B17" s="222" t="s">
        <v>4</v>
      </c>
      <c r="C17" s="192"/>
      <c r="D17" s="192"/>
      <c r="E17" s="192"/>
      <c r="F17" s="192"/>
      <c r="G17" s="192"/>
      <c r="H17" s="192"/>
      <c r="I17" s="192"/>
      <c r="J17" s="192"/>
      <c r="K17" s="192"/>
      <c r="L17" s="192"/>
      <c r="M17" s="192"/>
      <c r="N17" s="192"/>
      <c r="O17" s="192"/>
      <c r="P17" s="192"/>
      <c r="Q17" s="192"/>
      <c r="R17" s="224"/>
      <c r="S17" s="224"/>
      <c r="T17" s="224"/>
      <c r="U17" s="224"/>
      <c r="V17" s="229">
        <v>39163</v>
      </c>
      <c r="W17" s="192"/>
      <c r="X17" s="5"/>
    </row>
    <row r="18" spans="1:24" ht="15.6" x14ac:dyDescent="0.3">
      <c r="A18" s="183"/>
      <c r="B18" s="222" t="s">
        <v>5</v>
      </c>
      <c r="C18" s="192"/>
      <c r="D18" s="192"/>
      <c r="E18" s="192"/>
      <c r="F18" s="192"/>
      <c r="G18" s="192"/>
      <c r="H18" s="192"/>
      <c r="I18" s="192"/>
      <c r="J18" s="192"/>
      <c r="K18" s="192"/>
      <c r="L18" s="192"/>
      <c r="M18" s="192"/>
      <c r="N18" s="192"/>
      <c r="O18" s="192"/>
      <c r="P18" s="192"/>
      <c r="Q18" s="192"/>
      <c r="R18" s="224"/>
      <c r="S18" s="224"/>
      <c r="T18" s="224"/>
      <c r="U18" s="224"/>
      <c r="V18" s="229">
        <v>41722</v>
      </c>
      <c r="W18" s="192"/>
      <c r="X18" s="5"/>
    </row>
    <row r="19" spans="1:24" ht="15.6" x14ac:dyDescent="0.3">
      <c r="A19" s="183"/>
      <c r="B19" s="185"/>
      <c r="C19" s="185"/>
      <c r="D19" s="185"/>
      <c r="E19" s="185"/>
      <c r="F19" s="185"/>
      <c r="G19" s="185"/>
      <c r="H19" s="185"/>
      <c r="I19" s="185"/>
      <c r="J19" s="185"/>
      <c r="K19" s="185"/>
      <c r="L19" s="185"/>
      <c r="M19" s="185"/>
      <c r="N19" s="185"/>
      <c r="O19" s="185"/>
      <c r="P19" s="185"/>
      <c r="Q19" s="185"/>
      <c r="R19" s="185"/>
      <c r="S19" s="185"/>
      <c r="T19" s="185"/>
      <c r="U19" s="185"/>
      <c r="V19" s="194"/>
      <c r="W19" s="185"/>
      <c r="X19" s="5"/>
    </row>
    <row r="20" spans="1:24" ht="15.6" x14ac:dyDescent="0.3">
      <c r="A20" s="183"/>
      <c r="B20" s="230" t="s">
        <v>6</v>
      </c>
      <c r="C20" s="185"/>
      <c r="D20" s="185"/>
      <c r="E20" s="185"/>
      <c r="F20" s="185"/>
      <c r="G20" s="185"/>
      <c r="H20" s="185"/>
      <c r="I20" s="185"/>
      <c r="J20" s="185"/>
      <c r="K20" s="185"/>
      <c r="L20" s="185"/>
      <c r="M20" s="185"/>
      <c r="N20" s="185"/>
      <c r="O20" s="185"/>
      <c r="P20" s="185"/>
      <c r="Q20" s="185"/>
      <c r="R20" s="185"/>
      <c r="S20" s="185"/>
      <c r="T20" s="223" t="s">
        <v>105</v>
      </c>
      <c r="U20" s="185"/>
      <c r="V20" s="182"/>
      <c r="W20" s="185"/>
      <c r="X20" s="5"/>
    </row>
    <row r="21" spans="1:24" ht="15.6" x14ac:dyDescent="0.3">
      <c r="A21" s="183"/>
      <c r="B21" s="185"/>
      <c r="C21" s="185"/>
      <c r="D21" s="185"/>
      <c r="E21" s="185"/>
      <c r="F21" s="185"/>
      <c r="G21" s="185"/>
      <c r="H21" s="185"/>
      <c r="I21" s="185"/>
      <c r="J21" s="185"/>
      <c r="K21" s="185"/>
      <c r="L21" s="185"/>
      <c r="M21" s="185"/>
      <c r="N21" s="185"/>
      <c r="O21" s="185"/>
      <c r="P21" s="185"/>
      <c r="Q21" s="185"/>
      <c r="R21" s="185"/>
      <c r="S21" s="185"/>
      <c r="T21" s="185"/>
      <c r="U21" s="185"/>
      <c r="V21" s="196"/>
      <c r="W21" s="185"/>
      <c r="X21" s="5"/>
    </row>
    <row r="22" spans="1:24" ht="15.6" x14ac:dyDescent="0.3">
      <c r="A22" s="262"/>
      <c r="B22" s="263"/>
      <c r="C22" s="264"/>
      <c r="D22" s="264" t="s">
        <v>177</v>
      </c>
      <c r="E22" s="264"/>
      <c r="F22" s="264" t="s">
        <v>178</v>
      </c>
      <c r="G22" s="264"/>
      <c r="H22" s="264" t="s">
        <v>179</v>
      </c>
      <c r="I22" s="264"/>
      <c r="J22" s="264" t="s">
        <v>220</v>
      </c>
      <c r="K22" s="264"/>
      <c r="L22" s="264" t="s">
        <v>180</v>
      </c>
      <c r="M22" s="264"/>
      <c r="N22" s="264" t="s">
        <v>181</v>
      </c>
      <c r="O22" s="264"/>
      <c r="P22" s="264" t="s">
        <v>221</v>
      </c>
      <c r="Q22" s="264"/>
      <c r="R22" s="264" t="s">
        <v>182</v>
      </c>
      <c r="S22" s="266"/>
      <c r="T22" s="266"/>
      <c r="U22" s="267"/>
      <c r="V22" s="267"/>
      <c r="W22" s="263"/>
      <c r="X22" s="5"/>
    </row>
    <row r="23" spans="1:24" ht="15.6" x14ac:dyDescent="0.3">
      <c r="A23" s="287"/>
      <c r="B23" s="288" t="s">
        <v>7</v>
      </c>
      <c r="C23" s="289"/>
      <c r="D23" s="289" t="s">
        <v>213</v>
      </c>
      <c r="E23" s="289"/>
      <c r="F23" s="289" t="s">
        <v>141</v>
      </c>
      <c r="G23" s="289"/>
      <c r="H23" s="289" t="s">
        <v>141</v>
      </c>
      <c r="I23" s="289"/>
      <c r="J23" s="289" t="s">
        <v>141</v>
      </c>
      <c r="K23" s="289"/>
      <c r="L23" s="289" t="s">
        <v>183</v>
      </c>
      <c r="M23" s="289"/>
      <c r="N23" s="289" t="s">
        <v>183</v>
      </c>
      <c r="O23" s="289"/>
      <c r="P23" s="289" t="s">
        <v>142</v>
      </c>
      <c r="Q23" s="289"/>
      <c r="R23" s="289" t="s">
        <v>142</v>
      </c>
      <c r="S23" s="289"/>
      <c r="T23" s="289"/>
      <c r="U23" s="290"/>
      <c r="V23" s="290"/>
      <c r="W23" s="291"/>
      <c r="X23" s="5"/>
    </row>
    <row r="24" spans="1:24" ht="15.6" x14ac:dyDescent="0.3">
      <c r="A24" s="287"/>
      <c r="B24" s="288" t="s">
        <v>8</v>
      </c>
      <c r="C24" s="289"/>
      <c r="D24" s="289" t="s">
        <v>214</v>
      </c>
      <c r="E24" s="289"/>
      <c r="F24" s="289" t="s">
        <v>143</v>
      </c>
      <c r="G24" s="289"/>
      <c r="H24" s="289" t="s">
        <v>143</v>
      </c>
      <c r="I24" s="289"/>
      <c r="J24" s="289" t="s">
        <v>143</v>
      </c>
      <c r="K24" s="289"/>
      <c r="L24" s="289" t="s">
        <v>165</v>
      </c>
      <c r="M24" s="289"/>
      <c r="N24" s="289" t="s">
        <v>165</v>
      </c>
      <c r="O24" s="289"/>
      <c r="P24" s="289" t="s">
        <v>144</v>
      </c>
      <c r="Q24" s="289"/>
      <c r="R24" s="289" t="s">
        <v>144</v>
      </c>
      <c r="S24" s="289"/>
      <c r="T24" s="289"/>
      <c r="U24" s="290"/>
      <c r="V24" s="290"/>
      <c r="W24" s="291"/>
      <c r="X24" s="5"/>
    </row>
    <row r="25" spans="1:24" ht="15.6" x14ac:dyDescent="0.3">
      <c r="A25" s="292"/>
      <c r="B25" s="288" t="s">
        <v>190</v>
      </c>
      <c r="C25" s="398"/>
      <c r="D25" s="289" t="s">
        <v>215</v>
      </c>
      <c r="E25" s="289"/>
      <c r="F25" s="289" t="s">
        <v>143</v>
      </c>
      <c r="G25" s="289"/>
      <c r="H25" s="289" t="s">
        <v>143</v>
      </c>
      <c r="I25" s="289"/>
      <c r="J25" s="289" t="s">
        <v>143</v>
      </c>
      <c r="K25" s="289"/>
      <c r="L25" s="289" t="s">
        <v>293</v>
      </c>
      <c r="M25" s="289"/>
      <c r="N25" s="289" t="s">
        <v>293</v>
      </c>
      <c r="O25" s="289"/>
      <c r="P25" s="289" t="s">
        <v>144</v>
      </c>
      <c r="Q25" s="289"/>
      <c r="R25" s="289" t="s">
        <v>144</v>
      </c>
      <c r="S25" s="398"/>
      <c r="T25" s="289"/>
      <c r="U25" s="290"/>
      <c r="V25" s="290"/>
      <c r="W25" s="291"/>
      <c r="X25" s="5"/>
    </row>
    <row r="26" spans="1:24" ht="15.6" x14ac:dyDescent="0.3">
      <c r="A26" s="292"/>
      <c r="B26" s="295" t="s">
        <v>9</v>
      </c>
      <c r="C26" s="398"/>
      <c r="D26" s="398" t="s">
        <v>332</v>
      </c>
      <c r="E26" s="398"/>
      <c r="F26" s="398" t="s">
        <v>333</v>
      </c>
      <c r="G26" s="398"/>
      <c r="H26" s="398" t="s">
        <v>333</v>
      </c>
      <c r="I26" s="398"/>
      <c r="J26" s="398" t="s">
        <v>333</v>
      </c>
      <c r="K26" s="398"/>
      <c r="L26" s="398" t="s">
        <v>334</v>
      </c>
      <c r="M26" s="398"/>
      <c r="N26" s="398" t="s">
        <v>334</v>
      </c>
      <c r="O26" s="398"/>
      <c r="P26" s="398" t="s">
        <v>335</v>
      </c>
      <c r="Q26" s="398"/>
      <c r="R26" s="398" t="s">
        <v>335</v>
      </c>
      <c r="S26" s="398"/>
      <c r="T26" s="289"/>
      <c r="U26" s="290"/>
      <c r="V26" s="290"/>
      <c r="W26" s="291"/>
      <c r="X26" s="5"/>
    </row>
    <row r="27" spans="1:24" ht="15.6" x14ac:dyDescent="0.3">
      <c r="A27" s="287"/>
      <c r="B27" s="295" t="s">
        <v>191</v>
      </c>
      <c r="C27" s="289"/>
      <c r="D27" s="398" t="s">
        <v>317</v>
      </c>
      <c r="E27" s="398"/>
      <c r="F27" s="398" t="s">
        <v>143</v>
      </c>
      <c r="G27" s="398"/>
      <c r="H27" s="398" t="s">
        <v>143</v>
      </c>
      <c r="I27" s="398"/>
      <c r="J27" s="398" t="s">
        <v>143</v>
      </c>
      <c r="K27" s="398"/>
      <c r="L27" s="398" t="s">
        <v>319</v>
      </c>
      <c r="M27" s="398"/>
      <c r="N27" s="398" t="s">
        <v>319</v>
      </c>
      <c r="O27" s="398"/>
      <c r="P27" s="398" t="s">
        <v>320</v>
      </c>
      <c r="Q27" s="398"/>
      <c r="R27" s="398" t="s">
        <v>320</v>
      </c>
      <c r="S27" s="289"/>
      <c r="T27" s="296"/>
      <c r="U27" s="290"/>
      <c r="V27" s="290"/>
      <c r="W27" s="291"/>
      <c r="X27" s="5"/>
    </row>
    <row r="28" spans="1:24" ht="15.6" x14ac:dyDescent="0.3">
      <c r="A28" s="287"/>
      <c r="B28" s="295" t="s">
        <v>192</v>
      </c>
      <c r="C28" s="289"/>
      <c r="D28" s="398" t="s">
        <v>314</v>
      </c>
      <c r="E28" s="398"/>
      <c r="F28" s="398" t="s">
        <v>143</v>
      </c>
      <c r="G28" s="398"/>
      <c r="H28" s="398" t="s">
        <v>143</v>
      </c>
      <c r="I28" s="398"/>
      <c r="J28" s="398" t="s">
        <v>143</v>
      </c>
      <c r="K28" s="398"/>
      <c r="L28" s="398" t="s">
        <v>293</v>
      </c>
      <c r="M28" s="398"/>
      <c r="N28" s="398" t="s">
        <v>293</v>
      </c>
      <c r="O28" s="398"/>
      <c r="P28" s="398" t="s">
        <v>337</v>
      </c>
      <c r="Q28" s="398"/>
      <c r="R28" s="398" t="s">
        <v>337</v>
      </c>
      <c r="S28" s="289"/>
      <c r="T28" s="296"/>
      <c r="U28" s="290"/>
      <c r="V28" s="290"/>
      <c r="W28" s="291"/>
      <c r="X28" s="5"/>
    </row>
    <row r="29" spans="1:24" ht="15.6" x14ac:dyDescent="0.3">
      <c r="A29" s="287"/>
      <c r="B29" s="288" t="s">
        <v>10</v>
      </c>
      <c r="C29" s="298"/>
      <c r="D29" s="289" t="s">
        <v>249</v>
      </c>
      <c r="E29" s="289"/>
      <c r="F29" s="296" t="s">
        <v>250</v>
      </c>
      <c r="G29" s="289"/>
      <c r="H29" s="289" t="s">
        <v>251</v>
      </c>
      <c r="I29" s="289"/>
      <c r="J29" s="289" t="s">
        <v>253</v>
      </c>
      <c r="K29" s="289"/>
      <c r="L29" s="289" t="s">
        <v>254</v>
      </c>
      <c r="M29" s="289"/>
      <c r="N29" s="289" t="s">
        <v>255</v>
      </c>
      <c r="O29" s="289"/>
      <c r="P29" s="289" t="s">
        <v>256</v>
      </c>
      <c r="Q29" s="289"/>
      <c r="R29" s="289" t="s">
        <v>257</v>
      </c>
      <c r="S29" s="299"/>
      <c r="T29" s="299"/>
      <c r="U29" s="300"/>
      <c r="V29" s="299"/>
      <c r="W29" s="301"/>
      <c r="X29" s="5"/>
    </row>
    <row r="30" spans="1:24" ht="15.6" x14ac:dyDescent="0.3">
      <c r="A30" s="287"/>
      <c r="B30" s="288" t="s">
        <v>10</v>
      </c>
      <c r="C30" s="298"/>
      <c r="D30" s="289" t="s">
        <v>248</v>
      </c>
      <c r="E30" s="289"/>
      <c r="F30" s="296" t="s">
        <v>118</v>
      </c>
      <c r="G30" s="289"/>
      <c r="H30" s="289" t="s">
        <v>118</v>
      </c>
      <c r="I30" s="289"/>
      <c r="J30" s="289" t="s">
        <v>252</v>
      </c>
      <c r="K30" s="289"/>
      <c r="L30" s="289" t="s">
        <v>118</v>
      </c>
      <c r="M30" s="289"/>
      <c r="N30" s="289" t="s">
        <v>118</v>
      </c>
      <c r="O30" s="289"/>
      <c r="P30" s="289" t="s">
        <v>118</v>
      </c>
      <c r="Q30" s="289"/>
      <c r="R30" s="289" t="s">
        <v>118</v>
      </c>
      <c r="S30" s="299"/>
      <c r="T30" s="299"/>
      <c r="U30" s="300"/>
      <c r="V30" s="299"/>
      <c r="W30" s="301"/>
      <c r="X30" s="5"/>
    </row>
    <row r="31" spans="1:24" ht="15.6" x14ac:dyDescent="0.3">
      <c r="A31" s="292"/>
      <c r="B31" s="288" t="s">
        <v>133</v>
      </c>
      <c r="C31" s="302"/>
      <c r="D31" s="303">
        <v>1500000</v>
      </c>
      <c r="E31" s="298"/>
      <c r="F31" s="299">
        <v>125000</v>
      </c>
      <c r="G31" s="299"/>
      <c r="H31" s="304">
        <v>246000</v>
      </c>
      <c r="I31" s="304"/>
      <c r="J31" s="303">
        <v>400000</v>
      </c>
      <c r="K31" s="299"/>
      <c r="L31" s="299">
        <v>51900</v>
      </c>
      <c r="M31" s="299"/>
      <c r="N31" s="304">
        <v>88800</v>
      </c>
      <c r="O31" s="299"/>
      <c r="P31" s="299">
        <v>20000</v>
      </c>
      <c r="Q31" s="299"/>
      <c r="R31" s="304">
        <v>135500</v>
      </c>
      <c r="S31" s="305"/>
      <c r="T31" s="305"/>
      <c r="U31" s="306"/>
      <c r="V31" s="305"/>
      <c r="W31" s="301"/>
      <c r="X31" s="5"/>
    </row>
    <row r="32" spans="1:24" ht="15.6" x14ac:dyDescent="0.3">
      <c r="A32" s="287"/>
      <c r="B32" s="288" t="s">
        <v>132</v>
      </c>
      <c r="C32" s="298"/>
      <c r="D32" s="303">
        <f>D31*D38</f>
        <v>1003883.3999999999</v>
      </c>
      <c r="E32" s="298"/>
      <c r="F32" s="299">
        <f>F31*F38</f>
        <v>83657.099999999991</v>
      </c>
      <c r="G32" s="299"/>
      <c r="H32" s="304">
        <f>H31*H38</f>
        <v>164637.1728</v>
      </c>
      <c r="I32" s="304"/>
      <c r="J32" s="303">
        <f>J31*J38</f>
        <v>267702.24</v>
      </c>
      <c r="K32" s="299"/>
      <c r="L32" s="299">
        <f>+L31</f>
        <v>51900</v>
      </c>
      <c r="M32" s="299"/>
      <c r="N32" s="304">
        <f>+N31</f>
        <v>88800</v>
      </c>
      <c r="O32" s="299"/>
      <c r="P32" s="299">
        <f>+P31</f>
        <v>20000</v>
      </c>
      <c r="Q32" s="299"/>
      <c r="R32" s="304">
        <f>+R31</f>
        <v>135500</v>
      </c>
      <c r="S32" s="299"/>
      <c r="T32" s="299"/>
      <c r="U32" s="300"/>
      <c r="V32" s="299"/>
      <c r="W32" s="301"/>
      <c r="X32" s="5"/>
    </row>
    <row r="33" spans="1:24" ht="15.6" x14ac:dyDescent="0.3">
      <c r="A33" s="287"/>
      <c r="B33" s="295" t="s">
        <v>134</v>
      </c>
      <c r="C33" s="298"/>
      <c r="D33" s="307">
        <f>D37*D31</f>
        <v>994178.1</v>
      </c>
      <c r="E33" s="302"/>
      <c r="F33" s="305">
        <f>F37*F31</f>
        <v>82848.324999999997</v>
      </c>
      <c r="G33" s="305"/>
      <c r="H33" s="308">
        <f>H31*H37</f>
        <v>163045.5036</v>
      </c>
      <c r="I33" s="308"/>
      <c r="J33" s="307">
        <f>J37*J31</f>
        <v>265114.15999999997</v>
      </c>
      <c r="K33" s="305"/>
      <c r="L33" s="305">
        <f>L31*L37</f>
        <v>51900</v>
      </c>
      <c r="M33" s="305"/>
      <c r="N33" s="308">
        <f>N31*N37</f>
        <v>88800</v>
      </c>
      <c r="O33" s="305"/>
      <c r="P33" s="305">
        <f>P31*P37</f>
        <v>20000</v>
      </c>
      <c r="Q33" s="305"/>
      <c r="R33" s="308">
        <f>R31*R37</f>
        <v>135500</v>
      </c>
      <c r="S33" s="299"/>
      <c r="T33" s="299"/>
      <c r="U33" s="300"/>
      <c r="V33" s="299"/>
      <c r="W33" s="301"/>
      <c r="X33" s="5"/>
    </row>
    <row r="34" spans="1:24" ht="15.6" x14ac:dyDescent="0.3">
      <c r="A34" s="292"/>
      <c r="B34" s="288" t="s">
        <v>296</v>
      </c>
      <c r="C34" s="302"/>
      <c r="D34" s="299">
        <v>775194</v>
      </c>
      <c r="E34" s="298"/>
      <c r="F34" s="299">
        <v>125000</v>
      </c>
      <c r="G34" s="299"/>
      <c r="H34" s="299">
        <v>168148</v>
      </c>
      <c r="I34" s="299"/>
      <c r="J34" s="299">
        <v>206718</v>
      </c>
      <c r="K34" s="299"/>
      <c r="L34" s="299">
        <v>51900</v>
      </c>
      <c r="M34" s="299"/>
      <c r="N34" s="299">
        <v>60697</v>
      </c>
      <c r="O34" s="299"/>
      <c r="P34" s="299">
        <v>20000</v>
      </c>
      <c r="Q34" s="299"/>
      <c r="R34" s="299">
        <v>92618</v>
      </c>
      <c r="S34" s="305"/>
      <c r="T34" s="305"/>
      <c r="U34" s="306"/>
      <c r="V34" s="299">
        <f>SUM(C34:R34)</f>
        <v>1500275</v>
      </c>
      <c r="W34" s="301"/>
      <c r="X34" s="5"/>
    </row>
    <row r="35" spans="1:24" ht="15.6" x14ac:dyDescent="0.3">
      <c r="A35" s="292"/>
      <c r="B35" s="288" t="s">
        <v>297</v>
      </c>
      <c r="C35" s="302"/>
      <c r="D35" s="299">
        <f>D34*D38</f>
        <v>518802.92558639997</v>
      </c>
      <c r="E35" s="298"/>
      <c r="F35" s="299">
        <f>F34*F38</f>
        <v>83657.099999999991</v>
      </c>
      <c r="G35" s="299"/>
      <c r="H35" s="299">
        <f>H34*H38</f>
        <v>112534.19240639999</v>
      </c>
      <c r="I35" s="299"/>
      <c r="J35" s="299">
        <f>J34*J38</f>
        <v>138347.17912079999</v>
      </c>
      <c r="K35" s="299"/>
      <c r="L35" s="299">
        <f>+L34</f>
        <v>51900</v>
      </c>
      <c r="M35" s="299"/>
      <c r="N35" s="299">
        <f>+N34</f>
        <v>60697</v>
      </c>
      <c r="O35" s="299"/>
      <c r="P35" s="299">
        <f>+P34</f>
        <v>20000</v>
      </c>
      <c r="Q35" s="299"/>
      <c r="R35" s="299">
        <f>+R34</f>
        <v>92618</v>
      </c>
      <c r="S35" s="299"/>
      <c r="T35" s="299"/>
      <c r="U35" s="300"/>
      <c r="V35" s="299">
        <f>SUM(C35:R35)</f>
        <v>1078556.3971135998</v>
      </c>
      <c r="W35" s="301"/>
      <c r="X35" s="5"/>
    </row>
    <row r="36" spans="1:24" ht="15.6" x14ac:dyDescent="0.3">
      <c r="A36" s="292"/>
      <c r="B36" s="295" t="s">
        <v>298</v>
      </c>
      <c r="C36" s="302"/>
      <c r="D36" s="305">
        <f>D34*D37</f>
        <v>513787.26536759996</v>
      </c>
      <c r="E36" s="302"/>
      <c r="F36" s="305">
        <f>F34*F37</f>
        <v>82848.324999999997</v>
      </c>
      <c r="G36" s="305"/>
      <c r="H36" s="305">
        <f>H34*H37</f>
        <v>111446.2412168</v>
      </c>
      <c r="I36" s="305"/>
      <c r="J36" s="305">
        <f>J34*J37</f>
        <v>137009.67231719999</v>
      </c>
      <c r="K36" s="305"/>
      <c r="L36" s="305">
        <f>L34*L37</f>
        <v>51900</v>
      </c>
      <c r="M36" s="305"/>
      <c r="N36" s="305">
        <f>N34*N37</f>
        <v>60697</v>
      </c>
      <c r="O36" s="305"/>
      <c r="P36" s="305">
        <f>P34*P37</f>
        <v>20000</v>
      </c>
      <c r="Q36" s="305"/>
      <c r="R36" s="305">
        <f>R34*R37</f>
        <v>92618</v>
      </c>
      <c r="S36" s="328"/>
      <c r="T36" s="328"/>
      <c r="U36" s="300"/>
      <c r="V36" s="305">
        <f>SUM(C36:R36)-1</f>
        <v>1070305.5039015999</v>
      </c>
      <c r="W36" s="301"/>
      <c r="X36" s="5"/>
    </row>
    <row r="37" spans="1:24" ht="15.6" x14ac:dyDescent="0.3">
      <c r="A37" s="287"/>
      <c r="B37" s="313" t="s">
        <v>130</v>
      </c>
      <c r="C37" s="314"/>
      <c r="D37" s="315">
        <v>0.66278539999999997</v>
      </c>
      <c r="E37" s="315"/>
      <c r="F37" s="315">
        <v>0.6627866</v>
      </c>
      <c r="G37" s="315"/>
      <c r="H37" s="315">
        <v>0.6627866</v>
      </c>
      <c r="I37" s="315"/>
      <c r="J37" s="315">
        <v>0.66278539999999997</v>
      </c>
      <c r="K37" s="315"/>
      <c r="L37" s="315">
        <v>1</v>
      </c>
      <c r="M37" s="315"/>
      <c r="N37" s="315">
        <v>1</v>
      </c>
      <c r="O37" s="315"/>
      <c r="P37" s="315">
        <v>1</v>
      </c>
      <c r="Q37" s="315"/>
      <c r="R37" s="315">
        <v>1</v>
      </c>
      <c r="S37" s="316"/>
      <c r="T37" s="316"/>
      <c r="U37" s="317"/>
      <c r="V37" s="317"/>
      <c r="W37" s="318"/>
      <c r="X37" s="5"/>
    </row>
    <row r="38" spans="1:24" ht="15.6" x14ac:dyDescent="0.3">
      <c r="A38" s="287"/>
      <c r="B38" s="313" t="s">
        <v>131</v>
      </c>
      <c r="C38" s="314"/>
      <c r="D38" s="315">
        <v>0.66925559999999995</v>
      </c>
      <c r="E38" s="315"/>
      <c r="F38" s="315">
        <v>0.66925679999999999</v>
      </c>
      <c r="G38" s="315"/>
      <c r="H38" s="315">
        <v>0.66925679999999999</v>
      </c>
      <c r="I38" s="315"/>
      <c r="J38" s="315">
        <v>0.66925559999999995</v>
      </c>
      <c r="K38" s="315"/>
      <c r="L38" s="315">
        <v>1</v>
      </c>
      <c r="M38" s="315"/>
      <c r="N38" s="315">
        <v>1</v>
      </c>
      <c r="O38" s="315"/>
      <c r="P38" s="315">
        <v>1</v>
      </c>
      <c r="Q38" s="315"/>
      <c r="R38" s="315">
        <v>1</v>
      </c>
      <c r="S38" s="319"/>
      <c r="T38" s="320"/>
      <c r="U38" s="317"/>
      <c r="V38" s="319"/>
      <c r="W38" s="318"/>
      <c r="X38" s="5"/>
    </row>
    <row r="39" spans="1:24" ht="15.6" x14ac:dyDescent="0.3">
      <c r="A39" s="287"/>
      <c r="B39" s="288" t="s">
        <v>11</v>
      </c>
      <c r="C39" s="288"/>
      <c r="D39" s="296" t="s">
        <v>321</v>
      </c>
      <c r="E39" s="288"/>
      <c r="F39" s="296" t="s">
        <v>231</v>
      </c>
      <c r="G39" s="296"/>
      <c r="H39" s="296" t="s">
        <v>231</v>
      </c>
      <c r="I39" s="296"/>
      <c r="J39" s="296" t="s">
        <v>231</v>
      </c>
      <c r="K39" s="296"/>
      <c r="L39" s="296" t="s">
        <v>265</v>
      </c>
      <c r="M39" s="296"/>
      <c r="N39" s="296" t="s">
        <v>265</v>
      </c>
      <c r="O39" s="296"/>
      <c r="P39" s="296" t="s">
        <v>266</v>
      </c>
      <c r="Q39" s="296"/>
      <c r="R39" s="296" t="s">
        <v>266</v>
      </c>
      <c r="S39" s="321"/>
      <c r="T39" s="322"/>
      <c r="U39" s="290"/>
      <c r="V39" s="290"/>
      <c r="W39" s="291"/>
      <c r="X39" s="5"/>
    </row>
    <row r="40" spans="1:24" ht="15.6" x14ac:dyDescent="0.3">
      <c r="A40" s="287"/>
      <c r="B40" s="288" t="s">
        <v>12</v>
      </c>
      <c r="C40" s="288"/>
      <c r="D40" s="322">
        <v>3.545E-3</v>
      </c>
      <c r="E40" s="288"/>
      <c r="F40" s="322">
        <v>7.2519000000000004E-3</v>
      </c>
      <c r="G40" s="321"/>
      <c r="H40" s="322">
        <v>4.7699999999999999E-3</v>
      </c>
      <c r="I40" s="322"/>
      <c r="J40" s="322">
        <v>4.4285000000000001E-3</v>
      </c>
      <c r="K40" s="321"/>
      <c r="L40" s="322">
        <v>8.8518999999999994E-3</v>
      </c>
      <c r="M40" s="321"/>
      <c r="N40" s="322">
        <v>6.3699999999999998E-3</v>
      </c>
      <c r="O40" s="321"/>
      <c r="P40" s="322">
        <v>1.2851899999999999E-2</v>
      </c>
      <c r="Q40" s="321"/>
      <c r="R40" s="322">
        <v>1.0370000000000001E-2</v>
      </c>
      <c r="S40" s="321"/>
      <c r="T40" s="322"/>
      <c r="U40" s="290"/>
      <c r="V40" s="296"/>
      <c r="W40" s="291"/>
      <c r="X40" s="5"/>
    </row>
    <row r="41" spans="1:24" ht="15.6" x14ac:dyDescent="0.3">
      <c r="A41" s="287"/>
      <c r="B41" s="288" t="s">
        <v>13</v>
      </c>
      <c r="C41" s="288"/>
      <c r="D41" s="322">
        <v>3.6770000000000001E-3</v>
      </c>
      <c r="E41" s="288"/>
      <c r="F41" s="322">
        <v>7.1738000000000001E-3</v>
      </c>
      <c r="G41" s="321"/>
      <c r="H41" s="322">
        <v>4.2399999999999998E-3</v>
      </c>
      <c r="I41" s="322"/>
      <c r="J41" s="322">
        <v>4.5440000000000003E-3</v>
      </c>
      <c r="K41" s="321"/>
      <c r="L41" s="322">
        <v>8.7738E-3</v>
      </c>
      <c r="M41" s="321"/>
      <c r="N41" s="322">
        <v>5.8399999999999997E-3</v>
      </c>
      <c r="O41" s="321"/>
      <c r="P41" s="322">
        <v>1.27738E-2</v>
      </c>
      <c r="Q41" s="321"/>
      <c r="R41" s="322">
        <v>9.8399999999999998E-3</v>
      </c>
      <c r="S41" s="321"/>
      <c r="T41" s="322"/>
      <c r="U41" s="290"/>
      <c r="V41" s="321" t="s">
        <v>193</v>
      </c>
      <c r="W41" s="291"/>
      <c r="X41" s="5"/>
    </row>
    <row r="42" spans="1:24" ht="15.6" x14ac:dyDescent="0.3">
      <c r="A42" s="287"/>
      <c r="B42" s="288" t="s">
        <v>299</v>
      </c>
      <c r="C42" s="288"/>
      <c r="D42" s="296" t="s">
        <v>322</v>
      </c>
      <c r="E42" s="288"/>
      <c r="F42" s="296" t="s">
        <v>231</v>
      </c>
      <c r="G42" s="296"/>
      <c r="H42" s="296" t="s">
        <v>323</v>
      </c>
      <c r="I42" s="296"/>
      <c r="J42" s="296" t="s">
        <v>324</v>
      </c>
      <c r="K42" s="296"/>
      <c r="L42" s="296" t="s">
        <v>265</v>
      </c>
      <c r="M42" s="296"/>
      <c r="N42" s="296" t="s">
        <v>234</v>
      </c>
      <c r="O42" s="296"/>
      <c r="P42" s="296" t="s">
        <v>266</v>
      </c>
      <c r="Q42" s="296"/>
      <c r="R42" s="296" t="s">
        <v>264</v>
      </c>
      <c r="S42" s="321"/>
      <c r="T42" s="322"/>
      <c r="U42" s="290"/>
      <c r="V42" s="290"/>
      <c r="W42" s="291"/>
      <c r="X42" s="5"/>
    </row>
    <row r="43" spans="1:24" ht="15.6" x14ac:dyDescent="0.3">
      <c r="A43" s="287"/>
      <c r="B43" s="288" t="s">
        <v>300</v>
      </c>
      <c r="C43" s="323"/>
      <c r="D43" s="322">
        <v>7.6258999999999997E-3</v>
      </c>
      <c r="E43" s="322"/>
      <c r="F43" s="322">
        <f>+F40</f>
        <v>7.2519000000000004E-3</v>
      </c>
      <c r="G43" s="322"/>
      <c r="H43" s="322">
        <v>7.5319000000000002E-3</v>
      </c>
      <c r="I43" s="322"/>
      <c r="J43" s="322">
        <v>7.9778999999999996E-3</v>
      </c>
      <c r="K43" s="322"/>
      <c r="L43" s="322">
        <f>+L40</f>
        <v>8.8518999999999994E-3</v>
      </c>
      <c r="M43" s="322"/>
      <c r="N43" s="322">
        <v>9.4438999999999999E-3</v>
      </c>
      <c r="O43" s="322"/>
      <c r="P43" s="322">
        <f>+P40</f>
        <v>1.2851899999999999E-2</v>
      </c>
      <c r="Q43" s="321"/>
      <c r="R43" s="322">
        <v>1.39179E-2</v>
      </c>
      <c r="S43" s="296"/>
      <c r="T43" s="296"/>
      <c r="U43" s="290"/>
      <c r="V43" s="321">
        <f>SUMPRODUCT(D43:R43,D35:R35)/V35</f>
        <v>8.4307547501896538E-3</v>
      </c>
      <c r="W43" s="291"/>
      <c r="X43" s="5"/>
    </row>
    <row r="44" spans="1:24" ht="15.6" x14ac:dyDescent="0.3">
      <c r="A44" s="287"/>
      <c r="B44" s="288" t="s">
        <v>301</v>
      </c>
      <c r="C44" s="323"/>
      <c r="D44" s="322">
        <v>7.5478000000000003E-3</v>
      </c>
      <c r="E44" s="322"/>
      <c r="F44" s="322">
        <f>+F41</f>
        <v>7.1738000000000001E-3</v>
      </c>
      <c r="G44" s="322"/>
      <c r="H44" s="322">
        <v>7.4538E-3</v>
      </c>
      <c r="I44" s="322"/>
      <c r="J44" s="322">
        <v>7.8998000000000002E-3</v>
      </c>
      <c r="K44" s="322"/>
      <c r="L44" s="322">
        <f>+L41</f>
        <v>8.7738E-3</v>
      </c>
      <c r="M44" s="322"/>
      <c r="N44" s="322">
        <v>9.3658000000000005E-3</v>
      </c>
      <c r="O44" s="322"/>
      <c r="P44" s="322">
        <f>+P41</f>
        <v>1.27738E-2</v>
      </c>
      <c r="Q44" s="321"/>
      <c r="R44" s="322">
        <v>1.3839799999999999E-2</v>
      </c>
      <c r="S44" s="296"/>
      <c r="T44" s="296"/>
      <c r="U44" s="290"/>
      <c r="V44" s="290"/>
      <c r="W44" s="291"/>
      <c r="X44" s="5"/>
    </row>
    <row r="45" spans="1:24" ht="15.6" x14ac:dyDescent="0.3">
      <c r="A45" s="287"/>
      <c r="B45" s="288" t="s">
        <v>14</v>
      </c>
      <c r="C45" s="288"/>
      <c r="D45" s="323">
        <v>40617</v>
      </c>
      <c r="E45" s="323"/>
      <c r="F45" s="323">
        <v>40617</v>
      </c>
      <c r="G45" s="323"/>
      <c r="H45" s="323">
        <v>40617</v>
      </c>
      <c r="I45" s="323"/>
      <c r="J45" s="323">
        <v>40617</v>
      </c>
      <c r="K45" s="323"/>
      <c r="L45" s="323">
        <v>40617</v>
      </c>
      <c r="M45" s="323"/>
      <c r="N45" s="323">
        <v>40617</v>
      </c>
      <c r="O45" s="323"/>
      <c r="P45" s="323">
        <v>40617</v>
      </c>
      <c r="Q45" s="323"/>
      <c r="R45" s="323">
        <v>40617</v>
      </c>
      <c r="S45" s="296"/>
      <c r="T45" s="296"/>
      <c r="U45" s="290"/>
      <c r="V45" s="290"/>
      <c r="W45" s="291"/>
      <c r="X45" s="5"/>
    </row>
    <row r="46" spans="1:24" ht="15.6" x14ac:dyDescent="0.3">
      <c r="A46" s="287"/>
      <c r="B46" s="288" t="s">
        <v>15</v>
      </c>
      <c r="C46" s="288"/>
      <c r="D46" s="323">
        <v>40983</v>
      </c>
      <c r="E46" s="323"/>
      <c r="F46" s="323">
        <v>40983</v>
      </c>
      <c r="G46" s="323"/>
      <c r="H46" s="323">
        <v>40983</v>
      </c>
      <c r="I46" s="323"/>
      <c r="J46" s="323">
        <v>40983</v>
      </c>
      <c r="K46" s="296"/>
      <c r="L46" s="323">
        <v>40983</v>
      </c>
      <c r="M46" s="296"/>
      <c r="N46" s="323">
        <v>40983</v>
      </c>
      <c r="O46" s="296"/>
      <c r="P46" s="323">
        <v>40983</v>
      </c>
      <c r="Q46" s="296"/>
      <c r="R46" s="323">
        <v>40983</v>
      </c>
      <c r="S46" s="296"/>
      <c r="T46" s="296"/>
      <c r="U46" s="290"/>
      <c r="V46" s="290"/>
      <c r="W46" s="291"/>
      <c r="X46" s="5"/>
    </row>
    <row r="47" spans="1:24" ht="15.6" x14ac:dyDescent="0.3">
      <c r="A47" s="287"/>
      <c r="B47" s="288" t="s">
        <v>119</v>
      </c>
      <c r="C47" s="288"/>
      <c r="D47" s="296" t="s">
        <v>231</v>
      </c>
      <c r="E47" s="288"/>
      <c r="F47" s="296" t="s">
        <v>231</v>
      </c>
      <c r="G47" s="296"/>
      <c r="H47" s="296" t="s">
        <v>231</v>
      </c>
      <c r="I47" s="296"/>
      <c r="J47" s="296" t="s">
        <v>231</v>
      </c>
      <c r="K47" s="296"/>
      <c r="L47" s="296" t="s">
        <v>265</v>
      </c>
      <c r="M47" s="296"/>
      <c r="N47" s="296" t="s">
        <v>265</v>
      </c>
      <c r="O47" s="296"/>
      <c r="P47" s="296" t="s">
        <v>266</v>
      </c>
      <c r="Q47" s="296"/>
      <c r="R47" s="296" t="s">
        <v>266</v>
      </c>
      <c r="S47" s="325"/>
      <c r="T47" s="325"/>
      <c r="U47" s="325"/>
      <c r="V47" s="325"/>
      <c r="W47" s="291"/>
      <c r="X47" s="5"/>
    </row>
    <row r="48" spans="1:24" ht="15.6" x14ac:dyDescent="0.3">
      <c r="A48" s="287"/>
      <c r="B48" s="288" t="s">
        <v>302</v>
      </c>
      <c r="C48" s="288"/>
      <c r="D48" s="296" t="s">
        <v>325</v>
      </c>
      <c r="E48" s="288"/>
      <c r="F48" s="296" t="s">
        <v>231</v>
      </c>
      <c r="G48" s="296"/>
      <c r="H48" s="296" t="s">
        <v>262</v>
      </c>
      <c r="I48" s="296"/>
      <c r="J48" s="296" t="s">
        <v>263</v>
      </c>
      <c r="K48" s="296"/>
      <c r="L48" s="296" t="s">
        <v>265</v>
      </c>
      <c r="M48" s="296"/>
      <c r="N48" s="296" t="s">
        <v>234</v>
      </c>
      <c r="O48" s="296"/>
      <c r="P48" s="296" t="s">
        <v>266</v>
      </c>
      <c r="Q48" s="296"/>
      <c r="R48" s="296" t="s">
        <v>264</v>
      </c>
      <c r="S48" s="288"/>
      <c r="T48" s="288"/>
      <c r="U48" s="288"/>
      <c r="V48" s="321"/>
      <c r="W48" s="291"/>
      <c r="X48" s="5"/>
    </row>
    <row r="49" spans="1:25" ht="15.6" x14ac:dyDescent="0.3">
      <c r="A49" s="287"/>
      <c r="B49" s="288"/>
      <c r="C49" s="288"/>
      <c r="D49" s="296"/>
      <c r="E49" s="288"/>
      <c r="F49" s="296"/>
      <c r="G49" s="296"/>
      <c r="H49" s="296"/>
      <c r="I49" s="296"/>
      <c r="J49" s="296"/>
      <c r="K49" s="296"/>
      <c r="L49" s="296"/>
      <c r="M49" s="296"/>
      <c r="N49" s="296"/>
      <c r="O49" s="296"/>
      <c r="P49" s="296"/>
      <c r="Q49" s="296"/>
      <c r="R49" s="296"/>
      <c r="S49" s="288"/>
      <c r="T49" s="288"/>
      <c r="U49" s="288"/>
      <c r="V49" s="321" t="s">
        <v>193</v>
      </c>
      <c r="W49" s="291"/>
      <c r="X49" s="5"/>
    </row>
    <row r="50" spans="1:25" ht="15.6" x14ac:dyDescent="0.3">
      <c r="A50" s="287"/>
      <c r="B50" s="288" t="s">
        <v>169</v>
      </c>
      <c r="C50" s="288"/>
      <c r="D50" s="296"/>
      <c r="E50" s="288"/>
      <c r="F50" s="296"/>
      <c r="G50" s="296"/>
      <c r="H50" s="296"/>
      <c r="I50" s="296"/>
      <c r="J50" s="296"/>
      <c r="K50" s="296"/>
      <c r="L50" s="296"/>
      <c r="M50" s="296"/>
      <c r="N50" s="296"/>
      <c r="O50" s="296"/>
      <c r="P50" s="296"/>
      <c r="Q50" s="296"/>
      <c r="R50" s="296"/>
      <c r="S50" s="288"/>
      <c r="T50" s="288"/>
      <c r="U50" s="288"/>
      <c r="V50" s="321">
        <f>SUM(L34:R34)/SUM(D34:J34)</f>
        <v>0.17663090364375009</v>
      </c>
      <c r="W50" s="291"/>
      <c r="X50" s="5"/>
    </row>
    <row r="51" spans="1:25" ht="15.6" x14ac:dyDescent="0.3">
      <c r="A51" s="287"/>
      <c r="B51" s="288" t="s">
        <v>170</v>
      </c>
      <c r="C51" s="288"/>
      <c r="D51" s="288"/>
      <c r="E51" s="288"/>
      <c r="F51" s="326"/>
      <c r="G51" s="288"/>
      <c r="H51" s="288"/>
      <c r="I51" s="288"/>
      <c r="J51" s="288"/>
      <c r="K51" s="288"/>
      <c r="L51" s="288"/>
      <c r="M51" s="288"/>
      <c r="N51" s="288"/>
      <c r="O51" s="288"/>
      <c r="P51" s="288"/>
      <c r="Q51" s="288"/>
      <c r="R51" s="288"/>
      <c r="S51" s="288"/>
      <c r="T51" s="288"/>
      <c r="U51" s="288"/>
      <c r="V51" s="321">
        <f>SUM(L36:R36)/SUM(D36:J36)</f>
        <v>0.26649776853776463</v>
      </c>
      <c r="W51" s="291"/>
      <c r="X51" s="5"/>
    </row>
    <row r="52" spans="1:25" ht="15.6" x14ac:dyDescent="0.3">
      <c r="A52" s="287"/>
      <c r="B52" s="288" t="s">
        <v>171</v>
      </c>
      <c r="C52" s="288"/>
      <c r="D52" s="288"/>
      <c r="E52" s="288"/>
      <c r="F52" s="288"/>
      <c r="G52" s="288"/>
      <c r="H52" s="288"/>
      <c r="I52" s="288"/>
      <c r="J52" s="288"/>
      <c r="K52" s="288"/>
      <c r="L52" s="288"/>
      <c r="M52" s="288"/>
      <c r="N52" s="288"/>
      <c r="O52" s="288"/>
      <c r="P52" s="288"/>
      <c r="Q52" s="288"/>
      <c r="R52" s="288"/>
      <c r="S52" s="288"/>
      <c r="T52" s="296"/>
      <c r="U52" s="296"/>
      <c r="V52" s="299" t="s">
        <v>276</v>
      </c>
      <c r="W52" s="291"/>
      <c r="X52" s="5"/>
    </row>
    <row r="53" spans="1:25" ht="15.6" x14ac:dyDescent="0.3">
      <c r="A53" s="287"/>
      <c r="B53" s="288"/>
      <c r="C53" s="288"/>
      <c r="D53" s="288"/>
      <c r="E53" s="288"/>
      <c r="F53" s="288"/>
      <c r="G53" s="288"/>
      <c r="H53" s="288"/>
      <c r="I53" s="288"/>
      <c r="J53" s="288"/>
      <c r="K53" s="288"/>
      <c r="L53" s="288"/>
      <c r="M53" s="288"/>
      <c r="N53" s="288"/>
      <c r="O53" s="288"/>
      <c r="P53" s="288"/>
      <c r="Q53" s="288"/>
      <c r="R53" s="288"/>
      <c r="S53" s="288"/>
      <c r="T53" s="288"/>
      <c r="U53" s="288"/>
      <c r="V53" s="327"/>
      <c r="W53" s="291"/>
      <c r="X53" s="5"/>
    </row>
    <row r="54" spans="1:25" ht="15.6" x14ac:dyDescent="0.3">
      <c r="A54" s="287"/>
      <c r="B54" s="288" t="s">
        <v>202</v>
      </c>
      <c r="C54" s="288"/>
      <c r="D54" s="288"/>
      <c r="E54" s="288"/>
      <c r="F54" s="288"/>
      <c r="G54" s="288"/>
      <c r="H54" s="288"/>
      <c r="I54" s="288"/>
      <c r="J54" s="288"/>
      <c r="K54" s="288"/>
      <c r="L54" s="288"/>
      <c r="M54" s="288"/>
      <c r="N54" s="288"/>
      <c r="O54" s="288"/>
      <c r="P54" s="288"/>
      <c r="Q54" s="288"/>
      <c r="R54" s="288"/>
      <c r="S54" s="288"/>
      <c r="T54" s="288"/>
      <c r="U54" s="288"/>
      <c r="V54" s="328" t="s">
        <v>203</v>
      </c>
      <c r="W54" s="291"/>
      <c r="X54" s="5"/>
    </row>
    <row r="55" spans="1:25" ht="15.6" x14ac:dyDescent="0.3">
      <c r="A55" s="287"/>
      <c r="B55" s="288" t="s">
        <v>280</v>
      </c>
      <c r="C55" s="288"/>
      <c r="D55" s="288"/>
      <c r="E55" s="288"/>
      <c r="F55" s="288"/>
      <c r="G55" s="288"/>
      <c r="H55" s="288"/>
      <c r="I55" s="288"/>
      <c r="J55" s="288"/>
      <c r="K55" s="288"/>
      <c r="L55" s="288"/>
      <c r="M55" s="288"/>
      <c r="N55" s="288"/>
      <c r="O55" s="288"/>
      <c r="P55" s="288"/>
      <c r="Q55" s="288"/>
      <c r="R55" s="288"/>
      <c r="S55" s="288"/>
      <c r="T55" s="296"/>
      <c r="U55" s="296"/>
      <c r="V55" s="329" t="s">
        <v>111</v>
      </c>
      <c r="W55" s="291"/>
      <c r="X55" s="5"/>
    </row>
    <row r="56" spans="1:25" ht="15.6" x14ac:dyDescent="0.3">
      <c r="A56" s="287"/>
      <c r="B56" s="295" t="s">
        <v>201</v>
      </c>
      <c r="C56" s="295"/>
      <c r="D56" s="295"/>
      <c r="E56" s="295"/>
      <c r="F56" s="295"/>
      <c r="G56" s="295"/>
      <c r="H56" s="295"/>
      <c r="I56" s="295"/>
      <c r="J56" s="295"/>
      <c r="K56" s="295"/>
      <c r="L56" s="295"/>
      <c r="M56" s="295"/>
      <c r="N56" s="295"/>
      <c r="O56" s="295"/>
      <c r="P56" s="295"/>
      <c r="Q56" s="295"/>
      <c r="R56" s="295"/>
      <c r="S56" s="295"/>
      <c r="T56" s="330"/>
      <c r="U56" s="330"/>
      <c r="V56" s="331">
        <v>41715</v>
      </c>
      <c r="W56" s="291"/>
      <c r="X56" s="5"/>
    </row>
    <row r="57" spans="1:25" ht="15.6" x14ac:dyDescent="0.3">
      <c r="A57" s="287"/>
      <c r="B57" s="288" t="s">
        <v>121</v>
      </c>
      <c r="C57" s="288"/>
      <c r="D57" s="288"/>
      <c r="E57" s="288"/>
      <c r="F57" s="288"/>
      <c r="G57" s="288"/>
      <c r="H57" s="332"/>
      <c r="I57" s="332"/>
      <c r="J57" s="332"/>
      <c r="K57" s="332"/>
      <c r="L57" s="332"/>
      <c r="M57" s="332"/>
      <c r="N57" s="332"/>
      <c r="O57" s="332"/>
      <c r="P57" s="332"/>
      <c r="Q57" s="332"/>
      <c r="R57" s="288">
        <f>+V57-T57+1</f>
        <v>91</v>
      </c>
      <c r="S57" s="332"/>
      <c r="T57" s="333">
        <v>41533</v>
      </c>
      <c r="U57" s="334"/>
      <c r="V57" s="333">
        <v>41623</v>
      </c>
      <c r="W57" s="291"/>
      <c r="X57" s="5"/>
    </row>
    <row r="58" spans="1:25" ht="15.6" x14ac:dyDescent="0.3">
      <c r="A58" s="287"/>
      <c r="B58" s="288" t="s">
        <v>122</v>
      </c>
      <c r="C58" s="288"/>
      <c r="D58" s="288"/>
      <c r="E58" s="288"/>
      <c r="F58" s="288"/>
      <c r="G58" s="288"/>
      <c r="H58" s="288"/>
      <c r="I58" s="288"/>
      <c r="J58" s="288"/>
      <c r="K58" s="288"/>
      <c r="L58" s="288"/>
      <c r="M58" s="288"/>
      <c r="N58" s="288"/>
      <c r="O58" s="288"/>
      <c r="P58" s="288"/>
      <c r="Q58" s="288"/>
      <c r="R58" s="288">
        <f>+V58-T58+1</f>
        <v>91</v>
      </c>
      <c r="S58" s="288"/>
      <c r="T58" s="333">
        <v>41624</v>
      </c>
      <c r="U58" s="334"/>
      <c r="V58" s="333">
        <v>41714</v>
      </c>
      <c r="W58" s="291"/>
      <c r="X58" s="5"/>
    </row>
    <row r="59" spans="1:25" ht="15.6" x14ac:dyDescent="0.3">
      <c r="A59" s="287"/>
      <c r="B59" s="288" t="s">
        <v>229</v>
      </c>
      <c r="C59" s="288"/>
      <c r="D59" s="288"/>
      <c r="E59" s="288"/>
      <c r="F59" s="288"/>
      <c r="G59" s="288"/>
      <c r="H59" s="288"/>
      <c r="I59" s="288"/>
      <c r="J59" s="288"/>
      <c r="K59" s="288"/>
      <c r="L59" s="288"/>
      <c r="M59" s="288"/>
      <c r="N59" s="288"/>
      <c r="O59" s="288"/>
      <c r="P59" s="288"/>
      <c r="Q59" s="288"/>
      <c r="R59" s="288"/>
      <c r="S59" s="288"/>
      <c r="T59" s="333"/>
      <c r="U59" s="334"/>
      <c r="V59" s="333" t="s">
        <v>120</v>
      </c>
      <c r="W59" s="291"/>
      <c r="X59" s="5"/>
    </row>
    <row r="60" spans="1:25" ht="15.6" x14ac:dyDescent="0.3">
      <c r="A60" s="287"/>
      <c r="B60" s="288" t="s">
        <v>228</v>
      </c>
      <c r="C60" s="288"/>
      <c r="D60" s="288"/>
      <c r="E60" s="288"/>
      <c r="F60" s="288"/>
      <c r="G60" s="288"/>
      <c r="H60" s="288"/>
      <c r="I60" s="288"/>
      <c r="J60" s="288"/>
      <c r="K60" s="288"/>
      <c r="L60" s="288"/>
      <c r="M60" s="288"/>
      <c r="N60" s="288"/>
      <c r="O60" s="288"/>
      <c r="P60" s="288"/>
      <c r="Q60" s="288"/>
      <c r="R60" s="288"/>
      <c r="S60" s="288"/>
      <c r="T60" s="333"/>
      <c r="U60" s="334"/>
      <c r="V60" s="333" t="s">
        <v>154</v>
      </c>
      <c r="W60" s="291"/>
      <c r="X60" s="5"/>
      <c r="Y60" s="134"/>
    </row>
    <row r="61" spans="1:25" ht="15.6" x14ac:dyDescent="0.3">
      <c r="A61" s="287"/>
      <c r="B61" s="288" t="s">
        <v>16</v>
      </c>
      <c r="C61" s="288"/>
      <c r="D61" s="288"/>
      <c r="E61" s="288"/>
      <c r="F61" s="288"/>
      <c r="G61" s="288"/>
      <c r="H61" s="288"/>
      <c r="I61" s="288"/>
      <c r="J61" s="288"/>
      <c r="K61" s="288"/>
      <c r="L61" s="288"/>
      <c r="M61" s="288"/>
      <c r="N61" s="288"/>
      <c r="O61" s="288"/>
      <c r="P61" s="288"/>
      <c r="Q61" s="288"/>
      <c r="R61" s="288"/>
      <c r="S61" s="288"/>
      <c r="T61" s="333"/>
      <c r="U61" s="334"/>
      <c r="V61" s="333">
        <v>41701</v>
      </c>
      <c r="W61" s="291"/>
      <c r="X61" s="5"/>
    </row>
    <row r="62" spans="1:25" ht="15.6" x14ac:dyDescent="0.3">
      <c r="A62" s="183"/>
      <c r="B62" s="284"/>
      <c r="C62" s="284"/>
      <c r="D62" s="284"/>
      <c r="E62" s="284"/>
      <c r="F62" s="284"/>
      <c r="G62" s="284"/>
      <c r="H62" s="284"/>
      <c r="I62" s="284"/>
      <c r="J62" s="284"/>
      <c r="K62" s="284"/>
      <c r="L62" s="284"/>
      <c r="M62" s="284"/>
      <c r="N62" s="284"/>
      <c r="O62" s="284"/>
      <c r="P62" s="284"/>
      <c r="Q62" s="284"/>
      <c r="R62" s="284"/>
      <c r="S62" s="284"/>
      <c r="T62" s="285"/>
      <c r="U62" s="286"/>
      <c r="V62" s="285"/>
      <c r="W62" s="284"/>
      <c r="X62" s="5"/>
    </row>
    <row r="63" spans="1:25" ht="15.6" x14ac:dyDescent="0.3">
      <c r="A63" s="183"/>
      <c r="B63" s="224"/>
      <c r="C63" s="224"/>
      <c r="D63" s="224"/>
      <c r="E63" s="224"/>
      <c r="F63" s="224"/>
      <c r="G63" s="224"/>
      <c r="H63" s="224"/>
      <c r="I63" s="224"/>
      <c r="J63" s="224"/>
      <c r="K63" s="224"/>
      <c r="L63" s="224"/>
      <c r="M63" s="224"/>
      <c r="N63" s="224"/>
      <c r="O63" s="224"/>
      <c r="P63" s="224"/>
      <c r="Q63" s="224"/>
      <c r="R63" s="224"/>
      <c r="S63" s="224"/>
      <c r="T63" s="235"/>
      <c r="U63" s="236"/>
      <c r="V63" s="235"/>
      <c r="W63" s="224"/>
      <c r="X63" s="5"/>
    </row>
    <row r="64" spans="1:25" ht="18" thickBot="1" x14ac:dyDescent="0.35">
      <c r="A64" s="199"/>
      <c r="B64" s="237" t="s">
        <v>343</v>
      </c>
      <c r="C64" s="238"/>
      <c r="D64" s="238"/>
      <c r="E64" s="238"/>
      <c r="F64" s="238"/>
      <c r="G64" s="238"/>
      <c r="H64" s="238"/>
      <c r="I64" s="238"/>
      <c r="J64" s="238"/>
      <c r="K64" s="238"/>
      <c r="L64" s="238"/>
      <c r="M64" s="238"/>
      <c r="N64" s="238"/>
      <c r="O64" s="238"/>
      <c r="P64" s="238"/>
      <c r="Q64" s="238"/>
      <c r="R64" s="238"/>
      <c r="S64" s="238"/>
      <c r="T64" s="238"/>
      <c r="U64" s="238"/>
      <c r="V64" s="239"/>
      <c r="W64" s="240"/>
      <c r="X64" s="5"/>
    </row>
    <row r="65" spans="1:24" ht="15.6" x14ac:dyDescent="0.3">
      <c r="A65" s="262"/>
      <c r="B65" s="399" t="s">
        <v>17</v>
      </c>
      <c r="C65" s="263"/>
      <c r="D65" s="263"/>
      <c r="E65" s="263"/>
      <c r="F65" s="263"/>
      <c r="G65" s="263"/>
      <c r="H65" s="263"/>
      <c r="I65" s="263"/>
      <c r="J65" s="263"/>
      <c r="K65" s="263"/>
      <c r="L65" s="263"/>
      <c r="M65" s="263"/>
      <c r="N65" s="263"/>
      <c r="O65" s="263"/>
      <c r="P65" s="263"/>
      <c r="Q65" s="263"/>
      <c r="R65" s="263"/>
      <c r="S65" s="263"/>
      <c r="T65" s="263"/>
      <c r="U65" s="263"/>
      <c r="V65" s="268"/>
      <c r="W65" s="263"/>
      <c r="X65" s="5"/>
    </row>
    <row r="66" spans="1:24" ht="15.6" x14ac:dyDescent="0.3">
      <c r="A66" s="183"/>
      <c r="B66" s="191"/>
      <c r="C66" s="185"/>
      <c r="D66" s="185"/>
      <c r="E66" s="185"/>
      <c r="F66" s="185"/>
      <c r="G66" s="185"/>
      <c r="H66" s="185"/>
      <c r="I66" s="185"/>
      <c r="J66" s="185"/>
      <c r="K66" s="185"/>
      <c r="L66" s="185"/>
      <c r="M66" s="185"/>
      <c r="N66" s="185"/>
      <c r="O66" s="185"/>
      <c r="P66" s="185"/>
      <c r="Q66" s="185"/>
      <c r="R66" s="185"/>
      <c r="S66" s="185"/>
      <c r="T66" s="185"/>
      <c r="U66" s="185"/>
      <c r="V66" s="201"/>
      <c r="W66" s="185"/>
      <c r="X66" s="5"/>
    </row>
    <row r="67" spans="1:24" ht="46.8" x14ac:dyDescent="0.3">
      <c r="A67" s="183"/>
      <c r="B67" s="202" t="s">
        <v>18</v>
      </c>
      <c r="C67" s="203"/>
      <c r="D67" s="203"/>
      <c r="E67" s="203"/>
      <c r="F67" s="203"/>
      <c r="G67" s="203"/>
      <c r="H67" s="203"/>
      <c r="I67" s="203"/>
      <c r="J67" s="203"/>
      <c r="K67" s="203"/>
      <c r="L67" s="203" t="s">
        <v>94</v>
      </c>
      <c r="M67" s="203"/>
      <c r="N67" s="203" t="s">
        <v>96</v>
      </c>
      <c r="O67" s="203"/>
      <c r="P67" s="203" t="s">
        <v>98</v>
      </c>
      <c r="Q67" s="203"/>
      <c r="R67" s="203" t="s">
        <v>100</v>
      </c>
      <c r="S67" s="203"/>
      <c r="T67" s="203" t="s">
        <v>106</v>
      </c>
      <c r="U67" s="203"/>
      <c r="V67" s="204" t="s">
        <v>112</v>
      </c>
      <c r="W67" s="205"/>
      <c r="X67" s="5"/>
    </row>
    <row r="68" spans="1:24" ht="15.6" x14ac:dyDescent="0.3">
      <c r="A68" s="287"/>
      <c r="B68" s="288" t="s">
        <v>19</v>
      </c>
      <c r="C68" s="337"/>
      <c r="D68" s="337"/>
      <c r="E68" s="337"/>
      <c r="F68" s="337"/>
      <c r="G68" s="337"/>
      <c r="H68" s="337"/>
      <c r="I68" s="337"/>
      <c r="J68" s="337"/>
      <c r="K68" s="337"/>
      <c r="L68" s="337">
        <v>1158015</v>
      </c>
      <c r="M68" s="337"/>
      <c r="N68" s="338">
        <v>1078556</v>
      </c>
      <c r="O68" s="337"/>
      <c r="P68" s="337">
        <f>8250+32+66</f>
        <v>8348</v>
      </c>
      <c r="Q68" s="337"/>
      <c r="R68" s="337">
        <f>32+66</f>
        <v>98</v>
      </c>
      <c r="S68" s="337"/>
      <c r="T68" s="337">
        <v>0</v>
      </c>
      <c r="U68" s="337"/>
      <c r="V68" s="338">
        <f>+N68-P68+R68-T68</f>
        <v>1070306</v>
      </c>
      <c r="W68" s="291"/>
      <c r="X68" s="5"/>
    </row>
    <row r="69" spans="1:24" ht="15.6" x14ac:dyDescent="0.3">
      <c r="A69" s="287"/>
      <c r="B69" s="288" t="s">
        <v>20</v>
      </c>
      <c r="C69" s="337"/>
      <c r="D69" s="337"/>
      <c r="E69" s="337"/>
      <c r="F69" s="337"/>
      <c r="G69" s="337"/>
      <c r="H69" s="337"/>
      <c r="I69" s="337"/>
      <c r="J69" s="337"/>
      <c r="K69" s="337"/>
      <c r="L69" s="337">
        <v>15</v>
      </c>
      <c r="M69" s="337"/>
      <c r="N69" s="338">
        <v>0</v>
      </c>
      <c r="O69" s="337"/>
      <c r="P69" s="337">
        <v>0</v>
      </c>
      <c r="Q69" s="337"/>
      <c r="R69" s="337">
        <v>0</v>
      </c>
      <c r="S69" s="337"/>
      <c r="T69" s="337">
        <v>0</v>
      </c>
      <c r="U69" s="337"/>
      <c r="V69" s="338">
        <v>0</v>
      </c>
      <c r="W69" s="291"/>
      <c r="X69" s="5"/>
    </row>
    <row r="70" spans="1:24" ht="15.6" x14ac:dyDescent="0.3">
      <c r="A70" s="287"/>
      <c r="B70" s="288"/>
      <c r="C70" s="337"/>
      <c r="D70" s="337"/>
      <c r="E70" s="337"/>
      <c r="F70" s="337"/>
      <c r="G70" s="337"/>
      <c r="H70" s="337"/>
      <c r="I70" s="337"/>
      <c r="J70" s="337"/>
      <c r="K70" s="337"/>
      <c r="L70" s="337"/>
      <c r="M70" s="337"/>
      <c r="N70" s="338"/>
      <c r="O70" s="337"/>
      <c r="P70" s="337"/>
      <c r="Q70" s="337"/>
      <c r="R70" s="337"/>
      <c r="S70" s="337"/>
      <c r="T70" s="337"/>
      <c r="U70" s="337"/>
      <c r="V70" s="338"/>
      <c r="W70" s="291"/>
      <c r="X70" s="5"/>
    </row>
    <row r="71" spans="1:24" ht="15.6" x14ac:dyDescent="0.3">
      <c r="A71" s="287"/>
      <c r="B71" s="288" t="s">
        <v>21</v>
      </c>
      <c r="C71" s="337"/>
      <c r="D71" s="337"/>
      <c r="E71" s="337"/>
      <c r="F71" s="337"/>
      <c r="G71" s="337"/>
      <c r="H71" s="337"/>
      <c r="I71" s="337"/>
      <c r="J71" s="337"/>
      <c r="K71" s="337"/>
      <c r="L71" s="337">
        <f>SUM(L68:L70)</f>
        <v>1158030</v>
      </c>
      <c r="M71" s="337"/>
      <c r="N71" s="337">
        <f>N68+N69</f>
        <v>1078556</v>
      </c>
      <c r="O71" s="337"/>
      <c r="P71" s="337">
        <f>SUM(P68:P70)</f>
        <v>8348</v>
      </c>
      <c r="Q71" s="337"/>
      <c r="R71" s="337">
        <f>SUM(R68:R70)</f>
        <v>98</v>
      </c>
      <c r="S71" s="337"/>
      <c r="T71" s="337">
        <f>SUM(T68:T70)</f>
        <v>0</v>
      </c>
      <c r="U71" s="337"/>
      <c r="V71" s="337">
        <f>SUM(V68:V70)</f>
        <v>1070306</v>
      </c>
      <c r="W71" s="291"/>
      <c r="X71" s="5"/>
    </row>
    <row r="72" spans="1:24" ht="15.6" x14ac:dyDescent="0.3">
      <c r="A72" s="183"/>
      <c r="B72" s="198"/>
      <c r="C72" s="335"/>
      <c r="D72" s="335"/>
      <c r="E72" s="335"/>
      <c r="F72" s="335"/>
      <c r="G72" s="335"/>
      <c r="H72" s="335"/>
      <c r="I72" s="335"/>
      <c r="J72" s="335"/>
      <c r="K72" s="335"/>
      <c r="L72" s="335"/>
      <c r="M72" s="335"/>
      <c r="N72" s="335"/>
      <c r="O72" s="335"/>
      <c r="P72" s="335"/>
      <c r="Q72" s="335"/>
      <c r="R72" s="335"/>
      <c r="S72" s="335"/>
      <c r="T72" s="335"/>
      <c r="U72" s="335"/>
      <c r="V72" s="336"/>
      <c r="W72" s="198"/>
      <c r="X72" s="5"/>
    </row>
    <row r="73" spans="1:24" ht="15.6" x14ac:dyDescent="0.3">
      <c r="A73" s="183"/>
      <c r="B73" s="187" t="s">
        <v>22</v>
      </c>
      <c r="C73" s="206"/>
      <c r="D73" s="206"/>
      <c r="E73" s="206"/>
      <c r="F73" s="206"/>
      <c r="G73" s="206"/>
      <c r="H73" s="206"/>
      <c r="I73" s="206"/>
      <c r="J73" s="206"/>
      <c r="K73" s="206"/>
      <c r="L73" s="206"/>
      <c r="M73" s="206"/>
      <c r="N73" s="206"/>
      <c r="O73" s="206"/>
      <c r="P73" s="206"/>
      <c r="Q73" s="206"/>
      <c r="R73" s="206"/>
      <c r="S73" s="206"/>
      <c r="T73" s="206"/>
      <c r="U73" s="206"/>
      <c r="V73" s="207"/>
      <c r="W73" s="185"/>
      <c r="X73" s="5"/>
    </row>
    <row r="74" spans="1:24" ht="15.6" x14ac:dyDescent="0.3">
      <c r="A74" s="183"/>
      <c r="B74" s="185"/>
      <c r="C74" s="206"/>
      <c r="D74" s="206"/>
      <c r="E74" s="206"/>
      <c r="F74" s="206"/>
      <c r="G74" s="206"/>
      <c r="H74" s="206"/>
      <c r="I74" s="206"/>
      <c r="J74" s="206"/>
      <c r="K74" s="206"/>
      <c r="L74" s="206"/>
      <c r="M74" s="206"/>
      <c r="N74" s="206"/>
      <c r="O74" s="206"/>
      <c r="P74" s="206"/>
      <c r="Q74" s="206"/>
      <c r="R74" s="206"/>
      <c r="S74" s="206"/>
      <c r="T74" s="206"/>
      <c r="U74" s="206"/>
      <c r="V74" s="207"/>
      <c r="W74" s="185"/>
      <c r="X74" s="5"/>
    </row>
    <row r="75" spans="1:24" ht="15.6" x14ac:dyDescent="0.3">
      <c r="A75" s="340"/>
      <c r="B75" s="288" t="s">
        <v>19</v>
      </c>
      <c r="C75" s="337"/>
      <c r="D75" s="337"/>
      <c r="E75" s="337"/>
      <c r="F75" s="337"/>
      <c r="G75" s="337"/>
      <c r="H75" s="337"/>
      <c r="I75" s="337"/>
      <c r="J75" s="337"/>
      <c r="K75" s="337"/>
      <c r="L75" s="337"/>
      <c r="M75" s="337"/>
      <c r="N75" s="337"/>
      <c r="O75" s="337"/>
      <c r="P75" s="337"/>
      <c r="Q75" s="337"/>
      <c r="R75" s="337"/>
      <c r="S75" s="337"/>
      <c r="T75" s="337"/>
      <c r="U75" s="337"/>
      <c r="V75" s="337"/>
      <c r="W75" s="291"/>
      <c r="X75" s="5"/>
    </row>
    <row r="76" spans="1:24" ht="15.6" x14ac:dyDescent="0.3">
      <c r="A76" s="340"/>
      <c r="B76" s="288" t="s">
        <v>20</v>
      </c>
      <c r="C76" s="337"/>
      <c r="D76" s="337"/>
      <c r="E76" s="337"/>
      <c r="F76" s="337"/>
      <c r="G76" s="337"/>
      <c r="H76" s="337"/>
      <c r="I76" s="337"/>
      <c r="J76" s="337"/>
      <c r="K76" s="337"/>
      <c r="L76" s="337"/>
      <c r="M76" s="337"/>
      <c r="N76" s="337"/>
      <c r="O76" s="337"/>
      <c r="P76" s="337"/>
      <c r="Q76" s="337"/>
      <c r="R76" s="337"/>
      <c r="S76" s="337"/>
      <c r="T76" s="337"/>
      <c r="U76" s="337"/>
      <c r="V76" s="337"/>
      <c r="W76" s="291"/>
      <c r="X76" s="5"/>
    </row>
    <row r="77" spans="1:24" ht="15.6" x14ac:dyDescent="0.3">
      <c r="A77" s="340"/>
      <c r="B77" s="288"/>
      <c r="C77" s="337"/>
      <c r="D77" s="337"/>
      <c r="E77" s="337"/>
      <c r="F77" s="337"/>
      <c r="G77" s="337"/>
      <c r="H77" s="337"/>
      <c r="I77" s="337"/>
      <c r="J77" s="337"/>
      <c r="K77" s="337"/>
      <c r="L77" s="337"/>
      <c r="M77" s="337"/>
      <c r="N77" s="337"/>
      <c r="O77" s="337"/>
      <c r="P77" s="337"/>
      <c r="Q77" s="337"/>
      <c r="R77" s="337"/>
      <c r="S77" s="337"/>
      <c r="T77" s="337"/>
      <c r="U77" s="337"/>
      <c r="V77" s="337"/>
      <c r="W77" s="291"/>
      <c r="X77" s="5"/>
    </row>
    <row r="78" spans="1:24" ht="15.6" x14ac:dyDescent="0.3">
      <c r="A78" s="340"/>
      <c r="B78" s="288" t="s">
        <v>21</v>
      </c>
      <c r="C78" s="337"/>
      <c r="D78" s="337"/>
      <c r="E78" s="337"/>
      <c r="F78" s="337"/>
      <c r="G78" s="337"/>
      <c r="H78" s="337"/>
      <c r="I78" s="337"/>
      <c r="J78" s="337"/>
      <c r="K78" s="337"/>
      <c r="L78" s="337"/>
      <c r="M78" s="337"/>
      <c r="N78" s="337"/>
      <c r="O78" s="337"/>
      <c r="P78" s="337"/>
      <c r="Q78" s="337"/>
      <c r="R78" s="337"/>
      <c r="S78" s="337"/>
      <c r="T78" s="337"/>
      <c r="U78" s="337"/>
      <c r="V78" s="337"/>
      <c r="W78" s="291"/>
      <c r="X78" s="5"/>
    </row>
    <row r="79" spans="1:24" ht="15.6" x14ac:dyDescent="0.3">
      <c r="A79" s="340"/>
      <c r="B79" s="288"/>
      <c r="C79" s="337"/>
      <c r="D79" s="337"/>
      <c r="E79" s="337"/>
      <c r="F79" s="337"/>
      <c r="G79" s="337"/>
      <c r="H79" s="337"/>
      <c r="I79" s="337"/>
      <c r="J79" s="337"/>
      <c r="K79" s="337"/>
      <c r="L79" s="337"/>
      <c r="M79" s="337"/>
      <c r="N79" s="337"/>
      <c r="O79" s="337"/>
      <c r="P79" s="337"/>
      <c r="Q79" s="337"/>
      <c r="R79" s="337"/>
      <c r="S79" s="337"/>
      <c r="T79" s="337"/>
      <c r="U79" s="337"/>
      <c r="V79" s="337"/>
      <c r="W79" s="291"/>
      <c r="X79" s="5"/>
    </row>
    <row r="80" spans="1:24" ht="15.6" x14ac:dyDescent="0.3">
      <c r="A80" s="340"/>
      <c r="B80" s="288" t="s">
        <v>23</v>
      </c>
      <c r="C80" s="337"/>
      <c r="D80" s="337"/>
      <c r="E80" s="337"/>
      <c r="F80" s="337"/>
      <c r="G80" s="337"/>
      <c r="H80" s="337"/>
      <c r="I80" s="337"/>
      <c r="J80" s="337"/>
      <c r="K80" s="337"/>
      <c r="L80" s="337">
        <v>0</v>
      </c>
      <c r="M80" s="337"/>
      <c r="N80" s="337">
        <v>0</v>
      </c>
      <c r="O80" s="337"/>
      <c r="P80" s="337"/>
      <c r="Q80" s="337"/>
      <c r="R80" s="337"/>
      <c r="S80" s="337"/>
      <c r="T80" s="337"/>
      <c r="U80" s="337"/>
      <c r="V80" s="338">
        <v>0</v>
      </c>
      <c r="W80" s="291"/>
      <c r="X80" s="5"/>
    </row>
    <row r="81" spans="1:24" ht="15.6" x14ac:dyDescent="0.3">
      <c r="A81" s="340"/>
      <c r="B81" s="288" t="s">
        <v>117</v>
      </c>
      <c r="C81" s="337"/>
      <c r="D81" s="337"/>
      <c r="E81" s="337"/>
      <c r="F81" s="337"/>
      <c r="G81" s="337"/>
      <c r="H81" s="337"/>
      <c r="I81" s="337"/>
      <c r="J81" s="337"/>
      <c r="K81" s="337"/>
      <c r="L81" s="337">
        <v>342245</v>
      </c>
      <c r="M81" s="337"/>
      <c r="N81" s="337">
        <v>0</v>
      </c>
      <c r="O81" s="337"/>
      <c r="P81" s="337">
        <v>0</v>
      </c>
      <c r="Q81" s="337"/>
      <c r="R81" s="337"/>
      <c r="S81" s="337"/>
      <c r="T81" s="337"/>
      <c r="U81" s="337"/>
      <c r="V81" s="337">
        <f>SUM(N81:R81)</f>
        <v>0</v>
      </c>
      <c r="W81" s="291"/>
      <c r="X81" s="5"/>
    </row>
    <row r="82" spans="1:24" ht="15.6" x14ac:dyDescent="0.3">
      <c r="A82" s="340"/>
      <c r="B82" s="288"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91"/>
      <c r="X82" s="5"/>
    </row>
    <row r="83" spans="1:24" ht="15.6" x14ac:dyDescent="0.3">
      <c r="A83" s="340"/>
      <c r="B83" s="288" t="s">
        <v>25</v>
      </c>
      <c r="C83" s="337"/>
      <c r="D83" s="337"/>
      <c r="E83" s="337"/>
      <c r="F83" s="337"/>
      <c r="G83" s="337"/>
      <c r="H83" s="337"/>
      <c r="I83" s="337"/>
      <c r="J83" s="337"/>
      <c r="K83" s="337"/>
      <c r="L83" s="337">
        <v>0</v>
      </c>
      <c r="M83" s="337"/>
      <c r="N83" s="337">
        <v>0</v>
      </c>
      <c r="O83" s="337"/>
      <c r="P83" s="337"/>
      <c r="Q83" s="337"/>
      <c r="R83" s="337"/>
      <c r="S83" s="337"/>
      <c r="T83" s="337"/>
      <c r="U83" s="337"/>
      <c r="V83" s="337">
        <v>0</v>
      </c>
      <c r="W83" s="291"/>
      <c r="X83" s="5"/>
    </row>
    <row r="84" spans="1:24" ht="15.6" x14ac:dyDescent="0.3">
      <c r="A84" s="340"/>
      <c r="B84" s="288" t="s">
        <v>26</v>
      </c>
      <c r="C84" s="337"/>
      <c r="D84" s="337"/>
      <c r="E84" s="337"/>
      <c r="F84" s="337"/>
      <c r="G84" s="337"/>
      <c r="H84" s="337"/>
      <c r="I84" s="337"/>
      <c r="J84" s="337"/>
      <c r="K84" s="337"/>
      <c r="L84" s="337">
        <f>SUM(L71:L83)</f>
        <v>1500275</v>
      </c>
      <c r="M84" s="337"/>
      <c r="N84" s="337">
        <f>SUM(N71:N83)</f>
        <v>1078556</v>
      </c>
      <c r="O84" s="337"/>
      <c r="P84" s="337"/>
      <c r="Q84" s="337"/>
      <c r="R84" s="337"/>
      <c r="S84" s="337"/>
      <c r="T84" s="337"/>
      <c r="U84" s="337"/>
      <c r="V84" s="337">
        <f>SUM(V71:V83)</f>
        <v>1070306</v>
      </c>
      <c r="W84" s="291"/>
      <c r="X84" s="5"/>
    </row>
    <row r="85" spans="1:24" ht="15.6" x14ac:dyDescent="0.3">
      <c r="A85" s="243"/>
      <c r="B85" s="284"/>
      <c r="C85" s="339"/>
      <c r="D85" s="339"/>
      <c r="E85" s="339"/>
      <c r="F85" s="339"/>
      <c r="G85" s="339"/>
      <c r="H85" s="339"/>
      <c r="I85" s="339"/>
      <c r="J85" s="339"/>
      <c r="K85" s="339"/>
      <c r="L85" s="339"/>
      <c r="M85" s="339"/>
      <c r="N85" s="339"/>
      <c r="O85" s="339"/>
      <c r="P85" s="339"/>
      <c r="Q85" s="339"/>
      <c r="R85" s="339"/>
      <c r="S85" s="339"/>
      <c r="T85" s="339"/>
      <c r="U85" s="339"/>
      <c r="V85" s="339"/>
      <c r="W85" s="284"/>
      <c r="X85" s="5"/>
    </row>
    <row r="86" spans="1:24" ht="15.6" x14ac:dyDescent="0.3">
      <c r="A86" s="243"/>
      <c r="B86" s="224"/>
      <c r="C86" s="224"/>
      <c r="D86" s="224"/>
      <c r="E86" s="224"/>
      <c r="F86" s="224"/>
      <c r="G86" s="224"/>
      <c r="H86" s="224"/>
      <c r="I86" s="224"/>
      <c r="J86" s="224"/>
      <c r="K86" s="224"/>
      <c r="L86" s="224"/>
      <c r="M86" s="224"/>
      <c r="N86" s="224"/>
      <c r="O86" s="224"/>
      <c r="P86" s="224"/>
      <c r="Q86" s="224"/>
      <c r="R86" s="224"/>
      <c r="S86" s="224"/>
      <c r="T86" s="224"/>
      <c r="U86" s="224"/>
      <c r="V86" s="224"/>
      <c r="W86" s="224"/>
      <c r="X86" s="5"/>
    </row>
    <row r="87" spans="1:24" ht="15.6" x14ac:dyDescent="0.3">
      <c r="A87" s="262"/>
      <c r="B87" s="399" t="s">
        <v>27</v>
      </c>
      <c r="C87" s="399"/>
      <c r="D87" s="399"/>
      <c r="E87" s="399"/>
      <c r="F87" s="399"/>
      <c r="G87" s="399"/>
      <c r="H87" s="400"/>
      <c r="I87" s="400"/>
      <c r="J87" s="400"/>
      <c r="K87" s="400"/>
      <c r="L87" s="401" t="s">
        <v>95</v>
      </c>
      <c r="M87" s="400"/>
      <c r="N87" s="402">
        <f>+T205</f>
        <v>41698</v>
      </c>
      <c r="O87" s="400"/>
      <c r="P87" s="400"/>
      <c r="Q87" s="400"/>
      <c r="R87" s="400"/>
      <c r="S87" s="400"/>
      <c r="T87" s="400" t="s">
        <v>107</v>
      </c>
      <c r="U87" s="400"/>
      <c r="V87" s="400" t="s">
        <v>113</v>
      </c>
      <c r="W87" s="263"/>
      <c r="X87" s="5"/>
    </row>
    <row r="88" spans="1:24" ht="15.6" x14ac:dyDescent="0.3">
      <c r="A88" s="242"/>
      <c r="B88" s="231" t="s">
        <v>28</v>
      </c>
      <c r="C88" s="231"/>
      <c r="D88" s="231"/>
      <c r="E88" s="231"/>
      <c r="F88" s="231"/>
      <c r="G88" s="231"/>
      <c r="H88" s="231"/>
      <c r="I88" s="231"/>
      <c r="J88" s="231"/>
      <c r="K88" s="231"/>
      <c r="L88" s="231"/>
      <c r="M88" s="231"/>
      <c r="N88" s="231"/>
      <c r="O88" s="231"/>
      <c r="P88" s="231"/>
      <c r="Q88" s="231"/>
      <c r="R88" s="231"/>
      <c r="S88" s="231"/>
      <c r="T88" s="234">
        <v>0</v>
      </c>
      <c r="U88" s="231"/>
      <c r="V88" s="241">
        <v>0</v>
      </c>
      <c r="W88" s="231"/>
      <c r="X88" s="5"/>
    </row>
    <row r="89" spans="1:24" ht="15.6" x14ac:dyDescent="0.3">
      <c r="A89" s="340"/>
      <c r="B89" s="288" t="s">
        <v>29</v>
      </c>
      <c r="C89" s="288"/>
      <c r="D89" s="288"/>
      <c r="E89" s="288"/>
      <c r="F89" s="288"/>
      <c r="G89" s="288"/>
      <c r="H89" s="325"/>
      <c r="I89" s="325"/>
      <c r="J89" s="325"/>
      <c r="K89" s="341"/>
      <c r="L89" s="325"/>
      <c r="M89" s="288"/>
      <c r="N89" s="342"/>
      <c r="O89" s="288"/>
      <c r="P89" s="288"/>
      <c r="Q89" s="288"/>
      <c r="R89" s="288"/>
      <c r="S89" s="288"/>
      <c r="T89" s="337">
        <f>8348-409</f>
        <v>7939</v>
      </c>
      <c r="U89" s="288"/>
      <c r="V89" s="338"/>
      <c r="W89" s="291"/>
      <c r="X89" s="5"/>
    </row>
    <row r="90" spans="1:24" ht="15.6" x14ac:dyDescent="0.3">
      <c r="A90" s="340"/>
      <c r="B90" s="288" t="s">
        <v>216</v>
      </c>
      <c r="C90" s="288"/>
      <c r="D90" s="288"/>
      <c r="E90" s="288"/>
      <c r="F90" s="288"/>
      <c r="G90" s="288"/>
      <c r="H90" s="325"/>
      <c r="I90" s="325"/>
      <c r="J90" s="325"/>
      <c r="K90" s="341"/>
      <c r="L90" s="325"/>
      <c r="M90" s="288"/>
      <c r="N90" s="342"/>
      <c r="O90" s="288"/>
      <c r="P90" s="288"/>
      <c r="Q90" s="288"/>
      <c r="R90" s="288"/>
      <c r="S90" s="288"/>
      <c r="T90" s="337"/>
      <c r="U90" s="288"/>
      <c r="V90" s="338">
        <f>3699+4247-749-711</f>
        <v>6486</v>
      </c>
      <c r="W90" s="291"/>
      <c r="X90" s="5"/>
    </row>
    <row r="91" spans="1:24" ht="15.6" x14ac:dyDescent="0.3">
      <c r="A91" s="340"/>
      <c r="B91" s="288" t="s">
        <v>211</v>
      </c>
      <c r="C91" s="288"/>
      <c r="D91" s="288"/>
      <c r="E91" s="288"/>
      <c r="F91" s="288"/>
      <c r="G91" s="288"/>
      <c r="H91" s="325"/>
      <c r="I91" s="325"/>
      <c r="J91" s="325"/>
      <c r="K91" s="341"/>
      <c r="L91" s="325"/>
      <c r="M91" s="288"/>
      <c r="N91" s="342"/>
      <c r="O91" s="288"/>
      <c r="P91" s="288"/>
      <c r="Q91" s="288"/>
      <c r="R91" s="288"/>
      <c r="S91" s="288"/>
      <c r="T91" s="337"/>
      <c r="U91" s="288"/>
      <c r="V91" s="338">
        <f>76+63</f>
        <v>139</v>
      </c>
      <c r="W91" s="291"/>
      <c r="X91" s="5"/>
    </row>
    <row r="92" spans="1:24" ht="15.6" x14ac:dyDescent="0.3">
      <c r="A92" s="340"/>
      <c r="B92" s="288" t="s">
        <v>212</v>
      </c>
      <c r="C92" s="288"/>
      <c r="D92" s="288"/>
      <c r="E92" s="288"/>
      <c r="F92" s="288"/>
      <c r="G92" s="288"/>
      <c r="H92" s="325"/>
      <c r="I92" s="325"/>
      <c r="J92" s="325"/>
      <c r="K92" s="341"/>
      <c r="L92" s="325"/>
      <c r="M92" s="288"/>
      <c r="N92" s="342"/>
      <c r="O92" s="288"/>
      <c r="P92" s="288"/>
      <c r="Q92" s="288"/>
      <c r="R92" s="288"/>
      <c r="S92" s="288"/>
      <c r="T92" s="337"/>
      <c r="U92" s="288"/>
      <c r="V92" s="338">
        <v>35</v>
      </c>
      <c r="W92" s="291"/>
      <c r="X92" s="5"/>
    </row>
    <row r="93" spans="1:24" ht="15.6" x14ac:dyDescent="0.3">
      <c r="A93" s="340"/>
      <c r="B93" s="288" t="s">
        <v>272</v>
      </c>
      <c r="C93" s="288"/>
      <c r="D93" s="288"/>
      <c r="E93" s="288"/>
      <c r="F93" s="288"/>
      <c r="G93" s="288"/>
      <c r="H93" s="325"/>
      <c r="I93" s="325"/>
      <c r="J93" s="325"/>
      <c r="K93" s="341"/>
      <c r="L93" s="325"/>
      <c r="M93" s="288"/>
      <c r="N93" s="342"/>
      <c r="O93" s="288"/>
      <c r="P93" s="288"/>
      <c r="Q93" s="288"/>
      <c r="R93" s="288"/>
      <c r="S93" s="288"/>
      <c r="T93" s="337"/>
      <c r="U93" s="288"/>
      <c r="V93" s="338">
        <v>0</v>
      </c>
      <c r="W93" s="291"/>
      <c r="X93" s="5"/>
    </row>
    <row r="94" spans="1:24" ht="15.6" x14ac:dyDescent="0.3">
      <c r="A94" s="340"/>
      <c r="B94" s="288" t="s">
        <v>274</v>
      </c>
      <c r="C94" s="288"/>
      <c r="D94" s="288"/>
      <c r="E94" s="288"/>
      <c r="F94" s="288"/>
      <c r="G94" s="288"/>
      <c r="H94" s="325"/>
      <c r="I94" s="325"/>
      <c r="J94" s="325"/>
      <c r="K94" s="341"/>
      <c r="L94" s="325"/>
      <c r="M94" s="288"/>
      <c r="N94" s="342"/>
      <c r="O94" s="288"/>
      <c r="P94" s="288"/>
      <c r="Q94" s="288"/>
      <c r="R94" s="288"/>
      <c r="S94" s="288"/>
      <c r="T94" s="337"/>
      <c r="U94" s="288"/>
      <c r="V94" s="338">
        <v>0</v>
      </c>
      <c r="W94" s="291"/>
      <c r="X94" s="5"/>
    </row>
    <row r="95" spans="1:24" ht="15.6" x14ac:dyDescent="0.3">
      <c r="A95" s="340"/>
      <c r="B95" s="288" t="s">
        <v>135</v>
      </c>
      <c r="C95" s="288"/>
      <c r="D95" s="288"/>
      <c r="E95" s="288"/>
      <c r="F95" s="288"/>
      <c r="G95" s="288"/>
      <c r="H95" s="288"/>
      <c r="I95" s="288"/>
      <c r="J95" s="288"/>
      <c r="K95" s="288"/>
      <c r="L95" s="288"/>
      <c r="M95" s="288"/>
      <c r="N95" s="288"/>
      <c r="O95" s="288"/>
      <c r="P95" s="288"/>
      <c r="Q95" s="288"/>
      <c r="R95" s="288"/>
      <c r="S95" s="288"/>
      <c r="T95" s="337"/>
      <c r="U95" s="288"/>
      <c r="V95" s="338">
        <v>0</v>
      </c>
      <c r="W95" s="291"/>
      <c r="X95" s="5"/>
    </row>
    <row r="96" spans="1:24" ht="15.6" x14ac:dyDescent="0.3">
      <c r="A96" s="340"/>
      <c r="B96" s="288" t="s">
        <v>268</v>
      </c>
      <c r="C96" s="288"/>
      <c r="D96" s="288"/>
      <c r="E96" s="288"/>
      <c r="F96" s="288"/>
      <c r="G96" s="288"/>
      <c r="H96" s="288"/>
      <c r="I96" s="288"/>
      <c r="J96" s="288"/>
      <c r="K96" s="288"/>
      <c r="L96" s="288"/>
      <c r="M96" s="288"/>
      <c r="N96" s="288"/>
      <c r="O96" s="288"/>
      <c r="P96" s="288"/>
      <c r="Q96" s="288"/>
      <c r="R96" s="288"/>
      <c r="S96" s="288"/>
      <c r="T96" s="337"/>
      <c r="U96" s="288"/>
      <c r="V96" s="338">
        <v>269</v>
      </c>
      <c r="W96" s="291"/>
      <c r="X96" s="5"/>
    </row>
    <row r="97" spans="1:25" ht="15.6" x14ac:dyDescent="0.3">
      <c r="A97" s="340"/>
      <c r="B97" s="288" t="s">
        <v>30</v>
      </c>
      <c r="C97" s="288"/>
      <c r="D97" s="288"/>
      <c r="E97" s="288"/>
      <c r="F97" s="288"/>
      <c r="G97" s="288"/>
      <c r="H97" s="288"/>
      <c r="I97" s="288"/>
      <c r="J97" s="288"/>
      <c r="K97" s="288"/>
      <c r="L97" s="288"/>
      <c r="M97" s="288"/>
      <c r="N97" s="288"/>
      <c r="O97" s="288"/>
      <c r="P97" s="288"/>
      <c r="Q97" s="288"/>
      <c r="R97" s="288"/>
      <c r="S97" s="288"/>
      <c r="T97" s="337">
        <f>SUM(T88:T96)</f>
        <v>7939</v>
      </c>
      <c r="U97" s="288"/>
      <c r="V97" s="337">
        <f>SUM(V88:V96)</f>
        <v>6929</v>
      </c>
      <c r="W97" s="291"/>
      <c r="X97" s="5"/>
    </row>
    <row r="98" spans="1:25" ht="15.6" x14ac:dyDescent="0.3">
      <c r="A98" s="340"/>
      <c r="B98" s="288" t="s">
        <v>161</v>
      </c>
      <c r="C98" s="288"/>
      <c r="D98" s="288"/>
      <c r="E98" s="288"/>
      <c r="F98" s="288"/>
      <c r="G98" s="288"/>
      <c r="H98" s="288"/>
      <c r="I98" s="288"/>
      <c r="J98" s="288"/>
      <c r="K98" s="288"/>
      <c r="L98" s="288"/>
      <c r="M98" s="288"/>
      <c r="N98" s="288"/>
      <c r="O98" s="288"/>
      <c r="P98" s="288"/>
      <c r="Q98" s="288"/>
      <c r="R98" s="288"/>
      <c r="S98" s="288"/>
      <c r="T98" s="337">
        <f>-V98</f>
        <v>0</v>
      </c>
      <c r="U98" s="288"/>
      <c r="V98" s="337">
        <v>0</v>
      </c>
      <c r="W98" s="291"/>
      <c r="X98" s="5"/>
    </row>
    <row r="99" spans="1:25" ht="15.6" x14ac:dyDescent="0.3">
      <c r="A99" s="340"/>
      <c r="B99" s="288" t="s">
        <v>31</v>
      </c>
      <c r="C99" s="288"/>
      <c r="D99" s="288"/>
      <c r="E99" s="288"/>
      <c r="F99" s="288"/>
      <c r="G99" s="288"/>
      <c r="H99" s="288"/>
      <c r="I99" s="288"/>
      <c r="J99" s="288"/>
      <c r="K99" s="288"/>
      <c r="L99" s="288"/>
      <c r="M99" s="288"/>
      <c r="N99" s="288"/>
      <c r="O99" s="288"/>
      <c r="P99" s="288"/>
      <c r="Q99" s="288"/>
      <c r="R99" s="288"/>
      <c r="S99" s="288"/>
      <c r="T99" s="337">
        <f>-V99</f>
        <v>0</v>
      </c>
      <c r="U99" s="288"/>
      <c r="V99" s="338">
        <v>0</v>
      </c>
      <c r="W99" s="291"/>
      <c r="X99" s="5"/>
    </row>
    <row r="100" spans="1:25" ht="15.6" x14ac:dyDescent="0.3">
      <c r="A100" s="340"/>
      <c r="B100" s="288" t="s">
        <v>283</v>
      </c>
      <c r="C100" s="288"/>
      <c r="D100" s="288"/>
      <c r="E100" s="288"/>
      <c r="F100" s="288"/>
      <c r="G100" s="288"/>
      <c r="H100" s="288"/>
      <c r="I100" s="288"/>
      <c r="J100" s="288"/>
      <c r="K100" s="288"/>
      <c r="L100" s="288"/>
      <c r="M100" s="288"/>
      <c r="N100" s="288"/>
      <c r="O100" s="288"/>
      <c r="P100" s="288"/>
      <c r="Q100" s="288"/>
      <c r="R100" s="288"/>
      <c r="S100" s="288"/>
      <c r="T100" s="337"/>
      <c r="U100" s="288"/>
      <c r="V100" s="338">
        <v>104</v>
      </c>
      <c r="W100" s="291"/>
      <c r="X100" s="5"/>
    </row>
    <row r="101" spans="1:25" ht="15.6" x14ac:dyDescent="0.3">
      <c r="A101" s="340"/>
      <c r="B101" s="288" t="s">
        <v>32</v>
      </c>
      <c r="C101" s="288"/>
      <c r="D101" s="288"/>
      <c r="E101" s="288"/>
      <c r="F101" s="288"/>
      <c r="G101" s="288"/>
      <c r="H101" s="288"/>
      <c r="I101" s="288"/>
      <c r="J101" s="288"/>
      <c r="K101" s="288"/>
      <c r="L101" s="288"/>
      <c r="M101" s="288"/>
      <c r="N101" s="288"/>
      <c r="O101" s="288"/>
      <c r="P101" s="288"/>
      <c r="Q101" s="288"/>
      <c r="R101" s="288"/>
      <c r="S101" s="288"/>
      <c r="T101" s="337">
        <f>T97+T99+T98</f>
        <v>7939</v>
      </c>
      <c r="U101" s="288"/>
      <c r="V101" s="337">
        <f>V97+V99+V98+V100</f>
        <v>7033</v>
      </c>
      <c r="W101" s="291"/>
      <c r="X101" s="5"/>
    </row>
    <row r="102" spans="1:25" ht="15.6" x14ac:dyDescent="0.3">
      <c r="A102" s="287"/>
      <c r="B102" s="343" t="s">
        <v>33</v>
      </c>
      <c r="C102" s="314"/>
      <c r="D102" s="314"/>
      <c r="E102" s="314"/>
      <c r="F102" s="314"/>
      <c r="G102" s="314"/>
      <c r="H102" s="314"/>
      <c r="I102" s="314"/>
      <c r="J102" s="314"/>
      <c r="K102" s="314"/>
      <c r="L102" s="314"/>
      <c r="M102" s="314"/>
      <c r="N102" s="314"/>
      <c r="O102" s="314"/>
      <c r="P102" s="314"/>
      <c r="Q102" s="314"/>
      <c r="R102" s="314"/>
      <c r="S102" s="314"/>
      <c r="T102" s="344"/>
      <c r="U102" s="314"/>
      <c r="V102" s="345"/>
      <c r="W102" s="318"/>
      <c r="X102" s="5"/>
    </row>
    <row r="103" spans="1:25" ht="15.6" x14ac:dyDescent="0.3">
      <c r="A103" s="340">
        <v>1</v>
      </c>
      <c r="B103" s="288" t="s">
        <v>34</v>
      </c>
      <c r="C103" s="288"/>
      <c r="D103" s="288"/>
      <c r="E103" s="288"/>
      <c r="F103" s="288"/>
      <c r="G103" s="288"/>
      <c r="H103" s="288"/>
      <c r="I103" s="288"/>
      <c r="J103" s="288"/>
      <c r="K103" s="288"/>
      <c r="L103" s="288"/>
      <c r="M103" s="288"/>
      <c r="N103" s="288"/>
      <c r="O103" s="288"/>
      <c r="P103" s="288"/>
      <c r="Q103" s="288"/>
      <c r="R103" s="288"/>
      <c r="S103" s="288"/>
      <c r="T103" s="288"/>
      <c r="U103" s="288"/>
      <c r="V103" s="338">
        <v>0</v>
      </c>
      <c r="W103" s="291"/>
      <c r="X103" s="5"/>
    </row>
    <row r="104" spans="1:25" ht="15.6" x14ac:dyDescent="0.3">
      <c r="A104" s="340">
        <f>+A103+1</f>
        <v>2</v>
      </c>
      <c r="B104" s="288" t="s">
        <v>330</v>
      </c>
      <c r="C104" s="288"/>
      <c r="D104" s="288"/>
      <c r="E104" s="288"/>
      <c r="F104" s="288"/>
      <c r="G104" s="288"/>
      <c r="H104" s="288"/>
      <c r="I104" s="288"/>
      <c r="J104" s="288"/>
      <c r="K104" s="288"/>
      <c r="L104" s="288"/>
      <c r="M104" s="288"/>
      <c r="N104" s="288"/>
      <c r="O104" s="288"/>
      <c r="P104" s="288"/>
      <c r="Q104" s="288"/>
      <c r="R104" s="288"/>
      <c r="S104" s="288"/>
      <c r="T104" s="288"/>
      <c r="U104" s="288"/>
      <c r="V104" s="338">
        <v>-2</v>
      </c>
      <c r="W104" s="291"/>
      <c r="X104" s="5"/>
    </row>
    <row r="105" spans="1:25" ht="15.6" x14ac:dyDescent="0.3">
      <c r="A105" s="340">
        <f>+A104+1</f>
        <v>3</v>
      </c>
      <c r="B105" s="288" t="s">
        <v>331</v>
      </c>
      <c r="C105" s="288"/>
      <c r="D105" s="288"/>
      <c r="E105" s="288"/>
      <c r="F105" s="288"/>
      <c r="G105" s="288"/>
      <c r="H105" s="288"/>
      <c r="I105" s="288"/>
      <c r="J105" s="288"/>
      <c r="K105" s="288"/>
      <c r="L105" s="288"/>
      <c r="M105" s="288"/>
      <c r="N105" s="288"/>
      <c r="O105" s="288"/>
      <c r="P105" s="288"/>
      <c r="Q105" s="288"/>
      <c r="R105" s="288"/>
      <c r="S105" s="288"/>
      <c r="T105" s="288"/>
      <c r="U105" s="288"/>
      <c r="V105" s="338">
        <f>-134-231-13</f>
        <v>-378</v>
      </c>
      <c r="W105" s="291"/>
      <c r="X105" s="5"/>
    </row>
    <row r="106" spans="1:25" ht="15.6" x14ac:dyDescent="0.3">
      <c r="A106" s="340" t="s">
        <v>127</v>
      </c>
      <c r="B106" s="288" t="s">
        <v>116</v>
      </c>
      <c r="C106" s="288"/>
      <c r="D106" s="288"/>
      <c r="E106" s="288"/>
      <c r="F106" s="288"/>
      <c r="G106" s="288"/>
      <c r="H106" s="288"/>
      <c r="I106" s="288"/>
      <c r="J106" s="288"/>
      <c r="K106" s="288"/>
      <c r="L106" s="288"/>
      <c r="M106" s="288"/>
      <c r="N106" s="288"/>
      <c r="O106" s="288"/>
      <c r="P106" s="288"/>
      <c r="Q106" s="288"/>
      <c r="R106" s="288"/>
      <c r="S106" s="288"/>
      <c r="T106" s="288"/>
      <c r="U106" s="288"/>
      <c r="V106" s="338">
        <v>0</v>
      </c>
      <c r="W106" s="291"/>
      <c r="X106" s="5"/>
    </row>
    <row r="107" spans="1:25" ht="15.6" x14ac:dyDescent="0.3">
      <c r="A107" s="340" t="s">
        <v>128</v>
      </c>
      <c r="B107" s="288" t="s">
        <v>222</v>
      </c>
      <c r="C107" s="288"/>
      <c r="D107" s="288"/>
      <c r="E107" s="288"/>
      <c r="F107" s="288"/>
      <c r="G107" s="288"/>
      <c r="H107" s="288"/>
      <c r="I107" s="288"/>
      <c r="J107" s="288"/>
      <c r="K107" s="288"/>
      <c r="L107" s="288"/>
      <c r="M107" s="288"/>
      <c r="N107" s="288"/>
      <c r="O107" s="288"/>
      <c r="P107" s="288"/>
      <c r="Q107" s="288"/>
      <c r="R107" s="288"/>
      <c r="S107" s="288"/>
      <c r="T107" s="288"/>
      <c r="U107" s="288"/>
      <c r="V107" s="338">
        <f>-1624+151</f>
        <v>-1473</v>
      </c>
      <c r="W107" s="291"/>
      <c r="X107" s="5"/>
      <c r="Y107" s="109"/>
    </row>
    <row r="108" spans="1:25" ht="15.6" x14ac:dyDescent="0.3">
      <c r="A108" s="340" t="s">
        <v>150</v>
      </c>
      <c r="B108" s="288" t="s">
        <v>184</v>
      </c>
      <c r="C108" s="288"/>
      <c r="D108" s="288"/>
      <c r="E108" s="288"/>
      <c r="F108" s="288"/>
      <c r="G108" s="288"/>
      <c r="H108" s="288"/>
      <c r="I108" s="288"/>
      <c r="J108" s="288"/>
      <c r="K108" s="288"/>
      <c r="L108" s="288"/>
      <c r="M108" s="288"/>
      <c r="N108" s="288"/>
      <c r="O108" s="288"/>
      <c r="P108" s="288"/>
      <c r="Q108" s="288"/>
      <c r="R108" s="288"/>
      <c r="S108" s="288"/>
      <c r="T108" s="288"/>
      <c r="U108" s="288"/>
      <c r="V108" s="338">
        <v>-151</v>
      </c>
      <c r="W108" s="291"/>
      <c r="X108" s="5"/>
      <c r="Y108" s="109"/>
    </row>
    <row r="109" spans="1:25" ht="15.6" x14ac:dyDescent="0.3">
      <c r="A109" s="340" t="s">
        <v>236</v>
      </c>
      <c r="B109" s="288" t="s">
        <v>238</v>
      </c>
      <c r="C109" s="288"/>
      <c r="D109" s="288"/>
      <c r="E109" s="288"/>
      <c r="F109" s="288"/>
      <c r="G109" s="288"/>
      <c r="H109" s="288"/>
      <c r="I109" s="288"/>
      <c r="J109" s="288"/>
      <c r="K109" s="288"/>
      <c r="L109" s="288"/>
      <c r="M109" s="288"/>
      <c r="N109" s="288"/>
      <c r="O109" s="288"/>
      <c r="P109" s="288"/>
      <c r="Q109" s="288"/>
      <c r="R109" s="288"/>
      <c r="S109" s="288"/>
      <c r="T109" s="288"/>
      <c r="U109" s="288"/>
      <c r="V109" s="338">
        <v>-1</v>
      </c>
      <c r="W109" s="291"/>
      <c r="X109" s="5"/>
    </row>
    <row r="110" spans="1:25" ht="15.6" x14ac:dyDescent="0.3">
      <c r="A110" s="340" t="s">
        <v>205</v>
      </c>
      <c r="B110" s="288" t="s">
        <v>185</v>
      </c>
      <c r="C110" s="288"/>
      <c r="D110" s="288"/>
      <c r="E110" s="288"/>
      <c r="F110" s="288"/>
      <c r="G110" s="288"/>
      <c r="H110" s="288"/>
      <c r="I110" s="288"/>
      <c r="J110" s="288"/>
      <c r="K110" s="288"/>
      <c r="L110" s="288"/>
      <c r="M110" s="288"/>
      <c r="N110" s="288"/>
      <c r="O110" s="288"/>
      <c r="P110" s="288"/>
      <c r="Q110" s="288"/>
      <c r="R110" s="288"/>
      <c r="S110" s="288"/>
      <c r="T110" s="288"/>
      <c r="U110" s="288"/>
      <c r="V110" s="338">
        <v>-143</v>
      </c>
      <c r="W110" s="291"/>
      <c r="X110" s="5"/>
      <c r="Y110" s="109"/>
    </row>
    <row r="111" spans="1:25" ht="15.6" x14ac:dyDescent="0.3">
      <c r="A111" s="340" t="s">
        <v>206</v>
      </c>
      <c r="B111" s="288" t="s">
        <v>186</v>
      </c>
      <c r="C111" s="288"/>
      <c r="D111" s="288"/>
      <c r="E111" s="288"/>
      <c r="F111" s="288"/>
      <c r="G111" s="288"/>
      <c r="H111" s="288"/>
      <c r="I111" s="288"/>
      <c r="J111" s="288"/>
      <c r="K111" s="288"/>
      <c r="L111" s="288"/>
      <c r="M111" s="288"/>
      <c r="N111" s="288"/>
      <c r="O111" s="288"/>
      <c r="P111" s="288"/>
      <c r="Q111" s="288"/>
      <c r="R111" s="288"/>
      <c r="S111" s="288"/>
      <c r="T111" s="288"/>
      <c r="U111" s="288"/>
      <c r="V111" s="338">
        <v>-114</v>
      </c>
      <c r="W111" s="291"/>
      <c r="X111" s="179"/>
      <c r="Y111" s="109"/>
    </row>
    <row r="112" spans="1:25" ht="15.6" x14ac:dyDescent="0.3">
      <c r="A112" s="340" t="s">
        <v>207</v>
      </c>
      <c r="B112" s="288" t="s">
        <v>196</v>
      </c>
      <c r="C112" s="288"/>
      <c r="D112" s="288"/>
      <c r="E112" s="288"/>
      <c r="F112" s="288"/>
      <c r="G112" s="288"/>
      <c r="H112" s="288"/>
      <c r="I112" s="288"/>
      <c r="J112" s="288"/>
      <c r="K112" s="288"/>
      <c r="L112" s="288"/>
      <c r="M112" s="288"/>
      <c r="N112" s="288"/>
      <c r="O112" s="288"/>
      <c r="P112" s="288"/>
      <c r="Q112" s="288"/>
      <c r="R112" s="288"/>
      <c r="S112" s="288"/>
      <c r="T112" s="288"/>
      <c r="U112" s="288"/>
      <c r="V112" s="338">
        <v>-321</v>
      </c>
      <c r="W112" s="291"/>
      <c r="X112" s="5"/>
      <c r="Y112" s="109"/>
    </row>
    <row r="113" spans="1:25" ht="15.6" x14ac:dyDescent="0.3">
      <c r="A113" s="340" t="s">
        <v>224</v>
      </c>
      <c r="B113" s="288" t="s">
        <v>223</v>
      </c>
      <c r="C113" s="288"/>
      <c r="D113" s="288"/>
      <c r="E113" s="288"/>
      <c r="F113" s="288"/>
      <c r="G113" s="288"/>
      <c r="H113" s="288"/>
      <c r="I113" s="288"/>
      <c r="J113" s="288"/>
      <c r="K113" s="288"/>
      <c r="L113" s="288"/>
      <c r="M113" s="288"/>
      <c r="N113" s="288"/>
      <c r="O113" s="288"/>
      <c r="P113" s="288"/>
      <c r="Q113" s="288"/>
      <c r="R113" s="288"/>
      <c r="S113" s="288"/>
      <c r="T113" s="288"/>
      <c r="U113" s="288"/>
      <c r="V113" s="338">
        <v>-64</v>
      </c>
      <c r="W113" s="291"/>
      <c r="X113" s="5"/>
      <c r="Y113" s="109"/>
    </row>
    <row r="114" spans="1:25" ht="15.6" x14ac:dyDescent="0.3">
      <c r="A114" s="340">
        <v>7</v>
      </c>
      <c r="B114" s="288" t="s">
        <v>35</v>
      </c>
      <c r="C114" s="288"/>
      <c r="D114" s="288"/>
      <c r="E114" s="288"/>
      <c r="F114" s="288"/>
      <c r="G114" s="288"/>
      <c r="H114" s="288"/>
      <c r="I114" s="288"/>
      <c r="J114" s="288"/>
      <c r="K114" s="288"/>
      <c r="L114" s="288"/>
      <c r="M114" s="288"/>
      <c r="N114" s="288"/>
      <c r="O114" s="288"/>
      <c r="P114" s="288"/>
      <c r="Q114" s="288"/>
      <c r="R114" s="288"/>
      <c r="S114" s="288"/>
      <c r="T114" s="288"/>
      <c r="U114" s="288"/>
      <c r="V114" s="338">
        <v>-8</v>
      </c>
      <c r="W114" s="291"/>
      <c r="X114" s="5"/>
    </row>
    <row r="115" spans="1:25" ht="15.6" x14ac:dyDescent="0.3">
      <c r="A115" s="340">
        <f t="shared" ref="A115:A121" si="0">+A114+1</f>
        <v>8</v>
      </c>
      <c r="B115" s="288" t="s">
        <v>45</v>
      </c>
      <c r="C115" s="288"/>
      <c r="D115" s="288"/>
      <c r="E115" s="288"/>
      <c r="F115" s="288"/>
      <c r="G115" s="288"/>
      <c r="H115" s="288"/>
      <c r="I115" s="288"/>
      <c r="J115" s="288"/>
      <c r="K115" s="288"/>
      <c r="L115" s="288"/>
      <c r="M115" s="288"/>
      <c r="N115" s="288"/>
      <c r="O115" s="288"/>
      <c r="P115" s="288"/>
      <c r="Q115" s="288"/>
      <c r="R115" s="288"/>
      <c r="S115" s="288"/>
      <c r="T115" s="337">
        <f>-V115</f>
        <v>409</v>
      </c>
      <c r="U115" s="288"/>
      <c r="V115" s="338">
        <v>-409</v>
      </c>
      <c r="W115" s="291"/>
      <c r="X115" s="5"/>
    </row>
    <row r="116" spans="1:25" ht="15.6" x14ac:dyDescent="0.3">
      <c r="A116" s="340">
        <f t="shared" si="0"/>
        <v>9</v>
      </c>
      <c r="B116" s="288" t="s">
        <v>125</v>
      </c>
      <c r="C116" s="288"/>
      <c r="D116" s="288"/>
      <c r="E116" s="288"/>
      <c r="F116" s="288"/>
      <c r="G116" s="288"/>
      <c r="H116" s="288"/>
      <c r="I116" s="288"/>
      <c r="J116" s="288"/>
      <c r="K116" s="288"/>
      <c r="L116" s="288"/>
      <c r="M116" s="288"/>
      <c r="N116" s="288"/>
      <c r="O116" s="288"/>
      <c r="P116" s="288"/>
      <c r="Q116" s="288"/>
      <c r="R116" s="288"/>
      <c r="S116" s="288"/>
      <c r="T116" s="288"/>
      <c r="U116" s="288"/>
      <c r="V116" s="338">
        <v>0</v>
      </c>
      <c r="W116" s="291"/>
      <c r="X116" s="5"/>
    </row>
    <row r="117" spans="1:25" ht="15.6" x14ac:dyDescent="0.3">
      <c r="A117" s="340">
        <f t="shared" si="0"/>
        <v>10</v>
      </c>
      <c r="B117" s="288" t="s">
        <v>240</v>
      </c>
      <c r="C117" s="288"/>
      <c r="D117" s="288"/>
      <c r="E117" s="288"/>
      <c r="F117" s="288"/>
      <c r="G117" s="288"/>
      <c r="H117" s="288"/>
      <c r="I117" s="288"/>
      <c r="J117" s="288"/>
      <c r="K117" s="288"/>
      <c r="L117" s="288"/>
      <c r="M117" s="288"/>
      <c r="N117" s="288"/>
      <c r="O117" s="288"/>
      <c r="P117" s="288"/>
      <c r="Q117" s="288"/>
      <c r="R117" s="288"/>
      <c r="S117" s="288"/>
      <c r="T117" s="288"/>
      <c r="U117" s="288"/>
      <c r="V117" s="338">
        <v>0</v>
      </c>
      <c r="W117" s="291"/>
      <c r="X117" s="5"/>
    </row>
    <row r="118" spans="1:25" ht="15.6" x14ac:dyDescent="0.3">
      <c r="A118" s="340">
        <f t="shared" si="0"/>
        <v>11</v>
      </c>
      <c r="B118" s="288" t="s">
        <v>36</v>
      </c>
      <c r="C118" s="288"/>
      <c r="D118" s="288"/>
      <c r="E118" s="288"/>
      <c r="F118" s="288"/>
      <c r="G118" s="288"/>
      <c r="H118" s="288"/>
      <c r="I118" s="288"/>
      <c r="J118" s="288"/>
      <c r="K118" s="288"/>
      <c r="L118" s="288"/>
      <c r="M118" s="288"/>
      <c r="N118" s="288"/>
      <c r="O118" s="288"/>
      <c r="P118" s="288"/>
      <c r="Q118" s="288"/>
      <c r="R118" s="288"/>
      <c r="S118" s="288"/>
      <c r="T118" s="288"/>
      <c r="U118" s="288"/>
      <c r="V118" s="338">
        <v>0</v>
      </c>
      <c r="W118" s="291"/>
      <c r="X118" s="5"/>
    </row>
    <row r="119" spans="1:25" ht="15.6" x14ac:dyDescent="0.3">
      <c r="A119" s="340">
        <f t="shared" si="0"/>
        <v>12</v>
      </c>
      <c r="B119" s="288" t="s">
        <v>239</v>
      </c>
      <c r="C119" s="288"/>
      <c r="D119" s="288"/>
      <c r="E119" s="288"/>
      <c r="F119" s="288"/>
      <c r="G119" s="288"/>
      <c r="H119" s="288"/>
      <c r="I119" s="288"/>
      <c r="J119" s="288"/>
      <c r="K119" s="288"/>
      <c r="L119" s="288"/>
      <c r="M119" s="288"/>
      <c r="N119" s="288"/>
      <c r="O119" s="288"/>
      <c r="P119" s="288"/>
      <c r="Q119" s="288"/>
      <c r="R119" s="288"/>
      <c r="S119" s="288"/>
      <c r="T119" s="288"/>
      <c r="U119" s="288"/>
      <c r="V119" s="338">
        <v>0</v>
      </c>
      <c r="W119" s="291"/>
      <c r="X119" s="5"/>
    </row>
    <row r="120" spans="1:25" ht="15.6" x14ac:dyDescent="0.3">
      <c r="A120" s="340">
        <f t="shared" si="0"/>
        <v>13</v>
      </c>
      <c r="B120" s="288" t="s">
        <v>149</v>
      </c>
      <c r="C120" s="288"/>
      <c r="D120" s="288"/>
      <c r="E120" s="288"/>
      <c r="F120" s="288"/>
      <c r="G120" s="288"/>
      <c r="H120" s="288"/>
      <c r="I120" s="288"/>
      <c r="J120" s="288"/>
      <c r="K120" s="288"/>
      <c r="L120" s="288"/>
      <c r="M120" s="288"/>
      <c r="N120" s="288"/>
      <c r="O120" s="288"/>
      <c r="P120" s="288"/>
      <c r="Q120" s="288"/>
      <c r="R120" s="288"/>
      <c r="S120" s="288"/>
      <c r="T120" s="288"/>
      <c r="U120" s="288"/>
      <c r="V120" s="338">
        <v>-669</v>
      </c>
      <c r="W120" s="291"/>
      <c r="X120" s="5"/>
    </row>
    <row r="121" spans="1:25" ht="15.6" x14ac:dyDescent="0.3">
      <c r="A121" s="340">
        <f t="shared" si="0"/>
        <v>14</v>
      </c>
      <c r="B121" s="288" t="s">
        <v>126</v>
      </c>
      <c r="C121" s="288"/>
      <c r="D121" s="288"/>
      <c r="E121" s="288"/>
      <c r="F121" s="288"/>
      <c r="G121" s="288"/>
      <c r="H121" s="288"/>
      <c r="I121" s="288"/>
      <c r="J121" s="288"/>
      <c r="K121" s="288"/>
      <c r="L121" s="288"/>
      <c r="M121" s="288"/>
      <c r="N121" s="288"/>
      <c r="O121" s="288"/>
      <c r="P121" s="288"/>
      <c r="Q121" s="288"/>
      <c r="R121" s="288"/>
      <c r="S121" s="288"/>
      <c r="T121" s="288"/>
      <c r="U121" s="288"/>
      <c r="V121" s="338">
        <f>-V101-SUM(V103:V120)</f>
        <v>-3300</v>
      </c>
      <c r="W121" s="291"/>
      <c r="X121" s="5"/>
    </row>
    <row r="122" spans="1:25" ht="15.6" x14ac:dyDescent="0.3">
      <c r="A122" s="287"/>
      <c r="B122" s="343" t="s">
        <v>37</v>
      </c>
      <c r="C122" s="314"/>
      <c r="D122" s="314"/>
      <c r="E122" s="314"/>
      <c r="F122" s="314"/>
      <c r="G122" s="314"/>
      <c r="H122" s="314"/>
      <c r="I122" s="314"/>
      <c r="J122" s="314"/>
      <c r="K122" s="314"/>
      <c r="L122" s="314"/>
      <c r="M122" s="314"/>
      <c r="N122" s="314"/>
      <c r="O122" s="314"/>
      <c r="P122" s="314"/>
      <c r="Q122" s="314"/>
      <c r="R122" s="314"/>
      <c r="S122" s="314"/>
      <c r="T122" s="314"/>
      <c r="U122" s="314"/>
      <c r="V122" s="346"/>
      <c r="W122" s="318"/>
      <c r="X122" s="5"/>
    </row>
    <row r="123" spans="1:25" ht="15.6" x14ac:dyDescent="0.3">
      <c r="A123" s="340"/>
      <c r="B123" s="288" t="s">
        <v>173</v>
      </c>
      <c r="C123" s="288"/>
      <c r="D123" s="288"/>
      <c r="E123" s="288"/>
      <c r="F123" s="288"/>
      <c r="G123" s="288"/>
      <c r="H123" s="288"/>
      <c r="I123" s="288"/>
      <c r="J123" s="288"/>
      <c r="K123" s="288"/>
      <c r="L123" s="288"/>
      <c r="M123" s="288"/>
      <c r="N123" s="288"/>
      <c r="O123" s="288"/>
      <c r="P123" s="288"/>
      <c r="Q123" s="288"/>
      <c r="R123" s="288"/>
      <c r="S123" s="288"/>
      <c r="T123" s="337">
        <f>-T189</f>
        <v>0</v>
      </c>
      <c r="U123" s="337"/>
      <c r="V123" s="338"/>
      <c r="W123" s="291"/>
      <c r="X123" s="5"/>
    </row>
    <row r="124" spans="1:25" ht="15.6" x14ac:dyDescent="0.3">
      <c r="A124" s="340"/>
      <c r="B124" s="288" t="s">
        <v>174</v>
      </c>
      <c r="C124" s="288"/>
      <c r="D124" s="288"/>
      <c r="E124" s="288"/>
      <c r="F124" s="288"/>
      <c r="G124" s="288"/>
      <c r="H124" s="288"/>
      <c r="I124" s="288"/>
      <c r="J124" s="288"/>
      <c r="K124" s="288"/>
      <c r="L124" s="288"/>
      <c r="M124" s="288"/>
      <c r="N124" s="288"/>
      <c r="O124" s="288"/>
      <c r="P124" s="288"/>
      <c r="Q124" s="288"/>
      <c r="R124" s="288"/>
      <c r="S124" s="288"/>
      <c r="T124" s="337">
        <v>0</v>
      </c>
      <c r="U124" s="337"/>
      <c r="V124" s="338"/>
      <c r="W124" s="291"/>
      <c r="X124" s="5"/>
    </row>
    <row r="125" spans="1:25" ht="15.6" x14ac:dyDescent="0.3">
      <c r="A125" s="340"/>
      <c r="B125" s="288" t="s">
        <v>38</v>
      </c>
      <c r="C125" s="288"/>
      <c r="D125" s="288"/>
      <c r="E125" s="288"/>
      <c r="F125" s="288"/>
      <c r="G125" s="288"/>
      <c r="H125" s="288"/>
      <c r="I125" s="288"/>
      <c r="J125" s="288"/>
      <c r="K125" s="288"/>
      <c r="L125" s="288"/>
      <c r="M125" s="288"/>
      <c r="N125" s="288"/>
      <c r="O125" s="288"/>
      <c r="P125" s="288"/>
      <c r="Q125" s="288"/>
      <c r="R125" s="288"/>
      <c r="S125" s="288"/>
      <c r="T125" s="337">
        <f>-S189</f>
        <v>-98</v>
      </c>
      <c r="U125" s="337"/>
      <c r="V125" s="338"/>
      <c r="W125" s="291"/>
      <c r="X125" s="5"/>
    </row>
    <row r="126" spans="1:25" ht="15.6" x14ac:dyDescent="0.3">
      <c r="A126" s="340"/>
      <c r="B126" s="288" t="s">
        <v>197</v>
      </c>
      <c r="C126" s="288"/>
      <c r="D126" s="288"/>
      <c r="E126" s="288"/>
      <c r="F126" s="288"/>
      <c r="G126" s="288"/>
      <c r="H126" s="288"/>
      <c r="I126" s="288"/>
      <c r="J126" s="288"/>
      <c r="K126" s="288"/>
      <c r="L126" s="288"/>
      <c r="M126" s="288"/>
      <c r="N126" s="288"/>
      <c r="O126" s="288"/>
      <c r="P126" s="288"/>
      <c r="Q126" s="288"/>
      <c r="R126" s="288"/>
      <c r="S126" s="288"/>
      <c r="T126" s="337">
        <v>-5016</v>
      </c>
      <c r="U126" s="337"/>
      <c r="V126" s="338"/>
      <c r="W126" s="291"/>
      <c r="X126" s="5"/>
    </row>
    <row r="127" spans="1:25" ht="15.6" x14ac:dyDescent="0.3">
      <c r="A127" s="340"/>
      <c r="B127" s="288" t="s">
        <v>195</v>
      </c>
      <c r="C127" s="288"/>
      <c r="D127" s="288"/>
      <c r="E127" s="288"/>
      <c r="F127" s="288"/>
      <c r="G127" s="288"/>
      <c r="H127" s="288"/>
      <c r="I127" s="288"/>
      <c r="J127" s="288"/>
      <c r="K127" s="288"/>
      <c r="L127" s="288"/>
      <c r="M127" s="288"/>
      <c r="N127" s="288"/>
      <c r="O127" s="288"/>
      <c r="P127" s="288"/>
      <c r="Q127" s="288"/>
      <c r="R127" s="288"/>
      <c r="S127" s="288"/>
      <c r="T127" s="337">
        <v>-809</v>
      </c>
      <c r="U127" s="337"/>
      <c r="V127" s="338"/>
      <c r="W127" s="291"/>
      <c r="X127" s="5"/>
    </row>
    <row r="128" spans="1:25" ht="15.6" x14ac:dyDescent="0.3">
      <c r="A128" s="340"/>
      <c r="B128" s="288" t="s">
        <v>194</v>
      </c>
      <c r="C128" s="288"/>
      <c r="D128" s="288"/>
      <c r="E128" s="288"/>
      <c r="F128" s="288"/>
      <c r="G128" s="288"/>
      <c r="H128" s="288"/>
      <c r="I128" s="288"/>
      <c r="J128" s="288"/>
      <c r="K128" s="288"/>
      <c r="L128" s="288"/>
      <c r="M128" s="288"/>
      <c r="N128" s="288"/>
      <c r="O128" s="288"/>
      <c r="P128" s="288"/>
      <c r="Q128" s="288"/>
      <c r="R128" s="288"/>
      <c r="S128" s="288"/>
      <c r="T128" s="337">
        <v>-1088</v>
      </c>
      <c r="U128" s="337"/>
      <c r="V128" s="338"/>
      <c r="W128" s="291"/>
      <c r="X128" s="5"/>
    </row>
    <row r="129" spans="1:24" ht="15.6" x14ac:dyDescent="0.3">
      <c r="A129" s="340"/>
      <c r="B129" s="288" t="s">
        <v>226</v>
      </c>
      <c r="C129" s="288"/>
      <c r="D129" s="288"/>
      <c r="E129" s="288"/>
      <c r="F129" s="288"/>
      <c r="G129" s="288"/>
      <c r="H129" s="288"/>
      <c r="I129" s="288"/>
      <c r="J129" s="288"/>
      <c r="K129" s="288"/>
      <c r="L129" s="288"/>
      <c r="M129" s="288"/>
      <c r="N129" s="288"/>
      <c r="O129" s="288"/>
      <c r="P129" s="288"/>
      <c r="Q129" s="288"/>
      <c r="R129" s="288"/>
      <c r="S129" s="288"/>
      <c r="T129" s="337">
        <v>-1337</v>
      </c>
      <c r="U129" s="337"/>
      <c r="V129" s="338"/>
      <c r="W129" s="291"/>
      <c r="X129" s="5"/>
    </row>
    <row r="130" spans="1:24" ht="15.6" x14ac:dyDescent="0.3">
      <c r="A130" s="340"/>
      <c r="B130" s="288" t="s">
        <v>189</v>
      </c>
      <c r="C130" s="288"/>
      <c r="D130" s="288"/>
      <c r="E130" s="288"/>
      <c r="F130" s="288"/>
      <c r="G130" s="288"/>
      <c r="H130" s="288"/>
      <c r="I130" s="288"/>
      <c r="J130" s="288"/>
      <c r="K130" s="288"/>
      <c r="L130" s="288"/>
      <c r="M130" s="288"/>
      <c r="N130" s="288"/>
      <c r="O130" s="288"/>
      <c r="P130" s="288"/>
      <c r="Q130" s="288"/>
      <c r="R130" s="288"/>
      <c r="S130" s="288"/>
      <c r="T130" s="337">
        <v>0</v>
      </c>
      <c r="U130" s="337"/>
      <c r="V130" s="338"/>
      <c r="W130" s="291"/>
      <c r="X130" s="5"/>
    </row>
    <row r="131" spans="1:24" ht="15.6" x14ac:dyDescent="0.3">
      <c r="A131" s="340"/>
      <c r="B131" s="288" t="s">
        <v>188</v>
      </c>
      <c r="C131" s="288"/>
      <c r="D131" s="288"/>
      <c r="E131" s="288"/>
      <c r="F131" s="288"/>
      <c r="G131" s="288"/>
      <c r="H131" s="288"/>
      <c r="I131" s="288"/>
      <c r="J131" s="288"/>
      <c r="K131" s="288"/>
      <c r="L131" s="288"/>
      <c r="M131" s="288"/>
      <c r="N131" s="288"/>
      <c r="O131" s="288"/>
      <c r="P131" s="288"/>
      <c r="Q131" s="288"/>
      <c r="R131" s="288"/>
      <c r="S131" s="288"/>
      <c r="T131" s="337">
        <v>0</v>
      </c>
      <c r="U131" s="337"/>
      <c r="V131" s="338"/>
      <c r="W131" s="291"/>
      <c r="X131" s="5"/>
    </row>
    <row r="132" spans="1:24" ht="15.6" x14ac:dyDescent="0.3">
      <c r="A132" s="340"/>
      <c r="B132" s="288" t="s">
        <v>227</v>
      </c>
      <c r="C132" s="288"/>
      <c r="D132" s="288"/>
      <c r="E132" s="288"/>
      <c r="F132" s="288"/>
      <c r="G132" s="288"/>
      <c r="H132" s="288"/>
      <c r="I132" s="288"/>
      <c r="J132" s="288"/>
      <c r="K132" s="288"/>
      <c r="L132" s="288"/>
      <c r="M132" s="288"/>
      <c r="N132" s="288"/>
      <c r="O132" s="288"/>
      <c r="P132" s="288"/>
      <c r="Q132" s="288"/>
      <c r="R132" s="288"/>
      <c r="S132" s="288"/>
      <c r="T132" s="337">
        <v>0</v>
      </c>
      <c r="U132" s="337"/>
      <c r="V132" s="338"/>
      <c r="W132" s="291"/>
      <c r="X132" s="5"/>
    </row>
    <row r="133" spans="1:24" ht="15.6" x14ac:dyDescent="0.3">
      <c r="A133" s="340"/>
      <c r="B133" s="288" t="s">
        <v>187</v>
      </c>
      <c r="C133" s="288"/>
      <c r="D133" s="288"/>
      <c r="E133" s="288"/>
      <c r="F133" s="288"/>
      <c r="G133" s="288"/>
      <c r="H133" s="288"/>
      <c r="I133" s="288"/>
      <c r="J133" s="288"/>
      <c r="K133" s="288"/>
      <c r="L133" s="288"/>
      <c r="M133" s="288"/>
      <c r="N133" s="288"/>
      <c r="O133" s="288"/>
      <c r="P133" s="288"/>
      <c r="Q133" s="288"/>
      <c r="R133" s="288"/>
      <c r="S133" s="288"/>
      <c r="T133" s="337">
        <v>0</v>
      </c>
      <c r="U133" s="337"/>
      <c r="V133" s="338"/>
      <c r="W133" s="291"/>
      <c r="X133" s="5"/>
    </row>
    <row r="134" spans="1:24" ht="15.6" x14ac:dyDescent="0.3">
      <c r="A134" s="340"/>
      <c r="B134" s="288" t="s">
        <v>39</v>
      </c>
      <c r="C134" s="288"/>
      <c r="D134" s="288"/>
      <c r="E134" s="288"/>
      <c r="F134" s="288"/>
      <c r="G134" s="288"/>
      <c r="H134" s="288"/>
      <c r="I134" s="288"/>
      <c r="J134" s="288"/>
      <c r="K134" s="288"/>
      <c r="L134" s="288"/>
      <c r="M134" s="288"/>
      <c r="N134" s="288"/>
      <c r="O134" s="288"/>
      <c r="P134" s="288"/>
      <c r="Q134" s="288"/>
      <c r="R134" s="288"/>
      <c r="S134" s="288"/>
      <c r="T134" s="337">
        <f>SUM(T123:T133)</f>
        <v>-8348</v>
      </c>
      <c r="U134" s="337"/>
      <c r="V134" s="337">
        <f>SUM(V102:V131)</f>
        <v>-7033</v>
      </c>
      <c r="W134" s="291"/>
      <c r="X134" s="5"/>
    </row>
    <row r="135" spans="1:24" ht="15.6" x14ac:dyDescent="0.3">
      <c r="A135" s="340"/>
      <c r="B135" s="288" t="s">
        <v>40</v>
      </c>
      <c r="C135" s="288"/>
      <c r="D135" s="288"/>
      <c r="E135" s="288"/>
      <c r="F135" s="288"/>
      <c r="G135" s="288"/>
      <c r="H135" s="288"/>
      <c r="I135" s="288"/>
      <c r="J135" s="288"/>
      <c r="K135" s="288"/>
      <c r="L135" s="288"/>
      <c r="M135" s="288"/>
      <c r="N135" s="288"/>
      <c r="O135" s="288"/>
      <c r="P135" s="288"/>
      <c r="Q135" s="288"/>
      <c r="R135" s="288"/>
      <c r="S135" s="288"/>
      <c r="T135" s="337">
        <f>T101+T134+T115</f>
        <v>0</v>
      </c>
      <c r="U135" s="337"/>
      <c r="V135" s="337">
        <f>V101+V134</f>
        <v>0</v>
      </c>
      <c r="W135" s="291"/>
      <c r="X135" s="5"/>
    </row>
    <row r="136" spans="1:24" ht="15.6" x14ac:dyDescent="0.3">
      <c r="A136" s="243"/>
      <c r="B136" s="284"/>
      <c r="C136" s="284"/>
      <c r="D136" s="284"/>
      <c r="E136" s="284"/>
      <c r="F136" s="284"/>
      <c r="G136" s="284"/>
      <c r="H136" s="284"/>
      <c r="I136" s="284"/>
      <c r="J136" s="284"/>
      <c r="K136" s="284"/>
      <c r="L136" s="284"/>
      <c r="M136" s="284"/>
      <c r="N136" s="284"/>
      <c r="O136" s="284"/>
      <c r="P136" s="284"/>
      <c r="Q136" s="284"/>
      <c r="R136" s="284"/>
      <c r="S136" s="284"/>
      <c r="T136" s="339"/>
      <c r="U136" s="339"/>
      <c r="V136" s="339"/>
      <c r="W136" s="284"/>
      <c r="X136" s="5"/>
    </row>
    <row r="137" spans="1:24" ht="15.6" x14ac:dyDescent="0.3">
      <c r="A137" s="243"/>
      <c r="B137" s="224"/>
      <c r="C137" s="224"/>
      <c r="D137" s="224"/>
      <c r="E137" s="224"/>
      <c r="F137" s="224"/>
      <c r="G137" s="224"/>
      <c r="H137" s="224"/>
      <c r="I137" s="224"/>
      <c r="J137" s="224"/>
      <c r="K137" s="224"/>
      <c r="L137" s="224"/>
      <c r="M137" s="224"/>
      <c r="N137" s="224"/>
      <c r="O137" s="224"/>
      <c r="P137" s="224"/>
      <c r="Q137" s="224"/>
      <c r="R137" s="224"/>
      <c r="S137" s="224"/>
      <c r="T137" s="224"/>
      <c r="U137" s="224"/>
      <c r="V137" s="244"/>
      <c r="W137" s="224"/>
      <c r="X137" s="5"/>
    </row>
    <row r="138" spans="1:24" ht="18" thickBot="1" x14ac:dyDescent="0.35">
      <c r="A138" s="245"/>
      <c r="B138" s="237" t="str">
        <f>B64</f>
        <v>PM14 INVESTOR REPORT QUARTER ENDING FEBRUARY 2014</v>
      </c>
      <c r="C138" s="238"/>
      <c r="D138" s="238"/>
      <c r="E138" s="238"/>
      <c r="F138" s="238"/>
      <c r="G138" s="238"/>
      <c r="H138" s="238"/>
      <c r="I138" s="238"/>
      <c r="J138" s="238"/>
      <c r="K138" s="238"/>
      <c r="L138" s="238"/>
      <c r="M138" s="238"/>
      <c r="N138" s="238"/>
      <c r="O138" s="238"/>
      <c r="P138" s="238"/>
      <c r="Q138" s="238"/>
      <c r="R138" s="238"/>
      <c r="S138" s="238"/>
      <c r="T138" s="238"/>
      <c r="U138" s="238"/>
      <c r="V138" s="246"/>
      <c r="W138" s="240"/>
      <c r="X138" s="5"/>
    </row>
    <row r="139" spans="1:24" ht="15.6" x14ac:dyDescent="0.3">
      <c r="A139" s="273"/>
      <c r="B139" s="403" t="s">
        <v>41</v>
      </c>
      <c r="C139" s="274"/>
      <c r="D139" s="274"/>
      <c r="E139" s="274"/>
      <c r="F139" s="274"/>
      <c r="G139" s="274"/>
      <c r="H139" s="274"/>
      <c r="I139" s="274"/>
      <c r="J139" s="274"/>
      <c r="K139" s="274"/>
      <c r="L139" s="274"/>
      <c r="M139" s="274"/>
      <c r="N139" s="274"/>
      <c r="O139" s="274"/>
      <c r="P139" s="274"/>
      <c r="Q139" s="274"/>
      <c r="R139" s="274"/>
      <c r="S139" s="274"/>
      <c r="T139" s="274"/>
      <c r="U139" s="274"/>
      <c r="V139" s="275"/>
      <c r="W139" s="274"/>
      <c r="X139" s="5"/>
    </row>
    <row r="140" spans="1:24" ht="15.6" x14ac:dyDescent="0.3">
      <c r="A140" s="183"/>
      <c r="B140" s="195"/>
      <c r="C140" s="185"/>
      <c r="D140" s="185"/>
      <c r="E140" s="185"/>
      <c r="F140" s="185"/>
      <c r="G140" s="185"/>
      <c r="H140" s="185"/>
      <c r="I140" s="185"/>
      <c r="J140" s="185"/>
      <c r="K140" s="185"/>
      <c r="L140" s="185"/>
      <c r="M140" s="185"/>
      <c r="N140" s="185"/>
      <c r="O140" s="185"/>
      <c r="P140" s="185"/>
      <c r="Q140" s="185"/>
      <c r="R140" s="185"/>
      <c r="S140" s="185"/>
      <c r="T140" s="185"/>
      <c r="U140" s="185"/>
      <c r="V140" s="201"/>
      <c r="W140" s="185"/>
      <c r="X140" s="5"/>
    </row>
    <row r="141" spans="1:24" ht="15.6" x14ac:dyDescent="0.3">
      <c r="A141" s="183"/>
      <c r="B141" s="208" t="s">
        <v>42</v>
      </c>
      <c r="C141" s="185"/>
      <c r="D141" s="185"/>
      <c r="E141" s="185"/>
      <c r="F141" s="185"/>
      <c r="G141" s="185"/>
      <c r="H141" s="185"/>
      <c r="I141" s="185"/>
      <c r="J141" s="185"/>
      <c r="K141" s="185"/>
      <c r="L141" s="185"/>
      <c r="M141" s="185"/>
      <c r="N141" s="185"/>
      <c r="O141" s="185"/>
      <c r="P141" s="185"/>
      <c r="Q141" s="185"/>
      <c r="R141" s="185"/>
      <c r="S141" s="185"/>
      <c r="T141" s="185"/>
      <c r="U141" s="185"/>
      <c r="V141" s="201"/>
      <c r="W141" s="185"/>
      <c r="X141" s="5"/>
    </row>
    <row r="142" spans="1:24" ht="15.6" x14ac:dyDescent="0.3">
      <c r="A142" s="287"/>
      <c r="B142" s="288" t="s">
        <v>43</v>
      </c>
      <c r="C142" s="288"/>
      <c r="D142" s="288"/>
      <c r="E142" s="288"/>
      <c r="F142" s="288"/>
      <c r="G142" s="288"/>
      <c r="H142" s="288"/>
      <c r="I142" s="288"/>
      <c r="J142" s="288"/>
      <c r="K142" s="288"/>
      <c r="L142" s="288"/>
      <c r="M142" s="288"/>
      <c r="N142" s="288"/>
      <c r="O142" s="288"/>
      <c r="P142" s="288"/>
      <c r="Q142" s="288"/>
      <c r="R142" s="288"/>
      <c r="S142" s="288"/>
      <c r="T142" s="288"/>
      <c r="U142" s="288"/>
      <c r="V142" s="338">
        <f>+V34*0.019</f>
        <v>28505.224999999999</v>
      </c>
      <c r="W142" s="291"/>
      <c r="X142" s="5"/>
    </row>
    <row r="143" spans="1:24" ht="15.6" x14ac:dyDescent="0.3">
      <c r="A143" s="287"/>
      <c r="B143" s="288" t="s">
        <v>44</v>
      </c>
      <c r="C143" s="288"/>
      <c r="D143" s="288"/>
      <c r="E143" s="288"/>
      <c r="F143" s="288"/>
      <c r="G143" s="288"/>
      <c r="H143" s="288"/>
      <c r="I143" s="288"/>
      <c r="J143" s="288"/>
      <c r="K143" s="288"/>
      <c r="L143" s="288"/>
      <c r="M143" s="288"/>
      <c r="N143" s="288"/>
      <c r="O143" s="288"/>
      <c r="P143" s="288"/>
      <c r="Q143" s="288"/>
      <c r="R143" s="288"/>
      <c r="S143" s="288"/>
      <c r="T143" s="288"/>
      <c r="U143" s="288"/>
      <c r="V143" s="338">
        <v>28505</v>
      </c>
      <c r="W143" s="291"/>
      <c r="X143" s="5"/>
    </row>
    <row r="144" spans="1:24" ht="15.6" x14ac:dyDescent="0.3">
      <c r="A144" s="287"/>
      <c r="B144" s="288" t="s">
        <v>136</v>
      </c>
      <c r="C144" s="288"/>
      <c r="D144" s="288"/>
      <c r="E144" s="288"/>
      <c r="F144" s="288"/>
      <c r="G144" s="288"/>
      <c r="H144" s="288"/>
      <c r="I144" s="288"/>
      <c r="J144" s="288"/>
      <c r="K144" s="288"/>
      <c r="L144" s="288"/>
      <c r="M144" s="288"/>
      <c r="N144" s="288"/>
      <c r="O144" s="288"/>
      <c r="P144" s="288"/>
      <c r="Q144" s="288"/>
      <c r="R144" s="288"/>
      <c r="S144" s="288"/>
      <c r="T144" s="288"/>
      <c r="U144" s="288"/>
      <c r="V144" s="338"/>
      <c r="W144" s="291"/>
      <c r="X144" s="5"/>
    </row>
    <row r="145" spans="1:25" ht="15.6" x14ac:dyDescent="0.3">
      <c r="A145" s="287"/>
      <c r="B145" s="288" t="s">
        <v>123</v>
      </c>
      <c r="C145" s="288"/>
      <c r="D145" s="288"/>
      <c r="E145" s="288"/>
      <c r="F145" s="288"/>
      <c r="G145" s="288"/>
      <c r="H145" s="288"/>
      <c r="I145" s="288"/>
      <c r="J145" s="288"/>
      <c r="K145" s="288"/>
      <c r="L145" s="288"/>
      <c r="M145" s="288"/>
      <c r="N145" s="288"/>
      <c r="O145" s="288"/>
      <c r="P145" s="288"/>
      <c r="Q145" s="288"/>
      <c r="R145" s="288"/>
      <c r="S145" s="288"/>
      <c r="T145" s="288"/>
      <c r="U145" s="288"/>
      <c r="V145" s="338">
        <v>0</v>
      </c>
      <c r="W145" s="291"/>
      <c r="X145" s="5"/>
    </row>
    <row r="146" spans="1:25" ht="15.6" x14ac:dyDescent="0.3">
      <c r="A146" s="287"/>
      <c r="B146" s="288" t="s">
        <v>124</v>
      </c>
      <c r="C146" s="288"/>
      <c r="D146" s="288"/>
      <c r="E146" s="288"/>
      <c r="F146" s="288"/>
      <c r="G146" s="288"/>
      <c r="H146" s="288"/>
      <c r="I146" s="288"/>
      <c r="J146" s="288"/>
      <c r="K146" s="288"/>
      <c r="L146" s="288"/>
      <c r="M146" s="288"/>
      <c r="N146" s="288"/>
      <c r="O146" s="288"/>
      <c r="P146" s="288"/>
      <c r="Q146" s="288"/>
      <c r="R146" s="288"/>
      <c r="S146" s="288"/>
      <c r="T146" s="288"/>
      <c r="U146" s="288"/>
      <c r="V146" s="338">
        <v>0</v>
      </c>
      <c r="W146" s="291"/>
      <c r="X146" s="5"/>
    </row>
    <row r="147" spans="1:25" ht="15.6" x14ac:dyDescent="0.3">
      <c r="A147" s="287"/>
      <c r="B147" s="288" t="s">
        <v>175</v>
      </c>
      <c r="C147" s="288"/>
      <c r="D147" s="288"/>
      <c r="E147" s="288"/>
      <c r="F147" s="288"/>
      <c r="G147" s="288"/>
      <c r="H147" s="288"/>
      <c r="I147" s="288"/>
      <c r="J147" s="288"/>
      <c r="K147" s="288"/>
      <c r="L147" s="288"/>
      <c r="M147" s="288"/>
      <c r="N147" s="288"/>
      <c r="O147" s="288"/>
      <c r="P147" s="288"/>
      <c r="Q147" s="288"/>
      <c r="R147" s="288"/>
      <c r="S147" s="288"/>
      <c r="T147" s="288"/>
      <c r="U147" s="288"/>
      <c r="V147" s="338">
        <v>0</v>
      </c>
      <c r="W147" s="291"/>
      <c r="X147" s="5"/>
    </row>
    <row r="148" spans="1:25" ht="15.6" x14ac:dyDescent="0.3">
      <c r="A148" s="287"/>
      <c r="B148" s="288" t="s">
        <v>45</v>
      </c>
      <c r="C148" s="288"/>
      <c r="D148" s="288"/>
      <c r="E148" s="288"/>
      <c r="F148" s="288"/>
      <c r="G148" s="288"/>
      <c r="H148" s="288"/>
      <c r="I148" s="288"/>
      <c r="J148" s="288"/>
      <c r="K148" s="288"/>
      <c r="L148" s="288"/>
      <c r="M148" s="288"/>
      <c r="N148" s="288"/>
      <c r="O148" s="288"/>
      <c r="P148" s="288"/>
      <c r="Q148" s="288"/>
      <c r="R148" s="288"/>
      <c r="S148" s="288"/>
      <c r="T148" s="288"/>
      <c r="U148" s="288"/>
      <c r="V148" s="338">
        <v>0</v>
      </c>
      <c r="W148" s="291"/>
      <c r="X148" s="5"/>
    </row>
    <row r="149" spans="1:25" ht="15.6" x14ac:dyDescent="0.3">
      <c r="A149" s="287"/>
      <c r="B149" s="288" t="s">
        <v>129</v>
      </c>
      <c r="C149" s="288"/>
      <c r="D149" s="288"/>
      <c r="E149" s="288"/>
      <c r="F149" s="288"/>
      <c r="G149" s="288"/>
      <c r="H149" s="288"/>
      <c r="I149" s="288"/>
      <c r="J149" s="288"/>
      <c r="K149" s="288"/>
      <c r="L149" s="288"/>
      <c r="M149" s="288"/>
      <c r="N149" s="288"/>
      <c r="O149" s="288"/>
      <c r="P149" s="288"/>
      <c r="Q149" s="288"/>
      <c r="R149" s="288"/>
      <c r="S149" s="288"/>
      <c r="T149" s="288"/>
      <c r="U149" s="288"/>
      <c r="V149" s="338">
        <v>0</v>
      </c>
      <c r="W149" s="291"/>
      <c r="X149" s="5"/>
    </row>
    <row r="150" spans="1:25" ht="15.6" x14ac:dyDescent="0.3">
      <c r="A150" s="287"/>
      <c r="B150" s="288" t="s">
        <v>267</v>
      </c>
      <c r="C150" s="288"/>
      <c r="D150" s="288"/>
      <c r="E150" s="288"/>
      <c r="F150" s="288"/>
      <c r="G150" s="288"/>
      <c r="H150" s="288"/>
      <c r="I150" s="288"/>
      <c r="J150" s="288"/>
      <c r="K150" s="288"/>
      <c r="L150" s="288"/>
      <c r="M150" s="288"/>
      <c r="N150" s="288"/>
      <c r="O150" s="288"/>
      <c r="P150" s="288"/>
      <c r="Q150" s="288"/>
      <c r="R150" s="288"/>
      <c r="S150" s="288"/>
      <c r="T150" s="288"/>
      <c r="U150" s="288"/>
      <c r="V150" s="338">
        <v>0</v>
      </c>
      <c r="W150" s="291"/>
      <c r="X150" s="5"/>
      <c r="Y150" s="109"/>
    </row>
    <row r="151" spans="1:25" ht="15.6" x14ac:dyDescent="0.3">
      <c r="A151" s="287"/>
      <c r="B151" s="288" t="s">
        <v>46</v>
      </c>
      <c r="C151" s="288"/>
      <c r="D151" s="288"/>
      <c r="E151" s="288"/>
      <c r="F151" s="288"/>
      <c r="G151" s="288"/>
      <c r="H151" s="288"/>
      <c r="I151" s="288"/>
      <c r="J151" s="288"/>
      <c r="K151" s="288"/>
      <c r="L151" s="288"/>
      <c r="M151" s="288"/>
      <c r="N151" s="288"/>
      <c r="O151" s="288"/>
      <c r="P151" s="288"/>
      <c r="Q151" s="288"/>
      <c r="R151" s="288"/>
      <c r="S151" s="288"/>
      <c r="T151" s="288"/>
      <c r="U151" s="288"/>
      <c r="V151" s="338">
        <f>SUM(V143:V150)</f>
        <v>28505</v>
      </c>
      <c r="W151" s="291"/>
      <c r="X151" s="5"/>
    </row>
    <row r="152" spans="1:25" ht="15.6" x14ac:dyDescent="0.3">
      <c r="A152" s="287"/>
      <c r="B152" s="314"/>
      <c r="C152" s="314"/>
      <c r="D152" s="314"/>
      <c r="E152" s="314"/>
      <c r="F152" s="314"/>
      <c r="G152" s="314"/>
      <c r="H152" s="314"/>
      <c r="I152" s="314"/>
      <c r="J152" s="314"/>
      <c r="K152" s="314"/>
      <c r="L152" s="314"/>
      <c r="M152" s="314"/>
      <c r="N152" s="314"/>
      <c r="O152" s="314"/>
      <c r="P152" s="314"/>
      <c r="Q152" s="314"/>
      <c r="R152" s="314"/>
      <c r="S152" s="314"/>
      <c r="T152" s="314"/>
      <c r="U152" s="314"/>
      <c r="V152" s="345"/>
      <c r="W152" s="318"/>
      <c r="X152" s="5"/>
    </row>
    <row r="153" spans="1:25" ht="15.6" x14ac:dyDescent="0.3">
      <c r="A153" s="287"/>
      <c r="B153" s="343" t="s">
        <v>237</v>
      </c>
      <c r="C153" s="314"/>
      <c r="D153" s="314"/>
      <c r="E153" s="314"/>
      <c r="F153" s="314"/>
      <c r="G153" s="314"/>
      <c r="H153" s="314"/>
      <c r="I153" s="314"/>
      <c r="J153" s="314"/>
      <c r="K153" s="314"/>
      <c r="L153" s="314"/>
      <c r="M153" s="314"/>
      <c r="N153" s="314"/>
      <c r="O153" s="314"/>
      <c r="P153" s="314"/>
      <c r="Q153" s="314"/>
      <c r="R153" s="314"/>
      <c r="S153" s="314"/>
      <c r="T153" s="314"/>
      <c r="U153" s="314"/>
      <c r="V153" s="345"/>
      <c r="W153" s="318"/>
      <c r="X153" s="5"/>
    </row>
    <row r="154" spans="1:25" ht="15.6" x14ac:dyDescent="0.3">
      <c r="A154" s="287"/>
      <c r="B154" s="288" t="s">
        <v>155</v>
      </c>
      <c r="C154" s="288"/>
      <c r="D154" s="288"/>
      <c r="E154" s="288"/>
      <c r="F154" s="288"/>
      <c r="G154" s="288"/>
      <c r="H154" s="288"/>
      <c r="I154" s="288"/>
      <c r="J154" s="288"/>
      <c r="K154" s="288"/>
      <c r="L154" s="288"/>
      <c r="M154" s="288"/>
      <c r="N154" s="288"/>
      <c r="O154" s="288"/>
      <c r="P154" s="288"/>
      <c r="Q154" s="288"/>
      <c r="R154" s="288"/>
      <c r="S154" s="288"/>
      <c r="T154" s="288"/>
      <c r="U154" s="288"/>
      <c r="V154" s="338">
        <v>7500</v>
      </c>
      <c r="W154" s="291"/>
      <c r="X154" s="5"/>
    </row>
    <row r="155" spans="1:25" ht="15.6" x14ac:dyDescent="0.3">
      <c r="A155" s="287"/>
      <c r="B155" s="288" t="s">
        <v>172</v>
      </c>
      <c r="C155" s="288"/>
      <c r="D155" s="288"/>
      <c r="E155" s="288"/>
      <c r="F155" s="288"/>
      <c r="G155" s="288"/>
      <c r="H155" s="288"/>
      <c r="I155" s="288"/>
      <c r="J155" s="288"/>
      <c r="K155" s="288"/>
      <c r="L155" s="288"/>
      <c r="M155" s="288"/>
      <c r="N155" s="288"/>
      <c r="O155" s="288"/>
      <c r="P155" s="288"/>
      <c r="Q155" s="288"/>
      <c r="R155" s="288"/>
      <c r="S155" s="288"/>
      <c r="T155" s="288"/>
      <c r="U155" s="288"/>
      <c r="V155" s="338">
        <v>0</v>
      </c>
      <c r="W155" s="291"/>
      <c r="X155" s="5"/>
    </row>
    <row r="156" spans="1:25" ht="15.6" x14ac:dyDescent="0.3">
      <c r="A156" s="287"/>
      <c r="B156" s="288" t="s">
        <v>344</v>
      </c>
      <c r="C156" s="288"/>
      <c r="D156" s="288"/>
      <c r="E156" s="288"/>
      <c r="F156" s="288"/>
      <c r="G156" s="288"/>
      <c r="H156" s="288"/>
      <c r="I156" s="288"/>
      <c r="J156" s="288"/>
      <c r="K156" s="288"/>
      <c r="L156" s="288"/>
      <c r="M156" s="288"/>
      <c r="N156" s="288"/>
      <c r="O156" s="288"/>
      <c r="P156" s="288"/>
      <c r="Q156" s="288"/>
      <c r="R156" s="288"/>
      <c r="S156" s="288"/>
      <c r="T156" s="288"/>
      <c r="U156" s="288"/>
      <c r="V156" s="338">
        <v>0</v>
      </c>
      <c r="W156" s="291"/>
      <c r="X156" s="5"/>
    </row>
    <row r="157" spans="1:25" ht="15.6" x14ac:dyDescent="0.3">
      <c r="A157" s="287"/>
      <c r="B157" s="288"/>
      <c r="C157" s="288"/>
      <c r="D157" s="288"/>
      <c r="E157" s="288"/>
      <c r="F157" s="288"/>
      <c r="G157" s="288"/>
      <c r="H157" s="288"/>
      <c r="I157" s="288"/>
      <c r="J157" s="288"/>
      <c r="K157" s="288"/>
      <c r="L157" s="288"/>
      <c r="M157" s="288"/>
      <c r="N157" s="288"/>
      <c r="O157" s="288"/>
      <c r="P157" s="288"/>
      <c r="Q157" s="288"/>
      <c r="R157" s="288"/>
      <c r="S157" s="288"/>
      <c r="T157" s="288"/>
      <c r="U157" s="288"/>
      <c r="V157" s="338"/>
      <c r="W157" s="291"/>
      <c r="X157" s="5"/>
    </row>
    <row r="158" spans="1:25" ht="15.6" x14ac:dyDescent="0.3">
      <c r="A158" s="183"/>
      <c r="B158" s="198"/>
      <c r="C158" s="198"/>
      <c r="D158" s="198"/>
      <c r="E158" s="198"/>
      <c r="F158" s="198"/>
      <c r="G158" s="198"/>
      <c r="H158" s="198"/>
      <c r="I158" s="198"/>
      <c r="J158" s="198"/>
      <c r="K158" s="198"/>
      <c r="L158" s="198"/>
      <c r="M158" s="198"/>
      <c r="N158" s="198"/>
      <c r="O158" s="198"/>
      <c r="P158" s="198"/>
      <c r="Q158" s="198"/>
      <c r="R158" s="198"/>
      <c r="S158" s="198"/>
      <c r="T158" s="198"/>
      <c r="U158" s="198"/>
      <c r="V158" s="347"/>
      <c r="W158" s="198"/>
      <c r="X158" s="5"/>
    </row>
    <row r="159" spans="1:25" ht="15.6" x14ac:dyDescent="0.3">
      <c r="A159" s="183"/>
      <c r="B159" s="208" t="s">
        <v>24</v>
      </c>
      <c r="C159" s="185"/>
      <c r="D159" s="185"/>
      <c r="E159" s="185"/>
      <c r="F159" s="185"/>
      <c r="G159" s="185"/>
      <c r="H159" s="185"/>
      <c r="I159" s="185"/>
      <c r="J159" s="185"/>
      <c r="K159" s="185"/>
      <c r="L159" s="185"/>
      <c r="M159" s="185"/>
      <c r="N159" s="185"/>
      <c r="O159" s="185"/>
      <c r="P159" s="185"/>
      <c r="Q159" s="185"/>
      <c r="R159" s="185"/>
      <c r="S159" s="185"/>
      <c r="T159" s="185"/>
      <c r="U159" s="185"/>
      <c r="V159" s="201"/>
      <c r="W159" s="185"/>
      <c r="X159" s="5"/>
    </row>
    <row r="160" spans="1:25" ht="15.6" x14ac:dyDescent="0.3">
      <c r="A160" s="287"/>
      <c r="B160" s="288" t="s">
        <v>47</v>
      </c>
      <c r="C160" s="288"/>
      <c r="D160" s="288"/>
      <c r="E160" s="288"/>
      <c r="F160" s="288"/>
      <c r="G160" s="288"/>
      <c r="H160" s="288"/>
      <c r="I160" s="288"/>
      <c r="J160" s="288"/>
      <c r="K160" s="288"/>
      <c r="L160" s="288"/>
      <c r="M160" s="288"/>
      <c r="N160" s="288"/>
      <c r="O160" s="288"/>
      <c r="P160" s="288"/>
      <c r="Q160" s="288"/>
      <c r="R160" s="288"/>
      <c r="S160" s="288"/>
      <c r="T160" s="288"/>
      <c r="U160" s="288"/>
      <c r="V160" s="348" t="s">
        <v>118</v>
      </c>
      <c r="W160" s="291"/>
      <c r="X160" s="5"/>
    </row>
    <row r="161" spans="1:256" ht="15.6" x14ac:dyDescent="0.3">
      <c r="A161" s="287"/>
      <c r="B161" s="288" t="s">
        <v>48</v>
      </c>
      <c r="C161" s="290"/>
      <c r="D161" s="290"/>
      <c r="E161" s="290"/>
      <c r="F161" s="290"/>
      <c r="G161" s="290"/>
      <c r="H161" s="290"/>
      <c r="I161" s="290"/>
      <c r="J161" s="290"/>
      <c r="K161" s="290"/>
      <c r="L161" s="290"/>
      <c r="M161" s="290"/>
      <c r="N161" s="290"/>
      <c r="O161" s="290"/>
      <c r="P161" s="290"/>
      <c r="Q161" s="290"/>
      <c r="R161" s="290"/>
      <c r="S161" s="290"/>
      <c r="T161" s="290"/>
      <c r="U161" s="290"/>
      <c r="V161" s="348" t="s">
        <v>118</v>
      </c>
      <c r="W161" s="291"/>
      <c r="X161" s="5"/>
    </row>
    <row r="162" spans="1:256" ht="15.6" x14ac:dyDescent="0.3">
      <c r="A162" s="287"/>
      <c r="B162" s="288" t="s">
        <v>49</v>
      </c>
      <c r="C162" s="288"/>
      <c r="D162" s="288"/>
      <c r="E162" s="288"/>
      <c r="F162" s="288"/>
      <c r="G162" s="288"/>
      <c r="H162" s="288"/>
      <c r="I162" s="288"/>
      <c r="J162" s="288"/>
      <c r="K162" s="288"/>
      <c r="L162" s="288"/>
      <c r="M162" s="288"/>
      <c r="N162" s="288"/>
      <c r="O162" s="288"/>
      <c r="P162" s="288"/>
      <c r="Q162" s="288"/>
      <c r="R162" s="288"/>
      <c r="S162" s="288"/>
      <c r="T162" s="288"/>
      <c r="U162" s="288"/>
      <c r="V162" s="348" t="s">
        <v>118</v>
      </c>
      <c r="W162" s="291"/>
      <c r="X162" s="5"/>
    </row>
    <row r="163" spans="1:256" ht="15.6" x14ac:dyDescent="0.3">
      <c r="A163" s="287"/>
      <c r="B163" s="288" t="s">
        <v>50</v>
      </c>
      <c r="C163" s="288"/>
      <c r="D163" s="288"/>
      <c r="E163" s="288"/>
      <c r="F163" s="288"/>
      <c r="G163" s="288"/>
      <c r="H163" s="288"/>
      <c r="I163" s="288"/>
      <c r="J163" s="288"/>
      <c r="K163" s="288"/>
      <c r="L163" s="288"/>
      <c r="M163" s="288"/>
      <c r="N163" s="288"/>
      <c r="O163" s="288"/>
      <c r="P163" s="288"/>
      <c r="Q163" s="288"/>
      <c r="R163" s="288"/>
      <c r="S163" s="288"/>
      <c r="T163" s="288"/>
      <c r="U163" s="288"/>
      <c r="V163" s="348" t="s">
        <v>118</v>
      </c>
      <c r="W163" s="291"/>
      <c r="X163" s="5"/>
    </row>
    <row r="164" spans="1:256" ht="15.6" x14ac:dyDescent="0.3">
      <c r="A164" s="183"/>
      <c r="B164" s="198"/>
      <c r="C164" s="198"/>
      <c r="D164" s="198"/>
      <c r="E164" s="198"/>
      <c r="F164" s="198"/>
      <c r="G164" s="198"/>
      <c r="H164" s="198"/>
      <c r="I164" s="198"/>
      <c r="J164" s="198"/>
      <c r="K164" s="198"/>
      <c r="L164" s="198"/>
      <c r="M164" s="198"/>
      <c r="N164" s="198"/>
      <c r="O164" s="198"/>
      <c r="P164" s="198"/>
      <c r="Q164" s="198"/>
      <c r="R164" s="198"/>
      <c r="S164" s="198"/>
      <c r="T164" s="198"/>
      <c r="U164" s="198"/>
      <c r="V164" s="347"/>
      <c r="W164" s="198"/>
      <c r="X164" s="5"/>
    </row>
    <row r="165" spans="1:256" ht="15.6" x14ac:dyDescent="0.3">
      <c r="A165" s="183"/>
      <c r="B165" s="208" t="s">
        <v>51</v>
      </c>
      <c r="C165" s="185"/>
      <c r="D165" s="185"/>
      <c r="E165" s="185"/>
      <c r="F165" s="185"/>
      <c r="G165" s="185"/>
      <c r="H165" s="185"/>
      <c r="I165" s="185"/>
      <c r="J165" s="185"/>
      <c r="K165" s="185"/>
      <c r="L165" s="185"/>
      <c r="M165" s="185"/>
      <c r="N165" s="185"/>
      <c r="O165" s="185"/>
      <c r="P165" s="185"/>
      <c r="Q165" s="185"/>
      <c r="R165" s="185"/>
      <c r="S165" s="185"/>
      <c r="T165" s="185"/>
      <c r="U165" s="185"/>
      <c r="V165" s="209"/>
      <c r="W165" s="185"/>
      <c r="X165" s="5"/>
    </row>
    <row r="166" spans="1:256" ht="15.6" x14ac:dyDescent="0.3">
      <c r="A166" s="287"/>
      <c r="B166" s="288" t="s">
        <v>52</v>
      </c>
      <c r="C166" s="288"/>
      <c r="D166" s="288"/>
      <c r="E166" s="288"/>
      <c r="F166" s="288"/>
      <c r="G166" s="288"/>
      <c r="H166" s="288"/>
      <c r="I166" s="288"/>
      <c r="J166" s="288"/>
      <c r="K166" s="288"/>
      <c r="L166" s="288"/>
      <c r="M166" s="288"/>
      <c r="N166" s="288"/>
      <c r="O166" s="288"/>
      <c r="P166" s="288"/>
      <c r="Q166" s="288"/>
      <c r="R166" s="288"/>
      <c r="S166" s="288"/>
      <c r="T166" s="288"/>
      <c r="U166" s="288"/>
      <c r="V166" s="338">
        <v>0</v>
      </c>
      <c r="W166" s="291"/>
      <c r="X166" s="5"/>
    </row>
    <row r="167" spans="1:256" ht="15.6" x14ac:dyDescent="0.3">
      <c r="A167" s="287"/>
      <c r="B167" s="288" t="s">
        <v>53</v>
      </c>
      <c r="C167" s="288"/>
      <c r="D167" s="288"/>
      <c r="E167" s="288"/>
      <c r="F167" s="288"/>
      <c r="G167" s="288"/>
      <c r="H167" s="288"/>
      <c r="I167" s="288"/>
      <c r="J167" s="288"/>
      <c r="K167" s="288"/>
      <c r="L167" s="288"/>
      <c r="M167" s="288"/>
      <c r="N167" s="288"/>
      <c r="O167" s="288"/>
      <c r="P167" s="288"/>
      <c r="Q167" s="288"/>
      <c r="R167" s="288"/>
      <c r="S167" s="288"/>
      <c r="T167" s="288"/>
      <c r="U167" s="288"/>
      <c r="V167" s="338">
        <v>409</v>
      </c>
      <c r="W167" s="291"/>
      <c r="X167" s="5"/>
    </row>
    <row r="168" spans="1:256" ht="15.6" x14ac:dyDescent="0.3">
      <c r="A168" s="287"/>
      <c r="B168" s="288" t="s">
        <v>54</v>
      </c>
      <c r="C168" s="288"/>
      <c r="D168" s="288"/>
      <c r="E168" s="288"/>
      <c r="F168" s="288"/>
      <c r="G168" s="288"/>
      <c r="H168" s="288"/>
      <c r="I168" s="288"/>
      <c r="J168" s="288"/>
      <c r="K168" s="288"/>
      <c r="L168" s="288"/>
      <c r="M168" s="288"/>
      <c r="N168" s="288"/>
      <c r="O168" s="288"/>
      <c r="P168" s="288"/>
      <c r="Q168" s="288"/>
      <c r="R168" s="288"/>
      <c r="S168" s="288"/>
      <c r="T168" s="288"/>
      <c r="U168" s="288"/>
      <c r="V168" s="338">
        <f>V167+V166</f>
        <v>409</v>
      </c>
      <c r="W168" s="291"/>
      <c r="X168" s="5"/>
    </row>
    <row r="169" spans="1:256" ht="15.6" x14ac:dyDescent="0.3">
      <c r="A169" s="287"/>
      <c r="B169" s="288" t="s">
        <v>315</v>
      </c>
      <c r="C169" s="288"/>
      <c r="D169" s="288"/>
      <c r="E169" s="288"/>
      <c r="F169" s="288"/>
      <c r="G169" s="288"/>
      <c r="H169" s="288"/>
      <c r="I169" s="288"/>
      <c r="J169" s="288"/>
      <c r="K169" s="288"/>
      <c r="L169" s="288"/>
      <c r="M169" s="288"/>
      <c r="N169" s="288"/>
      <c r="O169" s="288"/>
      <c r="P169" s="288"/>
      <c r="Q169" s="288"/>
      <c r="R169" s="288"/>
      <c r="S169" s="288"/>
      <c r="T169" s="288"/>
      <c r="U169" s="288"/>
      <c r="V169" s="338">
        <f>V115</f>
        <v>-409</v>
      </c>
      <c r="W169" s="291"/>
      <c r="X169" s="5"/>
    </row>
    <row r="170" spans="1:256" ht="15.6" x14ac:dyDescent="0.3">
      <c r="A170" s="287"/>
      <c r="B170" s="288" t="s">
        <v>55</v>
      </c>
      <c r="C170" s="288"/>
      <c r="D170" s="288"/>
      <c r="E170" s="288"/>
      <c r="F170" s="288"/>
      <c r="G170" s="288"/>
      <c r="H170" s="288"/>
      <c r="I170" s="288"/>
      <c r="J170" s="288"/>
      <c r="K170" s="288"/>
      <c r="L170" s="288"/>
      <c r="M170" s="288"/>
      <c r="N170" s="288"/>
      <c r="O170" s="288"/>
      <c r="P170" s="288"/>
      <c r="Q170" s="288"/>
      <c r="R170" s="288"/>
      <c r="S170" s="288"/>
      <c r="T170" s="288"/>
      <c r="U170" s="288"/>
      <c r="V170" s="338">
        <f>V168+V169</f>
        <v>0</v>
      </c>
      <c r="W170" s="291"/>
      <c r="X170" s="5"/>
    </row>
    <row r="171" spans="1:256" ht="15.6" x14ac:dyDescent="0.3">
      <c r="A171" s="287"/>
      <c r="B171" s="288" t="s">
        <v>283</v>
      </c>
      <c r="C171" s="288"/>
      <c r="D171" s="288"/>
      <c r="E171" s="288"/>
      <c r="F171" s="288"/>
      <c r="G171" s="288"/>
      <c r="H171" s="288"/>
      <c r="I171" s="288"/>
      <c r="J171" s="288"/>
      <c r="K171" s="288"/>
      <c r="L171" s="288"/>
      <c r="M171" s="288"/>
      <c r="N171" s="288"/>
      <c r="O171" s="288"/>
      <c r="P171" s="288"/>
      <c r="Q171" s="288"/>
      <c r="R171" s="288"/>
      <c r="S171" s="288"/>
      <c r="T171" s="288"/>
      <c r="U171" s="288"/>
      <c r="V171" s="338">
        <v>0</v>
      </c>
      <c r="W171" s="291"/>
      <c r="X171" s="5"/>
    </row>
    <row r="172" spans="1:256" ht="16.2" thickBot="1" x14ac:dyDescent="0.35">
      <c r="A172" s="183"/>
      <c r="B172" s="284"/>
      <c r="C172" s="284"/>
      <c r="D172" s="284"/>
      <c r="E172" s="284"/>
      <c r="F172" s="284"/>
      <c r="G172" s="284"/>
      <c r="H172" s="284"/>
      <c r="I172" s="284"/>
      <c r="J172" s="284"/>
      <c r="K172" s="284"/>
      <c r="L172" s="284"/>
      <c r="M172" s="284"/>
      <c r="N172" s="284"/>
      <c r="O172" s="284"/>
      <c r="P172" s="284"/>
      <c r="Q172" s="284"/>
      <c r="R172" s="284"/>
      <c r="S172" s="284"/>
      <c r="T172" s="284"/>
      <c r="U172" s="284"/>
      <c r="V172" s="349"/>
      <c r="W172" s="284"/>
      <c r="X172" s="5"/>
    </row>
    <row r="173" spans="1:256" ht="15.6" x14ac:dyDescent="0.3">
      <c r="A173" s="180"/>
      <c r="B173" s="247"/>
      <c r="C173" s="247"/>
      <c r="D173" s="247"/>
      <c r="E173" s="247"/>
      <c r="F173" s="247"/>
      <c r="G173" s="247"/>
      <c r="H173" s="247"/>
      <c r="I173" s="247"/>
      <c r="J173" s="247"/>
      <c r="K173" s="247"/>
      <c r="L173" s="247"/>
      <c r="M173" s="247"/>
      <c r="N173" s="247"/>
      <c r="O173" s="247"/>
      <c r="P173" s="247"/>
      <c r="Q173" s="247"/>
      <c r="R173" s="247"/>
      <c r="S173" s="247"/>
      <c r="T173" s="247"/>
      <c r="U173" s="247"/>
      <c r="V173" s="248"/>
      <c r="W173" s="247"/>
      <c r="X173" s="5"/>
    </row>
    <row r="174" spans="1:256" s="161" customFormat="1" ht="15.6" x14ac:dyDescent="0.3">
      <c r="A174" s="183"/>
      <c r="B174" s="208" t="s">
        <v>269</v>
      </c>
      <c r="C174" s="198"/>
      <c r="D174" s="198"/>
      <c r="E174" s="198"/>
      <c r="F174" s="198"/>
      <c r="G174" s="198"/>
      <c r="H174" s="198"/>
      <c r="I174" s="198"/>
      <c r="J174" s="198"/>
      <c r="K174" s="198"/>
      <c r="L174" s="198"/>
      <c r="M174" s="198"/>
      <c r="N174" s="198"/>
      <c r="O174" s="198"/>
      <c r="P174" s="198"/>
      <c r="Q174" s="198"/>
      <c r="R174" s="198"/>
      <c r="S174" s="198"/>
      <c r="T174" s="198"/>
      <c r="U174" s="198"/>
      <c r="V174" s="210"/>
      <c r="W174" s="198"/>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5.6" x14ac:dyDescent="0.3">
      <c r="A175" s="287"/>
      <c r="B175" s="288" t="s">
        <v>270</v>
      </c>
      <c r="C175" s="288"/>
      <c r="D175" s="288"/>
      <c r="E175" s="288"/>
      <c r="F175" s="288"/>
      <c r="G175" s="288"/>
      <c r="H175" s="288"/>
      <c r="I175" s="288"/>
      <c r="J175" s="288"/>
      <c r="K175" s="288"/>
      <c r="L175" s="288"/>
      <c r="M175" s="288"/>
      <c r="N175" s="288"/>
      <c r="O175" s="288"/>
      <c r="P175" s="288"/>
      <c r="Q175" s="288"/>
      <c r="R175" s="288"/>
      <c r="S175" s="288"/>
      <c r="T175" s="288"/>
      <c r="U175" s="288"/>
      <c r="V175" s="338">
        <f>+'Aug 08'!V177</f>
        <v>0</v>
      </c>
      <c r="W175" s="291"/>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3" customFormat="1" ht="15.6" x14ac:dyDescent="0.3">
      <c r="A176" s="287"/>
      <c r="B176" s="288" t="s">
        <v>273</v>
      </c>
      <c r="C176" s="288"/>
      <c r="D176" s="288"/>
      <c r="E176" s="288"/>
      <c r="F176" s="288"/>
      <c r="G176" s="288"/>
      <c r="H176" s="288"/>
      <c r="I176" s="288"/>
      <c r="J176" s="288"/>
      <c r="K176" s="288"/>
      <c r="L176" s="288"/>
      <c r="M176" s="288"/>
      <c r="N176" s="288"/>
      <c r="O176" s="288"/>
      <c r="P176" s="288"/>
      <c r="Q176" s="288"/>
      <c r="R176" s="288"/>
      <c r="S176" s="288"/>
      <c r="T176" s="288"/>
      <c r="U176" s="288"/>
      <c r="V176" s="338">
        <f>+V94</f>
        <v>0</v>
      </c>
      <c r="W176" s="291"/>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s="163" customFormat="1" ht="15.6" x14ac:dyDescent="0.3">
      <c r="A177" s="287"/>
      <c r="B177" s="288" t="s">
        <v>271</v>
      </c>
      <c r="C177" s="288"/>
      <c r="D177" s="288"/>
      <c r="E177" s="288"/>
      <c r="F177" s="288"/>
      <c r="G177" s="288"/>
      <c r="H177" s="288"/>
      <c r="I177" s="288"/>
      <c r="J177" s="288"/>
      <c r="K177" s="288"/>
      <c r="L177" s="288"/>
      <c r="M177" s="288"/>
      <c r="N177" s="288"/>
      <c r="O177" s="288"/>
      <c r="P177" s="288"/>
      <c r="Q177" s="288"/>
      <c r="R177" s="288"/>
      <c r="S177" s="288"/>
      <c r="T177" s="288"/>
      <c r="U177" s="288"/>
      <c r="V177" s="338">
        <f>+V175-V176</f>
        <v>0</v>
      </c>
      <c r="W177" s="291"/>
      <c r="X177" s="5"/>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s="166" customFormat="1" ht="16.2" thickBot="1" x14ac:dyDescent="0.35">
      <c r="A178" s="199"/>
      <c r="B178" s="198"/>
      <c r="C178" s="198"/>
      <c r="D178" s="198"/>
      <c r="E178" s="198"/>
      <c r="F178" s="198"/>
      <c r="G178" s="198"/>
      <c r="H178" s="198"/>
      <c r="I178" s="198"/>
      <c r="J178" s="198"/>
      <c r="K178" s="198"/>
      <c r="L178" s="198"/>
      <c r="M178" s="198"/>
      <c r="N178" s="198"/>
      <c r="O178" s="198"/>
      <c r="P178" s="198"/>
      <c r="Q178" s="198"/>
      <c r="R178" s="198"/>
      <c r="S178" s="198"/>
      <c r="T178" s="198"/>
      <c r="U178" s="198"/>
      <c r="V178" s="347"/>
      <c r="W178" s="198"/>
      <c r="X178" s="5"/>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s="167" customFormat="1" ht="15.6" x14ac:dyDescent="0.3">
      <c r="A179" s="180"/>
      <c r="B179" s="181"/>
      <c r="C179" s="181"/>
      <c r="D179" s="181"/>
      <c r="E179" s="181"/>
      <c r="F179" s="181"/>
      <c r="G179" s="181"/>
      <c r="H179" s="181"/>
      <c r="I179" s="181"/>
      <c r="J179" s="181"/>
      <c r="K179" s="181"/>
      <c r="L179" s="181"/>
      <c r="M179" s="181"/>
      <c r="N179" s="181"/>
      <c r="O179" s="181"/>
      <c r="P179" s="181"/>
      <c r="Q179" s="181"/>
      <c r="R179" s="181"/>
      <c r="S179" s="181"/>
      <c r="T179" s="181"/>
      <c r="U179" s="181"/>
      <c r="V179" s="200"/>
      <c r="W179" s="181"/>
      <c r="X179" s="5"/>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ht="15.6" x14ac:dyDescent="0.3">
      <c r="A180" s="183"/>
      <c r="B180" s="208" t="s">
        <v>56</v>
      </c>
      <c r="C180" s="185"/>
      <c r="D180" s="185"/>
      <c r="E180" s="185"/>
      <c r="F180" s="185"/>
      <c r="G180" s="185"/>
      <c r="H180" s="185"/>
      <c r="I180" s="185"/>
      <c r="J180" s="185"/>
      <c r="K180" s="185"/>
      <c r="L180" s="185"/>
      <c r="M180" s="185"/>
      <c r="N180" s="185"/>
      <c r="O180" s="185"/>
      <c r="P180" s="185"/>
      <c r="Q180" s="185"/>
      <c r="R180" s="185"/>
      <c r="S180" s="185"/>
      <c r="T180" s="185"/>
      <c r="U180" s="185"/>
      <c r="V180" s="201"/>
      <c r="W180" s="185"/>
      <c r="X180" s="5"/>
    </row>
    <row r="181" spans="1:256" ht="15.6" x14ac:dyDescent="0.3">
      <c r="A181" s="183"/>
      <c r="B181" s="195"/>
      <c r="C181" s="185"/>
      <c r="D181" s="185"/>
      <c r="E181" s="185"/>
      <c r="F181" s="185"/>
      <c r="G181" s="185"/>
      <c r="H181" s="185"/>
      <c r="I181" s="185"/>
      <c r="J181" s="185"/>
      <c r="K181" s="185"/>
      <c r="L181" s="185"/>
      <c r="M181" s="185"/>
      <c r="N181" s="185"/>
      <c r="O181" s="185"/>
      <c r="P181" s="185"/>
      <c r="Q181" s="185"/>
      <c r="R181" s="185"/>
      <c r="S181" s="185"/>
      <c r="T181" s="185"/>
      <c r="U181" s="185"/>
      <c r="V181" s="201"/>
      <c r="W181" s="185"/>
      <c r="X181" s="5"/>
    </row>
    <row r="182" spans="1:256" ht="15.6" x14ac:dyDescent="0.3">
      <c r="A182" s="287"/>
      <c r="B182" s="288" t="s">
        <v>57</v>
      </c>
      <c r="C182" s="288"/>
      <c r="D182" s="288"/>
      <c r="E182" s="288"/>
      <c r="F182" s="288"/>
      <c r="G182" s="288"/>
      <c r="H182" s="288"/>
      <c r="I182" s="288"/>
      <c r="J182" s="288"/>
      <c r="K182" s="288"/>
      <c r="L182" s="288"/>
      <c r="M182" s="288"/>
      <c r="N182" s="288"/>
      <c r="O182" s="288"/>
      <c r="P182" s="288"/>
      <c r="Q182" s="288"/>
      <c r="R182" s="288"/>
      <c r="S182" s="288"/>
      <c r="T182" s="288"/>
      <c r="U182" s="288"/>
      <c r="V182" s="338">
        <f>V71</f>
        <v>1070306</v>
      </c>
      <c r="W182" s="291"/>
      <c r="X182" s="5"/>
    </row>
    <row r="183" spans="1:256" ht="15.6" x14ac:dyDescent="0.3">
      <c r="A183" s="287"/>
      <c r="B183" s="288" t="s">
        <v>58</v>
      </c>
      <c r="C183" s="288"/>
      <c r="D183" s="288"/>
      <c r="E183" s="288"/>
      <c r="F183" s="288"/>
      <c r="G183" s="288"/>
      <c r="H183" s="288"/>
      <c r="I183" s="288"/>
      <c r="J183" s="288"/>
      <c r="K183" s="288"/>
      <c r="L183" s="288"/>
      <c r="M183" s="288"/>
      <c r="N183" s="288"/>
      <c r="O183" s="288"/>
      <c r="P183" s="288"/>
      <c r="Q183" s="288"/>
      <c r="R183" s="288"/>
      <c r="S183" s="288"/>
      <c r="T183" s="288"/>
      <c r="U183" s="288"/>
      <c r="V183" s="338">
        <f>V84</f>
        <v>1070306</v>
      </c>
      <c r="W183" s="291"/>
      <c r="X183" s="5"/>
    </row>
    <row r="184" spans="1:256" ht="16.2" thickBot="1" x14ac:dyDescent="0.35">
      <c r="A184" s="183"/>
      <c r="B184" s="198"/>
      <c r="C184" s="198"/>
      <c r="D184" s="198"/>
      <c r="E184" s="198"/>
      <c r="F184" s="198"/>
      <c r="G184" s="198"/>
      <c r="H184" s="198"/>
      <c r="I184" s="198"/>
      <c r="J184" s="198"/>
      <c r="K184" s="198"/>
      <c r="L184" s="198"/>
      <c r="M184" s="198"/>
      <c r="N184" s="198"/>
      <c r="O184" s="198"/>
      <c r="P184" s="198"/>
      <c r="Q184" s="198"/>
      <c r="R184" s="198"/>
      <c r="S184" s="198"/>
      <c r="T184" s="198"/>
      <c r="U184" s="198"/>
      <c r="V184" s="347"/>
      <c r="W184" s="198"/>
      <c r="X184" s="5"/>
    </row>
    <row r="185" spans="1:256" ht="15.6" x14ac:dyDescent="0.3">
      <c r="A185" s="180"/>
      <c r="B185" s="181"/>
      <c r="C185" s="181"/>
      <c r="D185" s="181"/>
      <c r="E185" s="181"/>
      <c r="F185" s="181"/>
      <c r="G185" s="181"/>
      <c r="H185" s="181"/>
      <c r="I185" s="181"/>
      <c r="J185" s="181"/>
      <c r="K185" s="181"/>
      <c r="L185" s="181"/>
      <c r="M185" s="181"/>
      <c r="N185" s="181"/>
      <c r="O185" s="181"/>
      <c r="P185" s="181"/>
      <c r="Q185" s="181"/>
      <c r="R185" s="181"/>
      <c r="S185" s="181"/>
      <c r="T185" s="181"/>
      <c r="U185" s="181"/>
      <c r="V185" s="200"/>
      <c r="W185" s="181"/>
      <c r="X185" s="5"/>
    </row>
    <row r="186" spans="1:256" ht="15.6" x14ac:dyDescent="0.3">
      <c r="A186" s="183"/>
      <c r="B186" s="208" t="s">
        <v>59</v>
      </c>
      <c r="C186" s="205"/>
      <c r="D186" s="205"/>
      <c r="E186" s="205"/>
      <c r="F186" s="205"/>
      <c r="G186" s="205"/>
      <c r="H186" s="211"/>
      <c r="I186" s="211"/>
      <c r="J186" s="211"/>
      <c r="K186" s="211"/>
      <c r="L186" s="211"/>
      <c r="M186" s="211"/>
      <c r="N186" s="211"/>
      <c r="O186" s="211"/>
      <c r="P186" s="211"/>
      <c r="Q186" s="211"/>
      <c r="R186" s="211"/>
      <c r="S186" s="211" t="s">
        <v>101</v>
      </c>
      <c r="T186" s="211" t="s">
        <v>176</v>
      </c>
      <c r="U186" s="187"/>
      <c r="V186" s="212" t="s">
        <v>114</v>
      </c>
      <c r="W186" s="213"/>
      <c r="X186" s="5"/>
    </row>
    <row r="187" spans="1:256" ht="15.6" x14ac:dyDescent="0.3">
      <c r="A187" s="287"/>
      <c r="B187" s="288" t="s">
        <v>60</v>
      </c>
      <c r="C187" s="288"/>
      <c r="D187" s="288"/>
      <c r="E187" s="288"/>
      <c r="F187" s="288"/>
      <c r="G187" s="288"/>
      <c r="H187" s="288"/>
      <c r="I187" s="288"/>
      <c r="J187" s="288"/>
      <c r="K187" s="288"/>
      <c r="L187" s="288"/>
      <c r="M187" s="288"/>
      <c r="N187" s="288"/>
      <c r="O187" s="288"/>
      <c r="P187" s="288"/>
      <c r="Q187" s="288"/>
      <c r="R187" s="288"/>
      <c r="S187" s="338">
        <f>+V34*0.16</f>
        <v>240044</v>
      </c>
      <c r="T187" s="325"/>
      <c r="U187" s="288"/>
      <c r="V187" s="338"/>
      <c r="W187" s="291"/>
      <c r="X187" s="5"/>
    </row>
    <row r="188" spans="1:256" ht="15.6" x14ac:dyDescent="0.3">
      <c r="A188" s="287"/>
      <c r="B188" s="288" t="s">
        <v>61</v>
      </c>
      <c r="C188" s="288"/>
      <c r="D188" s="288"/>
      <c r="E188" s="288"/>
      <c r="F188" s="288"/>
      <c r="G188" s="288"/>
      <c r="H188" s="288"/>
      <c r="I188" s="288"/>
      <c r="J188" s="288"/>
      <c r="K188" s="288"/>
      <c r="L188" s="288"/>
      <c r="M188" s="288"/>
      <c r="N188" s="288"/>
      <c r="O188" s="288"/>
      <c r="P188" s="288"/>
      <c r="Q188" s="288"/>
      <c r="R188" s="288"/>
      <c r="S188" s="338">
        <f>+'Nov 13'!S190</f>
        <v>24761</v>
      </c>
      <c r="T188" s="338">
        <f>+'Nov 13'!T190</f>
        <v>6013</v>
      </c>
      <c r="U188" s="288"/>
      <c r="V188" s="338">
        <f>S188+T188</f>
        <v>30774</v>
      </c>
      <c r="W188" s="291"/>
      <c r="X188" s="5"/>
    </row>
    <row r="189" spans="1:256" ht="15.6" x14ac:dyDescent="0.3">
      <c r="A189" s="287"/>
      <c r="B189" s="288" t="s">
        <v>62</v>
      </c>
      <c r="C189" s="288"/>
      <c r="D189" s="288"/>
      <c r="E189" s="288"/>
      <c r="F189" s="288"/>
      <c r="G189" s="288"/>
      <c r="H189" s="288"/>
      <c r="I189" s="288"/>
      <c r="J189" s="288"/>
      <c r="K189" s="288"/>
      <c r="L189" s="288"/>
      <c r="M189" s="288"/>
      <c r="N189" s="288"/>
      <c r="O189" s="288"/>
      <c r="P189" s="288"/>
      <c r="Q189" s="288"/>
      <c r="R189" s="288"/>
      <c r="S189" s="337">
        <f>32+66</f>
        <v>98</v>
      </c>
      <c r="T189" s="337">
        <v>0</v>
      </c>
      <c r="U189" s="288"/>
      <c r="V189" s="338">
        <f>S189+T189</f>
        <v>98</v>
      </c>
      <c r="W189" s="291"/>
      <c r="X189" s="5"/>
    </row>
    <row r="190" spans="1:256" ht="15.6" x14ac:dyDescent="0.3">
      <c r="A190" s="287"/>
      <c r="B190" s="288" t="s">
        <v>63</v>
      </c>
      <c r="C190" s="288"/>
      <c r="D190" s="288"/>
      <c r="E190" s="288"/>
      <c r="F190" s="288"/>
      <c r="G190" s="288"/>
      <c r="H190" s="288"/>
      <c r="I190" s="288"/>
      <c r="J190" s="288"/>
      <c r="K190" s="288"/>
      <c r="L190" s="288"/>
      <c r="M190" s="288"/>
      <c r="N190" s="288"/>
      <c r="O190" s="288"/>
      <c r="P190" s="288"/>
      <c r="Q190" s="288"/>
      <c r="R190" s="288"/>
      <c r="S190" s="338">
        <f>S188+S189</f>
        <v>24859</v>
      </c>
      <c r="T190" s="338">
        <f>T189+T188</f>
        <v>6013</v>
      </c>
      <c r="U190" s="288"/>
      <c r="V190" s="338">
        <f>S190+T190</f>
        <v>30872</v>
      </c>
      <c r="W190" s="291"/>
      <c r="X190" s="5"/>
    </row>
    <row r="191" spans="1:256" ht="15.6" x14ac:dyDescent="0.3">
      <c r="A191" s="287"/>
      <c r="B191" s="288" t="s">
        <v>64</v>
      </c>
      <c r="C191" s="288"/>
      <c r="D191" s="288"/>
      <c r="E191" s="288"/>
      <c r="F191" s="288"/>
      <c r="G191" s="288"/>
      <c r="H191" s="288"/>
      <c r="I191" s="288"/>
      <c r="J191" s="288"/>
      <c r="K191" s="288"/>
      <c r="L191" s="288"/>
      <c r="M191" s="288"/>
      <c r="N191" s="288"/>
      <c r="O191" s="288"/>
      <c r="P191" s="288"/>
      <c r="Q191" s="288"/>
      <c r="R191" s="288"/>
      <c r="S191" s="338">
        <f>S187-S190-T190</f>
        <v>209172</v>
      </c>
      <c r="T191" s="325"/>
      <c r="U191" s="288"/>
      <c r="V191" s="338"/>
      <c r="W191" s="291"/>
      <c r="X191" s="5"/>
    </row>
    <row r="192" spans="1:256" ht="16.2" thickBot="1" x14ac:dyDescent="0.35">
      <c r="A192" s="183"/>
      <c r="B192" s="198"/>
      <c r="C192" s="198"/>
      <c r="D192" s="198"/>
      <c r="E192" s="198"/>
      <c r="F192" s="198"/>
      <c r="G192" s="198"/>
      <c r="H192" s="198"/>
      <c r="I192" s="198"/>
      <c r="J192" s="198"/>
      <c r="K192" s="198"/>
      <c r="L192" s="198"/>
      <c r="M192" s="198"/>
      <c r="N192" s="198"/>
      <c r="O192" s="198"/>
      <c r="P192" s="198"/>
      <c r="Q192" s="198"/>
      <c r="R192" s="198"/>
      <c r="S192" s="198"/>
      <c r="T192" s="198"/>
      <c r="U192" s="198"/>
      <c r="V192" s="347"/>
      <c r="W192" s="198"/>
      <c r="X192" s="5"/>
    </row>
    <row r="193" spans="1:24" ht="15.6" x14ac:dyDescent="0.3">
      <c r="A193" s="180"/>
      <c r="B193" s="181"/>
      <c r="C193" s="181"/>
      <c r="D193" s="181"/>
      <c r="E193" s="181"/>
      <c r="F193" s="181"/>
      <c r="G193" s="181"/>
      <c r="H193" s="181"/>
      <c r="I193" s="181"/>
      <c r="J193" s="181"/>
      <c r="K193" s="181"/>
      <c r="L193" s="181"/>
      <c r="M193" s="181"/>
      <c r="N193" s="181"/>
      <c r="O193" s="181"/>
      <c r="P193" s="181"/>
      <c r="Q193" s="181"/>
      <c r="R193" s="181"/>
      <c r="S193" s="181"/>
      <c r="T193" s="181"/>
      <c r="U193" s="181"/>
      <c r="V193" s="200"/>
      <c r="W193" s="181"/>
      <c r="X193" s="5"/>
    </row>
    <row r="194" spans="1:24" ht="15.6" x14ac:dyDescent="0.3">
      <c r="A194" s="183"/>
      <c r="B194" s="208" t="s">
        <v>65</v>
      </c>
      <c r="C194" s="185"/>
      <c r="D194" s="185"/>
      <c r="E194" s="185"/>
      <c r="F194" s="185"/>
      <c r="G194" s="185"/>
      <c r="H194" s="185"/>
      <c r="I194" s="185"/>
      <c r="J194" s="185"/>
      <c r="K194" s="185"/>
      <c r="L194" s="185"/>
      <c r="M194" s="185"/>
      <c r="N194" s="185"/>
      <c r="O194" s="185"/>
      <c r="P194" s="185"/>
      <c r="Q194" s="185"/>
      <c r="R194" s="185"/>
      <c r="S194" s="185"/>
      <c r="T194" s="185"/>
      <c r="U194" s="185"/>
      <c r="V194" s="214"/>
      <c r="W194" s="185"/>
      <c r="X194" s="5"/>
    </row>
    <row r="195" spans="1:24" ht="15.6" x14ac:dyDescent="0.3">
      <c r="A195" s="287"/>
      <c r="B195" s="288" t="s">
        <v>66</v>
      </c>
      <c r="C195" s="288"/>
      <c r="D195" s="288"/>
      <c r="E195" s="288"/>
      <c r="F195" s="288"/>
      <c r="G195" s="288"/>
      <c r="H195" s="288"/>
      <c r="I195" s="288"/>
      <c r="J195" s="288"/>
      <c r="K195" s="288"/>
      <c r="L195" s="288"/>
      <c r="M195" s="288"/>
      <c r="N195" s="288"/>
      <c r="O195" s="288"/>
      <c r="P195" s="288"/>
      <c r="Q195" s="288"/>
      <c r="R195" s="288"/>
      <c r="S195" s="288"/>
      <c r="T195" s="288"/>
      <c r="U195" s="288"/>
      <c r="V195" s="348">
        <f>(V101+V103+V104+V105+V106)/-(V107+V108)</f>
        <v>4.0966748768472909</v>
      </c>
      <c r="W195" s="291" t="s">
        <v>115</v>
      </c>
      <c r="X195" s="5"/>
    </row>
    <row r="196" spans="1:24" ht="15.6" x14ac:dyDescent="0.3">
      <c r="A196" s="287"/>
      <c r="B196" s="288" t="s">
        <v>67</v>
      </c>
      <c r="C196" s="288"/>
      <c r="D196" s="288"/>
      <c r="E196" s="288"/>
      <c r="F196" s="288"/>
      <c r="G196" s="288"/>
      <c r="H196" s="288"/>
      <c r="I196" s="288"/>
      <c r="J196" s="288"/>
      <c r="K196" s="288"/>
      <c r="L196" s="288"/>
      <c r="M196" s="288"/>
      <c r="N196" s="288"/>
      <c r="O196" s="288"/>
      <c r="P196" s="288"/>
      <c r="Q196" s="288"/>
      <c r="R196" s="288"/>
      <c r="S196" s="288"/>
      <c r="T196" s="288"/>
      <c r="U196" s="288"/>
      <c r="V196" s="350">
        <v>1.84</v>
      </c>
      <c r="W196" s="291" t="s">
        <v>115</v>
      </c>
      <c r="X196" s="5"/>
    </row>
    <row r="197" spans="1:24" ht="15.6" x14ac:dyDescent="0.3">
      <c r="A197" s="287"/>
      <c r="B197" s="288" t="s">
        <v>68</v>
      </c>
      <c r="C197" s="288"/>
      <c r="D197" s="288"/>
      <c r="E197" s="288"/>
      <c r="F197" s="288"/>
      <c r="G197" s="288"/>
      <c r="H197" s="288"/>
      <c r="I197" s="288"/>
      <c r="J197" s="288"/>
      <c r="K197" s="288"/>
      <c r="L197" s="288"/>
      <c r="M197" s="288"/>
      <c r="N197" s="288"/>
      <c r="O197" s="288"/>
      <c r="P197" s="288"/>
      <c r="Q197" s="288"/>
      <c r="R197" s="288"/>
      <c r="S197" s="288"/>
      <c r="T197" s="288"/>
      <c r="U197" s="288"/>
      <c r="V197" s="348">
        <f>(V101+V103+V104+V105+V106+V107+V108)/-(V110+V111)</f>
        <v>19.568093385214009</v>
      </c>
      <c r="W197" s="291" t="s">
        <v>115</v>
      </c>
      <c r="X197" s="5"/>
    </row>
    <row r="198" spans="1:24" ht="15.6" x14ac:dyDescent="0.3">
      <c r="A198" s="287"/>
      <c r="B198" s="288" t="s">
        <v>69</v>
      </c>
      <c r="C198" s="288"/>
      <c r="D198" s="288"/>
      <c r="E198" s="288"/>
      <c r="F198" s="288"/>
      <c r="G198" s="288"/>
      <c r="H198" s="288"/>
      <c r="I198" s="288"/>
      <c r="J198" s="288"/>
      <c r="K198" s="288"/>
      <c r="L198" s="288"/>
      <c r="M198" s="288"/>
      <c r="N198" s="288"/>
      <c r="O198" s="288"/>
      <c r="P198" s="288"/>
      <c r="Q198" s="288"/>
      <c r="R198" s="288"/>
      <c r="S198" s="288"/>
      <c r="T198" s="288"/>
      <c r="U198" s="288"/>
      <c r="V198" s="350">
        <v>7.96</v>
      </c>
      <c r="W198" s="291" t="s">
        <v>115</v>
      </c>
      <c r="X198" s="5"/>
    </row>
    <row r="199" spans="1:24" ht="15.6" x14ac:dyDescent="0.3">
      <c r="A199" s="287"/>
      <c r="B199" s="288" t="s">
        <v>198</v>
      </c>
      <c r="C199" s="288"/>
      <c r="D199" s="288"/>
      <c r="E199" s="288"/>
      <c r="F199" s="288"/>
      <c r="G199" s="288"/>
      <c r="H199" s="288"/>
      <c r="I199" s="288"/>
      <c r="J199" s="288"/>
      <c r="K199" s="288"/>
      <c r="L199" s="288"/>
      <c r="M199" s="288"/>
      <c r="N199" s="288"/>
      <c r="O199" s="288"/>
      <c r="P199" s="288"/>
      <c r="Q199" s="288"/>
      <c r="R199" s="288"/>
      <c r="S199" s="288"/>
      <c r="T199" s="288"/>
      <c r="U199" s="288"/>
      <c r="V199" s="348">
        <f>(V101+V103+V104+V105+V106+V107+V108+V110+V111)/-(V112+V113)</f>
        <v>12.394805194805194</v>
      </c>
      <c r="W199" s="291" t="s">
        <v>115</v>
      </c>
      <c r="X199" s="5"/>
    </row>
    <row r="200" spans="1:24" ht="15.6" x14ac:dyDescent="0.3">
      <c r="A200" s="287"/>
      <c r="B200" s="288" t="s">
        <v>199</v>
      </c>
      <c r="C200" s="288"/>
      <c r="D200" s="288"/>
      <c r="E200" s="288"/>
      <c r="F200" s="288"/>
      <c r="G200" s="288"/>
      <c r="H200" s="288"/>
      <c r="I200" s="288"/>
      <c r="J200" s="288"/>
      <c r="K200" s="288"/>
      <c r="L200" s="288"/>
      <c r="M200" s="288"/>
      <c r="N200" s="288"/>
      <c r="O200" s="288"/>
      <c r="P200" s="288"/>
      <c r="Q200" s="288"/>
      <c r="R200" s="288"/>
      <c r="S200" s="288"/>
      <c r="T200" s="288"/>
      <c r="U200" s="288"/>
      <c r="V200" s="350">
        <v>6.21</v>
      </c>
      <c r="W200" s="291" t="s">
        <v>115</v>
      </c>
      <c r="X200" s="5"/>
    </row>
    <row r="201" spans="1:24" ht="15.6" x14ac:dyDescent="0.3">
      <c r="A201" s="287"/>
      <c r="B201" s="314"/>
      <c r="C201" s="314"/>
      <c r="D201" s="314"/>
      <c r="E201" s="314"/>
      <c r="F201" s="314"/>
      <c r="G201" s="314"/>
      <c r="H201" s="314"/>
      <c r="I201" s="314"/>
      <c r="J201" s="314"/>
      <c r="K201" s="314"/>
      <c r="L201" s="314"/>
      <c r="M201" s="314"/>
      <c r="N201" s="314"/>
      <c r="O201" s="314"/>
      <c r="P201" s="314"/>
      <c r="Q201" s="314"/>
      <c r="R201" s="314"/>
      <c r="S201" s="314"/>
      <c r="T201" s="314"/>
      <c r="U201" s="314"/>
      <c r="V201" s="314"/>
      <c r="W201" s="318"/>
      <c r="X201" s="5"/>
    </row>
    <row r="202" spans="1:24" ht="15.6" x14ac:dyDescent="0.3">
      <c r="A202" s="183"/>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5"/>
    </row>
    <row r="203" spans="1:24" ht="15.6" x14ac:dyDescent="0.3">
      <c r="A203" s="183"/>
      <c r="B203" s="185"/>
      <c r="C203" s="185"/>
      <c r="D203" s="185"/>
      <c r="E203" s="185"/>
      <c r="F203" s="185"/>
      <c r="G203" s="185"/>
      <c r="H203" s="185"/>
      <c r="I203" s="185"/>
      <c r="J203" s="185"/>
      <c r="K203" s="185"/>
      <c r="L203" s="185"/>
      <c r="M203" s="185"/>
      <c r="N203" s="185"/>
      <c r="O203" s="185"/>
      <c r="P203" s="185"/>
      <c r="Q203" s="185"/>
      <c r="R203" s="185"/>
      <c r="S203" s="185"/>
      <c r="T203" s="185"/>
      <c r="U203" s="185"/>
      <c r="V203" s="185"/>
      <c r="W203" s="185"/>
      <c r="X203" s="5"/>
    </row>
    <row r="204" spans="1:24" ht="18" thickBot="1" x14ac:dyDescent="0.35">
      <c r="A204" s="199"/>
      <c r="B204" s="237" t="str">
        <f>B138</f>
        <v>PM14 INVESTOR REPORT QUARTER ENDING FEBRUARY 2014</v>
      </c>
      <c r="C204" s="215"/>
      <c r="D204" s="215"/>
      <c r="E204" s="215"/>
      <c r="F204" s="215"/>
      <c r="G204" s="215"/>
      <c r="H204" s="215"/>
      <c r="I204" s="215"/>
      <c r="J204" s="215"/>
      <c r="K204" s="215"/>
      <c r="L204" s="215"/>
      <c r="M204" s="215"/>
      <c r="N204" s="215"/>
      <c r="O204" s="215"/>
      <c r="P204" s="215"/>
      <c r="Q204" s="215"/>
      <c r="R204" s="215"/>
      <c r="S204" s="215"/>
      <c r="T204" s="215"/>
      <c r="U204" s="215"/>
      <c r="V204" s="215"/>
      <c r="W204" s="216"/>
      <c r="X204" s="5"/>
    </row>
    <row r="205" spans="1:24" ht="15.6" x14ac:dyDescent="0.3">
      <c r="A205" s="273"/>
      <c r="B205" s="403" t="s">
        <v>70</v>
      </c>
      <c r="C205" s="404"/>
      <c r="D205" s="404"/>
      <c r="E205" s="404"/>
      <c r="F205" s="404"/>
      <c r="G205" s="405"/>
      <c r="H205" s="405"/>
      <c r="I205" s="405"/>
      <c r="J205" s="405"/>
      <c r="K205" s="405"/>
      <c r="L205" s="405"/>
      <c r="M205" s="405"/>
      <c r="N205" s="405"/>
      <c r="O205" s="405"/>
      <c r="P205" s="405"/>
      <c r="Q205" s="405"/>
      <c r="R205" s="405"/>
      <c r="S205" s="405"/>
      <c r="T205" s="405">
        <v>41698</v>
      </c>
      <c r="U205" s="274"/>
      <c r="V205" s="274"/>
      <c r="W205" s="274"/>
      <c r="X205" s="5"/>
    </row>
    <row r="206" spans="1:24" ht="15.6" x14ac:dyDescent="0.3">
      <c r="A206" s="217"/>
      <c r="B206" s="230"/>
      <c r="C206" s="249"/>
      <c r="D206" s="249"/>
      <c r="E206" s="249"/>
      <c r="F206" s="249"/>
      <c r="G206" s="229"/>
      <c r="H206" s="229"/>
      <c r="I206" s="229"/>
      <c r="J206" s="229"/>
      <c r="K206" s="229"/>
      <c r="L206" s="229"/>
      <c r="M206" s="229"/>
      <c r="N206" s="229"/>
      <c r="O206" s="229"/>
      <c r="P206" s="229"/>
      <c r="Q206" s="229"/>
      <c r="R206" s="229"/>
      <c r="S206" s="229"/>
      <c r="T206" s="229"/>
      <c r="U206" s="224"/>
      <c r="V206" s="224"/>
      <c r="W206" s="224"/>
      <c r="X206" s="5"/>
    </row>
    <row r="207" spans="1:24" ht="15.6" x14ac:dyDescent="0.3">
      <c r="A207" s="352"/>
      <c r="B207" s="288" t="s">
        <v>71</v>
      </c>
      <c r="C207" s="353"/>
      <c r="D207" s="353"/>
      <c r="E207" s="353"/>
      <c r="F207" s="353"/>
      <c r="G207" s="330"/>
      <c r="H207" s="330"/>
      <c r="I207" s="330"/>
      <c r="J207" s="330"/>
      <c r="K207" s="330"/>
      <c r="L207" s="330"/>
      <c r="M207" s="330"/>
      <c r="N207" s="330"/>
      <c r="O207" s="330"/>
      <c r="P207" s="330"/>
      <c r="Q207" s="330"/>
      <c r="R207" s="330"/>
      <c r="S207" s="330"/>
      <c r="T207" s="321">
        <v>5.2819999999999999E-2</v>
      </c>
      <c r="U207" s="288"/>
      <c r="V207" s="288"/>
      <c r="W207" s="291"/>
      <c r="X207" s="5"/>
    </row>
    <row r="208" spans="1:24" ht="15.6" x14ac:dyDescent="0.3">
      <c r="A208" s="352"/>
      <c r="B208" s="288" t="s">
        <v>151</v>
      </c>
      <c r="C208" s="353"/>
      <c r="D208" s="353"/>
      <c r="E208" s="353"/>
      <c r="F208" s="353"/>
      <c r="G208" s="330"/>
      <c r="H208" s="330"/>
      <c r="I208" s="330"/>
      <c r="J208" s="330"/>
      <c r="K208" s="330"/>
      <c r="L208" s="330"/>
      <c r="M208" s="330"/>
      <c r="N208" s="330"/>
      <c r="O208" s="330"/>
      <c r="P208" s="330"/>
      <c r="Q208" s="330"/>
      <c r="R208" s="330"/>
      <c r="S208" s="330"/>
      <c r="T208" s="321">
        <v>5.7799999999999997E-2</v>
      </c>
      <c r="U208" s="288"/>
      <c r="V208" s="288"/>
      <c r="W208" s="291"/>
      <c r="X208" s="5"/>
    </row>
    <row r="209" spans="1:24" ht="15.6" x14ac:dyDescent="0.3">
      <c r="A209" s="352"/>
      <c r="B209" s="288" t="s">
        <v>72</v>
      </c>
      <c r="C209" s="353"/>
      <c r="D209" s="353"/>
      <c r="E209" s="353"/>
      <c r="F209" s="353"/>
      <c r="G209" s="330"/>
      <c r="H209" s="330"/>
      <c r="I209" s="330"/>
      <c r="J209" s="330"/>
      <c r="K209" s="330"/>
      <c r="L209" s="330"/>
      <c r="M209" s="330"/>
      <c r="N209" s="330"/>
      <c r="O209" s="330"/>
      <c r="P209" s="330"/>
      <c r="Q209" s="330"/>
      <c r="R209" s="330"/>
      <c r="S209" s="330"/>
      <c r="T209" s="321">
        <f>T207-T208</f>
        <v>-4.9799999999999983E-3</v>
      </c>
      <c r="U209" s="288"/>
      <c r="V209" s="288"/>
      <c r="W209" s="291"/>
      <c r="X209" s="5"/>
    </row>
    <row r="210" spans="1:24" ht="15.6" x14ac:dyDescent="0.3">
      <c r="A210" s="352"/>
      <c r="B210" s="288" t="s">
        <v>73</v>
      </c>
      <c r="C210" s="353"/>
      <c r="D210" s="353"/>
      <c r="E210" s="353"/>
      <c r="F210" s="353"/>
      <c r="G210" s="330"/>
      <c r="H210" s="330"/>
      <c r="I210" s="330"/>
      <c r="J210" s="330"/>
      <c r="K210" s="330"/>
      <c r="L210" s="330"/>
      <c r="M210" s="330"/>
      <c r="N210" s="330"/>
      <c r="O210" s="330"/>
      <c r="P210" s="330"/>
      <c r="Q210" s="330"/>
      <c r="R210" s="330"/>
      <c r="S210" s="330"/>
      <c r="T210" s="321">
        <v>2.358E-2</v>
      </c>
      <c r="U210" s="288"/>
      <c r="V210" s="288"/>
      <c r="W210" s="291"/>
      <c r="X210" s="5"/>
    </row>
    <row r="211" spans="1:24" ht="15.6" x14ac:dyDescent="0.3">
      <c r="A211" s="352"/>
      <c r="B211" s="288" t="s">
        <v>219</v>
      </c>
      <c r="C211" s="353"/>
      <c r="D211" s="353"/>
      <c r="E211" s="353"/>
      <c r="F211" s="353"/>
      <c r="G211" s="330"/>
      <c r="H211" s="330"/>
      <c r="I211" s="330"/>
      <c r="J211" s="330"/>
      <c r="K211" s="330"/>
      <c r="L211" s="330"/>
      <c r="M211" s="330"/>
      <c r="N211" s="330"/>
      <c r="O211" s="330"/>
      <c r="P211" s="330"/>
      <c r="Q211" s="330"/>
      <c r="R211" s="330"/>
      <c r="S211" s="330"/>
      <c r="T211" s="321">
        <f>V43</f>
        <v>8.4307547501896538E-3</v>
      </c>
      <c r="U211" s="288"/>
      <c r="V211" s="288"/>
      <c r="W211" s="291"/>
      <c r="X211" s="5"/>
    </row>
    <row r="212" spans="1:24" ht="15.6" x14ac:dyDescent="0.3">
      <c r="A212" s="352"/>
      <c r="B212" s="288" t="s">
        <v>74</v>
      </c>
      <c r="C212" s="353"/>
      <c r="D212" s="353"/>
      <c r="E212" s="353"/>
      <c r="F212" s="353"/>
      <c r="G212" s="330"/>
      <c r="H212" s="330"/>
      <c r="I212" s="330"/>
      <c r="J212" s="330"/>
      <c r="K212" s="330"/>
      <c r="L212" s="330"/>
      <c r="M212" s="330"/>
      <c r="N212" s="330"/>
      <c r="O212" s="330"/>
      <c r="P212" s="330"/>
      <c r="Q212" s="330"/>
      <c r="R212" s="330"/>
      <c r="S212" s="330"/>
      <c r="T212" s="321">
        <f>T210-T211</f>
        <v>1.5149245249810346E-2</v>
      </c>
      <c r="U212" s="288"/>
      <c r="V212" s="288"/>
      <c r="W212" s="291"/>
      <c r="X212" s="5"/>
    </row>
    <row r="213" spans="1:24" ht="15.6" x14ac:dyDescent="0.3">
      <c r="A213" s="352"/>
      <c r="B213" s="288" t="s">
        <v>242</v>
      </c>
      <c r="C213" s="353"/>
      <c r="D213" s="353"/>
      <c r="E213" s="353"/>
      <c r="F213" s="353"/>
      <c r="G213" s="330"/>
      <c r="H213" s="330"/>
      <c r="I213" s="330"/>
      <c r="J213" s="330"/>
      <c r="K213" s="330"/>
      <c r="L213" s="330"/>
      <c r="M213" s="330"/>
      <c r="N213" s="330"/>
      <c r="O213" s="330"/>
      <c r="P213" s="330"/>
      <c r="Q213" s="330"/>
      <c r="R213" s="330"/>
      <c r="S213" s="330"/>
      <c r="T213" s="321">
        <f>V101/N71</f>
        <v>6.5207555286883575E-3</v>
      </c>
      <c r="U213" s="288"/>
      <c r="V213" s="288"/>
      <c r="W213" s="291"/>
      <c r="X213" s="5"/>
    </row>
    <row r="214" spans="1:24" ht="15.6" x14ac:dyDescent="0.3">
      <c r="A214" s="352"/>
      <c r="B214" s="288" t="s">
        <v>208</v>
      </c>
      <c r="C214" s="353"/>
      <c r="D214" s="353"/>
      <c r="E214" s="353"/>
      <c r="F214" s="353"/>
      <c r="G214" s="330"/>
      <c r="H214" s="330"/>
      <c r="I214" s="330"/>
      <c r="J214" s="330"/>
      <c r="K214" s="330"/>
      <c r="L214" s="330"/>
      <c r="M214" s="330"/>
      <c r="N214" s="330"/>
      <c r="O214" s="330"/>
      <c r="P214" s="330"/>
      <c r="Q214" s="330"/>
      <c r="R214" s="330"/>
      <c r="S214" s="330"/>
      <c r="T214" s="354">
        <v>51014</v>
      </c>
      <c r="U214" s="288"/>
      <c r="V214" s="288"/>
      <c r="W214" s="291"/>
      <c r="X214" s="5"/>
    </row>
    <row r="215" spans="1:24" ht="15.6" x14ac:dyDescent="0.3">
      <c r="A215" s="352"/>
      <c r="B215" s="288" t="s">
        <v>209</v>
      </c>
      <c r="C215" s="353"/>
      <c r="D215" s="353"/>
      <c r="E215" s="353"/>
      <c r="F215" s="353"/>
      <c r="G215" s="330"/>
      <c r="H215" s="330"/>
      <c r="I215" s="330"/>
      <c r="J215" s="330"/>
      <c r="K215" s="330"/>
      <c r="L215" s="330"/>
      <c r="M215" s="330"/>
      <c r="N215" s="330"/>
      <c r="O215" s="330"/>
      <c r="P215" s="330"/>
      <c r="Q215" s="330"/>
      <c r="R215" s="330"/>
      <c r="S215" s="330"/>
      <c r="T215" s="354">
        <v>51014</v>
      </c>
      <c r="U215" s="288"/>
      <c r="V215" s="288"/>
      <c r="W215" s="291"/>
      <c r="X215" s="5"/>
    </row>
    <row r="216" spans="1:24" ht="15.6" x14ac:dyDescent="0.3">
      <c r="A216" s="352"/>
      <c r="B216" s="288" t="s">
        <v>210</v>
      </c>
      <c r="C216" s="353"/>
      <c r="D216" s="353"/>
      <c r="E216" s="353"/>
      <c r="F216" s="353"/>
      <c r="G216" s="330"/>
      <c r="H216" s="330"/>
      <c r="I216" s="330"/>
      <c r="J216" s="330"/>
      <c r="K216" s="330"/>
      <c r="L216" s="330"/>
      <c r="M216" s="330"/>
      <c r="N216" s="330"/>
      <c r="O216" s="330"/>
      <c r="P216" s="330"/>
      <c r="Q216" s="330"/>
      <c r="R216" s="330"/>
      <c r="S216" s="330"/>
      <c r="T216" s="354">
        <v>51014</v>
      </c>
      <c r="U216" s="288"/>
      <c r="V216" s="288"/>
      <c r="W216" s="291"/>
      <c r="X216" s="5"/>
    </row>
    <row r="217" spans="1:24" ht="15.6" x14ac:dyDescent="0.3">
      <c r="A217" s="352"/>
      <c r="B217" s="288" t="s">
        <v>75</v>
      </c>
      <c r="C217" s="353"/>
      <c r="D217" s="353"/>
      <c r="E217" s="353"/>
      <c r="F217" s="353"/>
      <c r="G217" s="330"/>
      <c r="H217" s="330"/>
      <c r="I217" s="330"/>
      <c r="J217" s="330"/>
      <c r="K217" s="330"/>
      <c r="L217" s="330"/>
      <c r="M217" s="330"/>
      <c r="N217" s="330"/>
      <c r="O217" s="330"/>
      <c r="P217" s="330"/>
      <c r="Q217" s="330"/>
      <c r="R217" s="330"/>
      <c r="S217" s="330"/>
      <c r="T217" s="327">
        <v>20.66</v>
      </c>
      <c r="U217" s="288" t="s">
        <v>110</v>
      </c>
      <c r="V217" s="288"/>
      <c r="W217" s="291"/>
      <c r="X217" s="5"/>
    </row>
    <row r="218" spans="1:24" ht="15.6" x14ac:dyDescent="0.3">
      <c r="A218" s="352"/>
      <c r="B218" s="288" t="s">
        <v>76</v>
      </c>
      <c r="C218" s="353"/>
      <c r="D218" s="353"/>
      <c r="E218" s="353"/>
      <c r="F218" s="353"/>
      <c r="G218" s="330"/>
      <c r="H218" s="330"/>
      <c r="I218" s="330"/>
      <c r="J218" s="330"/>
      <c r="K218" s="330"/>
      <c r="L218" s="330"/>
      <c r="M218" s="330"/>
      <c r="N218" s="330"/>
      <c r="O218" s="330"/>
      <c r="P218" s="330"/>
      <c r="Q218" s="330"/>
      <c r="R218" s="330"/>
      <c r="S218" s="330"/>
      <c r="T218" s="327">
        <v>14.47</v>
      </c>
      <c r="U218" s="288" t="s">
        <v>110</v>
      </c>
      <c r="V218" s="288"/>
      <c r="W218" s="291"/>
      <c r="X218" s="5"/>
    </row>
    <row r="219" spans="1:24" ht="15.6" x14ac:dyDescent="0.3">
      <c r="A219" s="352"/>
      <c r="B219" s="288" t="s">
        <v>77</v>
      </c>
      <c r="C219" s="353"/>
      <c r="D219" s="353"/>
      <c r="E219" s="353"/>
      <c r="F219" s="353"/>
      <c r="G219" s="330"/>
      <c r="H219" s="330"/>
      <c r="I219" s="330"/>
      <c r="J219" s="330"/>
      <c r="K219" s="330"/>
      <c r="L219" s="330"/>
      <c r="M219" s="330"/>
      <c r="N219" s="330"/>
      <c r="O219" s="330"/>
      <c r="P219" s="330"/>
      <c r="Q219" s="330"/>
      <c r="R219" s="330"/>
      <c r="S219" s="330"/>
      <c r="T219" s="321">
        <f>+P68/N68</f>
        <v>7.7399782672387899E-3</v>
      </c>
      <c r="U219" s="288"/>
      <c r="V219" s="288"/>
      <c r="W219" s="291"/>
      <c r="X219" s="5"/>
    </row>
    <row r="220" spans="1:24" ht="15.6" x14ac:dyDescent="0.3">
      <c r="A220" s="352"/>
      <c r="B220" s="288" t="s">
        <v>78</v>
      </c>
      <c r="C220" s="353"/>
      <c r="D220" s="353"/>
      <c r="E220" s="353"/>
      <c r="F220" s="353"/>
      <c r="G220" s="330"/>
      <c r="H220" s="330"/>
      <c r="I220" s="330"/>
      <c r="J220" s="330"/>
      <c r="K220" s="330"/>
      <c r="L220" s="330"/>
      <c r="M220" s="330"/>
      <c r="N220" s="330"/>
      <c r="O220" s="330"/>
      <c r="P220" s="330"/>
      <c r="Q220" s="330"/>
      <c r="R220" s="330"/>
      <c r="S220" s="330"/>
      <c r="T220" s="321">
        <v>5.0500000000000003E-2</v>
      </c>
      <c r="U220" s="288"/>
      <c r="V220" s="288"/>
      <c r="W220" s="291"/>
      <c r="X220" s="5"/>
    </row>
    <row r="221" spans="1:24" ht="15.6" x14ac:dyDescent="0.3">
      <c r="A221" s="217"/>
      <c r="B221" s="284"/>
      <c r="C221" s="284"/>
      <c r="D221" s="284"/>
      <c r="E221" s="284"/>
      <c r="F221" s="284"/>
      <c r="G221" s="284"/>
      <c r="H221" s="284"/>
      <c r="I221" s="284"/>
      <c r="J221" s="284"/>
      <c r="K221" s="284"/>
      <c r="L221" s="284"/>
      <c r="M221" s="284"/>
      <c r="N221" s="284"/>
      <c r="O221" s="284"/>
      <c r="P221" s="284"/>
      <c r="Q221" s="284"/>
      <c r="R221" s="284"/>
      <c r="S221" s="284"/>
      <c r="T221" s="349"/>
      <c r="U221" s="284"/>
      <c r="V221" s="351"/>
      <c r="W221" s="284"/>
      <c r="X221" s="5"/>
    </row>
    <row r="222" spans="1:24" ht="15.6" x14ac:dyDescent="0.3">
      <c r="A222" s="278"/>
      <c r="B222" s="399" t="s">
        <v>79</v>
      </c>
      <c r="C222" s="400"/>
      <c r="D222" s="400"/>
      <c r="E222" s="400"/>
      <c r="F222" s="406"/>
      <c r="G222" s="400"/>
      <c r="H222" s="400"/>
      <c r="I222" s="400"/>
      <c r="J222" s="400"/>
      <c r="K222" s="400"/>
      <c r="L222" s="400"/>
      <c r="M222" s="400"/>
      <c r="N222" s="400"/>
      <c r="O222" s="400"/>
      <c r="P222" s="400"/>
      <c r="Q222" s="400"/>
      <c r="R222" s="400"/>
      <c r="S222" s="400" t="s">
        <v>102</v>
      </c>
      <c r="T222" s="406" t="s">
        <v>108</v>
      </c>
      <c r="U222" s="263"/>
      <c r="V222" s="263"/>
      <c r="W222" s="263"/>
      <c r="X222" s="5"/>
    </row>
    <row r="223" spans="1:24" ht="15.6" x14ac:dyDescent="0.3">
      <c r="A223" s="218"/>
      <c r="B223" s="231" t="s">
        <v>80</v>
      </c>
      <c r="C223" s="234"/>
      <c r="D223" s="234"/>
      <c r="E223" s="234"/>
      <c r="F223" s="231"/>
      <c r="G223" s="231"/>
      <c r="H223" s="233"/>
      <c r="I223" s="233"/>
      <c r="J223" s="233"/>
      <c r="K223" s="233"/>
      <c r="L223" s="233"/>
      <c r="M223" s="233"/>
      <c r="N223" s="233"/>
      <c r="O223" s="233"/>
      <c r="P223" s="233"/>
      <c r="Q223" s="233"/>
      <c r="R223" s="233"/>
      <c r="S223" s="233">
        <v>3</v>
      </c>
      <c r="T223" s="251">
        <v>240</v>
      </c>
      <c r="U223" s="231"/>
      <c r="V223" s="250"/>
      <c r="W223" s="252"/>
      <c r="X223" s="5"/>
    </row>
    <row r="224" spans="1:24" ht="15.6" x14ac:dyDescent="0.3">
      <c r="A224" s="362"/>
      <c r="B224" s="288" t="s">
        <v>145</v>
      </c>
      <c r="C224" s="337"/>
      <c r="D224" s="337"/>
      <c r="E224" s="337"/>
      <c r="F224" s="288"/>
      <c r="G224" s="288"/>
      <c r="H224" s="296"/>
      <c r="I224" s="296"/>
      <c r="J224" s="296"/>
      <c r="K224" s="296"/>
      <c r="L224" s="296"/>
      <c r="M224" s="296"/>
      <c r="N224" s="296"/>
      <c r="O224" s="296"/>
      <c r="P224" s="296"/>
      <c r="Q224" s="296"/>
      <c r="R224" s="296"/>
      <c r="S224" s="363">
        <f>+R276</f>
        <v>167</v>
      </c>
      <c r="T224" s="364">
        <f>+T276</f>
        <v>23538</v>
      </c>
      <c r="U224" s="288"/>
      <c r="V224" s="365"/>
      <c r="W224" s="366"/>
      <c r="X224" s="5"/>
    </row>
    <row r="225" spans="1:24" ht="15.6" x14ac:dyDescent="0.3">
      <c r="A225" s="362"/>
      <c r="B225" s="288" t="s">
        <v>81</v>
      </c>
      <c r="C225" s="337"/>
      <c r="D225" s="337"/>
      <c r="E225" s="337"/>
      <c r="F225" s="288"/>
      <c r="G225" s="288"/>
      <c r="H225" s="296"/>
      <c r="I225" s="296"/>
      <c r="J225" s="296"/>
      <c r="K225" s="296"/>
      <c r="L225" s="296"/>
      <c r="M225" s="296"/>
      <c r="N225" s="296"/>
      <c r="O225" s="296"/>
      <c r="P225" s="296"/>
      <c r="Q225" s="296"/>
      <c r="R225" s="296"/>
      <c r="S225" s="363">
        <f>+R288</f>
        <v>0</v>
      </c>
      <c r="T225" s="364">
        <f>+T288</f>
        <v>0</v>
      </c>
      <c r="U225" s="288"/>
      <c r="V225" s="365"/>
      <c r="W225" s="366"/>
      <c r="X225" s="5"/>
    </row>
    <row r="226" spans="1:24" ht="15.6" x14ac:dyDescent="0.3">
      <c r="A226" s="362"/>
      <c r="B226" s="313" t="s">
        <v>82</v>
      </c>
      <c r="C226" s="367"/>
      <c r="D226" s="367"/>
      <c r="E226" s="367"/>
      <c r="F226" s="314"/>
      <c r="G226" s="314"/>
      <c r="H226" s="314"/>
      <c r="I226" s="314"/>
      <c r="J226" s="314"/>
      <c r="K226" s="314"/>
      <c r="L226" s="314"/>
      <c r="M226" s="314"/>
      <c r="N226" s="314"/>
      <c r="O226" s="314"/>
      <c r="P226" s="314"/>
      <c r="Q226" s="314"/>
      <c r="R226" s="314"/>
      <c r="S226" s="314"/>
      <c r="T226" s="364">
        <v>0</v>
      </c>
      <c r="U226" s="314"/>
      <c r="V226" s="369"/>
      <c r="W226" s="370"/>
      <c r="X226" s="5"/>
    </row>
    <row r="227" spans="1:24" ht="15.6" x14ac:dyDescent="0.3">
      <c r="A227" s="362"/>
      <c r="B227" s="313" t="s">
        <v>243</v>
      </c>
      <c r="C227" s="367"/>
      <c r="D227" s="367"/>
      <c r="E227" s="367"/>
      <c r="F227" s="314"/>
      <c r="G227" s="314"/>
      <c r="H227" s="314"/>
      <c r="I227" s="314"/>
      <c r="J227" s="314"/>
      <c r="K227" s="314"/>
      <c r="L227" s="314"/>
      <c r="M227" s="314"/>
      <c r="N227" s="314"/>
      <c r="O227" s="314"/>
      <c r="P227" s="314"/>
      <c r="Q227" s="314"/>
      <c r="R227" s="314"/>
      <c r="S227" s="314"/>
      <c r="T227" s="364">
        <f>+N81</f>
        <v>0</v>
      </c>
      <c r="U227" s="314"/>
      <c r="V227" s="369"/>
      <c r="W227" s="370"/>
      <c r="X227" s="5"/>
    </row>
    <row r="228" spans="1:24" ht="15.6" x14ac:dyDescent="0.3">
      <c r="A228" s="371"/>
      <c r="B228" s="313" t="s">
        <v>83</v>
      </c>
      <c r="C228" s="372"/>
      <c r="D228" s="372"/>
      <c r="E228" s="372"/>
      <c r="F228" s="372"/>
      <c r="G228" s="314"/>
      <c r="H228" s="314"/>
      <c r="I228" s="314"/>
      <c r="J228" s="314"/>
      <c r="K228" s="314"/>
      <c r="L228" s="314"/>
      <c r="M228" s="314"/>
      <c r="N228" s="314"/>
      <c r="O228" s="314"/>
      <c r="P228" s="314"/>
      <c r="Q228" s="314"/>
      <c r="R228" s="314"/>
      <c r="S228" s="314"/>
      <c r="T228" s="368"/>
      <c r="U228" s="314"/>
      <c r="V228" s="369"/>
      <c r="W228" s="373"/>
      <c r="X228" s="5"/>
    </row>
    <row r="229" spans="1:24" ht="15.6" x14ac:dyDescent="0.3">
      <c r="A229" s="371"/>
      <c r="B229" s="288" t="s">
        <v>84</v>
      </c>
      <c r="C229" s="288"/>
      <c r="D229" s="288"/>
      <c r="E229" s="288"/>
      <c r="F229" s="288"/>
      <c r="G229" s="288"/>
      <c r="H229" s="288"/>
      <c r="I229" s="288"/>
      <c r="J229" s="288"/>
      <c r="K229" s="288"/>
      <c r="L229" s="288"/>
      <c r="M229" s="288"/>
      <c r="N229" s="288"/>
      <c r="O229" s="288"/>
      <c r="P229" s="288"/>
      <c r="Q229" s="288"/>
      <c r="R229" s="288"/>
      <c r="S229" s="296"/>
      <c r="T229" s="364">
        <f>V167</f>
        <v>409</v>
      </c>
      <c r="U229" s="288"/>
      <c r="V229" s="365"/>
      <c r="W229" s="378"/>
      <c r="X229" s="5"/>
    </row>
    <row r="230" spans="1:24" ht="15.6" x14ac:dyDescent="0.3">
      <c r="A230" s="362"/>
      <c r="B230" s="288" t="s">
        <v>85</v>
      </c>
      <c r="C230" s="337"/>
      <c r="D230" s="337"/>
      <c r="E230" s="337"/>
      <c r="F230" s="337"/>
      <c r="G230" s="288"/>
      <c r="H230" s="288"/>
      <c r="I230" s="288"/>
      <c r="J230" s="288"/>
      <c r="K230" s="288"/>
      <c r="L230" s="288"/>
      <c r="M230" s="288"/>
      <c r="N230" s="288"/>
      <c r="O230" s="288"/>
      <c r="P230" s="288"/>
      <c r="Q230" s="288"/>
      <c r="R230" s="288"/>
      <c r="S230" s="296"/>
      <c r="T230" s="364">
        <f>'Nov 13'!T230+T229</f>
        <v>4992</v>
      </c>
      <c r="U230" s="288"/>
      <c r="V230" s="365"/>
      <c r="W230" s="378"/>
      <c r="X230" s="5"/>
    </row>
    <row r="231" spans="1:24" ht="15.6" x14ac:dyDescent="0.3">
      <c r="A231" s="371"/>
      <c r="B231" s="313" t="s">
        <v>295</v>
      </c>
      <c r="C231" s="372"/>
      <c r="D231" s="372"/>
      <c r="E231" s="372"/>
      <c r="F231" s="372"/>
      <c r="G231" s="314"/>
      <c r="H231" s="314"/>
      <c r="I231" s="314"/>
      <c r="J231" s="314"/>
      <c r="K231" s="314"/>
      <c r="L231" s="314"/>
      <c r="M231" s="314"/>
      <c r="N231" s="314"/>
      <c r="O231" s="314"/>
      <c r="P231" s="314"/>
      <c r="Q231" s="314"/>
      <c r="R231" s="314"/>
      <c r="S231" s="316"/>
      <c r="T231" s="368"/>
      <c r="U231" s="314"/>
      <c r="V231" s="369"/>
      <c r="W231" s="373"/>
      <c r="X231" s="5"/>
    </row>
    <row r="232" spans="1:24" ht="15.6" x14ac:dyDescent="0.3">
      <c r="A232" s="371"/>
      <c r="B232" s="288" t="s">
        <v>291</v>
      </c>
      <c r="C232" s="288"/>
      <c r="D232" s="288"/>
      <c r="E232" s="288"/>
      <c r="F232" s="288"/>
      <c r="G232" s="288"/>
      <c r="H232" s="288"/>
      <c r="I232" s="288"/>
      <c r="J232" s="288"/>
      <c r="K232" s="288"/>
      <c r="L232" s="288"/>
      <c r="M232" s="288"/>
      <c r="N232" s="288"/>
      <c r="O232" s="288"/>
      <c r="P232" s="288"/>
      <c r="Q232" s="288"/>
      <c r="R232" s="288"/>
      <c r="S232" s="296">
        <v>0</v>
      </c>
      <c r="T232" s="364">
        <v>0</v>
      </c>
      <c r="U232" s="288"/>
      <c r="V232" s="365"/>
      <c r="W232" s="378"/>
      <c r="X232" s="5"/>
    </row>
    <row r="233" spans="1:24" ht="15.6" x14ac:dyDescent="0.3">
      <c r="A233" s="362"/>
      <c r="B233" s="288" t="s">
        <v>86</v>
      </c>
      <c r="C233" s="325"/>
      <c r="D233" s="325"/>
      <c r="E233" s="325"/>
      <c r="F233" s="379"/>
      <c r="G233" s="288"/>
      <c r="H233" s="288"/>
      <c r="I233" s="288"/>
      <c r="J233" s="288"/>
      <c r="K233" s="288"/>
      <c r="L233" s="288"/>
      <c r="M233" s="288"/>
      <c r="N233" s="288"/>
      <c r="O233" s="288"/>
      <c r="P233" s="288"/>
      <c r="Q233" s="288"/>
      <c r="R233" s="288"/>
      <c r="S233" s="288"/>
      <c r="T233" s="380">
        <v>0</v>
      </c>
      <c r="U233" s="288"/>
      <c r="V233" s="365"/>
      <c r="W233" s="378"/>
      <c r="X233" s="5"/>
    </row>
    <row r="234" spans="1:24" ht="15.6" x14ac:dyDescent="0.3">
      <c r="A234" s="362"/>
      <c r="B234" s="288" t="s">
        <v>87</v>
      </c>
      <c r="C234" s="325"/>
      <c r="D234" s="325"/>
      <c r="E234" s="325"/>
      <c r="F234" s="379"/>
      <c r="G234" s="288"/>
      <c r="H234" s="288"/>
      <c r="I234" s="288"/>
      <c r="J234" s="288"/>
      <c r="K234" s="288"/>
      <c r="L234" s="288"/>
      <c r="M234" s="288"/>
      <c r="N234" s="288"/>
      <c r="O234" s="288"/>
      <c r="P234" s="288"/>
      <c r="Q234" s="288"/>
      <c r="R234" s="288"/>
      <c r="S234" s="288"/>
      <c r="T234" s="380">
        <v>0</v>
      </c>
      <c r="U234" s="288"/>
      <c r="V234" s="365"/>
      <c r="W234" s="378"/>
      <c r="X234" s="5"/>
    </row>
    <row r="235" spans="1:24" ht="15.6" x14ac:dyDescent="0.3">
      <c r="A235" s="362"/>
      <c r="B235" s="313" t="s">
        <v>217</v>
      </c>
      <c r="C235" s="381"/>
      <c r="D235" s="381"/>
      <c r="E235" s="381"/>
      <c r="F235" s="382"/>
      <c r="G235" s="314"/>
      <c r="H235" s="314"/>
      <c r="I235" s="314"/>
      <c r="J235" s="314"/>
      <c r="K235" s="314"/>
      <c r="L235" s="314"/>
      <c r="M235" s="314"/>
      <c r="N235" s="314"/>
      <c r="O235" s="314"/>
      <c r="P235" s="314"/>
      <c r="Q235" s="314"/>
      <c r="R235" s="314"/>
      <c r="S235" s="314"/>
      <c r="T235" s="383"/>
      <c r="U235" s="314"/>
      <c r="V235" s="369"/>
      <c r="W235" s="373"/>
      <c r="X235" s="5"/>
    </row>
    <row r="236" spans="1:24" ht="15.6" x14ac:dyDescent="0.3">
      <c r="A236" s="362"/>
      <c r="B236" s="288" t="s">
        <v>291</v>
      </c>
      <c r="C236" s="381"/>
      <c r="D236" s="381"/>
      <c r="E236" s="381"/>
      <c r="F236" s="382"/>
      <c r="G236" s="314"/>
      <c r="H236" s="314"/>
      <c r="I236" s="314"/>
      <c r="J236" s="314"/>
      <c r="K236" s="314"/>
      <c r="L236" s="314"/>
      <c r="M236" s="314"/>
      <c r="N236" s="314"/>
      <c r="O236" s="314"/>
      <c r="P236" s="314"/>
      <c r="Q236" s="314"/>
      <c r="R236" s="314"/>
      <c r="S236" s="296">
        <v>9</v>
      </c>
      <c r="T236" s="364">
        <v>1233</v>
      </c>
      <c r="U236" s="314"/>
      <c r="V236" s="369"/>
      <c r="W236" s="373"/>
      <c r="X236" s="5"/>
    </row>
    <row r="237" spans="1:24" ht="15.6" x14ac:dyDescent="0.3">
      <c r="A237" s="362"/>
      <c r="B237" s="288" t="s">
        <v>218</v>
      </c>
      <c r="C237" s="381"/>
      <c r="D237" s="381"/>
      <c r="E237" s="381"/>
      <c r="F237" s="382"/>
      <c r="G237" s="314"/>
      <c r="H237" s="314"/>
      <c r="I237" s="314"/>
      <c r="J237" s="314"/>
      <c r="K237" s="314"/>
      <c r="L237" s="314"/>
      <c r="M237" s="314"/>
      <c r="N237" s="314"/>
      <c r="O237" s="314"/>
      <c r="P237" s="314"/>
      <c r="Q237" s="314"/>
      <c r="R237" s="314"/>
      <c r="S237" s="288"/>
      <c r="T237" s="380">
        <v>8.43</v>
      </c>
      <c r="U237" s="314"/>
      <c r="V237" s="369"/>
      <c r="W237" s="373"/>
      <c r="X237" s="5"/>
    </row>
    <row r="238" spans="1:24" ht="15.6" x14ac:dyDescent="0.3">
      <c r="A238" s="362"/>
      <c r="B238" s="372"/>
      <c r="C238" s="381"/>
      <c r="D238" s="381"/>
      <c r="E238" s="381"/>
      <c r="F238" s="382"/>
      <c r="G238" s="314"/>
      <c r="H238" s="314"/>
      <c r="I238" s="314"/>
      <c r="J238" s="314"/>
      <c r="K238" s="314"/>
      <c r="L238" s="314"/>
      <c r="M238" s="314"/>
      <c r="N238" s="314"/>
      <c r="O238" s="314"/>
      <c r="P238" s="314"/>
      <c r="Q238" s="314"/>
      <c r="R238" s="314"/>
      <c r="S238" s="314"/>
      <c r="T238" s="383"/>
      <c r="U238" s="314"/>
      <c r="V238" s="369"/>
      <c r="W238" s="373"/>
      <c r="X238" s="5"/>
    </row>
    <row r="239" spans="1:24" ht="15.6" x14ac:dyDescent="0.3">
      <c r="A239" s="362"/>
      <c r="B239" s="372"/>
      <c r="C239" s="381"/>
      <c r="D239" s="381"/>
      <c r="E239" s="381"/>
      <c r="F239" s="382"/>
      <c r="G239" s="314"/>
      <c r="H239" s="314"/>
      <c r="I239" s="314"/>
      <c r="J239" s="314"/>
      <c r="K239" s="314"/>
      <c r="L239" s="314"/>
      <c r="M239" s="314"/>
      <c r="N239" s="314"/>
      <c r="O239" s="314"/>
      <c r="P239" s="314"/>
      <c r="Q239" s="314"/>
      <c r="R239" s="314"/>
      <c r="S239" s="314"/>
      <c r="T239" s="383"/>
      <c r="U239" s="314"/>
      <c r="V239" s="369"/>
      <c r="W239" s="373"/>
      <c r="X239" s="5"/>
    </row>
    <row r="240" spans="1:24" ht="17.399999999999999" x14ac:dyDescent="0.3">
      <c r="A240" s="362"/>
      <c r="B240" s="384" t="s">
        <v>168</v>
      </c>
      <c r="C240" s="381"/>
      <c r="D240" s="381"/>
      <c r="E240" s="381"/>
      <c r="F240" s="382"/>
      <c r="G240" s="314"/>
      <c r="H240" s="314"/>
      <c r="I240" s="314"/>
      <c r="J240" s="314"/>
      <c r="K240" s="314"/>
      <c r="L240" s="314"/>
      <c r="M240" s="314"/>
      <c r="N240" s="314"/>
      <c r="O240" s="314"/>
      <c r="P240" s="385" t="s">
        <v>167</v>
      </c>
      <c r="Q240" s="314"/>
      <c r="R240" s="314"/>
      <c r="S240" s="314"/>
      <c r="T240" s="383"/>
      <c r="U240" s="314"/>
      <c r="V240" s="369"/>
      <c r="W240" s="373"/>
      <c r="X240" s="5"/>
    </row>
    <row r="241" spans="1:25" ht="15.6" x14ac:dyDescent="0.3">
      <c r="A241" s="355"/>
      <c r="B241" s="356"/>
      <c r="C241" s="357"/>
      <c r="D241" s="357"/>
      <c r="E241" s="357"/>
      <c r="F241" s="358"/>
      <c r="G241" s="198"/>
      <c r="H241" s="198"/>
      <c r="I241" s="198"/>
      <c r="J241" s="198"/>
      <c r="K241" s="198"/>
      <c r="L241" s="198"/>
      <c r="M241" s="198"/>
      <c r="N241" s="198"/>
      <c r="O241" s="198"/>
      <c r="P241" s="198"/>
      <c r="Q241" s="198"/>
      <c r="R241" s="198"/>
      <c r="S241" s="198"/>
      <c r="T241" s="359"/>
      <c r="U241" s="198"/>
      <c r="V241" s="360"/>
      <c r="W241" s="361"/>
      <c r="X241" s="5"/>
    </row>
    <row r="242" spans="1:25" ht="15.6" x14ac:dyDescent="0.3">
      <c r="A242" s="262"/>
      <c r="B242" s="399" t="s">
        <v>308</v>
      </c>
      <c r="C242" s="400"/>
      <c r="D242" s="400"/>
      <c r="E242" s="400"/>
      <c r="F242" s="406"/>
      <c r="G242" s="400"/>
      <c r="H242" s="400"/>
      <c r="I242" s="400"/>
      <c r="J242" s="400"/>
      <c r="K242" s="400"/>
      <c r="L242" s="400"/>
      <c r="M242" s="400"/>
      <c r="N242" s="400"/>
      <c r="O242" s="400"/>
      <c r="P242" s="400"/>
      <c r="Q242" s="400"/>
      <c r="R242" s="406" t="s">
        <v>102</v>
      </c>
      <c r="S242" s="400" t="s">
        <v>103</v>
      </c>
      <c r="T242" s="406" t="s">
        <v>109</v>
      </c>
      <c r="U242" s="400" t="s">
        <v>103</v>
      </c>
      <c r="V242" s="263"/>
      <c r="W242" s="399"/>
      <c r="X242" s="5"/>
    </row>
    <row r="243" spans="1:25" ht="15.6" x14ac:dyDescent="0.3">
      <c r="A243" s="197"/>
      <c r="B243" s="234" t="s">
        <v>88</v>
      </c>
      <c r="C243" s="253"/>
      <c r="D243" s="253"/>
      <c r="E243" s="253"/>
      <c r="F243" s="231"/>
      <c r="G243" s="253"/>
      <c r="H243" s="253"/>
      <c r="I243" s="253"/>
      <c r="J243" s="253"/>
      <c r="K243" s="253"/>
      <c r="L243" s="253"/>
      <c r="M243" s="253"/>
      <c r="N243" s="253"/>
      <c r="O243" s="253"/>
      <c r="P243" s="253"/>
      <c r="Q243" s="253"/>
      <c r="R243" s="234">
        <f t="shared" ref="R243:R250" si="1">+R255+R267+R279</f>
        <v>7657</v>
      </c>
      <c r="S243" s="254">
        <f t="shared" ref="S243:S250" si="2">R243/$R$252</f>
        <v>0.99467394128345021</v>
      </c>
      <c r="T243" s="241">
        <f t="shared" ref="T243:T250" si="3">+T255+T267+T279</f>
        <v>1064651</v>
      </c>
      <c r="U243" s="254">
        <f t="shared" ref="U243:U250" si="4">T243/$T$252</f>
        <v>0.99471646426349103</v>
      </c>
      <c r="V243" s="250"/>
      <c r="W243" s="232"/>
      <c r="X243" s="5"/>
    </row>
    <row r="244" spans="1:25" ht="15.6" x14ac:dyDescent="0.3">
      <c r="A244" s="287"/>
      <c r="B244" s="337" t="s">
        <v>89</v>
      </c>
      <c r="C244" s="389"/>
      <c r="D244" s="389"/>
      <c r="E244" s="389"/>
      <c r="F244" s="288"/>
      <c r="G244" s="390"/>
      <c r="H244" s="389"/>
      <c r="I244" s="389"/>
      <c r="J244" s="389"/>
      <c r="K244" s="389"/>
      <c r="L244" s="389"/>
      <c r="M244" s="389"/>
      <c r="N244" s="389"/>
      <c r="O244" s="389"/>
      <c r="P244" s="389"/>
      <c r="Q244" s="389"/>
      <c r="R244" s="337">
        <f t="shared" si="1"/>
        <v>13</v>
      </c>
      <c r="S244" s="390">
        <f t="shared" si="2"/>
        <v>1.6887503247596778E-3</v>
      </c>
      <c r="T244" s="338">
        <f t="shared" si="3"/>
        <v>1534</v>
      </c>
      <c r="U244" s="390">
        <f t="shared" si="4"/>
        <v>1.4332349813978432E-3</v>
      </c>
      <c r="V244" s="365"/>
      <c r="W244" s="378"/>
      <c r="X244" s="5"/>
      <c r="Y244" s="109"/>
    </row>
    <row r="245" spans="1:25" ht="15.6" x14ac:dyDescent="0.3">
      <c r="A245" s="287"/>
      <c r="B245" s="337" t="s">
        <v>90</v>
      </c>
      <c r="C245" s="389"/>
      <c r="D245" s="389"/>
      <c r="E245" s="389"/>
      <c r="F245" s="288"/>
      <c r="G245" s="390"/>
      <c r="H245" s="389"/>
      <c r="I245" s="389"/>
      <c r="J245" s="389"/>
      <c r="K245" s="389"/>
      <c r="L245" s="389"/>
      <c r="M245" s="389"/>
      <c r="N245" s="389"/>
      <c r="O245" s="389"/>
      <c r="P245" s="389"/>
      <c r="Q245" s="389"/>
      <c r="R245" s="337">
        <f t="shared" si="1"/>
        <v>5</v>
      </c>
      <c r="S245" s="390">
        <f t="shared" si="2"/>
        <v>6.495193556767992E-4</v>
      </c>
      <c r="T245" s="338">
        <f t="shared" si="3"/>
        <v>774</v>
      </c>
      <c r="U245" s="390">
        <f t="shared" si="4"/>
        <v>7.2315767640282317E-4</v>
      </c>
      <c r="V245" s="365"/>
      <c r="W245" s="378"/>
      <c r="X245" s="5"/>
    </row>
    <row r="246" spans="1:25" ht="15.6" x14ac:dyDescent="0.3">
      <c r="A246" s="287"/>
      <c r="B246" s="337" t="s">
        <v>156</v>
      </c>
      <c r="C246" s="389"/>
      <c r="D246" s="389"/>
      <c r="E246" s="389"/>
      <c r="F246" s="288"/>
      <c r="G246" s="390"/>
      <c r="H246" s="389"/>
      <c r="I246" s="389"/>
      <c r="J246" s="389"/>
      <c r="K246" s="389"/>
      <c r="L246" s="389"/>
      <c r="M246" s="389"/>
      <c r="N246" s="389"/>
      <c r="O246" s="389"/>
      <c r="P246" s="389"/>
      <c r="Q246" s="389"/>
      <c r="R246" s="337">
        <f t="shared" si="1"/>
        <v>3</v>
      </c>
      <c r="S246" s="390">
        <f t="shared" si="2"/>
        <v>3.8971161340607951E-4</v>
      </c>
      <c r="T246" s="338">
        <f t="shared" si="3"/>
        <v>432</v>
      </c>
      <c r="U246" s="390">
        <f t="shared" si="4"/>
        <v>4.0362288915506405E-4</v>
      </c>
      <c r="V246" s="365"/>
      <c r="W246" s="378"/>
      <c r="X246" s="5"/>
      <c r="Y246" s="109"/>
    </row>
    <row r="247" spans="1:25" ht="15.6" x14ac:dyDescent="0.3">
      <c r="A247" s="287"/>
      <c r="B247" s="337" t="s">
        <v>157</v>
      </c>
      <c r="C247" s="389"/>
      <c r="D247" s="389"/>
      <c r="E247" s="389"/>
      <c r="F247" s="288"/>
      <c r="G247" s="390"/>
      <c r="H247" s="389"/>
      <c r="I247" s="389"/>
      <c r="J247" s="389"/>
      <c r="K247" s="389"/>
      <c r="L247" s="389"/>
      <c r="M247" s="389"/>
      <c r="N247" s="389"/>
      <c r="O247" s="389"/>
      <c r="P247" s="389"/>
      <c r="Q247" s="389"/>
      <c r="R247" s="337">
        <f t="shared" si="1"/>
        <v>1</v>
      </c>
      <c r="S247" s="390">
        <f t="shared" si="2"/>
        <v>1.2990387113535984E-4</v>
      </c>
      <c r="T247" s="338">
        <f t="shared" si="3"/>
        <v>134</v>
      </c>
      <c r="U247" s="390">
        <f t="shared" si="4"/>
        <v>1.2519784061754301E-4</v>
      </c>
      <c r="V247" s="365"/>
      <c r="W247" s="378"/>
      <c r="X247" s="5"/>
    </row>
    <row r="248" spans="1:25" ht="15.6" x14ac:dyDescent="0.3">
      <c r="A248" s="287"/>
      <c r="B248" s="337" t="s">
        <v>158</v>
      </c>
      <c r="C248" s="389"/>
      <c r="D248" s="389"/>
      <c r="E248" s="389"/>
      <c r="F248" s="288"/>
      <c r="G248" s="390"/>
      <c r="H248" s="389"/>
      <c r="I248" s="389"/>
      <c r="J248" s="389"/>
      <c r="K248" s="389"/>
      <c r="L248" s="389"/>
      <c r="M248" s="389"/>
      <c r="N248" s="389"/>
      <c r="O248" s="389"/>
      <c r="P248" s="389"/>
      <c r="Q248" s="389"/>
      <c r="R248" s="337">
        <f t="shared" si="1"/>
        <v>1</v>
      </c>
      <c r="S248" s="390">
        <f t="shared" si="2"/>
        <v>1.2990387113535984E-4</v>
      </c>
      <c r="T248" s="338">
        <f t="shared" si="3"/>
        <v>60</v>
      </c>
      <c r="U248" s="390">
        <f t="shared" si="4"/>
        <v>5.6058734604870008E-5</v>
      </c>
      <c r="V248" s="365"/>
      <c r="W248" s="378"/>
      <c r="X248" s="5"/>
      <c r="Y248" s="109"/>
    </row>
    <row r="249" spans="1:25" ht="15.6" x14ac:dyDescent="0.3">
      <c r="A249" s="287"/>
      <c r="B249" s="337" t="s">
        <v>159</v>
      </c>
      <c r="C249" s="389"/>
      <c r="D249" s="389"/>
      <c r="E249" s="389"/>
      <c r="F249" s="288"/>
      <c r="G249" s="390"/>
      <c r="H249" s="389"/>
      <c r="I249" s="389"/>
      <c r="J249" s="389"/>
      <c r="K249" s="389"/>
      <c r="L249" s="389"/>
      <c r="M249" s="389"/>
      <c r="N249" s="389"/>
      <c r="O249" s="389"/>
      <c r="P249" s="389"/>
      <c r="Q249" s="389"/>
      <c r="R249" s="337">
        <f t="shared" si="1"/>
        <v>4</v>
      </c>
      <c r="S249" s="390">
        <f t="shared" si="2"/>
        <v>5.1961548454143938E-4</v>
      </c>
      <c r="T249" s="338">
        <f t="shared" si="3"/>
        <v>643</v>
      </c>
      <c r="U249" s="390">
        <f t="shared" si="4"/>
        <v>6.0076277251552357E-4</v>
      </c>
      <c r="V249" s="365"/>
      <c r="W249" s="378"/>
      <c r="X249" s="5"/>
    </row>
    <row r="250" spans="1:25" ht="15.6" x14ac:dyDescent="0.3">
      <c r="A250" s="287"/>
      <c r="B250" s="337" t="s">
        <v>160</v>
      </c>
      <c r="C250" s="389"/>
      <c r="D250" s="389"/>
      <c r="E250" s="389"/>
      <c r="F250" s="288"/>
      <c r="G250" s="390"/>
      <c r="H250" s="389"/>
      <c r="I250" s="389"/>
      <c r="J250" s="389"/>
      <c r="K250" s="389"/>
      <c r="L250" s="389"/>
      <c r="M250" s="389"/>
      <c r="N250" s="389"/>
      <c r="O250" s="389"/>
      <c r="P250" s="389"/>
      <c r="Q250" s="389"/>
      <c r="R250" s="339">
        <f t="shared" si="1"/>
        <v>14</v>
      </c>
      <c r="S250" s="393">
        <f t="shared" si="2"/>
        <v>1.8186541958950377E-3</v>
      </c>
      <c r="T250" s="394">
        <f t="shared" si="3"/>
        <v>2078</v>
      </c>
      <c r="U250" s="393">
        <f t="shared" si="4"/>
        <v>1.9415008418153313E-3</v>
      </c>
      <c r="V250" s="365"/>
      <c r="W250" s="378"/>
      <c r="X250" s="5"/>
      <c r="Y250" s="109"/>
    </row>
    <row r="251" spans="1:25" ht="15.6" x14ac:dyDescent="0.3">
      <c r="A251" s="287"/>
      <c r="B251" s="337"/>
      <c r="C251" s="389"/>
      <c r="D251" s="389"/>
      <c r="E251" s="389"/>
      <c r="F251" s="288"/>
      <c r="G251" s="390"/>
      <c r="H251" s="389"/>
      <c r="I251" s="389"/>
      <c r="J251" s="389"/>
      <c r="K251" s="389"/>
      <c r="L251" s="389"/>
      <c r="M251" s="389"/>
      <c r="N251" s="389"/>
      <c r="O251" s="389"/>
      <c r="P251" s="389"/>
      <c r="Q251" s="389"/>
      <c r="R251" s="337"/>
      <c r="S251" s="390"/>
      <c r="T251" s="338"/>
      <c r="U251" s="390"/>
      <c r="V251" s="365"/>
      <c r="W251" s="378"/>
      <c r="X251" s="5"/>
    </row>
    <row r="252" spans="1:25" ht="15.6" x14ac:dyDescent="0.3">
      <c r="A252" s="287"/>
      <c r="B252" s="288"/>
      <c r="C252" s="288"/>
      <c r="D252" s="288"/>
      <c r="E252" s="288"/>
      <c r="F252" s="288"/>
      <c r="G252" s="288"/>
      <c r="H252" s="391"/>
      <c r="I252" s="391"/>
      <c r="J252" s="391"/>
      <c r="K252" s="391"/>
      <c r="L252" s="391"/>
      <c r="M252" s="391"/>
      <c r="N252" s="391"/>
      <c r="O252" s="391"/>
      <c r="P252" s="391"/>
      <c r="Q252" s="391"/>
      <c r="R252" s="337">
        <f>SUM(R243:R251)</f>
        <v>7698</v>
      </c>
      <c r="S252" s="390">
        <f>SUM(S243:S251)</f>
        <v>0.99999999999999989</v>
      </c>
      <c r="T252" s="338">
        <f>SUM(T243:T251)</f>
        <v>1070306</v>
      </c>
      <c r="U252" s="390">
        <f>SUM(U243:U251)</f>
        <v>1.0000000000000002</v>
      </c>
      <c r="V252" s="288"/>
      <c r="W252" s="291"/>
      <c r="X252" s="5"/>
    </row>
    <row r="253" spans="1:25" ht="15.6" x14ac:dyDescent="0.3">
      <c r="A253" s="183"/>
      <c r="B253" s="198"/>
      <c r="C253" s="198"/>
      <c r="D253" s="198"/>
      <c r="E253" s="198"/>
      <c r="F253" s="198"/>
      <c r="G253" s="198"/>
      <c r="H253" s="386"/>
      <c r="I253" s="386"/>
      <c r="J253" s="386"/>
      <c r="K253" s="386"/>
      <c r="L253" s="386"/>
      <c r="M253" s="386"/>
      <c r="N253" s="386"/>
      <c r="O253" s="386"/>
      <c r="P253" s="386"/>
      <c r="Q253" s="386"/>
      <c r="R253" s="335"/>
      <c r="S253" s="387"/>
      <c r="T253" s="388"/>
      <c r="U253" s="387"/>
      <c r="V253" s="198"/>
      <c r="W253" s="198"/>
      <c r="X253" s="5"/>
    </row>
    <row r="254" spans="1:25" ht="15.6" x14ac:dyDescent="0.3">
      <c r="A254" s="262"/>
      <c r="B254" s="399" t="s">
        <v>162</v>
      </c>
      <c r="C254" s="400"/>
      <c r="D254" s="400"/>
      <c r="E254" s="400"/>
      <c r="F254" s="406"/>
      <c r="G254" s="400"/>
      <c r="H254" s="400"/>
      <c r="I254" s="400"/>
      <c r="J254" s="400"/>
      <c r="K254" s="400"/>
      <c r="L254" s="400"/>
      <c r="M254" s="400"/>
      <c r="N254" s="400"/>
      <c r="O254" s="400"/>
      <c r="P254" s="400"/>
      <c r="Q254" s="400"/>
      <c r="R254" s="406" t="s">
        <v>102</v>
      </c>
      <c r="S254" s="400" t="s">
        <v>103</v>
      </c>
      <c r="T254" s="406" t="s">
        <v>109</v>
      </c>
      <c r="U254" s="400" t="s">
        <v>103</v>
      </c>
      <c r="V254" s="263"/>
      <c r="W254" s="399"/>
      <c r="X254" s="5"/>
    </row>
    <row r="255" spans="1:25" ht="15.6" x14ac:dyDescent="0.3">
      <c r="A255" s="197"/>
      <c r="B255" s="234" t="s">
        <v>88</v>
      </c>
      <c r="C255" s="253"/>
      <c r="D255" s="253"/>
      <c r="E255" s="253"/>
      <c r="F255" s="231"/>
      <c r="G255" s="253"/>
      <c r="H255" s="253"/>
      <c r="I255" s="253"/>
      <c r="J255" s="253"/>
      <c r="K255" s="253"/>
      <c r="L255" s="253"/>
      <c r="M255" s="253"/>
      <c r="N255" s="253"/>
      <c r="O255" s="253"/>
      <c r="P255" s="253"/>
      <c r="Q255" s="253"/>
      <c r="R255" s="234">
        <v>7518</v>
      </c>
      <c r="S255" s="254">
        <f t="shared" ref="S255:S262" si="5">R255/$R$264</f>
        <v>0.99827380161997081</v>
      </c>
      <c r="T255" s="241">
        <v>1045029</v>
      </c>
      <c r="U255" s="254">
        <f t="shared" ref="U255:U262" si="6">T255/$T$264</f>
        <v>0.9983386958714825</v>
      </c>
      <c r="V255" s="250"/>
      <c r="W255" s="232"/>
      <c r="X255" s="5"/>
    </row>
    <row r="256" spans="1:25" ht="15.6" x14ac:dyDescent="0.3">
      <c r="A256" s="287"/>
      <c r="B256" s="337" t="s">
        <v>89</v>
      </c>
      <c r="C256" s="389"/>
      <c r="D256" s="389"/>
      <c r="E256" s="389"/>
      <c r="F256" s="288"/>
      <c r="G256" s="390"/>
      <c r="H256" s="389"/>
      <c r="I256" s="389"/>
      <c r="J256" s="389"/>
      <c r="K256" s="389"/>
      <c r="L256" s="389"/>
      <c r="M256" s="389"/>
      <c r="N256" s="389"/>
      <c r="O256" s="389"/>
      <c r="P256" s="389"/>
      <c r="Q256" s="389"/>
      <c r="R256" s="337">
        <v>8</v>
      </c>
      <c r="S256" s="390">
        <f t="shared" si="5"/>
        <v>1.0622759261718232E-3</v>
      </c>
      <c r="T256" s="338">
        <v>988</v>
      </c>
      <c r="U256" s="390">
        <f t="shared" si="6"/>
        <v>9.4385766473564347E-4</v>
      </c>
      <c r="V256" s="365"/>
      <c r="W256" s="378"/>
      <c r="X256" s="5"/>
      <c r="Y256" s="109"/>
    </row>
    <row r="257" spans="1:25" ht="15.6" x14ac:dyDescent="0.3">
      <c r="A257" s="287"/>
      <c r="B257" s="337" t="s">
        <v>90</v>
      </c>
      <c r="C257" s="389"/>
      <c r="D257" s="389"/>
      <c r="E257" s="389"/>
      <c r="F257" s="288"/>
      <c r="G257" s="390"/>
      <c r="H257" s="389"/>
      <c r="I257" s="389"/>
      <c r="J257" s="389"/>
      <c r="K257" s="389"/>
      <c r="L257" s="389"/>
      <c r="M257" s="389"/>
      <c r="N257" s="389"/>
      <c r="O257" s="389"/>
      <c r="P257" s="389"/>
      <c r="Q257" s="389"/>
      <c r="R257" s="337">
        <v>2</v>
      </c>
      <c r="S257" s="390">
        <f t="shared" si="5"/>
        <v>2.6556898154295579E-4</v>
      </c>
      <c r="T257" s="338">
        <v>480</v>
      </c>
      <c r="U257" s="390">
        <f t="shared" si="6"/>
        <v>4.5855433104565672E-4</v>
      </c>
      <c r="V257" s="365"/>
      <c r="W257" s="378"/>
      <c r="X257" s="5"/>
    </row>
    <row r="258" spans="1:25" ht="15.6" x14ac:dyDescent="0.3">
      <c r="A258" s="287"/>
      <c r="B258" s="337" t="s">
        <v>156</v>
      </c>
      <c r="C258" s="389"/>
      <c r="D258" s="389"/>
      <c r="E258" s="389"/>
      <c r="F258" s="288"/>
      <c r="G258" s="390"/>
      <c r="H258" s="389"/>
      <c r="I258" s="389"/>
      <c r="J258" s="389"/>
      <c r="K258" s="389"/>
      <c r="L258" s="389"/>
      <c r="M258" s="389"/>
      <c r="N258" s="389"/>
      <c r="O258" s="389"/>
      <c r="P258" s="389"/>
      <c r="Q258" s="389"/>
      <c r="R258" s="337">
        <v>0</v>
      </c>
      <c r="S258" s="390">
        <f t="shared" si="5"/>
        <v>0</v>
      </c>
      <c r="T258" s="338">
        <v>0</v>
      </c>
      <c r="U258" s="390">
        <f t="shared" si="6"/>
        <v>0</v>
      </c>
      <c r="V258" s="365"/>
      <c r="W258" s="378"/>
      <c r="X258" s="5"/>
      <c r="Y258" s="109"/>
    </row>
    <row r="259" spans="1:25" ht="15.6" x14ac:dyDescent="0.3">
      <c r="A259" s="287"/>
      <c r="B259" s="337" t="s">
        <v>157</v>
      </c>
      <c r="C259" s="389"/>
      <c r="D259" s="389"/>
      <c r="E259" s="389"/>
      <c r="F259" s="288"/>
      <c r="G259" s="390"/>
      <c r="H259" s="389"/>
      <c r="I259" s="389"/>
      <c r="J259" s="389"/>
      <c r="K259" s="389"/>
      <c r="L259" s="389"/>
      <c r="M259" s="389"/>
      <c r="N259" s="389"/>
      <c r="O259" s="389"/>
      <c r="P259" s="389"/>
      <c r="Q259" s="389"/>
      <c r="R259" s="337">
        <v>0</v>
      </c>
      <c r="S259" s="390">
        <f t="shared" si="5"/>
        <v>0</v>
      </c>
      <c r="T259" s="338">
        <v>0</v>
      </c>
      <c r="U259" s="390">
        <f t="shared" si="6"/>
        <v>0</v>
      </c>
      <c r="V259" s="365"/>
      <c r="W259" s="378"/>
      <c r="X259" s="5"/>
    </row>
    <row r="260" spans="1:25" ht="15.6" x14ac:dyDescent="0.3">
      <c r="A260" s="287"/>
      <c r="B260" s="337" t="s">
        <v>158</v>
      </c>
      <c r="C260" s="389"/>
      <c r="D260" s="389"/>
      <c r="E260" s="389"/>
      <c r="F260" s="288"/>
      <c r="G260" s="390"/>
      <c r="H260" s="389"/>
      <c r="I260" s="389"/>
      <c r="J260" s="389"/>
      <c r="K260" s="389"/>
      <c r="L260" s="389"/>
      <c r="M260" s="389"/>
      <c r="N260" s="389"/>
      <c r="O260" s="389"/>
      <c r="P260" s="389"/>
      <c r="Q260" s="389"/>
      <c r="R260" s="337">
        <v>1</v>
      </c>
      <c r="S260" s="390">
        <f t="shared" si="5"/>
        <v>1.3278449077147789E-4</v>
      </c>
      <c r="T260" s="338">
        <v>60</v>
      </c>
      <c r="U260" s="390">
        <f t="shared" si="6"/>
        <v>5.731929138070709E-5</v>
      </c>
      <c r="V260" s="365"/>
      <c r="W260" s="378"/>
      <c r="X260" s="5"/>
      <c r="Y260" s="109"/>
    </row>
    <row r="261" spans="1:25" ht="15.6" x14ac:dyDescent="0.3">
      <c r="A261" s="287"/>
      <c r="B261" s="337" t="s">
        <v>159</v>
      </c>
      <c r="C261" s="389"/>
      <c r="D261" s="389"/>
      <c r="E261" s="389"/>
      <c r="F261" s="288"/>
      <c r="G261" s="390"/>
      <c r="H261" s="389"/>
      <c r="I261" s="389"/>
      <c r="J261" s="389"/>
      <c r="K261" s="389"/>
      <c r="L261" s="389"/>
      <c r="M261" s="389"/>
      <c r="N261" s="389"/>
      <c r="O261" s="389"/>
      <c r="P261" s="389"/>
      <c r="Q261" s="389"/>
      <c r="R261" s="337">
        <v>1</v>
      </c>
      <c r="S261" s="390">
        <f t="shared" si="5"/>
        <v>1.3278449077147789E-4</v>
      </c>
      <c r="T261" s="338">
        <v>69</v>
      </c>
      <c r="U261" s="390">
        <f t="shared" si="6"/>
        <v>6.5917185087813158E-5</v>
      </c>
      <c r="V261" s="365"/>
      <c r="W261" s="378"/>
      <c r="X261" s="5"/>
    </row>
    <row r="262" spans="1:25" ht="15.6" x14ac:dyDescent="0.3">
      <c r="A262" s="287"/>
      <c r="B262" s="337" t="s">
        <v>160</v>
      </c>
      <c r="C262" s="389"/>
      <c r="D262" s="389"/>
      <c r="E262" s="389"/>
      <c r="F262" s="288"/>
      <c r="G262" s="390"/>
      <c r="H262" s="389"/>
      <c r="I262" s="389"/>
      <c r="J262" s="389"/>
      <c r="K262" s="389"/>
      <c r="L262" s="389"/>
      <c r="M262" s="389"/>
      <c r="N262" s="389"/>
      <c r="O262" s="389"/>
      <c r="P262" s="389"/>
      <c r="Q262" s="389"/>
      <c r="R262" s="337">
        <v>1</v>
      </c>
      <c r="S262" s="390">
        <f t="shared" si="5"/>
        <v>1.3278449077147789E-4</v>
      </c>
      <c r="T262" s="338">
        <v>142</v>
      </c>
      <c r="U262" s="390">
        <f t="shared" si="6"/>
        <v>1.3565565626767344E-4</v>
      </c>
      <c r="V262" s="365"/>
      <c r="W262" s="378"/>
      <c r="X262" s="5"/>
      <c r="Y262" s="109"/>
    </row>
    <row r="263" spans="1:25" ht="15.6" x14ac:dyDescent="0.3">
      <c r="A263" s="287"/>
      <c r="B263" s="337"/>
      <c r="C263" s="389"/>
      <c r="D263" s="389"/>
      <c r="E263" s="389"/>
      <c r="F263" s="288"/>
      <c r="G263" s="390"/>
      <c r="H263" s="389"/>
      <c r="I263" s="389"/>
      <c r="J263" s="389"/>
      <c r="K263" s="389"/>
      <c r="L263" s="389"/>
      <c r="M263" s="389"/>
      <c r="N263" s="389"/>
      <c r="O263" s="389"/>
      <c r="P263" s="389"/>
      <c r="Q263" s="389"/>
      <c r="R263" s="337"/>
      <c r="S263" s="390"/>
      <c r="T263" s="338"/>
      <c r="U263" s="390"/>
      <c r="V263" s="365"/>
      <c r="W263" s="378"/>
      <c r="X263" s="5"/>
    </row>
    <row r="264" spans="1:25" ht="15.6" x14ac:dyDescent="0.3">
      <c r="A264" s="287"/>
      <c r="B264" s="288"/>
      <c r="C264" s="288"/>
      <c r="D264" s="288"/>
      <c r="E264" s="288"/>
      <c r="F264" s="288"/>
      <c r="G264" s="288"/>
      <c r="H264" s="391"/>
      <c r="I264" s="391"/>
      <c r="J264" s="391"/>
      <c r="K264" s="391"/>
      <c r="L264" s="391"/>
      <c r="M264" s="391"/>
      <c r="N264" s="391"/>
      <c r="O264" s="391"/>
      <c r="P264" s="391"/>
      <c r="Q264" s="391"/>
      <c r="R264" s="337">
        <f>SUM(R255:R263)</f>
        <v>7531</v>
      </c>
      <c r="S264" s="390">
        <f>SUM(S255:S263)</f>
        <v>1</v>
      </c>
      <c r="T264" s="338">
        <f>SUM(T255:T263)</f>
        <v>1046768</v>
      </c>
      <c r="U264" s="390">
        <f>SUM(U255:U263)</f>
        <v>1</v>
      </c>
      <c r="V264" s="288"/>
      <c r="W264" s="291"/>
      <c r="X264" s="5"/>
    </row>
    <row r="265" spans="1:25" ht="15.6" x14ac:dyDescent="0.3">
      <c r="A265" s="183"/>
      <c r="B265" s="198"/>
      <c r="C265" s="198"/>
      <c r="D265" s="198"/>
      <c r="E265" s="198"/>
      <c r="F265" s="198"/>
      <c r="G265" s="198"/>
      <c r="H265" s="386"/>
      <c r="I265" s="386"/>
      <c r="J265" s="386"/>
      <c r="K265" s="386"/>
      <c r="L265" s="386"/>
      <c r="M265" s="386"/>
      <c r="N265" s="386"/>
      <c r="O265" s="386"/>
      <c r="P265" s="386"/>
      <c r="Q265" s="386"/>
      <c r="R265" s="335"/>
      <c r="S265" s="387"/>
      <c r="T265" s="388"/>
      <c r="U265" s="387"/>
      <c r="V265" s="198"/>
      <c r="W265" s="198"/>
      <c r="X265" s="5"/>
    </row>
    <row r="266" spans="1:25" ht="15.6" x14ac:dyDescent="0.3">
      <c r="A266" s="280"/>
      <c r="B266" s="399" t="s">
        <v>275</v>
      </c>
      <c r="C266" s="400"/>
      <c r="D266" s="400"/>
      <c r="E266" s="400"/>
      <c r="F266" s="406"/>
      <c r="G266" s="400"/>
      <c r="H266" s="400"/>
      <c r="I266" s="400"/>
      <c r="J266" s="400"/>
      <c r="K266" s="400"/>
      <c r="L266" s="400"/>
      <c r="M266" s="400"/>
      <c r="N266" s="400"/>
      <c r="O266" s="400"/>
      <c r="P266" s="400"/>
      <c r="Q266" s="400"/>
      <c r="R266" s="406" t="s">
        <v>102</v>
      </c>
      <c r="S266" s="400" t="s">
        <v>103</v>
      </c>
      <c r="T266" s="406" t="s">
        <v>109</v>
      </c>
      <c r="U266" s="400" t="s">
        <v>103</v>
      </c>
      <c r="V266" s="281"/>
      <c r="W266" s="282"/>
      <c r="X266" s="5"/>
    </row>
    <row r="267" spans="1:25" ht="15.6" x14ac:dyDescent="0.3">
      <c r="A267" s="197"/>
      <c r="B267" s="234" t="s">
        <v>88</v>
      </c>
      <c r="C267" s="253"/>
      <c r="D267" s="253"/>
      <c r="E267" s="253"/>
      <c r="F267" s="231"/>
      <c r="G267" s="253"/>
      <c r="H267" s="253"/>
      <c r="I267" s="253"/>
      <c r="J267" s="253"/>
      <c r="K267" s="253"/>
      <c r="L267" s="253"/>
      <c r="M267" s="253"/>
      <c r="N267" s="253"/>
      <c r="O267" s="253"/>
      <c r="P267" s="253"/>
      <c r="Q267" s="253"/>
      <c r="R267" s="234">
        <v>139</v>
      </c>
      <c r="S267" s="254">
        <f t="shared" ref="S267:S274" si="7">R267/$R$276</f>
        <v>0.83233532934131738</v>
      </c>
      <c r="T267" s="241">
        <v>19622</v>
      </c>
      <c r="U267" s="254">
        <f t="shared" ref="U267:U274" si="8">T267/$T$276</f>
        <v>0.8336307247854533</v>
      </c>
      <c r="V267" s="231"/>
      <c r="W267" s="231"/>
      <c r="X267" s="5"/>
    </row>
    <row r="268" spans="1:25" ht="15.6" x14ac:dyDescent="0.3">
      <c r="A268" s="287"/>
      <c r="B268" s="337" t="s">
        <v>89</v>
      </c>
      <c r="C268" s="389"/>
      <c r="D268" s="389"/>
      <c r="E268" s="389"/>
      <c r="F268" s="288"/>
      <c r="G268" s="390"/>
      <c r="H268" s="389"/>
      <c r="I268" s="389"/>
      <c r="J268" s="389"/>
      <c r="K268" s="389"/>
      <c r="L268" s="389"/>
      <c r="M268" s="389"/>
      <c r="N268" s="389"/>
      <c r="O268" s="389"/>
      <c r="P268" s="389"/>
      <c r="Q268" s="389"/>
      <c r="R268" s="337">
        <v>5</v>
      </c>
      <c r="S268" s="390">
        <f t="shared" si="7"/>
        <v>2.9940119760479042E-2</v>
      </c>
      <c r="T268" s="338">
        <v>546</v>
      </c>
      <c r="U268" s="390">
        <f t="shared" si="8"/>
        <v>2.3196533265358144E-2</v>
      </c>
      <c r="V268" s="288"/>
      <c r="W268" s="291"/>
      <c r="X268" s="5"/>
    </row>
    <row r="269" spans="1:25" ht="15.6" x14ac:dyDescent="0.3">
      <c r="A269" s="287"/>
      <c r="B269" s="337" t="s">
        <v>90</v>
      </c>
      <c r="C269" s="389"/>
      <c r="D269" s="389"/>
      <c r="E269" s="389"/>
      <c r="F269" s="288"/>
      <c r="G269" s="390"/>
      <c r="H269" s="389"/>
      <c r="I269" s="389"/>
      <c r="J269" s="389"/>
      <c r="K269" s="389"/>
      <c r="L269" s="389"/>
      <c r="M269" s="389"/>
      <c r="N269" s="389"/>
      <c r="O269" s="389"/>
      <c r="P269" s="389"/>
      <c r="Q269" s="389"/>
      <c r="R269" s="337">
        <v>3</v>
      </c>
      <c r="S269" s="390">
        <f t="shared" si="7"/>
        <v>1.7964071856287425E-2</v>
      </c>
      <c r="T269" s="338">
        <v>294</v>
      </c>
      <c r="U269" s="390">
        <f t="shared" si="8"/>
        <v>1.2490440989039E-2</v>
      </c>
      <c r="V269" s="288"/>
      <c r="W269" s="291"/>
      <c r="X269" s="5"/>
    </row>
    <row r="270" spans="1:25" ht="15.6" x14ac:dyDescent="0.3">
      <c r="A270" s="287"/>
      <c r="B270" s="337" t="s">
        <v>156</v>
      </c>
      <c r="C270" s="389"/>
      <c r="D270" s="389"/>
      <c r="E270" s="389"/>
      <c r="F270" s="288"/>
      <c r="G270" s="390"/>
      <c r="H270" s="389"/>
      <c r="I270" s="389"/>
      <c r="J270" s="389"/>
      <c r="K270" s="389"/>
      <c r="L270" s="389"/>
      <c r="M270" s="389"/>
      <c r="N270" s="389"/>
      <c r="O270" s="389"/>
      <c r="P270" s="389"/>
      <c r="Q270" s="389"/>
      <c r="R270" s="337">
        <v>3</v>
      </c>
      <c r="S270" s="390">
        <f t="shared" si="7"/>
        <v>1.7964071856287425E-2</v>
      </c>
      <c r="T270" s="338">
        <v>432</v>
      </c>
      <c r="U270" s="390">
        <f t="shared" si="8"/>
        <v>1.8353301045118533E-2</v>
      </c>
      <c r="V270" s="288"/>
      <c r="W270" s="291"/>
      <c r="X270" s="5"/>
    </row>
    <row r="271" spans="1:25" ht="15.6" x14ac:dyDescent="0.3">
      <c r="A271" s="287"/>
      <c r="B271" s="337" t="s">
        <v>157</v>
      </c>
      <c r="C271" s="389"/>
      <c r="D271" s="389"/>
      <c r="E271" s="389"/>
      <c r="F271" s="288"/>
      <c r="G271" s="390"/>
      <c r="H271" s="389"/>
      <c r="I271" s="389"/>
      <c r="J271" s="389"/>
      <c r="K271" s="389"/>
      <c r="L271" s="389"/>
      <c r="M271" s="389"/>
      <c r="N271" s="389"/>
      <c r="O271" s="389"/>
      <c r="P271" s="389"/>
      <c r="Q271" s="389"/>
      <c r="R271" s="337">
        <v>1</v>
      </c>
      <c r="S271" s="390">
        <f t="shared" si="7"/>
        <v>5.9880239520958087E-3</v>
      </c>
      <c r="T271" s="338">
        <v>134</v>
      </c>
      <c r="U271" s="390">
        <f t="shared" si="8"/>
        <v>5.6929220834395448E-3</v>
      </c>
      <c r="V271" s="288"/>
      <c r="W271" s="291"/>
      <c r="X271" s="5"/>
    </row>
    <row r="272" spans="1:25" ht="15.6" x14ac:dyDescent="0.3">
      <c r="A272" s="287"/>
      <c r="B272" s="337" t="s">
        <v>158</v>
      </c>
      <c r="C272" s="389"/>
      <c r="D272" s="389"/>
      <c r="E272" s="389"/>
      <c r="F272" s="288"/>
      <c r="G272" s="390"/>
      <c r="H272" s="389"/>
      <c r="I272" s="389"/>
      <c r="J272" s="389"/>
      <c r="K272" s="389"/>
      <c r="L272" s="389"/>
      <c r="M272" s="389"/>
      <c r="N272" s="389"/>
      <c r="O272" s="389"/>
      <c r="P272" s="389"/>
      <c r="Q272" s="389"/>
      <c r="R272" s="337">
        <v>0</v>
      </c>
      <c r="S272" s="390">
        <f t="shared" si="7"/>
        <v>0</v>
      </c>
      <c r="T272" s="338">
        <v>0</v>
      </c>
      <c r="U272" s="390">
        <f t="shared" si="8"/>
        <v>0</v>
      </c>
      <c r="V272" s="288"/>
      <c r="W272" s="291"/>
      <c r="X272" s="5"/>
    </row>
    <row r="273" spans="1:24" ht="15.6" x14ac:dyDescent="0.3">
      <c r="A273" s="287"/>
      <c r="B273" s="337" t="s">
        <v>159</v>
      </c>
      <c r="C273" s="389"/>
      <c r="D273" s="389"/>
      <c r="E273" s="389"/>
      <c r="F273" s="288"/>
      <c r="G273" s="390"/>
      <c r="H273" s="389"/>
      <c r="I273" s="389"/>
      <c r="J273" s="389"/>
      <c r="K273" s="389"/>
      <c r="L273" s="389"/>
      <c r="M273" s="389"/>
      <c r="N273" s="389"/>
      <c r="O273" s="389"/>
      <c r="P273" s="389"/>
      <c r="Q273" s="389"/>
      <c r="R273" s="337">
        <v>3</v>
      </c>
      <c r="S273" s="390">
        <f t="shared" si="7"/>
        <v>1.7964071856287425E-2</v>
      </c>
      <c r="T273" s="338">
        <v>574</v>
      </c>
      <c r="U273" s="390">
        <f t="shared" si="8"/>
        <v>2.4386099073838048E-2</v>
      </c>
      <c r="V273" s="288"/>
      <c r="W273" s="291"/>
      <c r="X273" s="5"/>
    </row>
    <row r="274" spans="1:24" ht="15.6" x14ac:dyDescent="0.3">
      <c r="A274" s="287"/>
      <c r="B274" s="337" t="s">
        <v>160</v>
      </c>
      <c r="C274" s="389"/>
      <c r="D274" s="389"/>
      <c r="E274" s="389"/>
      <c r="F274" s="288"/>
      <c r="G274" s="390"/>
      <c r="H274" s="389"/>
      <c r="I274" s="389"/>
      <c r="J274" s="389"/>
      <c r="K274" s="389"/>
      <c r="L274" s="389"/>
      <c r="M274" s="389"/>
      <c r="N274" s="389"/>
      <c r="O274" s="389"/>
      <c r="P274" s="389"/>
      <c r="Q274" s="389"/>
      <c r="R274" s="337">
        <v>13</v>
      </c>
      <c r="S274" s="390">
        <f t="shared" si="7"/>
        <v>7.7844311377245512E-2</v>
      </c>
      <c r="T274" s="338">
        <v>1936</v>
      </c>
      <c r="U274" s="390">
        <f t="shared" si="8"/>
        <v>8.2249978757753417E-2</v>
      </c>
      <c r="V274" s="288"/>
      <c r="W274" s="291"/>
      <c r="X274" s="5"/>
    </row>
    <row r="275" spans="1:24" ht="15.6" x14ac:dyDescent="0.3">
      <c r="A275" s="287"/>
      <c r="B275" s="337"/>
      <c r="C275" s="389"/>
      <c r="D275" s="389"/>
      <c r="E275" s="389"/>
      <c r="F275" s="288"/>
      <c r="G275" s="390"/>
      <c r="H275" s="389"/>
      <c r="I275" s="389"/>
      <c r="J275" s="389"/>
      <c r="K275" s="389"/>
      <c r="L275" s="389"/>
      <c r="M275" s="389"/>
      <c r="N275" s="389"/>
      <c r="O275" s="389"/>
      <c r="P275" s="389"/>
      <c r="Q275" s="389"/>
      <c r="R275" s="337"/>
      <c r="S275" s="390"/>
      <c r="T275" s="338"/>
      <c r="U275" s="390"/>
      <c r="V275" s="288"/>
      <c r="W275" s="291"/>
      <c r="X275" s="5"/>
    </row>
    <row r="276" spans="1:24" ht="15.6" x14ac:dyDescent="0.3">
      <c r="A276" s="287"/>
      <c r="B276" s="288"/>
      <c r="C276" s="288"/>
      <c r="D276" s="288"/>
      <c r="E276" s="288"/>
      <c r="F276" s="288"/>
      <c r="G276" s="288"/>
      <c r="H276" s="391"/>
      <c r="I276" s="391"/>
      <c r="J276" s="391"/>
      <c r="K276" s="391"/>
      <c r="L276" s="391"/>
      <c r="M276" s="391"/>
      <c r="N276" s="391"/>
      <c r="O276" s="391"/>
      <c r="P276" s="391"/>
      <c r="Q276" s="391"/>
      <c r="R276" s="337">
        <f>SUM(R267:R275)</f>
        <v>167</v>
      </c>
      <c r="S276" s="390">
        <f>SUM(S267:S275)</f>
        <v>1.0000000000000002</v>
      </c>
      <c r="T276" s="338">
        <f>SUM(T267:T275)</f>
        <v>23538</v>
      </c>
      <c r="U276" s="390">
        <f>SUM(U267:U275)</f>
        <v>0.99999999999999989</v>
      </c>
      <c r="V276" s="288"/>
      <c r="W276" s="291"/>
      <c r="X276" s="5"/>
    </row>
    <row r="277" spans="1:24" ht="15.6" x14ac:dyDescent="0.3">
      <c r="A277" s="183"/>
      <c r="B277" s="284"/>
      <c r="C277" s="284"/>
      <c r="D277" s="284"/>
      <c r="E277" s="284"/>
      <c r="F277" s="284"/>
      <c r="G277" s="284"/>
      <c r="H277" s="392"/>
      <c r="I277" s="392"/>
      <c r="J277" s="392"/>
      <c r="K277" s="392"/>
      <c r="L277" s="392"/>
      <c r="M277" s="392"/>
      <c r="N277" s="392"/>
      <c r="O277" s="392"/>
      <c r="P277" s="392"/>
      <c r="Q277" s="392"/>
      <c r="R277" s="339"/>
      <c r="S277" s="393"/>
      <c r="T277" s="394"/>
      <c r="U277" s="393"/>
      <c r="V277" s="284"/>
      <c r="W277" s="284"/>
      <c r="X277" s="5"/>
    </row>
    <row r="278" spans="1:24" ht="15.6" x14ac:dyDescent="0.3">
      <c r="A278" s="280"/>
      <c r="B278" s="399" t="s">
        <v>163</v>
      </c>
      <c r="C278" s="281"/>
      <c r="D278" s="281"/>
      <c r="E278" s="281"/>
      <c r="F278" s="281"/>
      <c r="G278" s="281"/>
      <c r="H278" s="283"/>
      <c r="I278" s="283"/>
      <c r="J278" s="283"/>
      <c r="K278" s="283"/>
      <c r="L278" s="283"/>
      <c r="M278" s="283"/>
      <c r="N278" s="283"/>
      <c r="O278" s="283"/>
      <c r="P278" s="283"/>
      <c r="Q278" s="283"/>
      <c r="R278" s="406" t="s">
        <v>102</v>
      </c>
      <c r="S278" s="400" t="s">
        <v>103</v>
      </c>
      <c r="T278" s="406" t="s">
        <v>109</v>
      </c>
      <c r="U278" s="400" t="s">
        <v>103</v>
      </c>
      <c r="V278" s="281"/>
      <c r="W278" s="282"/>
      <c r="X278" s="5"/>
    </row>
    <row r="279" spans="1:24" ht="15.6" x14ac:dyDescent="0.3">
      <c r="A279" s="197"/>
      <c r="B279" s="234" t="s">
        <v>88</v>
      </c>
      <c r="C279" s="231"/>
      <c r="D279" s="231"/>
      <c r="E279" s="231"/>
      <c r="F279" s="231"/>
      <c r="G279" s="231"/>
      <c r="H279" s="255"/>
      <c r="I279" s="255"/>
      <c r="J279" s="255"/>
      <c r="K279" s="255"/>
      <c r="L279" s="255"/>
      <c r="M279" s="255"/>
      <c r="N279" s="255"/>
      <c r="O279" s="255"/>
      <c r="P279" s="255"/>
      <c r="Q279" s="255"/>
      <c r="R279" s="234">
        <v>0</v>
      </c>
      <c r="S279" s="254">
        <v>0</v>
      </c>
      <c r="T279" s="241">
        <v>0</v>
      </c>
      <c r="U279" s="254">
        <v>0</v>
      </c>
      <c r="V279" s="231"/>
      <c r="W279" s="231"/>
      <c r="X279" s="5"/>
    </row>
    <row r="280" spans="1:24" ht="15.6" x14ac:dyDescent="0.3">
      <c r="A280" s="287"/>
      <c r="B280" s="337" t="s">
        <v>89</v>
      </c>
      <c r="C280" s="288"/>
      <c r="D280" s="288"/>
      <c r="E280" s="288"/>
      <c r="F280" s="288"/>
      <c r="G280" s="288"/>
      <c r="H280" s="391"/>
      <c r="I280" s="391"/>
      <c r="J280" s="391"/>
      <c r="K280" s="391"/>
      <c r="L280" s="391"/>
      <c r="M280" s="391"/>
      <c r="N280" s="391"/>
      <c r="O280" s="391"/>
      <c r="P280" s="391"/>
      <c r="Q280" s="391"/>
      <c r="R280" s="337">
        <v>0</v>
      </c>
      <c r="S280" s="390">
        <v>0</v>
      </c>
      <c r="T280" s="338">
        <v>0</v>
      </c>
      <c r="U280" s="390">
        <v>0</v>
      </c>
      <c r="V280" s="288"/>
      <c r="W280" s="291"/>
      <c r="X280" s="5"/>
    </row>
    <row r="281" spans="1:24" ht="15.6" x14ac:dyDescent="0.3">
      <c r="A281" s="287"/>
      <c r="B281" s="337" t="s">
        <v>90</v>
      </c>
      <c r="C281" s="288"/>
      <c r="D281" s="288"/>
      <c r="E281" s="288"/>
      <c r="F281" s="288"/>
      <c r="G281" s="288"/>
      <c r="H281" s="391"/>
      <c r="I281" s="391"/>
      <c r="J281" s="391"/>
      <c r="K281" s="391"/>
      <c r="L281" s="391"/>
      <c r="M281" s="391"/>
      <c r="N281" s="391"/>
      <c r="O281" s="391"/>
      <c r="P281" s="391"/>
      <c r="Q281" s="391"/>
      <c r="R281" s="337">
        <v>0</v>
      </c>
      <c r="S281" s="390">
        <v>0</v>
      </c>
      <c r="T281" s="338">
        <v>0</v>
      </c>
      <c r="U281" s="390">
        <v>0</v>
      </c>
      <c r="V281" s="288"/>
      <c r="W281" s="291"/>
      <c r="X281" s="5"/>
    </row>
    <row r="282" spans="1:24" ht="15.6" x14ac:dyDescent="0.3">
      <c r="A282" s="287"/>
      <c r="B282" s="337" t="s">
        <v>156</v>
      </c>
      <c r="C282" s="288"/>
      <c r="D282" s="288"/>
      <c r="E282" s="288"/>
      <c r="F282" s="288"/>
      <c r="G282" s="288"/>
      <c r="H282" s="391"/>
      <c r="I282" s="391"/>
      <c r="J282" s="391"/>
      <c r="K282" s="391"/>
      <c r="L282" s="391"/>
      <c r="M282" s="391"/>
      <c r="N282" s="391"/>
      <c r="O282" s="391"/>
      <c r="P282" s="391"/>
      <c r="Q282" s="391"/>
      <c r="R282" s="337">
        <v>0</v>
      </c>
      <c r="S282" s="390">
        <v>0</v>
      </c>
      <c r="T282" s="338">
        <v>0</v>
      </c>
      <c r="U282" s="390">
        <v>0</v>
      </c>
      <c r="V282" s="288"/>
      <c r="W282" s="291"/>
      <c r="X282" s="5"/>
    </row>
    <row r="283" spans="1:24" ht="15.6" x14ac:dyDescent="0.3">
      <c r="A283" s="287"/>
      <c r="B283" s="337" t="s">
        <v>157</v>
      </c>
      <c r="C283" s="288"/>
      <c r="D283" s="288"/>
      <c r="E283" s="288"/>
      <c r="F283" s="288"/>
      <c r="G283" s="288"/>
      <c r="H283" s="391"/>
      <c r="I283" s="391"/>
      <c r="J283" s="391"/>
      <c r="K283" s="391"/>
      <c r="L283" s="391"/>
      <c r="M283" s="391"/>
      <c r="N283" s="391"/>
      <c r="O283" s="391"/>
      <c r="P283" s="391"/>
      <c r="Q283" s="391"/>
      <c r="R283" s="337">
        <v>0</v>
      </c>
      <c r="S283" s="390">
        <v>0</v>
      </c>
      <c r="T283" s="338">
        <v>0</v>
      </c>
      <c r="U283" s="390">
        <v>0</v>
      </c>
      <c r="V283" s="288"/>
      <c r="W283" s="291"/>
      <c r="X283" s="5"/>
    </row>
    <row r="284" spans="1:24" ht="15.6" x14ac:dyDescent="0.3">
      <c r="A284" s="287"/>
      <c r="B284" s="337" t="s">
        <v>158</v>
      </c>
      <c r="C284" s="288"/>
      <c r="D284" s="288"/>
      <c r="E284" s="288"/>
      <c r="F284" s="288"/>
      <c r="G284" s="288"/>
      <c r="H284" s="391"/>
      <c r="I284" s="391"/>
      <c r="J284" s="391"/>
      <c r="K284" s="391"/>
      <c r="L284" s="391"/>
      <c r="M284" s="391"/>
      <c r="N284" s="391"/>
      <c r="O284" s="391"/>
      <c r="P284" s="391"/>
      <c r="Q284" s="391"/>
      <c r="R284" s="337">
        <v>0</v>
      </c>
      <c r="S284" s="390">
        <v>0</v>
      </c>
      <c r="T284" s="338">
        <v>0</v>
      </c>
      <c r="U284" s="390">
        <v>0</v>
      </c>
      <c r="V284" s="288"/>
      <c r="W284" s="291"/>
      <c r="X284" s="5"/>
    </row>
    <row r="285" spans="1:24" ht="15.6" x14ac:dyDescent="0.3">
      <c r="A285" s="287"/>
      <c r="B285" s="337" t="s">
        <v>159</v>
      </c>
      <c r="C285" s="288"/>
      <c r="D285" s="288"/>
      <c r="E285" s="288"/>
      <c r="F285" s="288"/>
      <c r="G285" s="288"/>
      <c r="H285" s="391"/>
      <c r="I285" s="391"/>
      <c r="J285" s="391"/>
      <c r="K285" s="391"/>
      <c r="L285" s="391"/>
      <c r="M285" s="391"/>
      <c r="N285" s="391"/>
      <c r="O285" s="391"/>
      <c r="P285" s="391"/>
      <c r="Q285" s="391"/>
      <c r="R285" s="337">
        <v>0</v>
      </c>
      <c r="S285" s="390">
        <v>0</v>
      </c>
      <c r="T285" s="338">
        <v>0</v>
      </c>
      <c r="U285" s="390">
        <v>0</v>
      </c>
      <c r="V285" s="288"/>
      <c r="W285" s="291"/>
      <c r="X285" s="5"/>
    </row>
    <row r="286" spans="1:24" ht="15.6" x14ac:dyDescent="0.3">
      <c r="A286" s="287"/>
      <c r="B286" s="337" t="s">
        <v>160</v>
      </c>
      <c r="C286" s="288"/>
      <c r="D286" s="288"/>
      <c r="E286" s="288"/>
      <c r="F286" s="288"/>
      <c r="G286" s="288"/>
      <c r="H286" s="391"/>
      <c r="I286" s="391"/>
      <c r="J286" s="391"/>
      <c r="K286" s="391"/>
      <c r="L286" s="391"/>
      <c r="M286" s="391"/>
      <c r="N286" s="391"/>
      <c r="O286" s="391"/>
      <c r="P286" s="391"/>
      <c r="Q286" s="391"/>
      <c r="R286" s="337">
        <v>0</v>
      </c>
      <c r="S286" s="390">
        <v>0</v>
      </c>
      <c r="T286" s="338">
        <v>0</v>
      </c>
      <c r="U286" s="390">
        <v>0</v>
      </c>
      <c r="V286" s="288"/>
      <c r="W286" s="291"/>
      <c r="X286" s="5"/>
    </row>
    <row r="287" spans="1:24" ht="15.6" x14ac:dyDescent="0.3">
      <c r="A287" s="287"/>
      <c r="B287" s="337"/>
      <c r="C287" s="288"/>
      <c r="D287" s="288"/>
      <c r="E287" s="288"/>
      <c r="F287" s="288"/>
      <c r="G287" s="288"/>
      <c r="H287" s="391"/>
      <c r="I287" s="391"/>
      <c r="J287" s="391"/>
      <c r="K287" s="391"/>
      <c r="L287" s="391"/>
      <c r="M287" s="391"/>
      <c r="N287" s="391"/>
      <c r="O287" s="391"/>
      <c r="P287" s="391"/>
      <c r="Q287" s="391"/>
      <c r="R287" s="337"/>
      <c r="S287" s="390"/>
      <c r="T287" s="338"/>
      <c r="U287" s="390"/>
      <c r="V287" s="288"/>
      <c r="W287" s="291"/>
      <c r="X287" s="5"/>
    </row>
    <row r="288" spans="1:24" ht="15.6" x14ac:dyDescent="0.3">
      <c r="A288" s="287"/>
      <c r="B288" s="288" t="s">
        <v>114</v>
      </c>
      <c r="C288" s="288"/>
      <c r="D288" s="288"/>
      <c r="E288" s="288"/>
      <c r="F288" s="288"/>
      <c r="G288" s="288"/>
      <c r="H288" s="391"/>
      <c r="I288" s="391"/>
      <c r="J288" s="391"/>
      <c r="K288" s="391"/>
      <c r="L288" s="391"/>
      <c r="M288" s="391"/>
      <c r="N288" s="391"/>
      <c r="O288" s="391"/>
      <c r="P288" s="391"/>
      <c r="Q288" s="391"/>
      <c r="R288" s="337">
        <f>SUM(R279:R286)</f>
        <v>0</v>
      </c>
      <c r="S288" s="390">
        <f>SUM(S279:S287)</f>
        <v>0</v>
      </c>
      <c r="T288" s="338">
        <f>SUM(T279:T286)</f>
        <v>0</v>
      </c>
      <c r="U288" s="390">
        <f>SUM(U279:U287)</f>
        <v>0</v>
      </c>
      <c r="V288" s="288"/>
      <c r="W288" s="291"/>
      <c r="X288" s="5"/>
    </row>
    <row r="289" spans="1:24" ht="15.6" x14ac:dyDescent="0.3">
      <c r="A289" s="287"/>
      <c r="B289" s="288"/>
      <c r="C289" s="288"/>
      <c r="D289" s="288"/>
      <c r="E289" s="288"/>
      <c r="F289" s="288"/>
      <c r="G289" s="288"/>
      <c r="H289" s="391"/>
      <c r="I289" s="391"/>
      <c r="J289" s="391"/>
      <c r="K289" s="391"/>
      <c r="L289" s="391"/>
      <c r="M289" s="391"/>
      <c r="N289" s="391"/>
      <c r="O289" s="391"/>
      <c r="P289" s="391"/>
      <c r="Q289" s="391"/>
      <c r="R289" s="337"/>
      <c r="S289" s="390"/>
      <c r="T289" s="338"/>
      <c r="U289" s="390"/>
      <c r="V289" s="288"/>
      <c r="W289" s="291"/>
      <c r="X289" s="5"/>
    </row>
    <row r="290" spans="1:24" ht="15.6" x14ac:dyDescent="0.3">
      <c r="A290" s="287"/>
      <c r="B290" s="295" t="s">
        <v>164</v>
      </c>
      <c r="C290" s="288"/>
      <c r="D290" s="288"/>
      <c r="E290" s="288"/>
      <c r="F290" s="288"/>
      <c r="G290" s="288"/>
      <c r="H290" s="391"/>
      <c r="I290" s="391"/>
      <c r="J290" s="391"/>
      <c r="K290" s="391"/>
      <c r="L290" s="391"/>
      <c r="M290" s="391"/>
      <c r="N290" s="391"/>
      <c r="O290" s="391"/>
      <c r="P290" s="391"/>
      <c r="Q290" s="391"/>
      <c r="R290" s="407">
        <f>R288+R276+R264</f>
        <v>7698</v>
      </c>
      <c r="S290" s="390"/>
      <c r="T290" s="396">
        <f>+T288+T276+T264</f>
        <v>1070306</v>
      </c>
      <c r="U290" s="390"/>
      <c r="V290" s="288"/>
      <c r="W290" s="291"/>
      <c r="X290" s="5"/>
    </row>
    <row r="291" spans="1:24" ht="15.6" x14ac:dyDescent="0.3">
      <c r="A291" s="183"/>
      <c r="B291" s="284"/>
      <c r="C291" s="284"/>
      <c r="D291" s="284"/>
      <c r="E291" s="284"/>
      <c r="F291" s="284"/>
      <c r="G291" s="284"/>
      <c r="H291" s="392"/>
      <c r="I291" s="392"/>
      <c r="J291" s="392"/>
      <c r="K291" s="392"/>
      <c r="L291" s="392"/>
      <c r="M291" s="392"/>
      <c r="N291" s="392"/>
      <c r="O291" s="392"/>
      <c r="P291" s="392"/>
      <c r="Q291" s="392"/>
      <c r="R291" s="392"/>
      <c r="S291" s="392"/>
      <c r="T291" s="394"/>
      <c r="U291" s="392"/>
      <c r="V291" s="284"/>
      <c r="W291" s="284"/>
      <c r="X291" s="5"/>
    </row>
    <row r="292" spans="1:24" ht="15.6" x14ac:dyDescent="0.3">
      <c r="A292" s="183"/>
      <c r="B292" s="224"/>
      <c r="C292" s="224"/>
      <c r="D292" s="224"/>
      <c r="E292" s="224"/>
      <c r="F292" s="224"/>
      <c r="G292" s="224"/>
      <c r="H292" s="256"/>
      <c r="I292" s="256"/>
      <c r="J292" s="256"/>
      <c r="K292" s="256"/>
      <c r="L292" s="256"/>
      <c r="M292" s="256"/>
      <c r="N292" s="256"/>
      <c r="O292" s="256"/>
      <c r="P292" s="256"/>
      <c r="Q292" s="256"/>
      <c r="R292" s="256"/>
      <c r="S292" s="256"/>
      <c r="T292" s="257"/>
      <c r="U292" s="256"/>
      <c r="V292" s="224"/>
      <c r="W292" s="224"/>
      <c r="X292" s="5"/>
    </row>
    <row r="293" spans="1:24" ht="15.6" x14ac:dyDescent="0.3">
      <c r="A293" s="219"/>
      <c r="B293" s="222" t="s">
        <v>91</v>
      </c>
      <c r="C293" s="224"/>
      <c r="D293" s="224"/>
      <c r="E293" s="224"/>
      <c r="F293" s="228" t="s">
        <v>97</v>
      </c>
      <c r="G293" s="224"/>
      <c r="H293" s="222" t="s">
        <v>99</v>
      </c>
      <c r="I293" s="222"/>
      <c r="J293" s="222"/>
      <c r="K293" s="258"/>
      <c r="L293" s="258"/>
      <c r="M293" s="258"/>
      <c r="N293" s="258"/>
      <c r="O293" s="258"/>
      <c r="P293" s="258"/>
      <c r="Q293" s="258"/>
      <c r="R293" s="258"/>
      <c r="S293" s="258"/>
      <c r="T293" s="258"/>
      <c r="U293" s="258"/>
      <c r="V293" s="258"/>
      <c r="W293" s="258"/>
      <c r="X293" s="5"/>
    </row>
    <row r="294" spans="1:24" ht="15.6" x14ac:dyDescent="0.3">
      <c r="A294" s="219"/>
      <c r="B294" s="258"/>
      <c r="C294" s="224"/>
      <c r="D294" s="224"/>
      <c r="E294" s="224"/>
      <c r="F294" s="224"/>
      <c r="G294" s="224"/>
      <c r="H294" s="224"/>
      <c r="I294" s="224"/>
      <c r="J294" s="224"/>
      <c r="K294" s="258"/>
      <c r="L294" s="258"/>
      <c r="M294" s="258"/>
      <c r="N294" s="258"/>
      <c r="O294" s="258"/>
      <c r="P294" s="258"/>
      <c r="Q294" s="258"/>
      <c r="R294" s="258"/>
      <c r="S294" s="258"/>
      <c r="T294" s="258"/>
      <c r="U294" s="258"/>
      <c r="V294" s="258"/>
      <c r="W294" s="258"/>
      <c r="X294" s="5"/>
    </row>
    <row r="295" spans="1:24" ht="15.6" x14ac:dyDescent="0.3">
      <c r="A295" s="219"/>
      <c r="B295" s="222" t="s">
        <v>338</v>
      </c>
      <c r="C295" s="222"/>
      <c r="D295" s="222"/>
      <c r="E295" s="222"/>
      <c r="F295" s="259" t="s">
        <v>148</v>
      </c>
      <c r="G295" s="222"/>
      <c r="H295" s="222" t="s">
        <v>152</v>
      </c>
      <c r="I295" s="222"/>
      <c r="J295" s="222"/>
      <c r="K295" s="258"/>
      <c r="L295" s="258"/>
      <c r="M295" s="258"/>
      <c r="N295" s="258"/>
      <c r="O295" s="258"/>
      <c r="P295" s="258"/>
      <c r="Q295" s="258"/>
      <c r="R295" s="258"/>
      <c r="S295" s="258"/>
      <c r="T295" s="258"/>
      <c r="U295" s="258"/>
      <c r="V295" s="258"/>
      <c r="W295" s="258"/>
      <c r="X295" s="5"/>
    </row>
    <row r="296" spans="1:24" ht="15.6" x14ac:dyDescent="0.3">
      <c r="A296" s="219"/>
      <c r="B296" s="222" t="s">
        <v>339</v>
      </c>
      <c r="C296" s="222"/>
      <c r="D296" s="222"/>
      <c r="E296" s="222"/>
      <c r="F296" s="259" t="s">
        <v>278</v>
      </c>
      <c r="G296" s="222"/>
      <c r="H296" s="222" t="s">
        <v>279</v>
      </c>
      <c r="I296" s="258"/>
      <c r="J296" s="222"/>
      <c r="K296" s="258"/>
      <c r="L296" s="258"/>
      <c r="M296" s="258"/>
      <c r="N296" s="258"/>
      <c r="O296" s="258"/>
      <c r="P296" s="258"/>
      <c r="Q296" s="258"/>
      <c r="R296" s="258"/>
      <c r="S296" s="258"/>
      <c r="T296" s="258"/>
      <c r="U296" s="258"/>
      <c r="V296" s="258"/>
      <c r="W296" s="258"/>
      <c r="X296" s="5"/>
    </row>
    <row r="297" spans="1:24" ht="15.6" x14ac:dyDescent="0.3">
      <c r="A297" s="219"/>
      <c r="B297" s="222" t="s">
        <v>340</v>
      </c>
      <c r="C297" s="222"/>
      <c r="D297" s="222"/>
      <c r="E297" s="222"/>
      <c r="F297" s="259" t="s">
        <v>147</v>
      </c>
      <c r="G297" s="222"/>
      <c r="H297" s="222" t="s">
        <v>153</v>
      </c>
      <c r="I297" s="222"/>
      <c r="J297" s="222"/>
      <c r="K297" s="258"/>
      <c r="L297" s="258"/>
      <c r="M297" s="258"/>
      <c r="N297" s="258"/>
      <c r="O297" s="258"/>
      <c r="P297" s="258"/>
      <c r="Q297" s="258"/>
      <c r="R297" s="258"/>
      <c r="S297" s="258"/>
      <c r="T297" s="258"/>
      <c r="U297" s="258"/>
      <c r="V297" s="258"/>
      <c r="W297" s="258"/>
      <c r="X297" s="5"/>
    </row>
    <row r="298" spans="1:24" ht="15.6" x14ac:dyDescent="0.3">
      <c r="A298" s="219"/>
      <c r="B298" s="222"/>
      <c r="C298" s="222"/>
      <c r="D298" s="222"/>
      <c r="E298" s="222"/>
      <c r="F298" s="222"/>
      <c r="G298" s="260"/>
      <c r="H298" s="258"/>
      <c r="I298" s="258"/>
      <c r="J298" s="258"/>
      <c r="K298" s="258"/>
      <c r="L298" s="258"/>
      <c r="M298" s="258"/>
      <c r="N298" s="258"/>
      <c r="O298" s="258"/>
      <c r="P298" s="258"/>
      <c r="Q298" s="258"/>
      <c r="R298" s="258"/>
      <c r="S298" s="258"/>
      <c r="T298" s="258"/>
      <c r="U298" s="258"/>
      <c r="V298" s="258"/>
      <c r="W298" s="258"/>
      <c r="X298" s="5"/>
    </row>
    <row r="299" spans="1:24" ht="15.6" x14ac:dyDescent="0.3">
      <c r="A299" s="219"/>
      <c r="B299" s="222"/>
      <c r="C299" s="222"/>
      <c r="D299" s="222"/>
      <c r="E299" s="222"/>
      <c r="F299" s="222"/>
      <c r="G299" s="260"/>
      <c r="H299" s="258"/>
      <c r="I299" s="258"/>
      <c r="J299" s="258"/>
      <c r="K299" s="258"/>
      <c r="L299" s="258"/>
      <c r="M299" s="258"/>
      <c r="N299" s="258"/>
      <c r="O299" s="258"/>
      <c r="P299" s="258"/>
      <c r="Q299" s="258"/>
      <c r="R299" s="258"/>
      <c r="S299" s="258"/>
      <c r="T299" s="258"/>
      <c r="U299" s="258"/>
      <c r="V299" s="258"/>
      <c r="W299" s="258"/>
      <c r="X299" s="5"/>
    </row>
    <row r="300" spans="1:24" ht="18" thickBot="1" x14ac:dyDescent="0.35">
      <c r="A300" s="219"/>
      <c r="B300" s="261" t="str">
        <f>B204</f>
        <v>PM14 INVESTOR REPORT QUARTER ENDING FEBRUARY 2014</v>
      </c>
      <c r="C300" s="222"/>
      <c r="D300" s="222"/>
      <c r="E300" s="222"/>
      <c r="F300" s="222"/>
      <c r="G300" s="260"/>
      <c r="H300" s="258"/>
      <c r="I300" s="258"/>
      <c r="J300" s="258"/>
      <c r="K300" s="258"/>
      <c r="L300" s="258"/>
      <c r="M300" s="258"/>
      <c r="N300" s="258"/>
      <c r="O300" s="258"/>
      <c r="P300" s="258"/>
      <c r="Q300" s="258"/>
      <c r="R300" s="258"/>
      <c r="S300" s="258"/>
      <c r="T300" s="258"/>
      <c r="U300" s="258"/>
      <c r="V300" s="258"/>
      <c r="W300" s="258"/>
      <c r="X300" s="5"/>
    </row>
    <row r="301" spans="1:24" x14ac:dyDescent="0.25">
      <c r="A301" s="100"/>
      <c r="B301" s="100"/>
      <c r="C301" s="100"/>
      <c r="D301" s="100"/>
      <c r="E301" s="100"/>
      <c r="F301" s="100"/>
      <c r="G301" s="100"/>
      <c r="H301" s="100"/>
      <c r="I301" s="100"/>
      <c r="J301" s="100"/>
      <c r="K301" s="100"/>
      <c r="L301" s="100"/>
      <c r="M301" s="100"/>
      <c r="N301" s="100"/>
      <c r="O301" s="100"/>
      <c r="P301" s="100"/>
      <c r="Q301" s="100"/>
      <c r="R301" s="100"/>
      <c r="S301" s="100"/>
      <c r="T301" s="100"/>
      <c r="U301" s="100"/>
      <c r="V301" s="100"/>
      <c r="W301" s="100"/>
    </row>
  </sheetData>
  <hyperlinks>
    <hyperlink ref="P240" r:id="rId1" xr:uid="{00000000-0004-0000-1A00-000000000000}"/>
    <hyperlink ref="I9" r:id="rId2" xr:uid="{00000000-0004-0000-1A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8" max="14" man="1"/>
    <brk id="204" max="14" man="1"/>
  </rowBreaks>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theme="4"/>
  </sheetPr>
  <dimension ref="A1:IV301"/>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80"/>
      <c r="B1" s="220" t="s">
        <v>244</v>
      </c>
      <c r="C1" s="181"/>
      <c r="D1" s="181"/>
      <c r="E1" s="181"/>
      <c r="F1" s="181"/>
      <c r="G1" s="181"/>
      <c r="H1" s="181"/>
      <c r="I1" s="181"/>
      <c r="J1" s="181"/>
      <c r="K1" s="181"/>
      <c r="L1" s="181"/>
      <c r="M1" s="181"/>
      <c r="N1" s="181"/>
      <c r="O1" s="181"/>
      <c r="P1" s="181"/>
      <c r="Q1" s="181"/>
      <c r="R1" s="181"/>
      <c r="S1" s="181"/>
      <c r="T1" s="181"/>
      <c r="U1" s="181"/>
      <c r="V1" s="181"/>
      <c r="W1" s="181"/>
      <c r="X1" s="5"/>
    </row>
    <row r="2" spans="1:24" ht="15.6" x14ac:dyDescent="0.3">
      <c r="A2" s="183"/>
      <c r="B2" s="184"/>
      <c r="C2" s="185"/>
      <c r="D2" s="185"/>
      <c r="E2" s="185"/>
      <c r="F2" s="185"/>
      <c r="G2" s="185"/>
      <c r="H2" s="185"/>
      <c r="I2" s="185"/>
      <c r="J2" s="185"/>
      <c r="K2" s="185"/>
      <c r="L2" s="185"/>
      <c r="M2" s="185"/>
      <c r="N2" s="185"/>
      <c r="O2" s="185"/>
      <c r="P2" s="185"/>
      <c r="Q2" s="185"/>
      <c r="R2" s="185"/>
      <c r="S2" s="185"/>
      <c r="T2" s="185"/>
      <c r="U2" s="185"/>
      <c r="V2" s="185"/>
      <c r="W2" s="185"/>
      <c r="X2" s="5"/>
    </row>
    <row r="3" spans="1:24" ht="15.6" x14ac:dyDescent="0.3">
      <c r="A3" s="186"/>
      <c r="B3" s="187" t="s">
        <v>245</v>
      </c>
      <c r="C3" s="185"/>
      <c r="D3" s="185"/>
      <c r="E3" s="185"/>
      <c r="F3" s="185"/>
      <c r="G3" s="185"/>
      <c r="H3" s="185"/>
      <c r="I3" s="185"/>
      <c r="J3" s="185"/>
      <c r="K3" s="185"/>
      <c r="L3" s="185"/>
      <c r="M3" s="185"/>
      <c r="N3" s="185"/>
      <c r="O3" s="185"/>
      <c r="P3" s="185"/>
      <c r="Q3" s="185"/>
      <c r="R3" s="185"/>
      <c r="S3" s="185"/>
      <c r="T3" s="185"/>
      <c r="U3" s="185"/>
      <c r="V3" s="185"/>
      <c r="W3" s="185"/>
      <c r="X3" s="5"/>
    </row>
    <row r="4" spans="1:24" ht="15.6" x14ac:dyDescent="0.3">
      <c r="A4" s="183"/>
      <c r="B4" s="184"/>
      <c r="C4" s="185"/>
      <c r="D4" s="185"/>
      <c r="E4" s="185"/>
      <c r="F4" s="185"/>
      <c r="G4" s="185"/>
      <c r="H4" s="185"/>
      <c r="I4" s="185"/>
      <c r="J4" s="185"/>
      <c r="K4" s="185"/>
      <c r="L4" s="185"/>
      <c r="M4" s="185"/>
      <c r="N4" s="185"/>
      <c r="O4" s="185"/>
      <c r="P4" s="185"/>
      <c r="Q4" s="185"/>
      <c r="R4" s="185"/>
      <c r="S4" s="185"/>
      <c r="T4" s="185"/>
      <c r="U4" s="185"/>
      <c r="V4" s="185"/>
      <c r="W4" s="185"/>
      <c r="X4" s="5"/>
    </row>
    <row r="5" spans="1:24" ht="15.6" x14ac:dyDescent="0.3">
      <c r="A5" s="183"/>
      <c r="B5" s="221" t="s">
        <v>137</v>
      </c>
      <c r="C5" s="185"/>
      <c r="D5" s="185"/>
      <c r="E5" s="185"/>
      <c r="F5" s="185"/>
      <c r="G5" s="185"/>
      <c r="H5" s="185"/>
      <c r="I5" s="185"/>
      <c r="J5" s="185"/>
      <c r="K5" s="185"/>
      <c r="L5" s="185"/>
      <c r="M5" s="185"/>
      <c r="N5" s="185"/>
      <c r="O5" s="185"/>
      <c r="P5" s="185"/>
      <c r="Q5" s="185"/>
      <c r="R5" s="185"/>
      <c r="S5" s="185"/>
      <c r="T5" s="185"/>
      <c r="U5" s="185"/>
      <c r="V5" s="185"/>
      <c r="W5" s="185"/>
      <c r="X5" s="5"/>
    </row>
    <row r="6" spans="1:24" ht="15.6" x14ac:dyDescent="0.3">
      <c r="A6" s="183"/>
      <c r="B6" s="221" t="s">
        <v>139</v>
      </c>
      <c r="C6" s="185"/>
      <c r="D6" s="185"/>
      <c r="E6" s="185"/>
      <c r="F6" s="185"/>
      <c r="G6" s="185"/>
      <c r="H6" s="185"/>
      <c r="I6" s="185"/>
      <c r="J6" s="185"/>
      <c r="K6" s="185"/>
      <c r="L6" s="185"/>
      <c r="M6" s="185"/>
      <c r="N6" s="185"/>
      <c r="O6" s="185"/>
      <c r="P6" s="185"/>
      <c r="Q6" s="185"/>
      <c r="R6" s="185"/>
      <c r="S6" s="185"/>
      <c r="T6" s="185"/>
      <c r="U6" s="185"/>
      <c r="V6" s="185"/>
      <c r="W6" s="185"/>
      <c r="X6" s="5"/>
    </row>
    <row r="7" spans="1:24" ht="15.6" x14ac:dyDescent="0.3">
      <c r="A7" s="183"/>
      <c r="B7" s="221" t="s">
        <v>138</v>
      </c>
      <c r="C7" s="185"/>
      <c r="D7" s="185"/>
      <c r="E7" s="185"/>
      <c r="F7" s="185"/>
      <c r="G7" s="185"/>
      <c r="H7" s="185"/>
      <c r="I7" s="185"/>
      <c r="J7" s="185"/>
      <c r="K7" s="185"/>
      <c r="L7" s="185"/>
      <c r="M7" s="185"/>
      <c r="N7" s="185"/>
      <c r="O7" s="185"/>
      <c r="P7" s="185"/>
      <c r="Q7" s="185"/>
      <c r="R7" s="185"/>
      <c r="S7" s="185"/>
      <c r="T7" s="185"/>
      <c r="U7" s="185"/>
      <c r="V7" s="185"/>
      <c r="W7" s="185"/>
      <c r="X7" s="5"/>
    </row>
    <row r="8" spans="1:24" ht="15.6" x14ac:dyDescent="0.3">
      <c r="A8" s="183"/>
      <c r="B8" s="188"/>
      <c r="C8" s="185"/>
      <c r="D8" s="185"/>
      <c r="E8" s="185"/>
      <c r="F8" s="185"/>
      <c r="G8" s="185"/>
      <c r="H8" s="185"/>
      <c r="I8" s="185"/>
      <c r="J8" s="185"/>
      <c r="K8" s="185"/>
      <c r="L8" s="185"/>
      <c r="M8" s="185"/>
      <c r="N8" s="185"/>
      <c r="O8" s="185"/>
      <c r="P8" s="185"/>
      <c r="Q8" s="185"/>
      <c r="R8" s="185"/>
      <c r="S8" s="185"/>
      <c r="T8" s="185"/>
      <c r="U8" s="185"/>
      <c r="V8" s="185"/>
      <c r="W8" s="185"/>
      <c r="X8" s="5"/>
    </row>
    <row r="9" spans="1:24" ht="17.399999999999999" x14ac:dyDescent="0.3">
      <c r="A9" s="183"/>
      <c r="B9" s="189" t="s">
        <v>166</v>
      </c>
      <c r="C9" s="185"/>
      <c r="D9" s="185"/>
      <c r="E9" s="185"/>
      <c r="F9" s="185"/>
      <c r="G9" s="185"/>
      <c r="H9" s="185"/>
      <c r="I9" s="190" t="s">
        <v>167</v>
      </c>
      <c r="J9" s="185"/>
      <c r="K9" s="185"/>
      <c r="L9" s="190"/>
      <c r="M9" s="185"/>
      <c r="N9" s="190"/>
      <c r="O9" s="185"/>
      <c r="P9" s="185"/>
      <c r="Q9" s="185"/>
      <c r="R9" s="185"/>
      <c r="S9" s="185"/>
      <c r="T9" s="185"/>
      <c r="U9" s="185"/>
      <c r="V9" s="185"/>
      <c r="W9" s="185"/>
      <c r="X9" s="5"/>
    </row>
    <row r="10" spans="1:24" ht="15.6" x14ac:dyDescent="0.3">
      <c r="A10" s="183"/>
      <c r="B10" s="188"/>
      <c r="C10" s="191"/>
      <c r="D10" s="191"/>
      <c r="E10" s="191"/>
      <c r="F10" s="185"/>
      <c r="G10" s="185"/>
      <c r="H10" s="185"/>
      <c r="I10" s="185"/>
      <c r="J10" s="185"/>
      <c r="K10" s="185"/>
      <c r="L10" s="185"/>
      <c r="M10" s="185"/>
      <c r="N10" s="185"/>
      <c r="O10" s="185"/>
      <c r="P10" s="185"/>
      <c r="Q10" s="185"/>
      <c r="R10" s="185"/>
      <c r="S10" s="185"/>
      <c r="T10" s="185"/>
      <c r="U10" s="185"/>
      <c r="V10" s="185"/>
      <c r="W10" s="185"/>
      <c r="X10" s="5"/>
    </row>
    <row r="11" spans="1:24" ht="15.6" x14ac:dyDescent="0.3">
      <c r="A11" s="183"/>
      <c r="B11" s="222" t="s">
        <v>0</v>
      </c>
      <c r="C11" s="185"/>
      <c r="D11" s="185"/>
      <c r="E11" s="185"/>
      <c r="F11" s="185"/>
      <c r="G11" s="185"/>
      <c r="H11" s="185"/>
      <c r="I11" s="185"/>
      <c r="J11" s="185"/>
      <c r="K11" s="185"/>
      <c r="L11" s="185"/>
      <c r="M11" s="185"/>
      <c r="N11" s="185"/>
      <c r="O11" s="185"/>
      <c r="P11" s="185"/>
      <c r="Q11" s="185"/>
      <c r="R11" s="185"/>
      <c r="S11" s="185"/>
      <c r="T11" s="185"/>
      <c r="U11" s="185"/>
      <c r="V11" s="185"/>
      <c r="W11" s="185"/>
      <c r="X11" s="5"/>
    </row>
    <row r="12" spans="1:24" ht="16.2" thickBot="1" x14ac:dyDescent="0.35">
      <c r="A12" s="183"/>
      <c r="B12" s="191"/>
      <c r="C12" s="185"/>
      <c r="D12" s="185"/>
      <c r="E12" s="185"/>
      <c r="F12" s="185"/>
      <c r="G12" s="185"/>
      <c r="H12" s="185"/>
      <c r="I12" s="185"/>
      <c r="J12" s="185"/>
      <c r="K12" s="185"/>
      <c r="L12" s="185"/>
      <c r="M12" s="185"/>
      <c r="N12" s="185"/>
      <c r="O12" s="185"/>
      <c r="P12" s="185"/>
      <c r="Q12" s="185"/>
      <c r="R12" s="185"/>
      <c r="S12" s="185"/>
      <c r="T12" s="185"/>
      <c r="U12" s="185"/>
      <c r="V12" s="185"/>
      <c r="W12" s="185"/>
      <c r="X12" s="5"/>
    </row>
    <row r="13" spans="1:24" ht="15.6" x14ac:dyDescent="0.3">
      <c r="A13" s="180"/>
      <c r="B13" s="181"/>
      <c r="C13" s="181"/>
      <c r="D13" s="181"/>
      <c r="E13" s="181"/>
      <c r="F13" s="181"/>
      <c r="G13" s="181"/>
      <c r="H13" s="181"/>
      <c r="I13" s="181"/>
      <c r="J13" s="181"/>
      <c r="K13" s="181"/>
      <c r="L13" s="181"/>
      <c r="M13" s="181"/>
      <c r="N13" s="181"/>
      <c r="O13" s="181"/>
      <c r="P13" s="181"/>
      <c r="Q13" s="181"/>
      <c r="R13" s="181"/>
      <c r="S13" s="181"/>
      <c r="T13" s="181"/>
      <c r="U13" s="181"/>
      <c r="V13" s="181"/>
      <c r="W13" s="181"/>
      <c r="X13" s="5"/>
    </row>
    <row r="14" spans="1:24" ht="15.6" x14ac:dyDescent="0.3">
      <c r="A14" s="183"/>
      <c r="B14" s="222" t="s">
        <v>1</v>
      </c>
      <c r="C14" s="192"/>
      <c r="D14" s="192"/>
      <c r="E14" s="192"/>
      <c r="F14" s="192"/>
      <c r="G14" s="192"/>
      <c r="H14" s="192"/>
      <c r="I14" s="192"/>
      <c r="J14" s="192"/>
      <c r="K14" s="192"/>
      <c r="L14" s="192"/>
      <c r="M14" s="192"/>
      <c r="N14" s="192"/>
      <c r="O14" s="192"/>
      <c r="P14" s="192"/>
      <c r="Q14" s="192"/>
      <c r="R14" s="224"/>
      <c r="S14" s="224"/>
      <c r="T14" s="224"/>
      <c r="U14" s="224"/>
      <c r="V14" s="225" t="s">
        <v>246</v>
      </c>
      <c r="W14" s="192"/>
      <c r="X14" s="5"/>
    </row>
    <row r="15" spans="1:24" ht="15.6" x14ac:dyDescent="0.3">
      <c r="A15" s="183"/>
      <c r="B15" s="222" t="s">
        <v>2</v>
      </c>
      <c r="C15" s="192"/>
      <c r="D15" s="192"/>
      <c r="E15" s="192"/>
      <c r="F15" s="192"/>
      <c r="G15" s="192"/>
      <c r="H15" s="193"/>
      <c r="I15" s="193"/>
      <c r="J15" s="193"/>
      <c r="K15" s="193"/>
      <c r="L15" s="193"/>
      <c r="M15" s="193"/>
      <c r="N15" s="193"/>
      <c r="O15" s="193"/>
      <c r="P15" s="193"/>
      <c r="Q15" s="193"/>
      <c r="R15" s="226" t="s">
        <v>104</v>
      </c>
      <c r="S15" s="227">
        <v>0.38300000000000001</v>
      </c>
      <c r="T15" s="228" t="s">
        <v>140</v>
      </c>
      <c r="U15" s="227">
        <v>0.61699999999999999</v>
      </c>
      <c r="V15" s="225"/>
      <c r="W15" s="192"/>
      <c r="X15" s="5"/>
    </row>
    <row r="16" spans="1:24" ht="15.6" x14ac:dyDescent="0.3">
      <c r="A16" s="183"/>
      <c r="B16" s="222" t="s">
        <v>3</v>
      </c>
      <c r="C16" s="192"/>
      <c r="D16" s="192"/>
      <c r="E16" s="192"/>
      <c r="F16" s="192"/>
      <c r="G16" s="192"/>
      <c r="H16" s="193"/>
      <c r="I16" s="193"/>
      <c r="J16" s="193"/>
      <c r="K16" s="193"/>
      <c r="L16" s="193"/>
      <c r="M16" s="193"/>
      <c r="N16" s="193"/>
      <c r="O16" s="193"/>
      <c r="P16" s="193"/>
      <c r="Q16" s="193"/>
      <c r="R16" s="226" t="s">
        <v>104</v>
      </c>
      <c r="S16" s="227">
        <v>0.46410000000000001</v>
      </c>
      <c r="T16" s="228" t="s">
        <v>140</v>
      </c>
      <c r="U16" s="227">
        <v>0.53590000000000004</v>
      </c>
      <c r="V16" s="225"/>
      <c r="W16" s="192"/>
      <c r="X16" s="5"/>
    </row>
    <row r="17" spans="1:24" ht="15.6" x14ac:dyDescent="0.3">
      <c r="A17" s="183"/>
      <c r="B17" s="222" t="s">
        <v>4</v>
      </c>
      <c r="C17" s="192"/>
      <c r="D17" s="192"/>
      <c r="E17" s="192"/>
      <c r="F17" s="192"/>
      <c r="G17" s="192"/>
      <c r="H17" s="192"/>
      <c r="I17" s="192"/>
      <c r="J17" s="192"/>
      <c r="K17" s="192"/>
      <c r="L17" s="192"/>
      <c r="M17" s="192"/>
      <c r="N17" s="192"/>
      <c r="O17" s="192"/>
      <c r="P17" s="192"/>
      <c r="Q17" s="192"/>
      <c r="R17" s="224"/>
      <c r="S17" s="224"/>
      <c r="T17" s="224"/>
      <c r="U17" s="224"/>
      <c r="V17" s="229">
        <v>39163</v>
      </c>
      <c r="W17" s="192"/>
      <c r="X17" s="5"/>
    </row>
    <row r="18" spans="1:24" ht="15.6" x14ac:dyDescent="0.3">
      <c r="A18" s="183"/>
      <c r="B18" s="222" t="s">
        <v>5</v>
      </c>
      <c r="C18" s="192"/>
      <c r="D18" s="192"/>
      <c r="E18" s="192"/>
      <c r="F18" s="192"/>
      <c r="G18" s="192"/>
      <c r="H18" s="192"/>
      <c r="I18" s="192"/>
      <c r="J18" s="192"/>
      <c r="K18" s="192"/>
      <c r="L18" s="192"/>
      <c r="M18" s="192"/>
      <c r="N18" s="192"/>
      <c r="O18" s="192"/>
      <c r="P18" s="192"/>
      <c r="Q18" s="192"/>
      <c r="R18" s="224"/>
      <c r="S18" s="224"/>
      <c r="T18" s="224"/>
      <c r="U18" s="224"/>
      <c r="V18" s="229">
        <v>41813</v>
      </c>
      <c r="W18" s="192"/>
      <c r="X18" s="5"/>
    </row>
    <row r="19" spans="1:24" ht="15.6" x14ac:dyDescent="0.3">
      <c r="A19" s="183"/>
      <c r="B19" s="185"/>
      <c r="C19" s="185"/>
      <c r="D19" s="185"/>
      <c r="E19" s="185"/>
      <c r="F19" s="185"/>
      <c r="G19" s="185"/>
      <c r="H19" s="185"/>
      <c r="I19" s="185"/>
      <c r="J19" s="185"/>
      <c r="K19" s="185"/>
      <c r="L19" s="185"/>
      <c r="M19" s="185"/>
      <c r="N19" s="185"/>
      <c r="O19" s="185"/>
      <c r="P19" s="185"/>
      <c r="Q19" s="185"/>
      <c r="R19" s="185"/>
      <c r="S19" s="185"/>
      <c r="T19" s="185"/>
      <c r="U19" s="185"/>
      <c r="V19" s="194"/>
      <c r="W19" s="185"/>
      <c r="X19" s="5"/>
    </row>
    <row r="20" spans="1:24" ht="15.6" x14ac:dyDescent="0.3">
      <c r="A20" s="183"/>
      <c r="B20" s="230" t="s">
        <v>6</v>
      </c>
      <c r="C20" s="185"/>
      <c r="D20" s="185"/>
      <c r="E20" s="185"/>
      <c r="F20" s="185"/>
      <c r="G20" s="185"/>
      <c r="H20" s="185"/>
      <c r="I20" s="185"/>
      <c r="J20" s="185"/>
      <c r="K20" s="185"/>
      <c r="L20" s="185"/>
      <c r="M20" s="185"/>
      <c r="N20" s="185"/>
      <c r="O20" s="185"/>
      <c r="P20" s="185"/>
      <c r="Q20" s="185"/>
      <c r="R20" s="185"/>
      <c r="S20" s="185"/>
      <c r="T20" s="223" t="s">
        <v>105</v>
      </c>
      <c r="U20" s="185"/>
      <c r="V20" s="182"/>
      <c r="W20" s="185"/>
      <c r="X20" s="5"/>
    </row>
    <row r="21" spans="1:24" ht="15.6" x14ac:dyDescent="0.3">
      <c r="A21" s="183"/>
      <c r="B21" s="185"/>
      <c r="C21" s="185"/>
      <c r="D21" s="185"/>
      <c r="E21" s="185"/>
      <c r="F21" s="185"/>
      <c r="G21" s="185"/>
      <c r="H21" s="185"/>
      <c r="I21" s="185"/>
      <c r="J21" s="185"/>
      <c r="K21" s="185"/>
      <c r="L21" s="185"/>
      <c r="M21" s="185"/>
      <c r="N21" s="185"/>
      <c r="O21" s="185"/>
      <c r="P21" s="185"/>
      <c r="Q21" s="185"/>
      <c r="R21" s="185"/>
      <c r="S21" s="185"/>
      <c r="T21" s="185"/>
      <c r="U21" s="185"/>
      <c r="V21" s="196"/>
      <c r="W21" s="185"/>
      <c r="X21" s="5"/>
    </row>
    <row r="22" spans="1:24" ht="15.6" x14ac:dyDescent="0.3">
      <c r="A22" s="262"/>
      <c r="B22" s="263"/>
      <c r="C22" s="264"/>
      <c r="D22" s="264" t="s">
        <v>177</v>
      </c>
      <c r="E22" s="264"/>
      <c r="F22" s="264" t="s">
        <v>178</v>
      </c>
      <c r="G22" s="264"/>
      <c r="H22" s="264" t="s">
        <v>179</v>
      </c>
      <c r="I22" s="264"/>
      <c r="J22" s="264" t="s">
        <v>220</v>
      </c>
      <c r="K22" s="264"/>
      <c r="L22" s="264" t="s">
        <v>180</v>
      </c>
      <c r="M22" s="264"/>
      <c r="N22" s="264" t="s">
        <v>181</v>
      </c>
      <c r="O22" s="264"/>
      <c r="P22" s="264" t="s">
        <v>221</v>
      </c>
      <c r="Q22" s="264"/>
      <c r="R22" s="264" t="s">
        <v>182</v>
      </c>
      <c r="S22" s="266"/>
      <c r="T22" s="266"/>
      <c r="U22" s="267"/>
      <c r="V22" s="267"/>
      <c r="W22" s="263"/>
      <c r="X22" s="5"/>
    </row>
    <row r="23" spans="1:24" ht="15.6" x14ac:dyDescent="0.3">
      <c r="A23" s="287"/>
      <c r="B23" s="288" t="s">
        <v>7</v>
      </c>
      <c r="C23" s="289"/>
      <c r="D23" s="289" t="s">
        <v>213</v>
      </c>
      <c r="E23" s="289"/>
      <c r="F23" s="289" t="s">
        <v>141</v>
      </c>
      <c r="G23" s="289"/>
      <c r="H23" s="289" t="s">
        <v>141</v>
      </c>
      <c r="I23" s="289"/>
      <c r="J23" s="289" t="s">
        <v>141</v>
      </c>
      <c r="K23" s="289"/>
      <c r="L23" s="289" t="s">
        <v>183</v>
      </c>
      <c r="M23" s="289"/>
      <c r="N23" s="289" t="s">
        <v>183</v>
      </c>
      <c r="O23" s="289"/>
      <c r="P23" s="289" t="s">
        <v>142</v>
      </c>
      <c r="Q23" s="289"/>
      <c r="R23" s="289" t="s">
        <v>142</v>
      </c>
      <c r="S23" s="289"/>
      <c r="T23" s="289"/>
      <c r="U23" s="290"/>
      <c r="V23" s="290"/>
      <c r="W23" s="291"/>
      <c r="X23" s="5"/>
    </row>
    <row r="24" spans="1:24" ht="15.6" x14ac:dyDescent="0.3">
      <c r="A24" s="287"/>
      <c r="B24" s="288" t="s">
        <v>8</v>
      </c>
      <c r="C24" s="289"/>
      <c r="D24" s="289" t="s">
        <v>214</v>
      </c>
      <c r="E24" s="289"/>
      <c r="F24" s="289" t="s">
        <v>143</v>
      </c>
      <c r="G24" s="289"/>
      <c r="H24" s="289" t="s">
        <v>143</v>
      </c>
      <c r="I24" s="289"/>
      <c r="J24" s="289" t="s">
        <v>143</v>
      </c>
      <c r="K24" s="289"/>
      <c r="L24" s="289" t="s">
        <v>165</v>
      </c>
      <c r="M24" s="289"/>
      <c r="N24" s="289" t="s">
        <v>165</v>
      </c>
      <c r="O24" s="289"/>
      <c r="P24" s="289" t="s">
        <v>144</v>
      </c>
      <c r="Q24" s="289"/>
      <c r="R24" s="289" t="s">
        <v>144</v>
      </c>
      <c r="S24" s="289"/>
      <c r="T24" s="289"/>
      <c r="U24" s="290"/>
      <c r="V24" s="290"/>
      <c r="W24" s="291"/>
      <c r="X24" s="5"/>
    </row>
    <row r="25" spans="1:24" ht="15.6" x14ac:dyDescent="0.3">
      <c r="A25" s="292"/>
      <c r="B25" s="288" t="s">
        <v>190</v>
      </c>
      <c r="C25" s="398"/>
      <c r="D25" s="289" t="s">
        <v>215</v>
      </c>
      <c r="E25" s="289"/>
      <c r="F25" s="289" t="s">
        <v>143</v>
      </c>
      <c r="G25" s="289"/>
      <c r="H25" s="289" t="s">
        <v>143</v>
      </c>
      <c r="I25" s="289"/>
      <c r="J25" s="289" t="s">
        <v>143</v>
      </c>
      <c r="K25" s="289"/>
      <c r="L25" s="289" t="s">
        <v>293</v>
      </c>
      <c r="M25" s="289"/>
      <c r="N25" s="289" t="s">
        <v>293</v>
      </c>
      <c r="O25" s="289"/>
      <c r="P25" s="289" t="s">
        <v>144</v>
      </c>
      <c r="Q25" s="289"/>
      <c r="R25" s="289" t="s">
        <v>144</v>
      </c>
      <c r="S25" s="398"/>
      <c r="T25" s="289"/>
      <c r="U25" s="290"/>
      <c r="V25" s="290"/>
      <c r="W25" s="291"/>
      <c r="X25" s="5"/>
    </row>
    <row r="26" spans="1:24" ht="15.6" x14ac:dyDescent="0.3">
      <c r="A26" s="292"/>
      <c r="B26" s="295" t="s">
        <v>9</v>
      </c>
      <c r="C26" s="398"/>
      <c r="D26" s="398" t="s">
        <v>332</v>
      </c>
      <c r="E26" s="398"/>
      <c r="F26" s="398" t="s">
        <v>333</v>
      </c>
      <c r="G26" s="398"/>
      <c r="H26" s="398" t="s">
        <v>333</v>
      </c>
      <c r="I26" s="398"/>
      <c r="J26" s="398" t="s">
        <v>333</v>
      </c>
      <c r="K26" s="398"/>
      <c r="L26" s="398" t="s">
        <v>334</v>
      </c>
      <c r="M26" s="398"/>
      <c r="N26" s="398" t="s">
        <v>334</v>
      </c>
      <c r="O26" s="398"/>
      <c r="P26" s="398" t="s">
        <v>335</v>
      </c>
      <c r="Q26" s="398"/>
      <c r="R26" s="398" t="s">
        <v>335</v>
      </c>
      <c r="S26" s="398"/>
      <c r="T26" s="289"/>
      <c r="U26" s="290"/>
      <c r="V26" s="290"/>
      <c r="W26" s="291"/>
      <c r="X26" s="5"/>
    </row>
    <row r="27" spans="1:24" ht="15.6" x14ac:dyDescent="0.3">
      <c r="A27" s="287"/>
      <c r="B27" s="295" t="s">
        <v>191</v>
      </c>
      <c r="C27" s="289"/>
      <c r="D27" s="398" t="s">
        <v>317</v>
      </c>
      <c r="E27" s="398"/>
      <c r="F27" s="398" t="s">
        <v>143</v>
      </c>
      <c r="G27" s="398"/>
      <c r="H27" s="398" t="s">
        <v>143</v>
      </c>
      <c r="I27" s="398"/>
      <c r="J27" s="398" t="s">
        <v>143</v>
      </c>
      <c r="K27" s="398"/>
      <c r="L27" s="398" t="s">
        <v>319</v>
      </c>
      <c r="M27" s="398"/>
      <c r="N27" s="398" t="s">
        <v>319</v>
      </c>
      <c r="O27" s="398"/>
      <c r="P27" s="398" t="s">
        <v>320</v>
      </c>
      <c r="Q27" s="398"/>
      <c r="R27" s="398" t="s">
        <v>320</v>
      </c>
      <c r="S27" s="289"/>
      <c r="T27" s="296"/>
      <c r="U27" s="290"/>
      <c r="V27" s="290"/>
      <c r="W27" s="291"/>
      <c r="X27" s="5"/>
    </row>
    <row r="28" spans="1:24" ht="15.6" x14ac:dyDescent="0.3">
      <c r="A28" s="287"/>
      <c r="B28" s="295" t="s">
        <v>192</v>
      </c>
      <c r="C28" s="289"/>
      <c r="D28" s="398" t="s">
        <v>314</v>
      </c>
      <c r="E28" s="398"/>
      <c r="F28" s="398" t="s">
        <v>143</v>
      </c>
      <c r="G28" s="398"/>
      <c r="H28" s="398" t="s">
        <v>143</v>
      </c>
      <c r="I28" s="398"/>
      <c r="J28" s="398" t="s">
        <v>143</v>
      </c>
      <c r="K28" s="398"/>
      <c r="L28" s="398" t="s">
        <v>293</v>
      </c>
      <c r="M28" s="398"/>
      <c r="N28" s="398" t="s">
        <v>293</v>
      </c>
      <c r="O28" s="398"/>
      <c r="P28" s="398" t="s">
        <v>337</v>
      </c>
      <c r="Q28" s="398"/>
      <c r="R28" s="398" t="s">
        <v>337</v>
      </c>
      <c r="S28" s="289"/>
      <c r="T28" s="296"/>
      <c r="U28" s="290"/>
      <c r="V28" s="290"/>
      <c r="W28" s="291"/>
      <c r="X28" s="5"/>
    </row>
    <row r="29" spans="1:24" ht="15.6" x14ac:dyDescent="0.3">
      <c r="A29" s="287"/>
      <c r="B29" s="288" t="s">
        <v>10</v>
      </c>
      <c r="C29" s="298"/>
      <c r="D29" s="289" t="s">
        <v>249</v>
      </c>
      <c r="E29" s="289"/>
      <c r="F29" s="296" t="s">
        <v>250</v>
      </c>
      <c r="G29" s="289"/>
      <c r="H29" s="289" t="s">
        <v>251</v>
      </c>
      <c r="I29" s="289"/>
      <c r="J29" s="289" t="s">
        <v>253</v>
      </c>
      <c r="K29" s="289"/>
      <c r="L29" s="289" t="s">
        <v>254</v>
      </c>
      <c r="M29" s="289"/>
      <c r="N29" s="289" t="s">
        <v>255</v>
      </c>
      <c r="O29" s="289"/>
      <c r="P29" s="289" t="s">
        <v>256</v>
      </c>
      <c r="Q29" s="289"/>
      <c r="R29" s="289" t="s">
        <v>257</v>
      </c>
      <c r="S29" s="299"/>
      <c r="T29" s="299"/>
      <c r="U29" s="300"/>
      <c r="V29" s="299"/>
      <c r="W29" s="301"/>
      <c r="X29" s="5"/>
    </row>
    <row r="30" spans="1:24" ht="15.6" x14ac:dyDescent="0.3">
      <c r="A30" s="287"/>
      <c r="B30" s="288" t="s">
        <v>10</v>
      </c>
      <c r="C30" s="298"/>
      <c r="D30" s="289" t="s">
        <v>248</v>
      </c>
      <c r="E30" s="289"/>
      <c r="F30" s="296" t="s">
        <v>118</v>
      </c>
      <c r="G30" s="289"/>
      <c r="H30" s="289" t="s">
        <v>118</v>
      </c>
      <c r="I30" s="289"/>
      <c r="J30" s="289" t="s">
        <v>252</v>
      </c>
      <c r="K30" s="289"/>
      <c r="L30" s="289" t="s">
        <v>118</v>
      </c>
      <c r="M30" s="289"/>
      <c r="N30" s="289" t="s">
        <v>118</v>
      </c>
      <c r="O30" s="289"/>
      <c r="P30" s="289" t="s">
        <v>118</v>
      </c>
      <c r="Q30" s="289"/>
      <c r="R30" s="289" t="s">
        <v>118</v>
      </c>
      <c r="S30" s="299"/>
      <c r="T30" s="299"/>
      <c r="U30" s="300"/>
      <c r="V30" s="299"/>
      <c r="W30" s="301"/>
      <c r="X30" s="5"/>
    </row>
    <row r="31" spans="1:24" ht="15.6" x14ac:dyDescent="0.3">
      <c r="A31" s="292"/>
      <c r="B31" s="288" t="s">
        <v>133</v>
      </c>
      <c r="C31" s="302"/>
      <c r="D31" s="303">
        <v>1500000</v>
      </c>
      <c r="E31" s="298"/>
      <c r="F31" s="299">
        <v>125000</v>
      </c>
      <c r="G31" s="299"/>
      <c r="H31" s="304">
        <v>246000</v>
      </c>
      <c r="I31" s="304"/>
      <c r="J31" s="303">
        <v>400000</v>
      </c>
      <c r="K31" s="299"/>
      <c r="L31" s="299">
        <v>51900</v>
      </c>
      <c r="M31" s="299"/>
      <c r="N31" s="304">
        <v>88800</v>
      </c>
      <c r="O31" s="299"/>
      <c r="P31" s="299">
        <v>20000</v>
      </c>
      <c r="Q31" s="299"/>
      <c r="R31" s="304">
        <v>135500</v>
      </c>
      <c r="S31" s="305"/>
      <c r="T31" s="305"/>
      <c r="U31" s="306"/>
      <c r="V31" s="305"/>
      <c r="W31" s="301"/>
      <c r="X31" s="5"/>
    </row>
    <row r="32" spans="1:24" ht="15.6" x14ac:dyDescent="0.3">
      <c r="A32" s="287"/>
      <c r="B32" s="288" t="s">
        <v>132</v>
      </c>
      <c r="C32" s="298"/>
      <c r="D32" s="303">
        <f>D31*D38</f>
        <v>994178.1</v>
      </c>
      <c r="E32" s="298"/>
      <c r="F32" s="299">
        <f>F31*F38</f>
        <v>82848.324999999997</v>
      </c>
      <c r="G32" s="299"/>
      <c r="H32" s="304">
        <f>H31*H38</f>
        <v>163045.5036</v>
      </c>
      <c r="I32" s="304"/>
      <c r="J32" s="303">
        <f>J31*J38</f>
        <v>265114.15999999997</v>
      </c>
      <c r="K32" s="299"/>
      <c r="L32" s="299">
        <f>+L31</f>
        <v>51900</v>
      </c>
      <c r="M32" s="299"/>
      <c r="N32" s="304">
        <f>+N31</f>
        <v>88800</v>
      </c>
      <c r="O32" s="299"/>
      <c r="P32" s="299">
        <f>+P31</f>
        <v>20000</v>
      </c>
      <c r="Q32" s="299"/>
      <c r="R32" s="304">
        <f>+R31</f>
        <v>135500</v>
      </c>
      <c r="S32" s="299"/>
      <c r="T32" s="299"/>
      <c r="U32" s="300"/>
      <c r="V32" s="299"/>
      <c r="W32" s="301"/>
      <c r="X32" s="5"/>
    </row>
    <row r="33" spans="1:24" ht="15.6" x14ac:dyDescent="0.3">
      <c r="A33" s="287"/>
      <c r="B33" s="295" t="s">
        <v>134</v>
      </c>
      <c r="C33" s="298"/>
      <c r="D33" s="307">
        <f>D37*D31</f>
        <v>980984.39999999991</v>
      </c>
      <c r="E33" s="302"/>
      <c r="F33" s="305">
        <f>F37*F31</f>
        <v>81748.849999999991</v>
      </c>
      <c r="G33" s="305"/>
      <c r="H33" s="308">
        <f>H31*H37</f>
        <v>160881.73679999998</v>
      </c>
      <c r="I33" s="308"/>
      <c r="J33" s="307">
        <f>J37*J31</f>
        <v>261595.83999999997</v>
      </c>
      <c r="K33" s="305"/>
      <c r="L33" s="305">
        <f>L31*L37</f>
        <v>51900</v>
      </c>
      <c r="M33" s="305"/>
      <c r="N33" s="308">
        <f>N31*N37</f>
        <v>88800</v>
      </c>
      <c r="O33" s="305"/>
      <c r="P33" s="305">
        <f>P31*P37</f>
        <v>20000</v>
      </c>
      <c r="Q33" s="305"/>
      <c r="R33" s="308">
        <f>R31*R37</f>
        <v>135500</v>
      </c>
      <c r="S33" s="299"/>
      <c r="T33" s="299"/>
      <c r="U33" s="300"/>
      <c r="V33" s="299"/>
      <c r="W33" s="301"/>
      <c r="X33" s="5"/>
    </row>
    <row r="34" spans="1:24" ht="15.6" x14ac:dyDescent="0.3">
      <c r="A34" s="292"/>
      <c r="B34" s="288" t="s">
        <v>296</v>
      </c>
      <c r="C34" s="302"/>
      <c r="D34" s="299">
        <v>775194</v>
      </c>
      <c r="E34" s="298"/>
      <c r="F34" s="299">
        <v>125000</v>
      </c>
      <c r="G34" s="299"/>
      <c r="H34" s="299">
        <v>168148</v>
      </c>
      <c r="I34" s="299"/>
      <c r="J34" s="299">
        <v>206718</v>
      </c>
      <c r="K34" s="299"/>
      <c r="L34" s="299">
        <v>51900</v>
      </c>
      <c r="M34" s="299"/>
      <c r="N34" s="299">
        <v>60697</v>
      </c>
      <c r="O34" s="299"/>
      <c r="P34" s="299">
        <v>20000</v>
      </c>
      <c r="Q34" s="299"/>
      <c r="R34" s="299">
        <v>92618</v>
      </c>
      <c r="S34" s="305"/>
      <c r="T34" s="305"/>
      <c r="U34" s="306"/>
      <c r="V34" s="299">
        <f>SUM(C34:R34)</f>
        <v>1500275</v>
      </c>
      <c r="W34" s="301"/>
      <c r="X34" s="5"/>
    </row>
    <row r="35" spans="1:24" ht="15.6" x14ac:dyDescent="0.3">
      <c r="A35" s="292"/>
      <c r="B35" s="288" t="s">
        <v>297</v>
      </c>
      <c r="C35" s="302"/>
      <c r="D35" s="299">
        <f>D34*D38</f>
        <v>513787.26536759996</v>
      </c>
      <c r="E35" s="298"/>
      <c r="F35" s="299">
        <f>F34*F38</f>
        <v>82848.324999999997</v>
      </c>
      <c r="G35" s="299"/>
      <c r="H35" s="299">
        <f>H34*H38</f>
        <v>111446.2412168</v>
      </c>
      <c r="I35" s="299"/>
      <c r="J35" s="299">
        <f>J34*J38</f>
        <v>137009.67231719999</v>
      </c>
      <c r="K35" s="299"/>
      <c r="L35" s="299">
        <f>+L34</f>
        <v>51900</v>
      </c>
      <c r="M35" s="299"/>
      <c r="N35" s="299">
        <f>+N34</f>
        <v>60697</v>
      </c>
      <c r="O35" s="299"/>
      <c r="P35" s="299">
        <f>+P34</f>
        <v>20000</v>
      </c>
      <c r="Q35" s="299"/>
      <c r="R35" s="299">
        <f>+R34</f>
        <v>92618</v>
      </c>
      <c r="S35" s="299"/>
      <c r="T35" s="299"/>
      <c r="U35" s="300"/>
      <c r="V35" s="299">
        <f>SUM(C35:R35)-1</f>
        <v>1070305.5039015999</v>
      </c>
      <c r="W35" s="301"/>
      <c r="X35" s="5"/>
    </row>
    <row r="36" spans="1:24" ht="15.6" x14ac:dyDescent="0.3">
      <c r="A36" s="292"/>
      <c r="B36" s="295" t="s">
        <v>298</v>
      </c>
      <c r="C36" s="302"/>
      <c r="D36" s="305">
        <f>D34*D37</f>
        <v>506968.81398239994</v>
      </c>
      <c r="E36" s="302"/>
      <c r="F36" s="305">
        <f>F34*F37</f>
        <v>81748.849999999991</v>
      </c>
      <c r="G36" s="305"/>
      <c r="H36" s="305">
        <f>H34*H37</f>
        <v>109967.2450384</v>
      </c>
      <c r="I36" s="305"/>
      <c r="J36" s="305">
        <f>J34*J37</f>
        <v>135191.42213279998</v>
      </c>
      <c r="K36" s="305"/>
      <c r="L36" s="305">
        <f>L34*L37</f>
        <v>51900</v>
      </c>
      <c r="M36" s="305"/>
      <c r="N36" s="305">
        <f>N34*N37</f>
        <v>60697</v>
      </c>
      <c r="O36" s="305"/>
      <c r="P36" s="305">
        <f>P34*P37</f>
        <v>20000</v>
      </c>
      <c r="Q36" s="305"/>
      <c r="R36" s="305">
        <f>R34*R37</f>
        <v>92618</v>
      </c>
      <c r="S36" s="328"/>
      <c r="T36" s="328"/>
      <c r="U36" s="300"/>
      <c r="V36" s="305">
        <f>SUM(C36:R36)</f>
        <v>1059091.3311536</v>
      </c>
      <c r="W36" s="301"/>
      <c r="X36" s="5"/>
    </row>
    <row r="37" spans="1:24" ht="15.6" x14ac:dyDescent="0.3">
      <c r="A37" s="287"/>
      <c r="B37" s="313" t="s">
        <v>130</v>
      </c>
      <c r="C37" s="314"/>
      <c r="D37" s="315">
        <v>0.65398959999999995</v>
      </c>
      <c r="E37" s="315"/>
      <c r="F37" s="315">
        <v>0.65399079999999998</v>
      </c>
      <c r="G37" s="315"/>
      <c r="H37" s="315">
        <v>0.65399079999999998</v>
      </c>
      <c r="I37" s="315"/>
      <c r="J37" s="315">
        <v>0.65398959999999995</v>
      </c>
      <c r="K37" s="315"/>
      <c r="L37" s="315">
        <v>1</v>
      </c>
      <c r="M37" s="315"/>
      <c r="N37" s="315">
        <v>1</v>
      </c>
      <c r="O37" s="315"/>
      <c r="P37" s="315">
        <v>1</v>
      </c>
      <c r="Q37" s="315"/>
      <c r="R37" s="315">
        <v>1</v>
      </c>
      <c r="S37" s="316"/>
      <c r="T37" s="316"/>
      <c r="U37" s="317"/>
      <c r="V37" s="317"/>
      <c r="W37" s="318"/>
      <c r="X37" s="5"/>
    </row>
    <row r="38" spans="1:24" ht="15.6" x14ac:dyDescent="0.3">
      <c r="A38" s="287"/>
      <c r="B38" s="313" t="s">
        <v>131</v>
      </c>
      <c r="C38" s="314"/>
      <c r="D38" s="315">
        <v>0.66278539999999997</v>
      </c>
      <c r="E38" s="315"/>
      <c r="F38" s="315">
        <v>0.6627866</v>
      </c>
      <c r="G38" s="315"/>
      <c r="H38" s="315">
        <v>0.6627866</v>
      </c>
      <c r="I38" s="315"/>
      <c r="J38" s="315">
        <v>0.66278539999999997</v>
      </c>
      <c r="K38" s="315"/>
      <c r="L38" s="315">
        <v>1</v>
      </c>
      <c r="M38" s="315"/>
      <c r="N38" s="315">
        <v>1</v>
      </c>
      <c r="O38" s="315"/>
      <c r="P38" s="315">
        <v>1</v>
      </c>
      <c r="Q38" s="315"/>
      <c r="R38" s="315">
        <v>1</v>
      </c>
      <c r="S38" s="319"/>
      <c r="T38" s="320"/>
      <c r="U38" s="317"/>
      <c r="V38" s="319"/>
      <c r="W38" s="318"/>
      <c r="X38" s="5"/>
    </row>
    <row r="39" spans="1:24" ht="15.6" x14ac:dyDescent="0.3">
      <c r="A39" s="287"/>
      <c r="B39" s="288" t="s">
        <v>11</v>
      </c>
      <c r="C39" s="288"/>
      <c r="D39" s="296" t="s">
        <v>321</v>
      </c>
      <c r="E39" s="288"/>
      <c r="F39" s="296" t="s">
        <v>231</v>
      </c>
      <c r="G39" s="296"/>
      <c r="H39" s="296" t="s">
        <v>231</v>
      </c>
      <c r="I39" s="296"/>
      <c r="J39" s="296" t="s">
        <v>231</v>
      </c>
      <c r="K39" s="296"/>
      <c r="L39" s="296" t="s">
        <v>265</v>
      </c>
      <c r="M39" s="296"/>
      <c r="N39" s="296" t="s">
        <v>265</v>
      </c>
      <c r="O39" s="296"/>
      <c r="P39" s="296" t="s">
        <v>266</v>
      </c>
      <c r="Q39" s="296"/>
      <c r="R39" s="296" t="s">
        <v>266</v>
      </c>
      <c r="S39" s="321"/>
      <c r="T39" s="322"/>
      <c r="U39" s="290"/>
      <c r="V39" s="290"/>
      <c r="W39" s="291"/>
      <c r="X39" s="5"/>
    </row>
    <row r="40" spans="1:24" ht="15.6" x14ac:dyDescent="0.3">
      <c r="A40" s="287"/>
      <c r="B40" s="288" t="s">
        <v>12</v>
      </c>
      <c r="C40" s="288"/>
      <c r="D40" s="322">
        <v>3.5109999999999998E-3</v>
      </c>
      <c r="E40" s="288"/>
      <c r="F40" s="322">
        <v>7.2062999999999997E-3</v>
      </c>
      <c r="G40" s="321"/>
      <c r="H40" s="322">
        <v>5.0400000000000002E-3</v>
      </c>
      <c r="I40" s="322"/>
      <c r="J40" s="322">
        <v>4.3334999999999997E-3</v>
      </c>
      <c r="K40" s="321"/>
      <c r="L40" s="322">
        <v>8.8062999999999995E-3</v>
      </c>
      <c r="M40" s="321"/>
      <c r="N40" s="322">
        <v>6.6400000000000001E-3</v>
      </c>
      <c r="O40" s="321"/>
      <c r="P40" s="322">
        <v>1.28063E-2</v>
      </c>
      <c r="Q40" s="321"/>
      <c r="R40" s="322">
        <v>1.064E-2</v>
      </c>
      <c r="S40" s="321"/>
      <c r="T40" s="322"/>
      <c r="U40" s="290"/>
      <c r="V40" s="296"/>
      <c r="W40" s="291"/>
      <c r="X40" s="5"/>
    </row>
    <row r="41" spans="1:24" ht="15.6" x14ac:dyDescent="0.3">
      <c r="A41" s="287"/>
      <c r="B41" s="288" t="s">
        <v>13</v>
      </c>
      <c r="C41" s="288"/>
      <c r="D41" s="322">
        <v>3.545E-3</v>
      </c>
      <c r="E41" s="288"/>
      <c r="F41" s="322">
        <v>7.2519000000000004E-3</v>
      </c>
      <c r="G41" s="321"/>
      <c r="H41" s="322">
        <v>4.7699999999999999E-3</v>
      </c>
      <c r="I41" s="322"/>
      <c r="J41" s="322">
        <v>4.4285000000000001E-3</v>
      </c>
      <c r="K41" s="321"/>
      <c r="L41" s="322">
        <v>8.8518999999999994E-3</v>
      </c>
      <c r="M41" s="321"/>
      <c r="N41" s="322">
        <v>6.3699999999999998E-3</v>
      </c>
      <c r="O41" s="321"/>
      <c r="P41" s="322">
        <v>1.2851899999999999E-2</v>
      </c>
      <c r="Q41" s="321"/>
      <c r="R41" s="322">
        <v>1.0370000000000001E-2</v>
      </c>
      <c r="S41" s="321"/>
      <c r="T41" s="322"/>
      <c r="U41" s="290"/>
      <c r="V41" s="321" t="s">
        <v>193</v>
      </c>
      <c r="W41" s="291"/>
      <c r="X41" s="5"/>
    </row>
    <row r="42" spans="1:24" ht="15.6" x14ac:dyDescent="0.3">
      <c r="A42" s="287"/>
      <c r="B42" s="288" t="s">
        <v>299</v>
      </c>
      <c r="C42" s="288"/>
      <c r="D42" s="296" t="s">
        <v>322</v>
      </c>
      <c r="E42" s="288"/>
      <c r="F42" s="296" t="s">
        <v>231</v>
      </c>
      <c r="G42" s="296"/>
      <c r="H42" s="296" t="s">
        <v>323</v>
      </c>
      <c r="I42" s="296"/>
      <c r="J42" s="296" t="s">
        <v>324</v>
      </c>
      <c r="K42" s="296"/>
      <c r="L42" s="296" t="s">
        <v>265</v>
      </c>
      <c r="M42" s="296"/>
      <c r="N42" s="296" t="s">
        <v>234</v>
      </c>
      <c r="O42" s="296"/>
      <c r="P42" s="296" t="s">
        <v>266</v>
      </c>
      <c r="Q42" s="296"/>
      <c r="R42" s="296" t="s">
        <v>264</v>
      </c>
      <c r="S42" s="321"/>
      <c r="T42" s="322"/>
      <c r="U42" s="290"/>
      <c r="V42" s="290"/>
      <c r="W42" s="291"/>
      <c r="X42" s="5"/>
    </row>
    <row r="43" spans="1:24" ht="15.6" x14ac:dyDescent="0.3">
      <c r="A43" s="287"/>
      <c r="B43" s="288" t="s">
        <v>300</v>
      </c>
      <c r="C43" s="323"/>
      <c r="D43" s="322">
        <v>7.5802999999999999E-3</v>
      </c>
      <c r="E43" s="322"/>
      <c r="F43" s="322">
        <f>+F40</f>
        <v>7.2062999999999997E-3</v>
      </c>
      <c r="G43" s="322"/>
      <c r="H43" s="322">
        <v>7.4863000000000004E-3</v>
      </c>
      <c r="I43" s="322"/>
      <c r="J43" s="322">
        <v>7.9322999999999998E-3</v>
      </c>
      <c r="K43" s="322"/>
      <c r="L43" s="322">
        <f>+L40</f>
        <v>8.8062999999999995E-3</v>
      </c>
      <c r="M43" s="322"/>
      <c r="N43" s="322">
        <v>9.3983000000000001E-3</v>
      </c>
      <c r="O43" s="322"/>
      <c r="P43" s="322">
        <f>+P40</f>
        <v>1.28063E-2</v>
      </c>
      <c r="Q43" s="321"/>
      <c r="R43" s="322">
        <v>1.3872300000000001E-2</v>
      </c>
      <c r="S43" s="296"/>
      <c r="T43" s="296"/>
      <c r="U43" s="290"/>
      <c r="V43" s="321">
        <f>SUMPRODUCT(D43:R43,D35:R35)/V35</f>
        <v>8.391304674428994E-3</v>
      </c>
      <c r="W43" s="291"/>
      <c r="X43" s="5"/>
    </row>
    <row r="44" spans="1:24" ht="15.6" x14ac:dyDescent="0.3">
      <c r="A44" s="287"/>
      <c r="B44" s="288" t="s">
        <v>301</v>
      </c>
      <c r="C44" s="323"/>
      <c r="D44" s="322">
        <v>7.6258999999999997E-3</v>
      </c>
      <c r="E44" s="322"/>
      <c r="F44" s="322">
        <f>+F41</f>
        <v>7.2519000000000004E-3</v>
      </c>
      <c r="G44" s="322"/>
      <c r="H44" s="322">
        <v>7.5319000000000002E-3</v>
      </c>
      <c r="I44" s="322"/>
      <c r="J44" s="322">
        <v>7.9778999999999996E-3</v>
      </c>
      <c r="K44" s="322"/>
      <c r="L44" s="322">
        <f>+L41</f>
        <v>8.8518999999999994E-3</v>
      </c>
      <c r="M44" s="322"/>
      <c r="N44" s="322">
        <v>9.4438999999999999E-3</v>
      </c>
      <c r="O44" s="322"/>
      <c r="P44" s="322">
        <f>+P41</f>
        <v>1.2851899999999999E-2</v>
      </c>
      <c r="Q44" s="321"/>
      <c r="R44" s="322">
        <v>1.39179E-2</v>
      </c>
      <c r="S44" s="296"/>
      <c r="T44" s="296"/>
      <c r="U44" s="290"/>
      <c r="V44" s="290"/>
      <c r="W44" s="291"/>
      <c r="X44" s="5"/>
    </row>
    <row r="45" spans="1:24" ht="15.6" x14ac:dyDescent="0.3">
      <c r="A45" s="287"/>
      <c r="B45" s="288" t="s">
        <v>14</v>
      </c>
      <c r="C45" s="288"/>
      <c r="D45" s="323">
        <v>40617</v>
      </c>
      <c r="E45" s="323"/>
      <c r="F45" s="323">
        <v>40617</v>
      </c>
      <c r="G45" s="323"/>
      <c r="H45" s="323">
        <v>40617</v>
      </c>
      <c r="I45" s="323"/>
      <c r="J45" s="323">
        <v>40617</v>
      </c>
      <c r="K45" s="323"/>
      <c r="L45" s="323">
        <v>40617</v>
      </c>
      <c r="M45" s="323"/>
      <c r="N45" s="323">
        <v>40617</v>
      </c>
      <c r="O45" s="323"/>
      <c r="P45" s="323">
        <v>40617</v>
      </c>
      <c r="Q45" s="323"/>
      <c r="R45" s="323">
        <v>40617</v>
      </c>
      <c r="S45" s="296"/>
      <c r="T45" s="296"/>
      <c r="U45" s="290"/>
      <c r="V45" s="290"/>
      <c r="W45" s="291"/>
      <c r="X45" s="5"/>
    </row>
    <row r="46" spans="1:24" ht="15.6" x14ac:dyDescent="0.3">
      <c r="A46" s="287"/>
      <c r="B46" s="288" t="s">
        <v>15</v>
      </c>
      <c r="C46" s="288"/>
      <c r="D46" s="323">
        <v>40983</v>
      </c>
      <c r="E46" s="323"/>
      <c r="F46" s="323">
        <v>40983</v>
      </c>
      <c r="G46" s="323"/>
      <c r="H46" s="323">
        <v>40983</v>
      </c>
      <c r="I46" s="323"/>
      <c r="J46" s="323">
        <v>40983</v>
      </c>
      <c r="K46" s="296"/>
      <c r="L46" s="323">
        <v>40983</v>
      </c>
      <c r="M46" s="296"/>
      <c r="N46" s="323">
        <v>40983</v>
      </c>
      <c r="O46" s="296"/>
      <c r="P46" s="323">
        <v>40983</v>
      </c>
      <c r="Q46" s="296"/>
      <c r="R46" s="323">
        <v>40983</v>
      </c>
      <c r="S46" s="296"/>
      <c r="T46" s="296"/>
      <c r="U46" s="290"/>
      <c r="V46" s="290"/>
      <c r="W46" s="291"/>
      <c r="X46" s="5"/>
    </row>
    <row r="47" spans="1:24" ht="15.6" x14ac:dyDescent="0.3">
      <c r="A47" s="287"/>
      <c r="B47" s="288" t="s">
        <v>119</v>
      </c>
      <c r="C47" s="288"/>
      <c r="D47" s="296" t="s">
        <v>231</v>
      </c>
      <c r="E47" s="288"/>
      <c r="F47" s="296" t="s">
        <v>231</v>
      </c>
      <c r="G47" s="296"/>
      <c r="H47" s="296" t="s">
        <v>231</v>
      </c>
      <c r="I47" s="296"/>
      <c r="J47" s="296" t="s">
        <v>231</v>
      </c>
      <c r="K47" s="296"/>
      <c r="L47" s="296" t="s">
        <v>265</v>
      </c>
      <c r="M47" s="296"/>
      <c r="N47" s="296" t="s">
        <v>265</v>
      </c>
      <c r="O47" s="296"/>
      <c r="P47" s="296" t="s">
        <v>266</v>
      </c>
      <c r="Q47" s="296"/>
      <c r="R47" s="296" t="s">
        <v>266</v>
      </c>
      <c r="S47" s="325"/>
      <c r="T47" s="325"/>
      <c r="U47" s="325"/>
      <c r="V47" s="325"/>
      <c r="W47" s="291"/>
      <c r="X47" s="5"/>
    </row>
    <row r="48" spans="1:24" ht="15.6" x14ac:dyDescent="0.3">
      <c r="A48" s="287"/>
      <c r="B48" s="288" t="s">
        <v>302</v>
      </c>
      <c r="C48" s="288"/>
      <c r="D48" s="296" t="s">
        <v>325</v>
      </c>
      <c r="E48" s="288"/>
      <c r="F48" s="296" t="s">
        <v>231</v>
      </c>
      <c r="G48" s="296"/>
      <c r="H48" s="296" t="s">
        <v>262</v>
      </c>
      <c r="I48" s="296"/>
      <c r="J48" s="296" t="s">
        <v>263</v>
      </c>
      <c r="K48" s="296"/>
      <c r="L48" s="296" t="s">
        <v>265</v>
      </c>
      <c r="M48" s="296"/>
      <c r="N48" s="296" t="s">
        <v>234</v>
      </c>
      <c r="O48" s="296"/>
      <c r="P48" s="296" t="s">
        <v>266</v>
      </c>
      <c r="Q48" s="296"/>
      <c r="R48" s="296" t="s">
        <v>264</v>
      </c>
      <c r="S48" s="288"/>
      <c r="T48" s="288"/>
      <c r="U48" s="288"/>
      <c r="V48" s="321"/>
      <c r="W48" s="291"/>
      <c r="X48" s="5"/>
    </row>
    <row r="49" spans="1:25" ht="15.6" x14ac:dyDescent="0.3">
      <c r="A49" s="287"/>
      <c r="B49" s="288"/>
      <c r="C49" s="288"/>
      <c r="D49" s="296"/>
      <c r="E49" s="288"/>
      <c r="F49" s="296"/>
      <c r="G49" s="296"/>
      <c r="H49" s="296"/>
      <c r="I49" s="296"/>
      <c r="J49" s="296"/>
      <c r="K49" s="296"/>
      <c r="L49" s="296"/>
      <c r="M49" s="296"/>
      <c r="N49" s="296"/>
      <c r="O49" s="296"/>
      <c r="P49" s="296"/>
      <c r="Q49" s="296"/>
      <c r="R49" s="296"/>
      <c r="S49" s="288"/>
      <c r="T49" s="288"/>
      <c r="U49" s="288"/>
      <c r="V49" s="321" t="s">
        <v>193</v>
      </c>
      <c r="W49" s="291"/>
      <c r="X49" s="5"/>
    </row>
    <row r="50" spans="1:25" ht="15.6" x14ac:dyDescent="0.3">
      <c r="A50" s="287"/>
      <c r="B50" s="288" t="s">
        <v>169</v>
      </c>
      <c r="C50" s="288"/>
      <c r="D50" s="296"/>
      <c r="E50" s="288"/>
      <c r="F50" s="296"/>
      <c r="G50" s="296"/>
      <c r="H50" s="296"/>
      <c r="I50" s="296"/>
      <c r="J50" s="296"/>
      <c r="K50" s="296"/>
      <c r="L50" s="296"/>
      <c r="M50" s="296"/>
      <c r="N50" s="296"/>
      <c r="O50" s="296"/>
      <c r="P50" s="296"/>
      <c r="Q50" s="296"/>
      <c r="R50" s="296"/>
      <c r="S50" s="288"/>
      <c r="T50" s="288"/>
      <c r="U50" s="288"/>
      <c r="V50" s="321">
        <f>SUM(L34:R34)/SUM(D34:J34)</f>
        <v>0.17663090364375009</v>
      </c>
      <c r="W50" s="291"/>
      <c r="X50" s="5"/>
    </row>
    <row r="51" spans="1:25" ht="15.6" x14ac:dyDescent="0.3">
      <c r="A51" s="287"/>
      <c r="B51" s="288" t="s">
        <v>170</v>
      </c>
      <c r="C51" s="288"/>
      <c r="D51" s="288"/>
      <c r="E51" s="288"/>
      <c r="F51" s="326"/>
      <c r="G51" s="288"/>
      <c r="H51" s="288"/>
      <c r="I51" s="288"/>
      <c r="J51" s="288"/>
      <c r="K51" s="288"/>
      <c r="L51" s="288"/>
      <c r="M51" s="288"/>
      <c r="N51" s="288"/>
      <c r="O51" s="288"/>
      <c r="P51" s="288"/>
      <c r="Q51" s="288"/>
      <c r="R51" s="288"/>
      <c r="S51" s="288"/>
      <c r="T51" s="288"/>
      <c r="U51" s="288"/>
      <c r="V51" s="321">
        <f>SUM(L36:R36)/SUM(D36:J36)</f>
        <v>0.27008201526530129</v>
      </c>
      <c r="W51" s="291"/>
      <c r="X51" s="5"/>
    </row>
    <row r="52" spans="1:25" ht="15.6" x14ac:dyDescent="0.3">
      <c r="A52" s="287"/>
      <c r="B52" s="288" t="s">
        <v>171</v>
      </c>
      <c r="C52" s="288"/>
      <c r="D52" s="288"/>
      <c r="E52" s="288"/>
      <c r="F52" s="288"/>
      <c r="G52" s="288"/>
      <c r="H52" s="288"/>
      <c r="I52" s="288"/>
      <c r="J52" s="288"/>
      <c r="K52" s="288"/>
      <c r="L52" s="288"/>
      <c r="M52" s="288"/>
      <c r="N52" s="288"/>
      <c r="O52" s="288"/>
      <c r="P52" s="288"/>
      <c r="Q52" s="288"/>
      <c r="R52" s="288"/>
      <c r="S52" s="288"/>
      <c r="T52" s="296"/>
      <c r="U52" s="296"/>
      <c r="V52" s="299" t="s">
        <v>276</v>
      </c>
      <c r="W52" s="291"/>
      <c r="X52" s="5"/>
    </row>
    <row r="53" spans="1:25" ht="15.6" x14ac:dyDescent="0.3">
      <c r="A53" s="287"/>
      <c r="B53" s="288"/>
      <c r="C53" s="288"/>
      <c r="D53" s="288"/>
      <c r="E53" s="288"/>
      <c r="F53" s="288"/>
      <c r="G53" s="288"/>
      <c r="H53" s="288"/>
      <c r="I53" s="288"/>
      <c r="J53" s="288"/>
      <c r="K53" s="288"/>
      <c r="L53" s="288"/>
      <c r="M53" s="288"/>
      <c r="N53" s="288"/>
      <c r="O53" s="288"/>
      <c r="P53" s="288"/>
      <c r="Q53" s="288"/>
      <c r="R53" s="288"/>
      <c r="S53" s="288"/>
      <c r="T53" s="288"/>
      <c r="U53" s="288"/>
      <c r="V53" s="327"/>
      <c r="W53" s="291"/>
      <c r="X53" s="5"/>
    </row>
    <row r="54" spans="1:25" ht="15.6" x14ac:dyDescent="0.3">
      <c r="A54" s="287"/>
      <c r="B54" s="288" t="s">
        <v>202</v>
      </c>
      <c r="C54" s="288"/>
      <c r="D54" s="288"/>
      <c r="E54" s="288"/>
      <c r="F54" s="288"/>
      <c r="G54" s="288"/>
      <c r="H54" s="288"/>
      <c r="I54" s="288"/>
      <c r="J54" s="288"/>
      <c r="K54" s="288"/>
      <c r="L54" s="288"/>
      <c r="M54" s="288"/>
      <c r="N54" s="288"/>
      <c r="O54" s="288"/>
      <c r="P54" s="288"/>
      <c r="Q54" s="288"/>
      <c r="R54" s="288"/>
      <c r="S54" s="288"/>
      <c r="T54" s="288"/>
      <c r="U54" s="288"/>
      <c r="V54" s="328" t="s">
        <v>203</v>
      </c>
      <c r="W54" s="291"/>
      <c r="X54" s="5"/>
    </row>
    <row r="55" spans="1:25" ht="15.6" x14ac:dyDescent="0.3">
      <c r="A55" s="287"/>
      <c r="B55" s="288" t="s">
        <v>280</v>
      </c>
      <c r="C55" s="288"/>
      <c r="D55" s="288"/>
      <c r="E55" s="288"/>
      <c r="F55" s="288"/>
      <c r="G55" s="288"/>
      <c r="H55" s="288"/>
      <c r="I55" s="288"/>
      <c r="J55" s="288"/>
      <c r="K55" s="288"/>
      <c r="L55" s="288"/>
      <c r="M55" s="288"/>
      <c r="N55" s="288"/>
      <c r="O55" s="288"/>
      <c r="P55" s="288"/>
      <c r="Q55" s="288"/>
      <c r="R55" s="288"/>
      <c r="S55" s="288"/>
      <c r="T55" s="296"/>
      <c r="U55" s="296"/>
      <c r="V55" s="329" t="s">
        <v>111</v>
      </c>
      <c r="W55" s="291"/>
      <c r="X55" s="5"/>
    </row>
    <row r="56" spans="1:25" ht="15.6" x14ac:dyDescent="0.3">
      <c r="A56" s="287"/>
      <c r="B56" s="295" t="s">
        <v>201</v>
      </c>
      <c r="C56" s="295"/>
      <c r="D56" s="295"/>
      <c r="E56" s="295"/>
      <c r="F56" s="295"/>
      <c r="G56" s="295"/>
      <c r="H56" s="295"/>
      <c r="I56" s="295"/>
      <c r="J56" s="295"/>
      <c r="K56" s="295"/>
      <c r="L56" s="295"/>
      <c r="M56" s="295"/>
      <c r="N56" s="295"/>
      <c r="O56" s="295"/>
      <c r="P56" s="295"/>
      <c r="Q56" s="295"/>
      <c r="R56" s="295"/>
      <c r="S56" s="295"/>
      <c r="T56" s="330"/>
      <c r="U56" s="330"/>
      <c r="V56" s="331">
        <v>41806</v>
      </c>
      <c r="W56" s="291"/>
      <c r="X56" s="5"/>
    </row>
    <row r="57" spans="1:25" ht="15.6" x14ac:dyDescent="0.3">
      <c r="A57" s="287"/>
      <c r="B57" s="288" t="s">
        <v>121</v>
      </c>
      <c r="C57" s="288"/>
      <c r="D57" s="288"/>
      <c r="E57" s="288"/>
      <c r="F57" s="288"/>
      <c r="G57" s="288"/>
      <c r="H57" s="332"/>
      <c r="I57" s="332"/>
      <c r="J57" s="332"/>
      <c r="K57" s="332"/>
      <c r="L57" s="332"/>
      <c r="M57" s="332"/>
      <c r="N57" s="332"/>
      <c r="O57" s="332"/>
      <c r="P57" s="332"/>
      <c r="Q57" s="332"/>
      <c r="R57" s="288">
        <f>+V57-T57+1</f>
        <v>91</v>
      </c>
      <c r="S57" s="332"/>
      <c r="T57" s="333">
        <v>41624</v>
      </c>
      <c r="U57" s="334"/>
      <c r="V57" s="333">
        <v>41714</v>
      </c>
      <c r="W57" s="291"/>
      <c r="X57" s="5"/>
    </row>
    <row r="58" spans="1:25" ht="15.6" x14ac:dyDescent="0.3">
      <c r="A58" s="287"/>
      <c r="B58" s="288" t="s">
        <v>122</v>
      </c>
      <c r="C58" s="288"/>
      <c r="D58" s="288"/>
      <c r="E58" s="288"/>
      <c r="F58" s="288"/>
      <c r="G58" s="288"/>
      <c r="H58" s="288"/>
      <c r="I58" s="288"/>
      <c r="J58" s="288"/>
      <c r="K58" s="288"/>
      <c r="L58" s="288"/>
      <c r="M58" s="288"/>
      <c r="N58" s="288"/>
      <c r="O58" s="288"/>
      <c r="P58" s="288"/>
      <c r="Q58" s="288"/>
      <c r="R58" s="288">
        <f>+V58-T58+1</f>
        <v>91</v>
      </c>
      <c r="S58" s="288"/>
      <c r="T58" s="333">
        <v>41715</v>
      </c>
      <c r="U58" s="334"/>
      <c r="V58" s="333">
        <v>41805</v>
      </c>
      <c r="W58" s="291"/>
      <c r="X58" s="5"/>
    </row>
    <row r="59" spans="1:25" ht="15.6" x14ac:dyDescent="0.3">
      <c r="A59" s="287"/>
      <c r="B59" s="288" t="s">
        <v>229</v>
      </c>
      <c r="C59" s="288"/>
      <c r="D59" s="288"/>
      <c r="E59" s="288"/>
      <c r="F59" s="288"/>
      <c r="G59" s="288"/>
      <c r="H59" s="288"/>
      <c r="I59" s="288"/>
      <c r="J59" s="288"/>
      <c r="K59" s="288"/>
      <c r="L59" s="288"/>
      <c r="M59" s="288"/>
      <c r="N59" s="288"/>
      <c r="O59" s="288"/>
      <c r="P59" s="288"/>
      <c r="Q59" s="288"/>
      <c r="R59" s="288"/>
      <c r="S59" s="288"/>
      <c r="T59" s="333"/>
      <c r="U59" s="334"/>
      <c r="V59" s="333" t="s">
        <v>120</v>
      </c>
      <c r="W59" s="291"/>
      <c r="X59" s="5"/>
    </row>
    <row r="60" spans="1:25" ht="15.6" x14ac:dyDescent="0.3">
      <c r="A60" s="287"/>
      <c r="B60" s="288" t="s">
        <v>228</v>
      </c>
      <c r="C60" s="288"/>
      <c r="D60" s="288"/>
      <c r="E60" s="288"/>
      <c r="F60" s="288"/>
      <c r="G60" s="288"/>
      <c r="H60" s="288"/>
      <c r="I60" s="288"/>
      <c r="J60" s="288"/>
      <c r="K60" s="288"/>
      <c r="L60" s="288"/>
      <c r="M60" s="288"/>
      <c r="N60" s="288"/>
      <c r="O60" s="288"/>
      <c r="P60" s="288"/>
      <c r="Q60" s="288"/>
      <c r="R60" s="288"/>
      <c r="S60" s="288"/>
      <c r="T60" s="333"/>
      <c r="U60" s="334"/>
      <c r="V60" s="333" t="s">
        <v>154</v>
      </c>
      <c r="W60" s="291"/>
      <c r="X60" s="5"/>
      <c r="Y60" s="134"/>
    </row>
    <row r="61" spans="1:25" ht="15.6" x14ac:dyDescent="0.3">
      <c r="A61" s="287"/>
      <c r="B61" s="288" t="s">
        <v>16</v>
      </c>
      <c r="C61" s="288"/>
      <c r="D61" s="288"/>
      <c r="E61" s="288"/>
      <c r="F61" s="288"/>
      <c r="G61" s="288"/>
      <c r="H61" s="288"/>
      <c r="I61" s="288"/>
      <c r="J61" s="288"/>
      <c r="K61" s="288"/>
      <c r="L61" s="288"/>
      <c r="M61" s="288"/>
      <c r="N61" s="288"/>
      <c r="O61" s="288"/>
      <c r="P61" s="288"/>
      <c r="Q61" s="288"/>
      <c r="R61" s="288"/>
      <c r="S61" s="288"/>
      <c r="T61" s="333"/>
      <c r="U61" s="334"/>
      <c r="V61" s="333">
        <v>41792</v>
      </c>
      <c r="W61" s="291"/>
      <c r="X61" s="5"/>
    </row>
    <row r="62" spans="1:25" ht="15.6" x14ac:dyDescent="0.3">
      <c r="A62" s="183"/>
      <c r="B62" s="284"/>
      <c r="C62" s="284"/>
      <c r="D62" s="284"/>
      <c r="E62" s="284"/>
      <c r="F62" s="284"/>
      <c r="G62" s="284"/>
      <c r="H62" s="284"/>
      <c r="I62" s="284"/>
      <c r="J62" s="284"/>
      <c r="K62" s="284"/>
      <c r="L62" s="284"/>
      <c r="M62" s="284"/>
      <c r="N62" s="284"/>
      <c r="O62" s="284"/>
      <c r="P62" s="284"/>
      <c r="Q62" s="284"/>
      <c r="R62" s="284"/>
      <c r="S62" s="284"/>
      <c r="T62" s="285"/>
      <c r="U62" s="286"/>
      <c r="V62" s="285"/>
      <c r="W62" s="284"/>
      <c r="X62" s="5"/>
    </row>
    <row r="63" spans="1:25" ht="15.6" x14ac:dyDescent="0.3">
      <c r="A63" s="183"/>
      <c r="B63" s="224"/>
      <c r="C63" s="224"/>
      <c r="D63" s="224"/>
      <c r="E63" s="224"/>
      <c r="F63" s="224"/>
      <c r="G63" s="224"/>
      <c r="H63" s="224"/>
      <c r="I63" s="224"/>
      <c r="J63" s="224"/>
      <c r="K63" s="224"/>
      <c r="L63" s="224"/>
      <c r="M63" s="224"/>
      <c r="N63" s="224"/>
      <c r="O63" s="224"/>
      <c r="P63" s="224"/>
      <c r="Q63" s="224"/>
      <c r="R63" s="224"/>
      <c r="S63" s="224"/>
      <c r="T63" s="235"/>
      <c r="U63" s="236"/>
      <c r="V63" s="235"/>
      <c r="W63" s="224"/>
      <c r="X63" s="5"/>
    </row>
    <row r="64" spans="1:25" ht="18" thickBot="1" x14ac:dyDescent="0.35">
      <c r="A64" s="199"/>
      <c r="B64" s="237" t="s">
        <v>345</v>
      </c>
      <c r="C64" s="238"/>
      <c r="D64" s="238"/>
      <c r="E64" s="238"/>
      <c r="F64" s="238"/>
      <c r="G64" s="238"/>
      <c r="H64" s="238"/>
      <c r="I64" s="238"/>
      <c r="J64" s="238"/>
      <c r="K64" s="238"/>
      <c r="L64" s="238"/>
      <c r="M64" s="238"/>
      <c r="N64" s="238"/>
      <c r="O64" s="238"/>
      <c r="P64" s="238"/>
      <c r="Q64" s="238"/>
      <c r="R64" s="238"/>
      <c r="S64" s="238"/>
      <c r="T64" s="238"/>
      <c r="U64" s="238"/>
      <c r="V64" s="239"/>
      <c r="W64" s="240"/>
      <c r="X64" s="5"/>
    </row>
    <row r="65" spans="1:24" ht="15.6" x14ac:dyDescent="0.3">
      <c r="A65" s="262"/>
      <c r="B65" s="399" t="s">
        <v>17</v>
      </c>
      <c r="C65" s="263"/>
      <c r="D65" s="263"/>
      <c r="E65" s="263"/>
      <c r="F65" s="263"/>
      <c r="G65" s="263"/>
      <c r="H65" s="263"/>
      <c r="I65" s="263"/>
      <c r="J65" s="263"/>
      <c r="K65" s="263"/>
      <c r="L65" s="263"/>
      <c r="M65" s="263"/>
      <c r="N65" s="263"/>
      <c r="O65" s="263"/>
      <c r="P65" s="263"/>
      <c r="Q65" s="263"/>
      <c r="R65" s="263"/>
      <c r="S65" s="263"/>
      <c r="T65" s="263"/>
      <c r="U65" s="263"/>
      <c r="V65" s="268"/>
      <c r="W65" s="263"/>
      <c r="X65" s="5"/>
    </row>
    <row r="66" spans="1:24" ht="15.6" x14ac:dyDescent="0.3">
      <c r="A66" s="183"/>
      <c r="B66" s="191"/>
      <c r="C66" s="185"/>
      <c r="D66" s="185"/>
      <c r="E66" s="185"/>
      <c r="F66" s="185"/>
      <c r="G66" s="185"/>
      <c r="H66" s="185"/>
      <c r="I66" s="185"/>
      <c r="J66" s="185"/>
      <c r="K66" s="185"/>
      <c r="L66" s="185"/>
      <c r="M66" s="185"/>
      <c r="N66" s="185"/>
      <c r="O66" s="185"/>
      <c r="P66" s="185"/>
      <c r="Q66" s="185"/>
      <c r="R66" s="185"/>
      <c r="S66" s="185"/>
      <c r="T66" s="185"/>
      <c r="U66" s="185"/>
      <c r="V66" s="201"/>
      <c r="W66" s="185"/>
      <c r="X66" s="5"/>
    </row>
    <row r="67" spans="1:24" ht="46.8" x14ac:dyDescent="0.3">
      <c r="A67" s="183"/>
      <c r="B67" s="202" t="s">
        <v>18</v>
      </c>
      <c r="C67" s="203"/>
      <c r="D67" s="203"/>
      <c r="E67" s="203"/>
      <c r="F67" s="203"/>
      <c r="G67" s="203"/>
      <c r="H67" s="203"/>
      <c r="I67" s="203"/>
      <c r="J67" s="203"/>
      <c r="K67" s="203"/>
      <c r="L67" s="203" t="s">
        <v>94</v>
      </c>
      <c r="M67" s="203"/>
      <c r="N67" s="203" t="s">
        <v>96</v>
      </c>
      <c r="O67" s="203"/>
      <c r="P67" s="203" t="s">
        <v>98</v>
      </c>
      <c r="Q67" s="203"/>
      <c r="R67" s="203" t="s">
        <v>100</v>
      </c>
      <c r="S67" s="203"/>
      <c r="T67" s="203" t="s">
        <v>106</v>
      </c>
      <c r="U67" s="203"/>
      <c r="V67" s="204" t="s">
        <v>112</v>
      </c>
      <c r="W67" s="205"/>
      <c r="X67" s="5"/>
    </row>
    <row r="68" spans="1:24" ht="15.6" x14ac:dyDescent="0.3">
      <c r="A68" s="287"/>
      <c r="B68" s="288" t="s">
        <v>19</v>
      </c>
      <c r="C68" s="337"/>
      <c r="D68" s="337"/>
      <c r="E68" s="337"/>
      <c r="F68" s="337"/>
      <c r="G68" s="337"/>
      <c r="H68" s="337"/>
      <c r="I68" s="337"/>
      <c r="J68" s="337"/>
      <c r="K68" s="337"/>
      <c r="L68" s="337">
        <v>1158015</v>
      </c>
      <c r="M68" s="337"/>
      <c r="N68" s="338">
        <v>1070306</v>
      </c>
      <c r="O68" s="337"/>
      <c r="P68" s="337">
        <f>11215+53</f>
        <v>11268</v>
      </c>
      <c r="Q68" s="337"/>
      <c r="R68" s="337">
        <v>53</v>
      </c>
      <c r="S68" s="337"/>
      <c r="T68" s="337">
        <v>0</v>
      </c>
      <c r="U68" s="337"/>
      <c r="V68" s="338">
        <f>+N68-P68+R68-T68</f>
        <v>1059091</v>
      </c>
      <c r="W68" s="291"/>
      <c r="X68" s="5"/>
    </row>
    <row r="69" spans="1:24" ht="15.6" x14ac:dyDescent="0.3">
      <c r="A69" s="287"/>
      <c r="B69" s="288" t="s">
        <v>20</v>
      </c>
      <c r="C69" s="337"/>
      <c r="D69" s="337"/>
      <c r="E69" s="337"/>
      <c r="F69" s="337"/>
      <c r="G69" s="337"/>
      <c r="H69" s="337"/>
      <c r="I69" s="337"/>
      <c r="J69" s="337"/>
      <c r="K69" s="337"/>
      <c r="L69" s="337">
        <v>15</v>
      </c>
      <c r="M69" s="337"/>
      <c r="N69" s="338">
        <v>0</v>
      </c>
      <c r="O69" s="337"/>
      <c r="P69" s="337">
        <v>0</v>
      </c>
      <c r="Q69" s="337"/>
      <c r="R69" s="337">
        <v>0</v>
      </c>
      <c r="S69" s="337"/>
      <c r="T69" s="337">
        <v>0</v>
      </c>
      <c r="U69" s="337"/>
      <c r="V69" s="338">
        <v>0</v>
      </c>
      <c r="W69" s="291"/>
      <c r="X69" s="5"/>
    </row>
    <row r="70" spans="1:24" ht="15.6" x14ac:dyDescent="0.3">
      <c r="A70" s="287"/>
      <c r="B70" s="288"/>
      <c r="C70" s="337"/>
      <c r="D70" s="337"/>
      <c r="E70" s="337"/>
      <c r="F70" s="337"/>
      <c r="G70" s="337"/>
      <c r="H70" s="337"/>
      <c r="I70" s="337"/>
      <c r="J70" s="337"/>
      <c r="K70" s="337"/>
      <c r="L70" s="337"/>
      <c r="M70" s="337"/>
      <c r="N70" s="338"/>
      <c r="O70" s="337"/>
      <c r="P70" s="337"/>
      <c r="Q70" s="337"/>
      <c r="R70" s="337"/>
      <c r="S70" s="337"/>
      <c r="T70" s="337"/>
      <c r="U70" s="337"/>
      <c r="V70" s="338"/>
      <c r="W70" s="291"/>
      <c r="X70" s="5"/>
    </row>
    <row r="71" spans="1:24" ht="15.6" x14ac:dyDescent="0.3">
      <c r="A71" s="287"/>
      <c r="B71" s="288" t="s">
        <v>21</v>
      </c>
      <c r="C71" s="337"/>
      <c r="D71" s="337"/>
      <c r="E71" s="337"/>
      <c r="F71" s="337"/>
      <c r="G71" s="337"/>
      <c r="H71" s="337"/>
      <c r="I71" s="337"/>
      <c r="J71" s="337"/>
      <c r="K71" s="337"/>
      <c r="L71" s="337">
        <f>SUM(L68:L70)</f>
        <v>1158030</v>
      </c>
      <c r="M71" s="337"/>
      <c r="N71" s="337">
        <f>N68+N69</f>
        <v>1070306</v>
      </c>
      <c r="O71" s="337"/>
      <c r="P71" s="337">
        <f>SUM(P68:P70)</f>
        <v>11268</v>
      </c>
      <c r="Q71" s="337"/>
      <c r="R71" s="337">
        <f>SUM(R68:R70)</f>
        <v>53</v>
      </c>
      <c r="S71" s="337"/>
      <c r="T71" s="337">
        <f>SUM(T68:T70)</f>
        <v>0</v>
      </c>
      <c r="U71" s="337"/>
      <c r="V71" s="337">
        <f>SUM(V68:V70)</f>
        <v>1059091</v>
      </c>
      <c r="W71" s="291"/>
      <c r="X71" s="5"/>
    </row>
    <row r="72" spans="1:24" ht="15.6" x14ac:dyDescent="0.3">
      <c r="A72" s="183"/>
      <c r="B72" s="198"/>
      <c r="C72" s="335"/>
      <c r="D72" s="335"/>
      <c r="E72" s="335"/>
      <c r="F72" s="335"/>
      <c r="G72" s="335"/>
      <c r="H72" s="335"/>
      <c r="I72" s="335"/>
      <c r="J72" s="335"/>
      <c r="K72" s="335"/>
      <c r="L72" s="335"/>
      <c r="M72" s="335"/>
      <c r="N72" s="335"/>
      <c r="O72" s="335"/>
      <c r="P72" s="335"/>
      <c r="Q72" s="335"/>
      <c r="R72" s="335"/>
      <c r="S72" s="335"/>
      <c r="T72" s="335"/>
      <c r="U72" s="335"/>
      <c r="V72" s="336"/>
      <c r="W72" s="198"/>
      <c r="X72" s="5"/>
    </row>
    <row r="73" spans="1:24" ht="15.6" x14ac:dyDescent="0.3">
      <c r="A73" s="183"/>
      <c r="B73" s="187" t="s">
        <v>22</v>
      </c>
      <c r="C73" s="206"/>
      <c r="D73" s="206"/>
      <c r="E73" s="206"/>
      <c r="F73" s="206"/>
      <c r="G73" s="206"/>
      <c r="H73" s="206"/>
      <c r="I73" s="206"/>
      <c r="J73" s="206"/>
      <c r="K73" s="206"/>
      <c r="L73" s="206"/>
      <c r="M73" s="206"/>
      <c r="N73" s="206"/>
      <c r="O73" s="206"/>
      <c r="P73" s="206"/>
      <c r="Q73" s="206"/>
      <c r="R73" s="206"/>
      <c r="S73" s="206"/>
      <c r="T73" s="206"/>
      <c r="U73" s="206"/>
      <c r="V73" s="207"/>
      <c r="W73" s="185"/>
      <c r="X73" s="5"/>
    </row>
    <row r="74" spans="1:24" ht="15.6" x14ac:dyDescent="0.3">
      <c r="A74" s="183"/>
      <c r="B74" s="185"/>
      <c r="C74" s="206"/>
      <c r="D74" s="206"/>
      <c r="E74" s="206"/>
      <c r="F74" s="206"/>
      <c r="G74" s="206"/>
      <c r="H74" s="206"/>
      <c r="I74" s="206"/>
      <c r="J74" s="206"/>
      <c r="K74" s="206"/>
      <c r="L74" s="206"/>
      <c r="M74" s="206"/>
      <c r="N74" s="206"/>
      <c r="O74" s="206"/>
      <c r="P74" s="206"/>
      <c r="Q74" s="206"/>
      <c r="R74" s="206"/>
      <c r="S74" s="206"/>
      <c r="T74" s="206"/>
      <c r="U74" s="206"/>
      <c r="V74" s="207"/>
      <c r="W74" s="185"/>
      <c r="X74" s="5"/>
    </row>
    <row r="75" spans="1:24" ht="15.6" x14ac:dyDescent="0.3">
      <c r="A75" s="340"/>
      <c r="B75" s="288" t="s">
        <v>19</v>
      </c>
      <c r="C75" s="337"/>
      <c r="D75" s="337"/>
      <c r="E75" s="337"/>
      <c r="F75" s="337"/>
      <c r="G75" s="337"/>
      <c r="H75" s="337"/>
      <c r="I75" s="337"/>
      <c r="J75" s="337"/>
      <c r="K75" s="337"/>
      <c r="L75" s="337"/>
      <c r="M75" s="337"/>
      <c r="N75" s="337"/>
      <c r="O75" s="337"/>
      <c r="P75" s="337"/>
      <c r="Q75" s="337"/>
      <c r="R75" s="337"/>
      <c r="S75" s="337"/>
      <c r="T75" s="337"/>
      <c r="U75" s="337"/>
      <c r="V75" s="337"/>
      <c r="W75" s="291"/>
      <c r="X75" s="5"/>
    </row>
    <row r="76" spans="1:24" ht="15.6" x14ac:dyDescent="0.3">
      <c r="A76" s="340"/>
      <c r="B76" s="288" t="s">
        <v>20</v>
      </c>
      <c r="C76" s="337"/>
      <c r="D76" s="337"/>
      <c r="E76" s="337"/>
      <c r="F76" s="337"/>
      <c r="G76" s="337"/>
      <c r="H76" s="337"/>
      <c r="I76" s="337"/>
      <c r="J76" s="337"/>
      <c r="K76" s="337"/>
      <c r="L76" s="337"/>
      <c r="M76" s="337"/>
      <c r="N76" s="337"/>
      <c r="O76" s="337"/>
      <c r="P76" s="337"/>
      <c r="Q76" s="337"/>
      <c r="R76" s="337"/>
      <c r="S76" s="337"/>
      <c r="T76" s="337"/>
      <c r="U76" s="337"/>
      <c r="V76" s="337"/>
      <c r="W76" s="291"/>
      <c r="X76" s="5"/>
    </row>
    <row r="77" spans="1:24" ht="15.6" x14ac:dyDescent="0.3">
      <c r="A77" s="340"/>
      <c r="B77" s="288"/>
      <c r="C77" s="337"/>
      <c r="D77" s="337"/>
      <c r="E77" s="337"/>
      <c r="F77" s="337"/>
      <c r="G77" s="337"/>
      <c r="H77" s="337"/>
      <c r="I77" s="337"/>
      <c r="J77" s="337"/>
      <c r="K77" s="337"/>
      <c r="L77" s="337"/>
      <c r="M77" s="337"/>
      <c r="N77" s="337"/>
      <c r="O77" s="337"/>
      <c r="P77" s="337"/>
      <c r="Q77" s="337"/>
      <c r="R77" s="337"/>
      <c r="S77" s="337"/>
      <c r="T77" s="337"/>
      <c r="U77" s="337"/>
      <c r="V77" s="337"/>
      <c r="W77" s="291"/>
      <c r="X77" s="5"/>
    </row>
    <row r="78" spans="1:24" ht="15.6" x14ac:dyDescent="0.3">
      <c r="A78" s="340"/>
      <c r="B78" s="288" t="s">
        <v>21</v>
      </c>
      <c r="C78" s="337"/>
      <c r="D78" s="337"/>
      <c r="E78" s="337"/>
      <c r="F78" s="337"/>
      <c r="G78" s="337"/>
      <c r="H78" s="337"/>
      <c r="I78" s="337"/>
      <c r="J78" s="337"/>
      <c r="K78" s="337"/>
      <c r="L78" s="337"/>
      <c r="M78" s="337"/>
      <c r="N78" s="337"/>
      <c r="O78" s="337"/>
      <c r="P78" s="337"/>
      <c r="Q78" s="337"/>
      <c r="R78" s="337"/>
      <c r="S78" s="337"/>
      <c r="T78" s="337"/>
      <c r="U78" s="337"/>
      <c r="V78" s="337"/>
      <c r="W78" s="291"/>
      <c r="X78" s="5"/>
    </row>
    <row r="79" spans="1:24" ht="15.6" x14ac:dyDescent="0.3">
      <c r="A79" s="340"/>
      <c r="B79" s="288"/>
      <c r="C79" s="337"/>
      <c r="D79" s="337"/>
      <c r="E79" s="337"/>
      <c r="F79" s="337"/>
      <c r="G79" s="337"/>
      <c r="H79" s="337"/>
      <c r="I79" s="337"/>
      <c r="J79" s="337"/>
      <c r="K79" s="337"/>
      <c r="L79" s="337"/>
      <c r="M79" s="337"/>
      <c r="N79" s="337"/>
      <c r="O79" s="337"/>
      <c r="P79" s="337"/>
      <c r="Q79" s="337"/>
      <c r="R79" s="337"/>
      <c r="S79" s="337"/>
      <c r="T79" s="337"/>
      <c r="U79" s="337"/>
      <c r="V79" s="337"/>
      <c r="W79" s="291"/>
      <c r="X79" s="5"/>
    </row>
    <row r="80" spans="1:24" ht="15.6" x14ac:dyDescent="0.3">
      <c r="A80" s="340"/>
      <c r="B80" s="288" t="s">
        <v>23</v>
      </c>
      <c r="C80" s="337"/>
      <c r="D80" s="337"/>
      <c r="E80" s="337"/>
      <c r="F80" s="337"/>
      <c r="G80" s="337"/>
      <c r="H80" s="337"/>
      <c r="I80" s="337"/>
      <c r="J80" s="337"/>
      <c r="K80" s="337"/>
      <c r="L80" s="337">
        <v>0</v>
      </c>
      <c r="M80" s="337"/>
      <c r="N80" s="337">
        <v>0</v>
      </c>
      <c r="O80" s="337"/>
      <c r="P80" s="337"/>
      <c r="Q80" s="337"/>
      <c r="R80" s="337"/>
      <c r="S80" s="337"/>
      <c r="T80" s="337"/>
      <c r="U80" s="337"/>
      <c r="V80" s="338">
        <v>0</v>
      </c>
      <c r="W80" s="291"/>
      <c r="X80" s="5"/>
    </row>
    <row r="81" spans="1:24" ht="15.6" x14ac:dyDescent="0.3">
      <c r="A81" s="340"/>
      <c r="B81" s="288" t="s">
        <v>117</v>
      </c>
      <c r="C81" s="337"/>
      <c r="D81" s="337"/>
      <c r="E81" s="337"/>
      <c r="F81" s="337"/>
      <c r="G81" s="337"/>
      <c r="H81" s="337"/>
      <c r="I81" s="337"/>
      <c r="J81" s="337"/>
      <c r="K81" s="337"/>
      <c r="L81" s="337">
        <v>342245</v>
      </c>
      <c r="M81" s="337"/>
      <c r="N81" s="337">
        <v>0</v>
      </c>
      <c r="O81" s="337"/>
      <c r="P81" s="337">
        <v>0</v>
      </c>
      <c r="Q81" s="337"/>
      <c r="R81" s="337"/>
      <c r="S81" s="337"/>
      <c r="T81" s="337"/>
      <c r="U81" s="337"/>
      <c r="V81" s="337">
        <f>SUM(N81:R81)</f>
        <v>0</v>
      </c>
      <c r="W81" s="291"/>
      <c r="X81" s="5"/>
    </row>
    <row r="82" spans="1:24" ht="15.6" x14ac:dyDescent="0.3">
      <c r="A82" s="340"/>
      <c r="B82" s="288"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91"/>
      <c r="X82" s="5"/>
    </row>
    <row r="83" spans="1:24" ht="15.6" x14ac:dyDescent="0.3">
      <c r="A83" s="340"/>
      <c r="B83" s="288" t="s">
        <v>25</v>
      </c>
      <c r="C83" s="337"/>
      <c r="D83" s="337"/>
      <c r="E83" s="337"/>
      <c r="F83" s="337"/>
      <c r="G83" s="337"/>
      <c r="H83" s="337"/>
      <c r="I83" s="337"/>
      <c r="J83" s="337"/>
      <c r="K83" s="337"/>
      <c r="L83" s="337">
        <v>0</v>
      </c>
      <c r="M83" s="337"/>
      <c r="N83" s="337">
        <v>0</v>
      </c>
      <c r="O83" s="337"/>
      <c r="P83" s="337"/>
      <c r="Q83" s="337"/>
      <c r="R83" s="337"/>
      <c r="S83" s="337"/>
      <c r="T83" s="337"/>
      <c r="U83" s="337"/>
      <c r="V83" s="337">
        <v>0</v>
      </c>
      <c r="W83" s="291"/>
      <c r="X83" s="5"/>
    </row>
    <row r="84" spans="1:24" ht="15.6" x14ac:dyDescent="0.3">
      <c r="A84" s="340"/>
      <c r="B84" s="288" t="s">
        <v>26</v>
      </c>
      <c r="C84" s="337"/>
      <c r="D84" s="337"/>
      <c r="E84" s="337"/>
      <c r="F84" s="337"/>
      <c r="G84" s="337"/>
      <c r="H84" s="337"/>
      <c r="I84" s="337"/>
      <c r="J84" s="337"/>
      <c r="K84" s="337"/>
      <c r="L84" s="337">
        <f>SUM(L71:L83)</f>
        <v>1500275</v>
      </c>
      <c r="M84" s="337"/>
      <c r="N84" s="337">
        <f>SUM(N71:N83)</f>
        <v>1070306</v>
      </c>
      <c r="O84" s="337"/>
      <c r="P84" s="337"/>
      <c r="Q84" s="337"/>
      <c r="R84" s="337"/>
      <c r="S84" s="337"/>
      <c r="T84" s="337"/>
      <c r="U84" s="337"/>
      <c r="V84" s="337">
        <f>SUM(V71:V83)</f>
        <v>1059091</v>
      </c>
      <c r="W84" s="291"/>
      <c r="X84" s="5"/>
    </row>
    <row r="85" spans="1:24" ht="15.6" x14ac:dyDescent="0.3">
      <c r="A85" s="243"/>
      <c r="B85" s="284"/>
      <c r="C85" s="339"/>
      <c r="D85" s="339"/>
      <c r="E85" s="339"/>
      <c r="F85" s="339"/>
      <c r="G85" s="339"/>
      <c r="H85" s="339"/>
      <c r="I85" s="339"/>
      <c r="J85" s="339"/>
      <c r="K85" s="339"/>
      <c r="L85" s="339"/>
      <c r="M85" s="339"/>
      <c r="N85" s="339"/>
      <c r="O85" s="339"/>
      <c r="P85" s="339"/>
      <c r="Q85" s="339"/>
      <c r="R85" s="339"/>
      <c r="S85" s="339"/>
      <c r="T85" s="339"/>
      <c r="U85" s="339"/>
      <c r="V85" s="339"/>
      <c r="W85" s="284"/>
      <c r="X85" s="5"/>
    </row>
    <row r="86" spans="1:24" ht="15.6" x14ac:dyDescent="0.3">
      <c r="A86" s="243"/>
      <c r="B86" s="224"/>
      <c r="C86" s="224"/>
      <c r="D86" s="224"/>
      <c r="E86" s="224"/>
      <c r="F86" s="224"/>
      <c r="G86" s="224"/>
      <c r="H86" s="224"/>
      <c r="I86" s="224"/>
      <c r="J86" s="224"/>
      <c r="K86" s="224"/>
      <c r="L86" s="224"/>
      <c r="M86" s="224"/>
      <c r="N86" s="224"/>
      <c r="O86" s="224"/>
      <c r="P86" s="224"/>
      <c r="Q86" s="224"/>
      <c r="R86" s="224"/>
      <c r="S86" s="224"/>
      <c r="T86" s="224"/>
      <c r="U86" s="224"/>
      <c r="V86" s="224"/>
      <c r="W86" s="224"/>
      <c r="X86" s="5"/>
    </row>
    <row r="87" spans="1:24" ht="15.6" x14ac:dyDescent="0.3">
      <c r="A87" s="262"/>
      <c r="B87" s="399" t="s">
        <v>27</v>
      </c>
      <c r="C87" s="399"/>
      <c r="D87" s="399"/>
      <c r="E87" s="399"/>
      <c r="F87" s="399"/>
      <c r="G87" s="399"/>
      <c r="H87" s="400"/>
      <c r="I87" s="400"/>
      <c r="J87" s="400"/>
      <c r="K87" s="400"/>
      <c r="L87" s="401" t="s">
        <v>95</v>
      </c>
      <c r="M87" s="400"/>
      <c r="N87" s="402">
        <f>+T205</f>
        <v>41789</v>
      </c>
      <c r="O87" s="400"/>
      <c r="P87" s="400"/>
      <c r="Q87" s="400"/>
      <c r="R87" s="400"/>
      <c r="S87" s="400"/>
      <c r="T87" s="400" t="s">
        <v>107</v>
      </c>
      <c r="U87" s="400"/>
      <c r="V87" s="400" t="s">
        <v>113</v>
      </c>
      <c r="W87" s="263"/>
      <c r="X87" s="5"/>
    </row>
    <row r="88" spans="1:24" ht="15.6" x14ac:dyDescent="0.3">
      <c r="A88" s="242"/>
      <c r="B88" s="231" t="s">
        <v>28</v>
      </c>
      <c r="C88" s="231"/>
      <c r="D88" s="231"/>
      <c r="E88" s="231"/>
      <c r="F88" s="231"/>
      <c r="G88" s="231"/>
      <c r="H88" s="231"/>
      <c r="I88" s="231"/>
      <c r="J88" s="231"/>
      <c r="K88" s="231"/>
      <c r="L88" s="231"/>
      <c r="M88" s="231"/>
      <c r="N88" s="231"/>
      <c r="O88" s="231"/>
      <c r="P88" s="231"/>
      <c r="Q88" s="231"/>
      <c r="R88" s="231"/>
      <c r="S88" s="231"/>
      <c r="T88" s="234">
        <v>0</v>
      </c>
      <c r="U88" s="231"/>
      <c r="V88" s="241">
        <v>0</v>
      </c>
      <c r="W88" s="231"/>
      <c r="X88" s="5"/>
    </row>
    <row r="89" spans="1:24" ht="15.6" x14ac:dyDescent="0.3">
      <c r="A89" s="340"/>
      <c r="B89" s="288" t="s">
        <v>29</v>
      </c>
      <c r="C89" s="288"/>
      <c r="D89" s="288"/>
      <c r="E89" s="288"/>
      <c r="F89" s="288"/>
      <c r="G89" s="288"/>
      <c r="H89" s="325"/>
      <c r="I89" s="325"/>
      <c r="J89" s="325"/>
      <c r="K89" s="341"/>
      <c r="L89" s="325"/>
      <c r="M89" s="288"/>
      <c r="N89" s="342"/>
      <c r="O89" s="288"/>
      <c r="P89" s="288"/>
      <c r="Q89" s="288"/>
      <c r="R89" s="288"/>
      <c r="S89" s="288"/>
      <c r="T89" s="337">
        <f>11268-167</f>
        <v>11101</v>
      </c>
      <c r="U89" s="288"/>
      <c r="V89" s="338"/>
      <c r="W89" s="291"/>
      <c r="X89" s="5"/>
    </row>
    <row r="90" spans="1:24" ht="15.6" x14ac:dyDescent="0.3">
      <c r="A90" s="340"/>
      <c r="B90" s="288" t="s">
        <v>216</v>
      </c>
      <c r="C90" s="288"/>
      <c r="D90" s="288"/>
      <c r="E90" s="288"/>
      <c r="F90" s="288"/>
      <c r="G90" s="288"/>
      <c r="H90" s="325"/>
      <c r="I90" s="325"/>
      <c r="J90" s="325"/>
      <c r="K90" s="341"/>
      <c r="L90" s="325"/>
      <c r="M90" s="288"/>
      <c r="N90" s="342"/>
      <c r="O90" s="288"/>
      <c r="P90" s="288"/>
      <c r="Q90" s="288"/>
      <c r="R90" s="288"/>
      <c r="S90" s="288"/>
      <c r="T90" s="337"/>
      <c r="U90" s="288"/>
      <c r="V90" s="338">
        <f>3572+4100-715-683</f>
        <v>6274</v>
      </c>
      <c r="W90" s="291"/>
      <c r="X90" s="5"/>
    </row>
    <row r="91" spans="1:24" ht="15.6" x14ac:dyDescent="0.3">
      <c r="A91" s="340"/>
      <c r="B91" s="288" t="s">
        <v>211</v>
      </c>
      <c r="C91" s="288"/>
      <c r="D91" s="288"/>
      <c r="E91" s="288"/>
      <c r="F91" s="288"/>
      <c r="G91" s="288"/>
      <c r="H91" s="325"/>
      <c r="I91" s="325"/>
      <c r="J91" s="325"/>
      <c r="K91" s="341"/>
      <c r="L91" s="325"/>
      <c r="M91" s="288"/>
      <c r="N91" s="342"/>
      <c r="O91" s="288"/>
      <c r="P91" s="288"/>
      <c r="Q91" s="288"/>
      <c r="R91" s="288"/>
      <c r="S91" s="288"/>
      <c r="T91" s="337"/>
      <c r="U91" s="288"/>
      <c r="V91" s="338">
        <f>32+235</f>
        <v>267</v>
      </c>
      <c r="W91" s="291"/>
      <c r="X91" s="5"/>
    </row>
    <row r="92" spans="1:24" ht="15.6" x14ac:dyDescent="0.3">
      <c r="A92" s="340"/>
      <c r="B92" s="288" t="s">
        <v>212</v>
      </c>
      <c r="C92" s="288"/>
      <c r="D92" s="288"/>
      <c r="E92" s="288"/>
      <c r="F92" s="288"/>
      <c r="G92" s="288"/>
      <c r="H92" s="325"/>
      <c r="I92" s="325"/>
      <c r="J92" s="325"/>
      <c r="K92" s="341"/>
      <c r="L92" s="325"/>
      <c r="M92" s="288"/>
      <c r="N92" s="342"/>
      <c r="O92" s="288"/>
      <c r="P92" s="288"/>
      <c r="Q92" s="288"/>
      <c r="R92" s="288"/>
      <c r="S92" s="288"/>
      <c r="T92" s="337"/>
      <c r="U92" s="288"/>
      <c r="V92" s="338">
        <v>38</v>
      </c>
      <c r="W92" s="291"/>
      <c r="X92" s="5"/>
    </row>
    <row r="93" spans="1:24" ht="15.6" x14ac:dyDescent="0.3">
      <c r="A93" s="340"/>
      <c r="B93" s="288" t="s">
        <v>272</v>
      </c>
      <c r="C93" s="288"/>
      <c r="D93" s="288"/>
      <c r="E93" s="288"/>
      <c r="F93" s="288"/>
      <c r="G93" s="288"/>
      <c r="H93" s="325"/>
      <c r="I93" s="325"/>
      <c r="J93" s="325"/>
      <c r="K93" s="341"/>
      <c r="L93" s="325"/>
      <c r="M93" s="288"/>
      <c r="N93" s="342"/>
      <c r="O93" s="288"/>
      <c r="P93" s="288"/>
      <c r="Q93" s="288"/>
      <c r="R93" s="288"/>
      <c r="S93" s="288"/>
      <c r="T93" s="337"/>
      <c r="U93" s="288"/>
      <c r="V93" s="338">
        <v>0</v>
      </c>
      <c r="W93" s="291"/>
      <c r="X93" s="5"/>
    </row>
    <row r="94" spans="1:24" ht="15.6" x14ac:dyDescent="0.3">
      <c r="A94" s="340"/>
      <c r="B94" s="288" t="s">
        <v>274</v>
      </c>
      <c r="C94" s="288"/>
      <c r="D94" s="288"/>
      <c r="E94" s="288"/>
      <c r="F94" s="288"/>
      <c r="G94" s="288"/>
      <c r="H94" s="325"/>
      <c r="I94" s="325"/>
      <c r="J94" s="325"/>
      <c r="K94" s="341"/>
      <c r="L94" s="325"/>
      <c r="M94" s="288"/>
      <c r="N94" s="342"/>
      <c r="O94" s="288"/>
      <c r="P94" s="288"/>
      <c r="Q94" s="288"/>
      <c r="R94" s="288"/>
      <c r="S94" s="288"/>
      <c r="T94" s="337"/>
      <c r="U94" s="288"/>
      <c r="V94" s="338">
        <v>0</v>
      </c>
      <c r="W94" s="291"/>
      <c r="X94" s="5"/>
    </row>
    <row r="95" spans="1:24" ht="15.6" x14ac:dyDescent="0.3">
      <c r="A95" s="340"/>
      <c r="B95" s="288" t="s">
        <v>135</v>
      </c>
      <c r="C95" s="288"/>
      <c r="D95" s="288"/>
      <c r="E95" s="288"/>
      <c r="F95" s="288"/>
      <c r="G95" s="288"/>
      <c r="H95" s="288"/>
      <c r="I95" s="288"/>
      <c r="J95" s="288"/>
      <c r="K95" s="288"/>
      <c r="L95" s="288"/>
      <c r="M95" s="288"/>
      <c r="N95" s="288"/>
      <c r="O95" s="288"/>
      <c r="P95" s="288"/>
      <c r="Q95" s="288"/>
      <c r="R95" s="288"/>
      <c r="S95" s="288"/>
      <c r="T95" s="337"/>
      <c r="U95" s="288"/>
      <c r="V95" s="338">
        <v>0</v>
      </c>
      <c r="W95" s="291"/>
      <c r="X95" s="5"/>
    </row>
    <row r="96" spans="1:24" ht="15.6" x14ac:dyDescent="0.3">
      <c r="A96" s="340"/>
      <c r="B96" s="288" t="s">
        <v>268</v>
      </c>
      <c r="C96" s="288"/>
      <c r="D96" s="288"/>
      <c r="E96" s="288"/>
      <c r="F96" s="288"/>
      <c r="G96" s="288"/>
      <c r="H96" s="288"/>
      <c r="I96" s="288"/>
      <c r="J96" s="288"/>
      <c r="K96" s="288"/>
      <c r="L96" s="288"/>
      <c r="M96" s="288"/>
      <c r="N96" s="288"/>
      <c r="O96" s="288"/>
      <c r="P96" s="288"/>
      <c r="Q96" s="288"/>
      <c r="R96" s="288"/>
      <c r="S96" s="288"/>
      <c r="T96" s="337"/>
      <c r="U96" s="288"/>
      <c r="V96" s="338">
        <v>134</v>
      </c>
      <c r="W96" s="291"/>
      <c r="X96" s="5"/>
    </row>
    <row r="97" spans="1:25" ht="15.6" x14ac:dyDescent="0.3">
      <c r="A97" s="340"/>
      <c r="B97" s="288" t="s">
        <v>30</v>
      </c>
      <c r="C97" s="288"/>
      <c r="D97" s="288"/>
      <c r="E97" s="288"/>
      <c r="F97" s="288"/>
      <c r="G97" s="288"/>
      <c r="H97" s="288"/>
      <c r="I97" s="288"/>
      <c r="J97" s="288"/>
      <c r="K97" s="288"/>
      <c r="L97" s="288"/>
      <c r="M97" s="288"/>
      <c r="N97" s="288"/>
      <c r="O97" s="288"/>
      <c r="P97" s="288"/>
      <c r="Q97" s="288"/>
      <c r="R97" s="288"/>
      <c r="S97" s="288"/>
      <c r="T97" s="337">
        <f>SUM(T88:T96)</f>
        <v>11101</v>
      </c>
      <c r="U97" s="288"/>
      <c r="V97" s="337">
        <f>SUM(V88:V96)</f>
        <v>6713</v>
      </c>
      <c r="W97" s="291"/>
      <c r="X97" s="5"/>
    </row>
    <row r="98" spans="1:25" ht="15.6" x14ac:dyDescent="0.3">
      <c r="A98" s="340"/>
      <c r="B98" s="288" t="s">
        <v>161</v>
      </c>
      <c r="C98" s="288"/>
      <c r="D98" s="288"/>
      <c r="E98" s="288"/>
      <c r="F98" s="288"/>
      <c r="G98" s="288"/>
      <c r="H98" s="288"/>
      <c r="I98" s="288"/>
      <c r="J98" s="288"/>
      <c r="K98" s="288"/>
      <c r="L98" s="288"/>
      <c r="M98" s="288"/>
      <c r="N98" s="288"/>
      <c r="O98" s="288"/>
      <c r="P98" s="288"/>
      <c r="Q98" s="288"/>
      <c r="R98" s="288"/>
      <c r="S98" s="288"/>
      <c r="T98" s="337">
        <f>-V98</f>
        <v>0</v>
      </c>
      <c r="U98" s="288"/>
      <c r="V98" s="337">
        <v>0</v>
      </c>
      <c r="W98" s="291"/>
      <c r="X98" s="5"/>
    </row>
    <row r="99" spans="1:25" ht="15.6" x14ac:dyDescent="0.3">
      <c r="A99" s="340"/>
      <c r="B99" s="288" t="s">
        <v>31</v>
      </c>
      <c r="C99" s="288"/>
      <c r="D99" s="288"/>
      <c r="E99" s="288"/>
      <c r="F99" s="288"/>
      <c r="G99" s="288"/>
      <c r="H99" s="288"/>
      <c r="I99" s="288"/>
      <c r="J99" s="288"/>
      <c r="K99" s="288"/>
      <c r="L99" s="288"/>
      <c r="M99" s="288"/>
      <c r="N99" s="288"/>
      <c r="O99" s="288"/>
      <c r="P99" s="288"/>
      <c r="Q99" s="288"/>
      <c r="R99" s="288"/>
      <c r="S99" s="288"/>
      <c r="T99" s="337">
        <f>-V99</f>
        <v>0</v>
      </c>
      <c r="U99" s="288"/>
      <c r="V99" s="338">
        <v>0</v>
      </c>
      <c r="W99" s="291"/>
      <c r="X99" s="5"/>
    </row>
    <row r="100" spans="1:25" ht="15.6" x14ac:dyDescent="0.3">
      <c r="A100" s="340"/>
      <c r="B100" s="288" t="s">
        <v>283</v>
      </c>
      <c r="C100" s="288"/>
      <c r="D100" s="288"/>
      <c r="E100" s="288"/>
      <c r="F100" s="288"/>
      <c r="G100" s="288"/>
      <c r="H100" s="288"/>
      <c r="I100" s="288"/>
      <c r="J100" s="288"/>
      <c r="K100" s="288"/>
      <c r="L100" s="288"/>
      <c r="M100" s="288"/>
      <c r="N100" s="288"/>
      <c r="O100" s="288"/>
      <c r="P100" s="288"/>
      <c r="Q100" s="288"/>
      <c r="R100" s="288"/>
      <c r="S100" s="288"/>
      <c r="T100" s="337"/>
      <c r="U100" s="288"/>
      <c r="V100" s="338">
        <v>-84</v>
      </c>
      <c r="W100" s="291"/>
      <c r="X100" s="5"/>
    </row>
    <row r="101" spans="1:25" ht="15.6" x14ac:dyDescent="0.3">
      <c r="A101" s="340"/>
      <c r="B101" s="288" t="s">
        <v>32</v>
      </c>
      <c r="C101" s="288"/>
      <c r="D101" s="288"/>
      <c r="E101" s="288"/>
      <c r="F101" s="288"/>
      <c r="G101" s="288"/>
      <c r="H101" s="288"/>
      <c r="I101" s="288"/>
      <c r="J101" s="288"/>
      <c r="K101" s="288"/>
      <c r="L101" s="288"/>
      <c r="M101" s="288"/>
      <c r="N101" s="288"/>
      <c r="O101" s="288"/>
      <c r="P101" s="288"/>
      <c r="Q101" s="288"/>
      <c r="R101" s="288"/>
      <c r="S101" s="288"/>
      <c r="T101" s="337">
        <f>T97+T99+T98</f>
        <v>11101</v>
      </c>
      <c r="U101" s="288"/>
      <c r="V101" s="337">
        <f>V97+V99+V98+V100</f>
        <v>6629</v>
      </c>
      <c r="W101" s="291"/>
      <c r="X101" s="5"/>
    </row>
    <row r="102" spans="1:25" ht="15.6" x14ac:dyDescent="0.3">
      <c r="A102" s="287"/>
      <c r="B102" s="343" t="s">
        <v>33</v>
      </c>
      <c r="C102" s="314"/>
      <c r="D102" s="314"/>
      <c r="E102" s="314"/>
      <c r="F102" s="314"/>
      <c r="G102" s="314"/>
      <c r="H102" s="314"/>
      <c r="I102" s="314"/>
      <c r="J102" s="314"/>
      <c r="K102" s="314"/>
      <c r="L102" s="314"/>
      <c r="M102" s="314"/>
      <c r="N102" s="314"/>
      <c r="O102" s="314"/>
      <c r="P102" s="314"/>
      <c r="Q102" s="314"/>
      <c r="R102" s="314"/>
      <c r="S102" s="314"/>
      <c r="T102" s="344"/>
      <c r="U102" s="314"/>
      <c r="V102" s="345"/>
      <c r="W102" s="318"/>
      <c r="X102" s="5"/>
    </row>
    <row r="103" spans="1:25" ht="15.6" x14ac:dyDescent="0.3">
      <c r="A103" s="340">
        <v>1</v>
      </c>
      <c r="B103" s="288" t="s">
        <v>34</v>
      </c>
      <c r="C103" s="288"/>
      <c r="D103" s="288"/>
      <c r="E103" s="288"/>
      <c r="F103" s="288"/>
      <c r="G103" s="288"/>
      <c r="H103" s="288"/>
      <c r="I103" s="288"/>
      <c r="J103" s="288"/>
      <c r="K103" s="288"/>
      <c r="L103" s="288"/>
      <c r="M103" s="288"/>
      <c r="N103" s="288"/>
      <c r="O103" s="288"/>
      <c r="P103" s="288"/>
      <c r="Q103" s="288"/>
      <c r="R103" s="288"/>
      <c r="S103" s="288"/>
      <c r="T103" s="288"/>
      <c r="U103" s="288"/>
      <c r="V103" s="338">
        <v>0</v>
      </c>
      <c r="W103" s="291"/>
      <c r="X103" s="5"/>
    </row>
    <row r="104" spans="1:25" ht="15.6" x14ac:dyDescent="0.3">
      <c r="A104" s="340">
        <f>+A103+1</f>
        <v>2</v>
      </c>
      <c r="B104" s="288" t="s">
        <v>330</v>
      </c>
      <c r="C104" s="288"/>
      <c r="D104" s="288"/>
      <c r="E104" s="288"/>
      <c r="F104" s="288"/>
      <c r="G104" s="288"/>
      <c r="H104" s="288"/>
      <c r="I104" s="288"/>
      <c r="J104" s="288"/>
      <c r="K104" s="288"/>
      <c r="L104" s="288"/>
      <c r="M104" s="288"/>
      <c r="N104" s="288"/>
      <c r="O104" s="288"/>
      <c r="P104" s="288"/>
      <c r="Q104" s="288"/>
      <c r="R104" s="288"/>
      <c r="S104" s="288"/>
      <c r="T104" s="288"/>
      <c r="U104" s="288"/>
      <c r="V104" s="338">
        <v>-2</v>
      </c>
      <c r="W104" s="291"/>
      <c r="X104" s="5"/>
    </row>
    <row r="105" spans="1:25" ht="15.6" x14ac:dyDescent="0.3">
      <c r="A105" s="340">
        <f>+A104+1</f>
        <v>3</v>
      </c>
      <c r="B105" s="288" t="s">
        <v>331</v>
      </c>
      <c r="C105" s="288"/>
      <c r="D105" s="288"/>
      <c r="E105" s="288"/>
      <c r="F105" s="288"/>
      <c r="G105" s="288"/>
      <c r="H105" s="288"/>
      <c r="I105" s="288"/>
      <c r="J105" s="288"/>
      <c r="K105" s="288"/>
      <c r="L105" s="288"/>
      <c r="M105" s="288"/>
      <c r="N105" s="288"/>
      <c r="O105" s="288"/>
      <c r="P105" s="288"/>
      <c r="Q105" s="288"/>
      <c r="R105" s="288"/>
      <c r="S105" s="288"/>
      <c r="T105" s="288"/>
      <c r="U105" s="288"/>
      <c r="V105" s="338">
        <f>-136-204-13</f>
        <v>-353</v>
      </c>
      <c r="W105" s="291"/>
      <c r="X105" s="5"/>
    </row>
    <row r="106" spans="1:25" ht="15.6" x14ac:dyDescent="0.3">
      <c r="A106" s="340" t="s">
        <v>127</v>
      </c>
      <c r="B106" s="288" t="s">
        <v>116</v>
      </c>
      <c r="C106" s="288"/>
      <c r="D106" s="288"/>
      <c r="E106" s="288"/>
      <c r="F106" s="288"/>
      <c r="G106" s="288"/>
      <c r="H106" s="288"/>
      <c r="I106" s="288"/>
      <c r="J106" s="288"/>
      <c r="K106" s="288"/>
      <c r="L106" s="288"/>
      <c r="M106" s="288"/>
      <c r="N106" s="288"/>
      <c r="O106" s="288"/>
      <c r="P106" s="288"/>
      <c r="Q106" s="288"/>
      <c r="R106" s="288"/>
      <c r="S106" s="288"/>
      <c r="T106" s="288"/>
      <c r="U106" s="288"/>
      <c r="V106" s="338">
        <v>0</v>
      </c>
      <c r="W106" s="291"/>
      <c r="X106" s="5"/>
    </row>
    <row r="107" spans="1:25" ht="15.6" x14ac:dyDescent="0.3">
      <c r="A107" s="340" t="s">
        <v>128</v>
      </c>
      <c r="B107" s="288" t="s">
        <v>222</v>
      </c>
      <c r="C107" s="288"/>
      <c r="D107" s="288"/>
      <c r="E107" s="288"/>
      <c r="F107" s="288"/>
      <c r="G107" s="288"/>
      <c r="H107" s="288"/>
      <c r="I107" s="288"/>
      <c r="J107" s="288"/>
      <c r="K107" s="288"/>
      <c r="L107" s="288"/>
      <c r="M107" s="288"/>
      <c r="N107" s="288"/>
      <c r="O107" s="288"/>
      <c r="P107" s="288"/>
      <c r="Q107" s="288"/>
      <c r="R107" s="288"/>
      <c r="S107" s="288"/>
      <c r="T107" s="288"/>
      <c r="U107" s="288"/>
      <c r="V107" s="338">
        <f>-1599+149</f>
        <v>-1450</v>
      </c>
      <c r="W107" s="291"/>
      <c r="X107" s="5"/>
      <c r="Y107" s="109"/>
    </row>
    <row r="108" spans="1:25" ht="15.6" x14ac:dyDescent="0.3">
      <c r="A108" s="340" t="s">
        <v>150</v>
      </c>
      <c r="B108" s="288" t="s">
        <v>184</v>
      </c>
      <c r="C108" s="288"/>
      <c r="D108" s="288"/>
      <c r="E108" s="288"/>
      <c r="F108" s="288"/>
      <c r="G108" s="288"/>
      <c r="H108" s="288"/>
      <c r="I108" s="288"/>
      <c r="J108" s="288"/>
      <c r="K108" s="288"/>
      <c r="L108" s="288"/>
      <c r="M108" s="288"/>
      <c r="N108" s="288"/>
      <c r="O108" s="288"/>
      <c r="P108" s="288"/>
      <c r="Q108" s="288"/>
      <c r="R108" s="288"/>
      <c r="S108" s="288"/>
      <c r="T108" s="288"/>
      <c r="U108" s="288"/>
      <c r="V108" s="338">
        <v>-149</v>
      </c>
      <c r="W108" s="291"/>
      <c r="X108" s="5"/>
      <c r="Y108" s="109"/>
    </row>
    <row r="109" spans="1:25" ht="15.6" x14ac:dyDescent="0.3">
      <c r="A109" s="340" t="s">
        <v>236</v>
      </c>
      <c r="B109" s="288" t="s">
        <v>238</v>
      </c>
      <c r="C109" s="288"/>
      <c r="D109" s="288"/>
      <c r="E109" s="288"/>
      <c r="F109" s="288"/>
      <c r="G109" s="288"/>
      <c r="H109" s="288"/>
      <c r="I109" s="288"/>
      <c r="J109" s="288"/>
      <c r="K109" s="288"/>
      <c r="L109" s="288"/>
      <c r="M109" s="288"/>
      <c r="N109" s="288"/>
      <c r="O109" s="288"/>
      <c r="P109" s="288"/>
      <c r="Q109" s="288"/>
      <c r="R109" s="288"/>
      <c r="S109" s="288"/>
      <c r="T109" s="288"/>
      <c r="U109" s="288"/>
      <c r="V109" s="338">
        <v>0</v>
      </c>
      <c r="W109" s="291"/>
      <c r="X109" s="5"/>
    </row>
    <row r="110" spans="1:25" ht="15.6" x14ac:dyDescent="0.3">
      <c r="A110" s="340" t="s">
        <v>205</v>
      </c>
      <c r="B110" s="288" t="s">
        <v>185</v>
      </c>
      <c r="C110" s="288"/>
      <c r="D110" s="288"/>
      <c r="E110" s="288"/>
      <c r="F110" s="288"/>
      <c r="G110" s="288"/>
      <c r="H110" s="288"/>
      <c r="I110" s="288"/>
      <c r="J110" s="288"/>
      <c r="K110" s="288"/>
      <c r="L110" s="288"/>
      <c r="M110" s="288"/>
      <c r="N110" s="288"/>
      <c r="O110" s="288"/>
      <c r="P110" s="288"/>
      <c r="Q110" s="288"/>
      <c r="R110" s="288"/>
      <c r="S110" s="288"/>
      <c r="T110" s="288"/>
      <c r="U110" s="288"/>
      <c r="V110" s="338">
        <v>-142</v>
      </c>
      <c r="W110" s="291"/>
      <c r="X110" s="5"/>
      <c r="Y110" s="109"/>
    </row>
    <row r="111" spans="1:25" ht="15.6" x14ac:dyDescent="0.3">
      <c r="A111" s="340" t="s">
        <v>206</v>
      </c>
      <c r="B111" s="288" t="s">
        <v>186</v>
      </c>
      <c r="C111" s="288"/>
      <c r="D111" s="288"/>
      <c r="E111" s="288"/>
      <c r="F111" s="288"/>
      <c r="G111" s="288"/>
      <c r="H111" s="288"/>
      <c r="I111" s="288"/>
      <c r="J111" s="288"/>
      <c r="K111" s="288"/>
      <c r="L111" s="288"/>
      <c r="M111" s="288"/>
      <c r="N111" s="288"/>
      <c r="O111" s="288"/>
      <c r="P111" s="288"/>
      <c r="Q111" s="288"/>
      <c r="R111" s="288"/>
      <c r="S111" s="288"/>
      <c r="T111" s="288"/>
      <c r="U111" s="288"/>
      <c r="V111" s="338">
        <v>-114</v>
      </c>
      <c r="W111" s="291"/>
      <c r="X111" s="179"/>
      <c r="Y111" s="109"/>
    </row>
    <row r="112" spans="1:25" ht="15.6" x14ac:dyDescent="0.3">
      <c r="A112" s="340" t="s">
        <v>207</v>
      </c>
      <c r="B112" s="288" t="s">
        <v>196</v>
      </c>
      <c r="C112" s="288"/>
      <c r="D112" s="288"/>
      <c r="E112" s="288"/>
      <c r="F112" s="288"/>
      <c r="G112" s="288"/>
      <c r="H112" s="288"/>
      <c r="I112" s="288"/>
      <c r="J112" s="288"/>
      <c r="K112" s="288"/>
      <c r="L112" s="288"/>
      <c r="M112" s="288"/>
      <c r="N112" s="288"/>
      <c r="O112" s="288"/>
      <c r="P112" s="288"/>
      <c r="Q112" s="288"/>
      <c r="R112" s="288"/>
      <c r="S112" s="288"/>
      <c r="T112" s="288"/>
      <c r="U112" s="288"/>
      <c r="V112" s="338">
        <v>-320</v>
      </c>
      <c r="W112" s="291"/>
      <c r="X112" s="5"/>
      <c r="Y112" s="109"/>
    </row>
    <row r="113" spans="1:25" ht="15.6" x14ac:dyDescent="0.3">
      <c r="A113" s="340" t="s">
        <v>224</v>
      </c>
      <c r="B113" s="288" t="s">
        <v>223</v>
      </c>
      <c r="C113" s="288"/>
      <c r="D113" s="288"/>
      <c r="E113" s="288"/>
      <c r="F113" s="288"/>
      <c r="G113" s="288"/>
      <c r="H113" s="288"/>
      <c r="I113" s="288"/>
      <c r="J113" s="288"/>
      <c r="K113" s="288"/>
      <c r="L113" s="288"/>
      <c r="M113" s="288"/>
      <c r="N113" s="288"/>
      <c r="O113" s="288"/>
      <c r="P113" s="288"/>
      <c r="Q113" s="288"/>
      <c r="R113" s="288"/>
      <c r="S113" s="288"/>
      <c r="T113" s="288"/>
      <c r="U113" s="288"/>
      <c r="V113" s="338">
        <v>-64</v>
      </c>
      <c r="W113" s="291"/>
      <c r="X113" s="5"/>
      <c r="Y113" s="109"/>
    </row>
    <row r="114" spans="1:25" ht="15.6" x14ac:dyDescent="0.3">
      <c r="A114" s="340">
        <v>7</v>
      </c>
      <c r="B114" s="288" t="s">
        <v>35</v>
      </c>
      <c r="C114" s="288"/>
      <c r="D114" s="288"/>
      <c r="E114" s="288"/>
      <c r="F114" s="288"/>
      <c r="G114" s="288"/>
      <c r="H114" s="288"/>
      <c r="I114" s="288"/>
      <c r="J114" s="288"/>
      <c r="K114" s="288"/>
      <c r="L114" s="288"/>
      <c r="M114" s="288"/>
      <c r="N114" s="288"/>
      <c r="O114" s="288"/>
      <c r="P114" s="288"/>
      <c r="Q114" s="288"/>
      <c r="R114" s="288"/>
      <c r="S114" s="288"/>
      <c r="T114" s="288"/>
      <c r="U114" s="288"/>
      <c r="V114" s="338">
        <v>-8</v>
      </c>
      <c r="W114" s="291"/>
      <c r="X114" s="5"/>
    </row>
    <row r="115" spans="1:25" ht="15.6" x14ac:dyDescent="0.3">
      <c r="A115" s="340">
        <f t="shared" ref="A115:A121" si="0">+A114+1</f>
        <v>8</v>
      </c>
      <c r="B115" s="288" t="s">
        <v>45</v>
      </c>
      <c r="C115" s="288"/>
      <c r="D115" s="288"/>
      <c r="E115" s="288"/>
      <c r="F115" s="288"/>
      <c r="G115" s="288"/>
      <c r="H115" s="288"/>
      <c r="I115" s="288"/>
      <c r="J115" s="288"/>
      <c r="K115" s="288"/>
      <c r="L115" s="288"/>
      <c r="M115" s="288"/>
      <c r="N115" s="288"/>
      <c r="O115" s="288"/>
      <c r="P115" s="288"/>
      <c r="Q115" s="288"/>
      <c r="R115" s="288"/>
      <c r="S115" s="288"/>
      <c r="T115" s="337">
        <f>-V115</f>
        <v>167</v>
      </c>
      <c r="U115" s="288"/>
      <c r="V115" s="338">
        <v>-167</v>
      </c>
      <c r="W115" s="291"/>
      <c r="X115" s="5"/>
    </row>
    <row r="116" spans="1:25" ht="15.6" x14ac:dyDescent="0.3">
      <c r="A116" s="340">
        <f t="shared" si="0"/>
        <v>9</v>
      </c>
      <c r="B116" s="288" t="s">
        <v>125</v>
      </c>
      <c r="C116" s="288"/>
      <c r="D116" s="288"/>
      <c r="E116" s="288"/>
      <c r="F116" s="288"/>
      <c r="G116" s="288"/>
      <c r="H116" s="288"/>
      <c r="I116" s="288"/>
      <c r="J116" s="288"/>
      <c r="K116" s="288"/>
      <c r="L116" s="288"/>
      <c r="M116" s="288"/>
      <c r="N116" s="288"/>
      <c r="O116" s="288"/>
      <c r="P116" s="288"/>
      <c r="Q116" s="288"/>
      <c r="R116" s="288"/>
      <c r="S116" s="288"/>
      <c r="T116" s="288"/>
      <c r="U116" s="288"/>
      <c r="V116" s="338">
        <v>0</v>
      </c>
      <c r="W116" s="291"/>
      <c r="X116" s="5"/>
    </row>
    <row r="117" spans="1:25" ht="15.6" x14ac:dyDescent="0.3">
      <c r="A117" s="340">
        <f t="shared" si="0"/>
        <v>10</v>
      </c>
      <c r="B117" s="288" t="s">
        <v>240</v>
      </c>
      <c r="C117" s="288"/>
      <c r="D117" s="288"/>
      <c r="E117" s="288"/>
      <c r="F117" s="288"/>
      <c r="G117" s="288"/>
      <c r="H117" s="288"/>
      <c r="I117" s="288"/>
      <c r="J117" s="288"/>
      <c r="K117" s="288"/>
      <c r="L117" s="288"/>
      <c r="M117" s="288"/>
      <c r="N117" s="288"/>
      <c r="O117" s="288"/>
      <c r="P117" s="288"/>
      <c r="Q117" s="288"/>
      <c r="R117" s="288"/>
      <c r="S117" s="288"/>
      <c r="T117" s="288"/>
      <c r="U117" s="288"/>
      <c r="V117" s="338">
        <v>0</v>
      </c>
      <c r="W117" s="291"/>
      <c r="X117" s="5"/>
    </row>
    <row r="118" spans="1:25" ht="15.6" x14ac:dyDescent="0.3">
      <c r="A118" s="340">
        <f t="shared" si="0"/>
        <v>11</v>
      </c>
      <c r="B118" s="288" t="s">
        <v>36</v>
      </c>
      <c r="C118" s="288"/>
      <c r="D118" s="288"/>
      <c r="E118" s="288"/>
      <c r="F118" s="288"/>
      <c r="G118" s="288"/>
      <c r="H118" s="288"/>
      <c r="I118" s="288"/>
      <c r="J118" s="288"/>
      <c r="K118" s="288"/>
      <c r="L118" s="288"/>
      <c r="M118" s="288"/>
      <c r="N118" s="288"/>
      <c r="O118" s="288"/>
      <c r="P118" s="288"/>
      <c r="Q118" s="288"/>
      <c r="R118" s="288"/>
      <c r="S118" s="288"/>
      <c r="T118" s="288"/>
      <c r="U118" s="288"/>
      <c r="V118" s="338">
        <v>0</v>
      </c>
      <c r="W118" s="291"/>
      <c r="X118" s="5"/>
    </row>
    <row r="119" spans="1:25" ht="15.6" x14ac:dyDescent="0.3">
      <c r="A119" s="340">
        <f t="shared" si="0"/>
        <v>12</v>
      </c>
      <c r="B119" s="288" t="s">
        <v>239</v>
      </c>
      <c r="C119" s="288"/>
      <c r="D119" s="288"/>
      <c r="E119" s="288"/>
      <c r="F119" s="288"/>
      <c r="G119" s="288"/>
      <c r="H119" s="288"/>
      <c r="I119" s="288"/>
      <c r="J119" s="288"/>
      <c r="K119" s="288"/>
      <c r="L119" s="288"/>
      <c r="M119" s="288"/>
      <c r="N119" s="288"/>
      <c r="O119" s="288"/>
      <c r="P119" s="288"/>
      <c r="Q119" s="288"/>
      <c r="R119" s="288"/>
      <c r="S119" s="288"/>
      <c r="T119" s="288"/>
      <c r="U119" s="288"/>
      <c r="V119" s="338">
        <v>0</v>
      </c>
      <c r="W119" s="291"/>
      <c r="X119" s="5"/>
    </row>
    <row r="120" spans="1:25" ht="15.6" x14ac:dyDescent="0.3">
      <c r="A120" s="340">
        <f t="shared" si="0"/>
        <v>13</v>
      </c>
      <c r="B120" s="288" t="s">
        <v>149</v>
      </c>
      <c r="C120" s="288"/>
      <c r="D120" s="288"/>
      <c r="E120" s="288"/>
      <c r="F120" s="288"/>
      <c r="G120" s="288"/>
      <c r="H120" s="288"/>
      <c r="I120" s="288"/>
      <c r="J120" s="288"/>
      <c r="K120" s="288"/>
      <c r="L120" s="288"/>
      <c r="M120" s="288"/>
      <c r="N120" s="288"/>
      <c r="O120" s="288"/>
      <c r="P120" s="288"/>
      <c r="Q120" s="288"/>
      <c r="R120" s="288"/>
      <c r="S120" s="288"/>
      <c r="T120" s="288"/>
      <c r="U120" s="288"/>
      <c r="V120" s="338">
        <v>-679</v>
      </c>
      <c r="W120" s="291"/>
      <c r="X120" s="5"/>
    </row>
    <row r="121" spans="1:25" ht="15.6" x14ac:dyDescent="0.3">
      <c r="A121" s="340">
        <f t="shared" si="0"/>
        <v>14</v>
      </c>
      <c r="B121" s="288" t="s">
        <v>126</v>
      </c>
      <c r="C121" s="288"/>
      <c r="D121" s="288"/>
      <c r="E121" s="288"/>
      <c r="F121" s="288"/>
      <c r="G121" s="288"/>
      <c r="H121" s="288"/>
      <c r="I121" s="288"/>
      <c r="J121" s="288"/>
      <c r="K121" s="288"/>
      <c r="L121" s="288"/>
      <c r="M121" s="288"/>
      <c r="N121" s="288"/>
      <c r="O121" s="288"/>
      <c r="P121" s="288"/>
      <c r="Q121" s="288"/>
      <c r="R121" s="288"/>
      <c r="S121" s="288"/>
      <c r="T121" s="288"/>
      <c r="U121" s="288"/>
      <c r="V121" s="338">
        <f>-V101-SUM(V103:V120)</f>
        <v>-3181</v>
      </c>
      <c r="W121" s="291"/>
      <c r="X121" s="5"/>
    </row>
    <row r="122" spans="1:25" ht="15.6" x14ac:dyDescent="0.3">
      <c r="A122" s="287"/>
      <c r="B122" s="343" t="s">
        <v>37</v>
      </c>
      <c r="C122" s="314"/>
      <c r="D122" s="314"/>
      <c r="E122" s="314"/>
      <c r="F122" s="314"/>
      <c r="G122" s="314"/>
      <c r="H122" s="314"/>
      <c r="I122" s="314"/>
      <c r="J122" s="314"/>
      <c r="K122" s="314"/>
      <c r="L122" s="314"/>
      <c r="M122" s="314"/>
      <c r="N122" s="314"/>
      <c r="O122" s="314"/>
      <c r="P122" s="314"/>
      <c r="Q122" s="314"/>
      <c r="R122" s="314"/>
      <c r="S122" s="314"/>
      <c r="T122" s="314"/>
      <c r="U122" s="314"/>
      <c r="V122" s="346"/>
      <c r="W122" s="318"/>
      <c r="X122" s="5"/>
    </row>
    <row r="123" spans="1:25" ht="15.6" x14ac:dyDescent="0.3">
      <c r="A123" s="340"/>
      <c r="B123" s="288" t="s">
        <v>173</v>
      </c>
      <c r="C123" s="288"/>
      <c r="D123" s="288"/>
      <c r="E123" s="288"/>
      <c r="F123" s="288"/>
      <c r="G123" s="288"/>
      <c r="H123" s="288"/>
      <c r="I123" s="288"/>
      <c r="J123" s="288"/>
      <c r="K123" s="288"/>
      <c r="L123" s="288"/>
      <c r="M123" s="288"/>
      <c r="N123" s="288"/>
      <c r="O123" s="288"/>
      <c r="P123" s="288"/>
      <c r="Q123" s="288"/>
      <c r="R123" s="288"/>
      <c r="S123" s="288"/>
      <c r="T123" s="337">
        <f>-T189</f>
        <v>0</v>
      </c>
      <c r="U123" s="337"/>
      <c r="V123" s="338"/>
      <c r="W123" s="291"/>
      <c r="X123" s="5"/>
    </row>
    <row r="124" spans="1:25" ht="15.6" x14ac:dyDescent="0.3">
      <c r="A124" s="340"/>
      <c r="B124" s="288" t="s">
        <v>174</v>
      </c>
      <c r="C124" s="288"/>
      <c r="D124" s="288"/>
      <c r="E124" s="288"/>
      <c r="F124" s="288"/>
      <c r="G124" s="288"/>
      <c r="H124" s="288"/>
      <c r="I124" s="288"/>
      <c r="J124" s="288"/>
      <c r="K124" s="288"/>
      <c r="L124" s="288"/>
      <c r="M124" s="288"/>
      <c r="N124" s="288"/>
      <c r="O124" s="288"/>
      <c r="P124" s="288"/>
      <c r="Q124" s="288"/>
      <c r="R124" s="288"/>
      <c r="S124" s="288"/>
      <c r="T124" s="337">
        <v>-3</v>
      </c>
      <c r="U124" s="337"/>
      <c r="V124" s="338"/>
      <c r="W124" s="291"/>
      <c r="X124" s="5"/>
    </row>
    <row r="125" spans="1:25" ht="15.6" x14ac:dyDescent="0.3">
      <c r="A125" s="340"/>
      <c r="B125" s="288" t="s">
        <v>38</v>
      </c>
      <c r="C125" s="288"/>
      <c r="D125" s="288"/>
      <c r="E125" s="288"/>
      <c r="F125" s="288"/>
      <c r="G125" s="288"/>
      <c r="H125" s="288"/>
      <c r="I125" s="288"/>
      <c r="J125" s="288"/>
      <c r="K125" s="288"/>
      <c r="L125" s="288"/>
      <c r="M125" s="288"/>
      <c r="N125" s="288"/>
      <c r="O125" s="288"/>
      <c r="P125" s="288"/>
      <c r="Q125" s="288"/>
      <c r="R125" s="288"/>
      <c r="S125" s="288"/>
      <c r="T125" s="337">
        <f>-S189</f>
        <v>-50</v>
      </c>
      <c r="U125" s="337"/>
      <c r="V125" s="338"/>
      <c r="W125" s="291"/>
      <c r="X125" s="5"/>
    </row>
    <row r="126" spans="1:25" ht="15.6" x14ac:dyDescent="0.3">
      <c r="A126" s="340"/>
      <c r="B126" s="288" t="s">
        <v>197</v>
      </c>
      <c r="C126" s="288"/>
      <c r="D126" s="288"/>
      <c r="E126" s="288"/>
      <c r="F126" s="288"/>
      <c r="G126" s="288"/>
      <c r="H126" s="288"/>
      <c r="I126" s="288"/>
      <c r="J126" s="288"/>
      <c r="K126" s="288"/>
      <c r="L126" s="288"/>
      <c r="M126" s="288"/>
      <c r="N126" s="288"/>
      <c r="O126" s="288"/>
      <c r="P126" s="288"/>
      <c r="Q126" s="288"/>
      <c r="R126" s="288"/>
      <c r="S126" s="288"/>
      <c r="T126" s="337">
        <v>-6819</v>
      </c>
      <c r="U126" s="337"/>
      <c r="V126" s="338"/>
      <c r="W126" s="291"/>
      <c r="X126" s="5"/>
    </row>
    <row r="127" spans="1:25" ht="15.6" x14ac:dyDescent="0.3">
      <c r="A127" s="340"/>
      <c r="B127" s="288" t="s">
        <v>195</v>
      </c>
      <c r="C127" s="288"/>
      <c r="D127" s="288"/>
      <c r="E127" s="288"/>
      <c r="F127" s="288"/>
      <c r="G127" s="288"/>
      <c r="H127" s="288"/>
      <c r="I127" s="288"/>
      <c r="J127" s="288"/>
      <c r="K127" s="288"/>
      <c r="L127" s="288"/>
      <c r="M127" s="288"/>
      <c r="N127" s="288"/>
      <c r="O127" s="288"/>
      <c r="P127" s="288"/>
      <c r="Q127" s="288"/>
      <c r="R127" s="288"/>
      <c r="S127" s="288"/>
      <c r="T127" s="337">
        <v>-1099</v>
      </c>
      <c r="U127" s="337"/>
      <c r="V127" s="338"/>
      <c r="W127" s="291"/>
      <c r="X127" s="5"/>
    </row>
    <row r="128" spans="1:25" ht="15.6" x14ac:dyDescent="0.3">
      <c r="A128" s="340"/>
      <c r="B128" s="288" t="s">
        <v>194</v>
      </c>
      <c r="C128" s="288"/>
      <c r="D128" s="288"/>
      <c r="E128" s="288"/>
      <c r="F128" s="288"/>
      <c r="G128" s="288"/>
      <c r="H128" s="288"/>
      <c r="I128" s="288"/>
      <c r="J128" s="288"/>
      <c r="K128" s="288"/>
      <c r="L128" s="288"/>
      <c r="M128" s="288"/>
      <c r="N128" s="288"/>
      <c r="O128" s="288"/>
      <c r="P128" s="288"/>
      <c r="Q128" s="288"/>
      <c r="R128" s="288"/>
      <c r="S128" s="288"/>
      <c r="T128" s="337">
        <v>-1479</v>
      </c>
      <c r="U128" s="337"/>
      <c r="V128" s="338"/>
      <c r="W128" s="291"/>
      <c r="X128" s="5"/>
    </row>
    <row r="129" spans="1:24" ht="15.6" x14ac:dyDescent="0.3">
      <c r="A129" s="340"/>
      <c r="B129" s="288" t="s">
        <v>226</v>
      </c>
      <c r="C129" s="288"/>
      <c r="D129" s="288"/>
      <c r="E129" s="288"/>
      <c r="F129" s="288"/>
      <c r="G129" s="288"/>
      <c r="H129" s="288"/>
      <c r="I129" s="288"/>
      <c r="J129" s="288"/>
      <c r="K129" s="288"/>
      <c r="L129" s="288"/>
      <c r="M129" s="288"/>
      <c r="N129" s="288"/>
      <c r="O129" s="288"/>
      <c r="P129" s="288"/>
      <c r="Q129" s="288"/>
      <c r="R129" s="288"/>
      <c r="S129" s="288"/>
      <c r="T129" s="337">
        <v>-1818</v>
      </c>
      <c r="U129" s="337"/>
      <c r="V129" s="338"/>
      <c r="W129" s="291"/>
      <c r="X129" s="5"/>
    </row>
    <row r="130" spans="1:24" ht="15.6" x14ac:dyDescent="0.3">
      <c r="A130" s="340"/>
      <c r="B130" s="288" t="s">
        <v>189</v>
      </c>
      <c r="C130" s="288"/>
      <c r="D130" s="288"/>
      <c r="E130" s="288"/>
      <c r="F130" s="288"/>
      <c r="G130" s="288"/>
      <c r="H130" s="288"/>
      <c r="I130" s="288"/>
      <c r="J130" s="288"/>
      <c r="K130" s="288"/>
      <c r="L130" s="288"/>
      <c r="M130" s="288"/>
      <c r="N130" s="288"/>
      <c r="O130" s="288"/>
      <c r="P130" s="288"/>
      <c r="Q130" s="288"/>
      <c r="R130" s="288"/>
      <c r="S130" s="288"/>
      <c r="T130" s="337">
        <v>0</v>
      </c>
      <c r="U130" s="337"/>
      <c r="V130" s="338"/>
      <c r="W130" s="291"/>
      <c r="X130" s="5"/>
    </row>
    <row r="131" spans="1:24" ht="15.6" x14ac:dyDescent="0.3">
      <c r="A131" s="340"/>
      <c r="B131" s="288" t="s">
        <v>188</v>
      </c>
      <c r="C131" s="288"/>
      <c r="D131" s="288"/>
      <c r="E131" s="288"/>
      <c r="F131" s="288"/>
      <c r="G131" s="288"/>
      <c r="H131" s="288"/>
      <c r="I131" s="288"/>
      <c r="J131" s="288"/>
      <c r="K131" s="288"/>
      <c r="L131" s="288"/>
      <c r="M131" s="288"/>
      <c r="N131" s="288"/>
      <c r="O131" s="288"/>
      <c r="P131" s="288"/>
      <c r="Q131" s="288"/>
      <c r="R131" s="288"/>
      <c r="S131" s="288"/>
      <c r="T131" s="337">
        <v>0</v>
      </c>
      <c r="U131" s="337"/>
      <c r="V131" s="338"/>
      <c r="W131" s="291"/>
      <c r="X131" s="5"/>
    </row>
    <row r="132" spans="1:24" ht="15.6" x14ac:dyDescent="0.3">
      <c r="A132" s="340"/>
      <c r="B132" s="288" t="s">
        <v>227</v>
      </c>
      <c r="C132" s="288"/>
      <c r="D132" s="288"/>
      <c r="E132" s="288"/>
      <c r="F132" s="288"/>
      <c r="G132" s="288"/>
      <c r="H132" s="288"/>
      <c r="I132" s="288"/>
      <c r="J132" s="288"/>
      <c r="K132" s="288"/>
      <c r="L132" s="288"/>
      <c r="M132" s="288"/>
      <c r="N132" s="288"/>
      <c r="O132" s="288"/>
      <c r="P132" s="288"/>
      <c r="Q132" s="288"/>
      <c r="R132" s="288"/>
      <c r="S132" s="288"/>
      <c r="T132" s="337">
        <v>0</v>
      </c>
      <c r="U132" s="337"/>
      <c r="V132" s="338"/>
      <c r="W132" s="291"/>
      <c r="X132" s="5"/>
    </row>
    <row r="133" spans="1:24" ht="15.6" x14ac:dyDescent="0.3">
      <c r="A133" s="340"/>
      <c r="B133" s="288" t="s">
        <v>187</v>
      </c>
      <c r="C133" s="288"/>
      <c r="D133" s="288"/>
      <c r="E133" s="288"/>
      <c r="F133" s="288"/>
      <c r="G133" s="288"/>
      <c r="H133" s="288"/>
      <c r="I133" s="288"/>
      <c r="J133" s="288"/>
      <c r="K133" s="288"/>
      <c r="L133" s="288"/>
      <c r="M133" s="288"/>
      <c r="N133" s="288"/>
      <c r="O133" s="288"/>
      <c r="P133" s="288"/>
      <c r="Q133" s="288"/>
      <c r="R133" s="288"/>
      <c r="S133" s="288"/>
      <c r="T133" s="337">
        <v>0</v>
      </c>
      <c r="U133" s="337"/>
      <c r="V133" s="338"/>
      <c r="W133" s="291"/>
      <c r="X133" s="5"/>
    </row>
    <row r="134" spans="1:24" ht="15.6" x14ac:dyDescent="0.3">
      <c r="A134" s="340"/>
      <c r="B134" s="288" t="s">
        <v>39</v>
      </c>
      <c r="C134" s="288"/>
      <c r="D134" s="288"/>
      <c r="E134" s="288"/>
      <c r="F134" s="288"/>
      <c r="G134" s="288"/>
      <c r="H134" s="288"/>
      <c r="I134" s="288"/>
      <c r="J134" s="288"/>
      <c r="K134" s="288"/>
      <c r="L134" s="288"/>
      <c r="M134" s="288"/>
      <c r="N134" s="288"/>
      <c r="O134" s="288"/>
      <c r="P134" s="288"/>
      <c r="Q134" s="288"/>
      <c r="R134" s="288"/>
      <c r="S134" s="288"/>
      <c r="T134" s="337">
        <f>SUM(T123:T133)</f>
        <v>-11268</v>
      </c>
      <c r="U134" s="337"/>
      <c r="V134" s="337">
        <f>SUM(V102:V131)</f>
        <v>-6629</v>
      </c>
      <c r="W134" s="291"/>
      <c r="X134" s="5"/>
    </row>
    <row r="135" spans="1:24" ht="15.6" x14ac:dyDescent="0.3">
      <c r="A135" s="340"/>
      <c r="B135" s="288" t="s">
        <v>40</v>
      </c>
      <c r="C135" s="288"/>
      <c r="D135" s="288"/>
      <c r="E135" s="288"/>
      <c r="F135" s="288"/>
      <c r="G135" s="288"/>
      <c r="H135" s="288"/>
      <c r="I135" s="288"/>
      <c r="J135" s="288"/>
      <c r="K135" s="288"/>
      <c r="L135" s="288"/>
      <c r="M135" s="288"/>
      <c r="N135" s="288"/>
      <c r="O135" s="288"/>
      <c r="P135" s="288"/>
      <c r="Q135" s="288"/>
      <c r="R135" s="288"/>
      <c r="S135" s="288"/>
      <c r="T135" s="337">
        <f>T101+T134+T115</f>
        <v>0</v>
      </c>
      <c r="U135" s="337"/>
      <c r="V135" s="337">
        <f>V101+V134</f>
        <v>0</v>
      </c>
      <c r="W135" s="291"/>
      <c r="X135" s="5"/>
    </row>
    <row r="136" spans="1:24" ht="15.6" x14ac:dyDescent="0.3">
      <c r="A136" s="243"/>
      <c r="B136" s="284"/>
      <c r="C136" s="284"/>
      <c r="D136" s="284"/>
      <c r="E136" s="284"/>
      <c r="F136" s="284"/>
      <c r="G136" s="284"/>
      <c r="H136" s="284"/>
      <c r="I136" s="284"/>
      <c r="J136" s="284"/>
      <c r="K136" s="284"/>
      <c r="L136" s="284"/>
      <c r="M136" s="284"/>
      <c r="N136" s="284"/>
      <c r="O136" s="284"/>
      <c r="P136" s="284"/>
      <c r="Q136" s="284"/>
      <c r="R136" s="284"/>
      <c r="S136" s="284"/>
      <c r="T136" s="339"/>
      <c r="U136" s="339"/>
      <c r="V136" s="339"/>
      <c r="W136" s="284"/>
      <c r="X136" s="5"/>
    </row>
    <row r="137" spans="1:24" ht="15.6" x14ac:dyDescent="0.3">
      <c r="A137" s="243"/>
      <c r="B137" s="224"/>
      <c r="C137" s="224"/>
      <c r="D137" s="224"/>
      <c r="E137" s="224"/>
      <c r="F137" s="224"/>
      <c r="G137" s="224"/>
      <c r="H137" s="224"/>
      <c r="I137" s="224"/>
      <c r="J137" s="224"/>
      <c r="K137" s="224"/>
      <c r="L137" s="224"/>
      <c r="M137" s="224"/>
      <c r="N137" s="224"/>
      <c r="O137" s="224"/>
      <c r="P137" s="224"/>
      <c r="Q137" s="224"/>
      <c r="R137" s="224"/>
      <c r="S137" s="224"/>
      <c r="T137" s="224"/>
      <c r="U137" s="224"/>
      <c r="V137" s="244"/>
      <c r="W137" s="224"/>
      <c r="X137" s="5"/>
    </row>
    <row r="138" spans="1:24" ht="18" thickBot="1" x14ac:dyDescent="0.35">
      <c r="A138" s="245"/>
      <c r="B138" s="237" t="str">
        <f>B64</f>
        <v>PM14 INVESTOR REPORT QUARTER ENDING MAY 2014</v>
      </c>
      <c r="C138" s="238"/>
      <c r="D138" s="238"/>
      <c r="E138" s="238"/>
      <c r="F138" s="238"/>
      <c r="G138" s="238"/>
      <c r="H138" s="238"/>
      <c r="I138" s="238"/>
      <c r="J138" s="238"/>
      <c r="K138" s="238"/>
      <c r="L138" s="238"/>
      <c r="M138" s="238"/>
      <c r="N138" s="238"/>
      <c r="O138" s="238"/>
      <c r="P138" s="238"/>
      <c r="Q138" s="238"/>
      <c r="R138" s="238"/>
      <c r="S138" s="238"/>
      <c r="T138" s="238"/>
      <c r="U138" s="238"/>
      <c r="V138" s="246"/>
      <c r="W138" s="240"/>
      <c r="X138" s="5"/>
    </row>
    <row r="139" spans="1:24" ht="15.6" x14ac:dyDescent="0.3">
      <c r="A139" s="273"/>
      <c r="B139" s="403" t="s">
        <v>41</v>
      </c>
      <c r="C139" s="274"/>
      <c r="D139" s="274"/>
      <c r="E139" s="274"/>
      <c r="F139" s="274"/>
      <c r="G139" s="274"/>
      <c r="H139" s="274"/>
      <c r="I139" s="274"/>
      <c r="J139" s="274"/>
      <c r="K139" s="274"/>
      <c r="L139" s="274"/>
      <c r="M139" s="274"/>
      <c r="N139" s="274"/>
      <c r="O139" s="274"/>
      <c r="P139" s="274"/>
      <c r="Q139" s="274"/>
      <c r="R139" s="274"/>
      <c r="S139" s="274"/>
      <c r="T139" s="274"/>
      <c r="U139" s="274"/>
      <c r="V139" s="275"/>
      <c r="W139" s="274"/>
      <c r="X139" s="5"/>
    </row>
    <row r="140" spans="1:24" ht="15.6" x14ac:dyDescent="0.3">
      <c r="A140" s="183"/>
      <c r="B140" s="195"/>
      <c r="C140" s="185"/>
      <c r="D140" s="185"/>
      <c r="E140" s="185"/>
      <c r="F140" s="185"/>
      <c r="G140" s="185"/>
      <c r="H140" s="185"/>
      <c r="I140" s="185"/>
      <c r="J140" s="185"/>
      <c r="K140" s="185"/>
      <c r="L140" s="185"/>
      <c r="M140" s="185"/>
      <c r="N140" s="185"/>
      <c r="O140" s="185"/>
      <c r="P140" s="185"/>
      <c r="Q140" s="185"/>
      <c r="R140" s="185"/>
      <c r="S140" s="185"/>
      <c r="T140" s="185"/>
      <c r="U140" s="185"/>
      <c r="V140" s="201"/>
      <c r="W140" s="185"/>
      <c r="X140" s="5"/>
    </row>
    <row r="141" spans="1:24" ht="15.6" x14ac:dyDescent="0.3">
      <c r="A141" s="183"/>
      <c r="B141" s="208" t="s">
        <v>42</v>
      </c>
      <c r="C141" s="185"/>
      <c r="D141" s="185"/>
      <c r="E141" s="185"/>
      <c r="F141" s="185"/>
      <c r="G141" s="185"/>
      <c r="H141" s="185"/>
      <c r="I141" s="185"/>
      <c r="J141" s="185"/>
      <c r="K141" s="185"/>
      <c r="L141" s="185"/>
      <c r="M141" s="185"/>
      <c r="N141" s="185"/>
      <c r="O141" s="185"/>
      <c r="P141" s="185"/>
      <c r="Q141" s="185"/>
      <c r="R141" s="185"/>
      <c r="S141" s="185"/>
      <c r="T141" s="185"/>
      <c r="U141" s="185"/>
      <c r="V141" s="201"/>
      <c r="W141" s="185"/>
      <c r="X141" s="5"/>
    </row>
    <row r="142" spans="1:24" ht="15.6" x14ac:dyDescent="0.3">
      <c r="A142" s="287"/>
      <c r="B142" s="288" t="s">
        <v>43</v>
      </c>
      <c r="C142" s="288"/>
      <c r="D142" s="288"/>
      <c r="E142" s="288"/>
      <c r="F142" s="288"/>
      <c r="G142" s="288"/>
      <c r="H142" s="288"/>
      <c r="I142" s="288"/>
      <c r="J142" s="288"/>
      <c r="K142" s="288"/>
      <c r="L142" s="288"/>
      <c r="M142" s="288"/>
      <c r="N142" s="288"/>
      <c r="O142" s="288"/>
      <c r="P142" s="288"/>
      <c r="Q142" s="288"/>
      <c r="R142" s="288"/>
      <c r="S142" s="288"/>
      <c r="T142" s="288"/>
      <c r="U142" s="288"/>
      <c r="V142" s="338">
        <f>+V34*0.019</f>
        <v>28505.224999999999</v>
      </c>
      <c r="W142" s="291"/>
      <c r="X142" s="5"/>
    </row>
    <row r="143" spans="1:24" ht="15.6" x14ac:dyDescent="0.3">
      <c r="A143" s="287"/>
      <c r="B143" s="288" t="s">
        <v>44</v>
      </c>
      <c r="C143" s="288"/>
      <c r="D143" s="288"/>
      <c r="E143" s="288"/>
      <c r="F143" s="288"/>
      <c r="G143" s="288"/>
      <c r="H143" s="288"/>
      <c r="I143" s="288"/>
      <c r="J143" s="288"/>
      <c r="K143" s="288"/>
      <c r="L143" s="288"/>
      <c r="M143" s="288"/>
      <c r="N143" s="288"/>
      <c r="O143" s="288"/>
      <c r="P143" s="288"/>
      <c r="Q143" s="288"/>
      <c r="R143" s="288"/>
      <c r="S143" s="288"/>
      <c r="T143" s="288"/>
      <c r="U143" s="288"/>
      <c r="V143" s="338">
        <v>28505</v>
      </c>
      <c r="W143" s="291"/>
      <c r="X143" s="5"/>
    </row>
    <row r="144" spans="1:24" ht="15.6" x14ac:dyDescent="0.3">
      <c r="A144" s="287"/>
      <c r="B144" s="288" t="s">
        <v>136</v>
      </c>
      <c r="C144" s="288"/>
      <c r="D144" s="288"/>
      <c r="E144" s="288"/>
      <c r="F144" s="288"/>
      <c r="G144" s="288"/>
      <c r="H144" s="288"/>
      <c r="I144" s="288"/>
      <c r="J144" s="288"/>
      <c r="K144" s="288"/>
      <c r="L144" s="288"/>
      <c r="M144" s="288"/>
      <c r="N144" s="288"/>
      <c r="O144" s="288"/>
      <c r="P144" s="288"/>
      <c r="Q144" s="288"/>
      <c r="R144" s="288"/>
      <c r="S144" s="288"/>
      <c r="T144" s="288"/>
      <c r="U144" s="288"/>
      <c r="V144" s="338"/>
      <c r="W144" s="291"/>
      <c r="X144" s="5"/>
    </row>
    <row r="145" spans="1:25" ht="15.6" x14ac:dyDescent="0.3">
      <c r="A145" s="287"/>
      <c r="B145" s="288" t="s">
        <v>123</v>
      </c>
      <c r="C145" s="288"/>
      <c r="D145" s="288"/>
      <c r="E145" s="288"/>
      <c r="F145" s="288"/>
      <c r="G145" s="288"/>
      <c r="H145" s="288"/>
      <c r="I145" s="288"/>
      <c r="J145" s="288"/>
      <c r="K145" s="288"/>
      <c r="L145" s="288"/>
      <c r="M145" s="288"/>
      <c r="N145" s="288"/>
      <c r="O145" s="288"/>
      <c r="P145" s="288"/>
      <c r="Q145" s="288"/>
      <c r="R145" s="288"/>
      <c r="S145" s="288"/>
      <c r="T145" s="288"/>
      <c r="U145" s="288"/>
      <c r="V145" s="338">
        <v>0</v>
      </c>
      <c r="W145" s="291"/>
      <c r="X145" s="5"/>
    </row>
    <row r="146" spans="1:25" ht="15.6" x14ac:dyDescent="0.3">
      <c r="A146" s="287"/>
      <c r="B146" s="288" t="s">
        <v>124</v>
      </c>
      <c r="C146" s="288"/>
      <c r="D146" s="288"/>
      <c r="E146" s="288"/>
      <c r="F146" s="288"/>
      <c r="G146" s="288"/>
      <c r="H146" s="288"/>
      <c r="I146" s="288"/>
      <c r="J146" s="288"/>
      <c r="K146" s="288"/>
      <c r="L146" s="288"/>
      <c r="M146" s="288"/>
      <c r="N146" s="288"/>
      <c r="O146" s="288"/>
      <c r="P146" s="288"/>
      <c r="Q146" s="288"/>
      <c r="R146" s="288"/>
      <c r="S146" s="288"/>
      <c r="T146" s="288"/>
      <c r="U146" s="288"/>
      <c r="V146" s="338">
        <v>0</v>
      </c>
      <c r="W146" s="291"/>
      <c r="X146" s="5"/>
    </row>
    <row r="147" spans="1:25" ht="15.6" x14ac:dyDescent="0.3">
      <c r="A147" s="287"/>
      <c r="B147" s="288" t="s">
        <v>175</v>
      </c>
      <c r="C147" s="288"/>
      <c r="D147" s="288"/>
      <c r="E147" s="288"/>
      <c r="F147" s="288"/>
      <c r="G147" s="288"/>
      <c r="H147" s="288"/>
      <c r="I147" s="288"/>
      <c r="J147" s="288"/>
      <c r="K147" s="288"/>
      <c r="L147" s="288"/>
      <c r="M147" s="288"/>
      <c r="N147" s="288"/>
      <c r="O147" s="288"/>
      <c r="P147" s="288"/>
      <c r="Q147" s="288"/>
      <c r="R147" s="288"/>
      <c r="S147" s="288"/>
      <c r="T147" s="288"/>
      <c r="U147" s="288"/>
      <c r="V147" s="338">
        <v>0</v>
      </c>
      <c r="W147" s="291"/>
      <c r="X147" s="5"/>
    </row>
    <row r="148" spans="1:25" ht="15.6" x14ac:dyDescent="0.3">
      <c r="A148" s="287"/>
      <c r="B148" s="288" t="s">
        <v>45</v>
      </c>
      <c r="C148" s="288"/>
      <c r="D148" s="288"/>
      <c r="E148" s="288"/>
      <c r="F148" s="288"/>
      <c r="G148" s="288"/>
      <c r="H148" s="288"/>
      <c r="I148" s="288"/>
      <c r="J148" s="288"/>
      <c r="K148" s="288"/>
      <c r="L148" s="288"/>
      <c r="M148" s="288"/>
      <c r="N148" s="288"/>
      <c r="O148" s="288"/>
      <c r="P148" s="288"/>
      <c r="Q148" s="288"/>
      <c r="R148" s="288"/>
      <c r="S148" s="288"/>
      <c r="T148" s="288"/>
      <c r="U148" s="288"/>
      <c r="V148" s="338">
        <v>0</v>
      </c>
      <c r="W148" s="291"/>
      <c r="X148" s="5"/>
    </row>
    <row r="149" spans="1:25" ht="15.6" x14ac:dyDescent="0.3">
      <c r="A149" s="287"/>
      <c r="B149" s="288" t="s">
        <v>129</v>
      </c>
      <c r="C149" s="288"/>
      <c r="D149" s="288"/>
      <c r="E149" s="288"/>
      <c r="F149" s="288"/>
      <c r="G149" s="288"/>
      <c r="H149" s="288"/>
      <c r="I149" s="288"/>
      <c r="J149" s="288"/>
      <c r="K149" s="288"/>
      <c r="L149" s="288"/>
      <c r="M149" s="288"/>
      <c r="N149" s="288"/>
      <c r="O149" s="288"/>
      <c r="P149" s="288"/>
      <c r="Q149" s="288"/>
      <c r="R149" s="288"/>
      <c r="S149" s="288"/>
      <c r="T149" s="288"/>
      <c r="U149" s="288"/>
      <c r="V149" s="338">
        <v>0</v>
      </c>
      <c r="W149" s="291"/>
      <c r="X149" s="5"/>
    </row>
    <row r="150" spans="1:25" ht="15.6" x14ac:dyDescent="0.3">
      <c r="A150" s="287"/>
      <c r="B150" s="288" t="s">
        <v>267</v>
      </c>
      <c r="C150" s="288"/>
      <c r="D150" s="288"/>
      <c r="E150" s="288"/>
      <c r="F150" s="288"/>
      <c r="G150" s="288"/>
      <c r="H150" s="288"/>
      <c r="I150" s="288"/>
      <c r="J150" s="288"/>
      <c r="K150" s="288"/>
      <c r="L150" s="288"/>
      <c r="M150" s="288"/>
      <c r="N150" s="288"/>
      <c r="O150" s="288"/>
      <c r="P150" s="288"/>
      <c r="Q150" s="288"/>
      <c r="R150" s="288"/>
      <c r="S150" s="288"/>
      <c r="T150" s="288"/>
      <c r="U150" s="288"/>
      <c r="V150" s="338">
        <v>0</v>
      </c>
      <c r="W150" s="291"/>
      <c r="X150" s="5"/>
      <c r="Y150" s="109"/>
    </row>
    <row r="151" spans="1:25" ht="15.6" x14ac:dyDescent="0.3">
      <c r="A151" s="287"/>
      <c r="B151" s="288" t="s">
        <v>46</v>
      </c>
      <c r="C151" s="288"/>
      <c r="D151" s="288"/>
      <c r="E151" s="288"/>
      <c r="F151" s="288"/>
      <c r="G151" s="288"/>
      <c r="H151" s="288"/>
      <c r="I151" s="288"/>
      <c r="J151" s="288"/>
      <c r="K151" s="288"/>
      <c r="L151" s="288"/>
      <c r="M151" s="288"/>
      <c r="N151" s="288"/>
      <c r="O151" s="288"/>
      <c r="P151" s="288"/>
      <c r="Q151" s="288"/>
      <c r="R151" s="288"/>
      <c r="S151" s="288"/>
      <c r="T151" s="288"/>
      <c r="U151" s="288"/>
      <c r="V151" s="338">
        <f>SUM(V143:V150)</f>
        <v>28505</v>
      </c>
      <c r="W151" s="291"/>
      <c r="X151" s="5"/>
    </row>
    <row r="152" spans="1:25" ht="15.6" x14ac:dyDescent="0.3">
      <c r="A152" s="287"/>
      <c r="B152" s="314"/>
      <c r="C152" s="314"/>
      <c r="D152" s="314"/>
      <c r="E152" s="314"/>
      <c r="F152" s="314"/>
      <c r="G152" s="314"/>
      <c r="H152" s="314"/>
      <c r="I152" s="314"/>
      <c r="J152" s="314"/>
      <c r="K152" s="314"/>
      <c r="L152" s="314"/>
      <c r="M152" s="314"/>
      <c r="N152" s="314"/>
      <c r="O152" s="314"/>
      <c r="P152" s="314"/>
      <c r="Q152" s="314"/>
      <c r="R152" s="314"/>
      <c r="S152" s="314"/>
      <c r="T152" s="314"/>
      <c r="U152" s="314"/>
      <c r="V152" s="345"/>
      <c r="W152" s="318"/>
      <c r="X152" s="5"/>
    </row>
    <row r="153" spans="1:25" ht="15.6" x14ac:dyDescent="0.3">
      <c r="A153" s="287"/>
      <c r="B153" s="343" t="s">
        <v>237</v>
      </c>
      <c r="C153" s="314"/>
      <c r="D153" s="314"/>
      <c r="E153" s="314"/>
      <c r="F153" s="314"/>
      <c r="G153" s="314"/>
      <c r="H153" s="314"/>
      <c r="I153" s="314"/>
      <c r="J153" s="314"/>
      <c r="K153" s="314"/>
      <c r="L153" s="314"/>
      <c r="M153" s="314"/>
      <c r="N153" s="314"/>
      <c r="O153" s="314"/>
      <c r="P153" s="314"/>
      <c r="Q153" s="314"/>
      <c r="R153" s="314"/>
      <c r="S153" s="314"/>
      <c r="T153" s="314"/>
      <c r="U153" s="314"/>
      <c r="V153" s="345"/>
      <c r="W153" s="318"/>
      <c r="X153" s="5"/>
    </row>
    <row r="154" spans="1:25" ht="15.6" x14ac:dyDescent="0.3">
      <c r="A154" s="287"/>
      <c r="B154" s="288" t="s">
        <v>155</v>
      </c>
      <c r="C154" s="288"/>
      <c r="D154" s="288"/>
      <c r="E154" s="288"/>
      <c r="F154" s="288"/>
      <c r="G154" s="288"/>
      <c r="H154" s="288"/>
      <c r="I154" s="288"/>
      <c r="J154" s="288"/>
      <c r="K154" s="288"/>
      <c r="L154" s="288"/>
      <c r="M154" s="288"/>
      <c r="N154" s="288"/>
      <c r="O154" s="288"/>
      <c r="P154" s="288"/>
      <c r="Q154" s="288"/>
      <c r="R154" s="288"/>
      <c r="S154" s="288"/>
      <c r="T154" s="288"/>
      <c r="U154" s="288"/>
      <c r="V154" s="338">
        <v>7500</v>
      </c>
      <c r="W154" s="291"/>
      <c r="X154" s="5"/>
    </row>
    <row r="155" spans="1:25" ht="15.6" x14ac:dyDescent="0.3">
      <c r="A155" s="287"/>
      <c r="B155" s="288" t="s">
        <v>172</v>
      </c>
      <c r="C155" s="288"/>
      <c r="D155" s="288"/>
      <c r="E155" s="288"/>
      <c r="F155" s="288"/>
      <c r="G155" s="288"/>
      <c r="H155" s="288"/>
      <c r="I155" s="288"/>
      <c r="J155" s="288"/>
      <c r="K155" s="288"/>
      <c r="L155" s="288"/>
      <c r="M155" s="288"/>
      <c r="N155" s="288"/>
      <c r="O155" s="288"/>
      <c r="P155" s="288"/>
      <c r="Q155" s="288"/>
      <c r="R155" s="288"/>
      <c r="S155" s="288"/>
      <c r="T155" s="288"/>
      <c r="U155" s="288"/>
      <c r="V155" s="338">
        <v>0</v>
      </c>
      <c r="W155" s="291"/>
      <c r="X155" s="5"/>
    </row>
    <row r="156" spans="1:25" ht="15.6" x14ac:dyDescent="0.3">
      <c r="A156" s="287"/>
      <c r="B156" s="288" t="s">
        <v>344</v>
      </c>
      <c r="C156" s="288"/>
      <c r="D156" s="288"/>
      <c r="E156" s="288"/>
      <c r="F156" s="288"/>
      <c r="G156" s="288"/>
      <c r="H156" s="288"/>
      <c r="I156" s="288"/>
      <c r="J156" s="288"/>
      <c r="K156" s="288"/>
      <c r="L156" s="288"/>
      <c r="M156" s="288"/>
      <c r="N156" s="288"/>
      <c r="O156" s="288"/>
      <c r="P156" s="288"/>
      <c r="Q156" s="288"/>
      <c r="R156" s="288"/>
      <c r="S156" s="288"/>
      <c r="T156" s="288"/>
      <c r="U156" s="288"/>
      <c r="V156" s="338">
        <v>0</v>
      </c>
      <c r="W156" s="291"/>
      <c r="X156" s="5"/>
    </row>
    <row r="157" spans="1:25" ht="15.6" x14ac:dyDescent="0.3">
      <c r="A157" s="287"/>
      <c r="B157" s="288"/>
      <c r="C157" s="288"/>
      <c r="D157" s="288"/>
      <c r="E157" s="288"/>
      <c r="F157" s="288"/>
      <c r="G157" s="288"/>
      <c r="H157" s="288"/>
      <c r="I157" s="288"/>
      <c r="J157" s="288"/>
      <c r="K157" s="288"/>
      <c r="L157" s="288"/>
      <c r="M157" s="288"/>
      <c r="N157" s="288"/>
      <c r="O157" s="288"/>
      <c r="P157" s="288"/>
      <c r="Q157" s="288"/>
      <c r="R157" s="288"/>
      <c r="S157" s="288"/>
      <c r="T157" s="288"/>
      <c r="U157" s="288"/>
      <c r="V157" s="338"/>
      <c r="W157" s="291"/>
      <c r="X157" s="5"/>
    </row>
    <row r="158" spans="1:25" ht="15.6" x14ac:dyDescent="0.3">
      <c r="A158" s="183"/>
      <c r="B158" s="198"/>
      <c r="C158" s="198"/>
      <c r="D158" s="198"/>
      <c r="E158" s="198"/>
      <c r="F158" s="198"/>
      <c r="G158" s="198"/>
      <c r="H158" s="198"/>
      <c r="I158" s="198"/>
      <c r="J158" s="198"/>
      <c r="K158" s="198"/>
      <c r="L158" s="198"/>
      <c r="M158" s="198"/>
      <c r="N158" s="198"/>
      <c r="O158" s="198"/>
      <c r="P158" s="198"/>
      <c r="Q158" s="198"/>
      <c r="R158" s="198"/>
      <c r="S158" s="198"/>
      <c r="T158" s="198"/>
      <c r="U158" s="198"/>
      <c r="V158" s="347"/>
      <c r="W158" s="198"/>
      <c r="X158" s="5"/>
    </row>
    <row r="159" spans="1:25" ht="15.6" x14ac:dyDescent="0.3">
      <c r="A159" s="183"/>
      <c r="B159" s="208" t="s">
        <v>24</v>
      </c>
      <c r="C159" s="185"/>
      <c r="D159" s="185"/>
      <c r="E159" s="185"/>
      <c r="F159" s="185"/>
      <c r="G159" s="185"/>
      <c r="H159" s="185"/>
      <c r="I159" s="185"/>
      <c r="J159" s="185"/>
      <c r="K159" s="185"/>
      <c r="L159" s="185"/>
      <c r="M159" s="185"/>
      <c r="N159" s="185"/>
      <c r="O159" s="185"/>
      <c r="P159" s="185"/>
      <c r="Q159" s="185"/>
      <c r="R159" s="185"/>
      <c r="S159" s="185"/>
      <c r="T159" s="185"/>
      <c r="U159" s="185"/>
      <c r="V159" s="201"/>
      <c r="W159" s="185"/>
      <c r="X159" s="5"/>
    </row>
    <row r="160" spans="1:25" ht="15.6" x14ac:dyDescent="0.3">
      <c r="A160" s="287"/>
      <c r="B160" s="288" t="s">
        <v>47</v>
      </c>
      <c r="C160" s="288"/>
      <c r="D160" s="288"/>
      <c r="E160" s="288"/>
      <c r="F160" s="288"/>
      <c r="G160" s="288"/>
      <c r="H160" s="288"/>
      <c r="I160" s="288"/>
      <c r="J160" s="288"/>
      <c r="K160" s="288"/>
      <c r="L160" s="288"/>
      <c r="M160" s="288"/>
      <c r="N160" s="288"/>
      <c r="O160" s="288"/>
      <c r="P160" s="288"/>
      <c r="Q160" s="288"/>
      <c r="R160" s="288"/>
      <c r="S160" s="288"/>
      <c r="T160" s="288"/>
      <c r="U160" s="288"/>
      <c r="V160" s="348" t="s">
        <v>118</v>
      </c>
      <c r="W160" s="291"/>
      <c r="X160" s="5"/>
    </row>
    <row r="161" spans="1:256" ht="15.6" x14ac:dyDescent="0.3">
      <c r="A161" s="287"/>
      <c r="B161" s="288" t="s">
        <v>48</v>
      </c>
      <c r="C161" s="290"/>
      <c r="D161" s="290"/>
      <c r="E161" s="290"/>
      <c r="F161" s="290"/>
      <c r="G161" s="290"/>
      <c r="H161" s="290"/>
      <c r="I161" s="290"/>
      <c r="J161" s="290"/>
      <c r="K161" s="290"/>
      <c r="L161" s="290"/>
      <c r="M161" s="290"/>
      <c r="N161" s="290"/>
      <c r="O161" s="290"/>
      <c r="P161" s="290"/>
      <c r="Q161" s="290"/>
      <c r="R161" s="290"/>
      <c r="S161" s="290"/>
      <c r="T161" s="290"/>
      <c r="U161" s="290"/>
      <c r="V161" s="348" t="s">
        <v>118</v>
      </c>
      <c r="W161" s="291"/>
      <c r="X161" s="5"/>
    </row>
    <row r="162" spans="1:256" ht="15.6" x14ac:dyDescent="0.3">
      <c r="A162" s="287"/>
      <c r="B162" s="288" t="s">
        <v>49</v>
      </c>
      <c r="C162" s="288"/>
      <c r="D162" s="288"/>
      <c r="E162" s="288"/>
      <c r="F162" s="288"/>
      <c r="G162" s="288"/>
      <c r="H162" s="288"/>
      <c r="I162" s="288"/>
      <c r="J162" s="288"/>
      <c r="K162" s="288"/>
      <c r="L162" s="288"/>
      <c r="M162" s="288"/>
      <c r="N162" s="288"/>
      <c r="O162" s="288"/>
      <c r="P162" s="288"/>
      <c r="Q162" s="288"/>
      <c r="R162" s="288"/>
      <c r="S162" s="288"/>
      <c r="T162" s="288"/>
      <c r="U162" s="288"/>
      <c r="V162" s="348" t="s">
        <v>118</v>
      </c>
      <c r="W162" s="291"/>
      <c r="X162" s="5"/>
    </row>
    <row r="163" spans="1:256" ht="15.6" x14ac:dyDescent="0.3">
      <c r="A163" s="287"/>
      <c r="B163" s="288" t="s">
        <v>50</v>
      </c>
      <c r="C163" s="288"/>
      <c r="D163" s="288"/>
      <c r="E163" s="288"/>
      <c r="F163" s="288"/>
      <c r="G163" s="288"/>
      <c r="H163" s="288"/>
      <c r="I163" s="288"/>
      <c r="J163" s="288"/>
      <c r="K163" s="288"/>
      <c r="L163" s="288"/>
      <c r="M163" s="288"/>
      <c r="N163" s="288"/>
      <c r="O163" s="288"/>
      <c r="P163" s="288"/>
      <c r="Q163" s="288"/>
      <c r="R163" s="288"/>
      <c r="S163" s="288"/>
      <c r="T163" s="288"/>
      <c r="U163" s="288"/>
      <c r="V163" s="348" t="s">
        <v>118</v>
      </c>
      <c r="W163" s="291"/>
      <c r="X163" s="5"/>
    </row>
    <row r="164" spans="1:256" ht="15.6" x14ac:dyDescent="0.3">
      <c r="A164" s="183"/>
      <c r="B164" s="198"/>
      <c r="C164" s="198"/>
      <c r="D164" s="198"/>
      <c r="E164" s="198"/>
      <c r="F164" s="198"/>
      <c r="G164" s="198"/>
      <c r="H164" s="198"/>
      <c r="I164" s="198"/>
      <c r="J164" s="198"/>
      <c r="K164" s="198"/>
      <c r="L164" s="198"/>
      <c r="M164" s="198"/>
      <c r="N164" s="198"/>
      <c r="O164" s="198"/>
      <c r="P164" s="198"/>
      <c r="Q164" s="198"/>
      <c r="R164" s="198"/>
      <c r="S164" s="198"/>
      <c r="T164" s="198"/>
      <c r="U164" s="198"/>
      <c r="V164" s="347"/>
      <c r="W164" s="198"/>
      <c r="X164" s="5"/>
    </row>
    <row r="165" spans="1:256" ht="15.6" x14ac:dyDescent="0.3">
      <c r="A165" s="183"/>
      <c r="B165" s="208" t="s">
        <v>51</v>
      </c>
      <c r="C165" s="185"/>
      <c r="D165" s="185"/>
      <c r="E165" s="185"/>
      <c r="F165" s="185"/>
      <c r="G165" s="185"/>
      <c r="H165" s="185"/>
      <c r="I165" s="185"/>
      <c r="J165" s="185"/>
      <c r="K165" s="185"/>
      <c r="L165" s="185"/>
      <c r="M165" s="185"/>
      <c r="N165" s="185"/>
      <c r="O165" s="185"/>
      <c r="P165" s="185"/>
      <c r="Q165" s="185"/>
      <c r="R165" s="185"/>
      <c r="S165" s="185"/>
      <c r="T165" s="185"/>
      <c r="U165" s="185"/>
      <c r="V165" s="209"/>
      <c r="W165" s="185"/>
      <c r="X165" s="5"/>
    </row>
    <row r="166" spans="1:256" ht="15.6" x14ac:dyDescent="0.3">
      <c r="A166" s="287"/>
      <c r="B166" s="288" t="s">
        <v>52</v>
      </c>
      <c r="C166" s="288"/>
      <c r="D166" s="288"/>
      <c r="E166" s="288"/>
      <c r="F166" s="288"/>
      <c r="G166" s="288"/>
      <c r="H166" s="288"/>
      <c r="I166" s="288"/>
      <c r="J166" s="288"/>
      <c r="K166" s="288"/>
      <c r="L166" s="288"/>
      <c r="M166" s="288"/>
      <c r="N166" s="288"/>
      <c r="O166" s="288"/>
      <c r="P166" s="288"/>
      <c r="Q166" s="288"/>
      <c r="R166" s="288"/>
      <c r="S166" s="288"/>
      <c r="T166" s="288"/>
      <c r="U166" s="288"/>
      <c r="V166" s="338">
        <v>0</v>
      </c>
      <c r="W166" s="291"/>
      <c r="X166" s="5"/>
    </row>
    <row r="167" spans="1:256" ht="15.6" x14ac:dyDescent="0.3">
      <c r="A167" s="287"/>
      <c r="B167" s="288" t="s">
        <v>53</v>
      </c>
      <c r="C167" s="288"/>
      <c r="D167" s="288"/>
      <c r="E167" s="288"/>
      <c r="F167" s="288"/>
      <c r="G167" s="288"/>
      <c r="H167" s="288"/>
      <c r="I167" s="288"/>
      <c r="J167" s="288"/>
      <c r="K167" s="288"/>
      <c r="L167" s="288"/>
      <c r="M167" s="288"/>
      <c r="N167" s="288"/>
      <c r="O167" s="288"/>
      <c r="P167" s="288"/>
      <c r="Q167" s="288"/>
      <c r="R167" s="288"/>
      <c r="S167" s="288"/>
      <c r="T167" s="288"/>
      <c r="U167" s="288"/>
      <c r="V167" s="338">
        <v>167</v>
      </c>
      <c r="W167" s="291"/>
      <c r="X167" s="5"/>
    </row>
    <row r="168" spans="1:256" ht="15.6" x14ac:dyDescent="0.3">
      <c r="A168" s="287"/>
      <c r="B168" s="288" t="s">
        <v>54</v>
      </c>
      <c r="C168" s="288"/>
      <c r="D168" s="288"/>
      <c r="E168" s="288"/>
      <c r="F168" s="288"/>
      <c r="G168" s="288"/>
      <c r="H168" s="288"/>
      <c r="I168" s="288"/>
      <c r="J168" s="288"/>
      <c r="K168" s="288"/>
      <c r="L168" s="288"/>
      <c r="M168" s="288"/>
      <c r="N168" s="288"/>
      <c r="O168" s="288"/>
      <c r="P168" s="288"/>
      <c r="Q168" s="288"/>
      <c r="R168" s="288"/>
      <c r="S168" s="288"/>
      <c r="T168" s="288"/>
      <c r="U168" s="288"/>
      <c r="V168" s="338">
        <f>V167+V166</f>
        <v>167</v>
      </c>
      <c r="W168" s="291"/>
      <c r="X168" s="5"/>
    </row>
    <row r="169" spans="1:256" ht="15.6" x14ac:dyDescent="0.3">
      <c r="A169" s="287"/>
      <c r="B169" s="288" t="s">
        <v>315</v>
      </c>
      <c r="C169" s="288"/>
      <c r="D169" s="288"/>
      <c r="E169" s="288"/>
      <c r="F169" s="288"/>
      <c r="G169" s="288"/>
      <c r="H169" s="288"/>
      <c r="I169" s="288"/>
      <c r="J169" s="288"/>
      <c r="K169" s="288"/>
      <c r="L169" s="288"/>
      <c r="M169" s="288"/>
      <c r="N169" s="288"/>
      <c r="O169" s="288"/>
      <c r="P169" s="288"/>
      <c r="Q169" s="288"/>
      <c r="R169" s="288"/>
      <c r="S169" s="288"/>
      <c r="T169" s="288"/>
      <c r="U169" s="288"/>
      <c r="V169" s="338">
        <f>V115</f>
        <v>-167</v>
      </c>
      <c r="W169" s="291"/>
      <c r="X169" s="5"/>
    </row>
    <row r="170" spans="1:256" ht="15.6" x14ac:dyDescent="0.3">
      <c r="A170" s="287"/>
      <c r="B170" s="288" t="s">
        <v>55</v>
      </c>
      <c r="C170" s="288"/>
      <c r="D170" s="288"/>
      <c r="E170" s="288"/>
      <c r="F170" s="288"/>
      <c r="G170" s="288"/>
      <c r="H170" s="288"/>
      <c r="I170" s="288"/>
      <c r="J170" s="288"/>
      <c r="K170" s="288"/>
      <c r="L170" s="288"/>
      <c r="M170" s="288"/>
      <c r="N170" s="288"/>
      <c r="O170" s="288"/>
      <c r="P170" s="288"/>
      <c r="Q170" s="288"/>
      <c r="R170" s="288"/>
      <c r="S170" s="288"/>
      <c r="T170" s="288"/>
      <c r="U170" s="288"/>
      <c r="V170" s="338">
        <f>V168+V169</f>
        <v>0</v>
      </c>
      <c r="W170" s="291"/>
      <c r="X170" s="5"/>
    </row>
    <row r="171" spans="1:256" ht="15.6" x14ac:dyDescent="0.3">
      <c r="A171" s="287"/>
      <c r="B171" s="288" t="s">
        <v>283</v>
      </c>
      <c r="C171" s="288"/>
      <c r="D171" s="288"/>
      <c r="E171" s="288"/>
      <c r="F171" s="288"/>
      <c r="G171" s="288"/>
      <c r="H171" s="288"/>
      <c r="I171" s="288"/>
      <c r="J171" s="288"/>
      <c r="K171" s="288"/>
      <c r="L171" s="288"/>
      <c r="M171" s="288"/>
      <c r="N171" s="288"/>
      <c r="O171" s="288"/>
      <c r="P171" s="288"/>
      <c r="Q171" s="288"/>
      <c r="R171" s="288"/>
      <c r="S171" s="288"/>
      <c r="T171" s="288"/>
      <c r="U171" s="288"/>
      <c r="V171" s="338">
        <f>-V100</f>
        <v>84</v>
      </c>
      <c r="W171" s="291"/>
      <c r="X171" s="5"/>
    </row>
    <row r="172" spans="1:256" ht="16.2" thickBot="1" x14ac:dyDescent="0.35">
      <c r="A172" s="183"/>
      <c r="B172" s="284"/>
      <c r="C172" s="284"/>
      <c r="D172" s="284"/>
      <c r="E172" s="284"/>
      <c r="F172" s="284"/>
      <c r="G172" s="284"/>
      <c r="H172" s="284"/>
      <c r="I172" s="284"/>
      <c r="J172" s="284"/>
      <c r="K172" s="284"/>
      <c r="L172" s="284"/>
      <c r="M172" s="284"/>
      <c r="N172" s="284"/>
      <c r="O172" s="284"/>
      <c r="P172" s="284"/>
      <c r="Q172" s="284"/>
      <c r="R172" s="284"/>
      <c r="S172" s="284"/>
      <c r="T172" s="284"/>
      <c r="U172" s="284"/>
      <c r="V172" s="349"/>
      <c r="W172" s="284"/>
      <c r="X172" s="5"/>
    </row>
    <row r="173" spans="1:256" ht="15.6" x14ac:dyDescent="0.3">
      <c r="A173" s="180"/>
      <c r="B173" s="247"/>
      <c r="C173" s="247"/>
      <c r="D173" s="247"/>
      <c r="E173" s="247"/>
      <c r="F173" s="247"/>
      <c r="G173" s="247"/>
      <c r="H173" s="247"/>
      <c r="I173" s="247"/>
      <c r="J173" s="247"/>
      <c r="K173" s="247"/>
      <c r="L173" s="247"/>
      <c r="M173" s="247"/>
      <c r="N173" s="247"/>
      <c r="O173" s="247"/>
      <c r="P173" s="247"/>
      <c r="Q173" s="247"/>
      <c r="R173" s="247"/>
      <c r="S173" s="247"/>
      <c r="T173" s="247"/>
      <c r="U173" s="247"/>
      <c r="V173" s="248"/>
      <c r="W173" s="247"/>
      <c r="X173" s="5"/>
    </row>
    <row r="174" spans="1:256" s="161" customFormat="1" ht="15.6" x14ac:dyDescent="0.3">
      <c r="A174" s="183"/>
      <c r="B174" s="208" t="s">
        <v>269</v>
      </c>
      <c r="C174" s="198"/>
      <c r="D174" s="198"/>
      <c r="E174" s="198"/>
      <c r="F174" s="198"/>
      <c r="G174" s="198"/>
      <c r="H174" s="198"/>
      <c r="I174" s="198"/>
      <c r="J174" s="198"/>
      <c r="K174" s="198"/>
      <c r="L174" s="198"/>
      <c r="M174" s="198"/>
      <c r="N174" s="198"/>
      <c r="O174" s="198"/>
      <c r="P174" s="198"/>
      <c r="Q174" s="198"/>
      <c r="R174" s="198"/>
      <c r="S174" s="198"/>
      <c r="T174" s="198"/>
      <c r="U174" s="198"/>
      <c r="V174" s="210"/>
      <c r="W174" s="198"/>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5.6" x14ac:dyDescent="0.3">
      <c r="A175" s="287"/>
      <c r="B175" s="288" t="s">
        <v>270</v>
      </c>
      <c r="C175" s="288"/>
      <c r="D175" s="288"/>
      <c r="E175" s="288"/>
      <c r="F175" s="288"/>
      <c r="G175" s="288"/>
      <c r="H175" s="288"/>
      <c r="I175" s="288"/>
      <c r="J175" s="288"/>
      <c r="K175" s="288"/>
      <c r="L175" s="288"/>
      <c r="M175" s="288"/>
      <c r="N175" s="288"/>
      <c r="O175" s="288"/>
      <c r="P175" s="288"/>
      <c r="Q175" s="288"/>
      <c r="R175" s="288"/>
      <c r="S175" s="288"/>
      <c r="T175" s="288"/>
      <c r="U175" s="288"/>
      <c r="V175" s="338">
        <f>+'Aug 08'!V177</f>
        <v>0</v>
      </c>
      <c r="W175" s="291"/>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3" customFormat="1" ht="15.6" x14ac:dyDescent="0.3">
      <c r="A176" s="287"/>
      <c r="B176" s="288" t="s">
        <v>273</v>
      </c>
      <c r="C176" s="288"/>
      <c r="D176" s="288"/>
      <c r="E176" s="288"/>
      <c r="F176" s="288"/>
      <c r="G176" s="288"/>
      <c r="H176" s="288"/>
      <c r="I176" s="288"/>
      <c r="J176" s="288"/>
      <c r="K176" s="288"/>
      <c r="L176" s="288"/>
      <c r="M176" s="288"/>
      <c r="N176" s="288"/>
      <c r="O176" s="288"/>
      <c r="P176" s="288"/>
      <c r="Q176" s="288"/>
      <c r="R176" s="288"/>
      <c r="S176" s="288"/>
      <c r="T176" s="288"/>
      <c r="U176" s="288"/>
      <c r="V176" s="338">
        <f>+V94</f>
        <v>0</v>
      </c>
      <c r="W176" s="291"/>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s="163" customFormat="1" ht="15.6" x14ac:dyDescent="0.3">
      <c r="A177" s="287"/>
      <c r="B177" s="288" t="s">
        <v>271</v>
      </c>
      <c r="C177" s="288"/>
      <c r="D177" s="288"/>
      <c r="E177" s="288"/>
      <c r="F177" s="288"/>
      <c r="G177" s="288"/>
      <c r="H177" s="288"/>
      <c r="I177" s="288"/>
      <c r="J177" s="288"/>
      <c r="K177" s="288"/>
      <c r="L177" s="288"/>
      <c r="M177" s="288"/>
      <c r="N177" s="288"/>
      <c r="O177" s="288"/>
      <c r="P177" s="288"/>
      <c r="Q177" s="288"/>
      <c r="R177" s="288"/>
      <c r="S177" s="288"/>
      <c r="T177" s="288"/>
      <c r="U177" s="288"/>
      <c r="V177" s="338">
        <f>+V175-V176</f>
        <v>0</v>
      </c>
      <c r="W177" s="291"/>
      <c r="X177" s="5"/>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s="166" customFormat="1" ht="16.2" thickBot="1" x14ac:dyDescent="0.35">
      <c r="A178" s="199"/>
      <c r="B178" s="198"/>
      <c r="C178" s="198"/>
      <c r="D178" s="198"/>
      <c r="E178" s="198"/>
      <c r="F178" s="198"/>
      <c r="G178" s="198"/>
      <c r="H178" s="198"/>
      <c r="I178" s="198"/>
      <c r="J178" s="198"/>
      <c r="K178" s="198"/>
      <c r="L178" s="198"/>
      <c r="M178" s="198"/>
      <c r="N178" s="198"/>
      <c r="O178" s="198"/>
      <c r="P178" s="198"/>
      <c r="Q178" s="198"/>
      <c r="R178" s="198"/>
      <c r="S178" s="198"/>
      <c r="T178" s="198"/>
      <c r="U178" s="198"/>
      <c r="V178" s="347"/>
      <c r="W178" s="198"/>
      <c r="X178" s="5"/>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s="167" customFormat="1" ht="15.6" x14ac:dyDescent="0.3">
      <c r="A179" s="180"/>
      <c r="B179" s="181"/>
      <c r="C179" s="181"/>
      <c r="D179" s="181"/>
      <c r="E179" s="181"/>
      <c r="F179" s="181"/>
      <c r="G179" s="181"/>
      <c r="H179" s="181"/>
      <c r="I179" s="181"/>
      <c r="J179" s="181"/>
      <c r="K179" s="181"/>
      <c r="L179" s="181"/>
      <c r="M179" s="181"/>
      <c r="N179" s="181"/>
      <c r="O179" s="181"/>
      <c r="P179" s="181"/>
      <c r="Q179" s="181"/>
      <c r="R179" s="181"/>
      <c r="S179" s="181"/>
      <c r="T179" s="181"/>
      <c r="U179" s="181"/>
      <c r="V179" s="200"/>
      <c r="W179" s="181"/>
      <c r="X179" s="5"/>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ht="15.6" x14ac:dyDescent="0.3">
      <c r="A180" s="183"/>
      <c r="B180" s="208" t="s">
        <v>56</v>
      </c>
      <c r="C180" s="185"/>
      <c r="D180" s="185"/>
      <c r="E180" s="185"/>
      <c r="F180" s="185"/>
      <c r="G180" s="185"/>
      <c r="H180" s="185"/>
      <c r="I180" s="185"/>
      <c r="J180" s="185"/>
      <c r="K180" s="185"/>
      <c r="L180" s="185"/>
      <c r="M180" s="185"/>
      <c r="N180" s="185"/>
      <c r="O180" s="185"/>
      <c r="P180" s="185"/>
      <c r="Q180" s="185"/>
      <c r="R180" s="185"/>
      <c r="S180" s="185"/>
      <c r="T180" s="185"/>
      <c r="U180" s="185"/>
      <c r="V180" s="201"/>
      <c r="W180" s="185"/>
      <c r="X180" s="5"/>
    </row>
    <row r="181" spans="1:256" ht="15.6" x14ac:dyDescent="0.3">
      <c r="A181" s="183"/>
      <c r="B181" s="195"/>
      <c r="C181" s="185"/>
      <c r="D181" s="185"/>
      <c r="E181" s="185"/>
      <c r="F181" s="185"/>
      <c r="G181" s="185"/>
      <c r="H181" s="185"/>
      <c r="I181" s="185"/>
      <c r="J181" s="185"/>
      <c r="K181" s="185"/>
      <c r="L181" s="185"/>
      <c r="M181" s="185"/>
      <c r="N181" s="185"/>
      <c r="O181" s="185"/>
      <c r="P181" s="185"/>
      <c r="Q181" s="185"/>
      <c r="R181" s="185"/>
      <c r="S181" s="185"/>
      <c r="T181" s="185"/>
      <c r="U181" s="185"/>
      <c r="V181" s="201"/>
      <c r="W181" s="185"/>
      <c r="X181" s="5"/>
    </row>
    <row r="182" spans="1:256" ht="15.6" x14ac:dyDescent="0.3">
      <c r="A182" s="287"/>
      <c r="B182" s="288" t="s">
        <v>57</v>
      </c>
      <c r="C182" s="288"/>
      <c r="D182" s="288"/>
      <c r="E182" s="288"/>
      <c r="F182" s="288"/>
      <c r="G182" s="288"/>
      <c r="H182" s="288"/>
      <c r="I182" s="288"/>
      <c r="J182" s="288"/>
      <c r="K182" s="288"/>
      <c r="L182" s="288"/>
      <c r="M182" s="288"/>
      <c r="N182" s="288"/>
      <c r="O182" s="288"/>
      <c r="P182" s="288"/>
      <c r="Q182" s="288"/>
      <c r="R182" s="288"/>
      <c r="S182" s="288"/>
      <c r="T182" s="288"/>
      <c r="U182" s="288"/>
      <c r="V182" s="338">
        <f>V71</f>
        <v>1059091</v>
      </c>
      <c r="W182" s="291"/>
      <c r="X182" s="5"/>
    </row>
    <row r="183" spans="1:256" ht="15.6" x14ac:dyDescent="0.3">
      <c r="A183" s="287"/>
      <c r="B183" s="288" t="s">
        <v>58</v>
      </c>
      <c r="C183" s="288"/>
      <c r="D183" s="288"/>
      <c r="E183" s="288"/>
      <c r="F183" s="288"/>
      <c r="G183" s="288"/>
      <c r="H183" s="288"/>
      <c r="I183" s="288"/>
      <c r="J183" s="288"/>
      <c r="K183" s="288"/>
      <c r="L183" s="288"/>
      <c r="M183" s="288"/>
      <c r="N183" s="288"/>
      <c r="O183" s="288"/>
      <c r="P183" s="288"/>
      <c r="Q183" s="288"/>
      <c r="R183" s="288"/>
      <c r="S183" s="288"/>
      <c r="T183" s="288"/>
      <c r="U183" s="288"/>
      <c r="V183" s="338">
        <f>V84</f>
        <v>1059091</v>
      </c>
      <c r="W183" s="291"/>
      <c r="X183" s="5"/>
    </row>
    <row r="184" spans="1:256" ht="16.2" thickBot="1" x14ac:dyDescent="0.35">
      <c r="A184" s="183"/>
      <c r="B184" s="198"/>
      <c r="C184" s="198"/>
      <c r="D184" s="198"/>
      <c r="E184" s="198"/>
      <c r="F184" s="198"/>
      <c r="G184" s="198"/>
      <c r="H184" s="198"/>
      <c r="I184" s="198"/>
      <c r="J184" s="198"/>
      <c r="K184" s="198"/>
      <c r="L184" s="198"/>
      <c r="M184" s="198"/>
      <c r="N184" s="198"/>
      <c r="O184" s="198"/>
      <c r="P184" s="198"/>
      <c r="Q184" s="198"/>
      <c r="R184" s="198"/>
      <c r="S184" s="198"/>
      <c r="T184" s="198"/>
      <c r="U184" s="198"/>
      <c r="V184" s="347"/>
      <c r="W184" s="198"/>
      <c r="X184" s="5"/>
    </row>
    <row r="185" spans="1:256" ht="15.6" x14ac:dyDescent="0.3">
      <c r="A185" s="180"/>
      <c r="B185" s="181"/>
      <c r="C185" s="181"/>
      <c r="D185" s="181"/>
      <c r="E185" s="181"/>
      <c r="F185" s="181"/>
      <c r="G185" s="181"/>
      <c r="H185" s="181"/>
      <c r="I185" s="181"/>
      <c r="J185" s="181"/>
      <c r="K185" s="181"/>
      <c r="L185" s="181"/>
      <c r="M185" s="181"/>
      <c r="N185" s="181"/>
      <c r="O185" s="181"/>
      <c r="P185" s="181"/>
      <c r="Q185" s="181"/>
      <c r="R185" s="181"/>
      <c r="S185" s="181"/>
      <c r="T185" s="181"/>
      <c r="U185" s="181"/>
      <c r="V185" s="200"/>
      <c r="W185" s="181"/>
      <c r="X185" s="5"/>
    </row>
    <row r="186" spans="1:256" ht="15.6" x14ac:dyDescent="0.3">
      <c r="A186" s="183"/>
      <c r="B186" s="208" t="s">
        <v>59</v>
      </c>
      <c r="C186" s="205"/>
      <c r="D186" s="205"/>
      <c r="E186" s="205"/>
      <c r="F186" s="205"/>
      <c r="G186" s="205"/>
      <c r="H186" s="211"/>
      <c r="I186" s="211"/>
      <c r="J186" s="211"/>
      <c r="K186" s="211"/>
      <c r="L186" s="211"/>
      <c r="M186" s="211"/>
      <c r="N186" s="211"/>
      <c r="O186" s="211"/>
      <c r="P186" s="211"/>
      <c r="Q186" s="211"/>
      <c r="R186" s="211"/>
      <c r="S186" s="211" t="s">
        <v>101</v>
      </c>
      <c r="T186" s="211" t="s">
        <v>176</v>
      </c>
      <c r="U186" s="187"/>
      <c r="V186" s="212" t="s">
        <v>114</v>
      </c>
      <c r="W186" s="213"/>
      <c r="X186" s="5"/>
    </row>
    <row r="187" spans="1:256" ht="15.6" x14ac:dyDescent="0.3">
      <c r="A187" s="287"/>
      <c r="B187" s="288" t="s">
        <v>60</v>
      </c>
      <c r="C187" s="288"/>
      <c r="D187" s="288"/>
      <c r="E187" s="288"/>
      <c r="F187" s="288"/>
      <c r="G187" s="288"/>
      <c r="H187" s="288"/>
      <c r="I187" s="288"/>
      <c r="J187" s="288"/>
      <c r="K187" s="288"/>
      <c r="L187" s="288"/>
      <c r="M187" s="288"/>
      <c r="N187" s="288"/>
      <c r="O187" s="288"/>
      <c r="P187" s="288"/>
      <c r="Q187" s="288"/>
      <c r="R187" s="288"/>
      <c r="S187" s="338">
        <f>+V34*0.16</f>
        <v>240044</v>
      </c>
      <c r="T187" s="325"/>
      <c r="U187" s="288"/>
      <c r="V187" s="338"/>
      <c r="W187" s="291"/>
      <c r="X187" s="5"/>
    </row>
    <row r="188" spans="1:256" ht="15.6" x14ac:dyDescent="0.3">
      <c r="A188" s="287"/>
      <c r="B188" s="288" t="s">
        <v>61</v>
      </c>
      <c r="C188" s="288"/>
      <c r="D188" s="288"/>
      <c r="E188" s="288"/>
      <c r="F188" s="288"/>
      <c r="G188" s="288"/>
      <c r="H188" s="288"/>
      <c r="I188" s="288"/>
      <c r="J188" s="288"/>
      <c r="K188" s="288"/>
      <c r="L188" s="288"/>
      <c r="M188" s="288"/>
      <c r="N188" s="288"/>
      <c r="O188" s="288"/>
      <c r="P188" s="288"/>
      <c r="Q188" s="288"/>
      <c r="R188" s="288"/>
      <c r="S188" s="338">
        <f>+'Feb 14'!S190</f>
        <v>24859</v>
      </c>
      <c r="T188" s="338">
        <f>+'Feb 14'!T190</f>
        <v>6013</v>
      </c>
      <c r="U188" s="288"/>
      <c r="V188" s="338">
        <f>S188+T188</f>
        <v>30872</v>
      </c>
      <c r="W188" s="291"/>
      <c r="X188" s="5"/>
    </row>
    <row r="189" spans="1:256" ht="15.6" x14ac:dyDescent="0.3">
      <c r="A189" s="287"/>
      <c r="B189" s="288" t="s">
        <v>62</v>
      </c>
      <c r="C189" s="288"/>
      <c r="D189" s="288"/>
      <c r="E189" s="288"/>
      <c r="F189" s="288"/>
      <c r="G189" s="288"/>
      <c r="H189" s="288"/>
      <c r="I189" s="288"/>
      <c r="J189" s="288"/>
      <c r="K189" s="288"/>
      <c r="L189" s="288"/>
      <c r="M189" s="288"/>
      <c r="N189" s="288"/>
      <c r="O189" s="288"/>
      <c r="P189" s="288"/>
      <c r="Q189" s="288"/>
      <c r="R189" s="288"/>
      <c r="S189" s="337">
        <v>50</v>
      </c>
      <c r="T189" s="337">
        <v>0</v>
      </c>
      <c r="U189" s="288"/>
      <c r="V189" s="338">
        <f>S189+T189</f>
        <v>50</v>
      </c>
      <c r="W189" s="291"/>
      <c r="X189" s="5"/>
    </row>
    <row r="190" spans="1:256" ht="15.6" x14ac:dyDescent="0.3">
      <c r="A190" s="287"/>
      <c r="B190" s="288" t="s">
        <v>63</v>
      </c>
      <c r="C190" s="288"/>
      <c r="D190" s="288"/>
      <c r="E190" s="288"/>
      <c r="F190" s="288"/>
      <c r="G190" s="288"/>
      <c r="H190" s="288"/>
      <c r="I190" s="288"/>
      <c r="J190" s="288"/>
      <c r="K190" s="288"/>
      <c r="L190" s="288"/>
      <c r="M190" s="288"/>
      <c r="N190" s="288"/>
      <c r="O190" s="288"/>
      <c r="P190" s="288"/>
      <c r="Q190" s="288"/>
      <c r="R190" s="288"/>
      <c r="S190" s="338">
        <f>S188+S189</f>
        <v>24909</v>
      </c>
      <c r="T190" s="338">
        <f>T189+T188</f>
        <v>6013</v>
      </c>
      <c r="U190" s="288"/>
      <c r="V190" s="338">
        <f>S190+T190</f>
        <v>30922</v>
      </c>
      <c r="W190" s="291"/>
      <c r="X190" s="5"/>
    </row>
    <row r="191" spans="1:256" ht="15.6" x14ac:dyDescent="0.3">
      <c r="A191" s="287"/>
      <c r="B191" s="288" t="s">
        <v>64</v>
      </c>
      <c r="C191" s="288"/>
      <c r="D191" s="288"/>
      <c r="E191" s="288"/>
      <c r="F191" s="288"/>
      <c r="G191" s="288"/>
      <c r="H191" s="288"/>
      <c r="I191" s="288"/>
      <c r="J191" s="288"/>
      <c r="K191" s="288"/>
      <c r="L191" s="288"/>
      <c r="M191" s="288"/>
      <c r="N191" s="288"/>
      <c r="O191" s="288"/>
      <c r="P191" s="288"/>
      <c r="Q191" s="288"/>
      <c r="R191" s="288"/>
      <c r="S191" s="338">
        <f>S187-S190-T190</f>
        <v>209122</v>
      </c>
      <c r="T191" s="325"/>
      <c r="U191" s="288"/>
      <c r="V191" s="338"/>
      <c r="W191" s="291"/>
      <c r="X191" s="5"/>
    </row>
    <row r="192" spans="1:256" ht="16.2" thickBot="1" x14ac:dyDescent="0.35">
      <c r="A192" s="183"/>
      <c r="B192" s="198"/>
      <c r="C192" s="198"/>
      <c r="D192" s="198"/>
      <c r="E192" s="198"/>
      <c r="F192" s="198"/>
      <c r="G192" s="198"/>
      <c r="H192" s="198"/>
      <c r="I192" s="198"/>
      <c r="J192" s="198"/>
      <c r="K192" s="198"/>
      <c r="L192" s="198"/>
      <c r="M192" s="198"/>
      <c r="N192" s="198"/>
      <c r="O192" s="198"/>
      <c r="P192" s="198"/>
      <c r="Q192" s="198"/>
      <c r="R192" s="198"/>
      <c r="S192" s="198"/>
      <c r="T192" s="198"/>
      <c r="U192" s="198"/>
      <c r="V192" s="347"/>
      <c r="W192" s="198"/>
      <c r="X192" s="5"/>
    </row>
    <row r="193" spans="1:24" ht="15.6" x14ac:dyDescent="0.3">
      <c r="A193" s="180"/>
      <c r="B193" s="181"/>
      <c r="C193" s="181"/>
      <c r="D193" s="181"/>
      <c r="E193" s="181"/>
      <c r="F193" s="181"/>
      <c r="G193" s="181"/>
      <c r="H193" s="181"/>
      <c r="I193" s="181"/>
      <c r="J193" s="181"/>
      <c r="K193" s="181"/>
      <c r="L193" s="181"/>
      <c r="M193" s="181"/>
      <c r="N193" s="181"/>
      <c r="O193" s="181"/>
      <c r="P193" s="181"/>
      <c r="Q193" s="181"/>
      <c r="R193" s="181"/>
      <c r="S193" s="181"/>
      <c r="T193" s="181"/>
      <c r="U193" s="181"/>
      <c r="V193" s="200"/>
      <c r="W193" s="181"/>
      <c r="X193" s="5"/>
    </row>
    <row r="194" spans="1:24" ht="15.6" x14ac:dyDescent="0.3">
      <c r="A194" s="183"/>
      <c r="B194" s="208" t="s">
        <v>65</v>
      </c>
      <c r="C194" s="185"/>
      <c r="D194" s="185"/>
      <c r="E194" s="185"/>
      <c r="F194" s="185"/>
      <c r="G194" s="185"/>
      <c r="H194" s="185"/>
      <c r="I194" s="185"/>
      <c r="J194" s="185"/>
      <c r="K194" s="185"/>
      <c r="L194" s="185"/>
      <c r="M194" s="185"/>
      <c r="N194" s="185"/>
      <c r="O194" s="185"/>
      <c r="P194" s="185"/>
      <c r="Q194" s="185"/>
      <c r="R194" s="185"/>
      <c r="S194" s="185"/>
      <c r="T194" s="185"/>
      <c r="U194" s="185"/>
      <c r="V194" s="214"/>
      <c r="W194" s="185"/>
      <c r="X194" s="5"/>
    </row>
    <row r="195" spans="1:24" ht="15.6" x14ac:dyDescent="0.3">
      <c r="A195" s="287"/>
      <c r="B195" s="288" t="s">
        <v>66</v>
      </c>
      <c r="C195" s="288"/>
      <c r="D195" s="288"/>
      <c r="E195" s="288"/>
      <c r="F195" s="288"/>
      <c r="G195" s="288"/>
      <c r="H195" s="288"/>
      <c r="I195" s="288"/>
      <c r="J195" s="288"/>
      <c r="K195" s="288"/>
      <c r="L195" s="288"/>
      <c r="M195" s="288"/>
      <c r="N195" s="288"/>
      <c r="O195" s="288"/>
      <c r="P195" s="288"/>
      <c r="Q195" s="288"/>
      <c r="R195" s="288"/>
      <c r="S195" s="288"/>
      <c r="T195" s="288"/>
      <c r="U195" s="288"/>
      <c r="V195" s="348">
        <f>(V101+V103+V104+V105+V106)/-(V107+V108)</f>
        <v>3.9237023139462166</v>
      </c>
      <c r="W195" s="291" t="s">
        <v>115</v>
      </c>
      <c r="X195" s="5"/>
    </row>
    <row r="196" spans="1:24" ht="15.6" x14ac:dyDescent="0.3">
      <c r="A196" s="287"/>
      <c r="B196" s="288" t="s">
        <v>67</v>
      </c>
      <c r="C196" s="288"/>
      <c r="D196" s="288"/>
      <c r="E196" s="288"/>
      <c r="F196" s="288"/>
      <c r="G196" s="288"/>
      <c r="H196" s="288"/>
      <c r="I196" s="288"/>
      <c r="J196" s="288"/>
      <c r="K196" s="288"/>
      <c r="L196" s="288"/>
      <c r="M196" s="288"/>
      <c r="N196" s="288"/>
      <c r="O196" s="288"/>
      <c r="P196" s="288"/>
      <c r="Q196" s="288"/>
      <c r="R196" s="288"/>
      <c r="S196" s="288"/>
      <c r="T196" s="288"/>
      <c r="U196" s="288"/>
      <c r="V196" s="350">
        <v>1.86</v>
      </c>
      <c r="W196" s="291" t="s">
        <v>115</v>
      </c>
      <c r="X196" s="5"/>
    </row>
    <row r="197" spans="1:24" ht="15.6" x14ac:dyDescent="0.3">
      <c r="A197" s="287"/>
      <c r="B197" s="288" t="s">
        <v>68</v>
      </c>
      <c r="C197" s="288"/>
      <c r="D197" s="288"/>
      <c r="E197" s="288"/>
      <c r="F197" s="288"/>
      <c r="G197" s="288"/>
      <c r="H197" s="288"/>
      <c r="I197" s="288"/>
      <c r="J197" s="288"/>
      <c r="K197" s="288"/>
      <c r="L197" s="288"/>
      <c r="M197" s="288"/>
      <c r="N197" s="288"/>
      <c r="O197" s="288"/>
      <c r="P197" s="288"/>
      <c r="Q197" s="288"/>
      <c r="R197" s="288"/>
      <c r="S197" s="288"/>
      <c r="T197" s="288"/>
      <c r="U197" s="288"/>
      <c r="V197" s="348">
        <f>(V101+V103+V104+V105+V106+V107+V108)/-(V110+V111)</f>
        <v>18.26171875</v>
      </c>
      <c r="W197" s="291" t="s">
        <v>115</v>
      </c>
      <c r="X197" s="5"/>
    </row>
    <row r="198" spans="1:24" ht="15.6" x14ac:dyDescent="0.3">
      <c r="A198" s="287"/>
      <c r="B198" s="288" t="s">
        <v>69</v>
      </c>
      <c r="C198" s="288"/>
      <c r="D198" s="288"/>
      <c r="E198" s="288"/>
      <c r="F198" s="288"/>
      <c r="G198" s="288"/>
      <c r="H198" s="288"/>
      <c r="I198" s="288"/>
      <c r="J198" s="288"/>
      <c r="K198" s="288"/>
      <c r="L198" s="288"/>
      <c r="M198" s="288"/>
      <c r="N198" s="288"/>
      <c r="O198" s="288"/>
      <c r="P198" s="288"/>
      <c r="Q198" s="288"/>
      <c r="R198" s="288"/>
      <c r="S198" s="288"/>
      <c r="T198" s="288"/>
      <c r="U198" s="288"/>
      <c r="V198" s="350">
        <v>8.09</v>
      </c>
      <c r="W198" s="291" t="s">
        <v>115</v>
      </c>
      <c r="X198" s="5"/>
    </row>
    <row r="199" spans="1:24" ht="15.6" x14ac:dyDescent="0.3">
      <c r="A199" s="287"/>
      <c r="B199" s="288" t="s">
        <v>198</v>
      </c>
      <c r="C199" s="288"/>
      <c r="D199" s="288"/>
      <c r="E199" s="288"/>
      <c r="F199" s="288"/>
      <c r="G199" s="288"/>
      <c r="H199" s="288"/>
      <c r="I199" s="288"/>
      <c r="J199" s="288"/>
      <c r="K199" s="288"/>
      <c r="L199" s="288"/>
      <c r="M199" s="288"/>
      <c r="N199" s="288"/>
      <c r="O199" s="288"/>
      <c r="P199" s="288"/>
      <c r="Q199" s="288"/>
      <c r="R199" s="288"/>
      <c r="S199" s="288"/>
      <c r="T199" s="288"/>
      <c r="U199" s="288"/>
      <c r="V199" s="348">
        <f>(V101+V103+V104+V105+V106+V107+V108+V110+V111)/-(V112+V113)</f>
        <v>11.5078125</v>
      </c>
      <c r="W199" s="291" t="s">
        <v>115</v>
      </c>
      <c r="X199" s="5"/>
    </row>
    <row r="200" spans="1:24" ht="15.6" x14ac:dyDescent="0.3">
      <c r="A200" s="287"/>
      <c r="B200" s="288" t="s">
        <v>199</v>
      </c>
      <c r="C200" s="288"/>
      <c r="D200" s="288"/>
      <c r="E200" s="288"/>
      <c r="F200" s="288"/>
      <c r="G200" s="288"/>
      <c r="H200" s="288"/>
      <c r="I200" s="288"/>
      <c r="J200" s="288"/>
      <c r="K200" s="288"/>
      <c r="L200" s="288"/>
      <c r="M200" s="288"/>
      <c r="N200" s="288"/>
      <c r="O200" s="288"/>
      <c r="P200" s="288"/>
      <c r="Q200" s="288"/>
      <c r="R200" s="288"/>
      <c r="S200" s="288"/>
      <c r="T200" s="288"/>
      <c r="U200" s="288"/>
      <c r="V200" s="350">
        <v>6.3</v>
      </c>
      <c r="W200" s="291" t="s">
        <v>115</v>
      </c>
      <c r="X200" s="5"/>
    </row>
    <row r="201" spans="1:24" ht="15.6" x14ac:dyDescent="0.3">
      <c r="A201" s="287"/>
      <c r="B201" s="314"/>
      <c r="C201" s="314"/>
      <c r="D201" s="314"/>
      <c r="E201" s="314"/>
      <c r="F201" s="314"/>
      <c r="G201" s="314"/>
      <c r="H201" s="314"/>
      <c r="I201" s="314"/>
      <c r="J201" s="314"/>
      <c r="K201" s="314"/>
      <c r="L201" s="314"/>
      <c r="M201" s="314"/>
      <c r="N201" s="314"/>
      <c r="O201" s="314"/>
      <c r="P201" s="314"/>
      <c r="Q201" s="314"/>
      <c r="R201" s="314"/>
      <c r="S201" s="314"/>
      <c r="T201" s="314"/>
      <c r="U201" s="314"/>
      <c r="V201" s="314"/>
      <c r="W201" s="318"/>
      <c r="X201" s="5"/>
    </row>
    <row r="202" spans="1:24" ht="15.6" x14ac:dyDescent="0.3">
      <c r="A202" s="183"/>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5"/>
    </row>
    <row r="203" spans="1:24" ht="15.6" x14ac:dyDescent="0.3">
      <c r="A203" s="183"/>
      <c r="B203" s="185"/>
      <c r="C203" s="185"/>
      <c r="D203" s="185"/>
      <c r="E203" s="185"/>
      <c r="F203" s="185"/>
      <c r="G203" s="185"/>
      <c r="H203" s="185"/>
      <c r="I203" s="185"/>
      <c r="J203" s="185"/>
      <c r="K203" s="185"/>
      <c r="L203" s="185"/>
      <c r="M203" s="185"/>
      <c r="N203" s="185"/>
      <c r="O203" s="185"/>
      <c r="P203" s="185"/>
      <c r="Q203" s="185"/>
      <c r="R203" s="185"/>
      <c r="S203" s="185"/>
      <c r="T203" s="185"/>
      <c r="U203" s="185"/>
      <c r="V203" s="185"/>
      <c r="W203" s="185"/>
      <c r="X203" s="5"/>
    </row>
    <row r="204" spans="1:24" ht="18" thickBot="1" x14ac:dyDescent="0.35">
      <c r="A204" s="199"/>
      <c r="B204" s="237" t="str">
        <f>B138</f>
        <v>PM14 INVESTOR REPORT QUARTER ENDING MAY 2014</v>
      </c>
      <c r="C204" s="215"/>
      <c r="D204" s="215"/>
      <c r="E204" s="215"/>
      <c r="F204" s="215"/>
      <c r="G204" s="215"/>
      <c r="H204" s="215"/>
      <c r="I204" s="215"/>
      <c r="J204" s="215"/>
      <c r="K204" s="215"/>
      <c r="L204" s="215"/>
      <c r="M204" s="215"/>
      <c r="N204" s="215"/>
      <c r="O204" s="215"/>
      <c r="P204" s="215"/>
      <c r="Q204" s="215"/>
      <c r="R204" s="215"/>
      <c r="S204" s="215"/>
      <c r="T204" s="215"/>
      <c r="U204" s="215"/>
      <c r="V204" s="215"/>
      <c r="W204" s="216"/>
      <c r="X204" s="5"/>
    </row>
    <row r="205" spans="1:24" ht="15.6" x14ac:dyDescent="0.3">
      <c r="A205" s="273"/>
      <c r="B205" s="403" t="s">
        <v>70</v>
      </c>
      <c r="C205" s="404"/>
      <c r="D205" s="404"/>
      <c r="E205" s="404"/>
      <c r="F205" s="404"/>
      <c r="G205" s="405"/>
      <c r="H205" s="405"/>
      <c r="I205" s="405"/>
      <c r="J205" s="405"/>
      <c r="K205" s="405"/>
      <c r="L205" s="405"/>
      <c r="M205" s="405"/>
      <c r="N205" s="405"/>
      <c r="O205" s="405"/>
      <c r="P205" s="405"/>
      <c r="Q205" s="405"/>
      <c r="R205" s="405"/>
      <c r="S205" s="405"/>
      <c r="T205" s="405">
        <v>41789</v>
      </c>
      <c r="U205" s="274"/>
      <c r="V205" s="274"/>
      <c r="W205" s="274"/>
      <c r="X205" s="5"/>
    </row>
    <row r="206" spans="1:24" ht="15.6" x14ac:dyDescent="0.3">
      <c r="A206" s="217"/>
      <c r="B206" s="230"/>
      <c r="C206" s="249"/>
      <c r="D206" s="249"/>
      <c r="E206" s="249"/>
      <c r="F206" s="249"/>
      <c r="G206" s="229"/>
      <c r="H206" s="229"/>
      <c r="I206" s="229"/>
      <c r="J206" s="229"/>
      <c r="K206" s="229"/>
      <c r="L206" s="229"/>
      <c r="M206" s="229"/>
      <c r="N206" s="229"/>
      <c r="O206" s="229"/>
      <c r="P206" s="229"/>
      <c r="Q206" s="229"/>
      <c r="R206" s="229"/>
      <c r="S206" s="229"/>
      <c r="T206" s="229"/>
      <c r="U206" s="224"/>
      <c r="V206" s="224"/>
      <c r="W206" s="224"/>
      <c r="X206" s="5"/>
    </row>
    <row r="207" spans="1:24" ht="15.6" x14ac:dyDescent="0.3">
      <c r="A207" s="352"/>
      <c r="B207" s="288" t="s">
        <v>71</v>
      </c>
      <c r="C207" s="353"/>
      <c r="D207" s="353"/>
      <c r="E207" s="353"/>
      <c r="F207" s="353"/>
      <c r="G207" s="330"/>
      <c r="H207" s="330"/>
      <c r="I207" s="330"/>
      <c r="J207" s="330"/>
      <c r="K207" s="330"/>
      <c r="L207" s="330"/>
      <c r="M207" s="330"/>
      <c r="N207" s="330"/>
      <c r="O207" s="330"/>
      <c r="P207" s="330"/>
      <c r="Q207" s="330"/>
      <c r="R207" s="330"/>
      <c r="S207" s="330"/>
      <c r="T207" s="321">
        <v>5.2819999999999999E-2</v>
      </c>
      <c r="U207" s="288"/>
      <c r="V207" s="288"/>
      <c r="W207" s="291"/>
      <c r="X207" s="5"/>
    </row>
    <row r="208" spans="1:24" ht="15.6" x14ac:dyDescent="0.3">
      <c r="A208" s="352"/>
      <c r="B208" s="288" t="s">
        <v>151</v>
      </c>
      <c r="C208" s="353"/>
      <c r="D208" s="353"/>
      <c r="E208" s="353"/>
      <c r="F208" s="353"/>
      <c r="G208" s="330"/>
      <c r="H208" s="330"/>
      <c r="I208" s="330"/>
      <c r="J208" s="330"/>
      <c r="K208" s="330"/>
      <c r="L208" s="330"/>
      <c r="M208" s="330"/>
      <c r="N208" s="330"/>
      <c r="O208" s="330"/>
      <c r="P208" s="330"/>
      <c r="Q208" s="330"/>
      <c r="R208" s="330"/>
      <c r="S208" s="330"/>
      <c r="T208" s="321">
        <v>5.7799999999999997E-2</v>
      </c>
      <c r="U208" s="288"/>
      <c r="V208" s="288"/>
      <c r="W208" s="291"/>
      <c r="X208" s="5"/>
    </row>
    <row r="209" spans="1:24" ht="15.6" x14ac:dyDescent="0.3">
      <c r="A209" s="352"/>
      <c r="B209" s="288" t="s">
        <v>72</v>
      </c>
      <c r="C209" s="353"/>
      <c r="D209" s="353"/>
      <c r="E209" s="353"/>
      <c r="F209" s="353"/>
      <c r="G209" s="330"/>
      <c r="H209" s="330"/>
      <c r="I209" s="330"/>
      <c r="J209" s="330"/>
      <c r="K209" s="330"/>
      <c r="L209" s="330"/>
      <c r="M209" s="330"/>
      <c r="N209" s="330"/>
      <c r="O209" s="330"/>
      <c r="P209" s="330"/>
      <c r="Q209" s="330"/>
      <c r="R209" s="330"/>
      <c r="S209" s="330"/>
      <c r="T209" s="321">
        <f>T207-T208</f>
        <v>-4.9799999999999983E-3</v>
      </c>
      <c r="U209" s="288"/>
      <c r="V209" s="288"/>
      <c r="W209" s="291"/>
      <c r="X209" s="5"/>
    </row>
    <row r="210" spans="1:24" ht="15.6" x14ac:dyDescent="0.3">
      <c r="A210" s="352"/>
      <c r="B210" s="288" t="s">
        <v>73</v>
      </c>
      <c r="C210" s="353"/>
      <c r="D210" s="353"/>
      <c r="E210" s="353"/>
      <c r="F210" s="353"/>
      <c r="G210" s="330"/>
      <c r="H210" s="330"/>
      <c r="I210" s="330"/>
      <c r="J210" s="330"/>
      <c r="K210" s="330"/>
      <c r="L210" s="330"/>
      <c r="M210" s="330"/>
      <c r="N210" s="330"/>
      <c r="O210" s="330"/>
      <c r="P210" s="330"/>
      <c r="Q210" s="330"/>
      <c r="R210" s="330"/>
      <c r="S210" s="330"/>
      <c r="T210" s="321">
        <v>2.359E-2</v>
      </c>
      <c r="U210" s="288"/>
      <c r="V210" s="288"/>
      <c r="W210" s="291"/>
      <c r="X210" s="5"/>
    </row>
    <row r="211" spans="1:24" ht="15.6" x14ac:dyDescent="0.3">
      <c r="A211" s="352"/>
      <c r="B211" s="288" t="s">
        <v>219</v>
      </c>
      <c r="C211" s="353"/>
      <c r="D211" s="353"/>
      <c r="E211" s="353"/>
      <c r="F211" s="353"/>
      <c r="G211" s="330"/>
      <c r="H211" s="330"/>
      <c r="I211" s="330"/>
      <c r="J211" s="330"/>
      <c r="K211" s="330"/>
      <c r="L211" s="330"/>
      <c r="M211" s="330"/>
      <c r="N211" s="330"/>
      <c r="O211" s="330"/>
      <c r="P211" s="330"/>
      <c r="Q211" s="330"/>
      <c r="R211" s="330"/>
      <c r="S211" s="330"/>
      <c r="T211" s="321">
        <f>V43</f>
        <v>8.391304674428994E-3</v>
      </c>
      <c r="U211" s="288"/>
      <c r="V211" s="288"/>
      <c r="W211" s="291"/>
      <c r="X211" s="5"/>
    </row>
    <row r="212" spans="1:24" ht="15.6" x14ac:dyDescent="0.3">
      <c r="A212" s="352"/>
      <c r="B212" s="288" t="s">
        <v>74</v>
      </c>
      <c r="C212" s="353"/>
      <c r="D212" s="353"/>
      <c r="E212" s="353"/>
      <c r="F212" s="353"/>
      <c r="G212" s="330"/>
      <c r="H212" s="330"/>
      <c r="I212" s="330"/>
      <c r="J212" s="330"/>
      <c r="K212" s="330"/>
      <c r="L212" s="330"/>
      <c r="M212" s="330"/>
      <c r="N212" s="330"/>
      <c r="O212" s="330"/>
      <c r="P212" s="330"/>
      <c r="Q212" s="330"/>
      <c r="R212" s="330"/>
      <c r="S212" s="330"/>
      <c r="T212" s="321">
        <f>T210-T211</f>
        <v>1.5198695325571006E-2</v>
      </c>
      <c r="U212" s="288"/>
      <c r="V212" s="288"/>
      <c r="W212" s="291"/>
      <c r="X212" s="5"/>
    </row>
    <row r="213" spans="1:24" ht="15.6" x14ac:dyDescent="0.3">
      <c r="A213" s="352"/>
      <c r="B213" s="288" t="s">
        <v>242</v>
      </c>
      <c r="C213" s="353"/>
      <c r="D213" s="353"/>
      <c r="E213" s="353"/>
      <c r="F213" s="353"/>
      <c r="G213" s="330"/>
      <c r="H213" s="330"/>
      <c r="I213" s="330"/>
      <c r="J213" s="330"/>
      <c r="K213" s="330"/>
      <c r="L213" s="330"/>
      <c r="M213" s="330"/>
      <c r="N213" s="330"/>
      <c r="O213" s="330"/>
      <c r="P213" s="330"/>
      <c r="Q213" s="330"/>
      <c r="R213" s="330"/>
      <c r="S213" s="330"/>
      <c r="T213" s="321">
        <f>V101/N71</f>
        <v>6.1935558615947217E-3</v>
      </c>
      <c r="U213" s="288"/>
      <c r="V213" s="288"/>
      <c r="W213" s="291"/>
      <c r="X213" s="5"/>
    </row>
    <row r="214" spans="1:24" ht="15.6" x14ac:dyDescent="0.3">
      <c r="A214" s="352"/>
      <c r="B214" s="288" t="s">
        <v>208</v>
      </c>
      <c r="C214" s="353"/>
      <c r="D214" s="353"/>
      <c r="E214" s="353"/>
      <c r="F214" s="353"/>
      <c r="G214" s="330"/>
      <c r="H214" s="330"/>
      <c r="I214" s="330"/>
      <c r="J214" s="330"/>
      <c r="K214" s="330"/>
      <c r="L214" s="330"/>
      <c r="M214" s="330"/>
      <c r="N214" s="330"/>
      <c r="O214" s="330"/>
      <c r="P214" s="330"/>
      <c r="Q214" s="330"/>
      <c r="R214" s="330"/>
      <c r="S214" s="330"/>
      <c r="T214" s="354">
        <v>51014</v>
      </c>
      <c r="U214" s="288"/>
      <c r="V214" s="288"/>
      <c r="W214" s="291"/>
      <c r="X214" s="5"/>
    </row>
    <row r="215" spans="1:24" ht="15.6" x14ac:dyDescent="0.3">
      <c r="A215" s="352"/>
      <c r="B215" s="288" t="s">
        <v>209</v>
      </c>
      <c r="C215" s="353"/>
      <c r="D215" s="353"/>
      <c r="E215" s="353"/>
      <c r="F215" s="353"/>
      <c r="G215" s="330"/>
      <c r="H215" s="330"/>
      <c r="I215" s="330"/>
      <c r="J215" s="330"/>
      <c r="K215" s="330"/>
      <c r="L215" s="330"/>
      <c r="M215" s="330"/>
      <c r="N215" s="330"/>
      <c r="O215" s="330"/>
      <c r="P215" s="330"/>
      <c r="Q215" s="330"/>
      <c r="R215" s="330"/>
      <c r="S215" s="330"/>
      <c r="T215" s="354">
        <v>51014</v>
      </c>
      <c r="U215" s="288"/>
      <c r="V215" s="288"/>
      <c r="W215" s="291"/>
      <c r="X215" s="5"/>
    </row>
    <row r="216" spans="1:24" ht="15.6" x14ac:dyDescent="0.3">
      <c r="A216" s="352"/>
      <c r="B216" s="288" t="s">
        <v>210</v>
      </c>
      <c r="C216" s="353"/>
      <c r="D216" s="353"/>
      <c r="E216" s="353"/>
      <c r="F216" s="353"/>
      <c r="G216" s="330"/>
      <c r="H216" s="330"/>
      <c r="I216" s="330"/>
      <c r="J216" s="330"/>
      <c r="K216" s="330"/>
      <c r="L216" s="330"/>
      <c r="M216" s="330"/>
      <c r="N216" s="330"/>
      <c r="O216" s="330"/>
      <c r="P216" s="330"/>
      <c r="Q216" s="330"/>
      <c r="R216" s="330"/>
      <c r="S216" s="330"/>
      <c r="T216" s="354">
        <v>51014</v>
      </c>
      <c r="U216" s="288"/>
      <c r="V216" s="288"/>
      <c r="W216" s="291"/>
      <c r="X216" s="5"/>
    </row>
    <row r="217" spans="1:24" ht="15.6" x14ac:dyDescent="0.3">
      <c r="A217" s="352"/>
      <c r="B217" s="288" t="s">
        <v>75</v>
      </c>
      <c r="C217" s="353"/>
      <c r="D217" s="353"/>
      <c r="E217" s="353"/>
      <c r="F217" s="353"/>
      <c r="G217" s="330"/>
      <c r="H217" s="330"/>
      <c r="I217" s="330"/>
      <c r="J217" s="330"/>
      <c r="K217" s="330"/>
      <c r="L217" s="330"/>
      <c r="M217" s="330"/>
      <c r="N217" s="330"/>
      <c r="O217" s="330"/>
      <c r="P217" s="330"/>
      <c r="Q217" s="330"/>
      <c r="R217" s="330"/>
      <c r="S217" s="330"/>
      <c r="T217" s="327">
        <v>20.66</v>
      </c>
      <c r="U217" s="288" t="s">
        <v>110</v>
      </c>
      <c r="V217" s="288"/>
      <c r="W217" s="291"/>
      <c r="X217" s="5"/>
    </row>
    <row r="218" spans="1:24" ht="15.6" x14ac:dyDescent="0.3">
      <c r="A218" s="352"/>
      <c r="B218" s="288" t="s">
        <v>76</v>
      </c>
      <c r="C218" s="353"/>
      <c r="D218" s="353"/>
      <c r="E218" s="353"/>
      <c r="F218" s="353"/>
      <c r="G218" s="330"/>
      <c r="H218" s="330"/>
      <c r="I218" s="330"/>
      <c r="J218" s="330"/>
      <c r="K218" s="330"/>
      <c r="L218" s="330"/>
      <c r="M218" s="330"/>
      <c r="N218" s="330"/>
      <c r="O218" s="330"/>
      <c r="P218" s="330"/>
      <c r="Q218" s="330"/>
      <c r="R218" s="330"/>
      <c r="S218" s="330"/>
      <c r="T218" s="327">
        <v>14.23</v>
      </c>
      <c r="U218" s="288" t="s">
        <v>110</v>
      </c>
      <c r="V218" s="288"/>
      <c r="W218" s="291"/>
      <c r="X218" s="5"/>
    </row>
    <row r="219" spans="1:24" ht="15.6" x14ac:dyDescent="0.3">
      <c r="A219" s="352"/>
      <c r="B219" s="288" t="s">
        <v>77</v>
      </c>
      <c r="C219" s="353"/>
      <c r="D219" s="353"/>
      <c r="E219" s="353"/>
      <c r="F219" s="353"/>
      <c r="G219" s="330"/>
      <c r="H219" s="330"/>
      <c r="I219" s="330"/>
      <c r="J219" s="330"/>
      <c r="K219" s="330"/>
      <c r="L219" s="330"/>
      <c r="M219" s="330"/>
      <c r="N219" s="330"/>
      <c r="O219" s="330"/>
      <c r="P219" s="330"/>
      <c r="Q219" s="330"/>
      <c r="R219" s="330"/>
      <c r="S219" s="330"/>
      <c r="T219" s="321">
        <f>+P68/N68</f>
        <v>1.0527830358794588E-2</v>
      </c>
      <c r="U219" s="288"/>
      <c r="V219" s="288"/>
      <c r="W219" s="291"/>
      <c r="X219" s="5"/>
    </row>
    <row r="220" spans="1:24" ht="15.6" x14ac:dyDescent="0.3">
      <c r="A220" s="352"/>
      <c r="B220" s="288" t="s">
        <v>78</v>
      </c>
      <c r="C220" s="353"/>
      <c r="D220" s="353"/>
      <c r="E220" s="353"/>
      <c r="F220" s="353"/>
      <c r="G220" s="330"/>
      <c r="H220" s="330"/>
      <c r="I220" s="330"/>
      <c r="J220" s="330"/>
      <c r="K220" s="330"/>
      <c r="L220" s="330"/>
      <c r="M220" s="330"/>
      <c r="N220" s="330"/>
      <c r="O220" s="330"/>
      <c r="P220" s="330"/>
      <c r="Q220" s="330"/>
      <c r="R220" s="330"/>
      <c r="S220" s="330"/>
      <c r="T220" s="321">
        <v>5.0200000000000002E-2</v>
      </c>
      <c r="U220" s="288"/>
      <c r="V220" s="288"/>
      <c r="W220" s="291"/>
      <c r="X220" s="5"/>
    </row>
    <row r="221" spans="1:24" ht="15.6" x14ac:dyDescent="0.3">
      <c r="A221" s="217"/>
      <c r="B221" s="284"/>
      <c r="C221" s="284"/>
      <c r="D221" s="284"/>
      <c r="E221" s="284"/>
      <c r="F221" s="284"/>
      <c r="G221" s="284"/>
      <c r="H221" s="284"/>
      <c r="I221" s="284"/>
      <c r="J221" s="284"/>
      <c r="K221" s="284"/>
      <c r="L221" s="284"/>
      <c r="M221" s="284"/>
      <c r="N221" s="284"/>
      <c r="O221" s="284"/>
      <c r="P221" s="284"/>
      <c r="Q221" s="284"/>
      <c r="R221" s="284"/>
      <c r="S221" s="284"/>
      <c r="T221" s="349"/>
      <c r="U221" s="284"/>
      <c r="V221" s="351"/>
      <c r="W221" s="284"/>
      <c r="X221" s="5"/>
    </row>
    <row r="222" spans="1:24" ht="15.6" x14ac:dyDescent="0.3">
      <c r="A222" s="278"/>
      <c r="B222" s="399" t="s">
        <v>79</v>
      </c>
      <c r="C222" s="400"/>
      <c r="D222" s="400"/>
      <c r="E222" s="400"/>
      <c r="F222" s="406"/>
      <c r="G222" s="400"/>
      <c r="H222" s="400"/>
      <c r="I222" s="400"/>
      <c r="J222" s="400"/>
      <c r="K222" s="400"/>
      <c r="L222" s="400"/>
      <c r="M222" s="400"/>
      <c r="N222" s="400"/>
      <c r="O222" s="400"/>
      <c r="P222" s="400"/>
      <c r="Q222" s="400"/>
      <c r="R222" s="400"/>
      <c r="S222" s="400" t="s">
        <v>102</v>
      </c>
      <c r="T222" s="406" t="s">
        <v>108</v>
      </c>
      <c r="U222" s="263"/>
      <c r="V222" s="263"/>
      <c r="W222" s="263"/>
      <c r="X222" s="5"/>
    </row>
    <row r="223" spans="1:24" ht="15.6" x14ac:dyDescent="0.3">
      <c r="A223" s="218"/>
      <c r="B223" s="231" t="s">
        <v>80</v>
      </c>
      <c r="C223" s="234"/>
      <c r="D223" s="234"/>
      <c r="E223" s="234"/>
      <c r="F223" s="231"/>
      <c r="G223" s="231"/>
      <c r="H223" s="233"/>
      <c r="I223" s="233"/>
      <c r="J223" s="233"/>
      <c r="K223" s="233"/>
      <c r="L223" s="233"/>
      <c r="M223" s="233"/>
      <c r="N223" s="233"/>
      <c r="O223" s="233"/>
      <c r="P223" s="233"/>
      <c r="Q223" s="233"/>
      <c r="R223" s="233"/>
      <c r="S223" s="233">
        <v>2</v>
      </c>
      <c r="T223" s="251">
        <v>125</v>
      </c>
      <c r="U223" s="231"/>
      <c r="V223" s="250"/>
      <c r="W223" s="252"/>
      <c r="X223" s="5"/>
    </row>
    <row r="224" spans="1:24" ht="15.6" x14ac:dyDescent="0.3">
      <c r="A224" s="362"/>
      <c r="B224" s="288" t="s">
        <v>145</v>
      </c>
      <c r="C224" s="337"/>
      <c r="D224" s="337"/>
      <c r="E224" s="337"/>
      <c r="F224" s="288"/>
      <c r="G224" s="288"/>
      <c r="H224" s="296"/>
      <c r="I224" s="296"/>
      <c r="J224" s="296"/>
      <c r="K224" s="296"/>
      <c r="L224" s="296"/>
      <c r="M224" s="296"/>
      <c r="N224" s="296"/>
      <c r="O224" s="296"/>
      <c r="P224" s="296"/>
      <c r="Q224" s="296"/>
      <c r="R224" s="296"/>
      <c r="S224" s="363">
        <f>+R276</f>
        <v>156</v>
      </c>
      <c r="T224" s="364">
        <f>+T276</f>
        <v>22235</v>
      </c>
      <c r="U224" s="288"/>
      <c r="V224" s="365"/>
      <c r="W224" s="366"/>
      <c r="X224" s="5"/>
    </row>
    <row r="225" spans="1:24" ht="15.6" x14ac:dyDescent="0.3">
      <c r="A225" s="362"/>
      <c r="B225" s="288" t="s">
        <v>81</v>
      </c>
      <c r="C225" s="337"/>
      <c r="D225" s="337"/>
      <c r="E225" s="337"/>
      <c r="F225" s="288"/>
      <c r="G225" s="288"/>
      <c r="H225" s="296"/>
      <c r="I225" s="296"/>
      <c r="J225" s="296"/>
      <c r="K225" s="296"/>
      <c r="L225" s="296"/>
      <c r="M225" s="296"/>
      <c r="N225" s="296"/>
      <c r="O225" s="296"/>
      <c r="P225" s="296"/>
      <c r="Q225" s="296"/>
      <c r="R225" s="296"/>
      <c r="S225" s="363">
        <f>+R288</f>
        <v>0</v>
      </c>
      <c r="T225" s="364">
        <f>+T288</f>
        <v>0</v>
      </c>
      <c r="U225" s="288"/>
      <c r="V225" s="365"/>
      <c r="W225" s="366"/>
      <c r="X225" s="5"/>
    </row>
    <row r="226" spans="1:24" ht="15.6" x14ac:dyDescent="0.3">
      <c r="A226" s="362"/>
      <c r="B226" s="313" t="s">
        <v>82</v>
      </c>
      <c r="C226" s="367"/>
      <c r="D226" s="367"/>
      <c r="E226" s="367"/>
      <c r="F226" s="314"/>
      <c r="G226" s="314"/>
      <c r="H226" s="314"/>
      <c r="I226" s="314"/>
      <c r="J226" s="314"/>
      <c r="K226" s="314"/>
      <c r="L226" s="314"/>
      <c r="M226" s="314"/>
      <c r="N226" s="314"/>
      <c r="O226" s="314"/>
      <c r="P226" s="314"/>
      <c r="Q226" s="314"/>
      <c r="R226" s="314"/>
      <c r="S226" s="314"/>
      <c r="T226" s="364">
        <v>0</v>
      </c>
      <c r="U226" s="314"/>
      <c r="V226" s="369"/>
      <c r="W226" s="370"/>
      <c r="X226" s="5"/>
    </row>
    <row r="227" spans="1:24" ht="15.6" x14ac:dyDescent="0.3">
      <c r="A227" s="362"/>
      <c r="B227" s="313" t="s">
        <v>243</v>
      </c>
      <c r="C227" s="367"/>
      <c r="D227" s="367"/>
      <c r="E227" s="367"/>
      <c r="F227" s="314"/>
      <c r="G227" s="314"/>
      <c r="H227" s="314"/>
      <c r="I227" s="314"/>
      <c r="J227" s="314"/>
      <c r="K227" s="314"/>
      <c r="L227" s="314"/>
      <c r="M227" s="314"/>
      <c r="N227" s="314"/>
      <c r="O227" s="314"/>
      <c r="P227" s="314"/>
      <c r="Q227" s="314"/>
      <c r="R227" s="314"/>
      <c r="S227" s="314"/>
      <c r="T227" s="364">
        <f>+N81</f>
        <v>0</v>
      </c>
      <c r="U227" s="314"/>
      <c r="V227" s="369"/>
      <c r="W227" s="370"/>
      <c r="X227" s="5"/>
    </row>
    <row r="228" spans="1:24" ht="15.6" x14ac:dyDescent="0.3">
      <c r="A228" s="371"/>
      <c r="B228" s="313" t="s">
        <v>83</v>
      </c>
      <c r="C228" s="372"/>
      <c r="D228" s="372"/>
      <c r="E228" s="372"/>
      <c r="F228" s="372"/>
      <c r="G228" s="314"/>
      <c r="H228" s="314"/>
      <c r="I228" s="314"/>
      <c r="J228" s="314"/>
      <c r="K228" s="314"/>
      <c r="L228" s="314"/>
      <c r="M228" s="314"/>
      <c r="N228" s="314"/>
      <c r="O228" s="314"/>
      <c r="P228" s="314"/>
      <c r="Q228" s="314"/>
      <c r="R228" s="314"/>
      <c r="S228" s="314"/>
      <c r="T228" s="368"/>
      <c r="U228" s="314"/>
      <c r="V228" s="369"/>
      <c r="W228" s="373"/>
      <c r="X228" s="5"/>
    </row>
    <row r="229" spans="1:24" ht="15.6" x14ac:dyDescent="0.3">
      <c r="A229" s="371"/>
      <c r="B229" s="288" t="s">
        <v>84</v>
      </c>
      <c r="C229" s="288"/>
      <c r="D229" s="288"/>
      <c r="E229" s="288"/>
      <c r="F229" s="288"/>
      <c r="G229" s="288"/>
      <c r="H229" s="288"/>
      <c r="I229" s="288"/>
      <c r="J229" s="288"/>
      <c r="K229" s="288"/>
      <c r="L229" s="288"/>
      <c r="M229" s="288"/>
      <c r="N229" s="288"/>
      <c r="O229" s="288"/>
      <c r="P229" s="288"/>
      <c r="Q229" s="288"/>
      <c r="R229" s="288"/>
      <c r="S229" s="296"/>
      <c r="T229" s="364">
        <f>V167</f>
        <v>167</v>
      </c>
      <c r="U229" s="288"/>
      <c r="V229" s="365"/>
      <c r="W229" s="378"/>
      <c r="X229" s="5"/>
    </row>
    <row r="230" spans="1:24" ht="15.6" x14ac:dyDescent="0.3">
      <c r="A230" s="362"/>
      <c r="B230" s="288" t="s">
        <v>85</v>
      </c>
      <c r="C230" s="337"/>
      <c r="D230" s="337"/>
      <c r="E230" s="337"/>
      <c r="F230" s="337"/>
      <c r="G230" s="288"/>
      <c r="H230" s="288"/>
      <c r="I230" s="288"/>
      <c r="J230" s="288"/>
      <c r="K230" s="288"/>
      <c r="L230" s="288"/>
      <c r="M230" s="288"/>
      <c r="N230" s="288"/>
      <c r="O230" s="288"/>
      <c r="P230" s="288"/>
      <c r="Q230" s="288"/>
      <c r="R230" s="288"/>
      <c r="S230" s="296"/>
      <c r="T230" s="364">
        <f>'Feb 14'!T230+T229</f>
        <v>5159</v>
      </c>
      <c r="U230" s="288"/>
      <c r="V230" s="365"/>
      <c r="W230" s="378"/>
      <c r="X230" s="5"/>
    </row>
    <row r="231" spans="1:24" ht="15.6" x14ac:dyDescent="0.3">
      <c r="A231" s="371"/>
      <c r="B231" s="313" t="s">
        <v>295</v>
      </c>
      <c r="C231" s="372"/>
      <c r="D231" s="372"/>
      <c r="E231" s="372"/>
      <c r="F231" s="372"/>
      <c r="G231" s="314"/>
      <c r="H231" s="314"/>
      <c r="I231" s="314"/>
      <c r="J231" s="314"/>
      <c r="K231" s="314"/>
      <c r="L231" s="314"/>
      <c r="M231" s="314"/>
      <c r="N231" s="314"/>
      <c r="O231" s="314"/>
      <c r="P231" s="314"/>
      <c r="Q231" s="314"/>
      <c r="R231" s="314"/>
      <c r="S231" s="316"/>
      <c r="T231" s="368"/>
      <c r="U231" s="314"/>
      <c r="V231" s="369"/>
      <c r="W231" s="373"/>
      <c r="X231" s="5"/>
    </row>
    <row r="232" spans="1:24" ht="15.6" x14ac:dyDescent="0.3">
      <c r="A232" s="371"/>
      <c r="B232" s="288" t="s">
        <v>291</v>
      </c>
      <c r="C232" s="288"/>
      <c r="D232" s="288"/>
      <c r="E232" s="288"/>
      <c r="F232" s="288"/>
      <c r="G232" s="288"/>
      <c r="H232" s="288"/>
      <c r="I232" s="288"/>
      <c r="J232" s="288"/>
      <c r="K232" s="288"/>
      <c r="L232" s="288"/>
      <c r="M232" s="288"/>
      <c r="N232" s="288"/>
      <c r="O232" s="288"/>
      <c r="P232" s="288"/>
      <c r="Q232" s="288"/>
      <c r="R232" s="288"/>
      <c r="S232" s="296">
        <v>0</v>
      </c>
      <c r="T232" s="364">
        <v>0</v>
      </c>
      <c r="U232" s="288"/>
      <c r="V232" s="365"/>
      <c r="W232" s="378"/>
      <c r="X232" s="5"/>
    </row>
    <row r="233" spans="1:24" ht="15.6" x14ac:dyDescent="0.3">
      <c r="A233" s="362"/>
      <c r="B233" s="288" t="s">
        <v>86</v>
      </c>
      <c r="C233" s="325"/>
      <c r="D233" s="325"/>
      <c r="E233" s="325"/>
      <c r="F233" s="379"/>
      <c r="G233" s="288"/>
      <c r="H233" s="288"/>
      <c r="I233" s="288"/>
      <c r="J233" s="288"/>
      <c r="K233" s="288"/>
      <c r="L233" s="288"/>
      <c r="M233" s="288"/>
      <c r="N233" s="288"/>
      <c r="O233" s="288"/>
      <c r="P233" s="288"/>
      <c r="Q233" s="288"/>
      <c r="R233" s="288"/>
      <c r="S233" s="288"/>
      <c r="T233" s="380">
        <v>0</v>
      </c>
      <c r="U233" s="288"/>
      <c r="V233" s="365"/>
      <c r="W233" s="378"/>
      <c r="X233" s="5"/>
    </row>
    <row r="234" spans="1:24" ht="15.6" x14ac:dyDescent="0.3">
      <c r="A234" s="362"/>
      <c r="B234" s="288" t="s">
        <v>87</v>
      </c>
      <c r="C234" s="325"/>
      <c r="D234" s="325"/>
      <c r="E234" s="325"/>
      <c r="F234" s="379"/>
      <c r="G234" s="288"/>
      <c r="H234" s="288"/>
      <c r="I234" s="288"/>
      <c r="J234" s="288"/>
      <c r="K234" s="288"/>
      <c r="L234" s="288"/>
      <c r="M234" s="288"/>
      <c r="N234" s="288"/>
      <c r="O234" s="288"/>
      <c r="P234" s="288"/>
      <c r="Q234" s="288"/>
      <c r="R234" s="288"/>
      <c r="S234" s="288"/>
      <c r="T234" s="380">
        <v>0</v>
      </c>
      <c r="U234" s="288"/>
      <c r="V234" s="365"/>
      <c r="W234" s="378"/>
      <c r="X234" s="5"/>
    </row>
    <row r="235" spans="1:24" ht="15.6" x14ac:dyDescent="0.3">
      <c r="A235" s="362"/>
      <c r="B235" s="313" t="s">
        <v>217</v>
      </c>
      <c r="C235" s="381"/>
      <c r="D235" s="381"/>
      <c r="E235" s="381"/>
      <c r="F235" s="382"/>
      <c r="G235" s="314"/>
      <c r="H235" s="314"/>
      <c r="I235" s="314"/>
      <c r="J235" s="314"/>
      <c r="K235" s="314"/>
      <c r="L235" s="314"/>
      <c r="M235" s="314"/>
      <c r="N235" s="314"/>
      <c r="O235" s="314"/>
      <c r="P235" s="314"/>
      <c r="Q235" s="314"/>
      <c r="R235" s="314"/>
      <c r="S235" s="314"/>
      <c r="T235" s="383"/>
      <c r="U235" s="314"/>
      <c r="V235" s="369"/>
      <c r="W235" s="373"/>
      <c r="X235" s="5"/>
    </row>
    <row r="236" spans="1:24" ht="15.6" x14ac:dyDescent="0.3">
      <c r="A236" s="362"/>
      <c r="B236" s="288" t="s">
        <v>291</v>
      </c>
      <c r="C236" s="381"/>
      <c r="D236" s="381"/>
      <c r="E236" s="381"/>
      <c r="F236" s="382"/>
      <c r="G236" s="314"/>
      <c r="H236" s="314"/>
      <c r="I236" s="314"/>
      <c r="J236" s="314"/>
      <c r="K236" s="314"/>
      <c r="L236" s="314"/>
      <c r="M236" s="314"/>
      <c r="N236" s="314"/>
      <c r="O236" s="314"/>
      <c r="P236" s="314"/>
      <c r="Q236" s="314"/>
      <c r="R236" s="314"/>
      <c r="S236" s="296">
        <v>13</v>
      </c>
      <c r="T236" s="364">
        <v>1424</v>
      </c>
      <c r="U236" s="314"/>
      <c r="V236" s="369"/>
      <c r="W236" s="373"/>
      <c r="X236" s="5"/>
    </row>
    <row r="237" spans="1:24" ht="15.6" x14ac:dyDescent="0.3">
      <c r="A237" s="362"/>
      <c r="B237" s="288" t="s">
        <v>218</v>
      </c>
      <c r="C237" s="381"/>
      <c r="D237" s="381"/>
      <c r="E237" s="381"/>
      <c r="F237" s="382"/>
      <c r="G237" s="314"/>
      <c r="H237" s="314"/>
      <c r="I237" s="314"/>
      <c r="J237" s="314"/>
      <c r="K237" s="314"/>
      <c r="L237" s="314"/>
      <c r="M237" s="314"/>
      <c r="N237" s="314"/>
      <c r="O237" s="314"/>
      <c r="P237" s="314"/>
      <c r="Q237" s="314"/>
      <c r="R237" s="314"/>
      <c r="S237" s="288"/>
      <c r="T237" s="380">
        <v>0.39</v>
      </c>
      <c r="U237" s="314"/>
      <c r="V237" s="369"/>
      <c r="W237" s="373"/>
      <c r="X237" s="5"/>
    </row>
    <row r="238" spans="1:24" ht="15.6" x14ac:dyDescent="0.3">
      <c r="A238" s="362"/>
      <c r="B238" s="372"/>
      <c r="C238" s="381"/>
      <c r="D238" s="381"/>
      <c r="E238" s="381"/>
      <c r="F238" s="382"/>
      <c r="G238" s="314"/>
      <c r="H238" s="314"/>
      <c r="I238" s="314"/>
      <c r="J238" s="314"/>
      <c r="K238" s="314"/>
      <c r="L238" s="314"/>
      <c r="M238" s="314"/>
      <c r="N238" s="314"/>
      <c r="O238" s="314"/>
      <c r="P238" s="314"/>
      <c r="Q238" s="314"/>
      <c r="R238" s="314"/>
      <c r="S238" s="314"/>
      <c r="T238" s="383"/>
      <c r="U238" s="314"/>
      <c r="V238" s="369"/>
      <c r="W238" s="373"/>
      <c r="X238" s="5"/>
    </row>
    <row r="239" spans="1:24" ht="15.6" x14ac:dyDescent="0.3">
      <c r="A239" s="362"/>
      <c r="B239" s="372"/>
      <c r="C239" s="381"/>
      <c r="D239" s="381"/>
      <c r="E239" s="381"/>
      <c r="F239" s="382"/>
      <c r="G239" s="314"/>
      <c r="H239" s="314"/>
      <c r="I239" s="314"/>
      <c r="J239" s="314"/>
      <c r="K239" s="314"/>
      <c r="L239" s="314"/>
      <c r="M239" s="314"/>
      <c r="N239" s="314"/>
      <c r="O239" s="314"/>
      <c r="P239" s="314"/>
      <c r="Q239" s="314"/>
      <c r="R239" s="314"/>
      <c r="S239" s="314"/>
      <c r="T239" s="383"/>
      <c r="U239" s="314"/>
      <c r="V239" s="369"/>
      <c r="W239" s="373"/>
      <c r="X239" s="5"/>
    </row>
    <row r="240" spans="1:24" ht="17.399999999999999" x14ac:dyDescent="0.3">
      <c r="A240" s="362"/>
      <c r="B240" s="384" t="s">
        <v>168</v>
      </c>
      <c r="C240" s="381"/>
      <c r="D240" s="381"/>
      <c r="E240" s="381"/>
      <c r="F240" s="382"/>
      <c r="G240" s="314"/>
      <c r="H240" s="314"/>
      <c r="I240" s="314"/>
      <c r="J240" s="314"/>
      <c r="K240" s="314"/>
      <c r="L240" s="314"/>
      <c r="M240" s="314"/>
      <c r="N240" s="314"/>
      <c r="O240" s="314"/>
      <c r="P240" s="385" t="s">
        <v>167</v>
      </c>
      <c r="Q240" s="314"/>
      <c r="R240" s="314"/>
      <c r="S240" s="314"/>
      <c r="T240" s="383"/>
      <c r="U240" s="314"/>
      <c r="V240" s="369"/>
      <c r="W240" s="373"/>
      <c r="X240" s="5"/>
    </row>
    <row r="241" spans="1:25" ht="15.6" x14ac:dyDescent="0.3">
      <c r="A241" s="355"/>
      <c r="B241" s="356"/>
      <c r="C241" s="357"/>
      <c r="D241" s="357"/>
      <c r="E241" s="357"/>
      <c r="F241" s="358"/>
      <c r="G241" s="198"/>
      <c r="H241" s="198"/>
      <c r="I241" s="198"/>
      <c r="J241" s="198"/>
      <c r="K241" s="198"/>
      <c r="L241" s="198"/>
      <c r="M241" s="198"/>
      <c r="N241" s="198"/>
      <c r="O241" s="198"/>
      <c r="P241" s="198"/>
      <c r="Q241" s="198"/>
      <c r="R241" s="198"/>
      <c r="S241" s="198"/>
      <c r="T241" s="359"/>
      <c r="U241" s="198"/>
      <c r="V241" s="360"/>
      <c r="W241" s="361"/>
      <c r="X241" s="5"/>
    </row>
    <row r="242" spans="1:25" ht="15.6" x14ac:dyDescent="0.3">
      <c r="A242" s="262"/>
      <c r="B242" s="399" t="s">
        <v>308</v>
      </c>
      <c r="C242" s="400"/>
      <c r="D242" s="400"/>
      <c r="E242" s="400"/>
      <c r="F242" s="406"/>
      <c r="G242" s="400"/>
      <c r="H242" s="400"/>
      <c r="I242" s="400"/>
      <c r="J242" s="400"/>
      <c r="K242" s="400"/>
      <c r="L242" s="400"/>
      <c r="M242" s="400"/>
      <c r="N242" s="400"/>
      <c r="O242" s="400"/>
      <c r="P242" s="400"/>
      <c r="Q242" s="400"/>
      <c r="R242" s="406" t="s">
        <v>102</v>
      </c>
      <c r="S242" s="400" t="s">
        <v>103</v>
      </c>
      <c r="T242" s="406" t="s">
        <v>109</v>
      </c>
      <c r="U242" s="400" t="s">
        <v>103</v>
      </c>
      <c r="V242" s="263"/>
      <c r="W242" s="399"/>
      <c r="X242" s="5"/>
    </row>
    <row r="243" spans="1:25" ht="15.6" x14ac:dyDescent="0.3">
      <c r="A243" s="197"/>
      <c r="B243" s="234" t="s">
        <v>88</v>
      </c>
      <c r="C243" s="253"/>
      <c r="D243" s="253"/>
      <c r="E243" s="253"/>
      <c r="F243" s="231"/>
      <c r="G243" s="253"/>
      <c r="H243" s="253"/>
      <c r="I243" s="253"/>
      <c r="J243" s="253"/>
      <c r="K243" s="253"/>
      <c r="L243" s="253"/>
      <c r="M243" s="253"/>
      <c r="N243" s="253"/>
      <c r="O243" s="253"/>
      <c r="P243" s="253"/>
      <c r="Q243" s="253"/>
      <c r="R243" s="234">
        <f t="shared" ref="R243:R250" si="1">+R255+R267+R279</f>
        <v>7590</v>
      </c>
      <c r="S243" s="254">
        <f t="shared" ref="S243:S250" si="2">R243/$R$252</f>
        <v>0.99475753604193973</v>
      </c>
      <c r="T243" s="241">
        <f t="shared" ref="T243:T250" si="3">+T255+T267+T279</f>
        <v>1053596</v>
      </c>
      <c r="U243" s="254">
        <f t="shared" ref="U243:U250" si="4">T243/$T$252</f>
        <v>0.99481158842818984</v>
      </c>
      <c r="V243" s="250"/>
      <c r="W243" s="232"/>
      <c r="X243" s="5"/>
    </row>
    <row r="244" spans="1:25" ht="15.6" x14ac:dyDescent="0.3">
      <c r="A244" s="287"/>
      <c r="B244" s="337" t="s">
        <v>89</v>
      </c>
      <c r="C244" s="389"/>
      <c r="D244" s="389"/>
      <c r="E244" s="389"/>
      <c r="F244" s="288"/>
      <c r="G244" s="390"/>
      <c r="H244" s="389"/>
      <c r="I244" s="389"/>
      <c r="J244" s="389"/>
      <c r="K244" s="389"/>
      <c r="L244" s="389"/>
      <c r="M244" s="389"/>
      <c r="N244" s="389"/>
      <c r="O244" s="389"/>
      <c r="P244" s="389"/>
      <c r="Q244" s="389"/>
      <c r="R244" s="337">
        <f t="shared" si="1"/>
        <v>12</v>
      </c>
      <c r="S244" s="390">
        <f t="shared" si="2"/>
        <v>1.5727391874180866E-3</v>
      </c>
      <c r="T244" s="338">
        <f t="shared" si="3"/>
        <v>1862</v>
      </c>
      <c r="U244" s="390">
        <f t="shared" si="4"/>
        <v>1.7581114370719797E-3</v>
      </c>
      <c r="V244" s="365"/>
      <c r="W244" s="378"/>
      <c r="X244" s="5"/>
      <c r="Y244" s="109"/>
    </row>
    <row r="245" spans="1:25" ht="15.6" x14ac:dyDescent="0.3">
      <c r="A245" s="287"/>
      <c r="B245" s="337" t="s">
        <v>90</v>
      </c>
      <c r="C245" s="389"/>
      <c r="D245" s="389"/>
      <c r="E245" s="389"/>
      <c r="F245" s="288"/>
      <c r="G245" s="390"/>
      <c r="H245" s="389"/>
      <c r="I245" s="389"/>
      <c r="J245" s="389"/>
      <c r="K245" s="389"/>
      <c r="L245" s="389"/>
      <c r="M245" s="389"/>
      <c r="N245" s="389"/>
      <c r="O245" s="389"/>
      <c r="P245" s="389"/>
      <c r="Q245" s="389"/>
      <c r="R245" s="337">
        <f t="shared" si="1"/>
        <v>5</v>
      </c>
      <c r="S245" s="390">
        <f t="shared" si="2"/>
        <v>6.5530799475753605E-4</v>
      </c>
      <c r="T245" s="338">
        <f t="shared" si="3"/>
        <v>343</v>
      </c>
      <c r="U245" s="390">
        <f t="shared" si="4"/>
        <v>3.2386263314483838E-4</v>
      </c>
      <c r="V245" s="365"/>
      <c r="W245" s="378"/>
      <c r="X245" s="5"/>
    </row>
    <row r="246" spans="1:25" ht="15.6" x14ac:dyDescent="0.3">
      <c r="A246" s="287"/>
      <c r="B246" s="337" t="s">
        <v>156</v>
      </c>
      <c r="C246" s="389"/>
      <c r="D246" s="389"/>
      <c r="E246" s="389"/>
      <c r="F246" s="288"/>
      <c r="G246" s="390"/>
      <c r="H246" s="389"/>
      <c r="I246" s="389"/>
      <c r="J246" s="389"/>
      <c r="K246" s="389"/>
      <c r="L246" s="389"/>
      <c r="M246" s="389"/>
      <c r="N246" s="389"/>
      <c r="O246" s="389"/>
      <c r="P246" s="389"/>
      <c r="Q246" s="389"/>
      <c r="R246" s="337">
        <f t="shared" si="1"/>
        <v>1</v>
      </c>
      <c r="S246" s="390">
        <f t="shared" si="2"/>
        <v>1.310615989515072E-4</v>
      </c>
      <c r="T246" s="338">
        <f t="shared" si="3"/>
        <v>138</v>
      </c>
      <c r="U246" s="390">
        <f t="shared" si="4"/>
        <v>1.3030041799996412E-4</v>
      </c>
      <c r="V246" s="365"/>
      <c r="W246" s="378"/>
      <c r="X246" s="5"/>
      <c r="Y246" s="109"/>
    </row>
    <row r="247" spans="1:25" ht="15.6" x14ac:dyDescent="0.3">
      <c r="A247" s="287"/>
      <c r="B247" s="337" t="s">
        <v>157</v>
      </c>
      <c r="C247" s="389"/>
      <c r="D247" s="389"/>
      <c r="E247" s="389"/>
      <c r="F247" s="288"/>
      <c r="G247" s="390"/>
      <c r="H247" s="389"/>
      <c r="I247" s="389"/>
      <c r="J247" s="389"/>
      <c r="K247" s="389"/>
      <c r="L247" s="389"/>
      <c r="M247" s="389"/>
      <c r="N247" s="389"/>
      <c r="O247" s="389"/>
      <c r="P247" s="389"/>
      <c r="Q247" s="389"/>
      <c r="R247" s="337">
        <f t="shared" si="1"/>
        <v>1</v>
      </c>
      <c r="S247" s="390">
        <f t="shared" si="2"/>
        <v>1.310615989515072E-4</v>
      </c>
      <c r="T247" s="338">
        <f t="shared" si="3"/>
        <v>78</v>
      </c>
      <c r="U247" s="390">
        <f t="shared" si="4"/>
        <v>7.3648062347805802E-5</v>
      </c>
      <c r="V247" s="365"/>
      <c r="W247" s="378"/>
      <c r="X247" s="5"/>
    </row>
    <row r="248" spans="1:25" ht="15.6" x14ac:dyDescent="0.3">
      <c r="A248" s="287"/>
      <c r="B248" s="337" t="s">
        <v>158</v>
      </c>
      <c r="C248" s="389"/>
      <c r="D248" s="389"/>
      <c r="E248" s="389"/>
      <c r="F248" s="288"/>
      <c r="G248" s="390"/>
      <c r="H248" s="389"/>
      <c r="I248" s="389"/>
      <c r="J248" s="389"/>
      <c r="K248" s="389"/>
      <c r="L248" s="389"/>
      <c r="M248" s="389"/>
      <c r="N248" s="389"/>
      <c r="O248" s="389"/>
      <c r="P248" s="389"/>
      <c r="Q248" s="389"/>
      <c r="R248" s="337">
        <f t="shared" si="1"/>
        <v>4</v>
      </c>
      <c r="S248" s="390">
        <f t="shared" si="2"/>
        <v>5.2424639580602882E-4</v>
      </c>
      <c r="T248" s="338">
        <f t="shared" si="3"/>
        <v>661</v>
      </c>
      <c r="U248" s="390">
        <f t="shared" si="4"/>
        <v>6.2412011810127738E-4</v>
      </c>
      <c r="V248" s="365"/>
      <c r="W248" s="378"/>
      <c r="X248" s="5"/>
      <c r="Y248" s="109"/>
    </row>
    <row r="249" spans="1:25" ht="15.6" x14ac:dyDescent="0.3">
      <c r="A249" s="287"/>
      <c r="B249" s="337" t="s">
        <v>159</v>
      </c>
      <c r="C249" s="389"/>
      <c r="D249" s="389"/>
      <c r="E249" s="389"/>
      <c r="F249" s="288"/>
      <c r="G249" s="390"/>
      <c r="H249" s="389"/>
      <c r="I249" s="389"/>
      <c r="J249" s="389"/>
      <c r="K249" s="389"/>
      <c r="L249" s="389"/>
      <c r="M249" s="389"/>
      <c r="N249" s="389"/>
      <c r="O249" s="389"/>
      <c r="P249" s="389"/>
      <c r="Q249" s="389"/>
      <c r="R249" s="337">
        <f t="shared" si="1"/>
        <v>2</v>
      </c>
      <c r="S249" s="390">
        <f t="shared" si="2"/>
        <v>2.6212319790301441E-4</v>
      </c>
      <c r="T249" s="338">
        <f t="shared" si="3"/>
        <v>223</v>
      </c>
      <c r="U249" s="390">
        <f t="shared" si="4"/>
        <v>2.1055792184052172E-4</v>
      </c>
      <c r="V249" s="365"/>
      <c r="W249" s="378"/>
      <c r="X249" s="5"/>
    </row>
    <row r="250" spans="1:25" ht="15.6" x14ac:dyDescent="0.3">
      <c r="A250" s="287"/>
      <c r="B250" s="337" t="s">
        <v>160</v>
      </c>
      <c r="C250" s="389"/>
      <c r="D250" s="389"/>
      <c r="E250" s="389"/>
      <c r="F250" s="288"/>
      <c r="G250" s="390"/>
      <c r="H250" s="389"/>
      <c r="I250" s="389"/>
      <c r="J250" s="389"/>
      <c r="K250" s="389"/>
      <c r="L250" s="389"/>
      <c r="M250" s="389"/>
      <c r="N250" s="389"/>
      <c r="O250" s="389"/>
      <c r="P250" s="389"/>
      <c r="Q250" s="389"/>
      <c r="R250" s="339">
        <f t="shared" si="1"/>
        <v>15</v>
      </c>
      <c r="S250" s="393">
        <f t="shared" si="2"/>
        <v>1.9659239842726079E-3</v>
      </c>
      <c r="T250" s="394">
        <f t="shared" si="3"/>
        <v>2190</v>
      </c>
      <c r="U250" s="393">
        <f t="shared" si="4"/>
        <v>2.0678109813037785E-3</v>
      </c>
      <c r="V250" s="365"/>
      <c r="W250" s="378"/>
      <c r="X250" s="5"/>
      <c r="Y250" s="109"/>
    </row>
    <row r="251" spans="1:25" ht="15.6" x14ac:dyDescent="0.3">
      <c r="A251" s="287"/>
      <c r="B251" s="337"/>
      <c r="C251" s="389"/>
      <c r="D251" s="389"/>
      <c r="E251" s="389"/>
      <c r="F251" s="288"/>
      <c r="G251" s="390"/>
      <c r="H251" s="389"/>
      <c r="I251" s="389"/>
      <c r="J251" s="389"/>
      <c r="K251" s="389"/>
      <c r="L251" s="389"/>
      <c r="M251" s="389"/>
      <c r="N251" s="389"/>
      <c r="O251" s="389"/>
      <c r="P251" s="389"/>
      <c r="Q251" s="389"/>
      <c r="R251" s="337"/>
      <c r="S251" s="390"/>
      <c r="T251" s="338"/>
      <c r="U251" s="390"/>
      <c r="V251" s="365"/>
      <c r="W251" s="378"/>
      <c r="X251" s="5"/>
    </row>
    <row r="252" spans="1:25" ht="15.6" x14ac:dyDescent="0.3">
      <c r="A252" s="287"/>
      <c r="B252" s="288"/>
      <c r="C252" s="288"/>
      <c r="D252" s="288"/>
      <c r="E252" s="288"/>
      <c r="F252" s="288"/>
      <c r="G252" s="288"/>
      <c r="H252" s="391"/>
      <c r="I252" s="391"/>
      <c r="J252" s="391"/>
      <c r="K252" s="391"/>
      <c r="L252" s="391"/>
      <c r="M252" s="391"/>
      <c r="N252" s="391"/>
      <c r="O252" s="391"/>
      <c r="P252" s="391"/>
      <c r="Q252" s="391"/>
      <c r="R252" s="337">
        <f>SUM(R243:R251)</f>
        <v>7630</v>
      </c>
      <c r="S252" s="390">
        <f>SUM(S243:S251)</f>
        <v>1</v>
      </c>
      <c r="T252" s="338">
        <f>SUM(T243:T251)</f>
        <v>1059091</v>
      </c>
      <c r="U252" s="390">
        <f>SUM(U243:U251)</f>
        <v>1</v>
      </c>
      <c r="V252" s="288"/>
      <c r="W252" s="291"/>
      <c r="X252" s="5"/>
    </row>
    <row r="253" spans="1:25" ht="15.6" x14ac:dyDescent="0.3">
      <c r="A253" s="183"/>
      <c r="B253" s="198"/>
      <c r="C253" s="198"/>
      <c r="D253" s="198"/>
      <c r="E253" s="198"/>
      <c r="F253" s="198"/>
      <c r="G253" s="198"/>
      <c r="H253" s="386"/>
      <c r="I253" s="386"/>
      <c r="J253" s="386"/>
      <c r="K253" s="386"/>
      <c r="L253" s="386"/>
      <c r="M253" s="386"/>
      <c r="N253" s="386"/>
      <c r="O253" s="386"/>
      <c r="P253" s="386"/>
      <c r="Q253" s="386"/>
      <c r="R253" s="335"/>
      <c r="S253" s="387"/>
      <c r="T253" s="388"/>
      <c r="U253" s="387"/>
      <c r="V253" s="198"/>
      <c r="W253" s="198"/>
      <c r="X253" s="5"/>
    </row>
    <row r="254" spans="1:25" ht="15.6" x14ac:dyDescent="0.3">
      <c r="A254" s="262"/>
      <c r="B254" s="399" t="s">
        <v>162</v>
      </c>
      <c r="C254" s="400"/>
      <c r="D254" s="400"/>
      <c r="E254" s="400"/>
      <c r="F254" s="406"/>
      <c r="G254" s="400"/>
      <c r="H254" s="400"/>
      <c r="I254" s="400"/>
      <c r="J254" s="400"/>
      <c r="K254" s="400"/>
      <c r="L254" s="400"/>
      <c r="M254" s="400"/>
      <c r="N254" s="400"/>
      <c r="O254" s="400"/>
      <c r="P254" s="400"/>
      <c r="Q254" s="400"/>
      <c r="R254" s="406" t="s">
        <v>102</v>
      </c>
      <c r="S254" s="400" t="s">
        <v>103</v>
      </c>
      <c r="T254" s="406" t="s">
        <v>109</v>
      </c>
      <c r="U254" s="400" t="s">
        <v>103</v>
      </c>
      <c r="V254" s="263"/>
      <c r="W254" s="399"/>
      <c r="X254" s="5"/>
    </row>
    <row r="255" spans="1:25" ht="15.6" x14ac:dyDescent="0.3">
      <c r="A255" s="197"/>
      <c r="B255" s="234" t="s">
        <v>88</v>
      </c>
      <c r="C255" s="253"/>
      <c r="D255" s="253"/>
      <c r="E255" s="253"/>
      <c r="F255" s="231"/>
      <c r="G255" s="253"/>
      <c r="H255" s="253"/>
      <c r="I255" s="253"/>
      <c r="J255" s="253"/>
      <c r="K255" s="253"/>
      <c r="L255" s="253"/>
      <c r="M255" s="253"/>
      <c r="N255" s="253"/>
      <c r="O255" s="253"/>
      <c r="P255" s="253"/>
      <c r="Q255" s="253"/>
      <c r="R255" s="234">
        <v>7459</v>
      </c>
      <c r="S255" s="254">
        <f t="shared" ref="S255:S262" si="5">R255/$R$264</f>
        <v>0.99799304254749799</v>
      </c>
      <c r="T255" s="241">
        <v>1034894</v>
      </c>
      <c r="U255" s="254">
        <f t="shared" ref="U255:U262" si="6">T255/$T$264</f>
        <v>0.99810774109423106</v>
      </c>
      <c r="V255" s="250"/>
      <c r="W255" s="232"/>
      <c r="X255" s="5"/>
    </row>
    <row r="256" spans="1:25" ht="15.6" x14ac:dyDescent="0.3">
      <c r="A256" s="287"/>
      <c r="B256" s="337" t="s">
        <v>89</v>
      </c>
      <c r="C256" s="389"/>
      <c r="D256" s="389"/>
      <c r="E256" s="389"/>
      <c r="F256" s="288"/>
      <c r="G256" s="390"/>
      <c r="H256" s="389"/>
      <c r="I256" s="389"/>
      <c r="J256" s="389"/>
      <c r="K256" s="389"/>
      <c r="L256" s="389"/>
      <c r="M256" s="389"/>
      <c r="N256" s="389"/>
      <c r="O256" s="389"/>
      <c r="P256" s="389"/>
      <c r="Q256" s="389"/>
      <c r="R256" s="337">
        <v>10</v>
      </c>
      <c r="S256" s="390">
        <f t="shared" si="5"/>
        <v>1.3379716350013381E-3</v>
      </c>
      <c r="T256" s="338">
        <v>1573</v>
      </c>
      <c r="U256" s="390">
        <f t="shared" si="6"/>
        <v>1.5170862684885846E-3</v>
      </c>
      <c r="V256" s="365"/>
      <c r="W256" s="378"/>
      <c r="X256" s="5"/>
      <c r="Y256" s="109"/>
    </row>
    <row r="257" spans="1:25" ht="15.6" x14ac:dyDescent="0.3">
      <c r="A257" s="287"/>
      <c r="B257" s="337" t="s">
        <v>90</v>
      </c>
      <c r="C257" s="389"/>
      <c r="D257" s="389"/>
      <c r="E257" s="389"/>
      <c r="F257" s="288"/>
      <c r="G257" s="390"/>
      <c r="H257" s="389"/>
      <c r="I257" s="389"/>
      <c r="J257" s="389"/>
      <c r="K257" s="389"/>
      <c r="L257" s="389"/>
      <c r="M257" s="389"/>
      <c r="N257" s="389"/>
      <c r="O257" s="389"/>
      <c r="P257" s="389"/>
      <c r="Q257" s="389"/>
      <c r="R257" s="337">
        <v>3</v>
      </c>
      <c r="S257" s="390">
        <f t="shared" si="5"/>
        <v>4.0139149050040138E-4</v>
      </c>
      <c r="T257" s="338">
        <v>178</v>
      </c>
      <c r="U257" s="390">
        <f t="shared" si="6"/>
        <v>1.7167282631339357E-4</v>
      </c>
      <c r="V257" s="365"/>
      <c r="W257" s="378"/>
      <c r="X257" s="5"/>
    </row>
    <row r="258" spans="1:25" ht="15.6" x14ac:dyDescent="0.3">
      <c r="A258" s="287"/>
      <c r="B258" s="337" t="s">
        <v>156</v>
      </c>
      <c r="C258" s="389"/>
      <c r="D258" s="389"/>
      <c r="E258" s="389"/>
      <c r="F258" s="288"/>
      <c r="G258" s="390"/>
      <c r="H258" s="389"/>
      <c r="I258" s="389"/>
      <c r="J258" s="389"/>
      <c r="K258" s="389"/>
      <c r="L258" s="389"/>
      <c r="M258" s="389"/>
      <c r="N258" s="389"/>
      <c r="O258" s="389"/>
      <c r="P258" s="389"/>
      <c r="Q258" s="389"/>
      <c r="R258" s="337">
        <v>0</v>
      </c>
      <c r="S258" s="390">
        <f t="shared" si="5"/>
        <v>0</v>
      </c>
      <c r="T258" s="338">
        <v>0</v>
      </c>
      <c r="U258" s="390">
        <f t="shared" si="6"/>
        <v>0</v>
      </c>
      <c r="V258" s="365"/>
      <c r="W258" s="378"/>
      <c r="X258" s="5"/>
      <c r="Y258" s="109"/>
    </row>
    <row r="259" spans="1:25" ht="15.6" x14ac:dyDescent="0.3">
      <c r="A259" s="287"/>
      <c r="B259" s="337" t="s">
        <v>157</v>
      </c>
      <c r="C259" s="389"/>
      <c r="D259" s="389"/>
      <c r="E259" s="389"/>
      <c r="F259" s="288"/>
      <c r="G259" s="390"/>
      <c r="H259" s="389"/>
      <c r="I259" s="389"/>
      <c r="J259" s="389"/>
      <c r="K259" s="389"/>
      <c r="L259" s="389"/>
      <c r="M259" s="389"/>
      <c r="N259" s="389"/>
      <c r="O259" s="389"/>
      <c r="P259" s="389"/>
      <c r="Q259" s="389"/>
      <c r="R259" s="337">
        <v>0</v>
      </c>
      <c r="S259" s="390">
        <f t="shared" si="5"/>
        <v>0</v>
      </c>
      <c r="T259" s="338">
        <v>0</v>
      </c>
      <c r="U259" s="390">
        <f t="shared" si="6"/>
        <v>0</v>
      </c>
      <c r="V259" s="365"/>
      <c r="W259" s="378"/>
      <c r="X259" s="5"/>
    </row>
    <row r="260" spans="1:25" ht="15.6" x14ac:dyDescent="0.3">
      <c r="A260" s="287"/>
      <c r="B260" s="337" t="s">
        <v>158</v>
      </c>
      <c r="C260" s="389"/>
      <c r="D260" s="389"/>
      <c r="E260" s="389"/>
      <c r="F260" s="288"/>
      <c r="G260" s="390"/>
      <c r="H260" s="389"/>
      <c r="I260" s="389"/>
      <c r="J260" s="389"/>
      <c r="K260" s="389"/>
      <c r="L260" s="389"/>
      <c r="M260" s="389"/>
      <c r="N260" s="389"/>
      <c r="O260" s="389"/>
      <c r="P260" s="389"/>
      <c r="Q260" s="389"/>
      <c r="R260" s="337">
        <v>0</v>
      </c>
      <c r="S260" s="390">
        <f t="shared" si="5"/>
        <v>0</v>
      </c>
      <c r="T260" s="338">
        <v>0</v>
      </c>
      <c r="U260" s="390">
        <f t="shared" si="6"/>
        <v>0</v>
      </c>
      <c r="V260" s="365"/>
      <c r="W260" s="378"/>
      <c r="X260" s="5"/>
      <c r="Y260" s="109"/>
    </row>
    <row r="261" spans="1:25" ht="15.6" x14ac:dyDescent="0.3">
      <c r="A261" s="287"/>
      <c r="B261" s="337" t="s">
        <v>159</v>
      </c>
      <c r="C261" s="389"/>
      <c r="D261" s="389"/>
      <c r="E261" s="389"/>
      <c r="F261" s="288"/>
      <c r="G261" s="390"/>
      <c r="H261" s="389"/>
      <c r="I261" s="389"/>
      <c r="J261" s="389"/>
      <c r="K261" s="389"/>
      <c r="L261" s="389"/>
      <c r="M261" s="389"/>
      <c r="N261" s="389"/>
      <c r="O261" s="389"/>
      <c r="P261" s="389"/>
      <c r="Q261" s="389"/>
      <c r="R261" s="337">
        <v>1</v>
      </c>
      <c r="S261" s="390">
        <f t="shared" si="5"/>
        <v>1.3379716350013379E-4</v>
      </c>
      <c r="T261" s="338">
        <v>69</v>
      </c>
      <c r="U261" s="390">
        <f t="shared" si="6"/>
        <v>6.6547331548450314E-5</v>
      </c>
      <c r="V261" s="365"/>
      <c r="W261" s="378"/>
      <c r="X261" s="5"/>
    </row>
    <row r="262" spans="1:25" ht="15.6" x14ac:dyDescent="0.3">
      <c r="A262" s="287"/>
      <c r="B262" s="337" t="s">
        <v>160</v>
      </c>
      <c r="C262" s="389"/>
      <c r="D262" s="389"/>
      <c r="E262" s="389"/>
      <c r="F262" s="288"/>
      <c r="G262" s="390"/>
      <c r="H262" s="389"/>
      <c r="I262" s="389"/>
      <c r="J262" s="389"/>
      <c r="K262" s="389"/>
      <c r="L262" s="389"/>
      <c r="M262" s="389"/>
      <c r="N262" s="389"/>
      <c r="O262" s="389"/>
      <c r="P262" s="389"/>
      <c r="Q262" s="389"/>
      <c r="R262" s="337">
        <v>1</v>
      </c>
      <c r="S262" s="390">
        <f t="shared" si="5"/>
        <v>1.3379716350013379E-4</v>
      </c>
      <c r="T262" s="338">
        <v>142</v>
      </c>
      <c r="U262" s="390">
        <f t="shared" si="6"/>
        <v>1.3695247941854992E-4</v>
      </c>
      <c r="V262" s="365"/>
      <c r="W262" s="378"/>
      <c r="X262" s="5"/>
      <c r="Y262" s="109"/>
    </row>
    <row r="263" spans="1:25" ht="15.6" x14ac:dyDescent="0.3">
      <c r="A263" s="287"/>
      <c r="B263" s="337"/>
      <c r="C263" s="389"/>
      <c r="D263" s="389"/>
      <c r="E263" s="389"/>
      <c r="F263" s="288"/>
      <c r="G263" s="390"/>
      <c r="H263" s="389"/>
      <c r="I263" s="389"/>
      <c r="J263" s="389"/>
      <c r="K263" s="389"/>
      <c r="L263" s="389"/>
      <c r="M263" s="389"/>
      <c r="N263" s="389"/>
      <c r="O263" s="389"/>
      <c r="P263" s="389"/>
      <c r="Q263" s="389"/>
      <c r="R263" s="337"/>
      <c r="S263" s="390"/>
      <c r="T263" s="338"/>
      <c r="U263" s="390"/>
      <c r="V263" s="365"/>
      <c r="W263" s="378"/>
      <c r="X263" s="5"/>
    </row>
    <row r="264" spans="1:25" ht="15.6" x14ac:dyDescent="0.3">
      <c r="A264" s="287"/>
      <c r="B264" s="288"/>
      <c r="C264" s="288"/>
      <c r="D264" s="288"/>
      <c r="E264" s="288"/>
      <c r="F264" s="288"/>
      <c r="G264" s="288"/>
      <c r="H264" s="391"/>
      <c r="I264" s="391"/>
      <c r="J264" s="391"/>
      <c r="K264" s="391"/>
      <c r="L264" s="391"/>
      <c r="M264" s="391"/>
      <c r="N264" s="391"/>
      <c r="O264" s="391"/>
      <c r="P264" s="391"/>
      <c r="Q264" s="391"/>
      <c r="R264" s="337">
        <f>SUM(R255:R263)</f>
        <v>7474</v>
      </c>
      <c r="S264" s="390">
        <f>SUM(S255:S263)</f>
        <v>1</v>
      </c>
      <c r="T264" s="338">
        <f>SUM(T255:T263)</f>
        <v>1036856</v>
      </c>
      <c r="U264" s="390">
        <f>SUM(U255:U263)</f>
        <v>1</v>
      </c>
      <c r="V264" s="288"/>
      <c r="W264" s="291"/>
      <c r="X264" s="5"/>
    </row>
    <row r="265" spans="1:25" ht="15.6" x14ac:dyDescent="0.3">
      <c r="A265" s="183"/>
      <c r="B265" s="198"/>
      <c r="C265" s="198"/>
      <c r="D265" s="198"/>
      <c r="E265" s="198"/>
      <c r="F265" s="198"/>
      <c r="G265" s="198"/>
      <c r="H265" s="386"/>
      <c r="I265" s="386"/>
      <c r="J265" s="386"/>
      <c r="K265" s="386"/>
      <c r="L265" s="386"/>
      <c r="M265" s="386"/>
      <c r="N265" s="386"/>
      <c r="O265" s="386"/>
      <c r="P265" s="386"/>
      <c r="Q265" s="386"/>
      <c r="R265" s="335"/>
      <c r="S265" s="387"/>
      <c r="T265" s="388"/>
      <c r="U265" s="387"/>
      <c r="V265" s="198"/>
      <c r="W265" s="198"/>
      <c r="X265" s="5"/>
    </row>
    <row r="266" spans="1:25" ht="15.6" x14ac:dyDescent="0.3">
      <c r="A266" s="280"/>
      <c r="B266" s="399" t="s">
        <v>275</v>
      </c>
      <c r="C266" s="400"/>
      <c r="D266" s="400"/>
      <c r="E266" s="400"/>
      <c r="F266" s="406"/>
      <c r="G266" s="400"/>
      <c r="H266" s="400"/>
      <c r="I266" s="400"/>
      <c r="J266" s="400"/>
      <c r="K266" s="400"/>
      <c r="L266" s="400"/>
      <c r="M266" s="400"/>
      <c r="N266" s="400"/>
      <c r="O266" s="400"/>
      <c r="P266" s="400"/>
      <c r="Q266" s="400"/>
      <c r="R266" s="406" t="s">
        <v>102</v>
      </c>
      <c r="S266" s="400" t="s">
        <v>103</v>
      </c>
      <c r="T266" s="406" t="s">
        <v>109</v>
      </c>
      <c r="U266" s="400" t="s">
        <v>103</v>
      </c>
      <c r="V266" s="281"/>
      <c r="W266" s="282"/>
      <c r="X266" s="5"/>
    </row>
    <row r="267" spans="1:25" ht="15.6" x14ac:dyDescent="0.3">
      <c r="A267" s="197"/>
      <c r="B267" s="234" t="s">
        <v>88</v>
      </c>
      <c r="C267" s="253"/>
      <c r="D267" s="253"/>
      <c r="E267" s="253"/>
      <c r="F267" s="231"/>
      <c r="G267" s="253"/>
      <c r="H267" s="253"/>
      <c r="I267" s="253"/>
      <c r="J267" s="253"/>
      <c r="K267" s="253"/>
      <c r="L267" s="253"/>
      <c r="M267" s="253"/>
      <c r="N267" s="253"/>
      <c r="O267" s="253"/>
      <c r="P267" s="253"/>
      <c r="Q267" s="253"/>
      <c r="R267" s="234">
        <v>131</v>
      </c>
      <c r="S267" s="254">
        <f t="shared" ref="S267:S274" si="7">R267/$R$276</f>
        <v>0.83974358974358976</v>
      </c>
      <c r="T267" s="241">
        <v>18702</v>
      </c>
      <c r="U267" s="254">
        <f t="shared" ref="U267:U274" si="8">T267/$T$276</f>
        <v>0.84110636384079152</v>
      </c>
      <c r="V267" s="231"/>
      <c r="W267" s="231"/>
      <c r="X267" s="5"/>
    </row>
    <row r="268" spans="1:25" ht="15.6" x14ac:dyDescent="0.3">
      <c r="A268" s="287"/>
      <c r="B268" s="337" t="s">
        <v>89</v>
      </c>
      <c r="C268" s="389"/>
      <c r="D268" s="389"/>
      <c r="E268" s="389"/>
      <c r="F268" s="288"/>
      <c r="G268" s="390"/>
      <c r="H268" s="389"/>
      <c r="I268" s="389"/>
      <c r="J268" s="389"/>
      <c r="K268" s="389"/>
      <c r="L268" s="389"/>
      <c r="M268" s="389"/>
      <c r="N268" s="389"/>
      <c r="O268" s="389"/>
      <c r="P268" s="389"/>
      <c r="Q268" s="389"/>
      <c r="R268" s="337">
        <v>2</v>
      </c>
      <c r="S268" s="390">
        <f t="shared" si="7"/>
        <v>1.282051282051282E-2</v>
      </c>
      <c r="T268" s="338">
        <v>289</v>
      </c>
      <c r="U268" s="390">
        <f t="shared" si="8"/>
        <v>1.2997526422307174E-2</v>
      </c>
      <c r="V268" s="288"/>
      <c r="W268" s="291"/>
      <c r="X268" s="5"/>
    </row>
    <row r="269" spans="1:25" ht="15.6" x14ac:dyDescent="0.3">
      <c r="A269" s="287"/>
      <c r="B269" s="337" t="s">
        <v>90</v>
      </c>
      <c r="C269" s="389"/>
      <c r="D269" s="389"/>
      <c r="E269" s="389"/>
      <c r="F269" s="288"/>
      <c r="G269" s="390"/>
      <c r="H269" s="389"/>
      <c r="I269" s="389"/>
      <c r="J269" s="389"/>
      <c r="K269" s="389"/>
      <c r="L269" s="389"/>
      <c r="M269" s="389"/>
      <c r="N269" s="389"/>
      <c r="O269" s="389"/>
      <c r="P269" s="389"/>
      <c r="Q269" s="389"/>
      <c r="R269" s="337">
        <v>2</v>
      </c>
      <c r="S269" s="390">
        <f t="shared" si="7"/>
        <v>1.282051282051282E-2</v>
      </c>
      <c r="T269" s="338">
        <v>165</v>
      </c>
      <c r="U269" s="390">
        <f t="shared" si="8"/>
        <v>7.4207330784798742E-3</v>
      </c>
      <c r="V269" s="288"/>
      <c r="W269" s="291"/>
      <c r="X269" s="5"/>
    </row>
    <row r="270" spans="1:25" ht="15.6" x14ac:dyDescent="0.3">
      <c r="A270" s="287"/>
      <c r="B270" s="337" t="s">
        <v>156</v>
      </c>
      <c r="C270" s="389"/>
      <c r="D270" s="389"/>
      <c r="E270" s="389"/>
      <c r="F270" s="288"/>
      <c r="G270" s="390"/>
      <c r="H270" s="389"/>
      <c r="I270" s="389"/>
      <c r="J270" s="389"/>
      <c r="K270" s="389"/>
      <c r="L270" s="389"/>
      <c r="M270" s="389"/>
      <c r="N270" s="389"/>
      <c r="O270" s="389"/>
      <c r="P270" s="389"/>
      <c r="Q270" s="389"/>
      <c r="R270" s="337">
        <v>1</v>
      </c>
      <c r="S270" s="390">
        <f t="shared" si="7"/>
        <v>6.41025641025641E-3</v>
      </c>
      <c r="T270" s="338">
        <v>138</v>
      </c>
      <c r="U270" s="390">
        <f t="shared" si="8"/>
        <v>6.2064313020013494E-3</v>
      </c>
      <c r="V270" s="288"/>
      <c r="W270" s="291"/>
      <c r="X270" s="5"/>
    </row>
    <row r="271" spans="1:25" ht="15.6" x14ac:dyDescent="0.3">
      <c r="A271" s="287"/>
      <c r="B271" s="337" t="s">
        <v>157</v>
      </c>
      <c r="C271" s="389"/>
      <c r="D271" s="389"/>
      <c r="E271" s="389"/>
      <c r="F271" s="288"/>
      <c r="G271" s="390"/>
      <c r="H271" s="389"/>
      <c r="I271" s="389"/>
      <c r="J271" s="389"/>
      <c r="K271" s="389"/>
      <c r="L271" s="389"/>
      <c r="M271" s="389"/>
      <c r="N271" s="389"/>
      <c r="O271" s="389"/>
      <c r="P271" s="389"/>
      <c r="Q271" s="389"/>
      <c r="R271" s="337">
        <v>1</v>
      </c>
      <c r="S271" s="390">
        <f t="shared" si="7"/>
        <v>6.41025641025641E-3</v>
      </c>
      <c r="T271" s="338">
        <v>78</v>
      </c>
      <c r="U271" s="390">
        <f t="shared" si="8"/>
        <v>3.5079829098268495E-3</v>
      </c>
      <c r="V271" s="288"/>
      <c r="W271" s="291"/>
      <c r="X271" s="5"/>
    </row>
    <row r="272" spans="1:25" ht="15.6" x14ac:dyDescent="0.3">
      <c r="A272" s="287"/>
      <c r="B272" s="337" t="s">
        <v>158</v>
      </c>
      <c r="C272" s="389"/>
      <c r="D272" s="389"/>
      <c r="E272" s="389"/>
      <c r="F272" s="288"/>
      <c r="G272" s="390"/>
      <c r="H272" s="389"/>
      <c r="I272" s="389"/>
      <c r="J272" s="389"/>
      <c r="K272" s="389"/>
      <c r="L272" s="389"/>
      <c r="M272" s="389"/>
      <c r="N272" s="389"/>
      <c r="O272" s="389"/>
      <c r="P272" s="389"/>
      <c r="Q272" s="389"/>
      <c r="R272" s="337">
        <v>4</v>
      </c>
      <c r="S272" s="390">
        <f t="shared" si="7"/>
        <v>2.564102564102564E-2</v>
      </c>
      <c r="T272" s="338">
        <v>661</v>
      </c>
      <c r="U272" s="390">
        <f t="shared" si="8"/>
        <v>2.9727906453789071E-2</v>
      </c>
      <c r="V272" s="288"/>
      <c r="W272" s="291"/>
      <c r="X272" s="5"/>
    </row>
    <row r="273" spans="1:24" ht="15.6" x14ac:dyDescent="0.3">
      <c r="A273" s="287"/>
      <c r="B273" s="337" t="s">
        <v>159</v>
      </c>
      <c r="C273" s="389"/>
      <c r="D273" s="389"/>
      <c r="E273" s="389"/>
      <c r="F273" s="288"/>
      <c r="G273" s="390"/>
      <c r="H273" s="389"/>
      <c r="I273" s="389"/>
      <c r="J273" s="389"/>
      <c r="K273" s="389"/>
      <c r="L273" s="389"/>
      <c r="M273" s="389"/>
      <c r="N273" s="389"/>
      <c r="O273" s="389"/>
      <c r="P273" s="389"/>
      <c r="Q273" s="389"/>
      <c r="R273" s="337">
        <v>1</v>
      </c>
      <c r="S273" s="390">
        <f t="shared" si="7"/>
        <v>6.41025641025641E-3</v>
      </c>
      <c r="T273" s="338">
        <v>154</v>
      </c>
      <c r="U273" s="390">
        <f t="shared" si="8"/>
        <v>6.9260175399145493E-3</v>
      </c>
      <c r="V273" s="288"/>
      <c r="W273" s="291"/>
      <c r="X273" s="5"/>
    </row>
    <row r="274" spans="1:24" ht="15.6" x14ac:dyDescent="0.3">
      <c r="A274" s="287"/>
      <c r="B274" s="337" t="s">
        <v>160</v>
      </c>
      <c r="C274" s="389"/>
      <c r="D274" s="389"/>
      <c r="E274" s="389"/>
      <c r="F274" s="288"/>
      <c r="G274" s="390"/>
      <c r="H274" s="389"/>
      <c r="I274" s="389"/>
      <c r="J274" s="389"/>
      <c r="K274" s="389"/>
      <c r="L274" s="389"/>
      <c r="M274" s="389"/>
      <c r="N274" s="389"/>
      <c r="O274" s="389"/>
      <c r="P274" s="389"/>
      <c r="Q274" s="389"/>
      <c r="R274" s="337">
        <v>14</v>
      </c>
      <c r="S274" s="390">
        <f t="shared" si="7"/>
        <v>8.9743589743589744E-2</v>
      </c>
      <c r="T274" s="338">
        <v>2048</v>
      </c>
      <c r="U274" s="390">
        <f t="shared" si="8"/>
        <v>9.2107038452889589E-2</v>
      </c>
      <c r="V274" s="288"/>
      <c r="W274" s="291"/>
      <c r="X274" s="5"/>
    </row>
    <row r="275" spans="1:24" ht="15.6" x14ac:dyDescent="0.3">
      <c r="A275" s="287"/>
      <c r="B275" s="337"/>
      <c r="C275" s="389"/>
      <c r="D275" s="389"/>
      <c r="E275" s="389"/>
      <c r="F275" s="288"/>
      <c r="G275" s="390"/>
      <c r="H275" s="389"/>
      <c r="I275" s="389"/>
      <c r="J275" s="389"/>
      <c r="K275" s="389"/>
      <c r="L275" s="389"/>
      <c r="M275" s="389"/>
      <c r="N275" s="389"/>
      <c r="O275" s="389"/>
      <c r="P275" s="389"/>
      <c r="Q275" s="389"/>
      <c r="R275" s="337"/>
      <c r="S275" s="390"/>
      <c r="T275" s="338"/>
      <c r="U275" s="390"/>
      <c r="V275" s="288"/>
      <c r="W275" s="291"/>
      <c r="X275" s="5"/>
    </row>
    <row r="276" spans="1:24" ht="15.6" x14ac:dyDescent="0.3">
      <c r="A276" s="287"/>
      <c r="B276" s="288"/>
      <c r="C276" s="288"/>
      <c r="D276" s="288"/>
      <c r="E276" s="288"/>
      <c r="F276" s="288"/>
      <c r="G276" s="288"/>
      <c r="H276" s="391"/>
      <c r="I276" s="391"/>
      <c r="J276" s="391"/>
      <c r="K276" s="391"/>
      <c r="L276" s="391"/>
      <c r="M276" s="391"/>
      <c r="N276" s="391"/>
      <c r="O276" s="391"/>
      <c r="P276" s="391"/>
      <c r="Q276" s="391"/>
      <c r="R276" s="337">
        <f>SUM(R267:R275)</f>
        <v>156</v>
      </c>
      <c r="S276" s="390">
        <f>SUM(S267:S275)</f>
        <v>0.99999999999999989</v>
      </c>
      <c r="T276" s="338">
        <f>SUM(T267:T275)</f>
        <v>22235</v>
      </c>
      <c r="U276" s="390">
        <f>SUM(U267:U275)</f>
        <v>1</v>
      </c>
      <c r="V276" s="288"/>
      <c r="W276" s="291"/>
      <c r="X276" s="5"/>
    </row>
    <row r="277" spans="1:24" ht="15.6" x14ac:dyDescent="0.3">
      <c r="A277" s="183"/>
      <c r="B277" s="284"/>
      <c r="C277" s="284"/>
      <c r="D277" s="284"/>
      <c r="E277" s="284"/>
      <c r="F277" s="284"/>
      <c r="G277" s="284"/>
      <c r="H277" s="392"/>
      <c r="I277" s="392"/>
      <c r="J277" s="392"/>
      <c r="K277" s="392"/>
      <c r="L277" s="392"/>
      <c r="M277" s="392"/>
      <c r="N277" s="392"/>
      <c r="O277" s="392"/>
      <c r="P277" s="392"/>
      <c r="Q277" s="392"/>
      <c r="R277" s="339"/>
      <c r="S277" s="393"/>
      <c r="T277" s="394"/>
      <c r="U277" s="393"/>
      <c r="V277" s="284"/>
      <c r="W277" s="284"/>
      <c r="X277" s="5"/>
    </row>
    <row r="278" spans="1:24" ht="15.6" x14ac:dyDescent="0.3">
      <c r="A278" s="280"/>
      <c r="B278" s="399" t="s">
        <v>163</v>
      </c>
      <c r="C278" s="281"/>
      <c r="D278" s="281"/>
      <c r="E278" s="281"/>
      <c r="F278" s="281"/>
      <c r="G278" s="281"/>
      <c r="H278" s="283"/>
      <c r="I278" s="283"/>
      <c r="J278" s="283"/>
      <c r="K278" s="283"/>
      <c r="L278" s="283"/>
      <c r="M278" s="283"/>
      <c r="N278" s="283"/>
      <c r="O278" s="283"/>
      <c r="P278" s="283"/>
      <c r="Q278" s="283"/>
      <c r="R278" s="406" t="s">
        <v>102</v>
      </c>
      <c r="S278" s="400" t="s">
        <v>103</v>
      </c>
      <c r="T278" s="406" t="s">
        <v>109</v>
      </c>
      <c r="U278" s="400" t="s">
        <v>103</v>
      </c>
      <c r="V278" s="281"/>
      <c r="W278" s="282"/>
      <c r="X278" s="5"/>
    </row>
    <row r="279" spans="1:24" ht="15.6" x14ac:dyDescent="0.3">
      <c r="A279" s="197"/>
      <c r="B279" s="234" t="s">
        <v>88</v>
      </c>
      <c r="C279" s="231"/>
      <c r="D279" s="231"/>
      <c r="E279" s="231"/>
      <c r="F279" s="231"/>
      <c r="G279" s="231"/>
      <c r="H279" s="255"/>
      <c r="I279" s="255"/>
      <c r="J279" s="255"/>
      <c r="K279" s="255"/>
      <c r="L279" s="255"/>
      <c r="M279" s="255"/>
      <c r="N279" s="255"/>
      <c r="O279" s="255"/>
      <c r="P279" s="255"/>
      <c r="Q279" s="255"/>
      <c r="R279" s="234">
        <v>0</v>
      </c>
      <c r="S279" s="254">
        <v>0</v>
      </c>
      <c r="T279" s="241">
        <v>0</v>
      </c>
      <c r="U279" s="254">
        <v>0</v>
      </c>
      <c r="V279" s="231"/>
      <c r="W279" s="231"/>
      <c r="X279" s="5"/>
    </row>
    <row r="280" spans="1:24" ht="15.6" x14ac:dyDescent="0.3">
      <c r="A280" s="287"/>
      <c r="B280" s="337" t="s">
        <v>89</v>
      </c>
      <c r="C280" s="288"/>
      <c r="D280" s="288"/>
      <c r="E280" s="288"/>
      <c r="F280" s="288"/>
      <c r="G280" s="288"/>
      <c r="H280" s="391"/>
      <c r="I280" s="391"/>
      <c r="J280" s="391"/>
      <c r="K280" s="391"/>
      <c r="L280" s="391"/>
      <c r="M280" s="391"/>
      <c r="N280" s="391"/>
      <c r="O280" s="391"/>
      <c r="P280" s="391"/>
      <c r="Q280" s="391"/>
      <c r="R280" s="337">
        <v>0</v>
      </c>
      <c r="S280" s="390">
        <v>0</v>
      </c>
      <c r="T280" s="338">
        <v>0</v>
      </c>
      <c r="U280" s="390">
        <v>0</v>
      </c>
      <c r="V280" s="288"/>
      <c r="W280" s="291"/>
      <c r="X280" s="5"/>
    </row>
    <row r="281" spans="1:24" ht="15.6" x14ac:dyDescent="0.3">
      <c r="A281" s="287"/>
      <c r="B281" s="337" t="s">
        <v>90</v>
      </c>
      <c r="C281" s="288"/>
      <c r="D281" s="288"/>
      <c r="E281" s="288"/>
      <c r="F281" s="288"/>
      <c r="G281" s="288"/>
      <c r="H281" s="391"/>
      <c r="I281" s="391"/>
      <c r="J281" s="391"/>
      <c r="K281" s="391"/>
      <c r="L281" s="391"/>
      <c r="M281" s="391"/>
      <c r="N281" s="391"/>
      <c r="O281" s="391"/>
      <c r="P281" s="391"/>
      <c r="Q281" s="391"/>
      <c r="R281" s="337">
        <v>0</v>
      </c>
      <c r="S281" s="390">
        <v>0</v>
      </c>
      <c r="T281" s="338">
        <v>0</v>
      </c>
      <c r="U281" s="390">
        <v>0</v>
      </c>
      <c r="V281" s="288"/>
      <c r="W281" s="291"/>
      <c r="X281" s="5"/>
    </row>
    <row r="282" spans="1:24" ht="15.6" x14ac:dyDescent="0.3">
      <c r="A282" s="287"/>
      <c r="B282" s="337" t="s">
        <v>156</v>
      </c>
      <c r="C282" s="288"/>
      <c r="D282" s="288"/>
      <c r="E282" s="288"/>
      <c r="F282" s="288"/>
      <c r="G282" s="288"/>
      <c r="H282" s="391"/>
      <c r="I282" s="391"/>
      <c r="J282" s="391"/>
      <c r="K282" s="391"/>
      <c r="L282" s="391"/>
      <c r="M282" s="391"/>
      <c r="N282" s="391"/>
      <c r="O282" s="391"/>
      <c r="P282" s="391"/>
      <c r="Q282" s="391"/>
      <c r="R282" s="337">
        <v>0</v>
      </c>
      <c r="S282" s="390">
        <v>0</v>
      </c>
      <c r="T282" s="338">
        <v>0</v>
      </c>
      <c r="U282" s="390">
        <v>0</v>
      </c>
      <c r="V282" s="288"/>
      <c r="W282" s="291"/>
      <c r="X282" s="5"/>
    </row>
    <row r="283" spans="1:24" ht="15.6" x14ac:dyDescent="0.3">
      <c r="A283" s="287"/>
      <c r="B283" s="337" t="s">
        <v>157</v>
      </c>
      <c r="C283" s="288"/>
      <c r="D283" s="288"/>
      <c r="E283" s="288"/>
      <c r="F283" s="288"/>
      <c r="G283" s="288"/>
      <c r="H283" s="391"/>
      <c r="I283" s="391"/>
      <c r="J283" s="391"/>
      <c r="K283" s="391"/>
      <c r="L283" s="391"/>
      <c r="M283" s="391"/>
      <c r="N283" s="391"/>
      <c r="O283" s="391"/>
      <c r="P283" s="391"/>
      <c r="Q283" s="391"/>
      <c r="R283" s="337">
        <v>0</v>
      </c>
      <c r="S283" s="390">
        <v>0</v>
      </c>
      <c r="T283" s="338">
        <v>0</v>
      </c>
      <c r="U283" s="390">
        <v>0</v>
      </c>
      <c r="V283" s="288"/>
      <c r="W283" s="291"/>
      <c r="X283" s="5"/>
    </row>
    <row r="284" spans="1:24" ht="15.6" x14ac:dyDescent="0.3">
      <c r="A284" s="287"/>
      <c r="B284" s="337" t="s">
        <v>158</v>
      </c>
      <c r="C284" s="288"/>
      <c r="D284" s="288"/>
      <c r="E284" s="288"/>
      <c r="F284" s="288"/>
      <c r="G284" s="288"/>
      <c r="H284" s="391"/>
      <c r="I284" s="391"/>
      <c r="J284" s="391"/>
      <c r="K284" s="391"/>
      <c r="L284" s="391"/>
      <c r="M284" s="391"/>
      <c r="N284" s="391"/>
      <c r="O284" s="391"/>
      <c r="P284" s="391"/>
      <c r="Q284" s="391"/>
      <c r="R284" s="337">
        <v>0</v>
      </c>
      <c r="S284" s="390">
        <v>0</v>
      </c>
      <c r="T284" s="338">
        <v>0</v>
      </c>
      <c r="U284" s="390">
        <v>0</v>
      </c>
      <c r="V284" s="288"/>
      <c r="W284" s="291"/>
      <c r="X284" s="5"/>
    </row>
    <row r="285" spans="1:24" ht="15.6" x14ac:dyDescent="0.3">
      <c r="A285" s="287"/>
      <c r="B285" s="337" t="s">
        <v>159</v>
      </c>
      <c r="C285" s="288"/>
      <c r="D285" s="288"/>
      <c r="E285" s="288"/>
      <c r="F285" s="288"/>
      <c r="G285" s="288"/>
      <c r="H285" s="391"/>
      <c r="I285" s="391"/>
      <c r="J285" s="391"/>
      <c r="K285" s="391"/>
      <c r="L285" s="391"/>
      <c r="M285" s="391"/>
      <c r="N285" s="391"/>
      <c r="O285" s="391"/>
      <c r="P285" s="391"/>
      <c r="Q285" s="391"/>
      <c r="R285" s="337">
        <v>0</v>
      </c>
      <c r="S285" s="390">
        <v>0</v>
      </c>
      <c r="T285" s="338">
        <v>0</v>
      </c>
      <c r="U285" s="390">
        <v>0</v>
      </c>
      <c r="V285" s="288"/>
      <c r="W285" s="291"/>
      <c r="X285" s="5"/>
    </row>
    <row r="286" spans="1:24" ht="15.6" x14ac:dyDescent="0.3">
      <c r="A286" s="287"/>
      <c r="B286" s="337" t="s">
        <v>160</v>
      </c>
      <c r="C286" s="288"/>
      <c r="D286" s="288"/>
      <c r="E286" s="288"/>
      <c r="F286" s="288"/>
      <c r="G286" s="288"/>
      <c r="H286" s="391"/>
      <c r="I286" s="391"/>
      <c r="J286" s="391"/>
      <c r="K286" s="391"/>
      <c r="L286" s="391"/>
      <c r="M286" s="391"/>
      <c r="N286" s="391"/>
      <c r="O286" s="391"/>
      <c r="P286" s="391"/>
      <c r="Q286" s="391"/>
      <c r="R286" s="337">
        <v>0</v>
      </c>
      <c r="S286" s="390">
        <v>0</v>
      </c>
      <c r="T286" s="338">
        <v>0</v>
      </c>
      <c r="U286" s="390">
        <v>0</v>
      </c>
      <c r="V286" s="288"/>
      <c r="W286" s="291"/>
      <c r="X286" s="5"/>
    </row>
    <row r="287" spans="1:24" ht="15.6" x14ac:dyDescent="0.3">
      <c r="A287" s="287"/>
      <c r="B287" s="337"/>
      <c r="C287" s="288"/>
      <c r="D287" s="288"/>
      <c r="E287" s="288"/>
      <c r="F287" s="288"/>
      <c r="G287" s="288"/>
      <c r="H287" s="391"/>
      <c r="I287" s="391"/>
      <c r="J287" s="391"/>
      <c r="K287" s="391"/>
      <c r="L287" s="391"/>
      <c r="M287" s="391"/>
      <c r="N287" s="391"/>
      <c r="O287" s="391"/>
      <c r="P287" s="391"/>
      <c r="Q287" s="391"/>
      <c r="R287" s="337"/>
      <c r="S287" s="390"/>
      <c r="T287" s="338"/>
      <c r="U287" s="390"/>
      <c r="V287" s="288"/>
      <c r="W287" s="291"/>
      <c r="X287" s="5"/>
    </row>
    <row r="288" spans="1:24" ht="15.6" x14ac:dyDescent="0.3">
      <c r="A288" s="287"/>
      <c r="B288" s="288" t="s">
        <v>114</v>
      </c>
      <c r="C288" s="288"/>
      <c r="D288" s="288"/>
      <c r="E288" s="288"/>
      <c r="F288" s="288"/>
      <c r="G288" s="288"/>
      <c r="H288" s="391"/>
      <c r="I288" s="391"/>
      <c r="J288" s="391"/>
      <c r="K288" s="391"/>
      <c r="L288" s="391"/>
      <c r="M288" s="391"/>
      <c r="N288" s="391"/>
      <c r="O288" s="391"/>
      <c r="P288" s="391"/>
      <c r="Q288" s="391"/>
      <c r="R288" s="337">
        <f>SUM(R279:R286)</f>
        <v>0</v>
      </c>
      <c r="S288" s="390">
        <f>SUM(S279:S287)</f>
        <v>0</v>
      </c>
      <c r="T288" s="338">
        <f>SUM(T279:T286)</f>
        <v>0</v>
      </c>
      <c r="U288" s="390">
        <f>SUM(U279:U287)</f>
        <v>0</v>
      </c>
      <c r="V288" s="288"/>
      <c r="W288" s="291"/>
      <c r="X288" s="5"/>
    </row>
    <row r="289" spans="1:24" ht="15.6" x14ac:dyDescent="0.3">
      <c r="A289" s="287"/>
      <c r="B289" s="288"/>
      <c r="C289" s="288"/>
      <c r="D289" s="288"/>
      <c r="E289" s="288"/>
      <c r="F289" s="288"/>
      <c r="G289" s="288"/>
      <c r="H289" s="391"/>
      <c r="I289" s="391"/>
      <c r="J289" s="391"/>
      <c r="K289" s="391"/>
      <c r="L289" s="391"/>
      <c r="M289" s="391"/>
      <c r="N289" s="391"/>
      <c r="O289" s="391"/>
      <c r="P289" s="391"/>
      <c r="Q289" s="391"/>
      <c r="R289" s="337"/>
      <c r="S289" s="390"/>
      <c r="T289" s="338"/>
      <c r="U289" s="390"/>
      <c r="V289" s="288"/>
      <c r="W289" s="291"/>
      <c r="X289" s="5"/>
    </row>
    <row r="290" spans="1:24" ht="15.6" x14ac:dyDescent="0.3">
      <c r="A290" s="287"/>
      <c r="B290" s="295" t="s">
        <v>164</v>
      </c>
      <c r="C290" s="288"/>
      <c r="D290" s="288"/>
      <c r="E290" s="288"/>
      <c r="F290" s="288"/>
      <c r="G290" s="288"/>
      <c r="H290" s="391"/>
      <c r="I290" s="391"/>
      <c r="J290" s="391"/>
      <c r="K290" s="391"/>
      <c r="L290" s="391"/>
      <c r="M290" s="391"/>
      <c r="N290" s="391"/>
      <c r="O290" s="391"/>
      <c r="P290" s="391"/>
      <c r="Q290" s="391"/>
      <c r="R290" s="407">
        <f>R288+R276+R264</f>
        <v>7630</v>
      </c>
      <c r="S290" s="390"/>
      <c r="T290" s="396">
        <f>+T288+T276+T264</f>
        <v>1059091</v>
      </c>
      <c r="U290" s="390"/>
      <c r="V290" s="288"/>
      <c r="W290" s="291"/>
      <c r="X290" s="5"/>
    </row>
    <row r="291" spans="1:24" ht="15.6" x14ac:dyDescent="0.3">
      <c r="A291" s="183"/>
      <c r="B291" s="284"/>
      <c r="C291" s="284"/>
      <c r="D291" s="284"/>
      <c r="E291" s="284"/>
      <c r="F291" s="284"/>
      <c r="G291" s="284"/>
      <c r="H291" s="392"/>
      <c r="I291" s="392"/>
      <c r="J291" s="392"/>
      <c r="K291" s="392"/>
      <c r="L291" s="392"/>
      <c r="M291" s="392"/>
      <c r="N291" s="392"/>
      <c r="O291" s="392"/>
      <c r="P291" s="392"/>
      <c r="Q291" s="392"/>
      <c r="R291" s="392"/>
      <c r="S291" s="392"/>
      <c r="T291" s="394"/>
      <c r="U291" s="392"/>
      <c r="V291" s="284"/>
      <c r="W291" s="284"/>
      <c r="X291" s="5"/>
    </row>
    <row r="292" spans="1:24" ht="15.6" x14ac:dyDescent="0.3">
      <c r="A292" s="183"/>
      <c r="B292" s="224"/>
      <c r="C292" s="224"/>
      <c r="D292" s="224"/>
      <c r="E292" s="224"/>
      <c r="F292" s="224"/>
      <c r="G292" s="224"/>
      <c r="H292" s="256"/>
      <c r="I292" s="256"/>
      <c r="J292" s="256"/>
      <c r="K292" s="256"/>
      <c r="L292" s="256"/>
      <c r="M292" s="256"/>
      <c r="N292" s="256"/>
      <c r="O292" s="256"/>
      <c r="P292" s="256"/>
      <c r="Q292" s="256"/>
      <c r="R292" s="256"/>
      <c r="S292" s="256"/>
      <c r="T292" s="257"/>
      <c r="U292" s="256"/>
      <c r="V292" s="224"/>
      <c r="W292" s="224"/>
      <c r="X292" s="5"/>
    </row>
    <row r="293" spans="1:24" ht="15.6" x14ac:dyDescent="0.3">
      <c r="A293" s="219"/>
      <c r="B293" s="222" t="s">
        <v>91</v>
      </c>
      <c r="C293" s="224"/>
      <c r="D293" s="224"/>
      <c r="E293" s="224"/>
      <c r="F293" s="228" t="s">
        <v>97</v>
      </c>
      <c r="G293" s="224"/>
      <c r="H293" s="222" t="s">
        <v>99</v>
      </c>
      <c r="I293" s="222"/>
      <c r="J293" s="222"/>
      <c r="K293" s="258"/>
      <c r="L293" s="258"/>
      <c r="M293" s="258"/>
      <c r="N293" s="258"/>
      <c r="O293" s="258"/>
      <c r="P293" s="258"/>
      <c r="Q293" s="258"/>
      <c r="R293" s="258"/>
      <c r="S293" s="258"/>
      <c r="T293" s="258"/>
      <c r="U293" s="258"/>
      <c r="V293" s="258"/>
      <c r="W293" s="258"/>
      <c r="X293" s="5"/>
    </row>
    <row r="294" spans="1:24" ht="15.6" x14ac:dyDescent="0.3">
      <c r="A294" s="219"/>
      <c r="B294" s="258"/>
      <c r="C294" s="224"/>
      <c r="D294" s="224"/>
      <c r="E294" s="224"/>
      <c r="F294" s="224"/>
      <c r="G294" s="224"/>
      <c r="H294" s="224"/>
      <c r="I294" s="224"/>
      <c r="J294" s="224"/>
      <c r="K294" s="258"/>
      <c r="L294" s="258"/>
      <c r="M294" s="258"/>
      <c r="N294" s="258"/>
      <c r="O294" s="258"/>
      <c r="P294" s="258"/>
      <c r="Q294" s="258"/>
      <c r="R294" s="258"/>
      <c r="S294" s="258"/>
      <c r="T294" s="258"/>
      <c r="U294" s="258"/>
      <c r="V294" s="258"/>
      <c r="W294" s="258"/>
      <c r="X294" s="5"/>
    </row>
    <row r="295" spans="1:24" ht="15.6" x14ac:dyDescent="0.3">
      <c r="A295" s="219"/>
      <c r="B295" s="222" t="s">
        <v>338</v>
      </c>
      <c r="C295" s="222"/>
      <c r="D295" s="222"/>
      <c r="E295" s="222"/>
      <c r="F295" s="259" t="s">
        <v>148</v>
      </c>
      <c r="G295" s="222"/>
      <c r="H295" s="222" t="s">
        <v>152</v>
      </c>
      <c r="I295" s="222"/>
      <c r="J295" s="222"/>
      <c r="K295" s="258"/>
      <c r="L295" s="258"/>
      <c r="M295" s="258"/>
      <c r="N295" s="258"/>
      <c r="O295" s="258"/>
      <c r="P295" s="258"/>
      <c r="Q295" s="258"/>
      <c r="R295" s="258"/>
      <c r="S295" s="258"/>
      <c r="T295" s="258"/>
      <c r="U295" s="258"/>
      <c r="V295" s="258"/>
      <c r="W295" s="258"/>
      <c r="X295" s="5"/>
    </row>
    <row r="296" spans="1:24" ht="15.6" x14ac:dyDescent="0.3">
      <c r="A296" s="219"/>
      <c r="B296" s="222" t="s">
        <v>339</v>
      </c>
      <c r="C296" s="222"/>
      <c r="D296" s="222"/>
      <c r="E296" s="222"/>
      <c r="F296" s="259" t="s">
        <v>278</v>
      </c>
      <c r="G296" s="222"/>
      <c r="H296" s="222" t="s">
        <v>279</v>
      </c>
      <c r="I296" s="258"/>
      <c r="J296" s="222"/>
      <c r="K296" s="258"/>
      <c r="L296" s="258"/>
      <c r="M296" s="258"/>
      <c r="N296" s="258"/>
      <c r="O296" s="258"/>
      <c r="P296" s="258"/>
      <c r="Q296" s="258"/>
      <c r="R296" s="258"/>
      <c r="S296" s="258"/>
      <c r="T296" s="258"/>
      <c r="U296" s="258"/>
      <c r="V296" s="258"/>
      <c r="W296" s="258"/>
      <c r="X296" s="5"/>
    </row>
    <row r="297" spans="1:24" ht="15.6" x14ac:dyDescent="0.3">
      <c r="A297" s="219"/>
      <c r="B297" s="222" t="s">
        <v>340</v>
      </c>
      <c r="C297" s="222"/>
      <c r="D297" s="222"/>
      <c r="E297" s="222"/>
      <c r="F297" s="259" t="s">
        <v>147</v>
      </c>
      <c r="G297" s="222"/>
      <c r="H297" s="222" t="s">
        <v>153</v>
      </c>
      <c r="I297" s="222"/>
      <c r="J297" s="222"/>
      <c r="K297" s="258"/>
      <c r="L297" s="258"/>
      <c r="M297" s="258"/>
      <c r="N297" s="258"/>
      <c r="O297" s="258"/>
      <c r="P297" s="258"/>
      <c r="Q297" s="258"/>
      <c r="R297" s="258"/>
      <c r="S297" s="258"/>
      <c r="T297" s="258"/>
      <c r="U297" s="258"/>
      <c r="V297" s="258"/>
      <c r="W297" s="258"/>
      <c r="X297" s="5"/>
    </row>
    <row r="298" spans="1:24" ht="15.6" x14ac:dyDescent="0.3">
      <c r="A298" s="219"/>
      <c r="B298" s="222"/>
      <c r="C298" s="222"/>
      <c r="D298" s="222"/>
      <c r="E298" s="222"/>
      <c r="F298" s="222"/>
      <c r="G298" s="260"/>
      <c r="H298" s="258"/>
      <c r="I298" s="258"/>
      <c r="J298" s="258"/>
      <c r="K298" s="258"/>
      <c r="L298" s="258"/>
      <c r="M298" s="258"/>
      <c r="N298" s="258"/>
      <c r="O298" s="258"/>
      <c r="P298" s="258"/>
      <c r="Q298" s="258"/>
      <c r="R298" s="258"/>
      <c r="S298" s="258"/>
      <c r="T298" s="258"/>
      <c r="U298" s="258"/>
      <c r="V298" s="258"/>
      <c r="W298" s="258"/>
      <c r="X298" s="5"/>
    </row>
    <row r="299" spans="1:24" ht="15.6" x14ac:dyDescent="0.3">
      <c r="A299" s="219"/>
      <c r="B299" s="222"/>
      <c r="C299" s="222"/>
      <c r="D299" s="222"/>
      <c r="E299" s="222"/>
      <c r="F299" s="222"/>
      <c r="G299" s="260"/>
      <c r="H299" s="258"/>
      <c r="I299" s="258"/>
      <c r="J299" s="258"/>
      <c r="K299" s="258"/>
      <c r="L299" s="258"/>
      <c r="M299" s="258"/>
      <c r="N299" s="258"/>
      <c r="O299" s="258"/>
      <c r="P299" s="258"/>
      <c r="Q299" s="258"/>
      <c r="R299" s="258"/>
      <c r="S299" s="258"/>
      <c r="T299" s="258"/>
      <c r="U299" s="258"/>
      <c r="V299" s="258"/>
      <c r="W299" s="258"/>
      <c r="X299" s="5"/>
    </row>
    <row r="300" spans="1:24" ht="18" thickBot="1" x14ac:dyDescent="0.35">
      <c r="A300" s="219"/>
      <c r="B300" s="261" t="str">
        <f>B204</f>
        <v>PM14 INVESTOR REPORT QUARTER ENDING MAY 2014</v>
      </c>
      <c r="C300" s="222"/>
      <c r="D300" s="222"/>
      <c r="E300" s="222"/>
      <c r="F300" s="222"/>
      <c r="G300" s="260"/>
      <c r="H300" s="258"/>
      <c r="I300" s="258"/>
      <c r="J300" s="258"/>
      <c r="K300" s="258"/>
      <c r="L300" s="258"/>
      <c r="M300" s="258"/>
      <c r="N300" s="258"/>
      <c r="O300" s="258"/>
      <c r="P300" s="258"/>
      <c r="Q300" s="258"/>
      <c r="R300" s="258"/>
      <c r="S300" s="258"/>
      <c r="T300" s="258"/>
      <c r="U300" s="258"/>
      <c r="V300" s="258"/>
      <c r="W300" s="258"/>
      <c r="X300" s="5"/>
    </row>
    <row r="301" spans="1:24" x14ac:dyDescent="0.25">
      <c r="A301" s="100"/>
      <c r="B301" s="100"/>
      <c r="C301" s="100"/>
      <c r="D301" s="100"/>
      <c r="E301" s="100"/>
      <c r="F301" s="100"/>
      <c r="G301" s="100"/>
      <c r="H301" s="100"/>
      <c r="I301" s="100"/>
      <c r="J301" s="100"/>
      <c r="K301" s="100"/>
      <c r="L301" s="100"/>
      <c r="M301" s="100"/>
      <c r="N301" s="100"/>
      <c r="O301" s="100"/>
      <c r="P301" s="100"/>
      <c r="Q301" s="100"/>
      <c r="R301" s="100"/>
      <c r="S301" s="100"/>
      <c r="T301" s="100"/>
      <c r="U301" s="100"/>
      <c r="V301" s="100"/>
      <c r="W301" s="100"/>
    </row>
  </sheetData>
  <hyperlinks>
    <hyperlink ref="P240" r:id="rId1" xr:uid="{00000000-0004-0000-1B00-000000000000}"/>
    <hyperlink ref="I9" r:id="rId2" xr:uid="{00000000-0004-0000-1B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8" max="14" man="1"/>
    <brk id="204" max="14" man="1"/>
  </rowBreaks>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theme="6"/>
  </sheetPr>
  <dimension ref="A1:IV301"/>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80"/>
      <c r="B1" s="220" t="s">
        <v>244</v>
      </c>
      <c r="C1" s="181"/>
      <c r="D1" s="181"/>
      <c r="E1" s="181"/>
      <c r="F1" s="181"/>
      <c r="G1" s="181"/>
      <c r="H1" s="181"/>
      <c r="I1" s="181"/>
      <c r="J1" s="181"/>
      <c r="K1" s="181"/>
      <c r="L1" s="181"/>
      <c r="M1" s="181"/>
      <c r="N1" s="181"/>
      <c r="O1" s="181"/>
      <c r="P1" s="181"/>
      <c r="Q1" s="181"/>
      <c r="R1" s="181"/>
      <c r="S1" s="181"/>
      <c r="T1" s="181"/>
      <c r="U1" s="181"/>
      <c r="V1" s="181"/>
      <c r="W1" s="181"/>
      <c r="X1" s="5"/>
    </row>
    <row r="2" spans="1:24" ht="15.6" x14ac:dyDescent="0.3">
      <c r="A2" s="183"/>
      <c r="B2" s="184"/>
      <c r="C2" s="185"/>
      <c r="D2" s="185"/>
      <c r="E2" s="185"/>
      <c r="F2" s="185"/>
      <c r="G2" s="185"/>
      <c r="H2" s="185"/>
      <c r="I2" s="185"/>
      <c r="J2" s="185"/>
      <c r="K2" s="185"/>
      <c r="L2" s="185"/>
      <c r="M2" s="185"/>
      <c r="N2" s="185"/>
      <c r="O2" s="185"/>
      <c r="P2" s="185"/>
      <c r="Q2" s="185"/>
      <c r="R2" s="185"/>
      <c r="S2" s="185"/>
      <c r="T2" s="185"/>
      <c r="U2" s="185"/>
      <c r="V2" s="185"/>
      <c r="W2" s="185"/>
      <c r="X2" s="5"/>
    </row>
    <row r="3" spans="1:24" ht="15.6" x14ac:dyDescent="0.3">
      <c r="A3" s="186"/>
      <c r="B3" s="187" t="s">
        <v>245</v>
      </c>
      <c r="C3" s="185"/>
      <c r="D3" s="185"/>
      <c r="E3" s="185"/>
      <c r="F3" s="185"/>
      <c r="G3" s="185"/>
      <c r="H3" s="185"/>
      <c r="I3" s="185"/>
      <c r="J3" s="185"/>
      <c r="K3" s="185"/>
      <c r="L3" s="185"/>
      <c r="M3" s="185"/>
      <c r="N3" s="185"/>
      <c r="O3" s="185"/>
      <c r="P3" s="185"/>
      <c r="Q3" s="185"/>
      <c r="R3" s="185"/>
      <c r="S3" s="185"/>
      <c r="T3" s="185"/>
      <c r="U3" s="185"/>
      <c r="V3" s="185"/>
      <c r="W3" s="185"/>
      <c r="X3" s="5"/>
    </row>
    <row r="4" spans="1:24" ht="15.6" x14ac:dyDescent="0.3">
      <c r="A4" s="183"/>
      <c r="B4" s="184"/>
      <c r="C4" s="185"/>
      <c r="D4" s="185"/>
      <c r="E4" s="185"/>
      <c r="F4" s="185"/>
      <c r="G4" s="185"/>
      <c r="H4" s="185"/>
      <c r="I4" s="185"/>
      <c r="J4" s="185"/>
      <c r="K4" s="185"/>
      <c r="L4" s="185"/>
      <c r="M4" s="185"/>
      <c r="N4" s="185"/>
      <c r="O4" s="185"/>
      <c r="P4" s="185"/>
      <c r="Q4" s="185"/>
      <c r="R4" s="185"/>
      <c r="S4" s="185"/>
      <c r="T4" s="185"/>
      <c r="U4" s="185"/>
      <c r="V4" s="185"/>
      <c r="W4" s="185"/>
      <c r="X4" s="5"/>
    </row>
    <row r="5" spans="1:24" ht="15.6" x14ac:dyDescent="0.3">
      <c r="A5" s="183"/>
      <c r="B5" s="221" t="s">
        <v>137</v>
      </c>
      <c r="C5" s="185"/>
      <c r="D5" s="185"/>
      <c r="E5" s="185"/>
      <c r="F5" s="185"/>
      <c r="G5" s="185"/>
      <c r="H5" s="185"/>
      <c r="I5" s="185"/>
      <c r="J5" s="185"/>
      <c r="K5" s="185"/>
      <c r="L5" s="185"/>
      <c r="M5" s="185"/>
      <c r="N5" s="185"/>
      <c r="O5" s="185"/>
      <c r="P5" s="185"/>
      <c r="Q5" s="185"/>
      <c r="R5" s="185"/>
      <c r="S5" s="185"/>
      <c r="T5" s="185"/>
      <c r="U5" s="185"/>
      <c r="V5" s="185"/>
      <c r="W5" s="185"/>
      <c r="X5" s="5"/>
    </row>
    <row r="6" spans="1:24" ht="15.6" x14ac:dyDescent="0.3">
      <c r="A6" s="183"/>
      <c r="B6" s="221" t="s">
        <v>139</v>
      </c>
      <c r="C6" s="185"/>
      <c r="D6" s="185"/>
      <c r="E6" s="185"/>
      <c r="F6" s="185"/>
      <c r="G6" s="185"/>
      <c r="H6" s="185"/>
      <c r="I6" s="185"/>
      <c r="J6" s="185"/>
      <c r="K6" s="185"/>
      <c r="L6" s="185"/>
      <c r="M6" s="185"/>
      <c r="N6" s="185"/>
      <c r="O6" s="185"/>
      <c r="P6" s="185"/>
      <c r="Q6" s="185"/>
      <c r="R6" s="185"/>
      <c r="S6" s="185"/>
      <c r="T6" s="185"/>
      <c r="U6" s="185"/>
      <c r="V6" s="185"/>
      <c r="W6" s="185"/>
      <c r="X6" s="5"/>
    </row>
    <row r="7" spans="1:24" ht="15.6" x14ac:dyDescent="0.3">
      <c r="A7" s="183"/>
      <c r="B7" s="221" t="s">
        <v>138</v>
      </c>
      <c r="C7" s="185"/>
      <c r="D7" s="185"/>
      <c r="E7" s="185"/>
      <c r="F7" s="185"/>
      <c r="G7" s="185"/>
      <c r="H7" s="185"/>
      <c r="I7" s="185"/>
      <c r="J7" s="185"/>
      <c r="K7" s="185"/>
      <c r="L7" s="185"/>
      <c r="M7" s="185"/>
      <c r="N7" s="185"/>
      <c r="O7" s="185"/>
      <c r="P7" s="185"/>
      <c r="Q7" s="185"/>
      <c r="R7" s="185"/>
      <c r="S7" s="185"/>
      <c r="T7" s="185"/>
      <c r="U7" s="185"/>
      <c r="V7" s="185"/>
      <c r="W7" s="185"/>
      <c r="X7" s="5"/>
    </row>
    <row r="8" spans="1:24" ht="15.6" x14ac:dyDescent="0.3">
      <c r="A8" s="183"/>
      <c r="B8" s="188"/>
      <c r="C8" s="185"/>
      <c r="D8" s="185"/>
      <c r="E8" s="185"/>
      <c r="F8" s="185"/>
      <c r="G8" s="185"/>
      <c r="H8" s="185"/>
      <c r="I8" s="185"/>
      <c r="J8" s="185"/>
      <c r="K8" s="185"/>
      <c r="L8" s="185"/>
      <c r="M8" s="185"/>
      <c r="N8" s="185"/>
      <c r="O8" s="185"/>
      <c r="P8" s="185"/>
      <c r="Q8" s="185"/>
      <c r="R8" s="185"/>
      <c r="S8" s="185"/>
      <c r="T8" s="185"/>
      <c r="U8" s="185"/>
      <c r="V8" s="185"/>
      <c r="W8" s="185"/>
      <c r="X8" s="5"/>
    </row>
    <row r="9" spans="1:24" ht="17.399999999999999" x14ac:dyDescent="0.3">
      <c r="A9" s="183"/>
      <c r="B9" s="189" t="s">
        <v>166</v>
      </c>
      <c r="C9" s="185"/>
      <c r="D9" s="185"/>
      <c r="E9" s="185"/>
      <c r="F9" s="185"/>
      <c r="G9" s="185"/>
      <c r="H9" s="185"/>
      <c r="I9" s="190" t="s">
        <v>167</v>
      </c>
      <c r="J9" s="185"/>
      <c r="K9" s="185"/>
      <c r="L9" s="190"/>
      <c r="M9" s="185"/>
      <c r="N9" s="190"/>
      <c r="O9" s="185"/>
      <c r="P9" s="185"/>
      <c r="Q9" s="185"/>
      <c r="R9" s="185"/>
      <c r="S9" s="185"/>
      <c r="T9" s="185"/>
      <c r="U9" s="185"/>
      <c r="V9" s="185"/>
      <c r="W9" s="185"/>
      <c r="X9" s="5"/>
    </row>
    <row r="10" spans="1:24" ht="15.6" x14ac:dyDescent="0.3">
      <c r="A10" s="183"/>
      <c r="B10" s="188"/>
      <c r="C10" s="191"/>
      <c r="D10" s="191"/>
      <c r="E10" s="191"/>
      <c r="F10" s="185"/>
      <c r="G10" s="185"/>
      <c r="H10" s="185"/>
      <c r="I10" s="185"/>
      <c r="J10" s="185"/>
      <c r="K10" s="185"/>
      <c r="L10" s="185"/>
      <c r="M10" s="185"/>
      <c r="N10" s="185"/>
      <c r="O10" s="185"/>
      <c r="P10" s="185"/>
      <c r="Q10" s="185"/>
      <c r="R10" s="185"/>
      <c r="S10" s="185"/>
      <c r="T10" s="185"/>
      <c r="U10" s="185"/>
      <c r="V10" s="185"/>
      <c r="W10" s="185"/>
      <c r="X10" s="5"/>
    </row>
    <row r="11" spans="1:24" ht="15.6" x14ac:dyDescent="0.3">
      <c r="A11" s="183"/>
      <c r="B11" s="222" t="s">
        <v>0</v>
      </c>
      <c r="C11" s="185"/>
      <c r="D11" s="185"/>
      <c r="E11" s="185"/>
      <c r="F11" s="185"/>
      <c r="G11" s="185"/>
      <c r="H11" s="185"/>
      <c r="I11" s="185"/>
      <c r="J11" s="185"/>
      <c r="K11" s="185"/>
      <c r="L11" s="185"/>
      <c r="M11" s="185"/>
      <c r="N11" s="185"/>
      <c r="O11" s="185"/>
      <c r="P11" s="185"/>
      <c r="Q11" s="185"/>
      <c r="R11" s="185"/>
      <c r="S11" s="185"/>
      <c r="T11" s="185"/>
      <c r="U11" s="185"/>
      <c r="V11" s="185"/>
      <c r="W11" s="185"/>
      <c r="X11" s="5"/>
    </row>
    <row r="12" spans="1:24" ht="16.2" thickBot="1" x14ac:dyDescent="0.35">
      <c r="A12" s="183"/>
      <c r="B12" s="191"/>
      <c r="C12" s="185"/>
      <c r="D12" s="185"/>
      <c r="E12" s="185"/>
      <c r="F12" s="185"/>
      <c r="G12" s="185"/>
      <c r="H12" s="185"/>
      <c r="I12" s="185"/>
      <c r="J12" s="185"/>
      <c r="K12" s="185"/>
      <c r="L12" s="185"/>
      <c r="M12" s="185"/>
      <c r="N12" s="185"/>
      <c r="O12" s="185"/>
      <c r="P12" s="185"/>
      <c r="Q12" s="185"/>
      <c r="R12" s="185"/>
      <c r="S12" s="185"/>
      <c r="T12" s="185"/>
      <c r="U12" s="185"/>
      <c r="V12" s="185"/>
      <c r="W12" s="185"/>
      <c r="X12" s="5"/>
    </row>
    <row r="13" spans="1:24" ht="15.6" x14ac:dyDescent="0.3">
      <c r="A13" s="180"/>
      <c r="B13" s="181"/>
      <c r="C13" s="181"/>
      <c r="D13" s="181"/>
      <c r="E13" s="181"/>
      <c r="F13" s="181"/>
      <c r="G13" s="181"/>
      <c r="H13" s="181"/>
      <c r="I13" s="181"/>
      <c r="J13" s="181"/>
      <c r="K13" s="181"/>
      <c r="L13" s="181"/>
      <c r="M13" s="181"/>
      <c r="N13" s="181"/>
      <c r="O13" s="181"/>
      <c r="P13" s="181"/>
      <c r="Q13" s="181"/>
      <c r="R13" s="181"/>
      <c r="S13" s="181"/>
      <c r="T13" s="181"/>
      <c r="U13" s="181"/>
      <c r="V13" s="181"/>
      <c r="W13" s="181"/>
      <c r="X13" s="5"/>
    </row>
    <row r="14" spans="1:24" ht="15.6" x14ac:dyDescent="0.3">
      <c r="A14" s="183"/>
      <c r="B14" s="222" t="s">
        <v>1</v>
      </c>
      <c r="C14" s="192"/>
      <c r="D14" s="192"/>
      <c r="E14" s="192"/>
      <c r="F14" s="192"/>
      <c r="G14" s="192"/>
      <c r="H14" s="192"/>
      <c r="I14" s="192"/>
      <c r="J14" s="192"/>
      <c r="K14" s="192"/>
      <c r="L14" s="192"/>
      <c r="M14" s="192"/>
      <c r="N14" s="192"/>
      <c r="O14" s="192"/>
      <c r="P14" s="192"/>
      <c r="Q14" s="192"/>
      <c r="R14" s="224"/>
      <c r="S14" s="224"/>
      <c r="T14" s="224"/>
      <c r="U14" s="224"/>
      <c r="V14" s="225" t="s">
        <v>246</v>
      </c>
      <c r="W14" s="192"/>
      <c r="X14" s="5"/>
    </row>
    <row r="15" spans="1:24" ht="15.6" x14ac:dyDescent="0.3">
      <c r="A15" s="183"/>
      <c r="B15" s="222" t="s">
        <v>2</v>
      </c>
      <c r="C15" s="192"/>
      <c r="D15" s="192"/>
      <c r="E15" s="192"/>
      <c r="F15" s="192"/>
      <c r="G15" s="192"/>
      <c r="H15" s="193"/>
      <c r="I15" s="193"/>
      <c r="J15" s="193"/>
      <c r="K15" s="193"/>
      <c r="L15" s="193"/>
      <c r="M15" s="193"/>
      <c r="N15" s="193"/>
      <c r="O15" s="193"/>
      <c r="P15" s="193"/>
      <c r="Q15" s="193"/>
      <c r="R15" s="226" t="s">
        <v>104</v>
      </c>
      <c r="S15" s="227">
        <v>0.38300000000000001</v>
      </c>
      <c r="T15" s="228" t="s">
        <v>140</v>
      </c>
      <c r="U15" s="227">
        <v>0.61699999999999999</v>
      </c>
      <c r="V15" s="225"/>
      <c r="W15" s="192"/>
      <c r="X15" s="5"/>
    </row>
    <row r="16" spans="1:24" ht="15.6" x14ac:dyDescent="0.3">
      <c r="A16" s="183"/>
      <c r="B16" s="222" t="s">
        <v>3</v>
      </c>
      <c r="C16" s="192"/>
      <c r="D16" s="192"/>
      <c r="E16" s="192"/>
      <c r="F16" s="192"/>
      <c r="G16" s="192"/>
      <c r="H16" s="193"/>
      <c r="I16" s="193"/>
      <c r="J16" s="193"/>
      <c r="K16" s="193"/>
      <c r="L16" s="193"/>
      <c r="M16" s="193"/>
      <c r="N16" s="193"/>
      <c r="O16" s="193"/>
      <c r="P16" s="193"/>
      <c r="Q16" s="193"/>
      <c r="R16" s="226" t="s">
        <v>104</v>
      </c>
      <c r="S16" s="227">
        <v>0.46660000000000001</v>
      </c>
      <c r="T16" s="228" t="s">
        <v>140</v>
      </c>
      <c r="U16" s="227">
        <v>0.53339999999999999</v>
      </c>
      <c r="V16" s="225"/>
      <c r="W16" s="192"/>
      <c r="X16" s="5"/>
    </row>
    <row r="17" spans="1:24" ht="15.6" x14ac:dyDescent="0.3">
      <c r="A17" s="183"/>
      <c r="B17" s="222" t="s">
        <v>4</v>
      </c>
      <c r="C17" s="192"/>
      <c r="D17" s="192"/>
      <c r="E17" s="192"/>
      <c r="F17" s="192"/>
      <c r="G17" s="192"/>
      <c r="H17" s="192"/>
      <c r="I17" s="192"/>
      <c r="J17" s="192"/>
      <c r="K17" s="192"/>
      <c r="L17" s="192"/>
      <c r="M17" s="192"/>
      <c r="N17" s="192"/>
      <c r="O17" s="192"/>
      <c r="P17" s="192"/>
      <c r="Q17" s="192"/>
      <c r="R17" s="224"/>
      <c r="S17" s="224"/>
      <c r="T17" s="224"/>
      <c r="U17" s="224"/>
      <c r="V17" s="229">
        <v>39163</v>
      </c>
      <c r="W17" s="192"/>
      <c r="X17" s="5"/>
    </row>
    <row r="18" spans="1:24" ht="15.6" x14ac:dyDescent="0.3">
      <c r="A18" s="183"/>
      <c r="B18" s="222" t="s">
        <v>5</v>
      </c>
      <c r="C18" s="192"/>
      <c r="D18" s="192"/>
      <c r="E18" s="192"/>
      <c r="F18" s="192"/>
      <c r="G18" s="192"/>
      <c r="H18" s="192"/>
      <c r="I18" s="192"/>
      <c r="J18" s="192"/>
      <c r="K18" s="192"/>
      <c r="L18" s="192"/>
      <c r="M18" s="192"/>
      <c r="N18" s="192"/>
      <c r="O18" s="192"/>
      <c r="P18" s="192"/>
      <c r="Q18" s="192"/>
      <c r="R18" s="224"/>
      <c r="S18" s="224"/>
      <c r="T18" s="224"/>
      <c r="U18" s="224"/>
      <c r="V18" s="229">
        <v>41904</v>
      </c>
      <c r="W18" s="192"/>
      <c r="X18" s="5"/>
    </row>
    <row r="19" spans="1:24" ht="15.6" x14ac:dyDescent="0.3">
      <c r="A19" s="183"/>
      <c r="B19" s="185"/>
      <c r="C19" s="185"/>
      <c r="D19" s="185"/>
      <c r="E19" s="185"/>
      <c r="F19" s="185"/>
      <c r="G19" s="185"/>
      <c r="H19" s="185"/>
      <c r="I19" s="185"/>
      <c r="J19" s="185"/>
      <c r="K19" s="185"/>
      <c r="L19" s="185"/>
      <c r="M19" s="185"/>
      <c r="N19" s="185"/>
      <c r="O19" s="185"/>
      <c r="P19" s="185"/>
      <c r="Q19" s="185"/>
      <c r="R19" s="185"/>
      <c r="S19" s="185"/>
      <c r="T19" s="185"/>
      <c r="U19" s="185"/>
      <c r="V19" s="194"/>
      <c r="W19" s="185"/>
      <c r="X19" s="5"/>
    </row>
    <row r="20" spans="1:24" ht="15.6" x14ac:dyDescent="0.3">
      <c r="A20" s="183"/>
      <c r="B20" s="230" t="s">
        <v>6</v>
      </c>
      <c r="C20" s="185"/>
      <c r="D20" s="185"/>
      <c r="E20" s="185"/>
      <c r="F20" s="185"/>
      <c r="G20" s="185"/>
      <c r="H20" s="185"/>
      <c r="I20" s="185"/>
      <c r="J20" s="185"/>
      <c r="K20" s="185"/>
      <c r="L20" s="185"/>
      <c r="M20" s="185"/>
      <c r="N20" s="185"/>
      <c r="O20" s="185"/>
      <c r="P20" s="185"/>
      <c r="Q20" s="185"/>
      <c r="R20" s="185"/>
      <c r="S20" s="185"/>
      <c r="T20" s="223" t="s">
        <v>105</v>
      </c>
      <c r="U20" s="185"/>
      <c r="V20" s="182"/>
      <c r="W20" s="185"/>
      <c r="X20" s="5"/>
    </row>
    <row r="21" spans="1:24" ht="15.6" x14ac:dyDescent="0.3">
      <c r="A21" s="183"/>
      <c r="B21" s="185"/>
      <c r="C21" s="185"/>
      <c r="D21" s="185"/>
      <c r="E21" s="185"/>
      <c r="F21" s="185"/>
      <c r="G21" s="185"/>
      <c r="H21" s="185"/>
      <c r="I21" s="185"/>
      <c r="J21" s="185"/>
      <c r="K21" s="185"/>
      <c r="L21" s="185"/>
      <c r="M21" s="185"/>
      <c r="N21" s="185"/>
      <c r="O21" s="185"/>
      <c r="P21" s="185"/>
      <c r="Q21" s="185"/>
      <c r="R21" s="185"/>
      <c r="S21" s="185"/>
      <c r="T21" s="185"/>
      <c r="U21" s="185"/>
      <c r="V21" s="196"/>
      <c r="W21" s="185"/>
      <c r="X21" s="5"/>
    </row>
    <row r="22" spans="1:24" ht="15.6" x14ac:dyDescent="0.3">
      <c r="A22" s="262"/>
      <c r="B22" s="263"/>
      <c r="C22" s="264"/>
      <c r="D22" s="264" t="s">
        <v>177</v>
      </c>
      <c r="E22" s="264"/>
      <c r="F22" s="264" t="s">
        <v>178</v>
      </c>
      <c r="G22" s="264"/>
      <c r="H22" s="264" t="s">
        <v>179</v>
      </c>
      <c r="I22" s="264"/>
      <c r="J22" s="264" t="s">
        <v>220</v>
      </c>
      <c r="K22" s="264"/>
      <c r="L22" s="264" t="s">
        <v>180</v>
      </c>
      <c r="M22" s="264"/>
      <c r="N22" s="264" t="s">
        <v>181</v>
      </c>
      <c r="O22" s="264"/>
      <c r="P22" s="264" t="s">
        <v>221</v>
      </c>
      <c r="Q22" s="264"/>
      <c r="R22" s="264" t="s">
        <v>182</v>
      </c>
      <c r="S22" s="266"/>
      <c r="T22" s="266"/>
      <c r="U22" s="267"/>
      <c r="V22" s="267"/>
      <c r="W22" s="263"/>
      <c r="X22" s="5"/>
    </row>
    <row r="23" spans="1:24" ht="15.6" x14ac:dyDescent="0.3">
      <c r="A23" s="287"/>
      <c r="B23" s="288" t="s">
        <v>7</v>
      </c>
      <c r="C23" s="289"/>
      <c r="D23" s="289" t="s">
        <v>213</v>
      </c>
      <c r="E23" s="289"/>
      <c r="F23" s="289" t="s">
        <v>141</v>
      </c>
      <c r="G23" s="289"/>
      <c r="H23" s="289" t="s">
        <v>141</v>
      </c>
      <c r="I23" s="289"/>
      <c r="J23" s="289" t="s">
        <v>141</v>
      </c>
      <c r="K23" s="289"/>
      <c r="L23" s="289" t="s">
        <v>183</v>
      </c>
      <c r="M23" s="289"/>
      <c r="N23" s="289" t="s">
        <v>183</v>
      </c>
      <c r="O23" s="289"/>
      <c r="P23" s="289" t="s">
        <v>142</v>
      </c>
      <c r="Q23" s="289"/>
      <c r="R23" s="289" t="s">
        <v>142</v>
      </c>
      <c r="S23" s="289"/>
      <c r="T23" s="289"/>
      <c r="U23" s="290"/>
      <c r="V23" s="290"/>
      <c r="W23" s="291"/>
      <c r="X23" s="5"/>
    </row>
    <row r="24" spans="1:24" ht="15.6" x14ac:dyDescent="0.3">
      <c r="A24" s="287"/>
      <c r="B24" s="288" t="s">
        <v>8</v>
      </c>
      <c r="C24" s="289"/>
      <c r="D24" s="289" t="s">
        <v>214</v>
      </c>
      <c r="E24" s="289"/>
      <c r="F24" s="289" t="s">
        <v>143</v>
      </c>
      <c r="G24" s="289"/>
      <c r="H24" s="289" t="s">
        <v>143</v>
      </c>
      <c r="I24" s="289"/>
      <c r="J24" s="289" t="s">
        <v>143</v>
      </c>
      <c r="K24" s="289"/>
      <c r="L24" s="289" t="s">
        <v>165</v>
      </c>
      <c r="M24" s="289"/>
      <c r="N24" s="289" t="s">
        <v>165</v>
      </c>
      <c r="O24" s="289"/>
      <c r="P24" s="289" t="s">
        <v>144</v>
      </c>
      <c r="Q24" s="289"/>
      <c r="R24" s="289" t="s">
        <v>144</v>
      </c>
      <c r="S24" s="289"/>
      <c r="T24" s="289"/>
      <c r="U24" s="290"/>
      <c r="V24" s="290"/>
      <c r="W24" s="291"/>
      <c r="X24" s="5"/>
    </row>
    <row r="25" spans="1:24" ht="15.6" x14ac:dyDescent="0.3">
      <c r="A25" s="292"/>
      <c r="B25" s="288" t="s">
        <v>190</v>
      </c>
      <c r="C25" s="398"/>
      <c r="D25" s="289" t="s">
        <v>215</v>
      </c>
      <c r="E25" s="289"/>
      <c r="F25" s="289" t="s">
        <v>143</v>
      </c>
      <c r="G25" s="289"/>
      <c r="H25" s="289" t="s">
        <v>143</v>
      </c>
      <c r="I25" s="289"/>
      <c r="J25" s="289" t="s">
        <v>143</v>
      </c>
      <c r="K25" s="289"/>
      <c r="L25" s="289" t="s">
        <v>293</v>
      </c>
      <c r="M25" s="289"/>
      <c r="N25" s="289" t="s">
        <v>293</v>
      </c>
      <c r="O25" s="289"/>
      <c r="P25" s="289" t="s">
        <v>144</v>
      </c>
      <c r="Q25" s="289"/>
      <c r="R25" s="289" t="s">
        <v>144</v>
      </c>
      <c r="S25" s="398"/>
      <c r="T25" s="289"/>
      <c r="U25" s="290"/>
      <c r="V25" s="290"/>
      <c r="W25" s="291"/>
      <c r="X25" s="5"/>
    </row>
    <row r="26" spans="1:24" ht="15.6" x14ac:dyDescent="0.3">
      <c r="A26" s="292"/>
      <c r="B26" s="295" t="s">
        <v>9</v>
      </c>
      <c r="C26" s="398"/>
      <c r="D26" s="398" t="s">
        <v>332</v>
      </c>
      <c r="E26" s="398"/>
      <c r="F26" s="398" t="s">
        <v>333</v>
      </c>
      <c r="G26" s="398"/>
      <c r="H26" s="398" t="s">
        <v>333</v>
      </c>
      <c r="I26" s="398"/>
      <c r="J26" s="398" t="s">
        <v>333</v>
      </c>
      <c r="K26" s="398"/>
      <c r="L26" s="398" t="s">
        <v>334</v>
      </c>
      <c r="M26" s="398"/>
      <c r="N26" s="398" t="s">
        <v>334</v>
      </c>
      <c r="O26" s="398"/>
      <c r="P26" s="398" t="s">
        <v>335</v>
      </c>
      <c r="Q26" s="398"/>
      <c r="R26" s="398" t="s">
        <v>335</v>
      </c>
      <c r="S26" s="398"/>
      <c r="T26" s="289"/>
      <c r="U26" s="290"/>
      <c r="V26" s="290"/>
      <c r="W26" s="291"/>
      <c r="X26" s="5"/>
    </row>
    <row r="27" spans="1:24" ht="15.6" x14ac:dyDescent="0.3">
      <c r="A27" s="287"/>
      <c r="B27" s="295" t="s">
        <v>191</v>
      </c>
      <c r="C27" s="289"/>
      <c r="D27" s="398" t="s">
        <v>317</v>
      </c>
      <c r="E27" s="398"/>
      <c r="F27" s="398" t="s">
        <v>143</v>
      </c>
      <c r="G27" s="398"/>
      <c r="H27" s="398" t="s">
        <v>143</v>
      </c>
      <c r="I27" s="398"/>
      <c r="J27" s="398" t="s">
        <v>143</v>
      </c>
      <c r="K27" s="398"/>
      <c r="L27" s="398" t="s">
        <v>319</v>
      </c>
      <c r="M27" s="398"/>
      <c r="N27" s="398" t="s">
        <v>319</v>
      </c>
      <c r="O27" s="398"/>
      <c r="P27" s="398" t="s">
        <v>320</v>
      </c>
      <c r="Q27" s="398"/>
      <c r="R27" s="398" t="s">
        <v>320</v>
      </c>
      <c r="S27" s="289"/>
      <c r="T27" s="296"/>
      <c r="U27" s="290"/>
      <c r="V27" s="290"/>
      <c r="W27" s="291"/>
      <c r="X27" s="5"/>
    </row>
    <row r="28" spans="1:24" ht="15.6" x14ac:dyDescent="0.3">
      <c r="A28" s="287"/>
      <c r="B28" s="295" t="s">
        <v>192</v>
      </c>
      <c r="C28" s="289"/>
      <c r="D28" s="398" t="s">
        <v>314</v>
      </c>
      <c r="E28" s="398"/>
      <c r="F28" s="398" t="s">
        <v>143</v>
      </c>
      <c r="G28" s="398"/>
      <c r="H28" s="398" t="s">
        <v>143</v>
      </c>
      <c r="I28" s="398"/>
      <c r="J28" s="398" t="s">
        <v>143</v>
      </c>
      <c r="K28" s="398"/>
      <c r="L28" s="398" t="s">
        <v>293</v>
      </c>
      <c r="M28" s="398"/>
      <c r="N28" s="398" t="s">
        <v>293</v>
      </c>
      <c r="O28" s="398"/>
      <c r="P28" s="398" t="s">
        <v>337</v>
      </c>
      <c r="Q28" s="398"/>
      <c r="R28" s="398" t="s">
        <v>337</v>
      </c>
      <c r="S28" s="289"/>
      <c r="T28" s="296"/>
      <c r="U28" s="290"/>
      <c r="V28" s="290"/>
      <c r="W28" s="291"/>
      <c r="X28" s="5"/>
    </row>
    <row r="29" spans="1:24" ht="15.6" x14ac:dyDescent="0.3">
      <c r="A29" s="287"/>
      <c r="B29" s="288" t="s">
        <v>10</v>
      </c>
      <c r="C29" s="298"/>
      <c r="D29" s="289" t="s">
        <v>249</v>
      </c>
      <c r="E29" s="289"/>
      <c r="F29" s="296" t="s">
        <v>250</v>
      </c>
      <c r="G29" s="289"/>
      <c r="H29" s="289" t="s">
        <v>251</v>
      </c>
      <c r="I29" s="289"/>
      <c r="J29" s="289" t="s">
        <v>253</v>
      </c>
      <c r="K29" s="289"/>
      <c r="L29" s="289" t="s">
        <v>254</v>
      </c>
      <c r="M29" s="289"/>
      <c r="N29" s="289" t="s">
        <v>255</v>
      </c>
      <c r="O29" s="289"/>
      <c r="P29" s="289" t="s">
        <v>256</v>
      </c>
      <c r="Q29" s="289"/>
      <c r="R29" s="289" t="s">
        <v>257</v>
      </c>
      <c r="S29" s="299"/>
      <c r="T29" s="299"/>
      <c r="U29" s="300"/>
      <c r="V29" s="299"/>
      <c r="W29" s="301"/>
      <c r="X29" s="5"/>
    </row>
    <row r="30" spans="1:24" ht="15.6" x14ac:dyDescent="0.3">
      <c r="A30" s="287"/>
      <c r="B30" s="288" t="s">
        <v>10</v>
      </c>
      <c r="C30" s="298"/>
      <c r="D30" s="289" t="s">
        <v>248</v>
      </c>
      <c r="E30" s="289"/>
      <c r="F30" s="296" t="s">
        <v>118</v>
      </c>
      <c r="G30" s="289"/>
      <c r="H30" s="289" t="s">
        <v>118</v>
      </c>
      <c r="I30" s="289"/>
      <c r="J30" s="289" t="s">
        <v>252</v>
      </c>
      <c r="K30" s="289"/>
      <c r="L30" s="289" t="s">
        <v>118</v>
      </c>
      <c r="M30" s="289"/>
      <c r="N30" s="289" t="s">
        <v>118</v>
      </c>
      <c r="O30" s="289"/>
      <c r="P30" s="289" t="s">
        <v>118</v>
      </c>
      <c r="Q30" s="289"/>
      <c r="R30" s="289" t="s">
        <v>118</v>
      </c>
      <c r="S30" s="299"/>
      <c r="T30" s="299"/>
      <c r="U30" s="300"/>
      <c r="V30" s="299"/>
      <c r="W30" s="301"/>
      <c r="X30" s="5"/>
    </row>
    <row r="31" spans="1:24" ht="15.6" x14ac:dyDescent="0.3">
      <c r="A31" s="292"/>
      <c r="B31" s="288" t="s">
        <v>133</v>
      </c>
      <c r="C31" s="302"/>
      <c r="D31" s="303">
        <v>1500000</v>
      </c>
      <c r="E31" s="298"/>
      <c r="F31" s="299">
        <v>125000</v>
      </c>
      <c r="G31" s="299"/>
      <c r="H31" s="304">
        <v>246000</v>
      </c>
      <c r="I31" s="304"/>
      <c r="J31" s="303">
        <v>400000</v>
      </c>
      <c r="K31" s="299"/>
      <c r="L31" s="299">
        <v>51900</v>
      </c>
      <c r="M31" s="299"/>
      <c r="N31" s="304">
        <v>88800</v>
      </c>
      <c r="O31" s="299"/>
      <c r="P31" s="299">
        <v>20000</v>
      </c>
      <c r="Q31" s="299"/>
      <c r="R31" s="304">
        <v>135500</v>
      </c>
      <c r="S31" s="305"/>
      <c r="T31" s="305"/>
      <c r="U31" s="306"/>
      <c r="V31" s="305"/>
      <c r="W31" s="301"/>
      <c r="X31" s="5"/>
    </row>
    <row r="32" spans="1:24" ht="15.6" x14ac:dyDescent="0.3">
      <c r="A32" s="287"/>
      <c r="B32" s="288" t="s">
        <v>132</v>
      </c>
      <c r="C32" s="298"/>
      <c r="D32" s="303">
        <f>D31*D38</f>
        <v>980984.39999999991</v>
      </c>
      <c r="E32" s="298"/>
      <c r="F32" s="299">
        <f>F31*F38</f>
        <v>81748.849999999991</v>
      </c>
      <c r="G32" s="299"/>
      <c r="H32" s="304">
        <f>H31*H38</f>
        <v>160881.73679999998</v>
      </c>
      <c r="I32" s="304"/>
      <c r="J32" s="303">
        <f>J31*J38</f>
        <v>261595.83999999997</v>
      </c>
      <c r="K32" s="299"/>
      <c r="L32" s="299">
        <f>+L31</f>
        <v>51900</v>
      </c>
      <c r="M32" s="299"/>
      <c r="N32" s="304">
        <f>+N31</f>
        <v>88800</v>
      </c>
      <c r="O32" s="299"/>
      <c r="P32" s="299">
        <f>+P31</f>
        <v>20000</v>
      </c>
      <c r="Q32" s="299"/>
      <c r="R32" s="304">
        <f>+R31</f>
        <v>135500</v>
      </c>
      <c r="S32" s="299"/>
      <c r="T32" s="299"/>
      <c r="U32" s="300"/>
      <c r="V32" s="299"/>
      <c r="W32" s="301"/>
      <c r="X32" s="5"/>
    </row>
    <row r="33" spans="1:24" ht="15.6" x14ac:dyDescent="0.3">
      <c r="A33" s="287"/>
      <c r="B33" s="295" t="s">
        <v>134</v>
      </c>
      <c r="C33" s="298"/>
      <c r="D33" s="307">
        <f>D37*D31</f>
        <v>967082.1</v>
      </c>
      <c r="E33" s="302"/>
      <c r="F33" s="305">
        <f>F37*F31</f>
        <v>80590.324999999997</v>
      </c>
      <c r="G33" s="305"/>
      <c r="H33" s="308">
        <f>H31*H37</f>
        <v>158601.75960000002</v>
      </c>
      <c r="I33" s="308"/>
      <c r="J33" s="307">
        <f>J37*J31</f>
        <v>257888.56</v>
      </c>
      <c r="K33" s="305"/>
      <c r="L33" s="305">
        <f>L31*L37</f>
        <v>51900</v>
      </c>
      <c r="M33" s="305"/>
      <c r="N33" s="308">
        <f>N31*N37</f>
        <v>88800</v>
      </c>
      <c r="O33" s="305"/>
      <c r="P33" s="305">
        <f>P31*P37</f>
        <v>20000</v>
      </c>
      <c r="Q33" s="305"/>
      <c r="R33" s="308">
        <f>R31*R37</f>
        <v>135500</v>
      </c>
      <c r="S33" s="299"/>
      <c r="T33" s="299"/>
      <c r="U33" s="300"/>
      <c r="V33" s="299"/>
      <c r="W33" s="301"/>
      <c r="X33" s="5"/>
    </row>
    <row r="34" spans="1:24" ht="15.6" x14ac:dyDescent="0.3">
      <c r="A34" s="292"/>
      <c r="B34" s="288" t="s">
        <v>296</v>
      </c>
      <c r="C34" s="302"/>
      <c r="D34" s="299">
        <v>775194</v>
      </c>
      <c r="E34" s="298"/>
      <c r="F34" s="299">
        <v>125000</v>
      </c>
      <c r="G34" s="299"/>
      <c r="H34" s="299">
        <v>168148</v>
      </c>
      <c r="I34" s="299"/>
      <c r="J34" s="299">
        <v>206718</v>
      </c>
      <c r="K34" s="299"/>
      <c r="L34" s="299">
        <v>51900</v>
      </c>
      <c r="M34" s="299"/>
      <c r="N34" s="299">
        <v>60697</v>
      </c>
      <c r="O34" s="299"/>
      <c r="P34" s="299">
        <v>20000</v>
      </c>
      <c r="Q34" s="299"/>
      <c r="R34" s="299">
        <v>92618</v>
      </c>
      <c r="S34" s="305"/>
      <c r="T34" s="305"/>
      <c r="U34" s="306"/>
      <c r="V34" s="299">
        <f>SUM(C34:R34)</f>
        <v>1500275</v>
      </c>
      <c r="W34" s="301"/>
      <c r="X34" s="5"/>
    </row>
    <row r="35" spans="1:24" ht="15.6" x14ac:dyDescent="0.3">
      <c r="A35" s="292"/>
      <c r="B35" s="288" t="s">
        <v>297</v>
      </c>
      <c r="C35" s="302"/>
      <c r="D35" s="299">
        <f>D34*D38</f>
        <v>506968.81398239994</v>
      </c>
      <c r="E35" s="298"/>
      <c r="F35" s="299">
        <f>F34*F38</f>
        <v>81748.849999999991</v>
      </c>
      <c r="G35" s="299"/>
      <c r="H35" s="299">
        <f>H34*H38</f>
        <v>109967.2450384</v>
      </c>
      <c r="I35" s="299"/>
      <c r="J35" s="299">
        <f>J34*J38</f>
        <v>135191.42213279998</v>
      </c>
      <c r="K35" s="299"/>
      <c r="L35" s="299">
        <f>+L34</f>
        <v>51900</v>
      </c>
      <c r="M35" s="299"/>
      <c r="N35" s="299">
        <f>+N34</f>
        <v>60697</v>
      </c>
      <c r="O35" s="299"/>
      <c r="P35" s="299">
        <f>+P34</f>
        <v>20000</v>
      </c>
      <c r="Q35" s="299"/>
      <c r="R35" s="299">
        <f>+R34</f>
        <v>92618</v>
      </c>
      <c r="S35" s="299"/>
      <c r="T35" s="299"/>
      <c r="U35" s="300"/>
      <c r="V35" s="299">
        <f>SUM(C35:R35)</f>
        <v>1059091.3311536</v>
      </c>
      <c r="W35" s="301"/>
      <c r="X35" s="5"/>
    </row>
    <row r="36" spans="1:24" ht="15.6" x14ac:dyDescent="0.3">
      <c r="A36" s="292"/>
      <c r="B36" s="295" t="s">
        <v>298</v>
      </c>
      <c r="C36" s="302"/>
      <c r="D36" s="305">
        <f>D34*D37</f>
        <v>499784.1609516</v>
      </c>
      <c r="E36" s="302"/>
      <c r="F36" s="305">
        <f>F34*F37</f>
        <v>80590.324999999997</v>
      </c>
      <c r="G36" s="305"/>
      <c r="H36" s="305">
        <f>H34*H37</f>
        <v>108408.81574480001</v>
      </c>
      <c r="I36" s="305"/>
      <c r="J36" s="305">
        <f>J34*J37</f>
        <v>133275.5183652</v>
      </c>
      <c r="K36" s="305"/>
      <c r="L36" s="305">
        <f>L34*L37</f>
        <v>51900</v>
      </c>
      <c r="M36" s="305"/>
      <c r="N36" s="305">
        <f>N34*N37</f>
        <v>60697</v>
      </c>
      <c r="O36" s="305"/>
      <c r="P36" s="305">
        <f>P34*P37</f>
        <v>20000</v>
      </c>
      <c r="Q36" s="305"/>
      <c r="R36" s="305">
        <f>R34*R37</f>
        <v>92618</v>
      </c>
      <c r="S36" s="328"/>
      <c r="T36" s="328"/>
      <c r="U36" s="300"/>
      <c r="V36" s="305">
        <f>SUM(C36:R36)</f>
        <v>1047273.8200616001</v>
      </c>
      <c r="W36" s="301"/>
      <c r="X36" s="5"/>
    </row>
    <row r="37" spans="1:24" ht="15.6" x14ac:dyDescent="0.3">
      <c r="A37" s="287"/>
      <c r="B37" s="313" t="s">
        <v>130</v>
      </c>
      <c r="C37" s="314"/>
      <c r="D37" s="315">
        <v>0.6447214</v>
      </c>
      <c r="E37" s="315"/>
      <c r="F37" s="315">
        <v>0.64472260000000003</v>
      </c>
      <c r="G37" s="315"/>
      <c r="H37" s="315">
        <v>0.64472260000000003</v>
      </c>
      <c r="I37" s="315"/>
      <c r="J37" s="315">
        <v>0.6447214</v>
      </c>
      <c r="K37" s="315"/>
      <c r="L37" s="315">
        <v>1</v>
      </c>
      <c r="M37" s="315"/>
      <c r="N37" s="315">
        <v>1</v>
      </c>
      <c r="O37" s="315"/>
      <c r="P37" s="315">
        <v>1</v>
      </c>
      <c r="Q37" s="315"/>
      <c r="R37" s="315">
        <v>1</v>
      </c>
      <c r="S37" s="316"/>
      <c r="T37" s="316"/>
      <c r="U37" s="317"/>
      <c r="V37" s="317"/>
      <c r="W37" s="318"/>
      <c r="X37" s="5"/>
    </row>
    <row r="38" spans="1:24" ht="15.6" x14ac:dyDescent="0.3">
      <c r="A38" s="287"/>
      <c r="B38" s="313" t="s">
        <v>131</v>
      </c>
      <c r="C38" s="314"/>
      <c r="D38" s="315">
        <v>0.65398959999999995</v>
      </c>
      <c r="E38" s="315"/>
      <c r="F38" s="315">
        <v>0.65399079999999998</v>
      </c>
      <c r="G38" s="315"/>
      <c r="H38" s="315">
        <v>0.65399079999999998</v>
      </c>
      <c r="I38" s="315"/>
      <c r="J38" s="315">
        <v>0.65398959999999995</v>
      </c>
      <c r="K38" s="315"/>
      <c r="L38" s="315">
        <v>1</v>
      </c>
      <c r="M38" s="315"/>
      <c r="N38" s="315">
        <v>1</v>
      </c>
      <c r="O38" s="315"/>
      <c r="P38" s="315">
        <v>1</v>
      </c>
      <c r="Q38" s="315"/>
      <c r="R38" s="315">
        <v>1</v>
      </c>
      <c r="S38" s="319"/>
      <c r="T38" s="320"/>
      <c r="U38" s="317"/>
      <c r="V38" s="319"/>
      <c r="W38" s="318"/>
      <c r="X38" s="5"/>
    </row>
    <row r="39" spans="1:24" ht="15.6" x14ac:dyDescent="0.3">
      <c r="A39" s="287"/>
      <c r="B39" s="288" t="s">
        <v>11</v>
      </c>
      <c r="C39" s="288"/>
      <c r="D39" s="296" t="s">
        <v>321</v>
      </c>
      <c r="E39" s="288"/>
      <c r="F39" s="296" t="s">
        <v>231</v>
      </c>
      <c r="G39" s="296"/>
      <c r="H39" s="296" t="s">
        <v>231</v>
      </c>
      <c r="I39" s="296"/>
      <c r="J39" s="296" t="s">
        <v>231</v>
      </c>
      <c r="K39" s="296"/>
      <c r="L39" s="296" t="s">
        <v>265</v>
      </c>
      <c r="M39" s="296"/>
      <c r="N39" s="296" t="s">
        <v>265</v>
      </c>
      <c r="O39" s="296"/>
      <c r="P39" s="296" t="s">
        <v>266</v>
      </c>
      <c r="Q39" s="296"/>
      <c r="R39" s="296" t="s">
        <v>266</v>
      </c>
      <c r="S39" s="321"/>
      <c r="T39" s="322"/>
      <c r="U39" s="290"/>
      <c r="V39" s="290"/>
      <c r="W39" s="291"/>
      <c r="X39" s="5"/>
    </row>
    <row r="40" spans="1:24" ht="15.6" x14ac:dyDescent="0.3">
      <c r="A40" s="287"/>
      <c r="B40" s="288" t="s">
        <v>12</v>
      </c>
      <c r="C40" s="288"/>
      <c r="D40" s="322">
        <v>3.5500000000000002E-3</v>
      </c>
      <c r="E40" s="288"/>
      <c r="F40" s="322">
        <v>7.5813E-3</v>
      </c>
      <c r="G40" s="321"/>
      <c r="H40" s="322">
        <v>4.4200000000000003E-3</v>
      </c>
      <c r="I40" s="322"/>
      <c r="J40" s="322">
        <v>4.3059999999999999E-3</v>
      </c>
      <c r="K40" s="321"/>
      <c r="L40" s="322">
        <v>9.1812999999999999E-3</v>
      </c>
      <c r="M40" s="321"/>
      <c r="N40" s="322">
        <v>6.0200000000000002E-3</v>
      </c>
      <c r="O40" s="321"/>
      <c r="P40" s="322">
        <v>1.31813E-2</v>
      </c>
      <c r="Q40" s="321"/>
      <c r="R40" s="322">
        <v>1.0019999999999999E-2</v>
      </c>
      <c r="S40" s="321"/>
      <c r="T40" s="322"/>
      <c r="U40" s="290"/>
      <c r="V40" s="296"/>
      <c r="W40" s="291"/>
      <c r="X40" s="5"/>
    </row>
    <row r="41" spans="1:24" ht="15.6" x14ac:dyDescent="0.3">
      <c r="A41" s="287"/>
      <c r="B41" s="288" t="s">
        <v>13</v>
      </c>
      <c r="C41" s="288"/>
      <c r="D41" s="322">
        <v>3.5109999999999998E-3</v>
      </c>
      <c r="E41" s="288"/>
      <c r="F41" s="322">
        <v>7.2062999999999997E-3</v>
      </c>
      <c r="G41" s="321"/>
      <c r="H41" s="322">
        <v>5.0400000000000002E-3</v>
      </c>
      <c r="I41" s="322"/>
      <c r="J41" s="322">
        <v>4.3334999999999997E-3</v>
      </c>
      <c r="K41" s="321"/>
      <c r="L41" s="322">
        <v>8.8062999999999995E-3</v>
      </c>
      <c r="M41" s="321"/>
      <c r="N41" s="322">
        <v>6.6400000000000001E-3</v>
      </c>
      <c r="O41" s="321"/>
      <c r="P41" s="322">
        <v>1.28063E-2</v>
      </c>
      <c r="Q41" s="321"/>
      <c r="R41" s="322">
        <v>1.064E-2</v>
      </c>
      <c r="S41" s="321"/>
      <c r="T41" s="322"/>
      <c r="U41" s="290"/>
      <c r="V41" s="321" t="s">
        <v>193</v>
      </c>
      <c r="W41" s="291"/>
      <c r="X41" s="5"/>
    </row>
    <row r="42" spans="1:24" ht="15.6" x14ac:dyDescent="0.3">
      <c r="A42" s="287"/>
      <c r="B42" s="288" t="s">
        <v>299</v>
      </c>
      <c r="C42" s="288"/>
      <c r="D42" s="296" t="s">
        <v>322</v>
      </c>
      <c r="E42" s="288"/>
      <c r="F42" s="296" t="s">
        <v>231</v>
      </c>
      <c r="G42" s="296"/>
      <c r="H42" s="296" t="s">
        <v>323</v>
      </c>
      <c r="I42" s="296"/>
      <c r="J42" s="296" t="s">
        <v>324</v>
      </c>
      <c r="K42" s="296"/>
      <c r="L42" s="296" t="s">
        <v>265</v>
      </c>
      <c r="M42" s="296"/>
      <c r="N42" s="296" t="s">
        <v>234</v>
      </c>
      <c r="O42" s="296"/>
      <c r="P42" s="296" t="s">
        <v>266</v>
      </c>
      <c r="Q42" s="296"/>
      <c r="R42" s="296" t="s">
        <v>264</v>
      </c>
      <c r="S42" s="321"/>
      <c r="T42" s="322"/>
      <c r="U42" s="290"/>
      <c r="V42" s="290"/>
      <c r="W42" s="291"/>
      <c r="X42" s="5"/>
    </row>
    <row r="43" spans="1:24" ht="15.6" x14ac:dyDescent="0.3">
      <c r="A43" s="287"/>
      <c r="B43" s="288" t="s">
        <v>300</v>
      </c>
      <c r="C43" s="323"/>
      <c r="D43" s="322">
        <v>7.9553000000000002E-3</v>
      </c>
      <c r="E43" s="322"/>
      <c r="F43" s="322">
        <f>+F40</f>
        <v>7.5813E-3</v>
      </c>
      <c r="G43" s="322"/>
      <c r="H43" s="322">
        <v>7.8612999999999999E-3</v>
      </c>
      <c r="I43" s="322"/>
      <c r="J43" s="322">
        <v>8.3073000000000001E-3</v>
      </c>
      <c r="K43" s="322"/>
      <c r="L43" s="322">
        <f>+L40</f>
        <v>9.1812999999999999E-3</v>
      </c>
      <c r="M43" s="322"/>
      <c r="N43" s="322">
        <v>9.7733000000000004E-3</v>
      </c>
      <c r="O43" s="322"/>
      <c r="P43" s="322">
        <f>+P40</f>
        <v>1.31813E-2</v>
      </c>
      <c r="Q43" s="321"/>
      <c r="R43" s="322">
        <v>1.4247299999999999E-2</v>
      </c>
      <c r="S43" s="296"/>
      <c r="T43" s="296"/>
      <c r="U43" s="290"/>
      <c r="V43" s="321">
        <f>SUMPRODUCT(D43:R43,D35:R35)/V35</f>
        <v>8.7748000432226747E-3</v>
      </c>
      <c r="W43" s="291"/>
      <c r="X43" s="5"/>
    </row>
    <row r="44" spans="1:24" ht="15.6" x14ac:dyDescent="0.3">
      <c r="A44" s="287"/>
      <c r="B44" s="288" t="s">
        <v>301</v>
      </c>
      <c r="C44" s="323"/>
      <c r="D44" s="322">
        <v>7.5802999999999999E-3</v>
      </c>
      <c r="E44" s="322"/>
      <c r="F44" s="322">
        <f>+F41</f>
        <v>7.2062999999999997E-3</v>
      </c>
      <c r="G44" s="322"/>
      <c r="H44" s="322">
        <v>7.4863000000000004E-3</v>
      </c>
      <c r="I44" s="322"/>
      <c r="J44" s="322">
        <v>7.9322999999999998E-3</v>
      </c>
      <c r="K44" s="322"/>
      <c r="L44" s="322">
        <f>+L41</f>
        <v>8.8062999999999995E-3</v>
      </c>
      <c r="M44" s="322"/>
      <c r="N44" s="322">
        <v>9.3983000000000001E-3</v>
      </c>
      <c r="O44" s="322"/>
      <c r="P44" s="322">
        <f>+P41</f>
        <v>1.28063E-2</v>
      </c>
      <c r="Q44" s="321"/>
      <c r="R44" s="322">
        <v>1.3872300000000001E-2</v>
      </c>
      <c r="S44" s="296"/>
      <c r="T44" s="296"/>
      <c r="U44" s="290"/>
      <c r="V44" s="290"/>
      <c r="W44" s="291"/>
      <c r="X44" s="5"/>
    </row>
    <row r="45" spans="1:24" ht="15.6" x14ac:dyDescent="0.3">
      <c r="A45" s="287"/>
      <c r="B45" s="288" t="s">
        <v>14</v>
      </c>
      <c r="C45" s="288"/>
      <c r="D45" s="323">
        <v>40617</v>
      </c>
      <c r="E45" s="323"/>
      <c r="F45" s="323">
        <v>40617</v>
      </c>
      <c r="G45" s="323"/>
      <c r="H45" s="323">
        <v>40617</v>
      </c>
      <c r="I45" s="323"/>
      <c r="J45" s="323">
        <v>40617</v>
      </c>
      <c r="K45" s="323"/>
      <c r="L45" s="323">
        <v>40617</v>
      </c>
      <c r="M45" s="323"/>
      <c r="N45" s="323">
        <v>40617</v>
      </c>
      <c r="O45" s="323"/>
      <c r="P45" s="323">
        <v>40617</v>
      </c>
      <c r="Q45" s="323"/>
      <c r="R45" s="323">
        <v>40617</v>
      </c>
      <c r="S45" s="296"/>
      <c r="T45" s="296"/>
      <c r="U45" s="290"/>
      <c r="V45" s="290"/>
      <c r="W45" s="291"/>
      <c r="X45" s="5"/>
    </row>
    <row r="46" spans="1:24" ht="15.6" x14ac:dyDescent="0.3">
      <c r="A46" s="287"/>
      <c r="B46" s="288" t="s">
        <v>15</v>
      </c>
      <c r="C46" s="288"/>
      <c r="D46" s="323">
        <v>40983</v>
      </c>
      <c r="E46" s="323"/>
      <c r="F46" s="323">
        <v>40983</v>
      </c>
      <c r="G46" s="323"/>
      <c r="H46" s="323">
        <v>40983</v>
      </c>
      <c r="I46" s="323"/>
      <c r="J46" s="323">
        <v>40983</v>
      </c>
      <c r="K46" s="296"/>
      <c r="L46" s="323">
        <v>40983</v>
      </c>
      <c r="M46" s="296"/>
      <c r="N46" s="323">
        <v>40983</v>
      </c>
      <c r="O46" s="296"/>
      <c r="P46" s="323">
        <v>40983</v>
      </c>
      <c r="Q46" s="296"/>
      <c r="R46" s="323">
        <v>40983</v>
      </c>
      <c r="S46" s="296"/>
      <c r="T46" s="296"/>
      <c r="U46" s="290"/>
      <c r="V46" s="290"/>
      <c r="W46" s="291"/>
      <c r="X46" s="5"/>
    </row>
    <row r="47" spans="1:24" ht="15.6" x14ac:dyDescent="0.3">
      <c r="A47" s="287"/>
      <c r="B47" s="288" t="s">
        <v>119</v>
      </c>
      <c r="C47" s="288"/>
      <c r="D47" s="296" t="s">
        <v>231</v>
      </c>
      <c r="E47" s="288"/>
      <c r="F47" s="296" t="s">
        <v>231</v>
      </c>
      <c r="G47" s="296"/>
      <c r="H47" s="296" t="s">
        <v>231</v>
      </c>
      <c r="I47" s="296"/>
      <c r="J47" s="296" t="s">
        <v>231</v>
      </c>
      <c r="K47" s="296"/>
      <c r="L47" s="296" t="s">
        <v>265</v>
      </c>
      <c r="M47" s="296"/>
      <c r="N47" s="296" t="s">
        <v>265</v>
      </c>
      <c r="O47" s="296"/>
      <c r="P47" s="296" t="s">
        <v>266</v>
      </c>
      <c r="Q47" s="296"/>
      <c r="R47" s="296" t="s">
        <v>266</v>
      </c>
      <c r="S47" s="325"/>
      <c r="T47" s="325"/>
      <c r="U47" s="325"/>
      <c r="V47" s="325"/>
      <c r="W47" s="291"/>
      <c r="X47" s="5"/>
    </row>
    <row r="48" spans="1:24" ht="15.6" x14ac:dyDescent="0.3">
      <c r="A48" s="287"/>
      <c r="B48" s="288" t="s">
        <v>302</v>
      </c>
      <c r="C48" s="288"/>
      <c r="D48" s="296" t="s">
        <v>325</v>
      </c>
      <c r="E48" s="288"/>
      <c r="F48" s="296" t="s">
        <v>231</v>
      </c>
      <c r="G48" s="296"/>
      <c r="H48" s="296" t="s">
        <v>262</v>
      </c>
      <c r="I48" s="296"/>
      <c r="J48" s="296" t="s">
        <v>263</v>
      </c>
      <c r="K48" s="296"/>
      <c r="L48" s="296" t="s">
        <v>265</v>
      </c>
      <c r="M48" s="296"/>
      <c r="N48" s="296" t="s">
        <v>234</v>
      </c>
      <c r="O48" s="296"/>
      <c r="P48" s="296" t="s">
        <v>266</v>
      </c>
      <c r="Q48" s="296"/>
      <c r="R48" s="296" t="s">
        <v>264</v>
      </c>
      <c r="S48" s="288"/>
      <c r="T48" s="288"/>
      <c r="U48" s="288"/>
      <c r="V48" s="321"/>
      <c r="W48" s="291"/>
      <c r="X48" s="5"/>
    </row>
    <row r="49" spans="1:25" ht="15.6" x14ac:dyDescent="0.3">
      <c r="A49" s="287"/>
      <c r="B49" s="288"/>
      <c r="C49" s="288"/>
      <c r="D49" s="296"/>
      <c r="E49" s="288"/>
      <c r="F49" s="296"/>
      <c r="G49" s="296"/>
      <c r="H49" s="296"/>
      <c r="I49" s="296"/>
      <c r="J49" s="296"/>
      <c r="K49" s="296"/>
      <c r="L49" s="296"/>
      <c r="M49" s="296"/>
      <c r="N49" s="296"/>
      <c r="O49" s="296"/>
      <c r="P49" s="296"/>
      <c r="Q49" s="296"/>
      <c r="R49" s="296"/>
      <c r="S49" s="288"/>
      <c r="T49" s="288"/>
      <c r="U49" s="288"/>
      <c r="V49" s="321" t="s">
        <v>193</v>
      </c>
      <c r="W49" s="291"/>
      <c r="X49" s="5"/>
    </row>
    <row r="50" spans="1:25" ht="15.6" x14ac:dyDescent="0.3">
      <c r="A50" s="287"/>
      <c r="B50" s="288" t="s">
        <v>169</v>
      </c>
      <c r="C50" s="288"/>
      <c r="D50" s="296"/>
      <c r="E50" s="288"/>
      <c r="F50" s="296"/>
      <c r="G50" s="296"/>
      <c r="H50" s="296"/>
      <c r="I50" s="296"/>
      <c r="J50" s="296"/>
      <c r="K50" s="296"/>
      <c r="L50" s="296"/>
      <c r="M50" s="296"/>
      <c r="N50" s="296"/>
      <c r="O50" s="296"/>
      <c r="P50" s="296"/>
      <c r="Q50" s="296"/>
      <c r="R50" s="296"/>
      <c r="S50" s="288"/>
      <c r="T50" s="288"/>
      <c r="U50" s="288"/>
      <c r="V50" s="321">
        <f>SUM(L34:R34)/SUM(D34:J34)</f>
        <v>0.17663090364375009</v>
      </c>
      <c r="W50" s="291"/>
      <c r="X50" s="5"/>
    </row>
    <row r="51" spans="1:25" ht="15.6" x14ac:dyDescent="0.3">
      <c r="A51" s="287"/>
      <c r="B51" s="288" t="s">
        <v>170</v>
      </c>
      <c r="C51" s="288"/>
      <c r="D51" s="288"/>
      <c r="E51" s="288"/>
      <c r="F51" s="326"/>
      <c r="G51" s="288"/>
      <c r="H51" s="288"/>
      <c r="I51" s="288"/>
      <c r="J51" s="288"/>
      <c r="K51" s="288"/>
      <c r="L51" s="288"/>
      <c r="M51" s="288"/>
      <c r="N51" s="288"/>
      <c r="O51" s="288"/>
      <c r="P51" s="288"/>
      <c r="Q51" s="288"/>
      <c r="R51" s="288"/>
      <c r="S51" s="288"/>
      <c r="T51" s="288"/>
      <c r="U51" s="288"/>
      <c r="V51" s="321">
        <f>SUM(L36:R36)/SUM(D36:J36)</f>
        <v>0.27396458076214519</v>
      </c>
      <c r="W51" s="291"/>
      <c r="X51" s="5"/>
    </row>
    <row r="52" spans="1:25" ht="15.6" x14ac:dyDescent="0.3">
      <c r="A52" s="287"/>
      <c r="B52" s="288" t="s">
        <v>171</v>
      </c>
      <c r="C52" s="288"/>
      <c r="D52" s="288"/>
      <c r="E52" s="288"/>
      <c r="F52" s="288"/>
      <c r="G52" s="288"/>
      <c r="H52" s="288"/>
      <c r="I52" s="288"/>
      <c r="J52" s="288"/>
      <c r="K52" s="288"/>
      <c r="L52" s="288"/>
      <c r="M52" s="288"/>
      <c r="N52" s="288"/>
      <c r="O52" s="288"/>
      <c r="P52" s="288"/>
      <c r="Q52" s="288"/>
      <c r="R52" s="288"/>
      <c r="S52" s="288"/>
      <c r="T52" s="296"/>
      <c r="U52" s="296"/>
      <c r="V52" s="299" t="s">
        <v>276</v>
      </c>
      <c r="W52" s="291"/>
      <c r="X52" s="5"/>
    </row>
    <row r="53" spans="1:25" ht="15.6" x14ac:dyDescent="0.3">
      <c r="A53" s="287"/>
      <c r="B53" s="288"/>
      <c r="C53" s="288"/>
      <c r="D53" s="288"/>
      <c r="E53" s="288"/>
      <c r="F53" s="288"/>
      <c r="G53" s="288"/>
      <c r="H53" s="288"/>
      <c r="I53" s="288"/>
      <c r="J53" s="288"/>
      <c r="K53" s="288"/>
      <c r="L53" s="288"/>
      <c r="M53" s="288"/>
      <c r="N53" s="288"/>
      <c r="O53" s="288"/>
      <c r="P53" s="288"/>
      <c r="Q53" s="288"/>
      <c r="R53" s="288"/>
      <c r="S53" s="288"/>
      <c r="T53" s="288"/>
      <c r="U53" s="288"/>
      <c r="V53" s="327"/>
      <c r="W53" s="291"/>
      <c r="X53" s="5"/>
    </row>
    <row r="54" spans="1:25" ht="15.6" x14ac:dyDescent="0.3">
      <c r="A54" s="287"/>
      <c r="B54" s="288" t="s">
        <v>202</v>
      </c>
      <c r="C54" s="288"/>
      <c r="D54" s="288"/>
      <c r="E54" s="288"/>
      <c r="F54" s="288"/>
      <c r="G54" s="288"/>
      <c r="H54" s="288"/>
      <c r="I54" s="288"/>
      <c r="J54" s="288"/>
      <c r="K54" s="288"/>
      <c r="L54" s="288"/>
      <c r="M54" s="288"/>
      <c r="N54" s="288"/>
      <c r="O54" s="288"/>
      <c r="P54" s="288"/>
      <c r="Q54" s="288"/>
      <c r="R54" s="288"/>
      <c r="S54" s="288"/>
      <c r="T54" s="288"/>
      <c r="U54" s="288"/>
      <c r="V54" s="328" t="s">
        <v>203</v>
      </c>
      <c r="W54" s="291"/>
      <c r="X54" s="5"/>
    </row>
    <row r="55" spans="1:25" ht="15.6" x14ac:dyDescent="0.3">
      <c r="A55" s="287"/>
      <c r="B55" s="288" t="s">
        <v>280</v>
      </c>
      <c r="C55" s="288"/>
      <c r="D55" s="288"/>
      <c r="E55" s="288"/>
      <c r="F55" s="288"/>
      <c r="G55" s="288"/>
      <c r="H55" s="288"/>
      <c r="I55" s="288"/>
      <c r="J55" s="288"/>
      <c r="K55" s="288"/>
      <c r="L55" s="288"/>
      <c r="M55" s="288"/>
      <c r="N55" s="288"/>
      <c r="O55" s="288"/>
      <c r="P55" s="288"/>
      <c r="Q55" s="288"/>
      <c r="R55" s="288"/>
      <c r="S55" s="288"/>
      <c r="T55" s="296"/>
      <c r="U55" s="296"/>
      <c r="V55" s="329" t="s">
        <v>111</v>
      </c>
      <c r="W55" s="291"/>
      <c r="X55" s="5"/>
    </row>
    <row r="56" spans="1:25" ht="15.6" x14ac:dyDescent="0.3">
      <c r="A56" s="287"/>
      <c r="B56" s="295" t="s">
        <v>201</v>
      </c>
      <c r="C56" s="295"/>
      <c r="D56" s="295"/>
      <c r="E56" s="295"/>
      <c r="F56" s="295"/>
      <c r="G56" s="295"/>
      <c r="H56" s="295"/>
      <c r="I56" s="295"/>
      <c r="J56" s="295"/>
      <c r="K56" s="295"/>
      <c r="L56" s="295"/>
      <c r="M56" s="295"/>
      <c r="N56" s="295"/>
      <c r="O56" s="295"/>
      <c r="P56" s="295"/>
      <c r="Q56" s="295"/>
      <c r="R56" s="295"/>
      <c r="S56" s="295"/>
      <c r="T56" s="330"/>
      <c r="U56" s="330"/>
      <c r="V56" s="331">
        <v>41897</v>
      </c>
      <c r="W56" s="291"/>
      <c r="X56" s="5"/>
    </row>
    <row r="57" spans="1:25" ht="15.6" x14ac:dyDescent="0.3">
      <c r="A57" s="287"/>
      <c r="B57" s="288" t="s">
        <v>121</v>
      </c>
      <c r="C57" s="288"/>
      <c r="D57" s="288"/>
      <c r="E57" s="288"/>
      <c r="F57" s="288"/>
      <c r="G57" s="288"/>
      <c r="H57" s="332"/>
      <c r="I57" s="332"/>
      <c r="J57" s="332"/>
      <c r="K57" s="332"/>
      <c r="L57" s="332"/>
      <c r="M57" s="332"/>
      <c r="N57" s="332"/>
      <c r="O57" s="332"/>
      <c r="P57" s="332"/>
      <c r="Q57" s="332"/>
      <c r="R57" s="288">
        <f>+V57-T57+1</f>
        <v>91</v>
      </c>
      <c r="S57" s="332"/>
      <c r="T57" s="333">
        <v>41715</v>
      </c>
      <c r="U57" s="334"/>
      <c r="V57" s="333">
        <v>41805</v>
      </c>
      <c r="W57" s="291"/>
      <c r="X57" s="5"/>
    </row>
    <row r="58" spans="1:25" ht="15.6" x14ac:dyDescent="0.3">
      <c r="A58" s="287"/>
      <c r="B58" s="288" t="s">
        <v>122</v>
      </c>
      <c r="C58" s="288"/>
      <c r="D58" s="288"/>
      <c r="E58" s="288"/>
      <c r="F58" s="288"/>
      <c r="G58" s="288"/>
      <c r="H58" s="288"/>
      <c r="I58" s="288"/>
      <c r="J58" s="288"/>
      <c r="K58" s="288"/>
      <c r="L58" s="288"/>
      <c r="M58" s="288"/>
      <c r="N58" s="288"/>
      <c r="O58" s="288"/>
      <c r="P58" s="288"/>
      <c r="Q58" s="288"/>
      <c r="R58" s="288">
        <f>+V58-T58+1</f>
        <v>91</v>
      </c>
      <c r="S58" s="288"/>
      <c r="T58" s="333">
        <v>41806</v>
      </c>
      <c r="U58" s="334"/>
      <c r="V58" s="333">
        <v>41896</v>
      </c>
      <c r="W58" s="291"/>
      <c r="X58" s="5"/>
    </row>
    <row r="59" spans="1:25" ht="15.6" x14ac:dyDescent="0.3">
      <c r="A59" s="287"/>
      <c r="B59" s="288" t="s">
        <v>229</v>
      </c>
      <c r="C59" s="288"/>
      <c r="D59" s="288"/>
      <c r="E59" s="288"/>
      <c r="F59" s="288"/>
      <c r="G59" s="288"/>
      <c r="H59" s="288"/>
      <c r="I59" s="288"/>
      <c r="J59" s="288"/>
      <c r="K59" s="288"/>
      <c r="L59" s="288"/>
      <c r="M59" s="288"/>
      <c r="N59" s="288"/>
      <c r="O59" s="288"/>
      <c r="P59" s="288"/>
      <c r="Q59" s="288"/>
      <c r="R59" s="288"/>
      <c r="S59" s="288"/>
      <c r="T59" s="333"/>
      <c r="U59" s="334"/>
      <c r="V59" s="333" t="s">
        <v>120</v>
      </c>
      <c r="W59" s="291"/>
      <c r="X59" s="5"/>
    </row>
    <row r="60" spans="1:25" ht="15.6" x14ac:dyDescent="0.3">
      <c r="A60" s="287"/>
      <c r="B60" s="288" t="s">
        <v>228</v>
      </c>
      <c r="C60" s="288"/>
      <c r="D60" s="288"/>
      <c r="E60" s="288"/>
      <c r="F60" s="288"/>
      <c r="G60" s="288"/>
      <c r="H60" s="288"/>
      <c r="I60" s="288"/>
      <c r="J60" s="288"/>
      <c r="K60" s="288"/>
      <c r="L60" s="288"/>
      <c r="M60" s="288"/>
      <c r="N60" s="288"/>
      <c r="O60" s="288"/>
      <c r="P60" s="288"/>
      <c r="Q60" s="288"/>
      <c r="R60" s="288"/>
      <c r="S60" s="288"/>
      <c r="T60" s="333"/>
      <c r="U60" s="334"/>
      <c r="V60" s="333" t="s">
        <v>154</v>
      </c>
      <c r="W60" s="291"/>
      <c r="X60" s="5"/>
      <c r="Y60" s="134"/>
    </row>
    <row r="61" spans="1:25" ht="15.6" x14ac:dyDescent="0.3">
      <c r="A61" s="287"/>
      <c r="B61" s="288" t="s">
        <v>16</v>
      </c>
      <c r="C61" s="288"/>
      <c r="D61" s="288"/>
      <c r="E61" s="288"/>
      <c r="F61" s="288"/>
      <c r="G61" s="288"/>
      <c r="H61" s="288"/>
      <c r="I61" s="288"/>
      <c r="J61" s="288"/>
      <c r="K61" s="288"/>
      <c r="L61" s="288"/>
      <c r="M61" s="288"/>
      <c r="N61" s="288"/>
      <c r="O61" s="288"/>
      <c r="P61" s="288"/>
      <c r="Q61" s="288"/>
      <c r="R61" s="288"/>
      <c r="S61" s="288"/>
      <c r="T61" s="333"/>
      <c r="U61" s="334"/>
      <c r="V61" s="333">
        <v>41883</v>
      </c>
      <c r="W61" s="291"/>
      <c r="X61" s="5"/>
    </row>
    <row r="62" spans="1:25" ht="15.6" x14ac:dyDescent="0.3">
      <c r="A62" s="183"/>
      <c r="B62" s="284"/>
      <c r="C62" s="284"/>
      <c r="D62" s="284"/>
      <c r="E62" s="284"/>
      <c r="F62" s="284"/>
      <c r="G62" s="284"/>
      <c r="H62" s="284"/>
      <c r="I62" s="284"/>
      <c r="J62" s="284"/>
      <c r="K62" s="284"/>
      <c r="L62" s="284"/>
      <c r="M62" s="284"/>
      <c r="N62" s="284"/>
      <c r="O62" s="284"/>
      <c r="P62" s="284"/>
      <c r="Q62" s="284"/>
      <c r="R62" s="284"/>
      <c r="S62" s="284"/>
      <c r="T62" s="285"/>
      <c r="U62" s="286"/>
      <c r="V62" s="285"/>
      <c r="W62" s="284"/>
      <c r="X62" s="5"/>
    </row>
    <row r="63" spans="1:25" ht="15.6" x14ac:dyDescent="0.3">
      <c r="A63" s="183"/>
      <c r="B63" s="224"/>
      <c r="C63" s="224"/>
      <c r="D63" s="224"/>
      <c r="E63" s="224"/>
      <c r="F63" s="224"/>
      <c r="G63" s="224"/>
      <c r="H63" s="224"/>
      <c r="I63" s="224"/>
      <c r="J63" s="224"/>
      <c r="K63" s="224"/>
      <c r="L63" s="224"/>
      <c r="M63" s="224"/>
      <c r="N63" s="224"/>
      <c r="O63" s="224"/>
      <c r="P63" s="224"/>
      <c r="Q63" s="224"/>
      <c r="R63" s="224"/>
      <c r="S63" s="224"/>
      <c r="T63" s="235"/>
      <c r="U63" s="236"/>
      <c r="V63" s="235"/>
      <c r="W63" s="224"/>
      <c r="X63" s="5"/>
    </row>
    <row r="64" spans="1:25" ht="18" thickBot="1" x14ac:dyDescent="0.35">
      <c r="A64" s="199"/>
      <c r="B64" s="237" t="s">
        <v>346</v>
      </c>
      <c r="C64" s="238"/>
      <c r="D64" s="238"/>
      <c r="E64" s="238"/>
      <c r="F64" s="238"/>
      <c r="G64" s="238"/>
      <c r="H64" s="238"/>
      <c r="I64" s="238"/>
      <c r="J64" s="238"/>
      <c r="K64" s="238"/>
      <c r="L64" s="238"/>
      <c r="M64" s="238"/>
      <c r="N64" s="238"/>
      <c r="O64" s="238"/>
      <c r="P64" s="238"/>
      <c r="Q64" s="238"/>
      <c r="R64" s="238"/>
      <c r="S64" s="238"/>
      <c r="T64" s="238"/>
      <c r="U64" s="238"/>
      <c r="V64" s="239"/>
      <c r="W64" s="240"/>
      <c r="X64" s="5"/>
    </row>
    <row r="65" spans="1:24" ht="15.6" x14ac:dyDescent="0.3">
      <c r="A65" s="262"/>
      <c r="B65" s="399" t="s">
        <v>17</v>
      </c>
      <c r="C65" s="263"/>
      <c r="D65" s="263"/>
      <c r="E65" s="263"/>
      <c r="F65" s="263"/>
      <c r="G65" s="263"/>
      <c r="H65" s="263"/>
      <c r="I65" s="263"/>
      <c r="J65" s="263"/>
      <c r="K65" s="263"/>
      <c r="L65" s="263"/>
      <c r="M65" s="263"/>
      <c r="N65" s="263"/>
      <c r="O65" s="263"/>
      <c r="P65" s="263"/>
      <c r="Q65" s="263"/>
      <c r="R65" s="263"/>
      <c r="S65" s="263"/>
      <c r="T65" s="263"/>
      <c r="U65" s="263"/>
      <c r="V65" s="268"/>
      <c r="W65" s="263"/>
      <c r="X65" s="5"/>
    </row>
    <row r="66" spans="1:24" ht="15.6" x14ac:dyDescent="0.3">
      <c r="A66" s="183"/>
      <c r="B66" s="191"/>
      <c r="C66" s="185"/>
      <c r="D66" s="185"/>
      <c r="E66" s="185"/>
      <c r="F66" s="185"/>
      <c r="G66" s="185"/>
      <c r="H66" s="185"/>
      <c r="I66" s="185"/>
      <c r="J66" s="185"/>
      <c r="K66" s="185"/>
      <c r="L66" s="185"/>
      <c r="M66" s="185"/>
      <c r="N66" s="185"/>
      <c r="O66" s="185"/>
      <c r="P66" s="185"/>
      <c r="Q66" s="185"/>
      <c r="R66" s="185"/>
      <c r="S66" s="185"/>
      <c r="T66" s="185"/>
      <c r="U66" s="185"/>
      <c r="V66" s="201"/>
      <c r="W66" s="185"/>
      <c r="X66" s="5"/>
    </row>
    <row r="67" spans="1:24" ht="46.8" x14ac:dyDescent="0.3">
      <c r="A67" s="183"/>
      <c r="B67" s="202" t="s">
        <v>18</v>
      </c>
      <c r="C67" s="203"/>
      <c r="D67" s="203"/>
      <c r="E67" s="203"/>
      <c r="F67" s="203"/>
      <c r="G67" s="203"/>
      <c r="H67" s="203"/>
      <c r="I67" s="203"/>
      <c r="J67" s="203"/>
      <c r="K67" s="203"/>
      <c r="L67" s="203" t="s">
        <v>94</v>
      </c>
      <c r="M67" s="203"/>
      <c r="N67" s="203" t="s">
        <v>96</v>
      </c>
      <c r="O67" s="203"/>
      <c r="P67" s="203" t="s">
        <v>98</v>
      </c>
      <c r="Q67" s="203"/>
      <c r="R67" s="203" t="s">
        <v>100</v>
      </c>
      <c r="S67" s="203"/>
      <c r="T67" s="203" t="s">
        <v>106</v>
      </c>
      <c r="U67" s="203"/>
      <c r="V67" s="204" t="s">
        <v>112</v>
      </c>
      <c r="W67" s="205"/>
      <c r="X67" s="5"/>
    </row>
    <row r="68" spans="1:24" ht="15.6" x14ac:dyDescent="0.3">
      <c r="A68" s="287"/>
      <c r="B68" s="288" t="s">
        <v>19</v>
      </c>
      <c r="C68" s="337"/>
      <c r="D68" s="337"/>
      <c r="E68" s="337"/>
      <c r="F68" s="337"/>
      <c r="G68" s="337"/>
      <c r="H68" s="337"/>
      <c r="I68" s="337"/>
      <c r="J68" s="337"/>
      <c r="K68" s="337"/>
      <c r="L68" s="337">
        <v>1158015</v>
      </c>
      <c r="M68" s="337"/>
      <c r="N68" s="338">
        <v>1059091</v>
      </c>
      <c r="O68" s="337"/>
      <c r="P68" s="337">
        <f>11818+103-1</f>
        <v>11920</v>
      </c>
      <c r="Q68" s="337"/>
      <c r="R68" s="337">
        <v>103</v>
      </c>
      <c r="S68" s="337"/>
      <c r="T68" s="337">
        <v>0</v>
      </c>
      <c r="U68" s="337"/>
      <c r="V68" s="338">
        <f>+N68-P68+R68-T68</f>
        <v>1047274</v>
      </c>
      <c r="W68" s="291"/>
      <c r="X68" s="5"/>
    </row>
    <row r="69" spans="1:24" ht="15.6" x14ac:dyDescent="0.3">
      <c r="A69" s="287"/>
      <c r="B69" s="288" t="s">
        <v>20</v>
      </c>
      <c r="C69" s="337"/>
      <c r="D69" s="337"/>
      <c r="E69" s="337"/>
      <c r="F69" s="337"/>
      <c r="G69" s="337"/>
      <c r="H69" s="337"/>
      <c r="I69" s="337"/>
      <c r="J69" s="337"/>
      <c r="K69" s="337"/>
      <c r="L69" s="337">
        <v>15</v>
      </c>
      <c r="M69" s="337"/>
      <c r="N69" s="338">
        <v>0</v>
      </c>
      <c r="O69" s="337"/>
      <c r="P69" s="337">
        <v>0</v>
      </c>
      <c r="Q69" s="337"/>
      <c r="R69" s="337">
        <v>0</v>
      </c>
      <c r="S69" s="337"/>
      <c r="T69" s="337">
        <v>0</v>
      </c>
      <c r="U69" s="337"/>
      <c r="V69" s="338">
        <v>0</v>
      </c>
      <c r="W69" s="291"/>
      <c r="X69" s="5"/>
    </row>
    <row r="70" spans="1:24" ht="15.6" x14ac:dyDescent="0.3">
      <c r="A70" s="287"/>
      <c r="B70" s="288"/>
      <c r="C70" s="337"/>
      <c r="D70" s="337"/>
      <c r="E70" s="337"/>
      <c r="F70" s="337"/>
      <c r="G70" s="337"/>
      <c r="H70" s="337"/>
      <c r="I70" s="337"/>
      <c r="J70" s="337"/>
      <c r="K70" s="337"/>
      <c r="L70" s="337"/>
      <c r="M70" s="337"/>
      <c r="N70" s="338"/>
      <c r="O70" s="337"/>
      <c r="P70" s="337"/>
      <c r="Q70" s="337"/>
      <c r="R70" s="337"/>
      <c r="S70" s="337"/>
      <c r="T70" s="337"/>
      <c r="U70" s="337"/>
      <c r="V70" s="338"/>
      <c r="W70" s="291"/>
      <c r="X70" s="5"/>
    </row>
    <row r="71" spans="1:24" ht="15.6" x14ac:dyDescent="0.3">
      <c r="A71" s="287"/>
      <c r="B71" s="288" t="s">
        <v>21</v>
      </c>
      <c r="C71" s="337"/>
      <c r="D71" s="337"/>
      <c r="E71" s="337"/>
      <c r="F71" s="337"/>
      <c r="G71" s="337"/>
      <c r="H71" s="337"/>
      <c r="I71" s="337"/>
      <c r="J71" s="337"/>
      <c r="K71" s="337"/>
      <c r="L71" s="337">
        <f>SUM(L68:L70)</f>
        <v>1158030</v>
      </c>
      <c r="M71" s="337"/>
      <c r="N71" s="337">
        <f>N68+N69</f>
        <v>1059091</v>
      </c>
      <c r="O71" s="337"/>
      <c r="P71" s="337">
        <f>SUM(P68:P70)</f>
        <v>11920</v>
      </c>
      <c r="Q71" s="337"/>
      <c r="R71" s="337">
        <f>SUM(R68:R70)</f>
        <v>103</v>
      </c>
      <c r="S71" s="337"/>
      <c r="T71" s="337">
        <f>SUM(T68:T70)</f>
        <v>0</v>
      </c>
      <c r="U71" s="337"/>
      <c r="V71" s="337">
        <f>SUM(V68:V70)</f>
        <v>1047274</v>
      </c>
      <c r="W71" s="291"/>
      <c r="X71" s="5"/>
    </row>
    <row r="72" spans="1:24" ht="15.6" x14ac:dyDescent="0.3">
      <c r="A72" s="183"/>
      <c r="B72" s="198"/>
      <c r="C72" s="335"/>
      <c r="D72" s="335"/>
      <c r="E72" s="335"/>
      <c r="F72" s="335"/>
      <c r="G72" s="335"/>
      <c r="H72" s="335"/>
      <c r="I72" s="335"/>
      <c r="J72" s="335"/>
      <c r="K72" s="335"/>
      <c r="L72" s="335"/>
      <c r="M72" s="335"/>
      <c r="N72" s="335"/>
      <c r="O72" s="335"/>
      <c r="P72" s="335"/>
      <c r="Q72" s="335"/>
      <c r="R72" s="335"/>
      <c r="S72" s="335"/>
      <c r="T72" s="335"/>
      <c r="U72" s="335"/>
      <c r="V72" s="336"/>
      <c r="W72" s="198"/>
      <c r="X72" s="5"/>
    </row>
    <row r="73" spans="1:24" ht="15.6" x14ac:dyDescent="0.3">
      <c r="A73" s="183"/>
      <c r="B73" s="187" t="s">
        <v>22</v>
      </c>
      <c r="C73" s="206"/>
      <c r="D73" s="206"/>
      <c r="E73" s="206"/>
      <c r="F73" s="206"/>
      <c r="G73" s="206"/>
      <c r="H73" s="206"/>
      <c r="I73" s="206"/>
      <c r="J73" s="206"/>
      <c r="K73" s="206"/>
      <c r="L73" s="206"/>
      <c r="M73" s="206"/>
      <c r="N73" s="206"/>
      <c r="O73" s="206"/>
      <c r="P73" s="206"/>
      <c r="Q73" s="206"/>
      <c r="R73" s="206"/>
      <c r="S73" s="206"/>
      <c r="T73" s="206"/>
      <c r="U73" s="206"/>
      <c r="V73" s="207"/>
      <c r="W73" s="185"/>
      <c r="X73" s="5"/>
    </row>
    <row r="74" spans="1:24" ht="15.6" x14ac:dyDescent="0.3">
      <c r="A74" s="183"/>
      <c r="B74" s="185"/>
      <c r="C74" s="206"/>
      <c r="D74" s="206"/>
      <c r="E74" s="206"/>
      <c r="F74" s="206"/>
      <c r="G74" s="206"/>
      <c r="H74" s="206"/>
      <c r="I74" s="206"/>
      <c r="J74" s="206"/>
      <c r="K74" s="206"/>
      <c r="L74" s="206"/>
      <c r="M74" s="206"/>
      <c r="N74" s="206"/>
      <c r="O74" s="206"/>
      <c r="P74" s="206"/>
      <c r="Q74" s="206"/>
      <c r="R74" s="206"/>
      <c r="S74" s="206"/>
      <c r="T74" s="206"/>
      <c r="U74" s="206"/>
      <c r="V74" s="207"/>
      <c r="W74" s="185"/>
      <c r="X74" s="5"/>
    </row>
    <row r="75" spans="1:24" ht="15.6" x14ac:dyDescent="0.3">
      <c r="A75" s="340"/>
      <c r="B75" s="288" t="s">
        <v>19</v>
      </c>
      <c r="C75" s="337"/>
      <c r="D75" s="337"/>
      <c r="E75" s="337"/>
      <c r="F75" s="337"/>
      <c r="G75" s="337"/>
      <c r="H75" s="337"/>
      <c r="I75" s="337"/>
      <c r="J75" s="337"/>
      <c r="K75" s="337"/>
      <c r="L75" s="337"/>
      <c r="M75" s="337"/>
      <c r="N75" s="337"/>
      <c r="O75" s="337"/>
      <c r="P75" s="337"/>
      <c r="Q75" s="337"/>
      <c r="R75" s="337"/>
      <c r="S75" s="337"/>
      <c r="T75" s="337"/>
      <c r="U75" s="337"/>
      <c r="V75" s="337"/>
      <c r="W75" s="291"/>
      <c r="X75" s="5"/>
    </row>
    <row r="76" spans="1:24" ht="15.6" x14ac:dyDescent="0.3">
      <c r="A76" s="340"/>
      <c r="B76" s="288" t="s">
        <v>20</v>
      </c>
      <c r="C76" s="337"/>
      <c r="D76" s="337"/>
      <c r="E76" s="337"/>
      <c r="F76" s="337"/>
      <c r="G76" s="337"/>
      <c r="H76" s="337"/>
      <c r="I76" s="337"/>
      <c r="J76" s="337"/>
      <c r="K76" s="337"/>
      <c r="L76" s="337"/>
      <c r="M76" s="337"/>
      <c r="N76" s="337"/>
      <c r="O76" s="337"/>
      <c r="P76" s="337"/>
      <c r="Q76" s="337"/>
      <c r="R76" s="337"/>
      <c r="S76" s="337"/>
      <c r="T76" s="337"/>
      <c r="U76" s="337"/>
      <c r="V76" s="337"/>
      <c r="W76" s="291"/>
      <c r="X76" s="5"/>
    </row>
    <row r="77" spans="1:24" ht="15.6" x14ac:dyDescent="0.3">
      <c r="A77" s="340"/>
      <c r="B77" s="288"/>
      <c r="C77" s="337"/>
      <c r="D77" s="337"/>
      <c r="E77" s="337"/>
      <c r="F77" s="337"/>
      <c r="G77" s="337"/>
      <c r="H77" s="337"/>
      <c r="I77" s="337"/>
      <c r="J77" s="337"/>
      <c r="K77" s="337"/>
      <c r="L77" s="337"/>
      <c r="M77" s="337"/>
      <c r="N77" s="337"/>
      <c r="O77" s="337"/>
      <c r="P77" s="337"/>
      <c r="Q77" s="337"/>
      <c r="R77" s="337"/>
      <c r="S77" s="337"/>
      <c r="T77" s="337"/>
      <c r="U77" s="337"/>
      <c r="V77" s="337"/>
      <c r="W77" s="291"/>
      <c r="X77" s="5"/>
    </row>
    <row r="78" spans="1:24" ht="15.6" x14ac:dyDescent="0.3">
      <c r="A78" s="340"/>
      <c r="B78" s="288" t="s">
        <v>21</v>
      </c>
      <c r="C78" s="337"/>
      <c r="D78" s="337"/>
      <c r="E78" s="337"/>
      <c r="F78" s="337"/>
      <c r="G78" s="337"/>
      <c r="H78" s="337"/>
      <c r="I78" s="337"/>
      <c r="J78" s="337"/>
      <c r="K78" s="337"/>
      <c r="L78" s="337"/>
      <c r="M78" s="337"/>
      <c r="N78" s="337"/>
      <c r="O78" s="337"/>
      <c r="P78" s="337"/>
      <c r="Q78" s="337"/>
      <c r="R78" s="337"/>
      <c r="S78" s="337"/>
      <c r="T78" s="337"/>
      <c r="U78" s="337"/>
      <c r="V78" s="337"/>
      <c r="W78" s="291"/>
      <c r="X78" s="5"/>
    </row>
    <row r="79" spans="1:24" ht="15.6" x14ac:dyDescent="0.3">
      <c r="A79" s="340"/>
      <c r="B79" s="288"/>
      <c r="C79" s="337"/>
      <c r="D79" s="337"/>
      <c r="E79" s="337"/>
      <c r="F79" s="337"/>
      <c r="G79" s="337"/>
      <c r="H79" s="337"/>
      <c r="I79" s="337"/>
      <c r="J79" s="337"/>
      <c r="K79" s="337"/>
      <c r="L79" s="337"/>
      <c r="M79" s="337"/>
      <c r="N79" s="337"/>
      <c r="O79" s="337"/>
      <c r="P79" s="337"/>
      <c r="Q79" s="337"/>
      <c r="R79" s="337"/>
      <c r="S79" s="337"/>
      <c r="T79" s="337"/>
      <c r="U79" s="337"/>
      <c r="V79" s="337"/>
      <c r="W79" s="291"/>
      <c r="X79" s="5"/>
    </row>
    <row r="80" spans="1:24" ht="15.6" x14ac:dyDescent="0.3">
      <c r="A80" s="340"/>
      <c r="B80" s="288" t="s">
        <v>23</v>
      </c>
      <c r="C80" s="337"/>
      <c r="D80" s="337"/>
      <c r="E80" s="337"/>
      <c r="F80" s="337"/>
      <c r="G80" s="337"/>
      <c r="H80" s="337"/>
      <c r="I80" s="337"/>
      <c r="J80" s="337"/>
      <c r="K80" s="337"/>
      <c r="L80" s="337">
        <v>0</v>
      </c>
      <c r="M80" s="337"/>
      <c r="N80" s="337">
        <v>0</v>
      </c>
      <c r="O80" s="337"/>
      <c r="P80" s="337"/>
      <c r="Q80" s="337"/>
      <c r="R80" s="337"/>
      <c r="S80" s="337"/>
      <c r="T80" s="337"/>
      <c r="U80" s="337"/>
      <c r="V80" s="338">
        <v>0</v>
      </c>
      <c r="W80" s="291"/>
      <c r="X80" s="5"/>
    </row>
    <row r="81" spans="1:24" ht="15.6" x14ac:dyDescent="0.3">
      <c r="A81" s="340"/>
      <c r="B81" s="288" t="s">
        <v>117</v>
      </c>
      <c r="C81" s="337"/>
      <c r="D81" s="337"/>
      <c r="E81" s="337"/>
      <c r="F81" s="337"/>
      <c r="G81" s="337"/>
      <c r="H81" s="337"/>
      <c r="I81" s="337"/>
      <c r="J81" s="337"/>
      <c r="K81" s="337"/>
      <c r="L81" s="337">
        <v>342245</v>
      </c>
      <c r="M81" s="337"/>
      <c r="N81" s="337">
        <v>0</v>
      </c>
      <c r="O81" s="337"/>
      <c r="P81" s="337">
        <v>0</v>
      </c>
      <c r="Q81" s="337"/>
      <c r="R81" s="337"/>
      <c r="S81" s="337"/>
      <c r="T81" s="337"/>
      <c r="U81" s="337"/>
      <c r="V81" s="337">
        <f>SUM(N81:R81)</f>
        <v>0</v>
      </c>
      <c r="W81" s="291"/>
      <c r="X81" s="5"/>
    </row>
    <row r="82" spans="1:24" ht="15.6" x14ac:dyDescent="0.3">
      <c r="A82" s="340"/>
      <c r="B82" s="288"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91"/>
      <c r="X82" s="5"/>
    </row>
    <row r="83" spans="1:24" ht="15.6" x14ac:dyDescent="0.3">
      <c r="A83" s="340"/>
      <c r="B83" s="288" t="s">
        <v>25</v>
      </c>
      <c r="C83" s="337"/>
      <c r="D83" s="337"/>
      <c r="E83" s="337"/>
      <c r="F83" s="337"/>
      <c r="G83" s="337"/>
      <c r="H83" s="337"/>
      <c r="I83" s="337"/>
      <c r="J83" s="337"/>
      <c r="K83" s="337"/>
      <c r="L83" s="337">
        <v>0</v>
      </c>
      <c r="M83" s="337"/>
      <c r="N83" s="337">
        <v>0</v>
      </c>
      <c r="O83" s="337"/>
      <c r="P83" s="337"/>
      <c r="Q83" s="337"/>
      <c r="R83" s="337"/>
      <c r="S83" s="337"/>
      <c r="T83" s="337"/>
      <c r="U83" s="337"/>
      <c r="V83" s="337">
        <v>0</v>
      </c>
      <c r="W83" s="291"/>
      <c r="X83" s="5"/>
    </row>
    <row r="84" spans="1:24" ht="15.6" x14ac:dyDescent="0.3">
      <c r="A84" s="340"/>
      <c r="B84" s="288" t="s">
        <v>26</v>
      </c>
      <c r="C84" s="337"/>
      <c r="D84" s="337"/>
      <c r="E84" s="337"/>
      <c r="F84" s="337"/>
      <c r="G84" s="337"/>
      <c r="H84" s="337"/>
      <c r="I84" s="337"/>
      <c r="J84" s="337"/>
      <c r="K84" s="337"/>
      <c r="L84" s="337">
        <f>SUM(L71:L83)</f>
        <v>1500275</v>
      </c>
      <c r="M84" s="337"/>
      <c r="N84" s="337">
        <f>SUM(N71:N83)</f>
        <v>1059091</v>
      </c>
      <c r="O84" s="337"/>
      <c r="P84" s="337"/>
      <c r="Q84" s="337"/>
      <c r="R84" s="337"/>
      <c r="S84" s="337"/>
      <c r="T84" s="337"/>
      <c r="U84" s="337"/>
      <c r="V84" s="337">
        <f>SUM(V71:V83)</f>
        <v>1047274</v>
      </c>
      <c r="W84" s="291"/>
      <c r="X84" s="5"/>
    </row>
    <row r="85" spans="1:24" ht="15.6" x14ac:dyDescent="0.3">
      <c r="A85" s="243"/>
      <c r="B85" s="284"/>
      <c r="C85" s="339"/>
      <c r="D85" s="339"/>
      <c r="E85" s="339"/>
      <c r="F85" s="339"/>
      <c r="G85" s="339"/>
      <c r="H85" s="339"/>
      <c r="I85" s="339"/>
      <c r="J85" s="339"/>
      <c r="K85" s="339"/>
      <c r="L85" s="339"/>
      <c r="M85" s="339"/>
      <c r="N85" s="339"/>
      <c r="O85" s="339"/>
      <c r="P85" s="339"/>
      <c r="Q85" s="339"/>
      <c r="R85" s="339"/>
      <c r="S85" s="339"/>
      <c r="T85" s="339"/>
      <c r="U85" s="339"/>
      <c r="V85" s="339"/>
      <c r="W85" s="284"/>
      <c r="X85" s="5"/>
    </row>
    <row r="86" spans="1:24" ht="15.6" x14ac:dyDescent="0.3">
      <c r="A86" s="243"/>
      <c r="B86" s="224"/>
      <c r="C86" s="224"/>
      <c r="D86" s="224"/>
      <c r="E86" s="224"/>
      <c r="F86" s="224"/>
      <c r="G86" s="224"/>
      <c r="H86" s="224"/>
      <c r="I86" s="224"/>
      <c r="J86" s="224"/>
      <c r="K86" s="224"/>
      <c r="L86" s="224"/>
      <c r="M86" s="224"/>
      <c r="N86" s="224"/>
      <c r="O86" s="224"/>
      <c r="P86" s="224"/>
      <c r="Q86" s="224"/>
      <c r="R86" s="224"/>
      <c r="S86" s="224"/>
      <c r="T86" s="224"/>
      <c r="U86" s="224"/>
      <c r="V86" s="224"/>
      <c r="W86" s="224"/>
      <c r="X86" s="5"/>
    </row>
    <row r="87" spans="1:24" ht="15.6" x14ac:dyDescent="0.3">
      <c r="A87" s="262"/>
      <c r="B87" s="399" t="s">
        <v>27</v>
      </c>
      <c r="C87" s="399"/>
      <c r="D87" s="399"/>
      <c r="E87" s="399"/>
      <c r="F87" s="399"/>
      <c r="G87" s="399"/>
      <c r="H87" s="400"/>
      <c r="I87" s="400"/>
      <c r="J87" s="400"/>
      <c r="K87" s="400"/>
      <c r="L87" s="401" t="s">
        <v>95</v>
      </c>
      <c r="M87" s="400"/>
      <c r="N87" s="402">
        <f>+T205</f>
        <v>41880</v>
      </c>
      <c r="O87" s="400"/>
      <c r="P87" s="400"/>
      <c r="Q87" s="400"/>
      <c r="R87" s="400"/>
      <c r="S87" s="400"/>
      <c r="T87" s="400" t="s">
        <v>107</v>
      </c>
      <c r="U87" s="400"/>
      <c r="V87" s="400" t="s">
        <v>113</v>
      </c>
      <c r="W87" s="263"/>
      <c r="X87" s="5"/>
    </row>
    <row r="88" spans="1:24" ht="15.6" x14ac:dyDescent="0.3">
      <c r="A88" s="242"/>
      <c r="B88" s="231" t="s">
        <v>28</v>
      </c>
      <c r="C88" s="231"/>
      <c r="D88" s="231"/>
      <c r="E88" s="231"/>
      <c r="F88" s="231"/>
      <c r="G88" s="231"/>
      <c r="H88" s="231"/>
      <c r="I88" s="231"/>
      <c r="J88" s="231"/>
      <c r="K88" s="231"/>
      <c r="L88" s="231"/>
      <c r="M88" s="231"/>
      <c r="N88" s="231"/>
      <c r="O88" s="231"/>
      <c r="P88" s="231"/>
      <c r="Q88" s="231"/>
      <c r="R88" s="231"/>
      <c r="S88" s="231"/>
      <c r="T88" s="234">
        <v>0</v>
      </c>
      <c r="U88" s="231"/>
      <c r="V88" s="241">
        <v>0</v>
      </c>
      <c r="W88" s="231"/>
      <c r="X88" s="5"/>
    </row>
    <row r="89" spans="1:24" ht="15.6" x14ac:dyDescent="0.3">
      <c r="A89" s="340"/>
      <c r="B89" s="288" t="s">
        <v>29</v>
      </c>
      <c r="C89" s="288"/>
      <c r="D89" s="288"/>
      <c r="E89" s="288"/>
      <c r="F89" s="288"/>
      <c r="G89" s="288"/>
      <c r="H89" s="325"/>
      <c r="I89" s="325"/>
      <c r="J89" s="325"/>
      <c r="K89" s="341"/>
      <c r="L89" s="325"/>
      <c r="M89" s="288"/>
      <c r="N89" s="342"/>
      <c r="O89" s="288"/>
      <c r="P89" s="288"/>
      <c r="Q89" s="288"/>
      <c r="R89" s="288"/>
      <c r="S89" s="288"/>
      <c r="T89" s="337">
        <f>11920-96</f>
        <v>11824</v>
      </c>
      <c r="U89" s="288"/>
      <c r="V89" s="338"/>
      <c r="W89" s="291"/>
      <c r="X89" s="5"/>
    </row>
    <row r="90" spans="1:24" ht="15.6" x14ac:dyDescent="0.3">
      <c r="A90" s="340"/>
      <c r="B90" s="288" t="s">
        <v>216</v>
      </c>
      <c r="C90" s="288"/>
      <c r="D90" s="288"/>
      <c r="E90" s="288"/>
      <c r="F90" s="288"/>
      <c r="G90" s="288"/>
      <c r="H90" s="325"/>
      <c r="I90" s="325"/>
      <c r="J90" s="325"/>
      <c r="K90" s="341"/>
      <c r="L90" s="325"/>
      <c r="M90" s="288"/>
      <c r="N90" s="342"/>
      <c r="O90" s="288"/>
      <c r="P90" s="288"/>
      <c r="Q90" s="288"/>
      <c r="R90" s="288"/>
      <c r="S90" s="288"/>
      <c r="T90" s="337"/>
      <c r="U90" s="288"/>
      <c r="V90" s="338">
        <f>3558+4211-582-860</f>
        <v>6327</v>
      </c>
      <c r="W90" s="291"/>
      <c r="X90" s="5"/>
    </row>
    <row r="91" spans="1:24" ht="15.6" x14ac:dyDescent="0.3">
      <c r="A91" s="340"/>
      <c r="B91" s="288" t="s">
        <v>211</v>
      </c>
      <c r="C91" s="288"/>
      <c r="D91" s="288"/>
      <c r="E91" s="288"/>
      <c r="F91" s="288"/>
      <c r="G91" s="288"/>
      <c r="H91" s="325"/>
      <c r="I91" s="325"/>
      <c r="J91" s="325"/>
      <c r="K91" s="341"/>
      <c r="L91" s="325"/>
      <c r="M91" s="288"/>
      <c r="N91" s="342"/>
      <c r="O91" s="288"/>
      <c r="P91" s="288"/>
      <c r="Q91" s="288"/>
      <c r="R91" s="288"/>
      <c r="S91" s="288"/>
      <c r="T91" s="337"/>
      <c r="U91" s="288"/>
      <c r="V91" s="338">
        <f>18+93</f>
        <v>111</v>
      </c>
      <c r="W91" s="291"/>
      <c r="X91" s="5"/>
    </row>
    <row r="92" spans="1:24" ht="15.6" x14ac:dyDescent="0.3">
      <c r="A92" s="340"/>
      <c r="B92" s="288" t="s">
        <v>212</v>
      </c>
      <c r="C92" s="288"/>
      <c r="D92" s="288"/>
      <c r="E92" s="288"/>
      <c r="F92" s="288"/>
      <c r="G92" s="288"/>
      <c r="H92" s="325"/>
      <c r="I92" s="325"/>
      <c r="J92" s="325"/>
      <c r="K92" s="341"/>
      <c r="L92" s="325"/>
      <c r="M92" s="288"/>
      <c r="N92" s="342"/>
      <c r="O92" s="288"/>
      <c r="P92" s="288"/>
      <c r="Q92" s="288"/>
      <c r="R92" s="288"/>
      <c r="S92" s="288"/>
      <c r="T92" s="337"/>
      <c r="U92" s="288"/>
      <c r="V92" s="338">
        <v>40</v>
      </c>
      <c r="W92" s="291"/>
      <c r="X92" s="5"/>
    </row>
    <row r="93" spans="1:24" ht="15.6" x14ac:dyDescent="0.3">
      <c r="A93" s="340"/>
      <c r="B93" s="288" t="s">
        <v>272</v>
      </c>
      <c r="C93" s="288"/>
      <c r="D93" s="288"/>
      <c r="E93" s="288"/>
      <c r="F93" s="288"/>
      <c r="G93" s="288"/>
      <c r="H93" s="325"/>
      <c r="I93" s="325"/>
      <c r="J93" s="325"/>
      <c r="K93" s="341"/>
      <c r="L93" s="325"/>
      <c r="M93" s="288"/>
      <c r="N93" s="342"/>
      <c r="O93" s="288"/>
      <c r="P93" s="288"/>
      <c r="Q93" s="288"/>
      <c r="R93" s="288"/>
      <c r="S93" s="288"/>
      <c r="T93" s="337"/>
      <c r="U93" s="288"/>
      <c r="V93" s="338">
        <v>0</v>
      </c>
      <c r="W93" s="291"/>
      <c r="X93" s="5"/>
    </row>
    <row r="94" spans="1:24" ht="15.6" x14ac:dyDescent="0.3">
      <c r="A94" s="340"/>
      <c r="B94" s="288" t="s">
        <v>274</v>
      </c>
      <c r="C94" s="288"/>
      <c r="D94" s="288"/>
      <c r="E94" s="288"/>
      <c r="F94" s="288"/>
      <c r="G94" s="288"/>
      <c r="H94" s="325"/>
      <c r="I94" s="325"/>
      <c r="J94" s="325"/>
      <c r="K94" s="341"/>
      <c r="L94" s="325"/>
      <c r="M94" s="288"/>
      <c r="N94" s="342"/>
      <c r="O94" s="288"/>
      <c r="P94" s="288"/>
      <c r="Q94" s="288"/>
      <c r="R94" s="288"/>
      <c r="S94" s="288"/>
      <c r="T94" s="337"/>
      <c r="U94" s="288"/>
      <c r="V94" s="338">
        <v>0</v>
      </c>
      <c r="W94" s="291"/>
      <c r="X94" s="5"/>
    </row>
    <row r="95" spans="1:24" ht="15.6" x14ac:dyDescent="0.3">
      <c r="A95" s="340"/>
      <c r="B95" s="288" t="s">
        <v>135</v>
      </c>
      <c r="C95" s="288"/>
      <c r="D95" s="288"/>
      <c r="E95" s="288"/>
      <c r="F95" s="288"/>
      <c r="G95" s="288"/>
      <c r="H95" s="288"/>
      <c r="I95" s="288"/>
      <c r="J95" s="288"/>
      <c r="K95" s="288"/>
      <c r="L95" s="288"/>
      <c r="M95" s="288"/>
      <c r="N95" s="288"/>
      <c r="O95" s="288"/>
      <c r="P95" s="288"/>
      <c r="Q95" s="288"/>
      <c r="R95" s="288"/>
      <c r="S95" s="288"/>
      <c r="T95" s="337"/>
      <c r="U95" s="288"/>
      <c r="V95" s="338">
        <v>0</v>
      </c>
      <c r="W95" s="291"/>
      <c r="X95" s="5"/>
    </row>
    <row r="96" spans="1:24" ht="15.6" x14ac:dyDescent="0.3">
      <c r="A96" s="340"/>
      <c r="B96" s="288" t="s">
        <v>268</v>
      </c>
      <c r="C96" s="288"/>
      <c r="D96" s="288"/>
      <c r="E96" s="288"/>
      <c r="F96" s="288"/>
      <c r="G96" s="288"/>
      <c r="H96" s="288"/>
      <c r="I96" s="288"/>
      <c r="J96" s="288"/>
      <c r="K96" s="288"/>
      <c r="L96" s="288"/>
      <c r="M96" s="288"/>
      <c r="N96" s="288"/>
      <c r="O96" s="288"/>
      <c r="P96" s="288"/>
      <c r="Q96" s="288"/>
      <c r="R96" s="288"/>
      <c r="S96" s="288"/>
      <c r="T96" s="337"/>
      <c r="U96" s="288"/>
      <c r="V96" s="338">
        <v>368</v>
      </c>
      <c r="W96" s="291"/>
      <c r="X96" s="5"/>
    </row>
    <row r="97" spans="1:25" ht="15.6" x14ac:dyDescent="0.3">
      <c r="A97" s="340"/>
      <c r="B97" s="288" t="s">
        <v>30</v>
      </c>
      <c r="C97" s="288"/>
      <c r="D97" s="288"/>
      <c r="E97" s="288"/>
      <c r="F97" s="288"/>
      <c r="G97" s="288"/>
      <c r="H97" s="288"/>
      <c r="I97" s="288"/>
      <c r="J97" s="288"/>
      <c r="K97" s="288"/>
      <c r="L97" s="288"/>
      <c r="M97" s="288"/>
      <c r="N97" s="288"/>
      <c r="O97" s="288"/>
      <c r="P97" s="288"/>
      <c r="Q97" s="288"/>
      <c r="R97" s="288"/>
      <c r="S97" s="288"/>
      <c r="T97" s="337">
        <f>SUM(T88:T96)</f>
        <v>11824</v>
      </c>
      <c r="U97" s="288"/>
      <c r="V97" s="337">
        <f>SUM(V88:V96)</f>
        <v>6846</v>
      </c>
      <c r="W97" s="291"/>
      <c r="X97" s="5"/>
    </row>
    <row r="98" spans="1:25" ht="15.6" x14ac:dyDescent="0.3">
      <c r="A98" s="340"/>
      <c r="B98" s="288" t="s">
        <v>161</v>
      </c>
      <c r="C98" s="288"/>
      <c r="D98" s="288"/>
      <c r="E98" s="288"/>
      <c r="F98" s="288"/>
      <c r="G98" s="288"/>
      <c r="H98" s="288"/>
      <c r="I98" s="288"/>
      <c r="J98" s="288"/>
      <c r="K98" s="288"/>
      <c r="L98" s="288"/>
      <c r="M98" s="288"/>
      <c r="N98" s="288"/>
      <c r="O98" s="288"/>
      <c r="P98" s="288"/>
      <c r="Q98" s="288"/>
      <c r="R98" s="288"/>
      <c r="S98" s="288"/>
      <c r="T98" s="337">
        <f>-V98</f>
        <v>0</v>
      </c>
      <c r="U98" s="288"/>
      <c r="V98" s="337">
        <v>0</v>
      </c>
      <c r="W98" s="291"/>
      <c r="X98" s="5"/>
    </row>
    <row r="99" spans="1:25" ht="15.6" x14ac:dyDescent="0.3">
      <c r="A99" s="340"/>
      <c r="B99" s="288" t="s">
        <v>31</v>
      </c>
      <c r="C99" s="288"/>
      <c r="D99" s="288"/>
      <c r="E99" s="288"/>
      <c r="F99" s="288"/>
      <c r="G99" s="288"/>
      <c r="H99" s="288"/>
      <c r="I99" s="288"/>
      <c r="J99" s="288"/>
      <c r="K99" s="288"/>
      <c r="L99" s="288"/>
      <c r="M99" s="288"/>
      <c r="N99" s="288"/>
      <c r="O99" s="288"/>
      <c r="P99" s="288"/>
      <c r="Q99" s="288"/>
      <c r="R99" s="288"/>
      <c r="S99" s="288"/>
      <c r="T99" s="337">
        <f>-V99</f>
        <v>0</v>
      </c>
      <c r="U99" s="288"/>
      <c r="V99" s="338">
        <v>0</v>
      </c>
      <c r="W99" s="291"/>
      <c r="X99" s="5"/>
    </row>
    <row r="100" spans="1:25" ht="15.6" x14ac:dyDescent="0.3">
      <c r="A100" s="340"/>
      <c r="B100" s="288" t="s">
        <v>283</v>
      </c>
      <c r="C100" s="288"/>
      <c r="D100" s="288"/>
      <c r="E100" s="288"/>
      <c r="F100" s="288"/>
      <c r="G100" s="288"/>
      <c r="H100" s="288"/>
      <c r="I100" s="288"/>
      <c r="J100" s="288"/>
      <c r="K100" s="288"/>
      <c r="L100" s="288"/>
      <c r="M100" s="288"/>
      <c r="N100" s="288"/>
      <c r="O100" s="288"/>
      <c r="P100" s="288"/>
      <c r="Q100" s="288"/>
      <c r="R100" s="288"/>
      <c r="S100" s="288"/>
      <c r="T100" s="337"/>
      <c r="U100" s="288"/>
      <c r="V100" s="338">
        <v>-55</v>
      </c>
      <c r="W100" s="291"/>
      <c r="X100" s="5"/>
    </row>
    <row r="101" spans="1:25" ht="15.6" x14ac:dyDescent="0.3">
      <c r="A101" s="340"/>
      <c r="B101" s="288" t="s">
        <v>32</v>
      </c>
      <c r="C101" s="288"/>
      <c r="D101" s="288"/>
      <c r="E101" s="288"/>
      <c r="F101" s="288"/>
      <c r="G101" s="288"/>
      <c r="H101" s="288"/>
      <c r="I101" s="288"/>
      <c r="J101" s="288"/>
      <c r="K101" s="288"/>
      <c r="L101" s="288"/>
      <c r="M101" s="288"/>
      <c r="N101" s="288"/>
      <c r="O101" s="288"/>
      <c r="P101" s="288"/>
      <c r="Q101" s="288"/>
      <c r="R101" s="288"/>
      <c r="S101" s="288"/>
      <c r="T101" s="337">
        <f>T97+T99+T98</f>
        <v>11824</v>
      </c>
      <c r="U101" s="288"/>
      <c r="V101" s="337">
        <f>V97+V99+V98+V100</f>
        <v>6791</v>
      </c>
      <c r="W101" s="291"/>
      <c r="X101" s="5"/>
    </row>
    <row r="102" spans="1:25" ht="15.6" x14ac:dyDescent="0.3">
      <c r="A102" s="287"/>
      <c r="B102" s="343" t="s">
        <v>33</v>
      </c>
      <c r="C102" s="314"/>
      <c r="D102" s="314"/>
      <c r="E102" s="314"/>
      <c r="F102" s="314"/>
      <c r="G102" s="314"/>
      <c r="H102" s="314"/>
      <c r="I102" s="314"/>
      <c r="J102" s="314"/>
      <c r="K102" s="314"/>
      <c r="L102" s="314"/>
      <c r="M102" s="314"/>
      <c r="N102" s="314"/>
      <c r="O102" s="314"/>
      <c r="P102" s="314"/>
      <c r="Q102" s="314"/>
      <c r="R102" s="314"/>
      <c r="S102" s="314"/>
      <c r="T102" s="344"/>
      <c r="U102" s="314"/>
      <c r="V102" s="345"/>
      <c r="W102" s="318"/>
      <c r="X102" s="5"/>
    </row>
    <row r="103" spans="1:25" ht="15.6" x14ac:dyDescent="0.3">
      <c r="A103" s="340">
        <v>1</v>
      </c>
      <c r="B103" s="288" t="s">
        <v>34</v>
      </c>
      <c r="C103" s="288"/>
      <c r="D103" s="288"/>
      <c r="E103" s="288"/>
      <c r="F103" s="288"/>
      <c r="G103" s="288"/>
      <c r="H103" s="288"/>
      <c r="I103" s="288"/>
      <c r="J103" s="288"/>
      <c r="K103" s="288"/>
      <c r="L103" s="288"/>
      <c r="M103" s="288"/>
      <c r="N103" s="288"/>
      <c r="O103" s="288"/>
      <c r="P103" s="288"/>
      <c r="Q103" s="288"/>
      <c r="R103" s="288"/>
      <c r="S103" s="288"/>
      <c r="T103" s="288"/>
      <c r="U103" s="288"/>
      <c r="V103" s="338">
        <v>0</v>
      </c>
      <c r="W103" s="291"/>
      <c r="X103" s="5"/>
    </row>
    <row r="104" spans="1:25" ht="15.6" x14ac:dyDescent="0.3">
      <c r="A104" s="340">
        <f>+A103+1</f>
        <v>2</v>
      </c>
      <c r="B104" s="288" t="s">
        <v>330</v>
      </c>
      <c r="C104" s="288"/>
      <c r="D104" s="288"/>
      <c r="E104" s="288"/>
      <c r="F104" s="288"/>
      <c r="G104" s="288"/>
      <c r="H104" s="288"/>
      <c r="I104" s="288"/>
      <c r="J104" s="288"/>
      <c r="K104" s="288"/>
      <c r="L104" s="288"/>
      <c r="M104" s="288"/>
      <c r="N104" s="288"/>
      <c r="O104" s="288"/>
      <c r="P104" s="288"/>
      <c r="Q104" s="288"/>
      <c r="R104" s="288"/>
      <c r="S104" s="288"/>
      <c r="T104" s="288"/>
      <c r="U104" s="288"/>
      <c r="V104" s="338">
        <v>-2</v>
      </c>
      <c r="W104" s="291"/>
      <c r="X104" s="5"/>
    </row>
    <row r="105" spans="1:25" ht="15.6" x14ac:dyDescent="0.3">
      <c r="A105" s="340">
        <f>+A104+1</f>
        <v>3</v>
      </c>
      <c r="B105" s="288" t="s">
        <v>331</v>
      </c>
      <c r="C105" s="288"/>
      <c r="D105" s="288"/>
      <c r="E105" s="288"/>
      <c r="F105" s="288"/>
      <c r="G105" s="288"/>
      <c r="H105" s="288"/>
      <c r="I105" s="288"/>
      <c r="J105" s="288"/>
      <c r="K105" s="288"/>
      <c r="L105" s="288"/>
      <c r="M105" s="288"/>
      <c r="N105" s="288"/>
      <c r="O105" s="288"/>
      <c r="P105" s="288"/>
      <c r="Q105" s="288"/>
      <c r="R105" s="288"/>
      <c r="S105" s="288"/>
      <c r="T105" s="288"/>
      <c r="U105" s="288"/>
      <c r="V105" s="338">
        <f>-135-181-13</f>
        <v>-329</v>
      </c>
      <c r="W105" s="291"/>
      <c r="X105" s="5"/>
    </row>
    <row r="106" spans="1:25" ht="15.6" x14ac:dyDescent="0.3">
      <c r="A106" s="340" t="s">
        <v>127</v>
      </c>
      <c r="B106" s="288" t="s">
        <v>116</v>
      </c>
      <c r="C106" s="288"/>
      <c r="D106" s="288"/>
      <c r="E106" s="288"/>
      <c r="F106" s="288"/>
      <c r="G106" s="288"/>
      <c r="H106" s="288"/>
      <c r="I106" s="288"/>
      <c r="J106" s="288"/>
      <c r="K106" s="288"/>
      <c r="L106" s="288"/>
      <c r="M106" s="288"/>
      <c r="N106" s="288"/>
      <c r="O106" s="288"/>
      <c r="P106" s="288"/>
      <c r="Q106" s="288"/>
      <c r="R106" s="288"/>
      <c r="S106" s="288"/>
      <c r="T106" s="288"/>
      <c r="U106" s="288"/>
      <c r="V106" s="338">
        <v>0</v>
      </c>
      <c r="W106" s="291"/>
      <c r="X106" s="5"/>
    </row>
    <row r="107" spans="1:25" ht="15.6" x14ac:dyDescent="0.3">
      <c r="A107" s="340" t="s">
        <v>128</v>
      </c>
      <c r="B107" s="288" t="s">
        <v>222</v>
      </c>
      <c r="C107" s="288"/>
      <c r="D107" s="288"/>
      <c r="E107" s="288"/>
      <c r="F107" s="288"/>
      <c r="G107" s="288"/>
      <c r="H107" s="288"/>
      <c r="I107" s="288"/>
      <c r="J107" s="288"/>
      <c r="K107" s="288"/>
      <c r="L107" s="288"/>
      <c r="M107" s="288"/>
      <c r="N107" s="288"/>
      <c r="O107" s="288"/>
      <c r="P107" s="288"/>
      <c r="Q107" s="288"/>
      <c r="R107" s="288"/>
      <c r="S107" s="288"/>
      <c r="T107" s="288"/>
      <c r="U107" s="288"/>
      <c r="V107" s="338">
        <f>-1656+154</f>
        <v>-1502</v>
      </c>
      <c r="W107" s="291"/>
      <c r="X107" s="5"/>
      <c r="Y107" s="109"/>
    </row>
    <row r="108" spans="1:25" ht="15.6" x14ac:dyDescent="0.3">
      <c r="A108" s="340" t="s">
        <v>150</v>
      </c>
      <c r="B108" s="288" t="s">
        <v>184</v>
      </c>
      <c r="C108" s="288"/>
      <c r="D108" s="288"/>
      <c r="E108" s="288"/>
      <c r="F108" s="288"/>
      <c r="G108" s="288"/>
      <c r="H108" s="288"/>
      <c r="I108" s="288"/>
      <c r="J108" s="288"/>
      <c r="K108" s="288"/>
      <c r="L108" s="288"/>
      <c r="M108" s="288"/>
      <c r="N108" s="288"/>
      <c r="O108" s="288"/>
      <c r="P108" s="288"/>
      <c r="Q108" s="288"/>
      <c r="R108" s="288"/>
      <c r="S108" s="288"/>
      <c r="T108" s="288"/>
      <c r="U108" s="288"/>
      <c r="V108" s="338">
        <v>-154</v>
      </c>
      <c r="W108" s="291"/>
      <c r="X108" s="5"/>
      <c r="Y108" s="109"/>
    </row>
    <row r="109" spans="1:25" ht="15.6" x14ac:dyDescent="0.3">
      <c r="A109" s="340" t="s">
        <v>236</v>
      </c>
      <c r="B109" s="288" t="s">
        <v>238</v>
      </c>
      <c r="C109" s="288"/>
      <c r="D109" s="288"/>
      <c r="E109" s="288"/>
      <c r="F109" s="288"/>
      <c r="G109" s="288"/>
      <c r="H109" s="288"/>
      <c r="I109" s="288"/>
      <c r="J109" s="288"/>
      <c r="K109" s="288"/>
      <c r="L109" s="288"/>
      <c r="M109" s="288"/>
      <c r="N109" s="288"/>
      <c r="O109" s="288"/>
      <c r="P109" s="288"/>
      <c r="Q109" s="288"/>
      <c r="R109" s="288"/>
      <c r="S109" s="288"/>
      <c r="T109" s="288"/>
      <c r="U109" s="288"/>
      <c r="V109" s="338">
        <v>0</v>
      </c>
      <c r="W109" s="291"/>
      <c r="X109" s="5"/>
    </row>
    <row r="110" spans="1:25" ht="15.6" x14ac:dyDescent="0.3">
      <c r="A110" s="340" t="s">
        <v>205</v>
      </c>
      <c r="B110" s="288" t="s">
        <v>185</v>
      </c>
      <c r="C110" s="288"/>
      <c r="D110" s="288"/>
      <c r="E110" s="288"/>
      <c r="F110" s="288"/>
      <c r="G110" s="288"/>
      <c r="H110" s="288"/>
      <c r="I110" s="288"/>
      <c r="J110" s="288"/>
      <c r="K110" s="288"/>
      <c r="L110" s="288"/>
      <c r="M110" s="288"/>
      <c r="N110" s="288"/>
      <c r="O110" s="288"/>
      <c r="P110" s="288"/>
      <c r="Q110" s="288"/>
      <c r="R110" s="288"/>
      <c r="S110" s="288"/>
      <c r="T110" s="288"/>
      <c r="U110" s="288"/>
      <c r="V110" s="338">
        <v>-148</v>
      </c>
      <c r="W110" s="291"/>
      <c r="X110" s="5"/>
      <c r="Y110" s="109"/>
    </row>
    <row r="111" spans="1:25" ht="15.6" x14ac:dyDescent="0.3">
      <c r="A111" s="340" t="s">
        <v>206</v>
      </c>
      <c r="B111" s="288" t="s">
        <v>186</v>
      </c>
      <c r="C111" s="288"/>
      <c r="D111" s="288"/>
      <c r="E111" s="288"/>
      <c r="F111" s="288"/>
      <c r="G111" s="288"/>
      <c r="H111" s="288"/>
      <c r="I111" s="288"/>
      <c r="J111" s="288"/>
      <c r="K111" s="288"/>
      <c r="L111" s="288"/>
      <c r="M111" s="288"/>
      <c r="N111" s="288"/>
      <c r="O111" s="288"/>
      <c r="P111" s="288"/>
      <c r="Q111" s="288"/>
      <c r="R111" s="288"/>
      <c r="S111" s="288"/>
      <c r="T111" s="288"/>
      <c r="U111" s="288"/>
      <c r="V111" s="338">
        <v>-119</v>
      </c>
      <c r="W111" s="291"/>
      <c r="X111" s="179"/>
      <c r="Y111" s="109"/>
    </row>
    <row r="112" spans="1:25" ht="15.6" x14ac:dyDescent="0.3">
      <c r="A112" s="340" t="s">
        <v>207</v>
      </c>
      <c r="B112" s="288" t="s">
        <v>196</v>
      </c>
      <c r="C112" s="288"/>
      <c r="D112" s="288"/>
      <c r="E112" s="288"/>
      <c r="F112" s="288"/>
      <c r="G112" s="288"/>
      <c r="H112" s="288"/>
      <c r="I112" s="288"/>
      <c r="J112" s="288"/>
      <c r="K112" s="288"/>
      <c r="L112" s="288"/>
      <c r="M112" s="288"/>
      <c r="N112" s="288"/>
      <c r="O112" s="288"/>
      <c r="P112" s="288"/>
      <c r="Q112" s="288"/>
      <c r="R112" s="288"/>
      <c r="S112" s="288"/>
      <c r="T112" s="288"/>
      <c r="U112" s="288"/>
      <c r="V112" s="338">
        <v>-329</v>
      </c>
      <c r="W112" s="291"/>
      <c r="X112" s="5"/>
      <c r="Y112" s="109"/>
    </row>
    <row r="113" spans="1:25" ht="15.6" x14ac:dyDescent="0.3">
      <c r="A113" s="340" t="s">
        <v>224</v>
      </c>
      <c r="B113" s="288" t="s">
        <v>223</v>
      </c>
      <c r="C113" s="288"/>
      <c r="D113" s="288"/>
      <c r="E113" s="288"/>
      <c r="F113" s="288"/>
      <c r="G113" s="288"/>
      <c r="H113" s="288"/>
      <c r="I113" s="288"/>
      <c r="J113" s="288"/>
      <c r="K113" s="288"/>
      <c r="L113" s="288"/>
      <c r="M113" s="288"/>
      <c r="N113" s="288"/>
      <c r="O113" s="288"/>
      <c r="P113" s="288"/>
      <c r="Q113" s="288"/>
      <c r="R113" s="288"/>
      <c r="S113" s="288"/>
      <c r="T113" s="288"/>
      <c r="U113" s="288"/>
      <c r="V113" s="338">
        <v>-66</v>
      </c>
      <c r="W113" s="291"/>
      <c r="X113" s="5"/>
      <c r="Y113" s="109"/>
    </row>
    <row r="114" spans="1:25" ht="15.6" x14ac:dyDescent="0.3">
      <c r="A114" s="340">
        <v>7</v>
      </c>
      <c r="B114" s="288" t="s">
        <v>35</v>
      </c>
      <c r="C114" s="288"/>
      <c r="D114" s="288"/>
      <c r="E114" s="288"/>
      <c r="F114" s="288"/>
      <c r="G114" s="288"/>
      <c r="H114" s="288"/>
      <c r="I114" s="288"/>
      <c r="J114" s="288"/>
      <c r="K114" s="288"/>
      <c r="L114" s="288"/>
      <c r="M114" s="288"/>
      <c r="N114" s="288"/>
      <c r="O114" s="288"/>
      <c r="P114" s="288"/>
      <c r="Q114" s="288"/>
      <c r="R114" s="288"/>
      <c r="S114" s="288"/>
      <c r="T114" s="288"/>
      <c r="U114" s="288"/>
      <c r="V114" s="338">
        <v>-8</v>
      </c>
      <c r="W114" s="291"/>
      <c r="X114" s="5"/>
    </row>
    <row r="115" spans="1:25" ht="15.6" x14ac:dyDescent="0.3">
      <c r="A115" s="340">
        <f t="shared" ref="A115:A121" si="0">+A114+1</f>
        <v>8</v>
      </c>
      <c r="B115" s="288" t="s">
        <v>45</v>
      </c>
      <c r="C115" s="288"/>
      <c r="D115" s="288"/>
      <c r="E115" s="288"/>
      <c r="F115" s="288"/>
      <c r="G115" s="288"/>
      <c r="H115" s="288"/>
      <c r="I115" s="288"/>
      <c r="J115" s="288"/>
      <c r="K115" s="288"/>
      <c r="L115" s="288"/>
      <c r="M115" s="288"/>
      <c r="N115" s="288"/>
      <c r="O115" s="288"/>
      <c r="P115" s="288"/>
      <c r="Q115" s="288"/>
      <c r="R115" s="288"/>
      <c r="S115" s="288"/>
      <c r="T115" s="337">
        <f>-V115</f>
        <v>96</v>
      </c>
      <c r="U115" s="288"/>
      <c r="V115" s="338">
        <v>-96</v>
      </c>
      <c r="W115" s="291"/>
      <c r="X115" s="5"/>
    </row>
    <row r="116" spans="1:25" ht="15.6" x14ac:dyDescent="0.3">
      <c r="A116" s="340">
        <f t="shared" si="0"/>
        <v>9</v>
      </c>
      <c r="B116" s="288" t="s">
        <v>125</v>
      </c>
      <c r="C116" s="288"/>
      <c r="D116" s="288"/>
      <c r="E116" s="288"/>
      <c r="F116" s="288"/>
      <c r="G116" s="288"/>
      <c r="H116" s="288"/>
      <c r="I116" s="288"/>
      <c r="J116" s="288"/>
      <c r="K116" s="288"/>
      <c r="L116" s="288"/>
      <c r="M116" s="288"/>
      <c r="N116" s="288"/>
      <c r="O116" s="288"/>
      <c r="P116" s="288"/>
      <c r="Q116" s="288"/>
      <c r="R116" s="288"/>
      <c r="S116" s="288"/>
      <c r="T116" s="288"/>
      <c r="U116" s="288"/>
      <c r="V116" s="338">
        <v>0</v>
      </c>
      <c r="W116" s="291"/>
      <c r="X116" s="5"/>
    </row>
    <row r="117" spans="1:25" ht="15.6" x14ac:dyDescent="0.3">
      <c r="A117" s="340">
        <f t="shared" si="0"/>
        <v>10</v>
      </c>
      <c r="B117" s="288" t="s">
        <v>240</v>
      </c>
      <c r="C117" s="288"/>
      <c r="D117" s="288"/>
      <c r="E117" s="288"/>
      <c r="F117" s="288"/>
      <c r="G117" s="288"/>
      <c r="H117" s="288"/>
      <c r="I117" s="288"/>
      <c r="J117" s="288"/>
      <c r="K117" s="288"/>
      <c r="L117" s="288"/>
      <c r="M117" s="288"/>
      <c r="N117" s="288"/>
      <c r="O117" s="288"/>
      <c r="P117" s="288"/>
      <c r="Q117" s="288"/>
      <c r="R117" s="288"/>
      <c r="S117" s="288"/>
      <c r="T117" s="288"/>
      <c r="U117" s="288"/>
      <c r="V117" s="338">
        <v>0</v>
      </c>
      <c r="W117" s="291"/>
      <c r="X117" s="5"/>
    </row>
    <row r="118" spans="1:25" ht="15.6" x14ac:dyDescent="0.3">
      <c r="A118" s="340">
        <f t="shared" si="0"/>
        <v>11</v>
      </c>
      <c r="B118" s="288" t="s">
        <v>36</v>
      </c>
      <c r="C118" s="288"/>
      <c r="D118" s="288"/>
      <c r="E118" s="288"/>
      <c r="F118" s="288"/>
      <c r="G118" s="288"/>
      <c r="H118" s="288"/>
      <c r="I118" s="288"/>
      <c r="J118" s="288"/>
      <c r="K118" s="288"/>
      <c r="L118" s="288"/>
      <c r="M118" s="288"/>
      <c r="N118" s="288"/>
      <c r="O118" s="288"/>
      <c r="P118" s="288"/>
      <c r="Q118" s="288"/>
      <c r="R118" s="288"/>
      <c r="S118" s="288"/>
      <c r="T118" s="288"/>
      <c r="U118" s="288"/>
      <c r="V118" s="338">
        <v>0</v>
      </c>
      <c r="W118" s="291"/>
      <c r="X118" s="5"/>
    </row>
    <row r="119" spans="1:25" ht="15.6" x14ac:dyDescent="0.3">
      <c r="A119" s="340">
        <f t="shared" si="0"/>
        <v>12</v>
      </c>
      <c r="B119" s="288" t="s">
        <v>239</v>
      </c>
      <c r="C119" s="288"/>
      <c r="D119" s="288"/>
      <c r="E119" s="288"/>
      <c r="F119" s="288"/>
      <c r="G119" s="288"/>
      <c r="H119" s="288"/>
      <c r="I119" s="288"/>
      <c r="J119" s="288"/>
      <c r="K119" s="288"/>
      <c r="L119" s="288"/>
      <c r="M119" s="288"/>
      <c r="N119" s="288"/>
      <c r="O119" s="288"/>
      <c r="P119" s="288"/>
      <c r="Q119" s="288"/>
      <c r="R119" s="288"/>
      <c r="S119" s="288"/>
      <c r="T119" s="288"/>
      <c r="U119" s="288"/>
      <c r="V119" s="338">
        <v>0</v>
      </c>
      <c r="W119" s="291"/>
      <c r="X119" s="5"/>
    </row>
    <row r="120" spans="1:25" ht="15.6" x14ac:dyDescent="0.3">
      <c r="A120" s="340">
        <f t="shared" si="0"/>
        <v>13</v>
      </c>
      <c r="B120" s="288" t="s">
        <v>149</v>
      </c>
      <c r="C120" s="288"/>
      <c r="D120" s="288"/>
      <c r="E120" s="288"/>
      <c r="F120" s="288"/>
      <c r="G120" s="288"/>
      <c r="H120" s="288"/>
      <c r="I120" s="288"/>
      <c r="J120" s="288"/>
      <c r="K120" s="288"/>
      <c r="L120" s="288"/>
      <c r="M120" s="288"/>
      <c r="N120" s="288"/>
      <c r="O120" s="288"/>
      <c r="P120" s="288"/>
      <c r="Q120" s="288"/>
      <c r="R120" s="288"/>
      <c r="S120" s="288"/>
      <c r="T120" s="288"/>
      <c r="U120" s="288"/>
      <c r="V120" s="338">
        <v>-672</v>
      </c>
      <c r="W120" s="291"/>
      <c r="X120" s="5"/>
    </row>
    <row r="121" spans="1:25" ht="15.6" x14ac:dyDescent="0.3">
      <c r="A121" s="340">
        <f t="shared" si="0"/>
        <v>14</v>
      </c>
      <c r="B121" s="288" t="s">
        <v>126</v>
      </c>
      <c r="C121" s="288"/>
      <c r="D121" s="288"/>
      <c r="E121" s="288"/>
      <c r="F121" s="288"/>
      <c r="G121" s="288"/>
      <c r="H121" s="288"/>
      <c r="I121" s="288"/>
      <c r="J121" s="288"/>
      <c r="K121" s="288"/>
      <c r="L121" s="288"/>
      <c r="M121" s="288"/>
      <c r="N121" s="288"/>
      <c r="O121" s="288"/>
      <c r="P121" s="288"/>
      <c r="Q121" s="288"/>
      <c r="R121" s="288"/>
      <c r="S121" s="288"/>
      <c r="T121" s="288"/>
      <c r="U121" s="288"/>
      <c r="V121" s="338">
        <f>-V101-SUM(V103:V120)</f>
        <v>-3366</v>
      </c>
      <c r="W121" s="291"/>
      <c r="X121" s="5"/>
    </row>
    <row r="122" spans="1:25" ht="15.6" x14ac:dyDescent="0.3">
      <c r="A122" s="287"/>
      <c r="B122" s="343" t="s">
        <v>37</v>
      </c>
      <c r="C122" s="314"/>
      <c r="D122" s="314"/>
      <c r="E122" s="314"/>
      <c r="F122" s="314"/>
      <c r="G122" s="314"/>
      <c r="H122" s="314"/>
      <c r="I122" s="314"/>
      <c r="J122" s="314"/>
      <c r="K122" s="314"/>
      <c r="L122" s="314"/>
      <c r="M122" s="314"/>
      <c r="N122" s="314"/>
      <c r="O122" s="314"/>
      <c r="P122" s="314"/>
      <c r="Q122" s="314"/>
      <c r="R122" s="314"/>
      <c r="S122" s="314"/>
      <c r="T122" s="314"/>
      <c r="U122" s="314"/>
      <c r="V122" s="346"/>
      <c r="W122" s="318"/>
      <c r="X122" s="5"/>
    </row>
    <row r="123" spans="1:25" ht="15.6" x14ac:dyDescent="0.3">
      <c r="A123" s="340"/>
      <c r="B123" s="288" t="s">
        <v>173</v>
      </c>
      <c r="C123" s="288"/>
      <c r="D123" s="288"/>
      <c r="E123" s="288"/>
      <c r="F123" s="288"/>
      <c r="G123" s="288"/>
      <c r="H123" s="288"/>
      <c r="I123" s="288"/>
      <c r="J123" s="288"/>
      <c r="K123" s="288"/>
      <c r="L123" s="288"/>
      <c r="M123" s="288"/>
      <c r="N123" s="288"/>
      <c r="O123" s="288"/>
      <c r="P123" s="288"/>
      <c r="Q123" s="288"/>
      <c r="R123" s="288"/>
      <c r="S123" s="288"/>
      <c r="T123" s="337">
        <f>-T189</f>
        <v>0</v>
      </c>
      <c r="U123" s="337"/>
      <c r="V123" s="338"/>
      <c r="W123" s="291"/>
      <c r="X123" s="5"/>
    </row>
    <row r="124" spans="1:25" ht="15.6" x14ac:dyDescent="0.3">
      <c r="A124" s="340"/>
      <c r="B124" s="288" t="s">
        <v>174</v>
      </c>
      <c r="C124" s="288"/>
      <c r="D124" s="288"/>
      <c r="E124" s="288"/>
      <c r="F124" s="288"/>
      <c r="G124" s="288"/>
      <c r="H124" s="288"/>
      <c r="I124" s="288"/>
      <c r="J124" s="288"/>
      <c r="K124" s="288"/>
      <c r="L124" s="288"/>
      <c r="M124" s="288"/>
      <c r="N124" s="288"/>
      <c r="O124" s="288"/>
      <c r="P124" s="288"/>
      <c r="Q124" s="288"/>
      <c r="R124" s="288"/>
      <c r="S124" s="288"/>
      <c r="T124" s="337">
        <v>0</v>
      </c>
      <c r="U124" s="337"/>
      <c r="V124" s="338"/>
      <c r="W124" s="291"/>
      <c r="X124" s="5"/>
    </row>
    <row r="125" spans="1:25" ht="15.6" x14ac:dyDescent="0.3">
      <c r="A125" s="340"/>
      <c r="B125" s="288" t="s">
        <v>38</v>
      </c>
      <c r="C125" s="288"/>
      <c r="D125" s="288"/>
      <c r="E125" s="288"/>
      <c r="F125" s="288"/>
      <c r="G125" s="288"/>
      <c r="H125" s="288"/>
      <c r="I125" s="288"/>
      <c r="J125" s="288"/>
      <c r="K125" s="288"/>
      <c r="L125" s="288"/>
      <c r="M125" s="288"/>
      <c r="N125" s="288"/>
      <c r="O125" s="288"/>
      <c r="P125" s="288"/>
      <c r="Q125" s="288"/>
      <c r="R125" s="288"/>
      <c r="S125" s="288"/>
      <c r="T125" s="337">
        <f>-S189</f>
        <v>-103</v>
      </c>
      <c r="U125" s="337"/>
      <c r="V125" s="338"/>
      <c r="W125" s="291"/>
      <c r="X125" s="5"/>
    </row>
    <row r="126" spans="1:25" ht="15.6" x14ac:dyDescent="0.3">
      <c r="A126" s="340"/>
      <c r="B126" s="288" t="s">
        <v>197</v>
      </c>
      <c r="C126" s="288"/>
      <c r="D126" s="288"/>
      <c r="E126" s="288"/>
      <c r="F126" s="288"/>
      <c r="G126" s="288"/>
      <c r="H126" s="288"/>
      <c r="I126" s="288"/>
      <c r="J126" s="288"/>
      <c r="K126" s="288"/>
      <c r="L126" s="288"/>
      <c r="M126" s="288"/>
      <c r="N126" s="288"/>
      <c r="O126" s="288"/>
      <c r="P126" s="288"/>
      <c r="Q126" s="288"/>
      <c r="R126" s="288"/>
      <c r="S126" s="288"/>
      <c r="T126" s="337">
        <v>-7185</v>
      </c>
      <c r="U126" s="337"/>
      <c r="V126" s="338"/>
      <c r="W126" s="291"/>
      <c r="X126" s="5"/>
    </row>
    <row r="127" spans="1:25" ht="15.6" x14ac:dyDescent="0.3">
      <c r="A127" s="340"/>
      <c r="B127" s="288" t="s">
        <v>195</v>
      </c>
      <c r="C127" s="288"/>
      <c r="D127" s="288"/>
      <c r="E127" s="288"/>
      <c r="F127" s="288"/>
      <c r="G127" s="288"/>
      <c r="H127" s="288"/>
      <c r="I127" s="288"/>
      <c r="J127" s="288"/>
      <c r="K127" s="288"/>
      <c r="L127" s="288"/>
      <c r="M127" s="288"/>
      <c r="N127" s="288"/>
      <c r="O127" s="288"/>
      <c r="P127" s="288"/>
      <c r="Q127" s="288"/>
      <c r="R127" s="288"/>
      <c r="S127" s="288"/>
      <c r="T127" s="337">
        <v>-1158</v>
      </c>
      <c r="U127" s="337"/>
      <c r="V127" s="338"/>
      <c r="W127" s="291"/>
      <c r="X127" s="5"/>
    </row>
    <row r="128" spans="1:25" ht="15.6" x14ac:dyDescent="0.3">
      <c r="A128" s="340"/>
      <c r="B128" s="288" t="s">
        <v>194</v>
      </c>
      <c r="C128" s="288"/>
      <c r="D128" s="288"/>
      <c r="E128" s="288"/>
      <c r="F128" s="288"/>
      <c r="G128" s="288"/>
      <c r="H128" s="288"/>
      <c r="I128" s="288"/>
      <c r="J128" s="288"/>
      <c r="K128" s="288"/>
      <c r="L128" s="288"/>
      <c r="M128" s="288"/>
      <c r="N128" s="288"/>
      <c r="O128" s="288"/>
      <c r="P128" s="288"/>
      <c r="Q128" s="288"/>
      <c r="R128" s="288"/>
      <c r="S128" s="288"/>
      <c r="T128" s="337">
        <v>-1558</v>
      </c>
      <c r="U128" s="337"/>
      <c r="V128" s="338"/>
      <c r="W128" s="291"/>
      <c r="X128" s="5"/>
    </row>
    <row r="129" spans="1:24" ht="15.6" x14ac:dyDescent="0.3">
      <c r="A129" s="340"/>
      <c r="B129" s="288" t="s">
        <v>226</v>
      </c>
      <c r="C129" s="288"/>
      <c r="D129" s="288"/>
      <c r="E129" s="288"/>
      <c r="F129" s="288"/>
      <c r="G129" s="288"/>
      <c r="H129" s="288"/>
      <c r="I129" s="288"/>
      <c r="J129" s="288"/>
      <c r="K129" s="288"/>
      <c r="L129" s="288"/>
      <c r="M129" s="288"/>
      <c r="N129" s="288"/>
      <c r="O129" s="288"/>
      <c r="P129" s="288"/>
      <c r="Q129" s="288"/>
      <c r="R129" s="288"/>
      <c r="S129" s="288"/>
      <c r="T129" s="337">
        <v>-1916</v>
      </c>
      <c r="U129" s="337"/>
      <c r="V129" s="338"/>
      <c r="W129" s="291"/>
      <c r="X129" s="5"/>
    </row>
    <row r="130" spans="1:24" ht="15.6" x14ac:dyDescent="0.3">
      <c r="A130" s="340"/>
      <c r="B130" s="288" t="s">
        <v>189</v>
      </c>
      <c r="C130" s="288"/>
      <c r="D130" s="288"/>
      <c r="E130" s="288"/>
      <c r="F130" s="288"/>
      <c r="G130" s="288"/>
      <c r="H130" s="288"/>
      <c r="I130" s="288"/>
      <c r="J130" s="288"/>
      <c r="K130" s="288"/>
      <c r="L130" s="288"/>
      <c r="M130" s="288"/>
      <c r="N130" s="288"/>
      <c r="O130" s="288"/>
      <c r="P130" s="288"/>
      <c r="Q130" s="288"/>
      <c r="R130" s="288"/>
      <c r="S130" s="288"/>
      <c r="T130" s="337">
        <v>0</v>
      </c>
      <c r="U130" s="337"/>
      <c r="V130" s="338"/>
      <c r="W130" s="291"/>
      <c r="X130" s="5"/>
    </row>
    <row r="131" spans="1:24" ht="15.6" x14ac:dyDescent="0.3">
      <c r="A131" s="340"/>
      <c r="B131" s="288" t="s">
        <v>188</v>
      </c>
      <c r="C131" s="288"/>
      <c r="D131" s="288"/>
      <c r="E131" s="288"/>
      <c r="F131" s="288"/>
      <c r="G131" s="288"/>
      <c r="H131" s="288"/>
      <c r="I131" s="288"/>
      <c r="J131" s="288"/>
      <c r="K131" s="288"/>
      <c r="L131" s="288"/>
      <c r="M131" s="288"/>
      <c r="N131" s="288"/>
      <c r="O131" s="288"/>
      <c r="P131" s="288"/>
      <c r="Q131" s="288"/>
      <c r="R131" s="288"/>
      <c r="S131" s="288"/>
      <c r="T131" s="337">
        <v>0</v>
      </c>
      <c r="U131" s="337"/>
      <c r="V131" s="338"/>
      <c r="W131" s="291"/>
      <c r="X131" s="5"/>
    </row>
    <row r="132" spans="1:24" ht="15.6" x14ac:dyDescent="0.3">
      <c r="A132" s="340"/>
      <c r="B132" s="288" t="s">
        <v>227</v>
      </c>
      <c r="C132" s="288"/>
      <c r="D132" s="288"/>
      <c r="E132" s="288"/>
      <c r="F132" s="288"/>
      <c r="G132" s="288"/>
      <c r="H132" s="288"/>
      <c r="I132" s="288"/>
      <c r="J132" s="288"/>
      <c r="K132" s="288"/>
      <c r="L132" s="288"/>
      <c r="M132" s="288"/>
      <c r="N132" s="288"/>
      <c r="O132" s="288"/>
      <c r="P132" s="288"/>
      <c r="Q132" s="288"/>
      <c r="R132" s="288"/>
      <c r="S132" s="288"/>
      <c r="T132" s="337">
        <v>0</v>
      </c>
      <c r="U132" s="337"/>
      <c r="V132" s="338"/>
      <c r="W132" s="291"/>
      <c r="X132" s="5"/>
    </row>
    <row r="133" spans="1:24" ht="15.6" x14ac:dyDescent="0.3">
      <c r="A133" s="340"/>
      <c r="B133" s="288" t="s">
        <v>187</v>
      </c>
      <c r="C133" s="288"/>
      <c r="D133" s="288"/>
      <c r="E133" s="288"/>
      <c r="F133" s="288"/>
      <c r="G133" s="288"/>
      <c r="H133" s="288"/>
      <c r="I133" s="288"/>
      <c r="J133" s="288"/>
      <c r="K133" s="288"/>
      <c r="L133" s="288"/>
      <c r="M133" s="288"/>
      <c r="N133" s="288"/>
      <c r="O133" s="288"/>
      <c r="P133" s="288"/>
      <c r="Q133" s="288"/>
      <c r="R133" s="288"/>
      <c r="S133" s="288"/>
      <c r="T133" s="337">
        <v>0</v>
      </c>
      <c r="U133" s="337"/>
      <c r="V133" s="338"/>
      <c r="W133" s="291"/>
      <c r="X133" s="5"/>
    </row>
    <row r="134" spans="1:24" ht="15.6" x14ac:dyDescent="0.3">
      <c r="A134" s="340"/>
      <c r="B134" s="288" t="s">
        <v>39</v>
      </c>
      <c r="C134" s="288"/>
      <c r="D134" s="288"/>
      <c r="E134" s="288"/>
      <c r="F134" s="288"/>
      <c r="G134" s="288"/>
      <c r="H134" s="288"/>
      <c r="I134" s="288"/>
      <c r="J134" s="288"/>
      <c r="K134" s="288"/>
      <c r="L134" s="288"/>
      <c r="M134" s="288"/>
      <c r="N134" s="288"/>
      <c r="O134" s="288"/>
      <c r="P134" s="288"/>
      <c r="Q134" s="288"/>
      <c r="R134" s="288"/>
      <c r="S134" s="288"/>
      <c r="T134" s="337">
        <f>SUM(T123:T133)</f>
        <v>-11920</v>
      </c>
      <c r="U134" s="337"/>
      <c r="V134" s="337">
        <f>SUM(V102:V131)</f>
        <v>-6791</v>
      </c>
      <c r="W134" s="291"/>
      <c r="X134" s="5"/>
    </row>
    <row r="135" spans="1:24" ht="15.6" x14ac:dyDescent="0.3">
      <c r="A135" s="340"/>
      <c r="B135" s="288" t="s">
        <v>40</v>
      </c>
      <c r="C135" s="288"/>
      <c r="D135" s="288"/>
      <c r="E135" s="288"/>
      <c r="F135" s="288"/>
      <c r="G135" s="288"/>
      <c r="H135" s="288"/>
      <c r="I135" s="288"/>
      <c r="J135" s="288"/>
      <c r="K135" s="288"/>
      <c r="L135" s="288"/>
      <c r="M135" s="288"/>
      <c r="N135" s="288"/>
      <c r="O135" s="288"/>
      <c r="P135" s="288"/>
      <c r="Q135" s="288"/>
      <c r="R135" s="288"/>
      <c r="S135" s="288"/>
      <c r="T135" s="337">
        <f>T101+T134+T115</f>
        <v>0</v>
      </c>
      <c r="U135" s="337"/>
      <c r="V135" s="337">
        <f>V101+V134</f>
        <v>0</v>
      </c>
      <c r="W135" s="291"/>
      <c r="X135" s="5"/>
    </row>
    <row r="136" spans="1:24" ht="15.6" x14ac:dyDescent="0.3">
      <c r="A136" s="243"/>
      <c r="B136" s="284"/>
      <c r="C136" s="284"/>
      <c r="D136" s="284"/>
      <c r="E136" s="284"/>
      <c r="F136" s="284"/>
      <c r="G136" s="284"/>
      <c r="H136" s="284"/>
      <c r="I136" s="284"/>
      <c r="J136" s="284"/>
      <c r="K136" s="284"/>
      <c r="L136" s="284"/>
      <c r="M136" s="284"/>
      <c r="N136" s="284"/>
      <c r="O136" s="284"/>
      <c r="P136" s="284"/>
      <c r="Q136" s="284"/>
      <c r="R136" s="284"/>
      <c r="S136" s="284"/>
      <c r="T136" s="339"/>
      <c r="U136" s="339"/>
      <c r="V136" s="339"/>
      <c r="W136" s="284"/>
      <c r="X136" s="5"/>
    </row>
    <row r="137" spans="1:24" ht="15.6" x14ac:dyDescent="0.3">
      <c r="A137" s="243"/>
      <c r="B137" s="224"/>
      <c r="C137" s="224"/>
      <c r="D137" s="224"/>
      <c r="E137" s="224"/>
      <c r="F137" s="224"/>
      <c r="G137" s="224"/>
      <c r="H137" s="224"/>
      <c r="I137" s="224"/>
      <c r="J137" s="224"/>
      <c r="K137" s="224"/>
      <c r="L137" s="224"/>
      <c r="M137" s="224"/>
      <c r="N137" s="224"/>
      <c r="O137" s="224"/>
      <c r="P137" s="224"/>
      <c r="Q137" s="224"/>
      <c r="R137" s="224"/>
      <c r="S137" s="224"/>
      <c r="T137" s="224"/>
      <c r="U137" s="224"/>
      <c r="V137" s="244"/>
      <c r="W137" s="224"/>
      <c r="X137" s="5"/>
    </row>
    <row r="138" spans="1:24" ht="18" thickBot="1" x14ac:dyDescent="0.35">
      <c r="A138" s="245"/>
      <c r="B138" s="237" t="str">
        <f>B64</f>
        <v>PM14 INVESTOR REPORT QUARTER ENDING AUGUST 2014</v>
      </c>
      <c r="C138" s="238"/>
      <c r="D138" s="238"/>
      <c r="E138" s="238"/>
      <c r="F138" s="238"/>
      <c r="G138" s="238"/>
      <c r="H138" s="238"/>
      <c r="I138" s="238"/>
      <c r="J138" s="238"/>
      <c r="K138" s="238"/>
      <c r="L138" s="238"/>
      <c r="M138" s="238"/>
      <c r="N138" s="238"/>
      <c r="O138" s="238"/>
      <c r="P138" s="238"/>
      <c r="Q138" s="238"/>
      <c r="R138" s="238"/>
      <c r="S138" s="238"/>
      <c r="T138" s="238"/>
      <c r="U138" s="238"/>
      <c r="V138" s="246"/>
      <c r="W138" s="240"/>
      <c r="X138" s="5"/>
    </row>
    <row r="139" spans="1:24" ht="15.6" x14ac:dyDescent="0.3">
      <c r="A139" s="273"/>
      <c r="B139" s="403" t="s">
        <v>41</v>
      </c>
      <c r="C139" s="274"/>
      <c r="D139" s="274"/>
      <c r="E139" s="274"/>
      <c r="F139" s="274"/>
      <c r="G139" s="274"/>
      <c r="H139" s="274"/>
      <c r="I139" s="274"/>
      <c r="J139" s="274"/>
      <c r="K139" s="274"/>
      <c r="L139" s="274"/>
      <c r="M139" s="274"/>
      <c r="N139" s="274"/>
      <c r="O139" s="274"/>
      <c r="P139" s="274"/>
      <c r="Q139" s="274"/>
      <c r="R139" s="274"/>
      <c r="S139" s="274"/>
      <c r="T139" s="274"/>
      <c r="U139" s="274"/>
      <c r="V139" s="275"/>
      <c r="W139" s="274"/>
      <c r="X139" s="5"/>
    </row>
    <row r="140" spans="1:24" ht="15.6" x14ac:dyDescent="0.3">
      <c r="A140" s="183"/>
      <c r="B140" s="195"/>
      <c r="C140" s="185"/>
      <c r="D140" s="185"/>
      <c r="E140" s="185"/>
      <c r="F140" s="185"/>
      <c r="G140" s="185"/>
      <c r="H140" s="185"/>
      <c r="I140" s="185"/>
      <c r="J140" s="185"/>
      <c r="K140" s="185"/>
      <c r="L140" s="185"/>
      <c r="M140" s="185"/>
      <c r="N140" s="185"/>
      <c r="O140" s="185"/>
      <c r="P140" s="185"/>
      <c r="Q140" s="185"/>
      <c r="R140" s="185"/>
      <c r="S140" s="185"/>
      <c r="T140" s="185"/>
      <c r="U140" s="185"/>
      <c r="V140" s="201"/>
      <c r="W140" s="185"/>
      <c r="X140" s="5"/>
    </row>
    <row r="141" spans="1:24" ht="15.6" x14ac:dyDescent="0.3">
      <c r="A141" s="183"/>
      <c r="B141" s="208" t="s">
        <v>42</v>
      </c>
      <c r="C141" s="185"/>
      <c r="D141" s="185"/>
      <c r="E141" s="185"/>
      <c r="F141" s="185"/>
      <c r="G141" s="185"/>
      <c r="H141" s="185"/>
      <c r="I141" s="185"/>
      <c r="J141" s="185"/>
      <c r="K141" s="185"/>
      <c r="L141" s="185"/>
      <c r="M141" s="185"/>
      <c r="N141" s="185"/>
      <c r="O141" s="185"/>
      <c r="P141" s="185"/>
      <c r="Q141" s="185"/>
      <c r="R141" s="185"/>
      <c r="S141" s="185"/>
      <c r="T141" s="185"/>
      <c r="U141" s="185"/>
      <c r="V141" s="201"/>
      <c r="W141" s="185"/>
      <c r="X141" s="5"/>
    </row>
    <row r="142" spans="1:24" ht="15.6" x14ac:dyDescent="0.3">
      <c r="A142" s="287"/>
      <c r="B142" s="288" t="s">
        <v>43</v>
      </c>
      <c r="C142" s="288"/>
      <c r="D142" s="288"/>
      <c r="E142" s="288"/>
      <c r="F142" s="288"/>
      <c r="G142" s="288"/>
      <c r="H142" s="288"/>
      <c r="I142" s="288"/>
      <c r="J142" s="288"/>
      <c r="K142" s="288"/>
      <c r="L142" s="288"/>
      <c r="M142" s="288"/>
      <c r="N142" s="288"/>
      <c r="O142" s="288"/>
      <c r="P142" s="288"/>
      <c r="Q142" s="288"/>
      <c r="R142" s="288"/>
      <c r="S142" s="288"/>
      <c r="T142" s="288"/>
      <c r="U142" s="288"/>
      <c r="V142" s="338">
        <f>+V34*0.019</f>
        <v>28505.224999999999</v>
      </c>
      <c r="W142" s="291"/>
      <c r="X142" s="5"/>
    </row>
    <row r="143" spans="1:24" ht="15.6" x14ac:dyDescent="0.3">
      <c r="A143" s="287"/>
      <c r="B143" s="288" t="s">
        <v>44</v>
      </c>
      <c r="C143" s="288"/>
      <c r="D143" s="288"/>
      <c r="E143" s="288"/>
      <c r="F143" s="288"/>
      <c r="G143" s="288"/>
      <c r="H143" s="288"/>
      <c r="I143" s="288"/>
      <c r="J143" s="288"/>
      <c r="K143" s="288"/>
      <c r="L143" s="288"/>
      <c r="M143" s="288"/>
      <c r="N143" s="288"/>
      <c r="O143" s="288"/>
      <c r="P143" s="288"/>
      <c r="Q143" s="288"/>
      <c r="R143" s="288"/>
      <c r="S143" s="288"/>
      <c r="T143" s="288"/>
      <c r="U143" s="288"/>
      <c r="V143" s="338">
        <v>28505</v>
      </c>
      <c r="W143" s="291"/>
      <c r="X143" s="5"/>
    </row>
    <row r="144" spans="1:24" ht="15.6" x14ac:dyDescent="0.3">
      <c r="A144" s="287"/>
      <c r="B144" s="288" t="s">
        <v>136</v>
      </c>
      <c r="C144" s="288"/>
      <c r="D144" s="288"/>
      <c r="E144" s="288"/>
      <c r="F144" s="288"/>
      <c r="G144" s="288"/>
      <c r="H144" s="288"/>
      <c r="I144" s="288"/>
      <c r="J144" s="288"/>
      <c r="K144" s="288"/>
      <c r="L144" s="288"/>
      <c r="M144" s="288"/>
      <c r="N144" s="288"/>
      <c r="O144" s="288"/>
      <c r="P144" s="288"/>
      <c r="Q144" s="288"/>
      <c r="R144" s="288"/>
      <c r="S144" s="288"/>
      <c r="T144" s="288"/>
      <c r="U144" s="288"/>
      <c r="V144" s="338"/>
      <c r="W144" s="291"/>
      <c r="X144" s="5"/>
    </row>
    <row r="145" spans="1:25" ht="15.6" x14ac:dyDescent="0.3">
      <c r="A145" s="287"/>
      <c r="B145" s="288" t="s">
        <v>123</v>
      </c>
      <c r="C145" s="288"/>
      <c r="D145" s="288"/>
      <c r="E145" s="288"/>
      <c r="F145" s="288"/>
      <c r="G145" s="288"/>
      <c r="H145" s="288"/>
      <c r="I145" s="288"/>
      <c r="J145" s="288"/>
      <c r="K145" s="288"/>
      <c r="L145" s="288"/>
      <c r="M145" s="288"/>
      <c r="N145" s="288"/>
      <c r="O145" s="288"/>
      <c r="P145" s="288"/>
      <c r="Q145" s="288"/>
      <c r="R145" s="288"/>
      <c r="S145" s="288"/>
      <c r="T145" s="288"/>
      <c r="U145" s="288"/>
      <c r="V145" s="338">
        <v>0</v>
      </c>
      <c r="W145" s="291"/>
      <c r="X145" s="5"/>
    </row>
    <row r="146" spans="1:25" ht="15.6" x14ac:dyDescent="0.3">
      <c r="A146" s="287"/>
      <c r="B146" s="288" t="s">
        <v>124</v>
      </c>
      <c r="C146" s="288"/>
      <c r="D146" s="288"/>
      <c r="E146" s="288"/>
      <c r="F146" s="288"/>
      <c r="G146" s="288"/>
      <c r="H146" s="288"/>
      <c r="I146" s="288"/>
      <c r="J146" s="288"/>
      <c r="K146" s="288"/>
      <c r="L146" s="288"/>
      <c r="M146" s="288"/>
      <c r="N146" s="288"/>
      <c r="O146" s="288"/>
      <c r="P146" s="288"/>
      <c r="Q146" s="288"/>
      <c r="R146" s="288"/>
      <c r="S146" s="288"/>
      <c r="T146" s="288"/>
      <c r="U146" s="288"/>
      <c r="V146" s="338">
        <v>0</v>
      </c>
      <c r="W146" s="291"/>
      <c r="X146" s="5"/>
    </row>
    <row r="147" spans="1:25" ht="15.6" x14ac:dyDescent="0.3">
      <c r="A147" s="287"/>
      <c r="B147" s="288" t="s">
        <v>175</v>
      </c>
      <c r="C147" s="288"/>
      <c r="D147" s="288"/>
      <c r="E147" s="288"/>
      <c r="F147" s="288"/>
      <c r="G147" s="288"/>
      <c r="H147" s="288"/>
      <c r="I147" s="288"/>
      <c r="J147" s="288"/>
      <c r="K147" s="288"/>
      <c r="L147" s="288"/>
      <c r="M147" s="288"/>
      <c r="N147" s="288"/>
      <c r="O147" s="288"/>
      <c r="P147" s="288"/>
      <c r="Q147" s="288"/>
      <c r="R147" s="288"/>
      <c r="S147" s="288"/>
      <c r="T147" s="288"/>
      <c r="U147" s="288"/>
      <c r="V147" s="338">
        <v>0</v>
      </c>
      <c r="W147" s="291"/>
      <c r="X147" s="5"/>
    </row>
    <row r="148" spans="1:25" ht="15.6" x14ac:dyDescent="0.3">
      <c r="A148" s="287"/>
      <c r="B148" s="288" t="s">
        <v>45</v>
      </c>
      <c r="C148" s="288"/>
      <c r="D148" s="288"/>
      <c r="E148" s="288"/>
      <c r="F148" s="288"/>
      <c r="G148" s="288"/>
      <c r="H148" s="288"/>
      <c r="I148" s="288"/>
      <c r="J148" s="288"/>
      <c r="K148" s="288"/>
      <c r="L148" s="288"/>
      <c r="M148" s="288"/>
      <c r="N148" s="288"/>
      <c r="O148" s="288"/>
      <c r="P148" s="288"/>
      <c r="Q148" s="288"/>
      <c r="R148" s="288"/>
      <c r="S148" s="288"/>
      <c r="T148" s="288"/>
      <c r="U148" s="288"/>
      <c r="V148" s="338">
        <v>0</v>
      </c>
      <c r="W148" s="291"/>
      <c r="X148" s="5"/>
    </row>
    <row r="149" spans="1:25" ht="15.6" x14ac:dyDescent="0.3">
      <c r="A149" s="287"/>
      <c r="B149" s="288" t="s">
        <v>129</v>
      </c>
      <c r="C149" s="288"/>
      <c r="D149" s="288"/>
      <c r="E149" s="288"/>
      <c r="F149" s="288"/>
      <c r="G149" s="288"/>
      <c r="H149" s="288"/>
      <c r="I149" s="288"/>
      <c r="J149" s="288"/>
      <c r="K149" s="288"/>
      <c r="L149" s="288"/>
      <c r="M149" s="288"/>
      <c r="N149" s="288"/>
      <c r="O149" s="288"/>
      <c r="P149" s="288"/>
      <c r="Q149" s="288"/>
      <c r="R149" s="288"/>
      <c r="S149" s="288"/>
      <c r="T149" s="288"/>
      <c r="U149" s="288"/>
      <c r="V149" s="338">
        <v>0</v>
      </c>
      <c r="W149" s="291"/>
      <c r="X149" s="5"/>
    </row>
    <row r="150" spans="1:25" ht="15.6" x14ac:dyDescent="0.3">
      <c r="A150" s="287"/>
      <c r="B150" s="288" t="s">
        <v>267</v>
      </c>
      <c r="C150" s="288"/>
      <c r="D150" s="288"/>
      <c r="E150" s="288"/>
      <c r="F150" s="288"/>
      <c r="G150" s="288"/>
      <c r="H150" s="288"/>
      <c r="I150" s="288"/>
      <c r="J150" s="288"/>
      <c r="K150" s="288"/>
      <c r="L150" s="288"/>
      <c r="M150" s="288"/>
      <c r="N150" s="288"/>
      <c r="O150" s="288"/>
      <c r="P150" s="288"/>
      <c r="Q150" s="288"/>
      <c r="R150" s="288"/>
      <c r="S150" s="288"/>
      <c r="T150" s="288"/>
      <c r="U150" s="288"/>
      <c r="V150" s="338">
        <v>0</v>
      </c>
      <c r="W150" s="291"/>
      <c r="X150" s="5"/>
      <c r="Y150" s="109"/>
    </row>
    <row r="151" spans="1:25" ht="15.6" x14ac:dyDescent="0.3">
      <c r="A151" s="287"/>
      <c r="B151" s="288" t="s">
        <v>46</v>
      </c>
      <c r="C151" s="288"/>
      <c r="D151" s="288"/>
      <c r="E151" s="288"/>
      <c r="F151" s="288"/>
      <c r="G151" s="288"/>
      <c r="H151" s="288"/>
      <c r="I151" s="288"/>
      <c r="J151" s="288"/>
      <c r="K151" s="288"/>
      <c r="L151" s="288"/>
      <c r="M151" s="288"/>
      <c r="N151" s="288"/>
      <c r="O151" s="288"/>
      <c r="P151" s="288"/>
      <c r="Q151" s="288"/>
      <c r="R151" s="288"/>
      <c r="S151" s="288"/>
      <c r="T151" s="288"/>
      <c r="U151" s="288"/>
      <c r="V151" s="338">
        <f>SUM(V143:V150)</f>
        <v>28505</v>
      </c>
      <c r="W151" s="291"/>
      <c r="X151" s="5"/>
    </row>
    <row r="152" spans="1:25" ht="15.6" x14ac:dyDescent="0.3">
      <c r="A152" s="287"/>
      <c r="B152" s="314"/>
      <c r="C152" s="314"/>
      <c r="D152" s="314"/>
      <c r="E152" s="314"/>
      <c r="F152" s="314"/>
      <c r="G152" s="314"/>
      <c r="H152" s="314"/>
      <c r="I152" s="314"/>
      <c r="J152" s="314"/>
      <c r="K152" s="314"/>
      <c r="L152" s="314"/>
      <c r="M152" s="314"/>
      <c r="N152" s="314"/>
      <c r="O152" s="314"/>
      <c r="P152" s="314"/>
      <c r="Q152" s="314"/>
      <c r="R152" s="314"/>
      <c r="S152" s="314"/>
      <c r="T152" s="314"/>
      <c r="U152" s="314"/>
      <c r="V152" s="345"/>
      <c r="W152" s="318"/>
      <c r="X152" s="5"/>
    </row>
    <row r="153" spans="1:25" ht="15.6" x14ac:dyDescent="0.3">
      <c r="A153" s="287"/>
      <c r="B153" s="343" t="s">
        <v>237</v>
      </c>
      <c r="C153" s="314"/>
      <c r="D153" s="314"/>
      <c r="E153" s="314"/>
      <c r="F153" s="314"/>
      <c r="G153" s="314"/>
      <c r="H153" s="314"/>
      <c r="I153" s="314"/>
      <c r="J153" s="314"/>
      <c r="K153" s="314"/>
      <c r="L153" s="314"/>
      <c r="M153" s="314"/>
      <c r="N153" s="314"/>
      <c r="O153" s="314"/>
      <c r="P153" s="314"/>
      <c r="Q153" s="314"/>
      <c r="R153" s="314"/>
      <c r="S153" s="314"/>
      <c r="T153" s="314"/>
      <c r="U153" s="314"/>
      <c r="V153" s="345"/>
      <c r="W153" s="318"/>
      <c r="X153" s="5"/>
    </row>
    <row r="154" spans="1:25" ht="15.6" x14ac:dyDescent="0.3">
      <c r="A154" s="287"/>
      <c r="B154" s="288" t="s">
        <v>155</v>
      </c>
      <c r="C154" s="288"/>
      <c r="D154" s="288"/>
      <c r="E154" s="288"/>
      <c r="F154" s="288"/>
      <c r="G154" s="288"/>
      <c r="H154" s="288"/>
      <c r="I154" s="288"/>
      <c r="J154" s="288"/>
      <c r="K154" s="288"/>
      <c r="L154" s="288"/>
      <c r="M154" s="288"/>
      <c r="N154" s="288"/>
      <c r="O154" s="288"/>
      <c r="P154" s="288"/>
      <c r="Q154" s="288"/>
      <c r="R154" s="288"/>
      <c r="S154" s="288"/>
      <c r="T154" s="288"/>
      <c r="U154" s="288"/>
      <c r="V154" s="338">
        <v>7500</v>
      </c>
      <c r="W154" s="291"/>
      <c r="X154" s="5"/>
    </row>
    <row r="155" spans="1:25" ht="15.6" x14ac:dyDescent="0.3">
      <c r="A155" s="287"/>
      <c r="B155" s="288" t="s">
        <v>172</v>
      </c>
      <c r="C155" s="288"/>
      <c r="D155" s="288"/>
      <c r="E155" s="288"/>
      <c r="F155" s="288"/>
      <c r="G155" s="288"/>
      <c r="H155" s="288"/>
      <c r="I155" s="288"/>
      <c r="J155" s="288"/>
      <c r="K155" s="288"/>
      <c r="L155" s="288"/>
      <c r="M155" s="288"/>
      <c r="N155" s="288"/>
      <c r="O155" s="288"/>
      <c r="P155" s="288"/>
      <c r="Q155" s="288"/>
      <c r="R155" s="288"/>
      <c r="S155" s="288"/>
      <c r="T155" s="288"/>
      <c r="U155" s="288"/>
      <c r="V155" s="338">
        <v>0</v>
      </c>
      <c r="W155" s="291"/>
      <c r="X155" s="5"/>
    </row>
    <row r="156" spans="1:25" ht="15.6" x14ac:dyDescent="0.3">
      <c r="A156" s="287"/>
      <c r="B156" s="288" t="s">
        <v>344</v>
      </c>
      <c r="C156" s="288"/>
      <c r="D156" s="288"/>
      <c r="E156" s="288"/>
      <c r="F156" s="288"/>
      <c r="G156" s="288"/>
      <c r="H156" s="288"/>
      <c r="I156" s="288"/>
      <c r="J156" s="288"/>
      <c r="K156" s="288"/>
      <c r="L156" s="288"/>
      <c r="M156" s="288"/>
      <c r="N156" s="288"/>
      <c r="O156" s="288"/>
      <c r="P156" s="288"/>
      <c r="Q156" s="288"/>
      <c r="R156" s="288"/>
      <c r="S156" s="288"/>
      <c r="T156" s="288"/>
      <c r="U156" s="288"/>
      <c r="V156" s="338">
        <v>0</v>
      </c>
      <c r="W156" s="291"/>
      <c r="X156" s="5"/>
    </row>
    <row r="157" spans="1:25" ht="15.6" x14ac:dyDescent="0.3">
      <c r="A157" s="287"/>
      <c r="B157" s="288"/>
      <c r="C157" s="288"/>
      <c r="D157" s="288"/>
      <c r="E157" s="288"/>
      <c r="F157" s="288"/>
      <c r="G157" s="288"/>
      <c r="H157" s="288"/>
      <c r="I157" s="288"/>
      <c r="J157" s="288"/>
      <c r="K157" s="288"/>
      <c r="L157" s="288"/>
      <c r="M157" s="288"/>
      <c r="N157" s="288"/>
      <c r="O157" s="288"/>
      <c r="P157" s="288"/>
      <c r="Q157" s="288"/>
      <c r="R157" s="288"/>
      <c r="S157" s="288"/>
      <c r="T157" s="288"/>
      <c r="U157" s="288"/>
      <c r="V157" s="338"/>
      <c r="W157" s="291"/>
      <c r="X157" s="5"/>
    </row>
    <row r="158" spans="1:25" ht="15.6" x14ac:dyDescent="0.3">
      <c r="A158" s="183"/>
      <c r="B158" s="198"/>
      <c r="C158" s="198"/>
      <c r="D158" s="198"/>
      <c r="E158" s="198"/>
      <c r="F158" s="198"/>
      <c r="G158" s="198"/>
      <c r="H158" s="198"/>
      <c r="I158" s="198"/>
      <c r="J158" s="198"/>
      <c r="K158" s="198"/>
      <c r="L158" s="198"/>
      <c r="M158" s="198"/>
      <c r="N158" s="198"/>
      <c r="O158" s="198"/>
      <c r="P158" s="198"/>
      <c r="Q158" s="198"/>
      <c r="R158" s="198"/>
      <c r="S158" s="198"/>
      <c r="T158" s="198"/>
      <c r="U158" s="198"/>
      <c r="V158" s="347"/>
      <c r="W158" s="198"/>
      <c r="X158" s="5"/>
    </row>
    <row r="159" spans="1:25" ht="15.6" x14ac:dyDescent="0.3">
      <c r="A159" s="183"/>
      <c r="B159" s="208" t="s">
        <v>24</v>
      </c>
      <c r="C159" s="185"/>
      <c r="D159" s="185"/>
      <c r="E159" s="185"/>
      <c r="F159" s="185"/>
      <c r="G159" s="185"/>
      <c r="H159" s="185"/>
      <c r="I159" s="185"/>
      <c r="J159" s="185"/>
      <c r="K159" s="185"/>
      <c r="L159" s="185"/>
      <c r="M159" s="185"/>
      <c r="N159" s="185"/>
      <c r="O159" s="185"/>
      <c r="P159" s="185"/>
      <c r="Q159" s="185"/>
      <c r="R159" s="185"/>
      <c r="S159" s="185"/>
      <c r="T159" s="185"/>
      <c r="U159" s="185"/>
      <c r="V159" s="201"/>
      <c r="W159" s="185"/>
      <c r="X159" s="5"/>
    </row>
    <row r="160" spans="1:25" ht="15.6" x14ac:dyDescent="0.3">
      <c r="A160" s="287"/>
      <c r="B160" s="288" t="s">
        <v>47</v>
      </c>
      <c r="C160" s="288"/>
      <c r="D160" s="288"/>
      <c r="E160" s="288"/>
      <c r="F160" s="288"/>
      <c r="G160" s="288"/>
      <c r="H160" s="288"/>
      <c r="I160" s="288"/>
      <c r="J160" s="288"/>
      <c r="K160" s="288"/>
      <c r="L160" s="288"/>
      <c r="M160" s="288"/>
      <c r="N160" s="288"/>
      <c r="O160" s="288"/>
      <c r="P160" s="288"/>
      <c r="Q160" s="288"/>
      <c r="R160" s="288"/>
      <c r="S160" s="288"/>
      <c r="T160" s="288"/>
      <c r="U160" s="288"/>
      <c r="V160" s="348" t="s">
        <v>118</v>
      </c>
      <c r="W160" s="291"/>
      <c r="X160" s="5"/>
    </row>
    <row r="161" spans="1:256" ht="15.6" x14ac:dyDescent="0.3">
      <c r="A161" s="287"/>
      <c r="B161" s="288" t="s">
        <v>48</v>
      </c>
      <c r="C161" s="290"/>
      <c r="D161" s="290"/>
      <c r="E161" s="290"/>
      <c r="F161" s="290"/>
      <c r="G161" s="290"/>
      <c r="H161" s="290"/>
      <c r="I161" s="290"/>
      <c r="J161" s="290"/>
      <c r="K161" s="290"/>
      <c r="L161" s="290"/>
      <c r="M161" s="290"/>
      <c r="N161" s="290"/>
      <c r="O161" s="290"/>
      <c r="P161" s="290"/>
      <c r="Q161" s="290"/>
      <c r="R161" s="290"/>
      <c r="S161" s="290"/>
      <c r="T161" s="290"/>
      <c r="U161" s="290"/>
      <c r="V161" s="348" t="s">
        <v>118</v>
      </c>
      <c r="W161" s="291"/>
      <c r="X161" s="5"/>
    </row>
    <row r="162" spans="1:256" ht="15.6" x14ac:dyDescent="0.3">
      <c r="A162" s="287"/>
      <c r="B162" s="288" t="s">
        <v>49</v>
      </c>
      <c r="C162" s="288"/>
      <c r="D162" s="288"/>
      <c r="E162" s="288"/>
      <c r="F162" s="288"/>
      <c r="G162" s="288"/>
      <c r="H162" s="288"/>
      <c r="I162" s="288"/>
      <c r="J162" s="288"/>
      <c r="K162" s="288"/>
      <c r="L162" s="288"/>
      <c r="M162" s="288"/>
      <c r="N162" s="288"/>
      <c r="O162" s="288"/>
      <c r="P162" s="288"/>
      <c r="Q162" s="288"/>
      <c r="R162" s="288"/>
      <c r="S162" s="288"/>
      <c r="T162" s="288"/>
      <c r="U162" s="288"/>
      <c r="V162" s="348" t="s">
        <v>118</v>
      </c>
      <c r="W162" s="291"/>
      <c r="X162" s="5"/>
    </row>
    <row r="163" spans="1:256" ht="15.6" x14ac:dyDescent="0.3">
      <c r="A163" s="287"/>
      <c r="B163" s="288" t="s">
        <v>50</v>
      </c>
      <c r="C163" s="288"/>
      <c r="D163" s="288"/>
      <c r="E163" s="288"/>
      <c r="F163" s="288"/>
      <c r="G163" s="288"/>
      <c r="H163" s="288"/>
      <c r="I163" s="288"/>
      <c r="J163" s="288"/>
      <c r="K163" s="288"/>
      <c r="L163" s="288"/>
      <c r="M163" s="288"/>
      <c r="N163" s="288"/>
      <c r="O163" s="288"/>
      <c r="P163" s="288"/>
      <c r="Q163" s="288"/>
      <c r="R163" s="288"/>
      <c r="S163" s="288"/>
      <c r="T163" s="288"/>
      <c r="U163" s="288"/>
      <c r="V163" s="348" t="s">
        <v>118</v>
      </c>
      <c r="W163" s="291"/>
      <c r="X163" s="5"/>
    </row>
    <row r="164" spans="1:256" ht="15.6" x14ac:dyDescent="0.3">
      <c r="A164" s="183"/>
      <c r="B164" s="198"/>
      <c r="C164" s="198"/>
      <c r="D164" s="198"/>
      <c r="E164" s="198"/>
      <c r="F164" s="198"/>
      <c r="G164" s="198"/>
      <c r="H164" s="198"/>
      <c r="I164" s="198"/>
      <c r="J164" s="198"/>
      <c r="K164" s="198"/>
      <c r="L164" s="198"/>
      <c r="M164" s="198"/>
      <c r="N164" s="198"/>
      <c r="O164" s="198"/>
      <c r="P164" s="198"/>
      <c r="Q164" s="198"/>
      <c r="R164" s="198"/>
      <c r="S164" s="198"/>
      <c r="T164" s="198"/>
      <c r="U164" s="198"/>
      <c r="V164" s="347"/>
      <c r="W164" s="198"/>
      <c r="X164" s="5"/>
    </row>
    <row r="165" spans="1:256" ht="15.6" x14ac:dyDescent="0.3">
      <c r="A165" s="183"/>
      <c r="B165" s="208" t="s">
        <v>51</v>
      </c>
      <c r="C165" s="185"/>
      <c r="D165" s="185"/>
      <c r="E165" s="185"/>
      <c r="F165" s="185"/>
      <c r="G165" s="185"/>
      <c r="H165" s="185"/>
      <c r="I165" s="185"/>
      <c r="J165" s="185"/>
      <c r="K165" s="185"/>
      <c r="L165" s="185"/>
      <c r="M165" s="185"/>
      <c r="N165" s="185"/>
      <c r="O165" s="185"/>
      <c r="P165" s="185"/>
      <c r="Q165" s="185"/>
      <c r="R165" s="185"/>
      <c r="S165" s="185"/>
      <c r="T165" s="185"/>
      <c r="U165" s="185"/>
      <c r="V165" s="209"/>
      <c r="W165" s="185"/>
      <c r="X165" s="5"/>
    </row>
    <row r="166" spans="1:256" ht="15.6" x14ac:dyDescent="0.3">
      <c r="A166" s="287"/>
      <c r="B166" s="288" t="s">
        <v>52</v>
      </c>
      <c r="C166" s="288"/>
      <c r="D166" s="288"/>
      <c r="E166" s="288"/>
      <c r="F166" s="288"/>
      <c r="G166" s="288"/>
      <c r="H166" s="288"/>
      <c r="I166" s="288"/>
      <c r="J166" s="288"/>
      <c r="K166" s="288"/>
      <c r="L166" s="288"/>
      <c r="M166" s="288"/>
      <c r="N166" s="288"/>
      <c r="O166" s="288"/>
      <c r="P166" s="288"/>
      <c r="Q166" s="288"/>
      <c r="R166" s="288"/>
      <c r="S166" s="288"/>
      <c r="T166" s="288"/>
      <c r="U166" s="288"/>
      <c r="V166" s="338">
        <v>0</v>
      </c>
      <c r="W166" s="291"/>
      <c r="X166" s="5"/>
    </row>
    <row r="167" spans="1:256" ht="15.6" x14ac:dyDescent="0.3">
      <c r="A167" s="287"/>
      <c r="B167" s="288" t="s">
        <v>53</v>
      </c>
      <c r="C167" s="288"/>
      <c r="D167" s="288"/>
      <c r="E167" s="288"/>
      <c r="F167" s="288"/>
      <c r="G167" s="288"/>
      <c r="H167" s="288"/>
      <c r="I167" s="288"/>
      <c r="J167" s="288"/>
      <c r="K167" s="288"/>
      <c r="L167" s="288"/>
      <c r="M167" s="288"/>
      <c r="N167" s="288"/>
      <c r="O167" s="288"/>
      <c r="P167" s="288"/>
      <c r="Q167" s="288"/>
      <c r="R167" s="288"/>
      <c r="S167" s="288"/>
      <c r="T167" s="288"/>
      <c r="U167" s="288"/>
      <c r="V167" s="338">
        <v>96</v>
      </c>
      <c r="W167" s="291"/>
      <c r="X167" s="5"/>
    </row>
    <row r="168" spans="1:256" ht="15.6" x14ac:dyDescent="0.3">
      <c r="A168" s="287"/>
      <c r="B168" s="288" t="s">
        <v>54</v>
      </c>
      <c r="C168" s="288"/>
      <c r="D168" s="288"/>
      <c r="E168" s="288"/>
      <c r="F168" s="288"/>
      <c r="G168" s="288"/>
      <c r="H168" s="288"/>
      <c r="I168" s="288"/>
      <c r="J168" s="288"/>
      <c r="K168" s="288"/>
      <c r="L168" s="288"/>
      <c r="M168" s="288"/>
      <c r="N168" s="288"/>
      <c r="O168" s="288"/>
      <c r="P168" s="288"/>
      <c r="Q168" s="288"/>
      <c r="R168" s="288"/>
      <c r="S168" s="288"/>
      <c r="T168" s="288"/>
      <c r="U168" s="288"/>
      <c r="V168" s="338">
        <f>V167+V166</f>
        <v>96</v>
      </c>
      <c r="W168" s="291"/>
      <c r="X168" s="5"/>
    </row>
    <row r="169" spans="1:256" ht="15.6" x14ac:dyDescent="0.3">
      <c r="A169" s="287"/>
      <c r="B169" s="288" t="s">
        <v>315</v>
      </c>
      <c r="C169" s="288"/>
      <c r="D169" s="288"/>
      <c r="E169" s="288"/>
      <c r="F169" s="288"/>
      <c r="G169" s="288"/>
      <c r="H169" s="288"/>
      <c r="I169" s="288"/>
      <c r="J169" s="288"/>
      <c r="K169" s="288"/>
      <c r="L169" s="288"/>
      <c r="M169" s="288"/>
      <c r="N169" s="288"/>
      <c r="O169" s="288"/>
      <c r="P169" s="288"/>
      <c r="Q169" s="288"/>
      <c r="R169" s="288"/>
      <c r="S169" s="288"/>
      <c r="T169" s="288"/>
      <c r="U169" s="288"/>
      <c r="V169" s="338">
        <f>V115</f>
        <v>-96</v>
      </c>
      <c r="W169" s="291"/>
      <c r="X169" s="5"/>
    </row>
    <row r="170" spans="1:256" ht="15.6" x14ac:dyDescent="0.3">
      <c r="A170" s="287"/>
      <c r="B170" s="288" t="s">
        <v>55</v>
      </c>
      <c r="C170" s="288"/>
      <c r="D170" s="288"/>
      <c r="E170" s="288"/>
      <c r="F170" s="288"/>
      <c r="G170" s="288"/>
      <c r="H170" s="288"/>
      <c r="I170" s="288"/>
      <c r="J170" s="288"/>
      <c r="K170" s="288"/>
      <c r="L170" s="288"/>
      <c r="M170" s="288"/>
      <c r="N170" s="288"/>
      <c r="O170" s="288"/>
      <c r="P170" s="288"/>
      <c r="Q170" s="288"/>
      <c r="R170" s="288"/>
      <c r="S170" s="288"/>
      <c r="T170" s="288"/>
      <c r="U170" s="288"/>
      <c r="V170" s="338">
        <f>V168+V169</f>
        <v>0</v>
      </c>
      <c r="W170" s="291"/>
      <c r="X170" s="5"/>
    </row>
    <row r="171" spans="1:256" ht="15.6" x14ac:dyDescent="0.3">
      <c r="A171" s="287"/>
      <c r="B171" s="288" t="s">
        <v>283</v>
      </c>
      <c r="C171" s="288"/>
      <c r="D171" s="288"/>
      <c r="E171" s="288"/>
      <c r="F171" s="288"/>
      <c r="G171" s="288"/>
      <c r="H171" s="288"/>
      <c r="I171" s="288"/>
      <c r="J171" s="288"/>
      <c r="K171" s="288"/>
      <c r="L171" s="288"/>
      <c r="M171" s="288"/>
      <c r="N171" s="288"/>
      <c r="O171" s="288"/>
      <c r="P171" s="288"/>
      <c r="Q171" s="288"/>
      <c r="R171" s="288"/>
      <c r="S171" s="288"/>
      <c r="T171" s="288"/>
      <c r="U171" s="288"/>
      <c r="V171" s="338">
        <f>-V100</f>
        <v>55</v>
      </c>
      <c r="W171" s="291"/>
      <c r="X171" s="5"/>
    </row>
    <row r="172" spans="1:256" ht="16.2" thickBot="1" x14ac:dyDescent="0.35">
      <c r="A172" s="183"/>
      <c r="B172" s="284"/>
      <c r="C172" s="284"/>
      <c r="D172" s="284"/>
      <c r="E172" s="284"/>
      <c r="F172" s="284"/>
      <c r="G172" s="284"/>
      <c r="H172" s="284"/>
      <c r="I172" s="284"/>
      <c r="J172" s="284"/>
      <c r="K172" s="284"/>
      <c r="L172" s="284"/>
      <c r="M172" s="284"/>
      <c r="N172" s="284"/>
      <c r="O172" s="284"/>
      <c r="P172" s="284"/>
      <c r="Q172" s="284"/>
      <c r="R172" s="284"/>
      <c r="S172" s="284"/>
      <c r="T172" s="284"/>
      <c r="U172" s="284"/>
      <c r="V172" s="349"/>
      <c r="W172" s="284"/>
      <c r="X172" s="5"/>
    </row>
    <row r="173" spans="1:256" ht="15.6" x14ac:dyDescent="0.3">
      <c r="A173" s="180"/>
      <c r="B173" s="247"/>
      <c r="C173" s="247"/>
      <c r="D173" s="247"/>
      <c r="E173" s="247"/>
      <c r="F173" s="247"/>
      <c r="G173" s="247"/>
      <c r="H173" s="247"/>
      <c r="I173" s="247"/>
      <c r="J173" s="247"/>
      <c r="K173" s="247"/>
      <c r="L173" s="247"/>
      <c r="M173" s="247"/>
      <c r="N173" s="247"/>
      <c r="O173" s="247"/>
      <c r="P173" s="247"/>
      <c r="Q173" s="247"/>
      <c r="R173" s="247"/>
      <c r="S173" s="247"/>
      <c r="T173" s="247"/>
      <c r="U173" s="247"/>
      <c r="V173" s="248"/>
      <c r="W173" s="247"/>
      <c r="X173" s="5"/>
    </row>
    <row r="174" spans="1:256" s="161" customFormat="1" ht="15.6" x14ac:dyDescent="0.3">
      <c r="A174" s="183"/>
      <c r="B174" s="208" t="s">
        <v>269</v>
      </c>
      <c r="C174" s="198"/>
      <c r="D174" s="198"/>
      <c r="E174" s="198"/>
      <c r="F174" s="198"/>
      <c r="G174" s="198"/>
      <c r="H174" s="198"/>
      <c r="I174" s="198"/>
      <c r="J174" s="198"/>
      <c r="K174" s="198"/>
      <c r="L174" s="198"/>
      <c r="M174" s="198"/>
      <c r="N174" s="198"/>
      <c r="O174" s="198"/>
      <c r="P174" s="198"/>
      <c r="Q174" s="198"/>
      <c r="R174" s="198"/>
      <c r="S174" s="198"/>
      <c r="T174" s="198"/>
      <c r="U174" s="198"/>
      <c r="V174" s="210"/>
      <c r="W174" s="198"/>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5.6" x14ac:dyDescent="0.3">
      <c r="A175" s="287"/>
      <c r="B175" s="288" t="s">
        <v>270</v>
      </c>
      <c r="C175" s="288"/>
      <c r="D175" s="288"/>
      <c r="E175" s="288"/>
      <c r="F175" s="288"/>
      <c r="G175" s="288"/>
      <c r="H175" s="288"/>
      <c r="I175" s="288"/>
      <c r="J175" s="288"/>
      <c r="K175" s="288"/>
      <c r="L175" s="288"/>
      <c r="M175" s="288"/>
      <c r="N175" s="288"/>
      <c r="O175" s="288"/>
      <c r="P175" s="288"/>
      <c r="Q175" s="288"/>
      <c r="R175" s="288"/>
      <c r="S175" s="288"/>
      <c r="T175" s="288"/>
      <c r="U175" s="288"/>
      <c r="V175" s="338">
        <f>+'Aug 08'!V177</f>
        <v>0</v>
      </c>
      <c r="W175" s="291"/>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3" customFormat="1" ht="15.6" x14ac:dyDescent="0.3">
      <c r="A176" s="287"/>
      <c r="B176" s="288" t="s">
        <v>273</v>
      </c>
      <c r="C176" s="288"/>
      <c r="D176" s="288"/>
      <c r="E176" s="288"/>
      <c r="F176" s="288"/>
      <c r="G176" s="288"/>
      <c r="H176" s="288"/>
      <c r="I176" s="288"/>
      <c r="J176" s="288"/>
      <c r="K176" s="288"/>
      <c r="L176" s="288"/>
      <c r="M176" s="288"/>
      <c r="N176" s="288"/>
      <c r="O176" s="288"/>
      <c r="P176" s="288"/>
      <c r="Q176" s="288"/>
      <c r="R176" s="288"/>
      <c r="S176" s="288"/>
      <c r="T176" s="288"/>
      <c r="U176" s="288"/>
      <c r="V176" s="338">
        <f>+V94</f>
        <v>0</v>
      </c>
      <c r="W176" s="291"/>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s="163" customFormat="1" ht="15.6" x14ac:dyDescent="0.3">
      <c r="A177" s="287"/>
      <c r="B177" s="288" t="s">
        <v>271</v>
      </c>
      <c r="C177" s="288"/>
      <c r="D177" s="288"/>
      <c r="E177" s="288"/>
      <c r="F177" s="288"/>
      <c r="G177" s="288"/>
      <c r="H177" s="288"/>
      <c r="I177" s="288"/>
      <c r="J177" s="288"/>
      <c r="K177" s="288"/>
      <c r="L177" s="288"/>
      <c r="M177" s="288"/>
      <c r="N177" s="288"/>
      <c r="O177" s="288"/>
      <c r="P177" s="288"/>
      <c r="Q177" s="288"/>
      <c r="R177" s="288"/>
      <c r="S177" s="288"/>
      <c r="T177" s="288"/>
      <c r="U177" s="288"/>
      <c r="V177" s="338">
        <f>+V175-V176</f>
        <v>0</v>
      </c>
      <c r="W177" s="291"/>
      <c r="X177" s="5"/>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s="166" customFormat="1" ht="16.2" thickBot="1" x14ac:dyDescent="0.35">
      <c r="A178" s="199"/>
      <c r="B178" s="198"/>
      <c r="C178" s="198"/>
      <c r="D178" s="198"/>
      <c r="E178" s="198"/>
      <c r="F178" s="198"/>
      <c r="G178" s="198"/>
      <c r="H178" s="198"/>
      <c r="I178" s="198"/>
      <c r="J178" s="198"/>
      <c r="K178" s="198"/>
      <c r="L178" s="198"/>
      <c r="M178" s="198"/>
      <c r="N178" s="198"/>
      <c r="O178" s="198"/>
      <c r="P178" s="198"/>
      <c r="Q178" s="198"/>
      <c r="R178" s="198"/>
      <c r="S178" s="198"/>
      <c r="T178" s="198"/>
      <c r="U178" s="198"/>
      <c r="V178" s="347"/>
      <c r="W178" s="198"/>
      <c r="X178" s="5"/>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s="167" customFormat="1" ht="15.6" x14ac:dyDescent="0.3">
      <c r="A179" s="180"/>
      <c r="B179" s="181"/>
      <c r="C179" s="181"/>
      <c r="D179" s="181"/>
      <c r="E179" s="181"/>
      <c r="F179" s="181"/>
      <c r="G179" s="181"/>
      <c r="H179" s="181"/>
      <c r="I179" s="181"/>
      <c r="J179" s="181"/>
      <c r="K179" s="181"/>
      <c r="L179" s="181"/>
      <c r="M179" s="181"/>
      <c r="N179" s="181"/>
      <c r="O179" s="181"/>
      <c r="P179" s="181"/>
      <c r="Q179" s="181"/>
      <c r="R179" s="181"/>
      <c r="S179" s="181"/>
      <c r="T179" s="181"/>
      <c r="U179" s="181"/>
      <c r="V179" s="200"/>
      <c r="W179" s="181"/>
      <c r="X179" s="5"/>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ht="15.6" x14ac:dyDescent="0.3">
      <c r="A180" s="183"/>
      <c r="B180" s="208" t="s">
        <v>56</v>
      </c>
      <c r="C180" s="185"/>
      <c r="D180" s="185"/>
      <c r="E180" s="185"/>
      <c r="F180" s="185"/>
      <c r="G180" s="185"/>
      <c r="H180" s="185"/>
      <c r="I180" s="185"/>
      <c r="J180" s="185"/>
      <c r="K180" s="185"/>
      <c r="L180" s="185"/>
      <c r="M180" s="185"/>
      <c r="N180" s="185"/>
      <c r="O180" s="185"/>
      <c r="P180" s="185"/>
      <c r="Q180" s="185"/>
      <c r="R180" s="185"/>
      <c r="S180" s="185"/>
      <c r="T180" s="185"/>
      <c r="U180" s="185"/>
      <c r="V180" s="201"/>
      <c r="W180" s="185"/>
      <c r="X180" s="5"/>
    </row>
    <row r="181" spans="1:256" ht="15.6" x14ac:dyDescent="0.3">
      <c r="A181" s="183"/>
      <c r="B181" s="195"/>
      <c r="C181" s="185"/>
      <c r="D181" s="185"/>
      <c r="E181" s="185"/>
      <c r="F181" s="185"/>
      <c r="G181" s="185"/>
      <c r="H181" s="185"/>
      <c r="I181" s="185"/>
      <c r="J181" s="185"/>
      <c r="K181" s="185"/>
      <c r="L181" s="185"/>
      <c r="M181" s="185"/>
      <c r="N181" s="185"/>
      <c r="O181" s="185"/>
      <c r="P181" s="185"/>
      <c r="Q181" s="185"/>
      <c r="R181" s="185"/>
      <c r="S181" s="185"/>
      <c r="T181" s="185"/>
      <c r="U181" s="185"/>
      <c r="V181" s="201"/>
      <c r="W181" s="185"/>
      <c r="X181" s="5"/>
    </row>
    <row r="182" spans="1:256" ht="15.6" x14ac:dyDescent="0.3">
      <c r="A182" s="287"/>
      <c r="B182" s="288" t="s">
        <v>57</v>
      </c>
      <c r="C182" s="288"/>
      <c r="D182" s="288"/>
      <c r="E182" s="288"/>
      <c r="F182" s="288"/>
      <c r="G182" s="288"/>
      <c r="H182" s="288"/>
      <c r="I182" s="288"/>
      <c r="J182" s="288"/>
      <c r="K182" s="288"/>
      <c r="L182" s="288"/>
      <c r="M182" s="288"/>
      <c r="N182" s="288"/>
      <c r="O182" s="288"/>
      <c r="P182" s="288"/>
      <c r="Q182" s="288"/>
      <c r="R182" s="288"/>
      <c r="S182" s="288"/>
      <c r="T182" s="288"/>
      <c r="U182" s="288"/>
      <c r="V182" s="338">
        <f>V71</f>
        <v>1047274</v>
      </c>
      <c r="W182" s="291"/>
      <c r="X182" s="5"/>
    </row>
    <row r="183" spans="1:256" ht="15.6" x14ac:dyDescent="0.3">
      <c r="A183" s="287"/>
      <c r="B183" s="288" t="s">
        <v>58</v>
      </c>
      <c r="C183" s="288"/>
      <c r="D183" s="288"/>
      <c r="E183" s="288"/>
      <c r="F183" s="288"/>
      <c r="G183" s="288"/>
      <c r="H183" s="288"/>
      <c r="I183" s="288"/>
      <c r="J183" s="288"/>
      <c r="K183" s="288"/>
      <c r="L183" s="288"/>
      <c r="M183" s="288"/>
      <c r="N183" s="288"/>
      <c r="O183" s="288"/>
      <c r="P183" s="288"/>
      <c r="Q183" s="288"/>
      <c r="R183" s="288"/>
      <c r="S183" s="288"/>
      <c r="T183" s="288"/>
      <c r="U183" s="288"/>
      <c r="V183" s="338">
        <f>V84</f>
        <v>1047274</v>
      </c>
      <c r="W183" s="291"/>
      <c r="X183" s="5"/>
    </row>
    <row r="184" spans="1:256" ht="16.2" thickBot="1" x14ac:dyDescent="0.35">
      <c r="A184" s="183"/>
      <c r="B184" s="198"/>
      <c r="C184" s="198"/>
      <c r="D184" s="198"/>
      <c r="E184" s="198"/>
      <c r="F184" s="198"/>
      <c r="G184" s="198"/>
      <c r="H184" s="198"/>
      <c r="I184" s="198"/>
      <c r="J184" s="198"/>
      <c r="K184" s="198"/>
      <c r="L184" s="198"/>
      <c r="M184" s="198"/>
      <c r="N184" s="198"/>
      <c r="O184" s="198"/>
      <c r="P184" s="198"/>
      <c r="Q184" s="198"/>
      <c r="R184" s="198"/>
      <c r="S184" s="198"/>
      <c r="T184" s="198"/>
      <c r="U184" s="198"/>
      <c r="V184" s="347"/>
      <c r="W184" s="198"/>
      <c r="X184" s="5"/>
    </row>
    <row r="185" spans="1:256" ht="15.6" x14ac:dyDescent="0.3">
      <c r="A185" s="180"/>
      <c r="B185" s="181"/>
      <c r="C185" s="181"/>
      <c r="D185" s="181"/>
      <c r="E185" s="181"/>
      <c r="F185" s="181"/>
      <c r="G185" s="181"/>
      <c r="H185" s="181"/>
      <c r="I185" s="181"/>
      <c r="J185" s="181"/>
      <c r="K185" s="181"/>
      <c r="L185" s="181"/>
      <c r="M185" s="181"/>
      <c r="N185" s="181"/>
      <c r="O185" s="181"/>
      <c r="P185" s="181"/>
      <c r="Q185" s="181"/>
      <c r="R185" s="181"/>
      <c r="S185" s="181"/>
      <c r="T185" s="181"/>
      <c r="U185" s="181"/>
      <c r="V185" s="200"/>
      <c r="W185" s="181"/>
      <c r="X185" s="5"/>
    </row>
    <row r="186" spans="1:256" ht="15.6" x14ac:dyDescent="0.3">
      <c r="A186" s="183"/>
      <c r="B186" s="208" t="s">
        <v>59</v>
      </c>
      <c r="C186" s="205"/>
      <c r="D186" s="205"/>
      <c r="E186" s="205"/>
      <c r="F186" s="205"/>
      <c r="G186" s="205"/>
      <c r="H186" s="211"/>
      <c r="I186" s="211"/>
      <c r="J186" s="211"/>
      <c r="K186" s="211"/>
      <c r="L186" s="211"/>
      <c r="M186" s="211"/>
      <c r="N186" s="211"/>
      <c r="O186" s="211"/>
      <c r="P186" s="211"/>
      <c r="Q186" s="211"/>
      <c r="R186" s="211"/>
      <c r="S186" s="211" t="s">
        <v>101</v>
      </c>
      <c r="T186" s="211" t="s">
        <v>176</v>
      </c>
      <c r="U186" s="187"/>
      <c r="V186" s="212" t="s">
        <v>114</v>
      </c>
      <c r="W186" s="213"/>
      <c r="X186" s="5"/>
    </row>
    <row r="187" spans="1:256" ht="15.6" x14ac:dyDescent="0.3">
      <c r="A187" s="287"/>
      <c r="B187" s="288" t="s">
        <v>60</v>
      </c>
      <c r="C187" s="288"/>
      <c r="D187" s="288"/>
      <c r="E187" s="288"/>
      <c r="F187" s="288"/>
      <c r="G187" s="288"/>
      <c r="H187" s="288"/>
      <c r="I187" s="288"/>
      <c r="J187" s="288"/>
      <c r="K187" s="288"/>
      <c r="L187" s="288"/>
      <c r="M187" s="288"/>
      <c r="N187" s="288"/>
      <c r="O187" s="288"/>
      <c r="P187" s="288"/>
      <c r="Q187" s="288"/>
      <c r="R187" s="288"/>
      <c r="S187" s="338">
        <f>+V34*0.16</f>
        <v>240044</v>
      </c>
      <c r="T187" s="325"/>
      <c r="U187" s="288"/>
      <c r="V187" s="338"/>
      <c r="W187" s="291"/>
      <c r="X187" s="5"/>
    </row>
    <row r="188" spans="1:256" ht="15.6" x14ac:dyDescent="0.3">
      <c r="A188" s="287"/>
      <c r="B188" s="288" t="s">
        <v>61</v>
      </c>
      <c r="C188" s="288"/>
      <c r="D188" s="288"/>
      <c r="E188" s="288"/>
      <c r="F188" s="288"/>
      <c r="G188" s="288"/>
      <c r="H188" s="288"/>
      <c r="I188" s="288"/>
      <c r="J188" s="288"/>
      <c r="K188" s="288"/>
      <c r="L188" s="288"/>
      <c r="M188" s="288"/>
      <c r="N188" s="288"/>
      <c r="O188" s="288"/>
      <c r="P188" s="288"/>
      <c r="Q188" s="288"/>
      <c r="R188" s="288"/>
      <c r="S188" s="338">
        <f>+'May 14'!S190</f>
        <v>24909</v>
      </c>
      <c r="T188" s="338">
        <f>+'May 14'!T190</f>
        <v>6013</v>
      </c>
      <c r="U188" s="288"/>
      <c r="V188" s="338">
        <f>S188+T188</f>
        <v>30922</v>
      </c>
      <c r="W188" s="291"/>
      <c r="X188" s="5"/>
    </row>
    <row r="189" spans="1:256" ht="15.6" x14ac:dyDescent="0.3">
      <c r="A189" s="287"/>
      <c r="B189" s="288" t="s">
        <v>62</v>
      </c>
      <c r="C189" s="288"/>
      <c r="D189" s="288"/>
      <c r="E189" s="288"/>
      <c r="F189" s="288"/>
      <c r="G189" s="288"/>
      <c r="H189" s="288"/>
      <c r="I189" s="288"/>
      <c r="J189" s="288"/>
      <c r="K189" s="288"/>
      <c r="L189" s="288"/>
      <c r="M189" s="288"/>
      <c r="N189" s="288"/>
      <c r="O189" s="288"/>
      <c r="P189" s="288"/>
      <c r="Q189" s="288"/>
      <c r="R189" s="288"/>
      <c r="S189" s="337">
        <v>103</v>
      </c>
      <c r="T189" s="337">
        <v>0</v>
      </c>
      <c r="U189" s="288"/>
      <c r="V189" s="338">
        <f>S189+T189</f>
        <v>103</v>
      </c>
      <c r="W189" s="291"/>
      <c r="X189" s="5"/>
    </row>
    <row r="190" spans="1:256" ht="15.6" x14ac:dyDescent="0.3">
      <c r="A190" s="287"/>
      <c r="B190" s="288" t="s">
        <v>63</v>
      </c>
      <c r="C190" s="288"/>
      <c r="D190" s="288"/>
      <c r="E190" s="288"/>
      <c r="F190" s="288"/>
      <c r="G190" s="288"/>
      <c r="H190" s="288"/>
      <c r="I190" s="288"/>
      <c r="J190" s="288"/>
      <c r="K190" s="288"/>
      <c r="L190" s="288"/>
      <c r="M190" s="288"/>
      <c r="N190" s="288"/>
      <c r="O190" s="288"/>
      <c r="P190" s="288"/>
      <c r="Q190" s="288"/>
      <c r="R190" s="288"/>
      <c r="S190" s="338">
        <f>S188+S189</f>
        <v>25012</v>
      </c>
      <c r="T190" s="338">
        <f>T189+T188</f>
        <v>6013</v>
      </c>
      <c r="U190" s="288"/>
      <c r="V190" s="338">
        <f>S190+T190</f>
        <v>31025</v>
      </c>
      <c r="W190" s="291"/>
      <c r="X190" s="5"/>
    </row>
    <row r="191" spans="1:256" ht="15.6" x14ac:dyDescent="0.3">
      <c r="A191" s="287"/>
      <c r="B191" s="288" t="s">
        <v>64</v>
      </c>
      <c r="C191" s="288"/>
      <c r="D191" s="288"/>
      <c r="E191" s="288"/>
      <c r="F191" s="288"/>
      <c r="G191" s="288"/>
      <c r="H191" s="288"/>
      <c r="I191" s="288"/>
      <c r="J191" s="288"/>
      <c r="K191" s="288"/>
      <c r="L191" s="288"/>
      <c r="M191" s="288"/>
      <c r="N191" s="288"/>
      <c r="O191" s="288"/>
      <c r="P191" s="288"/>
      <c r="Q191" s="288"/>
      <c r="R191" s="288"/>
      <c r="S191" s="338">
        <f>S187-S190-T190</f>
        <v>209019</v>
      </c>
      <c r="T191" s="325"/>
      <c r="U191" s="288"/>
      <c r="V191" s="338"/>
      <c r="W191" s="291"/>
      <c r="X191" s="5"/>
    </row>
    <row r="192" spans="1:256" ht="16.2" thickBot="1" x14ac:dyDescent="0.35">
      <c r="A192" s="183"/>
      <c r="B192" s="198"/>
      <c r="C192" s="198"/>
      <c r="D192" s="198"/>
      <c r="E192" s="198"/>
      <c r="F192" s="198"/>
      <c r="G192" s="198"/>
      <c r="H192" s="198"/>
      <c r="I192" s="198"/>
      <c r="J192" s="198"/>
      <c r="K192" s="198"/>
      <c r="L192" s="198"/>
      <c r="M192" s="198"/>
      <c r="N192" s="198"/>
      <c r="O192" s="198"/>
      <c r="P192" s="198"/>
      <c r="Q192" s="198"/>
      <c r="R192" s="198"/>
      <c r="S192" s="198"/>
      <c r="T192" s="198"/>
      <c r="U192" s="198"/>
      <c r="V192" s="347"/>
      <c r="W192" s="198"/>
      <c r="X192" s="5"/>
    </row>
    <row r="193" spans="1:24" ht="15.6" x14ac:dyDescent="0.3">
      <c r="A193" s="180"/>
      <c r="B193" s="181"/>
      <c r="C193" s="181"/>
      <c r="D193" s="181"/>
      <c r="E193" s="181"/>
      <c r="F193" s="181"/>
      <c r="G193" s="181"/>
      <c r="H193" s="181"/>
      <c r="I193" s="181"/>
      <c r="J193" s="181"/>
      <c r="K193" s="181"/>
      <c r="L193" s="181"/>
      <c r="M193" s="181"/>
      <c r="N193" s="181"/>
      <c r="O193" s="181"/>
      <c r="P193" s="181"/>
      <c r="Q193" s="181"/>
      <c r="R193" s="181"/>
      <c r="S193" s="181"/>
      <c r="T193" s="181"/>
      <c r="U193" s="181"/>
      <c r="V193" s="200"/>
      <c r="W193" s="181"/>
      <c r="X193" s="5"/>
    </row>
    <row r="194" spans="1:24" ht="15.6" x14ac:dyDescent="0.3">
      <c r="A194" s="183"/>
      <c r="B194" s="208" t="s">
        <v>65</v>
      </c>
      <c r="C194" s="185"/>
      <c r="D194" s="185"/>
      <c r="E194" s="185"/>
      <c r="F194" s="185"/>
      <c r="G194" s="185"/>
      <c r="H194" s="185"/>
      <c r="I194" s="185"/>
      <c r="J194" s="185"/>
      <c r="K194" s="185"/>
      <c r="L194" s="185"/>
      <c r="M194" s="185"/>
      <c r="N194" s="185"/>
      <c r="O194" s="185"/>
      <c r="P194" s="185"/>
      <c r="Q194" s="185"/>
      <c r="R194" s="185"/>
      <c r="S194" s="185"/>
      <c r="T194" s="185"/>
      <c r="U194" s="185"/>
      <c r="V194" s="214"/>
      <c r="W194" s="185"/>
      <c r="X194" s="5"/>
    </row>
    <row r="195" spans="1:24" ht="15.6" x14ac:dyDescent="0.3">
      <c r="A195" s="287"/>
      <c r="B195" s="288" t="s">
        <v>66</v>
      </c>
      <c r="C195" s="288"/>
      <c r="D195" s="288"/>
      <c r="E195" s="288"/>
      <c r="F195" s="288"/>
      <c r="G195" s="288"/>
      <c r="H195" s="288"/>
      <c r="I195" s="288"/>
      <c r="J195" s="288"/>
      <c r="K195" s="288"/>
      <c r="L195" s="288"/>
      <c r="M195" s="288"/>
      <c r="N195" s="288"/>
      <c r="O195" s="288"/>
      <c r="P195" s="288"/>
      <c r="Q195" s="288"/>
      <c r="R195" s="288"/>
      <c r="S195" s="288"/>
      <c r="T195" s="288"/>
      <c r="U195" s="288"/>
      <c r="V195" s="348">
        <f>(V101+V103+V104+V105+V106)/-(V107+V108)</f>
        <v>3.9009661835748792</v>
      </c>
      <c r="W195" s="291" t="s">
        <v>115</v>
      </c>
      <c r="X195" s="5"/>
    </row>
    <row r="196" spans="1:24" ht="15.6" x14ac:dyDescent="0.3">
      <c r="A196" s="287"/>
      <c r="B196" s="288" t="s">
        <v>67</v>
      </c>
      <c r="C196" s="288"/>
      <c r="D196" s="288"/>
      <c r="E196" s="288"/>
      <c r="F196" s="288"/>
      <c r="G196" s="288"/>
      <c r="H196" s="288"/>
      <c r="I196" s="288"/>
      <c r="J196" s="288"/>
      <c r="K196" s="288"/>
      <c r="L196" s="288"/>
      <c r="M196" s="288"/>
      <c r="N196" s="288"/>
      <c r="O196" s="288"/>
      <c r="P196" s="288"/>
      <c r="Q196" s="288"/>
      <c r="R196" s="288"/>
      <c r="S196" s="288"/>
      <c r="T196" s="288"/>
      <c r="U196" s="288"/>
      <c r="V196" s="350">
        <v>1.88</v>
      </c>
      <c r="W196" s="291" t="s">
        <v>115</v>
      </c>
      <c r="X196" s="5"/>
    </row>
    <row r="197" spans="1:24" ht="15.6" x14ac:dyDescent="0.3">
      <c r="A197" s="287"/>
      <c r="B197" s="288" t="s">
        <v>68</v>
      </c>
      <c r="C197" s="288"/>
      <c r="D197" s="288"/>
      <c r="E197" s="288"/>
      <c r="F197" s="288"/>
      <c r="G197" s="288"/>
      <c r="H197" s="288"/>
      <c r="I197" s="288"/>
      <c r="J197" s="288"/>
      <c r="K197" s="288"/>
      <c r="L197" s="288"/>
      <c r="M197" s="288"/>
      <c r="N197" s="288"/>
      <c r="O197" s="288"/>
      <c r="P197" s="288"/>
      <c r="Q197" s="288"/>
      <c r="R197" s="288"/>
      <c r="S197" s="288"/>
      <c r="T197" s="288"/>
      <c r="U197" s="288"/>
      <c r="V197" s="348">
        <f>(V101+V103+V104+V105+V106+V107+V108)/-(V110+V111)</f>
        <v>17.992509363295881</v>
      </c>
      <c r="W197" s="291" t="s">
        <v>115</v>
      </c>
      <c r="X197" s="5"/>
    </row>
    <row r="198" spans="1:24" ht="15.6" x14ac:dyDescent="0.3">
      <c r="A198" s="287"/>
      <c r="B198" s="288" t="s">
        <v>69</v>
      </c>
      <c r="C198" s="288"/>
      <c r="D198" s="288"/>
      <c r="E198" s="288"/>
      <c r="F198" s="288"/>
      <c r="G198" s="288"/>
      <c r="H198" s="288"/>
      <c r="I198" s="288"/>
      <c r="J198" s="288"/>
      <c r="K198" s="288"/>
      <c r="L198" s="288"/>
      <c r="M198" s="288"/>
      <c r="N198" s="288"/>
      <c r="O198" s="288"/>
      <c r="P198" s="288"/>
      <c r="Q198" s="288"/>
      <c r="R198" s="288"/>
      <c r="S198" s="288"/>
      <c r="T198" s="288"/>
      <c r="U198" s="288"/>
      <c r="V198" s="350">
        <v>8.23</v>
      </c>
      <c r="W198" s="291" t="s">
        <v>115</v>
      </c>
      <c r="X198" s="5"/>
    </row>
    <row r="199" spans="1:24" ht="15.6" x14ac:dyDescent="0.3">
      <c r="A199" s="287"/>
      <c r="B199" s="288" t="s">
        <v>198</v>
      </c>
      <c r="C199" s="288"/>
      <c r="D199" s="288"/>
      <c r="E199" s="288"/>
      <c r="F199" s="288"/>
      <c r="G199" s="288"/>
      <c r="H199" s="288"/>
      <c r="I199" s="288"/>
      <c r="J199" s="288"/>
      <c r="K199" s="288"/>
      <c r="L199" s="288"/>
      <c r="M199" s="288"/>
      <c r="N199" s="288"/>
      <c r="O199" s="288"/>
      <c r="P199" s="288"/>
      <c r="Q199" s="288"/>
      <c r="R199" s="288"/>
      <c r="S199" s="288"/>
      <c r="T199" s="288"/>
      <c r="U199" s="288"/>
      <c r="V199" s="348">
        <f>(V101+V103+V104+V105+V106+V107+V108+V110+V111)/-(V112+V113)</f>
        <v>11.486075949367089</v>
      </c>
      <c r="W199" s="291" t="s">
        <v>115</v>
      </c>
      <c r="X199" s="5"/>
    </row>
    <row r="200" spans="1:24" ht="15.6" x14ac:dyDescent="0.3">
      <c r="A200" s="287"/>
      <c r="B200" s="288" t="s">
        <v>199</v>
      </c>
      <c r="C200" s="288"/>
      <c r="D200" s="288"/>
      <c r="E200" s="288"/>
      <c r="F200" s="288"/>
      <c r="G200" s="288"/>
      <c r="H200" s="288"/>
      <c r="I200" s="288"/>
      <c r="J200" s="288"/>
      <c r="K200" s="288"/>
      <c r="L200" s="288"/>
      <c r="M200" s="288"/>
      <c r="N200" s="288"/>
      <c r="O200" s="288"/>
      <c r="P200" s="288"/>
      <c r="Q200" s="288"/>
      <c r="R200" s="288"/>
      <c r="S200" s="288"/>
      <c r="T200" s="288"/>
      <c r="U200" s="288"/>
      <c r="V200" s="350">
        <v>6.39</v>
      </c>
      <c r="W200" s="291" t="s">
        <v>115</v>
      </c>
      <c r="X200" s="5"/>
    </row>
    <row r="201" spans="1:24" ht="15.6" x14ac:dyDescent="0.3">
      <c r="A201" s="287"/>
      <c r="B201" s="314"/>
      <c r="C201" s="314"/>
      <c r="D201" s="314"/>
      <c r="E201" s="314"/>
      <c r="F201" s="314"/>
      <c r="G201" s="314"/>
      <c r="H201" s="314"/>
      <c r="I201" s="314"/>
      <c r="J201" s="314"/>
      <c r="K201" s="314"/>
      <c r="L201" s="314"/>
      <c r="M201" s="314"/>
      <c r="N201" s="314"/>
      <c r="O201" s="314"/>
      <c r="P201" s="314"/>
      <c r="Q201" s="314"/>
      <c r="R201" s="314"/>
      <c r="S201" s="314"/>
      <c r="T201" s="314"/>
      <c r="U201" s="314"/>
      <c r="V201" s="314"/>
      <c r="W201" s="318"/>
      <c r="X201" s="5"/>
    </row>
    <row r="202" spans="1:24" ht="15.6" x14ac:dyDescent="0.3">
      <c r="A202" s="183"/>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5"/>
    </row>
    <row r="203" spans="1:24" ht="15.6" x14ac:dyDescent="0.3">
      <c r="A203" s="183"/>
      <c r="B203" s="185"/>
      <c r="C203" s="185"/>
      <c r="D203" s="185"/>
      <c r="E203" s="185"/>
      <c r="F203" s="185"/>
      <c r="G203" s="185"/>
      <c r="H203" s="185"/>
      <c r="I203" s="185"/>
      <c r="J203" s="185"/>
      <c r="K203" s="185"/>
      <c r="L203" s="185"/>
      <c r="M203" s="185"/>
      <c r="N203" s="185"/>
      <c r="O203" s="185"/>
      <c r="P203" s="185"/>
      <c r="Q203" s="185"/>
      <c r="R203" s="185"/>
      <c r="S203" s="185"/>
      <c r="T203" s="185"/>
      <c r="U203" s="185"/>
      <c r="V203" s="185"/>
      <c r="W203" s="185"/>
      <c r="X203" s="5"/>
    </row>
    <row r="204" spans="1:24" ht="18" thickBot="1" x14ac:dyDescent="0.35">
      <c r="A204" s="199"/>
      <c r="B204" s="237" t="str">
        <f>B138</f>
        <v>PM14 INVESTOR REPORT QUARTER ENDING AUGUST 2014</v>
      </c>
      <c r="C204" s="215"/>
      <c r="D204" s="215"/>
      <c r="E204" s="215"/>
      <c r="F204" s="215"/>
      <c r="G204" s="215"/>
      <c r="H204" s="215"/>
      <c r="I204" s="215"/>
      <c r="J204" s="215"/>
      <c r="K204" s="215"/>
      <c r="L204" s="215"/>
      <c r="M204" s="215"/>
      <c r="N204" s="215"/>
      <c r="O204" s="215"/>
      <c r="P204" s="215"/>
      <c r="Q204" s="215"/>
      <c r="R204" s="215"/>
      <c r="S204" s="215"/>
      <c r="T204" s="215"/>
      <c r="U204" s="215"/>
      <c r="V204" s="215"/>
      <c r="W204" s="216"/>
      <c r="X204" s="5"/>
    </row>
    <row r="205" spans="1:24" ht="15.6" x14ac:dyDescent="0.3">
      <c r="A205" s="273"/>
      <c r="B205" s="403" t="s">
        <v>70</v>
      </c>
      <c r="C205" s="404"/>
      <c r="D205" s="404"/>
      <c r="E205" s="404"/>
      <c r="F205" s="404"/>
      <c r="G205" s="405"/>
      <c r="H205" s="405"/>
      <c r="I205" s="405"/>
      <c r="J205" s="405"/>
      <c r="K205" s="405"/>
      <c r="L205" s="405"/>
      <c r="M205" s="405"/>
      <c r="N205" s="405"/>
      <c r="O205" s="405"/>
      <c r="P205" s="405"/>
      <c r="Q205" s="405"/>
      <c r="R205" s="405"/>
      <c r="S205" s="405"/>
      <c r="T205" s="405">
        <v>41880</v>
      </c>
      <c r="U205" s="274"/>
      <c r="V205" s="274"/>
      <c r="W205" s="274"/>
      <c r="X205" s="5"/>
    </row>
    <row r="206" spans="1:24" ht="15.6" x14ac:dyDescent="0.3">
      <c r="A206" s="217"/>
      <c r="B206" s="230"/>
      <c r="C206" s="249"/>
      <c r="D206" s="249"/>
      <c r="E206" s="249"/>
      <c r="F206" s="249"/>
      <c r="G206" s="229"/>
      <c r="H206" s="229"/>
      <c r="I206" s="229"/>
      <c r="J206" s="229"/>
      <c r="K206" s="229"/>
      <c r="L206" s="229"/>
      <c r="M206" s="229"/>
      <c r="N206" s="229"/>
      <c r="O206" s="229"/>
      <c r="P206" s="229"/>
      <c r="Q206" s="229"/>
      <c r="R206" s="229"/>
      <c r="S206" s="229"/>
      <c r="T206" s="229"/>
      <c r="U206" s="224"/>
      <c r="V206" s="224"/>
      <c r="W206" s="224"/>
      <c r="X206" s="5"/>
    </row>
    <row r="207" spans="1:24" ht="15.6" x14ac:dyDescent="0.3">
      <c r="A207" s="352"/>
      <c r="B207" s="288" t="s">
        <v>71</v>
      </c>
      <c r="C207" s="353"/>
      <c r="D207" s="353"/>
      <c r="E207" s="353"/>
      <c r="F207" s="353"/>
      <c r="G207" s="330"/>
      <c r="H207" s="330"/>
      <c r="I207" s="330"/>
      <c r="J207" s="330"/>
      <c r="K207" s="330"/>
      <c r="L207" s="330"/>
      <c r="M207" s="330"/>
      <c r="N207" s="330"/>
      <c r="O207" s="330"/>
      <c r="P207" s="330"/>
      <c r="Q207" s="330"/>
      <c r="R207" s="330"/>
      <c r="S207" s="330"/>
      <c r="T207" s="321">
        <v>5.2819999999999999E-2</v>
      </c>
      <c r="U207" s="288"/>
      <c r="V207" s="288"/>
      <c r="W207" s="291"/>
      <c r="X207" s="5"/>
    </row>
    <row r="208" spans="1:24" ht="15.6" x14ac:dyDescent="0.3">
      <c r="A208" s="352"/>
      <c r="B208" s="288" t="s">
        <v>151</v>
      </c>
      <c r="C208" s="353"/>
      <c r="D208" s="353"/>
      <c r="E208" s="353"/>
      <c r="F208" s="353"/>
      <c r="G208" s="330"/>
      <c r="H208" s="330"/>
      <c r="I208" s="330"/>
      <c r="J208" s="330"/>
      <c r="K208" s="330"/>
      <c r="L208" s="330"/>
      <c r="M208" s="330"/>
      <c r="N208" s="330"/>
      <c r="O208" s="330"/>
      <c r="P208" s="330"/>
      <c r="Q208" s="330"/>
      <c r="R208" s="330"/>
      <c r="S208" s="330"/>
      <c r="T208" s="321">
        <v>5.7799999999999997E-2</v>
      </c>
      <c r="U208" s="288"/>
      <c r="V208" s="288"/>
      <c r="W208" s="291"/>
      <c r="X208" s="5"/>
    </row>
    <row r="209" spans="1:24" ht="15.6" x14ac:dyDescent="0.3">
      <c r="A209" s="352"/>
      <c r="B209" s="288" t="s">
        <v>72</v>
      </c>
      <c r="C209" s="353"/>
      <c r="D209" s="353"/>
      <c r="E209" s="353"/>
      <c r="F209" s="353"/>
      <c r="G209" s="330"/>
      <c r="H209" s="330"/>
      <c r="I209" s="330"/>
      <c r="J209" s="330"/>
      <c r="K209" s="330"/>
      <c r="L209" s="330"/>
      <c r="M209" s="330"/>
      <c r="N209" s="330"/>
      <c r="O209" s="330"/>
      <c r="P209" s="330"/>
      <c r="Q209" s="330"/>
      <c r="R209" s="330"/>
      <c r="S209" s="330"/>
      <c r="T209" s="321">
        <f>T207-T208</f>
        <v>-4.9799999999999983E-3</v>
      </c>
      <c r="U209" s="288"/>
      <c r="V209" s="288"/>
      <c r="W209" s="291"/>
      <c r="X209" s="5"/>
    </row>
    <row r="210" spans="1:24" ht="15.6" x14ac:dyDescent="0.3">
      <c r="A210" s="352"/>
      <c r="B210" s="288" t="s">
        <v>73</v>
      </c>
      <c r="C210" s="353"/>
      <c r="D210" s="353"/>
      <c r="E210" s="353"/>
      <c r="F210" s="353"/>
      <c r="G210" s="330"/>
      <c r="H210" s="330"/>
      <c r="I210" s="330"/>
      <c r="J210" s="330"/>
      <c r="K210" s="330"/>
      <c r="L210" s="330"/>
      <c r="M210" s="330"/>
      <c r="N210" s="330"/>
      <c r="O210" s="330"/>
      <c r="P210" s="330"/>
      <c r="Q210" s="330"/>
      <c r="R210" s="330"/>
      <c r="S210" s="330"/>
      <c r="T210" s="321">
        <v>2.3619999999999999E-2</v>
      </c>
      <c r="U210" s="288"/>
      <c r="V210" s="288"/>
      <c r="W210" s="291"/>
      <c r="X210" s="5"/>
    </row>
    <row r="211" spans="1:24" ht="15.6" x14ac:dyDescent="0.3">
      <c r="A211" s="352"/>
      <c r="B211" s="288" t="s">
        <v>219</v>
      </c>
      <c r="C211" s="353"/>
      <c r="D211" s="353"/>
      <c r="E211" s="353"/>
      <c r="F211" s="353"/>
      <c r="G211" s="330"/>
      <c r="H211" s="330"/>
      <c r="I211" s="330"/>
      <c r="J211" s="330"/>
      <c r="K211" s="330"/>
      <c r="L211" s="330"/>
      <c r="M211" s="330"/>
      <c r="N211" s="330"/>
      <c r="O211" s="330"/>
      <c r="P211" s="330"/>
      <c r="Q211" s="330"/>
      <c r="R211" s="330"/>
      <c r="S211" s="330"/>
      <c r="T211" s="321">
        <f>V43</f>
        <v>8.7748000432226747E-3</v>
      </c>
      <c r="U211" s="288"/>
      <c r="V211" s="288"/>
      <c r="W211" s="291"/>
      <c r="X211" s="5"/>
    </row>
    <row r="212" spans="1:24" ht="15.6" x14ac:dyDescent="0.3">
      <c r="A212" s="352"/>
      <c r="B212" s="288" t="s">
        <v>74</v>
      </c>
      <c r="C212" s="353"/>
      <c r="D212" s="353"/>
      <c r="E212" s="353"/>
      <c r="F212" s="353"/>
      <c r="G212" s="330"/>
      <c r="H212" s="330"/>
      <c r="I212" s="330"/>
      <c r="J212" s="330"/>
      <c r="K212" s="330"/>
      <c r="L212" s="330"/>
      <c r="M212" s="330"/>
      <c r="N212" s="330"/>
      <c r="O212" s="330"/>
      <c r="P212" s="330"/>
      <c r="Q212" s="330"/>
      <c r="R212" s="330"/>
      <c r="S212" s="330"/>
      <c r="T212" s="321">
        <f>T210-T211</f>
        <v>1.4845199956777324E-2</v>
      </c>
      <c r="U212" s="288"/>
      <c r="V212" s="288"/>
      <c r="W212" s="291"/>
      <c r="X212" s="5"/>
    </row>
    <row r="213" spans="1:24" ht="15.6" x14ac:dyDescent="0.3">
      <c r="A213" s="352"/>
      <c r="B213" s="288" t="s">
        <v>242</v>
      </c>
      <c r="C213" s="353"/>
      <c r="D213" s="353"/>
      <c r="E213" s="353"/>
      <c r="F213" s="353"/>
      <c r="G213" s="330"/>
      <c r="H213" s="330"/>
      <c r="I213" s="330"/>
      <c r="J213" s="330"/>
      <c r="K213" s="330"/>
      <c r="L213" s="330"/>
      <c r="M213" s="330"/>
      <c r="N213" s="330"/>
      <c r="O213" s="330"/>
      <c r="P213" s="330"/>
      <c r="Q213" s="330"/>
      <c r="R213" s="330"/>
      <c r="S213" s="330"/>
      <c r="T213" s="321">
        <f>V101/N71</f>
        <v>6.412102453896785E-3</v>
      </c>
      <c r="U213" s="288"/>
      <c r="V213" s="288"/>
      <c r="W213" s="291"/>
      <c r="X213" s="5"/>
    </row>
    <row r="214" spans="1:24" ht="15.6" x14ac:dyDescent="0.3">
      <c r="A214" s="352"/>
      <c r="B214" s="288" t="s">
        <v>208</v>
      </c>
      <c r="C214" s="353"/>
      <c r="D214" s="353"/>
      <c r="E214" s="353"/>
      <c r="F214" s="353"/>
      <c r="G214" s="330"/>
      <c r="H214" s="330"/>
      <c r="I214" s="330"/>
      <c r="J214" s="330"/>
      <c r="K214" s="330"/>
      <c r="L214" s="330"/>
      <c r="M214" s="330"/>
      <c r="N214" s="330"/>
      <c r="O214" s="330"/>
      <c r="P214" s="330"/>
      <c r="Q214" s="330"/>
      <c r="R214" s="330"/>
      <c r="S214" s="330"/>
      <c r="T214" s="354">
        <v>51014</v>
      </c>
      <c r="U214" s="288"/>
      <c r="V214" s="288"/>
      <c r="W214" s="291"/>
      <c r="X214" s="5"/>
    </row>
    <row r="215" spans="1:24" ht="15.6" x14ac:dyDescent="0.3">
      <c r="A215" s="352"/>
      <c r="B215" s="288" t="s">
        <v>209</v>
      </c>
      <c r="C215" s="353"/>
      <c r="D215" s="353"/>
      <c r="E215" s="353"/>
      <c r="F215" s="353"/>
      <c r="G215" s="330"/>
      <c r="H215" s="330"/>
      <c r="I215" s="330"/>
      <c r="J215" s="330"/>
      <c r="K215" s="330"/>
      <c r="L215" s="330"/>
      <c r="M215" s="330"/>
      <c r="N215" s="330"/>
      <c r="O215" s="330"/>
      <c r="P215" s="330"/>
      <c r="Q215" s="330"/>
      <c r="R215" s="330"/>
      <c r="S215" s="330"/>
      <c r="T215" s="354">
        <v>51014</v>
      </c>
      <c r="U215" s="288"/>
      <c r="V215" s="288"/>
      <c r="W215" s="291"/>
      <c r="X215" s="5"/>
    </row>
    <row r="216" spans="1:24" ht="15.6" x14ac:dyDescent="0.3">
      <c r="A216" s="352"/>
      <c r="B216" s="288" t="s">
        <v>210</v>
      </c>
      <c r="C216" s="353"/>
      <c r="D216" s="353"/>
      <c r="E216" s="353"/>
      <c r="F216" s="353"/>
      <c r="G216" s="330"/>
      <c r="H216" s="330"/>
      <c r="I216" s="330"/>
      <c r="J216" s="330"/>
      <c r="K216" s="330"/>
      <c r="L216" s="330"/>
      <c r="M216" s="330"/>
      <c r="N216" s="330"/>
      <c r="O216" s="330"/>
      <c r="P216" s="330"/>
      <c r="Q216" s="330"/>
      <c r="R216" s="330"/>
      <c r="S216" s="330"/>
      <c r="T216" s="354">
        <v>51014</v>
      </c>
      <c r="U216" s="288"/>
      <c r="V216" s="288"/>
      <c r="W216" s="291"/>
      <c r="X216" s="5"/>
    </row>
    <row r="217" spans="1:24" ht="15.6" x14ac:dyDescent="0.3">
      <c r="A217" s="352"/>
      <c r="B217" s="288" t="s">
        <v>75</v>
      </c>
      <c r="C217" s="353"/>
      <c r="D217" s="353"/>
      <c r="E217" s="353"/>
      <c r="F217" s="353"/>
      <c r="G217" s="330"/>
      <c r="H217" s="330"/>
      <c r="I217" s="330"/>
      <c r="J217" s="330"/>
      <c r="K217" s="330"/>
      <c r="L217" s="330"/>
      <c r="M217" s="330"/>
      <c r="N217" s="330"/>
      <c r="O217" s="330"/>
      <c r="P217" s="330"/>
      <c r="Q217" s="330"/>
      <c r="R217" s="330"/>
      <c r="S217" s="330"/>
      <c r="T217" s="327">
        <v>20.66</v>
      </c>
      <c r="U217" s="288" t="s">
        <v>110</v>
      </c>
      <c r="V217" s="288"/>
      <c r="W217" s="291"/>
      <c r="X217" s="5"/>
    </row>
    <row r="218" spans="1:24" ht="15.6" x14ac:dyDescent="0.3">
      <c r="A218" s="352"/>
      <c r="B218" s="288" t="s">
        <v>76</v>
      </c>
      <c r="C218" s="353"/>
      <c r="D218" s="353"/>
      <c r="E218" s="353"/>
      <c r="F218" s="353"/>
      <c r="G218" s="330"/>
      <c r="H218" s="330"/>
      <c r="I218" s="330"/>
      <c r="J218" s="330"/>
      <c r="K218" s="330"/>
      <c r="L218" s="330"/>
      <c r="M218" s="330"/>
      <c r="N218" s="330"/>
      <c r="O218" s="330"/>
      <c r="P218" s="330"/>
      <c r="Q218" s="330"/>
      <c r="R218" s="330"/>
      <c r="S218" s="330"/>
      <c r="T218" s="327">
        <v>14</v>
      </c>
      <c r="U218" s="288" t="s">
        <v>110</v>
      </c>
      <c r="V218" s="288"/>
      <c r="W218" s="291"/>
      <c r="X218" s="5"/>
    </row>
    <row r="219" spans="1:24" ht="15.6" x14ac:dyDescent="0.3">
      <c r="A219" s="352"/>
      <c r="B219" s="288" t="s">
        <v>77</v>
      </c>
      <c r="C219" s="353"/>
      <c r="D219" s="353"/>
      <c r="E219" s="353"/>
      <c r="F219" s="353"/>
      <c r="G219" s="330"/>
      <c r="H219" s="330"/>
      <c r="I219" s="330"/>
      <c r="J219" s="330"/>
      <c r="K219" s="330"/>
      <c r="L219" s="330"/>
      <c r="M219" s="330"/>
      <c r="N219" s="330"/>
      <c r="O219" s="330"/>
      <c r="P219" s="330"/>
      <c r="Q219" s="330"/>
      <c r="R219" s="330"/>
      <c r="S219" s="330"/>
      <c r="T219" s="321">
        <f>+P68/N68</f>
        <v>1.1254934656228784E-2</v>
      </c>
      <c r="U219" s="288"/>
      <c r="V219" s="288"/>
      <c r="W219" s="291"/>
      <c r="X219" s="5"/>
    </row>
    <row r="220" spans="1:24" ht="15.6" x14ac:dyDescent="0.3">
      <c r="A220" s="352"/>
      <c r="B220" s="288" t="s">
        <v>78</v>
      </c>
      <c r="C220" s="353"/>
      <c r="D220" s="353"/>
      <c r="E220" s="353"/>
      <c r="F220" s="353"/>
      <c r="G220" s="330"/>
      <c r="H220" s="330"/>
      <c r="I220" s="330"/>
      <c r="J220" s="330"/>
      <c r="K220" s="330"/>
      <c r="L220" s="330"/>
      <c r="M220" s="330"/>
      <c r="N220" s="330"/>
      <c r="O220" s="330"/>
      <c r="P220" s="330"/>
      <c r="Q220" s="330"/>
      <c r="R220" s="330"/>
      <c r="S220" s="330"/>
      <c r="T220" s="321">
        <v>0.05</v>
      </c>
      <c r="U220" s="288"/>
      <c r="V220" s="288"/>
      <c r="W220" s="291"/>
      <c r="X220" s="5"/>
    </row>
    <row r="221" spans="1:24" ht="15.6" x14ac:dyDescent="0.3">
      <c r="A221" s="217"/>
      <c r="B221" s="284"/>
      <c r="C221" s="284"/>
      <c r="D221" s="284"/>
      <c r="E221" s="284"/>
      <c r="F221" s="284"/>
      <c r="G221" s="284"/>
      <c r="H221" s="284"/>
      <c r="I221" s="284"/>
      <c r="J221" s="284"/>
      <c r="K221" s="284"/>
      <c r="L221" s="284"/>
      <c r="M221" s="284"/>
      <c r="N221" s="284"/>
      <c r="O221" s="284"/>
      <c r="P221" s="284"/>
      <c r="Q221" s="284"/>
      <c r="R221" s="284"/>
      <c r="S221" s="284"/>
      <c r="T221" s="349"/>
      <c r="U221" s="284"/>
      <c r="V221" s="351"/>
      <c r="W221" s="284"/>
      <c r="X221" s="5"/>
    </row>
    <row r="222" spans="1:24" ht="15.6" x14ac:dyDescent="0.3">
      <c r="A222" s="278"/>
      <c r="B222" s="399" t="s">
        <v>79</v>
      </c>
      <c r="C222" s="400"/>
      <c r="D222" s="400"/>
      <c r="E222" s="400"/>
      <c r="F222" s="406"/>
      <c r="G222" s="400"/>
      <c r="H222" s="400"/>
      <c r="I222" s="400"/>
      <c r="J222" s="400"/>
      <c r="K222" s="400"/>
      <c r="L222" s="400"/>
      <c r="M222" s="400"/>
      <c r="N222" s="400"/>
      <c r="O222" s="400"/>
      <c r="P222" s="400"/>
      <c r="Q222" s="400"/>
      <c r="R222" s="400"/>
      <c r="S222" s="400" t="s">
        <v>102</v>
      </c>
      <c r="T222" s="406" t="s">
        <v>108</v>
      </c>
      <c r="U222" s="263"/>
      <c r="V222" s="263"/>
      <c r="W222" s="263"/>
      <c r="X222" s="5"/>
    </row>
    <row r="223" spans="1:24" ht="15.6" x14ac:dyDescent="0.3">
      <c r="A223" s="218"/>
      <c r="B223" s="231" t="s">
        <v>80</v>
      </c>
      <c r="C223" s="234"/>
      <c r="D223" s="234"/>
      <c r="E223" s="234"/>
      <c r="F223" s="231"/>
      <c r="G223" s="231"/>
      <c r="H223" s="233"/>
      <c r="I223" s="233"/>
      <c r="J223" s="233"/>
      <c r="K223" s="233"/>
      <c r="L223" s="233"/>
      <c r="M223" s="233"/>
      <c r="N223" s="233"/>
      <c r="O223" s="233"/>
      <c r="P223" s="233"/>
      <c r="Q223" s="233"/>
      <c r="R223" s="233"/>
      <c r="S223" s="233">
        <v>1</v>
      </c>
      <c r="T223" s="251">
        <v>142</v>
      </c>
      <c r="U223" s="231"/>
      <c r="V223" s="250"/>
      <c r="W223" s="252"/>
      <c r="X223" s="5"/>
    </row>
    <row r="224" spans="1:24" ht="15.6" x14ac:dyDescent="0.3">
      <c r="A224" s="362"/>
      <c r="B224" s="288" t="s">
        <v>145</v>
      </c>
      <c r="C224" s="337"/>
      <c r="D224" s="337"/>
      <c r="E224" s="337"/>
      <c r="F224" s="288"/>
      <c r="G224" s="288"/>
      <c r="H224" s="296"/>
      <c r="I224" s="296"/>
      <c r="J224" s="296"/>
      <c r="K224" s="296"/>
      <c r="L224" s="296"/>
      <c r="M224" s="296"/>
      <c r="N224" s="296"/>
      <c r="O224" s="296"/>
      <c r="P224" s="296"/>
      <c r="Q224" s="296"/>
      <c r="R224" s="296"/>
      <c r="S224" s="363">
        <f>+R276</f>
        <v>150</v>
      </c>
      <c r="T224" s="364">
        <f>+T276</f>
        <v>21431</v>
      </c>
      <c r="U224" s="288"/>
      <c r="V224" s="365"/>
      <c r="W224" s="366"/>
      <c r="X224" s="5"/>
    </row>
    <row r="225" spans="1:24" ht="15.6" x14ac:dyDescent="0.3">
      <c r="A225" s="362"/>
      <c r="B225" s="288" t="s">
        <v>81</v>
      </c>
      <c r="C225" s="337"/>
      <c r="D225" s="337"/>
      <c r="E225" s="337"/>
      <c r="F225" s="288"/>
      <c r="G225" s="288"/>
      <c r="H225" s="296"/>
      <c r="I225" s="296"/>
      <c r="J225" s="296"/>
      <c r="K225" s="296"/>
      <c r="L225" s="296"/>
      <c r="M225" s="296"/>
      <c r="N225" s="296"/>
      <c r="O225" s="296"/>
      <c r="P225" s="296"/>
      <c r="Q225" s="296"/>
      <c r="R225" s="296"/>
      <c r="S225" s="363">
        <f>+R288</f>
        <v>3</v>
      </c>
      <c r="T225" s="364">
        <f>+T288</f>
        <v>169</v>
      </c>
      <c r="U225" s="288"/>
      <c r="V225" s="365"/>
      <c r="W225" s="366"/>
      <c r="X225" s="5"/>
    </row>
    <row r="226" spans="1:24" ht="15.6" x14ac:dyDescent="0.3">
      <c r="A226" s="362"/>
      <c r="B226" s="313" t="s">
        <v>82</v>
      </c>
      <c r="C226" s="367"/>
      <c r="D226" s="367"/>
      <c r="E226" s="367"/>
      <c r="F226" s="314"/>
      <c r="G226" s="314"/>
      <c r="H226" s="314"/>
      <c r="I226" s="314"/>
      <c r="J226" s="314"/>
      <c r="K226" s="314"/>
      <c r="L226" s="314"/>
      <c r="M226" s="314"/>
      <c r="N226" s="314"/>
      <c r="O226" s="314"/>
      <c r="P226" s="314"/>
      <c r="Q226" s="314"/>
      <c r="R226" s="314"/>
      <c r="S226" s="314"/>
      <c r="T226" s="364">
        <v>0</v>
      </c>
      <c r="U226" s="314"/>
      <c r="V226" s="369"/>
      <c r="W226" s="370"/>
      <c r="X226" s="5"/>
    </row>
    <row r="227" spans="1:24" ht="15.6" x14ac:dyDescent="0.3">
      <c r="A227" s="362"/>
      <c r="B227" s="313" t="s">
        <v>243</v>
      </c>
      <c r="C227" s="367"/>
      <c r="D227" s="367"/>
      <c r="E227" s="367"/>
      <c r="F227" s="314"/>
      <c r="G227" s="314"/>
      <c r="H227" s="314"/>
      <c r="I227" s="314"/>
      <c r="J227" s="314"/>
      <c r="K227" s="314"/>
      <c r="L227" s="314"/>
      <c r="M227" s="314"/>
      <c r="N227" s="314"/>
      <c r="O227" s="314"/>
      <c r="P227" s="314"/>
      <c r="Q227" s="314"/>
      <c r="R227" s="314"/>
      <c r="S227" s="314"/>
      <c r="T227" s="364">
        <f>+N81</f>
        <v>0</v>
      </c>
      <c r="U227" s="314"/>
      <c r="V227" s="369"/>
      <c r="W227" s="370"/>
      <c r="X227" s="5"/>
    </row>
    <row r="228" spans="1:24" ht="15.6" x14ac:dyDescent="0.3">
      <c r="A228" s="371"/>
      <c r="B228" s="313" t="s">
        <v>83</v>
      </c>
      <c r="C228" s="372"/>
      <c r="D228" s="372"/>
      <c r="E228" s="372"/>
      <c r="F228" s="372"/>
      <c r="G228" s="314"/>
      <c r="H228" s="314"/>
      <c r="I228" s="314"/>
      <c r="J228" s="314"/>
      <c r="K228" s="314"/>
      <c r="L228" s="314"/>
      <c r="M228" s="314"/>
      <c r="N228" s="314"/>
      <c r="O228" s="314"/>
      <c r="P228" s="314"/>
      <c r="Q228" s="314"/>
      <c r="R228" s="314"/>
      <c r="S228" s="314"/>
      <c r="T228" s="368"/>
      <c r="U228" s="314"/>
      <c r="V228" s="369"/>
      <c r="W228" s="373"/>
      <c r="X228" s="5"/>
    </row>
    <row r="229" spans="1:24" ht="15.6" x14ac:dyDescent="0.3">
      <c r="A229" s="371"/>
      <c r="B229" s="288" t="s">
        <v>84</v>
      </c>
      <c r="C229" s="288"/>
      <c r="D229" s="288"/>
      <c r="E229" s="288"/>
      <c r="F229" s="288"/>
      <c r="G229" s="288"/>
      <c r="H229" s="288"/>
      <c r="I229" s="288"/>
      <c r="J229" s="288"/>
      <c r="K229" s="288"/>
      <c r="L229" s="288"/>
      <c r="M229" s="288"/>
      <c r="N229" s="288"/>
      <c r="O229" s="288"/>
      <c r="P229" s="288"/>
      <c r="Q229" s="288"/>
      <c r="R229" s="288"/>
      <c r="S229" s="296"/>
      <c r="T229" s="364">
        <f>V167</f>
        <v>96</v>
      </c>
      <c r="U229" s="288"/>
      <c r="V229" s="365"/>
      <c r="W229" s="378"/>
      <c r="X229" s="5"/>
    </row>
    <row r="230" spans="1:24" ht="15.6" x14ac:dyDescent="0.3">
      <c r="A230" s="362"/>
      <c r="B230" s="288" t="s">
        <v>85</v>
      </c>
      <c r="C230" s="337"/>
      <c r="D230" s="337"/>
      <c r="E230" s="337"/>
      <c r="F230" s="337"/>
      <c r="G230" s="288"/>
      <c r="H230" s="288"/>
      <c r="I230" s="288"/>
      <c r="J230" s="288"/>
      <c r="K230" s="288"/>
      <c r="L230" s="288"/>
      <c r="M230" s="288"/>
      <c r="N230" s="288"/>
      <c r="O230" s="288"/>
      <c r="P230" s="288"/>
      <c r="Q230" s="288"/>
      <c r="R230" s="288"/>
      <c r="S230" s="296"/>
      <c r="T230" s="364">
        <f>'May 14'!T230+T229</f>
        <v>5255</v>
      </c>
      <c r="U230" s="288"/>
      <c r="V230" s="365"/>
      <c r="W230" s="378"/>
      <c r="X230" s="5"/>
    </row>
    <row r="231" spans="1:24" ht="15.6" x14ac:dyDescent="0.3">
      <c r="A231" s="371"/>
      <c r="B231" s="313" t="s">
        <v>295</v>
      </c>
      <c r="C231" s="372"/>
      <c r="D231" s="372"/>
      <c r="E231" s="372"/>
      <c r="F231" s="372"/>
      <c r="G231" s="314"/>
      <c r="H231" s="314"/>
      <c r="I231" s="314"/>
      <c r="J231" s="314"/>
      <c r="K231" s="314"/>
      <c r="L231" s="314"/>
      <c r="M231" s="314"/>
      <c r="N231" s="314"/>
      <c r="O231" s="314"/>
      <c r="P231" s="314"/>
      <c r="Q231" s="314"/>
      <c r="R231" s="314"/>
      <c r="S231" s="316"/>
      <c r="T231" s="368"/>
      <c r="U231" s="314"/>
      <c r="V231" s="369"/>
      <c r="W231" s="373"/>
      <c r="X231" s="5"/>
    </row>
    <row r="232" spans="1:24" ht="15.6" x14ac:dyDescent="0.3">
      <c r="A232" s="371"/>
      <c r="B232" s="288" t="s">
        <v>291</v>
      </c>
      <c r="C232" s="288"/>
      <c r="D232" s="288"/>
      <c r="E232" s="288"/>
      <c r="F232" s="288"/>
      <c r="G232" s="288"/>
      <c r="H232" s="288"/>
      <c r="I232" s="288"/>
      <c r="J232" s="288"/>
      <c r="K232" s="288"/>
      <c r="L232" s="288"/>
      <c r="M232" s="288"/>
      <c r="N232" s="288"/>
      <c r="O232" s="288"/>
      <c r="P232" s="288"/>
      <c r="Q232" s="288"/>
      <c r="R232" s="288"/>
      <c r="S232" s="296">
        <v>0</v>
      </c>
      <c r="T232" s="364">
        <v>0</v>
      </c>
      <c r="U232" s="288"/>
      <c r="V232" s="365"/>
      <c r="W232" s="378"/>
      <c r="X232" s="5"/>
    </row>
    <row r="233" spans="1:24" ht="15.6" x14ac:dyDescent="0.3">
      <c r="A233" s="362"/>
      <c r="B233" s="288" t="s">
        <v>86</v>
      </c>
      <c r="C233" s="325"/>
      <c r="D233" s="325"/>
      <c r="E233" s="325"/>
      <c r="F233" s="379"/>
      <c r="G233" s="288"/>
      <c r="H233" s="288"/>
      <c r="I233" s="288"/>
      <c r="J233" s="288"/>
      <c r="K233" s="288"/>
      <c r="L233" s="288"/>
      <c r="M233" s="288"/>
      <c r="N233" s="288"/>
      <c r="O233" s="288"/>
      <c r="P233" s="288"/>
      <c r="Q233" s="288"/>
      <c r="R233" s="288"/>
      <c r="S233" s="288"/>
      <c r="T233" s="380">
        <v>0</v>
      </c>
      <c r="U233" s="288"/>
      <c r="V233" s="365"/>
      <c r="W233" s="378"/>
      <c r="X233" s="5"/>
    </row>
    <row r="234" spans="1:24" ht="15.6" x14ac:dyDescent="0.3">
      <c r="A234" s="362"/>
      <c r="B234" s="288" t="s">
        <v>87</v>
      </c>
      <c r="C234" s="325"/>
      <c r="D234" s="325"/>
      <c r="E234" s="325"/>
      <c r="F234" s="379"/>
      <c r="G234" s="288"/>
      <c r="H234" s="288"/>
      <c r="I234" s="288"/>
      <c r="J234" s="288"/>
      <c r="K234" s="288"/>
      <c r="L234" s="288"/>
      <c r="M234" s="288"/>
      <c r="N234" s="288"/>
      <c r="O234" s="288"/>
      <c r="P234" s="288"/>
      <c r="Q234" s="288"/>
      <c r="R234" s="288"/>
      <c r="S234" s="288"/>
      <c r="T234" s="380">
        <v>0</v>
      </c>
      <c r="U234" s="288"/>
      <c r="V234" s="365"/>
      <c r="W234" s="378"/>
      <c r="X234" s="5"/>
    </row>
    <row r="235" spans="1:24" ht="15.6" x14ac:dyDescent="0.3">
      <c r="A235" s="362"/>
      <c r="B235" s="313" t="s">
        <v>217</v>
      </c>
      <c r="C235" s="381"/>
      <c r="D235" s="381"/>
      <c r="E235" s="381"/>
      <c r="F235" s="382"/>
      <c r="G235" s="314"/>
      <c r="H235" s="314"/>
      <c r="I235" s="314"/>
      <c r="J235" s="314"/>
      <c r="K235" s="314"/>
      <c r="L235" s="314"/>
      <c r="M235" s="314"/>
      <c r="N235" s="314"/>
      <c r="O235" s="314"/>
      <c r="P235" s="314"/>
      <c r="Q235" s="314"/>
      <c r="R235" s="314"/>
      <c r="S235" s="314"/>
      <c r="T235" s="383"/>
      <c r="U235" s="314"/>
      <c r="V235" s="369"/>
      <c r="W235" s="373"/>
      <c r="X235" s="5"/>
    </row>
    <row r="236" spans="1:24" ht="15.6" x14ac:dyDescent="0.3">
      <c r="A236" s="362"/>
      <c r="B236" s="288" t="s">
        <v>291</v>
      </c>
      <c r="C236" s="381"/>
      <c r="D236" s="381"/>
      <c r="E236" s="381"/>
      <c r="F236" s="382"/>
      <c r="G236" s="314"/>
      <c r="H236" s="314"/>
      <c r="I236" s="314"/>
      <c r="J236" s="314"/>
      <c r="K236" s="314"/>
      <c r="L236" s="314"/>
      <c r="M236" s="314"/>
      <c r="N236" s="314"/>
      <c r="O236" s="314"/>
      <c r="P236" s="314"/>
      <c r="Q236" s="314"/>
      <c r="R236" s="314"/>
      <c r="S236" s="296">
        <v>7</v>
      </c>
      <c r="T236" s="364">
        <v>819</v>
      </c>
      <c r="U236" s="314"/>
      <c r="V236" s="369"/>
      <c r="W236" s="373"/>
      <c r="X236" s="5"/>
    </row>
    <row r="237" spans="1:24" ht="15.6" x14ac:dyDescent="0.3">
      <c r="A237" s="362"/>
      <c r="B237" s="288" t="s">
        <v>218</v>
      </c>
      <c r="C237" s="381"/>
      <c r="D237" s="381"/>
      <c r="E237" s="381"/>
      <c r="F237" s="382"/>
      <c r="G237" s="314"/>
      <c r="H237" s="314"/>
      <c r="I237" s="314"/>
      <c r="J237" s="314"/>
      <c r="K237" s="314"/>
      <c r="L237" s="314"/>
      <c r="M237" s="314"/>
      <c r="N237" s="314"/>
      <c r="O237" s="314"/>
      <c r="P237" s="314"/>
      <c r="Q237" s="314"/>
      <c r="R237" s="314"/>
      <c r="S237" s="288"/>
      <c r="T237" s="380">
        <v>2.15</v>
      </c>
      <c r="U237" s="314"/>
      <c r="V237" s="369"/>
      <c r="W237" s="373"/>
      <c r="X237" s="5"/>
    </row>
    <row r="238" spans="1:24" ht="15.6" x14ac:dyDescent="0.3">
      <c r="A238" s="362"/>
      <c r="B238" s="372"/>
      <c r="C238" s="381"/>
      <c r="D238" s="381"/>
      <c r="E238" s="381"/>
      <c r="F238" s="382"/>
      <c r="G238" s="314"/>
      <c r="H238" s="314"/>
      <c r="I238" s="314"/>
      <c r="J238" s="314"/>
      <c r="K238" s="314"/>
      <c r="L238" s="314"/>
      <c r="M238" s="314"/>
      <c r="N238" s="314"/>
      <c r="O238" s="314"/>
      <c r="P238" s="314"/>
      <c r="Q238" s="314"/>
      <c r="R238" s="314"/>
      <c r="S238" s="314"/>
      <c r="T238" s="383"/>
      <c r="U238" s="314"/>
      <c r="V238" s="369"/>
      <c r="W238" s="373"/>
      <c r="X238" s="5"/>
    </row>
    <row r="239" spans="1:24" ht="15.6" x14ac:dyDescent="0.3">
      <c r="A239" s="362"/>
      <c r="B239" s="372"/>
      <c r="C239" s="381"/>
      <c r="D239" s="381"/>
      <c r="E239" s="381"/>
      <c r="F239" s="382"/>
      <c r="G239" s="314"/>
      <c r="H239" s="314"/>
      <c r="I239" s="314"/>
      <c r="J239" s="314"/>
      <c r="K239" s="314"/>
      <c r="L239" s="314"/>
      <c r="M239" s="314"/>
      <c r="N239" s="314"/>
      <c r="O239" s="314"/>
      <c r="P239" s="314"/>
      <c r="Q239" s="314"/>
      <c r="R239" s="314"/>
      <c r="S239" s="314"/>
      <c r="T239" s="383"/>
      <c r="U239" s="314"/>
      <c r="V239" s="369"/>
      <c r="W239" s="373"/>
      <c r="X239" s="5"/>
    </row>
    <row r="240" spans="1:24" ht="17.399999999999999" x14ac:dyDescent="0.3">
      <c r="A240" s="362"/>
      <c r="B240" s="384" t="s">
        <v>168</v>
      </c>
      <c r="C240" s="381"/>
      <c r="D240" s="381"/>
      <c r="E240" s="381"/>
      <c r="F240" s="382"/>
      <c r="G240" s="314"/>
      <c r="H240" s="314"/>
      <c r="I240" s="314"/>
      <c r="J240" s="314"/>
      <c r="K240" s="314"/>
      <c r="L240" s="314"/>
      <c r="M240" s="314"/>
      <c r="N240" s="314"/>
      <c r="O240" s="314"/>
      <c r="P240" s="385" t="s">
        <v>167</v>
      </c>
      <c r="Q240" s="314"/>
      <c r="R240" s="314"/>
      <c r="S240" s="314"/>
      <c r="T240" s="383"/>
      <c r="U240" s="314"/>
      <c r="V240" s="369"/>
      <c r="W240" s="373"/>
      <c r="X240" s="5"/>
    </row>
    <row r="241" spans="1:25" ht="15.6" x14ac:dyDescent="0.3">
      <c r="A241" s="355"/>
      <c r="B241" s="356"/>
      <c r="C241" s="357"/>
      <c r="D241" s="357"/>
      <c r="E241" s="357"/>
      <c r="F241" s="358"/>
      <c r="G241" s="198"/>
      <c r="H241" s="198"/>
      <c r="I241" s="198"/>
      <c r="J241" s="198"/>
      <c r="K241" s="198"/>
      <c r="L241" s="198"/>
      <c r="M241" s="198"/>
      <c r="N241" s="198"/>
      <c r="O241" s="198"/>
      <c r="P241" s="198"/>
      <c r="Q241" s="198"/>
      <c r="R241" s="198"/>
      <c r="S241" s="198"/>
      <c r="T241" s="359"/>
      <c r="U241" s="198"/>
      <c r="V241" s="360"/>
      <c r="W241" s="361"/>
      <c r="X241" s="5"/>
    </row>
    <row r="242" spans="1:25" ht="15.6" x14ac:dyDescent="0.3">
      <c r="A242" s="262"/>
      <c r="B242" s="399" t="s">
        <v>308</v>
      </c>
      <c r="C242" s="400"/>
      <c r="D242" s="400"/>
      <c r="E242" s="400"/>
      <c r="F242" s="406"/>
      <c r="G242" s="400"/>
      <c r="H242" s="400"/>
      <c r="I242" s="400"/>
      <c r="J242" s="400"/>
      <c r="K242" s="400"/>
      <c r="L242" s="400"/>
      <c r="M242" s="400"/>
      <c r="N242" s="400"/>
      <c r="O242" s="400"/>
      <c r="P242" s="400"/>
      <c r="Q242" s="400"/>
      <c r="R242" s="406" t="s">
        <v>102</v>
      </c>
      <c r="S242" s="400" t="s">
        <v>103</v>
      </c>
      <c r="T242" s="406" t="s">
        <v>109</v>
      </c>
      <c r="U242" s="400" t="s">
        <v>103</v>
      </c>
      <c r="V242" s="263"/>
      <c r="W242" s="399"/>
      <c r="X242" s="5"/>
    </row>
    <row r="243" spans="1:25" ht="15.6" x14ac:dyDescent="0.3">
      <c r="A243" s="197"/>
      <c r="B243" s="234" t="s">
        <v>88</v>
      </c>
      <c r="C243" s="253"/>
      <c r="D243" s="253"/>
      <c r="E243" s="253"/>
      <c r="F243" s="231"/>
      <c r="G243" s="253"/>
      <c r="H243" s="253"/>
      <c r="I243" s="253"/>
      <c r="J243" s="253"/>
      <c r="K243" s="253"/>
      <c r="L243" s="253"/>
      <c r="M243" s="253"/>
      <c r="N243" s="253"/>
      <c r="O243" s="253"/>
      <c r="P243" s="253"/>
      <c r="Q243" s="253"/>
      <c r="R243" s="234">
        <f t="shared" ref="R243:R250" si="1">+R255+R267+R279</f>
        <v>7517</v>
      </c>
      <c r="S243" s="254">
        <f t="shared" ref="S243:S250" si="2">R243/$R$252</f>
        <v>0.99470689427021308</v>
      </c>
      <c r="T243" s="241">
        <f t="shared" ref="T243:T250" si="3">+T255+T267+T279</f>
        <v>1041911</v>
      </c>
      <c r="U243" s="254">
        <f t="shared" ref="U243:U250" si="4">T243/$T$252</f>
        <v>0.99487908608444398</v>
      </c>
      <c r="V243" s="250"/>
      <c r="W243" s="232"/>
      <c r="X243" s="5"/>
    </row>
    <row r="244" spans="1:25" ht="15.6" x14ac:dyDescent="0.3">
      <c r="A244" s="287"/>
      <c r="B244" s="337" t="s">
        <v>89</v>
      </c>
      <c r="C244" s="389"/>
      <c r="D244" s="389"/>
      <c r="E244" s="389"/>
      <c r="F244" s="288"/>
      <c r="G244" s="390"/>
      <c r="H244" s="389"/>
      <c r="I244" s="389"/>
      <c r="J244" s="389"/>
      <c r="K244" s="389"/>
      <c r="L244" s="389"/>
      <c r="M244" s="389"/>
      <c r="N244" s="389"/>
      <c r="O244" s="389"/>
      <c r="P244" s="389"/>
      <c r="Q244" s="389"/>
      <c r="R244" s="337">
        <f t="shared" si="1"/>
        <v>15</v>
      </c>
      <c r="S244" s="390">
        <f t="shared" si="2"/>
        <v>1.9849146486701072E-3</v>
      </c>
      <c r="T244" s="338">
        <f t="shared" si="3"/>
        <v>1725</v>
      </c>
      <c r="U244" s="390">
        <f t="shared" si="4"/>
        <v>1.6471334149420304E-3</v>
      </c>
      <c r="V244" s="365"/>
      <c r="W244" s="378"/>
      <c r="X244" s="5"/>
      <c r="Y244" s="109"/>
    </row>
    <row r="245" spans="1:25" ht="15.6" x14ac:dyDescent="0.3">
      <c r="A245" s="287"/>
      <c r="B245" s="337" t="s">
        <v>90</v>
      </c>
      <c r="C245" s="389"/>
      <c r="D245" s="389"/>
      <c r="E245" s="389"/>
      <c r="F245" s="288"/>
      <c r="G245" s="390"/>
      <c r="H245" s="389"/>
      <c r="I245" s="389"/>
      <c r="J245" s="389"/>
      <c r="K245" s="389"/>
      <c r="L245" s="389"/>
      <c r="M245" s="389"/>
      <c r="N245" s="389"/>
      <c r="O245" s="389"/>
      <c r="P245" s="389"/>
      <c r="Q245" s="389"/>
      <c r="R245" s="337">
        <f t="shared" si="1"/>
        <v>2</v>
      </c>
      <c r="S245" s="390">
        <f t="shared" si="2"/>
        <v>2.6465528648934763E-4</v>
      </c>
      <c r="T245" s="338">
        <f t="shared" si="3"/>
        <v>373</v>
      </c>
      <c r="U245" s="390">
        <f t="shared" si="4"/>
        <v>3.5616276160775498E-4</v>
      </c>
      <c r="V245" s="365"/>
      <c r="W245" s="378"/>
      <c r="X245" s="5"/>
    </row>
    <row r="246" spans="1:25" ht="15.6" x14ac:dyDescent="0.3">
      <c r="A246" s="287"/>
      <c r="B246" s="337" t="s">
        <v>156</v>
      </c>
      <c r="C246" s="389"/>
      <c r="D246" s="389"/>
      <c r="E246" s="389"/>
      <c r="F246" s="288"/>
      <c r="G246" s="390"/>
      <c r="H246" s="389"/>
      <c r="I246" s="389"/>
      <c r="J246" s="389"/>
      <c r="K246" s="389"/>
      <c r="L246" s="389"/>
      <c r="M246" s="389"/>
      <c r="N246" s="389"/>
      <c r="O246" s="389"/>
      <c r="P246" s="389"/>
      <c r="Q246" s="389"/>
      <c r="R246" s="337">
        <f t="shared" si="1"/>
        <v>5</v>
      </c>
      <c r="S246" s="390">
        <f t="shared" si="2"/>
        <v>6.6163821622336905E-4</v>
      </c>
      <c r="T246" s="338">
        <f t="shared" si="3"/>
        <v>544</v>
      </c>
      <c r="U246" s="390">
        <f t="shared" si="4"/>
        <v>5.1944381317592153E-4</v>
      </c>
      <c r="V246" s="365"/>
      <c r="W246" s="378"/>
      <c r="X246" s="5"/>
      <c r="Y246" s="109"/>
    </row>
    <row r="247" spans="1:25" ht="15.6" x14ac:dyDescent="0.3">
      <c r="A247" s="287"/>
      <c r="B247" s="337" t="s">
        <v>157</v>
      </c>
      <c r="C247" s="389"/>
      <c r="D247" s="389"/>
      <c r="E247" s="389"/>
      <c r="F247" s="288"/>
      <c r="G247" s="390"/>
      <c r="H247" s="389"/>
      <c r="I247" s="389"/>
      <c r="J247" s="389"/>
      <c r="K247" s="389"/>
      <c r="L247" s="389"/>
      <c r="M247" s="389"/>
      <c r="N247" s="389"/>
      <c r="O247" s="389"/>
      <c r="P247" s="389"/>
      <c r="Q247" s="389"/>
      <c r="R247" s="337">
        <f t="shared" si="1"/>
        <v>1</v>
      </c>
      <c r="S247" s="390">
        <f t="shared" si="2"/>
        <v>1.3232764324467382E-4</v>
      </c>
      <c r="T247" s="338">
        <f t="shared" si="3"/>
        <v>268</v>
      </c>
      <c r="U247" s="390">
        <f t="shared" si="4"/>
        <v>2.5590246678519661E-4</v>
      </c>
      <c r="V247" s="365"/>
      <c r="W247" s="378"/>
      <c r="X247" s="5"/>
    </row>
    <row r="248" spans="1:25" ht="15.6" x14ac:dyDescent="0.3">
      <c r="A248" s="287"/>
      <c r="B248" s="337" t="s">
        <v>158</v>
      </c>
      <c r="C248" s="389"/>
      <c r="D248" s="389"/>
      <c r="E248" s="389"/>
      <c r="F248" s="288"/>
      <c r="G248" s="390"/>
      <c r="H248" s="389"/>
      <c r="I248" s="389"/>
      <c r="J248" s="389"/>
      <c r="K248" s="389"/>
      <c r="L248" s="389"/>
      <c r="M248" s="389"/>
      <c r="N248" s="389"/>
      <c r="O248" s="389"/>
      <c r="P248" s="389"/>
      <c r="Q248" s="389"/>
      <c r="R248" s="337">
        <f t="shared" si="1"/>
        <v>0</v>
      </c>
      <c r="S248" s="390">
        <f t="shared" si="2"/>
        <v>0</v>
      </c>
      <c r="T248" s="338">
        <f t="shared" si="3"/>
        <v>0</v>
      </c>
      <c r="U248" s="390">
        <f t="shared" si="4"/>
        <v>0</v>
      </c>
      <c r="V248" s="365"/>
      <c r="W248" s="378"/>
      <c r="X248" s="5"/>
      <c r="Y248" s="109"/>
    </row>
    <row r="249" spans="1:25" ht="15.6" x14ac:dyDescent="0.3">
      <c r="A249" s="287"/>
      <c r="B249" s="337" t="s">
        <v>159</v>
      </c>
      <c r="C249" s="389"/>
      <c r="D249" s="389"/>
      <c r="E249" s="389"/>
      <c r="F249" s="288"/>
      <c r="G249" s="390"/>
      <c r="H249" s="389"/>
      <c r="I249" s="389"/>
      <c r="J249" s="389"/>
      <c r="K249" s="389"/>
      <c r="L249" s="389"/>
      <c r="M249" s="389"/>
      <c r="N249" s="389"/>
      <c r="O249" s="389"/>
      <c r="P249" s="389"/>
      <c r="Q249" s="389"/>
      <c r="R249" s="337">
        <f t="shared" si="1"/>
        <v>2</v>
      </c>
      <c r="S249" s="390">
        <f t="shared" si="2"/>
        <v>2.6465528648934763E-4</v>
      </c>
      <c r="T249" s="338">
        <f t="shared" si="3"/>
        <v>263</v>
      </c>
      <c r="U249" s="390">
        <f t="shared" si="4"/>
        <v>2.5112816703174145E-4</v>
      </c>
      <c r="V249" s="365"/>
      <c r="W249" s="378"/>
      <c r="X249" s="5"/>
    </row>
    <row r="250" spans="1:25" ht="15.6" x14ac:dyDescent="0.3">
      <c r="A250" s="287"/>
      <c r="B250" s="337" t="s">
        <v>160</v>
      </c>
      <c r="C250" s="389"/>
      <c r="D250" s="389"/>
      <c r="E250" s="389"/>
      <c r="F250" s="288"/>
      <c r="G250" s="390"/>
      <c r="H250" s="389"/>
      <c r="I250" s="389"/>
      <c r="J250" s="389"/>
      <c r="K250" s="389"/>
      <c r="L250" s="389"/>
      <c r="M250" s="389"/>
      <c r="N250" s="389"/>
      <c r="O250" s="389"/>
      <c r="P250" s="389"/>
      <c r="Q250" s="389"/>
      <c r="R250" s="339">
        <f t="shared" si="1"/>
        <v>15</v>
      </c>
      <c r="S250" s="393">
        <f t="shared" si="2"/>
        <v>1.9849146486701072E-3</v>
      </c>
      <c r="T250" s="394">
        <f t="shared" si="3"/>
        <v>2190</v>
      </c>
      <c r="U250" s="393">
        <f t="shared" si="4"/>
        <v>2.0911432920133603E-3</v>
      </c>
      <c r="V250" s="365"/>
      <c r="W250" s="378"/>
      <c r="X250" s="5"/>
      <c r="Y250" s="109"/>
    </row>
    <row r="251" spans="1:25" ht="15.6" x14ac:dyDescent="0.3">
      <c r="A251" s="287"/>
      <c r="B251" s="337"/>
      <c r="C251" s="389"/>
      <c r="D251" s="389"/>
      <c r="E251" s="389"/>
      <c r="F251" s="288"/>
      <c r="G251" s="390"/>
      <c r="H251" s="389"/>
      <c r="I251" s="389"/>
      <c r="J251" s="389"/>
      <c r="K251" s="389"/>
      <c r="L251" s="389"/>
      <c r="M251" s="389"/>
      <c r="N251" s="389"/>
      <c r="O251" s="389"/>
      <c r="P251" s="389"/>
      <c r="Q251" s="389"/>
      <c r="R251" s="337"/>
      <c r="S251" s="390"/>
      <c r="T251" s="338"/>
      <c r="U251" s="390"/>
      <c r="V251" s="365"/>
      <c r="W251" s="378"/>
      <c r="X251" s="5"/>
    </row>
    <row r="252" spans="1:25" ht="15.6" x14ac:dyDescent="0.3">
      <c r="A252" s="287"/>
      <c r="B252" s="288"/>
      <c r="C252" s="288"/>
      <c r="D252" s="288"/>
      <c r="E252" s="288"/>
      <c r="F252" s="288"/>
      <c r="G252" s="288"/>
      <c r="H252" s="391"/>
      <c r="I252" s="391"/>
      <c r="J252" s="391"/>
      <c r="K252" s="391"/>
      <c r="L252" s="391"/>
      <c r="M252" s="391"/>
      <c r="N252" s="391"/>
      <c r="O252" s="391"/>
      <c r="P252" s="391"/>
      <c r="Q252" s="391"/>
      <c r="R252" s="337">
        <f>SUM(R243:R251)</f>
        <v>7557</v>
      </c>
      <c r="S252" s="390">
        <f>SUM(S243:S251)</f>
        <v>1</v>
      </c>
      <c r="T252" s="338">
        <f>SUM(T243:T251)</f>
        <v>1047274</v>
      </c>
      <c r="U252" s="390">
        <f>SUM(U243:U251)</f>
        <v>1</v>
      </c>
      <c r="V252" s="288"/>
      <c r="W252" s="291"/>
      <c r="X252" s="5"/>
    </row>
    <row r="253" spans="1:25" ht="15.6" x14ac:dyDescent="0.3">
      <c r="A253" s="183"/>
      <c r="B253" s="198"/>
      <c r="C253" s="198"/>
      <c r="D253" s="198"/>
      <c r="E253" s="198"/>
      <c r="F253" s="198"/>
      <c r="G253" s="198"/>
      <c r="H253" s="386"/>
      <c r="I253" s="386"/>
      <c r="J253" s="386"/>
      <c r="K253" s="386"/>
      <c r="L253" s="386"/>
      <c r="M253" s="386"/>
      <c r="N253" s="386"/>
      <c r="O253" s="386"/>
      <c r="P253" s="386"/>
      <c r="Q253" s="386"/>
      <c r="R253" s="335"/>
      <c r="S253" s="387"/>
      <c r="T253" s="388"/>
      <c r="U253" s="387"/>
      <c r="V253" s="198"/>
      <c r="W253" s="198"/>
      <c r="X253" s="5"/>
    </row>
    <row r="254" spans="1:25" ht="15.6" x14ac:dyDescent="0.3">
      <c r="A254" s="262"/>
      <c r="B254" s="399" t="s">
        <v>162</v>
      </c>
      <c r="C254" s="400"/>
      <c r="D254" s="400"/>
      <c r="E254" s="400"/>
      <c r="F254" s="406"/>
      <c r="G254" s="400"/>
      <c r="H254" s="400"/>
      <c r="I254" s="400"/>
      <c r="J254" s="400"/>
      <c r="K254" s="400"/>
      <c r="L254" s="400"/>
      <c r="M254" s="400"/>
      <c r="N254" s="400"/>
      <c r="O254" s="400"/>
      <c r="P254" s="400"/>
      <c r="Q254" s="400"/>
      <c r="R254" s="406" t="s">
        <v>102</v>
      </c>
      <c r="S254" s="400" t="s">
        <v>103</v>
      </c>
      <c r="T254" s="406" t="s">
        <v>109</v>
      </c>
      <c r="U254" s="400" t="s">
        <v>103</v>
      </c>
      <c r="V254" s="263"/>
      <c r="W254" s="399"/>
      <c r="X254" s="5"/>
    </row>
    <row r="255" spans="1:25" ht="15.6" x14ac:dyDescent="0.3">
      <c r="A255" s="197"/>
      <c r="B255" s="234" t="s">
        <v>88</v>
      </c>
      <c r="C255" s="253"/>
      <c r="D255" s="253"/>
      <c r="E255" s="253"/>
      <c r="F255" s="231"/>
      <c r="G255" s="253"/>
      <c r="H255" s="253"/>
      <c r="I255" s="253"/>
      <c r="J255" s="253"/>
      <c r="K255" s="253"/>
      <c r="L255" s="253"/>
      <c r="M255" s="253"/>
      <c r="N255" s="253"/>
      <c r="O255" s="253"/>
      <c r="P255" s="253"/>
      <c r="Q255" s="253"/>
      <c r="R255" s="234">
        <v>7388</v>
      </c>
      <c r="S255" s="254">
        <f t="shared" ref="S255:S262" si="5">R255/$R$264</f>
        <v>0.99783900594273367</v>
      </c>
      <c r="T255" s="241">
        <v>1023664</v>
      </c>
      <c r="U255" s="254">
        <f t="shared" ref="U255:U262" si="6">T255/$T$264</f>
        <v>0.99804031300393692</v>
      </c>
      <c r="V255" s="250"/>
      <c r="W255" s="232"/>
      <c r="X255" s="5"/>
    </row>
    <row r="256" spans="1:25" ht="15.6" x14ac:dyDescent="0.3">
      <c r="A256" s="287"/>
      <c r="B256" s="337" t="s">
        <v>89</v>
      </c>
      <c r="C256" s="389"/>
      <c r="D256" s="389"/>
      <c r="E256" s="389"/>
      <c r="F256" s="288"/>
      <c r="G256" s="390"/>
      <c r="H256" s="389"/>
      <c r="I256" s="389"/>
      <c r="J256" s="389"/>
      <c r="K256" s="389"/>
      <c r="L256" s="389"/>
      <c r="M256" s="389"/>
      <c r="N256" s="389"/>
      <c r="O256" s="389"/>
      <c r="P256" s="389"/>
      <c r="Q256" s="389"/>
      <c r="R256" s="337">
        <v>11</v>
      </c>
      <c r="S256" s="390">
        <f t="shared" si="5"/>
        <v>1.4856834143706105E-3</v>
      </c>
      <c r="T256" s="338">
        <v>1205</v>
      </c>
      <c r="U256" s="390">
        <f t="shared" si="6"/>
        <v>1.1748372289830881E-3</v>
      </c>
      <c r="V256" s="365"/>
      <c r="W256" s="378"/>
      <c r="X256" s="5"/>
      <c r="Y256" s="109"/>
    </row>
    <row r="257" spans="1:25" ht="15.6" x14ac:dyDescent="0.3">
      <c r="A257" s="287"/>
      <c r="B257" s="337" t="s">
        <v>90</v>
      </c>
      <c r="C257" s="389"/>
      <c r="D257" s="389"/>
      <c r="E257" s="389"/>
      <c r="F257" s="288"/>
      <c r="G257" s="390"/>
      <c r="H257" s="389"/>
      <c r="I257" s="389"/>
      <c r="J257" s="389"/>
      <c r="K257" s="389"/>
      <c r="L257" s="389"/>
      <c r="M257" s="389"/>
      <c r="N257" s="389"/>
      <c r="O257" s="389"/>
      <c r="P257" s="389"/>
      <c r="Q257" s="389"/>
      <c r="R257" s="337">
        <v>2</v>
      </c>
      <c r="S257" s="390">
        <f t="shared" si="5"/>
        <v>2.7012425715829282E-4</v>
      </c>
      <c r="T257" s="338">
        <v>373</v>
      </c>
      <c r="U257" s="390">
        <f t="shared" si="6"/>
        <v>3.636633082246406E-4</v>
      </c>
      <c r="V257" s="365"/>
      <c r="W257" s="378"/>
      <c r="X257" s="5"/>
    </row>
    <row r="258" spans="1:25" ht="15.6" x14ac:dyDescent="0.3">
      <c r="A258" s="287"/>
      <c r="B258" s="337" t="s">
        <v>156</v>
      </c>
      <c r="C258" s="389"/>
      <c r="D258" s="389"/>
      <c r="E258" s="389"/>
      <c r="F258" s="288"/>
      <c r="G258" s="390"/>
      <c r="H258" s="389"/>
      <c r="I258" s="389"/>
      <c r="J258" s="389"/>
      <c r="K258" s="389"/>
      <c r="L258" s="389"/>
      <c r="M258" s="389"/>
      <c r="N258" s="389"/>
      <c r="O258" s="389"/>
      <c r="P258" s="389"/>
      <c r="Q258" s="389"/>
      <c r="R258" s="337">
        <v>2</v>
      </c>
      <c r="S258" s="390">
        <f t="shared" si="5"/>
        <v>2.7012425715829282E-4</v>
      </c>
      <c r="T258" s="338">
        <v>290</v>
      </c>
      <c r="U258" s="390">
        <f t="shared" si="6"/>
        <v>2.8274090987974736E-4</v>
      </c>
      <c r="V258" s="365"/>
      <c r="W258" s="378"/>
      <c r="X258" s="5"/>
      <c r="Y258" s="109"/>
    </row>
    <row r="259" spans="1:25" ht="15.6" x14ac:dyDescent="0.3">
      <c r="A259" s="287"/>
      <c r="B259" s="337" t="s">
        <v>157</v>
      </c>
      <c r="C259" s="389"/>
      <c r="D259" s="389"/>
      <c r="E259" s="389"/>
      <c r="F259" s="288"/>
      <c r="G259" s="390"/>
      <c r="H259" s="389"/>
      <c r="I259" s="389"/>
      <c r="J259" s="389"/>
      <c r="K259" s="389"/>
      <c r="L259" s="389"/>
      <c r="M259" s="389"/>
      <c r="N259" s="389"/>
      <c r="O259" s="389"/>
      <c r="P259" s="389"/>
      <c r="Q259" s="389"/>
      <c r="R259" s="337">
        <v>0</v>
      </c>
      <c r="S259" s="390">
        <f t="shared" si="5"/>
        <v>0</v>
      </c>
      <c r="T259" s="338">
        <v>0</v>
      </c>
      <c r="U259" s="390">
        <f t="shared" si="6"/>
        <v>0</v>
      </c>
      <c r="V259" s="365"/>
      <c r="W259" s="378"/>
      <c r="X259" s="5"/>
    </row>
    <row r="260" spans="1:25" ht="15.6" x14ac:dyDescent="0.3">
      <c r="A260" s="287"/>
      <c r="B260" s="337" t="s">
        <v>158</v>
      </c>
      <c r="C260" s="389"/>
      <c r="D260" s="389"/>
      <c r="E260" s="389"/>
      <c r="F260" s="288"/>
      <c r="G260" s="390"/>
      <c r="H260" s="389"/>
      <c r="I260" s="389"/>
      <c r="J260" s="389"/>
      <c r="K260" s="389"/>
      <c r="L260" s="389"/>
      <c r="M260" s="389"/>
      <c r="N260" s="389"/>
      <c r="O260" s="389"/>
      <c r="P260" s="389"/>
      <c r="Q260" s="389"/>
      <c r="R260" s="337">
        <v>0</v>
      </c>
      <c r="S260" s="390">
        <f t="shared" si="5"/>
        <v>0</v>
      </c>
      <c r="T260" s="338">
        <v>0</v>
      </c>
      <c r="U260" s="390">
        <f t="shared" si="6"/>
        <v>0</v>
      </c>
      <c r="V260" s="365"/>
      <c r="W260" s="378"/>
      <c r="X260" s="5"/>
      <c r="Y260" s="109"/>
    </row>
    <row r="261" spans="1:25" ht="15.6" x14ac:dyDescent="0.3">
      <c r="A261" s="287"/>
      <c r="B261" s="337" t="s">
        <v>159</v>
      </c>
      <c r="C261" s="389"/>
      <c r="D261" s="389"/>
      <c r="E261" s="389"/>
      <c r="F261" s="288"/>
      <c r="G261" s="390"/>
      <c r="H261" s="389"/>
      <c r="I261" s="389"/>
      <c r="J261" s="389"/>
      <c r="K261" s="389"/>
      <c r="L261" s="389"/>
      <c r="M261" s="389"/>
      <c r="N261" s="389"/>
      <c r="O261" s="389"/>
      <c r="P261" s="389"/>
      <c r="Q261" s="389"/>
      <c r="R261" s="337">
        <v>0</v>
      </c>
      <c r="S261" s="390">
        <f t="shared" si="5"/>
        <v>0</v>
      </c>
      <c r="T261" s="338">
        <v>0</v>
      </c>
      <c r="U261" s="390">
        <f t="shared" si="6"/>
        <v>0</v>
      </c>
      <c r="V261" s="365"/>
      <c r="W261" s="378"/>
      <c r="X261" s="5"/>
    </row>
    <row r="262" spans="1:25" ht="15.6" x14ac:dyDescent="0.3">
      <c r="A262" s="287"/>
      <c r="B262" s="337" t="s">
        <v>160</v>
      </c>
      <c r="C262" s="389"/>
      <c r="D262" s="389"/>
      <c r="E262" s="389"/>
      <c r="F262" s="288"/>
      <c r="G262" s="390"/>
      <c r="H262" s="389"/>
      <c r="I262" s="389"/>
      <c r="J262" s="389"/>
      <c r="K262" s="389"/>
      <c r="L262" s="389"/>
      <c r="M262" s="389"/>
      <c r="N262" s="389"/>
      <c r="O262" s="389"/>
      <c r="P262" s="389"/>
      <c r="Q262" s="389"/>
      <c r="R262" s="337">
        <v>1</v>
      </c>
      <c r="S262" s="390">
        <f t="shared" si="5"/>
        <v>1.3506212857914641E-4</v>
      </c>
      <c r="T262" s="338">
        <v>142</v>
      </c>
      <c r="U262" s="390">
        <f t="shared" si="6"/>
        <v>1.3844554897560045E-4</v>
      </c>
      <c r="V262" s="365"/>
      <c r="W262" s="378"/>
      <c r="X262" s="5"/>
      <c r="Y262" s="109"/>
    </row>
    <row r="263" spans="1:25" ht="15.6" x14ac:dyDescent="0.3">
      <c r="A263" s="287"/>
      <c r="B263" s="337"/>
      <c r="C263" s="389"/>
      <c r="D263" s="389"/>
      <c r="E263" s="389"/>
      <c r="F263" s="288"/>
      <c r="G263" s="390"/>
      <c r="H263" s="389"/>
      <c r="I263" s="389"/>
      <c r="J263" s="389"/>
      <c r="K263" s="389"/>
      <c r="L263" s="389"/>
      <c r="M263" s="389"/>
      <c r="N263" s="389"/>
      <c r="O263" s="389"/>
      <c r="P263" s="389"/>
      <c r="Q263" s="389"/>
      <c r="R263" s="337"/>
      <c r="S263" s="390"/>
      <c r="T263" s="338"/>
      <c r="U263" s="390"/>
      <c r="V263" s="365"/>
      <c r="W263" s="378"/>
      <c r="X263" s="5"/>
    </row>
    <row r="264" spans="1:25" ht="15.6" x14ac:dyDescent="0.3">
      <c r="A264" s="287"/>
      <c r="B264" s="288"/>
      <c r="C264" s="288"/>
      <c r="D264" s="288"/>
      <c r="E264" s="288"/>
      <c r="F264" s="288"/>
      <c r="G264" s="288"/>
      <c r="H264" s="391"/>
      <c r="I264" s="391"/>
      <c r="J264" s="391"/>
      <c r="K264" s="391"/>
      <c r="L264" s="391"/>
      <c r="M264" s="391"/>
      <c r="N264" s="391"/>
      <c r="O264" s="391"/>
      <c r="P264" s="391"/>
      <c r="Q264" s="391"/>
      <c r="R264" s="337">
        <f>SUM(R255:R263)</f>
        <v>7404</v>
      </c>
      <c r="S264" s="390">
        <f>SUM(S255:S263)</f>
        <v>1</v>
      </c>
      <c r="T264" s="338">
        <f>SUM(T255:T263)</f>
        <v>1025674</v>
      </c>
      <c r="U264" s="390">
        <f>SUM(U255:U263)</f>
        <v>1</v>
      </c>
      <c r="V264" s="288"/>
      <c r="W264" s="291"/>
      <c r="X264" s="5"/>
    </row>
    <row r="265" spans="1:25" ht="15.6" x14ac:dyDescent="0.3">
      <c r="A265" s="183"/>
      <c r="B265" s="198"/>
      <c r="C265" s="198"/>
      <c r="D265" s="198"/>
      <c r="E265" s="198"/>
      <c r="F265" s="198"/>
      <c r="G265" s="198"/>
      <c r="H265" s="386"/>
      <c r="I265" s="386"/>
      <c r="J265" s="386"/>
      <c r="K265" s="386"/>
      <c r="L265" s="386"/>
      <c r="M265" s="386"/>
      <c r="N265" s="386"/>
      <c r="O265" s="386"/>
      <c r="P265" s="386"/>
      <c r="Q265" s="386"/>
      <c r="R265" s="335"/>
      <c r="S265" s="387"/>
      <c r="T265" s="388"/>
      <c r="U265" s="387"/>
      <c r="V265" s="198"/>
      <c r="W265" s="198"/>
      <c r="X265" s="5"/>
    </row>
    <row r="266" spans="1:25" ht="15.6" x14ac:dyDescent="0.3">
      <c r="A266" s="280"/>
      <c r="B266" s="399" t="s">
        <v>275</v>
      </c>
      <c r="C266" s="400"/>
      <c r="D266" s="400"/>
      <c r="E266" s="400"/>
      <c r="F266" s="406"/>
      <c r="G266" s="400"/>
      <c r="H266" s="400"/>
      <c r="I266" s="400"/>
      <c r="J266" s="400"/>
      <c r="K266" s="400"/>
      <c r="L266" s="400"/>
      <c r="M266" s="400"/>
      <c r="N266" s="400"/>
      <c r="O266" s="400"/>
      <c r="P266" s="400"/>
      <c r="Q266" s="400"/>
      <c r="R266" s="406" t="s">
        <v>102</v>
      </c>
      <c r="S266" s="400" t="s">
        <v>103</v>
      </c>
      <c r="T266" s="406" t="s">
        <v>109</v>
      </c>
      <c r="U266" s="400" t="s">
        <v>103</v>
      </c>
      <c r="V266" s="281"/>
      <c r="W266" s="282"/>
      <c r="X266" s="5"/>
    </row>
    <row r="267" spans="1:25" ht="15.6" x14ac:dyDescent="0.3">
      <c r="A267" s="197"/>
      <c r="B267" s="234" t="s">
        <v>88</v>
      </c>
      <c r="C267" s="253"/>
      <c r="D267" s="253"/>
      <c r="E267" s="253"/>
      <c r="F267" s="231"/>
      <c r="G267" s="253"/>
      <c r="H267" s="253"/>
      <c r="I267" s="253"/>
      <c r="J267" s="253"/>
      <c r="K267" s="253"/>
      <c r="L267" s="253"/>
      <c r="M267" s="253"/>
      <c r="N267" s="253"/>
      <c r="O267" s="253"/>
      <c r="P267" s="253"/>
      <c r="Q267" s="253"/>
      <c r="R267" s="234">
        <v>129</v>
      </c>
      <c r="S267" s="254">
        <f t="shared" ref="S267:S274" si="7">R267/$R$276</f>
        <v>0.86</v>
      </c>
      <c r="T267" s="241">
        <v>18247</v>
      </c>
      <c r="U267" s="254">
        <f t="shared" ref="U267:U274" si="8">T267/$T$276</f>
        <v>0.85143017124725862</v>
      </c>
      <c r="V267" s="231"/>
      <c r="W267" s="231"/>
      <c r="X267" s="5"/>
    </row>
    <row r="268" spans="1:25" ht="15.6" x14ac:dyDescent="0.3">
      <c r="A268" s="287"/>
      <c r="B268" s="337" t="s">
        <v>89</v>
      </c>
      <c r="C268" s="389"/>
      <c r="D268" s="389"/>
      <c r="E268" s="389"/>
      <c r="F268" s="288"/>
      <c r="G268" s="390"/>
      <c r="H268" s="389"/>
      <c r="I268" s="389"/>
      <c r="J268" s="389"/>
      <c r="K268" s="389"/>
      <c r="L268" s="389"/>
      <c r="M268" s="389"/>
      <c r="N268" s="389"/>
      <c r="O268" s="389"/>
      <c r="P268" s="389"/>
      <c r="Q268" s="389"/>
      <c r="R268" s="337">
        <v>4</v>
      </c>
      <c r="S268" s="390">
        <f t="shared" si="7"/>
        <v>2.6666666666666668E-2</v>
      </c>
      <c r="T268" s="338">
        <v>520</v>
      </c>
      <c r="U268" s="390">
        <f t="shared" si="8"/>
        <v>2.4263916756100977E-2</v>
      </c>
      <c r="V268" s="288"/>
      <c r="W268" s="291"/>
      <c r="X268" s="5"/>
    </row>
    <row r="269" spans="1:25" ht="15.6" x14ac:dyDescent="0.3">
      <c r="A269" s="287"/>
      <c r="B269" s="337" t="s">
        <v>90</v>
      </c>
      <c r="C269" s="389"/>
      <c r="D269" s="389"/>
      <c r="E269" s="389"/>
      <c r="F269" s="288"/>
      <c r="G269" s="390"/>
      <c r="H269" s="389"/>
      <c r="I269" s="389"/>
      <c r="J269" s="389"/>
      <c r="K269" s="389"/>
      <c r="L269" s="389"/>
      <c r="M269" s="389"/>
      <c r="N269" s="389"/>
      <c r="O269" s="389"/>
      <c r="P269" s="389"/>
      <c r="Q269" s="389"/>
      <c r="R269" s="337">
        <v>0</v>
      </c>
      <c r="S269" s="390">
        <f t="shared" si="7"/>
        <v>0</v>
      </c>
      <c r="T269" s="338">
        <v>0</v>
      </c>
      <c r="U269" s="390">
        <f t="shared" si="8"/>
        <v>0</v>
      </c>
      <c r="V269" s="288"/>
      <c r="W269" s="291"/>
      <c r="X269" s="5"/>
    </row>
    <row r="270" spans="1:25" ht="15.6" x14ac:dyDescent="0.3">
      <c r="A270" s="287"/>
      <c r="B270" s="337" t="s">
        <v>156</v>
      </c>
      <c r="C270" s="389"/>
      <c r="D270" s="389"/>
      <c r="E270" s="389"/>
      <c r="F270" s="288"/>
      <c r="G270" s="390"/>
      <c r="H270" s="389"/>
      <c r="I270" s="389"/>
      <c r="J270" s="389"/>
      <c r="K270" s="389"/>
      <c r="L270" s="389"/>
      <c r="M270" s="389"/>
      <c r="N270" s="389"/>
      <c r="O270" s="389"/>
      <c r="P270" s="389"/>
      <c r="Q270" s="389"/>
      <c r="R270" s="337">
        <v>1</v>
      </c>
      <c r="S270" s="390">
        <f t="shared" si="7"/>
        <v>6.6666666666666671E-3</v>
      </c>
      <c r="T270" s="338">
        <v>154</v>
      </c>
      <c r="U270" s="390">
        <f t="shared" si="8"/>
        <v>7.1858522700760583E-3</v>
      </c>
      <c r="V270" s="288"/>
      <c r="W270" s="291"/>
      <c r="X270" s="5"/>
    </row>
    <row r="271" spans="1:25" ht="15.6" x14ac:dyDescent="0.3">
      <c r="A271" s="287"/>
      <c r="B271" s="337" t="s">
        <v>157</v>
      </c>
      <c r="C271" s="389"/>
      <c r="D271" s="389"/>
      <c r="E271" s="389"/>
      <c r="F271" s="288"/>
      <c r="G271" s="390"/>
      <c r="H271" s="389"/>
      <c r="I271" s="389"/>
      <c r="J271" s="389"/>
      <c r="K271" s="389"/>
      <c r="L271" s="389"/>
      <c r="M271" s="389"/>
      <c r="N271" s="389"/>
      <c r="O271" s="389"/>
      <c r="P271" s="389"/>
      <c r="Q271" s="389"/>
      <c r="R271" s="337">
        <v>1</v>
      </c>
      <c r="S271" s="390">
        <f t="shared" si="7"/>
        <v>6.6666666666666671E-3</v>
      </c>
      <c r="T271" s="338">
        <v>268</v>
      </c>
      <c r="U271" s="390">
        <f t="shared" si="8"/>
        <v>1.2505249405067425E-2</v>
      </c>
      <c r="V271" s="288"/>
      <c r="W271" s="291"/>
      <c r="X271" s="5"/>
    </row>
    <row r="272" spans="1:25" ht="15.6" x14ac:dyDescent="0.3">
      <c r="A272" s="287"/>
      <c r="B272" s="337" t="s">
        <v>158</v>
      </c>
      <c r="C272" s="389"/>
      <c r="D272" s="389"/>
      <c r="E272" s="389"/>
      <c r="F272" s="288"/>
      <c r="G272" s="390"/>
      <c r="H272" s="389"/>
      <c r="I272" s="389"/>
      <c r="J272" s="389"/>
      <c r="K272" s="389"/>
      <c r="L272" s="389"/>
      <c r="M272" s="389"/>
      <c r="N272" s="389"/>
      <c r="O272" s="389"/>
      <c r="P272" s="389"/>
      <c r="Q272" s="389"/>
      <c r="R272" s="337">
        <v>0</v>
      </c>
      <c r="S272" s="390">
        <f t="shared" si="7"/>
        <v>0</v>
      </c>
      <c r="T272" s="338">
        <v>0</v>
      </c>
      <c r="U272" s="390">
        <f t="shared" si="8"/>
        <v>0</v>
      </c>
      <c r="V272" s="288"/>
      <c r="W272" s="291"/>
      <c r="X272" s="5"/>
    </row>
    <row r="273" spans="1:24" ht="15.6" x14ac:dyDescent="0.3">
      <c r="A273" s="287"/>
      <c r="B273" s="337" t="s">
        <v>159</v>
      </c>
      <c r="C273" s="389"/>
      <c r="D273" s="389"/>
      <c r="E273" s="389"/>
      <c r="F273" s="288"/>
      <c r="G273" s="390"/>
      <c r="H273" s="389"/>
      <c r="I273" s="389"/>
      <c r="J273" s="389"/>
      <c r="K273" s="389"/>
      <c r="L273" s="389"/>
      <c r="M273" s="389"/>
      <c r="N273" s="389"/>
      <c r="O273" s="389"/>
      <c r="P273" s="389"/>
      <c r="Q273" s="389"/>
      <c r="R273" s="337">
        <v>1</v>
      </c>
      <c r="S273" s="390">
        <f t="shared" si="7"/>
        <v>6.6666666666666671E-3</v>
      </c>
      <c r="T273" s="338">
        <v>194</v>
      </c>
      <c r="U273" s="390">
        <f t="shared" si="8"/>
        <v>9.0523074051607477E-3</v>
      </c>
      <c r="V273" s="288"/>
      <c r="W273" s="291"/>
      <c r="X273" s="5"/>
    </row>
    <row r="274" spans="1:24" ht="15.6" x14ac:dyDescent="0.3">
      <c r="A274" s="287"/>
      <c r="B274" s="337" t="s">
        <v>160</v>
      </c>
      <c r="C274" s="389"/>
      <c r="D274" s="389"/>
      <c r="E274" s="389"/>
      <c r="F274" s="288"/>
      <c r="G274" s="390"/>
      <c r="H274" s="389"/>
      <c r="I274" s="389"/>
      <c r="J274" s="389"/>
      <c r="K274" s="389"/>
      <c r="L274" s="389"/>
      <c r="M274" s="389"/>
      <c r="N274" s="389"/>
      <c r="O274" s="389"/>
      <c r="P274" s="389"/>
      <c r="Q274" s="389"/>
      <c r="R274" s="337">
        <v>14</v>
      </c>
      <c r="S274" s="390">
        <f t="shared" si="7"/>
        <v>9.3333333333333338E-2</v>
      </c>
      <c r="T274" s="338">
        <v>2048</v>
      </c>
      <c r="U274" s="390">
        <f t="shared" si="8"/>
        <v>9.5562502916336153E-2</v>
      </c>
      <c r="V274" s="288"/>
      <c r="W274" s="291"/>
      <c r="X274" s="5"/>
    </row>
    <row r="275" spans="1:24" ht="15.6" x14ac:dyDescent="0.3">
      <c r="A275" s="287"/>
      <c r="B275" s="337"/>
      <c r="C275" s="389"/>
      <c r="D275" s="389"/>
      <c r="E275" s="389"/>
      <c r="F275" s="288"/>
      <c r="G275" s="390"/>
      <c r="H275" s="389"/>
      <c r="I275" s="389"/>
      <c r="J275" s="389"/>
      <c r="K275" s="389"/>
      <c r="L275" s="389"/>
      <c r="M275" s="389"/>
      <c r="N275" s="389"/>
      <c r="O275" s="389"/>
      <c r="P275" s="389"/>
      <c r="Q275" s="389"/>
      <c r="R275" s="337"/>
      <c r="S275" s="390"/>
      <c r="T275" s="338"/>
      <c r="U275" s="390"/>
      <c r="V275" s="288"/>
      <c r="W275" s="291"/>
      <c r="X275" s="5"/>
    </row>
    <row r="276" spans="1:24" ht="15.6" x14ac:dyDescent="0.3">
      <c r="A276" s="287"/>
      <c r="B276" s="288"/>
      <c r="C276" s="288"/>
      <c r="D276" s="288"/>
      <c r="E276" s="288"/>
      <c r="F276" s="288"/>
      <c r="G276" s="288"/>
      <c r="H276" s="391"/>
      <c r="I276" s="391"/>
      <c r="J276" s="391"/>
      <c r="K276" s="391"/>
      <c r="L276" s="391"/>
      <c r="M276" s="391"/>
      <c r="N276" s="391"/>
      <c r="O276" s="391"/>
      <c r="P276" s="391"/>
      <c r="Q276" s="391"/>
      <c r="R276" s="337">
        <f>SUM(R267:R275)</f>
        <v>150</v>
      </c>
      <c r="S276" s="390">
        <f>SUM(S267:S275)</f>
        <v>1</v>
      </c>
      <c r="T276" s="338">
        <f>SUM(T267:T275)</f>
        <v>21431</v>
      </c>
      <c r="U276" s="390">
        <f>SUM(U267:U275)</f>
        <v>1</v>
      </c>
      <c r="V276" s="288"/>
      <c r="W276" s="291"/>
      <c r="X276" s="5"/>
    </row>
    <row r="277" spans="1:24" ht="15.6" x14ac:dyDescent="0.3">
      <c r="A277" s="183"/>
      <c r="B277" s="284"/>
      <c r="C277" s="284"/>
      <c r="D277" s="284"/>
      <c r="E277" s="284"/>
      <c r="F277" s="284"/>
      <c r="G277" s="284"/>
      <c r="H277" s="392"/>
      <c r="I277" s="392"/>
      <c r="J277" s="392"/>
      <c r="K277" s="392"/>
      <c r="L277" s="392"/>
      <c r="M277" s="392"/>
      <c r="N277" s="392"/>
      <c r="O277" s="392"/>
      <c r="P277" s="392"/>
      <c r="Q277" s="392"/>
      <c r="R277" s="339"/>
      <c r="S277" s="393"/>
      <c r="T277" s="394"/>
      <c r="U277" s="393"/>
      <c r="V277" s="284"/>
      <c r="W277" s="284"/>
      <c r="X277" s="5"/>
    </row>
    <row r="278" spans="1:24" ht="15.6" x14ac:dyDescent="0.3">
      <c r="A278" s="280"/>
      <c r="B278" s="399" t="s">
        <v>163</v>
      </c>
      <c r="C278" s="281"/>
      <c r="D278" s="281"/>
      <c r="E278" s="281"/>
      <c r="F278" s="281"/>
      <c r="G278" s="281"/>
      <c r="H278" s="283"/>
      <c r="I278" s="283"/>
      <c r="J278" s="283"/>
      <c r="K278" s="283"/>
      <c r="L278" s="283"/>
      <c r="M278" s="283"/>
      <c r="N278" s="283"/>
      <c r="O278" s="283"/>
      <c r="P278" s="283"/>
      <c r="Q278" s="283"/>
      <c r="R278" s="406" t="s">
        <v>102</v>
      </c>
      <c r="S278" s="400" t="s">
        <v>103</v>
      </c>
      <c r="T278" s="406" t="s">
        <v>109</v>
      </c>
      <c r="U278" s="400" t="s">
        <v>103</v>
      </c>
      <c r="V278" s="281"/>
      <c r="W278" s="282"/>
      <c r="X278" s="5"/>
    </row>
    <row r="279" spans="1:24" ht="15.6" x14ac:dyDescent="0.3">
      <c r="A279" s="197"/>
      <c r="B279" s="234" t="s">
        <v>88</v>
      </c>
      <c r="C279" s="231"/>
      <c r="D279" s="231"/>
      <c r="E279" s="231"/>
      <c r="F279" s="231"/>
      <c r="G279" s="231"/>
      <c r="H279" s="255"/>
      <c r="I279" s="255"/>
      <c r="J279" s="255"/>
      <c r="K279" s="255"/>
      <c r="L279" s="255"/>
      <c r="M279" s="255"/>
      <c r="N279" s="255"/>
      <c r="O279" s="255"/>
      <c r="P279" s="255"/>
      <c r="Q279" s="255"/>
      <c r="R279" s="234">
        <v>0</v>
      </c>
      <c r="S279" s="254">
        <v>0</v>
      </c>
      <c r="T279" s="241">
        <v>0</v>
      </c>
      <c r="U279" s="254">
        <v>0</v>
      </c>
      <c r="V279" s="231"/>
      <c r="W279" s="231"/>
      <c r="X279" s="5"/>
    </row>
    <row r="280" spans="1:24" ht="15.6" x14ac:dyDescent="0.3">
      <c r="A280" s="287"/>
      <c r="B280" s="337" t="s">
        <v>89</v>
      </c>
      <c r="C280" s="288"/>
      <c r="D280" s="288"/>
      <c r="E280" s="288"/>
      <c r="F280" s="288"/>
      <c r="G280" s="288"/>
      <c r="H280" s="391"/>
      <c r="I280" s="391"/>
      <c r="J280" s="391"/>
      <c r="K280" s="391"/>
      <c r="L280" s="391"/>
      <c r="M280" s="391"/>
      <c r="N280" s="391"/>
      <c r="O280" s="391"/>
      <c r="P280" s="391"/>
      <c r="Q280" s="391"/>
      <c r="R280" s="337">
        <v>0</v>
      </c>
      <c r="S280" s="390">
        <v>0</v>
      </c>
      <c r="T280" s="338">
        <v>0</v>
      </c>
      <c r="U280" s="390">
        <v>0</v>
      </c>
      <c r="V280" s="288"/>
      <c r="W280" s="291"/>
      <c r="X280" s="5"/>
    </row>
    <row r="281" spans="1:24" ht="15.6" x14ac:dyDescent="0.3">
      <c r="A281" s="287"/>
      <c r="B281" s="337" t="s">
        <v>90</v>
      </c>
      <c r="C281" s="288"/>
      <c r="D281" s="288"/>
      <c r="E281" s="288"/>
      <c r="F281" s="288"/>
      <c r="G281" s="288"/>
      <c r="H281" s="391"/>
      <c r="I281" s="391"/>
      <c r="J281" s="391"/>
      <c r="K281" s="391"/>
      <c r="L281" s="391"/>
      <c r="M281" s="391"/>
      <c r="N281" s="391"/>
      <c r="O281" s="391"/>
      <c r="P281" s="391"/>
      <c r="Q281" s="391"/>
      <c r="R281" s="337">
        <v>0</v>
      </c>
      <c r="S281" s="390">
        <v>0</v>
      </c>
      <c r="T281" s="338">
        <v>0</v>
      </c>
      <c r="U281" s="390">
        <v>0</v>
      </c>
      <c r="V281" s="288"/>
      <c r="W281" s="291"/>
      <c r="X281" s="5"/>
    </row>
    <row r="282" spans="1:24" ht="15.6" x14ac:dyDescent="0.3">
      <c r="A282" s="287"/>
      <c r="B282" s="337" t="s">
        <v>156</v>
      </c>
      <c r="C282" s="288"/>
      <c r="D282" s="288"/>
      <c r="E282" s="288"/>
      <c r="F282" s="288"/>
      <c r="G282" s="288"/>
      <c r="H282" s="391"/>
      <c r="I282" s="391"/>
      <c r="J282" s="391"/>
      <c r="K282" s="391"/>
      <c r="L282" s="391"/>
      <c r="M282" s="391"/>
      <c r="N282" s="391"/>
      <c r="O282" s="391"/>
      <c r="P282" s="391"/>
      <c r="Q282" s="391"/>
      <c r="R282" s="337">
        <v>2</v>
      </c>
      <c r="S282" s="390">
        <f>R282/R288</f>
        <v>0.66666666666666663</v>
      </c>
      <c r="T282" s="338">
        <v>100</v>
      </c>
      <c r="U282" s="390">
        <f>T282/T288</f>
        <v>0.59171597633136097</v>
      </c>
      <c r="V282" s="288"/>
      <c r="W282" s="291"/>
      <c r="X282" s="5"/>
    </row>
    <row r="283" spans="1:24" ht="15.6" x14ac:dyDescent="0.3">
      <c r="A283" s="287"/>
      <c r="B283" s="337" t="s">
        <v>157</v>
      </c>
      <c r="C283" s="288"/>
      <c r="D283" s="288"/>
      <c r="E283" s="288"/>
      <c r="F283" s="288"/>
      <c r="G283" s="288"/>
      <c r="H283" s="391"/>
      <c r="I283" s="391"/>
      <c r="J283" s="391"/>
      <c r="K283" s="391"/>
      <c r="L283" s="391"/>
      <c r="M283" s="391"/>
      <c r="N283" s="391"/>
      <c r="O283" s="391"/>
      <c r="P283" s="391"/>
      <c r="Q283" s="391"/>
      <c r="R283" s="337">
        <v>0</v>
      </c>
      <c r="S283" s="390">
        <v>0</v>
      </c>
      <c r="T283" s="338">
        <v>0</v>
      </c>
      <c r="U283" s="390">
        <v>0</v>
      </c>
      <c r="V283" s="288"/>
      <c r="W283" s="291"/>
      <c r="X283" s="5"/>
    </row>
    <row r="284" spans="1:24" ht="15.6" x14ac:dyDescent="0.3">
      <c r="A284" s="287"/>
      <c r="B284" s="337" t="s">
        <v>158</v>
      </c>
      <c r="C284" s="288"/>
      <c r="D284" s="288"/>
      <c r="E284" s="288"/>
      <c r="F284" s="288"/>
      <c r="G284" s="288"/>
      <c r="H284" s="391"/>
      <c r="I284" s="391"/>
      <c r="J284" s="391"/>
      <c r="K284" s="391"/>
      <c r="L284" s="391"/>
      <c r="M284" s="391"/>
      <c r="N284" s="391"/>
      <c r="O284" s="391"/>
      <c r="P284" s="391"/>
      <c r="Q284" s="391"/>
      <c r="R284" s="337">
        <v>0</v>
      </c>
      <c r="S284" s="390">
        <v>0</v>
      </c>
      <c r="T284" s="338">
        <v>0</v>
      </c>
      <c r="U284" s="390">
        <v>0</v>
      </c>
      <c r="V284" s="288"/>
      <c r="W284" s="291"/>
      <c r="X284" s="5"/>
    </row>
    <row r="285" spans="1:24" ht="15.6" x14ac:dyDescent="0.3">
      <c r="A285" s="287"/>
      <c r="B285" s="337" t="s">
        <v>159</v>
      </c>
      <c r="C285" s="288"/>
      <c r="D285" s="288"/>
      <c r="E285" s="288"/>
      <c r="F285" s="288"/>
      <c r="G285" s="288"/>
      <c r="H285" s="391"/>
      <c r="I285" s="391"/>
      <c r="J285" s="391"/>
      <c r="K285" s="391"/>
      <c r="L285" s="391"/>
      <c r="M285" s="391"/>
      <c r="N285" s="391"/>
      <c r="O285" s="391"/>
      <c r="P285" s="391"/>
      <c r="Q285" s="391"/>
      <c r="R285" s="337">
        <v>1</v>
      </c>
      <c r="S285" s="390">
        <f>R285/R288</f>
        <v>0.33333333333333331</v>
      </c>
      <c r="T285" s="338">
        <v>69</v>
      </c>
      <c r="U285" s="390">
        <f>T285/T288</f>
        <v>0.40828402366863903</v>
      </c>
      <c r="V285" s="288"/>
      <c r="W285" s="291"/>
      <c r="X285" s="5"/>
    </row>
    <row r="286" spans="1:24" ht="15.6" x14ac:dyDescent="0.3">
      <c r="A286" s="287"/>
      <c r="B286" s="337" t="s">
        <v>160</v>
      </c>
      <c r="C286" s="288"/>
      <c r="D286" s="288"/>
      <c r="E286" s="288"/>
      <c r="F286" s="288"/>
      <c r="G286" s="288"/>
      <c r="H286" s="391"/>
      <c r="I286" s="391"/>
      <c r="J286" s="391"/>
      <c r="K286" s="391"/>
      <c r="L286" s="391"/>
      <c r="M286" s="391"/>
      <c r="N286" s="391"/>
      <c r="O286" s="391"/>
      <c r="P286" s="391"/>
      <c r="Q286" s="391"/>
      <c r="R286" s="337">
        <v>0</v>
      </c>
      <c r="S286" s="390">
        <v>0</v>
      </c>
      <c r="T286" s="338">
        <v>0</v>
      </c>
      <c r="U286" s="390">
        <v>0</v>
      </c>
      <c r="V286" s="288"/>
      <c r="W286" s="291"/>
      <c r="X286" s="5"/>
    </row>
    <row r="287" spans="1:24" ht="15.6" x14ac:dyDescent="0.3">
      <c r="A287" s="287"/>
      <c r="B287" s="337"/>
      <c r="C287" s="288"/>
      <c r="D287" s="288"/>
      <c r="E287" s="288"/>
      <c r="F287" s="288"/>
      <c r="G287" s="288"/>
      <c r="H287" s="391"/>
      <c r="I287" s="391"/>
      <c r="J287" s="391"/>
      <c r="K287" s="391"/>
      <c r="L287" s="391"/>
      <c r="M287" s="391"/>
      <c r="N287" s="391"/>
      <c r="O287" s="391"/>
      <c r="P287" s="391"/>
      <c r="Q287" s="391"/>
      <c r="R287" s="337"/>
      <c r="S287" s="390"/>
      <c r="T287" s="338"/>
      <c r="U287" s="390"/>
      <c r="V287" s="288"/>
      <c r="W287" s="291"/>
      <c r="X287" s="5"/>
    </row>
    <row r="288" spans="1:24" ht="15.6" x14ac:dyDescent="0.3">
      <c r="A288" s="287"/>
      <c r="B288" s="288" t="s">
        <v>114</v>
      </c>
      <c r="C288" s="288"/>
      <c r="D288" s="288"/>
      <c r="E288" s="288"/>
      <c r="F288" s="288"/>
      <c r="G288" s="288"/>
      <c r="H288" s="391"/>
      <c r="I288" s="391"/>
      <c r="J288" s="391"/>
      <c r="K288" s="391"/>
      <c r="L288" s="391"/>
      <c r="M288" s="391"/>
      <c r="N288" s="391"/>
      <c r="O288" s="391"/>
      <c r="P288" s="391"/>
      <c r="Q288" s="391"/>
      <c r="R288" s="337">
        <f>SUM(R279:R286)</f>
        <v>3</v>
      </c>
      <c r="S288" s="390">
        <f>SUM(S279:S287)</f>
        <v>1</v>
      </c>
      <c r="T288" s="338">
        <f>SUM(T279:T286)</f>
        <v>169</v>
      </c>
      <c r="U288" s="390">
        <f>SUM(U279:U287)</f>
        <v>1</v>
      </c>
      <c r="V288" s="288"/>
      <c r="W288" s="291"/>
      <c r="X288" s="5"/>
    </row>
    <row r="289" spans="1:24" ht="15.6" x14ac:dyDescent="0.3">
      <c r="A289" s="287"/>
      <c r="B289" s="288"/>
      <c r="C289" s="288"/>
      <c r="D289" s="288"/>
      <c r="E289" s="288"/>
      <c r="F289" s="288"/>
      <c r="G289" s="288"/>
      <c r="H289" s="391"/>
      <c r="I289" s="391"/>
      <c r="J289" s="391"/>
      <c r="K289" s="391"/>
      <c r="L289" s="391"/>
      <c r="M289" s="391"/>
      <c r="N289" s="391"/>
      <c r="O289" s="391"/>
      <c r="P289" s="391"/>
      <c r="Q289" s="391"/>
      <c r="R289" s="337"/>
      <c r="S289" s="390"/>
      <c r="T289" s="338"/>
      <c r="U289" s="390"/>
      <c r="V289" s="288"/>
      <c r="W289" s="291"/>
      <c r="X289" s="5"/>
    </row>
    <row r="290" spans="1:24" ht="15.6" x14ac:dyDescent="0.3">
      <c r="A290" s="287"/>
      <c r="B290" s="295" t="s">
        <v>164</v>
      </c>
      <c r="C290" s="288"/>
      <c r="D290" s="288"/>
      <c r="E290" s="288"/>
      <c r="F290" s="288"/>
      <c r="G290" s="288"/>
      <c r="H290" s="391"/>
      <c r="I290" s="391"/>
      <c r="J290" s="391"/>
      <c r="K290" s="391"/>
      <c r="L290" s="391"/>
      <c r="M290" s="391"/>
      <c r="N290" s="391"/>
      <c r="O290" s="391"/>
      <c r="P290" s="391"/>
      <c r="Q290" s="391"/>
      <c r="R290" s="407">
        <f>R288+R276+R264</f>
        <v>7557</v>
      </c>
      <c r="S290" s="390"/>
      <c r="T290" s="396">
        <f>+T288+T276+T264</f>
        <v>1047274</v>
      </c>
      <c r="U290" s="390"/>
      <c r="V290" s="288"/>
      <c r="W290" s="291"/>
      <c r="X290" s="5"/>
    </row>
    <row r="291" spans="1:24" ht="15.6" x14ac:dyDescent="0.3">
      <c r="A291" s="183"/>
      <c r="B291" s="284"/>
      <c r="C291" s="284"/>
      <c r="D291" s="284"/>
      <c r="E291" s="284"/>
      <c r="F291" s="284"/>
      <c r="G291" s="284"/>
      <c r="H291" s="392"/>
      <c r="I291" s="392"/>
      <c r="J291" s="392"/>
      <c r="K291" s="392"/>
      <c r="L291" s="392"/>
      <c r="M291" s="392"/>
      <c r="N291" s="392"/>
      <c r="O291" s="392"/>
      <c r="P291" s="392"/>
      <c r="Q291" s="392"/>
      <c r="R291" s="392"/>
      <c r="S291" s="392"/>
      <c r="T291" s="394"/>
      <c r="U291" s="392"/>
      <c r="V291" s="284"/>
      <c r="W291" s="284"/>
      <c r="X291" s="5"/>
    </row>
    <row r="292" spans="1:24" ht="15.6" x14ac:dyDescent="0.3">
      <c r="A292" s="183"/>
      <c r="B292" s="224"/>
      <c r="C292" s="224"/>
      <c r="D292" s="224"/>
      <c r="E292" s="224"/>
      <c r="F292" s="224"/>
      <c r="G292" s="224"/>
      <c r="H292" s="256"/>
      <c r="I292" s="256"/>
      <c r="J292" s="256"/>
      <c r="K292" s="256"/>
      <c r="L292" s="256"/>
      <c r="M292" s="256"/>
      <c r="N292" s="256"/>
      <c r="O292" s="256"/>
      <c r="P292" s="256"/>
      <c r="Q292" s="256"/>
      <c r="R292" s="256"/>
      <c r="S292" s="256"/>
      <c r="T292" s="257"/>
      <c r="U292" s="256"/>
      <c r="V292" s="224"/>
      <c r="W292" s="224"/>
      <c r="X292" s="5"/>
    </row>
    <row r="293" spans="1:24" ht="15.6" x14ac:dyDescent="0.3">
      <c r="A293" s="219"/>
      <c r="B293" s="222" t="s">
        <v>91</v>
      </c>
      <c r="C293" s="224"/>
      <c r="D293" s="224"/>
      <c r="E293" s="224"/>
      <c r="F293" s="228" t="s">
        <v>97</v>
      </c>
      <c r="G293" s="224"/>
      <c r="H293" s="222" t="s">
        <v>99</v>
      </c>
      <c r="I293" s="222"/>
      <c r="J293" s="222"/>
      <c r="K293" s="258"/>
      <c r="L293" s="258"/>
      <c r="M293" s="258"/>
      <c r="N293" s="258"/>
      <c r="O293" s="258"/>
      <c r="P293" s="258"/>
      <c r="Q293" s="258"/>
      <c r="R293" s="258"/>
      <c r="S293" s="258"/>
      <c r="T293" s="258"/>
      <c r="U293" s="258"/>
      <c r="V293" s="258"/>
      <c r="W293" s="258"/>
      <c r="X293" s="5"/>
    </row>
    <row r="294" spans="1:24" ht="15.6" x14ac:dyDescent="0.3">
      <c r="A294" s="219"/>
      <c r="B294" s="258"/>
      <c r="C294" s="224"/>
      <c r="D294" s="224"/>
      <c r="E294" s="224"/>
      <c r="F294" s="224"/>
      <c r="G294" s="224"/>
      <c r="H294" s="224"/>
      <c r="I294" s="224"/>
      <c r="J294" s="224"/>
      <c r="K294" s="258"/>
      <c r="L294" s="258"/>
      <c r="M294" s="258"/>
      <c r="N294" s="258"/>
      <c r="O294" s="258"/>
      <c r="P294" s="258"/>
      <c r="Q294" s="258"/>
      <c r="R294" s="258"/>
      <c r="S294" s="258"/>
      <c r="T294" s="258"/>
      <c r="U294" s="258"/>
      <c r="V294" s="258"/>
      <c r="W294" s="258"/>
      <c r="X294" s="5"/>
    </row>
    <row r="295" spans="1:24" ht="15.6" x14ac:dyDescent="0.3">
      <c r="A295" s="219"/>
      <c r="B295" s="222" t="s">
        <v>338</v>
      </c>
      <c r="C295" s="222"/>
      <c r="D295" s="222"/>
      <c r="E295" s="222"/>
      <c r="F295" s="259" t="s">
        <v>148</v>
      </c>
      <c r="G295" s="222"/>
      <c r="H295" s="222" t="s">
        <v>152</v>
      </c>
      <c r="I295" s="222"/>
      <c r="J295" s="222"/>
      <c r="K295" s="258"/>
      <c r="L295" s="258"/>
      <c r="M295" s="258"/>
      <c r="N295" s="258"/>
      <c r="O295" s="258"/>
      <c r="P295" s="258"/>
      <c r="Q295" s="258"/>
      <c r="R295" s="258"/>
      <c r="S295" s="258"/>
      <c r="T295" s="258"/>
      <c r="U295" s="258"/>
      <c r="V295" s="258"/>
      <c r="W295" s="258"/>
      <c r="X295" s="5"/>
    </row>
    <row r="296" spans="1:24" ht="15.6" x14ac:dyDescent="0.3">
      <c r="A296" s="219"/>
      <c r="B296" s="222" t="s">
        <v>339</v>
      </c>
      <c r="C296" s="222"/>
      <c r="D296" s="222"/>
      <c r="E296" s="222"/>
      <c r="F296" s="259" t="s">
        <v>278</v>
      </c>
      <c r="G296" s="222"/>
      <c r="H296" s="222" t="s">
        <v>279</v>
      </c>
      <c r="I296" s="258"/>
      <c r="J296" s="222"/>
      <c r="K296" s="258"/>
      <c r="L296" s="258"/>
      <c r="M296" s="258"/>
      <c r="N296" s="258"/>
      <c r="O296" s="258"/>
      <c r="P296" s="258"/>
      <c r="Q296" s="258"/>
      <c r="R296" s="258"/>
      <c r="S296" s="258"/>
      <c r="T296" s="258"/>
      <c r="U296" s="258"/>
      <c r="V296" s="258"/>
      <c r="W296" s="258"/>
      <c r="X296" s="5"/>
    </row>
    <row r="297" spans="1:24" ht="15.6" x14ac:dyDescent="0.3">
      <c r="A297" s="219"/>
      <c r="B297" s="222" t="s">
        <v>340</v>
      </c>
      <c r="C297" s="222"/>
      <c r="D297" s="222"/>
      <c r="E297" s="222"/>
      <c r="F297" s="259" t="s">
        <v>147</v>
      </c>
      <c r="G297" s="222"/>
      <c r="H297" s="222" t="s">
        <v>153</v>
      </c>
      <c r="I297" s="222"/>
      <c r="J297" s="222"/>
      <c r="K297" s="258"/>
      <c r="L297" s="258"/>
      <c r="M297" s="258"/>
      <c r="N297" s="258"/>
      <c r="O297" s="258"/>
      <c r="P297" s="258"/>
      <c r="Q297" s="258"/>
      <c r="R297" s="258"/>
      <c r="S297" s="258"/>
      <c r="T297" s="258"/>
      <c r="U297" s="258"/>
      <c r="V297" s="258"/>
      <c r="W297" s="258"/>
      <c r="X297" s="5"/>
    </row>
    <row r="298" spans="1:24" ht="15.6" x14ac:dyDescent="0.3">
      <c r="A298" s="219"/>
      <c r="B298" s="222"/>
      <c r="C298" s="222"/>
      <c r="D298" s="222"/>
      <c r="E298" s="222"/>
      <c r="F298" s="222"/>
      <c r="G298" s="260"/>
      <c r="H298" s="258"/>
      <c r="I298" s="258"/>
      <c r="J298" s="258"/>
      <c r="K298" s="258"/>
      <c r="L298" s="258"/>
      <c r="M298" s="258"/>
      <c r="N298" s="258"/>
      <c r="O298" s="258"/>
      <c r="P298" s="258"/>
      <c r="Q298" s="258"/>
      <c r="R298" s="258"/>
      <c r="S298" s="258"/>
      <c r="T298" s="258"/>
      <c r="U298" s="258"/>
      <c r="V298" s="258"/>
      <c r="W298" s="258"/>
      <c r="X298" s="5"/>
    </row>
    <row r="299" spans="1:24" ht="15.6" x14ac:dyDescent="0.3">
      <c r="A299" s="219"/>
      <c r="B299" s="222"/>
      <c r="C299" s="222"/>
      <c r="D299" s="222"/>
      <c r="E299" s="222"/>
      <c r="F299" s="222"/>
      <c r="G299" s="260"/>
      <c r="H299" s="258"/>
      <c r="I299" s="258"/>
      <c r="J299" s="258"/>
      <c r="K299" s="258"/>
      <c r="L299" s="258"/>
      <c r="M299" s="258"/>
      <c r="N299" s="258"/>
      <c r="O299" s="258"/>
      <c r="P299" s="258"/>
      <c r="Q299" s="258"/>
      <c r="R299" s="258"/>
      <c r="S299" s="258"/>
      <c r="T299" s="258"/>
      <c r="U299" s="258"/>
      <c r="V299" s="258"/>
      <c r="W299" s="258"/>
      <c r="X299" s="5"/>
    </row>
    <row r="300" spans="1:24" ht="18" thickBot="1" x14ac:dyDescent="0.35">
      <c r="A300" s="219"/>
      <c r="B300" s="261" t="str">
        <f>B204</f>
        <v>PM14 INVESTOR REPORT QUARTER ENDING AUGUST 2014</v>
      </c>
      <c r="C300" s="222"/>
      <c r="D300" s="222"/>
      <c r="E300" s="222"/>
      <c r="F300" s="222"/>
      <c r="G300" s="260"/>
      <c r="H300" s="258"/>
      <c r="I300" s="258"/>
      <c r="J300" s="258"/>
      <c r="K300" s="258"/>
      <c r="L300" s="258"/>
      <c r="M300" s="258"/>
      <c r="N300" s="258"/>
      <c r="O300" s="258"/>
      <c r="P300" s="258"/>
      <c r="Q300" s="258"/>
      <c r="R300" s="258"/>
      <c r="S300" s="258"/>
      <c r="T300" s="258"/>
      <c r="U300" s="258"/>
      <c r="V300" s="258"/>
      <c r="W300" s="258"/>
      <c r="X300" s="5"/>
    </row>
    <row r="301" spans="1:24" x14ac:dyDescent="0.25">
      <c r="A301" s="100"/>
      <c r="B301" s="100"/>
      <c r="C301" s="100"/>
      <c r="D301" s="100"/>
      <c r="E301" s="100"/>
      <c r="F301" s="100"/>
      <c r="G301" s="100"/>
      <c r="H301" s="100"/>
      <c r="I301" s="100"/>
      <c r="J301" s="100"/>
      <c r="K301" s="100"/>
      <c r="L301" s="100"/>
      <c r="M301" s="100"/>
      <c r="N301" s="100"/>
      <c r="O301" s="100"/>
      <c r="P301" s="100"/>
      <c r="Q301" s="100"/>
      <c r="R301" s="100"/>
      <c r="S301" s="100"/>
      <c r="T301" s="100"/>
      <c r="U301" s="100"/>
      <c r="V301" s="100"/>
      <c r="W301" s="100"/>
    </row>
  </sheetData>
  <hyperlinks>
    <hyperlink ref="P240" r:id="rId1" xr:uid="{00000000-0004-0000-1C00-000000000000}"/>
    <hyperlink ref="I9" r:id="rId2" xr:uid="{00000000-0004-0000-1C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8" max="14" man="1"/>
    <brk id="204" max="14"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sheetPr>
  <dimension ref="A1:IV289"/>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2"/>
      <c r="B1" s="3" t="s">
        <v>244</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245</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137</v>
      </c>
      <c r="C5" s="8"/>
      <c r="D5" s="8"/>
      <c r="E5" s="8"/>
      <c r="F5" s="8"/>
      <c r="G5" s="8"/>
      <c r="H5" s="8"/>
      <c r="I5" s="8"/>
      <c r="J5" s="8"/>
      <c r="K5" s="8"/>
      <c r="L5" s="8"/>
      <c r="M5" s="8"/>
      <c r="N5" s="8"/>
      <c r="O5" s="8"/>
      <c r="P5" s="8"/>
      <c r="Q5" s="8"/>
      <c r="R5" s="8"/>
      <c r="S5" s="8"/>
      <c r="T5" s="8"/>
      <c r="U5" s="8"/>
      <c r="V5" s="8"/>
      <c r="W5" s="8"/>
      <c r="X5" s="5"/>
    </row>
    <row r="6" spans="1:24" ht="15.6" x14ac:dyDescent="0.3">
      <c r="A6" s="6"/>
      <c r="B6" s="11" t="s">
        <v>139</v>
      </c>
      <c r="C6" s="8"/>
      <c r="D6" s="8"/>
      <c r="E6" s="8"/>
      <c r="F6" s="8"/>
      <c r="G6" s="8"/>
      <c r="H6" s="8"/>
      <c r="I6" s="8"/>
      <c r="J6" s="8"/>
      <c r="K6" s="8"/>
      <c r="L6" s="8"/>
      <c r="M6" s="8"/>
      <c r="N6" s="8"/>
      <c r="O6" s="8"/>
      <c r="P6" s="8"/>
      <c r="Q6" s="8"/>
      <c r="R6" s="8"/>
      <c r="S6" s="8"/>
      <c r="T6" s="8"/>
      <c r="U6" s="8"/>
      <c r="V6" s="8"/>
      <c r="W6" s="8"/>
      <c r="X6" s="5"/>
    </row>
    <row r="7" spans="1:24" ht="15.6" x14ac:dyDescent="0.3">
      <c r="A7" s="6"/>
      <c r="B7" s="11" t="s">
        <v>138</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5" t="s">
        <v>166</v>
      </c>
      <c r="C9" s="8"/>
      <c r="D9" s="8"/>
      <c r="E9" s="8"/>
      <c r="F9" s="8"/>
      <c r="G9" s="8"/>
      <c r="H9" s="8"/>
      <c r="I9" s="146" t="s">
        <v>167</v>
      </c>
      <c r="J9" s="8"/>
      <c r="K9" s="8"/>
      <c r="L9" s="146"/>
      <c r="M9" s="8"/>
      <c r="N9" s="146"/>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246</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104</v>
      </c>
      <c r="S15" s="135">
        <v>0.38300000000000001</v>
      </c>
      <c r="T15" s="17" t="s">
        <v>140</v>
      </c>
      <c r="U15" s="135">
        <v>0.61699999999999999</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104</v>
      </c>
      <c r="S16" s="135">
        <v>0.40160000000000001</v>
      </c>
      <c r="T16" s="17" t="s">
        <v>140</v>
      </c>
      <c r="U16" s="135">
        <v>0.59840000000000004</v>
      </c>
      <c r="V16" s="16"/>
      <c r="W16" s="15"/>
      <c r="X16" s="5"/>
    </row>
    <row r="17" spans="1:24" ht="15.6" x14ac:dyDescent="0.3">
      <c r="A17" s="6"/>
      <c r="B17" s="14" t="s">
        <v>4</v>
      </c>
      <c r="C17" s="15"/>
      <c r="D17" s="15"/>
      <c r="E17" s="15"/>
      <c r="F17" s="15"/>
      <c r="G17" s="15"/>
      <c r="H17" s="15"/>
      <c r="I17" s="15"/>
      <c r="J17" s="15"/>
      <c r="K17" s="15"/>
      <c r="L17" s="15"/>
      <c r="M17" s="15"/>
      <c r="N17" s="15"/>
      <c r="O17" s="15"/>
      <c r="P17" s="15"/>
      <c r="Q17" s="15"/>
      <c r="R17" s="15"/>
      <c r="S17" s="15"/>
      <c r="T17" s="15"/>
      <c r="U17" s="15"/>
      <c r="V17" s="19">
        <v>39163</v>
      </c>
      <c r="W17" s="15"/>
      <c r="X17" s="5"/>
    </row>
    <row r="18" spans="1:24" ht="15.6" x14ac:dyDescent="0.3">
      <c r="A18" s="6"/>
      <c r="B18" s="14" t="s">
        <v>5</v>
      </c>
      <c r="C18" s="15"/>
      <c r="D18" s="15"/>
      <c r="E18" s="15"/>
      <c r="F18" s="15"/>
      <c r="G18" s="15"/>
      <c r="H18" s="15"/>
      <c r="I18" s="15"/>
      <c r="J18" s="15"/>
      <c r="K18" s="15"/>
      <c r="L18" s="15"/>
      <c r="M18" s="15"/>
      <c r="N18" s="15"/>
      <c r="O18" s="15"/>
      <c r="P18" s="15"/>
      <c r="Q18" s="15"/>
      <c r="R18" s="15"/>
      <c r="S18" s="15"/>
      <c r="T18" s="15"/>
      <c r="U18" s="15"/>
      <c r="V18" s="19">
        <v>39532</v>
      </c>
      <c r="W18" s="15"/>
      <c r="X18" s="5"/>
    </row>
    <row r="19" spans="1:24"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4" ht="15.6" x14ac:dyDescent="0.3">
      <c r="A20" s="6"/>
      <c r="B20" s="21" t="s">
        <v>6</v>
      </c>
      <c r="C20" s="8"/>
      <c r="D20" s="8"/>
      <c r="E20" s="8"/>
      <c r="F20" s="8"/>
      <c r="G20" s="8"/>
      <c r="H20" s="8"/>
      <c r="I20" s="8"/>
      <c r="J20" s="8"/>
      <c r="K20" s="8"/>
      <c r="L20" s="8"/>
      <c r="M20" s="8"/>
      <c r="N20" s="8"/>
      <c r="O20" s="8"/>
      <c r="P20" s="8"/>
      <c r="Q20" s="8"/>
      <c r="R20" s="8"/>
      <c r="S20" s="8"/>
      <c r="T20" s="20" t="s">
        <v>105</v>
      </c>
      <c r="U20" s="8"/>
      <c r="V20" s="173"/>
      <c r="W20" s="8"/>
      <c r="X20" s="5"/>
    </row>
    <row r="21" spans="1:24"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4" ht="15.6" x14ac:dyDescent="0.3">
      <c r="A22" s="6"/>
      <c r="B22" s="8"/>
      <c r="C22" s="112"/>
      <c r="D22" s="112" t="s">
        <v>177</v>
      </c>
      <c r="E22" s="112"/>
      <c r="F22" s="112" t="s">
        <v>178</v>
      </c>
      <c r="G22" s="112"/>
      <c r="H22" s="112" t="s">
        <v>179</v>
      </c>
      <c r="I22" s="112"/>
      <c r="J22" s="112" t="s">
        <v>220</v>
      </c>
      <c r="K22" s="112"/>
      <c r="L22" s="112" t="s">
        <v>180</v>
      </c>
      <c r="M22" s="112"/>
      <c r="N22" s="112" t="s">
        <v>181</v>
      </c>
      <c r="O22" s="112"/>
      <c r="P22" s="112" t="s">
        <v>221</v>
      </c>
      <c r="Q22" s="112"/>
      <c r="R22" s="112" t="s">
        <v>182</v>
      </c>
      <c r="S22" s="113"/>
      <c r="T22" s="23"/>
      <c r="U22" s="173"/>
      <c r="V22" s="173"/>
      <c r="W22" s="8"/>
      <c r="X22" s="5"/>
    </row>
    <row r="23" spans="1:24" ht="15.6" x14ac:dyDescent="0.3">
      <c r="A23" s="24"/>
      <c r="B23" s="25" t="s">
        <v>7</v>
      </c>
      <c r="C23" s="26"/>
      <c r="D23" s="26" t="s">
        <v>213</v>
      </c>
      <c r="E23" s="26"/>
      <c r="F23" s="26" t="s">
        <v>141</v>
      </c>
      <c r="G23" s="26"/>
      <c r="H23" s="26" t="s">
        <v>141</v>
      </c>
      <c r="I23" s="26"/>
      <c r="J23" s="26" t="s">
        <v>141</v>
      </c>
      <c r="K23" s="26"/>
      <c r="L23" s="26" t="s">
        <v>183</v>
      </c>
      <c r="M23" s="26"/>
      <c r="N23" s="26" t="s">
        <v>183</v>
      </c>
      <c r="O23" s="26"/>
      <c r="P23" s="26" t="s">
        <v>142</v>
      </c>
      <c r="Q23" s="26"/>
      <c r="R23" s="26" t="s">
        <v>142</v>
      </c>
      <c r="S23" s="26"/>
      <c r="T23" s="26"/>
      <c r="U23" s="174"/>
      <c r="V23" s="174"/>
      <c r="W23" s="25"/>
      <c r="X23" s="5"/>
    </row>
    <row r="24" spans="1:24" ht="15.6" x14ac:dyDescent="0.3">
      <c r="A24" s="24"/>
      <c r="B24" s="25" t="s">
        <v>8</v>
      </c>
      <c r="C24" s="26"/>
      <c r="D24" s="26" t="s">
        <v>214</v>
      </c>
      <c r="E24" s="26"/>
      <c r="F24" s="26" t="s">
        <v>143</v>
      </c>
      <c r="G24" s="26"/>
      <c r="H24" s="26" t="s">
        <v>143</v>
      </c>
      <c r="I24" s="26"/>
      <c r="J24" s="26" t="s">
        <v>143</v>
      </c>
      <c r="K24" s="26"/>
      <c r="L24" s="26" t="s">
        <v>165</v>
      </c>
      <c r="M24" s="26"/>
      <c r="N24" s="26" t="s">
        <v>165</v>
      </c>
      <c r="O24" s="26"/>
      <c r="P24" s="26" t="s">
        <v>144</v>
      </c>
      <c r="Q24" s="26"/>
      <c r="R24" s="26" t="s">
        <v>144</v>
      </c>
      <c r="S24" s="26"/>
      <c r="T24" s="26"/>
      <c r="U24" s="174"/>
      <c r="V24" s="174"/>
      <c r="W24" s="25"/>
      <c r="X24" s="5"/>
    </row>
    <row r="25" spans="1:24" ht="15.6" x14ac:dyDescent="0.3">
      <c r="A25" s="28"/>
      <c r="B25" s="131" t="s">
        <v>190</v>
      </c>
      <c r="C25" s="123"/>
      <c r="D25" s="26" t="s">
        <v>215</v>
      </c>
      <c r="E25" s="26"/>
      <c r="F25" s="26" t="s">
        <v>143</v>
      </c>
      <c r="G25" s="26"/>
      <c r="H25" s="26" t="s">
        <v>143</v>
      </c>
      <c r="I25" s="26"/>
      <c r="J25" s="26" t="s">
        <v>143</v>
      </c>
      <c r="K25" s="26"/>
      <c r="L25" s="26" t="s">
        <v>293</v>
      </c>
      <c r="M25" s="26"/>
      <c r="N25" s="26" t="s">
        <v>293</v>
      </c>
      <c r="O25" s="26"/>
      <c r="P25" s="26" t="s">
        <v>144</v>
      </c>
      <c r="Q25" s="26"/>
      <c r="R25" s="26" t="s">
        <v>144</v>
      </c>
      <c r="S25" s="123"/>
      <c r="T25" s="26"/>
      <c r="U25" s="174"/>
      <c r="V25" s="174"/>
      <c r="W25" s="25"/>
      <c r="X25" s="5"/>
    </row>
    <row r="26" spans="1:24" ht="15.6" x14ac:dyDescent="0.3">
      <c r="A26" s="28"/>
      <c r="B26" s="29" t="s">
        <v>9</v>
      </c>
      <c r="C26" s="123"/>
      <c r="D26" s="123" t="s">
        <v>213</v>
      </c>
      <c r="E26" s="123"/>
      <c r="F26" s="123" t="s">
        <v>141</v>
      </c>
      <c r="G26" s="123"/>
      <c r="H26" s="123" t="s">
        <v>141</v>
      </c>
      <c r="I26" s="123"/>
      <c r="J26" s="123" t="s">
        <v>141</v>
      </c>
      <c r="K26" s="123"/>
      <c r="L26" s="123" t="s">
        <v>183</v>
      </c>
      <c r="M26" s="123"/>
      <c r="N26" s="123" t="s">
        <v>183</v>
      </c>
      <c r="O26" s="123"/>
      <c r="P26" s="123" t="s">
        <v>142</v>
      </c>
      <c r="Q26" s="123"/>
      <c r="R26" s="123" t="s">
        <v>142</v>
      </c>
      <c r="S26" s="123"/>
      <c r="T26" s="26"/>
      <c r="U26" s="174"/>
      <c r="V26" s="174"/>
      <c r="W26" s="25"/>
      <c r="X26" s="5"/>
    </row>
    <row r="27" spans="1:24" ht="15.6" x14ac:dyDescent="0.3">
      <c r="A27" s="24"/>
      <c r="B27" s="29" t="s">
        <v>191</v>
      </c>
      <c r="C27" s="26"/>
      <c r="D27" s="123" t="s">
        <v>214</v>
      </c>
      <c r="E27" s="123"/>
      <c r="F27" s="123" t="s">
        <v>143</v>
      </c>
      <c r="G27" s="123"/>
      <c r="H27" s="123" t="s">
        <v>143</v>
      </c>
      <c r="I27" s="123"/>
      <c r="J27" s="123" t="s">
        <v>143</v>
      </c>
      <c r="K27" s="123"/>
      <c r="L27" s="123" t="s">
        <v>165</v>
      </c>
      <c r="M27" s="123"/>
      <c r="N27" s="123" t="s">
        <v>165</v>
      </c>
      <c r="O27" s="123"/>
      <c r="P27" s="123" t="s">
        <v>144</v>
      </c>
      <c r="Q27" s="123"/>
      <c r="R27" s="123" t="s">
        <v>144</v>
      </c>
      <c r="S27" s="26"/>
      <c r="T27" s="30"/>
      <c r="U27" s="174"/>
      <c r="V27" s="174"/>
      <c r="W27" s="25"/>
      <c r="X27" s="5"/>
    </row>
    <row r="28" spans="1:24" ht="15.6" x14ac:dyDescent="0.3">
      <c r="A28" s="24"/>
      <c r="B28" s="151" t="s">
        <v>192</v>
      </c>
      <c r="C28" s="26"/>
      <c r="D28" s="123" t="s">
        <v>215</v>
      </c>
      <c r="E28" s="123"/>
      <c r="F28" s="123" t="s">
        <v>143</v>
      </c>
      <c r="G28" s="123"/>
      <c r="H28" s="123" t="s">
        <v>143</v>
      </c>
      <c r="I28" s="123"/>
      <c r="J28" s="123" t="s">
        <v>143</v>
      </c>
      <c r="K28" s="123"/>
      <c r="L28" s="123" t="s">
        <v>293</v>
      </c>
      <c r="M28" s="123"/>
      <c r="N28" s="123" t="s">
        <v>293</v>
      </c>
      <c r="O28" s="123"/>
      <c r="P28" s="123" t="s">
        <v>144</v>
      </c>
      <c r="Q28" s="123"/>
      <c r="R28" s="123" t="s">
        <v>144</v>
      </c>
      <c r="S28" s="26"/>
      <c r="T28" s="30"/>
      <c r="U28" s="174"/>
      <c r="V28" s="174"/>
      <c r="W28" s="25"/>
      <c r="X28" s="5"/>
    </row>
    <row r="29" spans="1:24" ht="15.6" x14ac:dyDescent="0.3">
      <c r="A29" s="24"/>
      <c r="B29" s="25" t="s">
        <v>10</v>
      </c>
      <c r="C29" s="32"/>
      <c r="D29" s="26" t="s">
        <v>249</v>
      </c>
      <c r="E29" s="26"/>
      <c r="F29" s="30" t="s">
        <v>250</v>
      </c>
      <c r="G29" s="26"/>
      <c r="H29" s="26" t="s">
        <v>251</v>
      </c>
      <c r="I29" s="26"/>
      <c r="J29" s="26" t="s">
        <v>253</v>
      </c>
      <c r="K29" s="26"/>
      <c r="L29" s="26" t="s">
        <v>254</v>
      </c>
      <c r="M29" s="26"/>
      <c r="N29" s="26" t="s">
        <v>255</v>
      </c>
      <c r="O29" s="26"/>
      <c r="P29" s="26" t="s">
        <v>256</v>
      </c>
      <c r="Q29" s="26"/>
      <c r="R29" s="26" t="s">
        <v>257</v>
      </c>
      <c r="S29" s="31"/>
      <c r="T29" s="31"/>
      <c r="U29" s="175"/>
      <c r="V29" s="31"/>
      <c r="W29" s="34"/>
      <c r="X29" s="5"/>
    </row>
    <row r="30" spans="1:24" ht="15.6" x14ac:dyDescent="0.3">
      <c r="A30" s="24"/>
      <c r="B30" s="25" t="s">
        <v>10</v>
      </c>
      <c r="C30" s="32"/>
      <c r="D30" s="26" t="s">
        <v>248</v>
      </c>
      <c r="E30" s="26"/>
      <c r="F30" s="30" t="s">
        <v>118</v>
      </c>
      <c r="G30" s="26"/>
      <c r="H30" s="26" t="s">
        <v>118</v>
      </c>
      <c r="I30" s="26"/>
      <c r="J30" s="26" t="s">
        <v>252</v>
      </c>
      <c r="K30" s="26"/>
      <c r="L30" s="26" t="s">
        <v>118</v>
      </c>
      <c r="M30" s="26"/>
      <c r="N30" s="26" t="s">
        <v>118</v>
      </c>
      <c r="O30" s="26"/>
      <c r="P30" s="26" t="s">
        <v>118</v>
      </c>
      <c r="Q30" s="26"/>
      <c r="R30" s="26" t="s">
        <v>118</v>
      </c>
      <c r="S30" s="31"/>
      <c r="T30" s="31"/>
      <c r="U30" s="175"/>
      <c r="V30" s="31"/>
      <c r="W30" s="34"/>
      <c r="X30" s="5"/>
    </row>
    <row r="31" spans="1:24" ht="15.6" x14ac:dyDescent="0.3">
      <c r="A31" s="28"/>
      <c r="B31" s="25" t="s">
        <v>133</v>
      </c>
      <c r="C31" s="36"/>
      <c r="D31" s="144">
        <v>1500000</v>
      </c>
      <c r="E31" s="32"/>
      <c r="F31" s="31">
        <v>125000</v>
      </c>
      <c r="G31" s="31"/>
      <c r="H31" s="124">
        <v>246000</v>
      </c>
      <c r="I31" s="124"/>
      <c r="J31" s="144">
        <v>400000</v>
      </c>
      <c r="K31" s="31"/>
      <c r="L31" s="31">
        <v>51900</v>
      </c>
      <c r="M31" s="31"/>
      <c r="N31" s="124">
        <v>88800</v>
      </c>
      <c r="O31" s="31"/>
      <c r="P31" s="31">
        <v>20000</v>
      </c>
      <c r="Q31" s="31"/>
      <c r="R31" s="124">
        <v>135500</v>
      </c>
      <c r="S31" s="35"/>
      <c r="T31" s="35"/>
      <c r="U31" s="37"/>
      <c r="V31" s="35"/>
      <c r="W31" s="34"/>
      <c r="X31" s="5"/>
    </row>
    <row r="32" spans="1:24" ht="15.6" x14ac:dyDescent="0.3">
      <c r="A32" s="24"/>
      <c r="B32" s="25" t="s">
        <v>132</v>
      </c>
      <c r="C32" s="32"/>
      <c r="D32" s="144">
        <f>D31*D38</f>
        <v>1432893.15</v>
      </c>
      <c r="E32" s="32"/>
      <c r="F32" s="31">
        <f>F31*F38</f>
        <v>119407.77499999999</v>
      </c>
      <c r="G32" s="31"/>
      <c r="H32" s="124">
        <f>H31*H38</f>
        <v>234994.5012</v>
      </c>
      <c r="I32" s="124"/>
      <c r="J32" s="144">
        <f>J31*J38</f>
        <v>382104.84</v>
      </c>
      <c r="K32" s="31"/>
      <c r="L32" s="31">
        <f>+L31</f>
        <v>51900</v>
      </c>
      <c r="M32" s="31"/>
      <c r="N32" s="124">
        <f>+N31</f>
        <v>88800</v>
      </c>
      <c r="O32" s="31"/>
      <c r="P32" s="31">
        <f>+P31</f>
        <v>20000</v>
      </c>
      <c r="Q32" s="31"/>
      <c r="R32" s="124">
        <f>+R31</f>
        <v>135500</v>
      </c>
      <c r="S32" s="31"/>
      <c r="T32" s="31"/>
      <c r="U32" s="175"/>
      <c r="V32" s="31"/>
      <c r="W32" s="34"/>
      <c r="X32" s="5"/>
    </row>
    <row r="33" spans="1:24" ht="15.6" x14ac:dyDescent="0.3">
      <c r="A33" s="24"/>
      <c r="B33" s="29" t="s">
        <v>134</v>
      </c>
      <c r="C33" s="32"/>
      <c r="D33" s="149">
        <f>D37*D31</f>
        <v>1394619.1500000001</v>
      </c>
      <c r="E33" s="36"/>
      <c r="F33" s="35">
        <f>F37*F31</f>
        <v>116218.27499999999</v>
      </c>
      <c r="G33" s="35"/>
      <c r="H33" s="125">
        <f>H31*H37</f>
        <v>228717.56519999998</v>
      </c>
      <c r="I33" s="125"/>
      <c r="J33" s="149">
        <f>J37*J31</f>
        <v>371898.44</v>
      </c>
      <c r="K33" s="35"/>
      <c r="L33" s="35">
        <f>L31*L37</f>
        <v>51900</v>
      </c>
      <c r="M33" s="35"/>
      <c r="N33" s="125">
        <f>N31*N37</f>
        <v>88800</v>
      </c>
      <c r="O33" s="35"/>
      <c r="P33" s="35">
        <f>P31*P37</f>
        <v>20000</v>
      </c>
      <c r="Q33" s="35"/>
      <c r="R33" s="125">
        <f>R31*R37</f>
        <v>135500</v>
      </c>
      <c r="S33" s="31"/>
      <c r="T33" s="31"/>
      <c r="U33" s="175"/>
      <c r="V33" s="31"/>
      <c r="W33" s="34"/>
      <c r="X33" s="5"/>
    </row>
    <row r="34" spans="1:24" ht="15.6" x14ac:dyDescent="0.3">
      <c r="A34" s="28"/>
      <c r="B34" s="25" t="s">
        <v>296</v>
      </c>
      <c r="C34" s="36"/>
      <c r="D34" s="31">
        <v>775194</v>
      </c>
      <c r="E34" s="32"/>
      <c r="F34" s="31">
        <v>125000</v>
      </c>
      <c r="G34" s="31"/>
      <c r="H34" s="31">
        <v>168148</v>
      </c>
      <c r="I34" s="31"/>
      <c r="J34" s="31">
        <v>206718</v>
      </c>
      <c r="K34" s="31"/>
      <c r="L34" s="31">
        <v>51900</v>
      </c>
      <c r="M34" s="31"/>
      <c r="N34" s="31">
        <v>60697</v>
      </c>
      <c r="O34" s="31"/>
      <c r="P34" s="31">
        <v>20000</v>
      </c>
      <c r="Q34" s="31"/>
      <c r="R34" s="31">
        <v>92618</v>
      </c>
      <c r="S34" s="35"/>
      <c r="T34" s="35"/>
      <c r="U34" s="37"/>
      <c r="V34" s="152">
        <f>SUM(C34:R34)</f>
        <v>1500275</v>
      </c>
      <c r="W34" s="34"/>
      <c r="X34" s="5"/>
    </row>
    <row r="35" spans="1:24" ht="15.6" x14ac:dyDescent="0.3">
      <c r="A35" s="28"/>
      <c r="B35" s="25" t="s">
        <v>297</v>
      </c>
      <c r="C35" s="126"/>
      <c r="D35" s="31">
        <f>D34*D38</f>
        <v>740513.44834740006</v>
      </c>
      <c r="E35" s="32"/>
      <c r="F35" s="31">
        <f>F34*F38</f>
        <v>119407.77499999999</v>
      </c>
      <c r="G35" s="31"/>
      <c r="H35" s="31">
        <f>H34*H38</f>
        <v>160625.42840559999</v>
      </c>
      <c r="I35" s="31"/>
      <c r="J35" s="31">
        <f>J34*J38</f>
        <v>197469.8707878</v>
      </c>
      <c r="K35" s="31"/>
      <c r="L35" s="31">
        <f>+L34</f>
        <v>51900</v>
      </c>
      <c r="M35" s="31"/>
      <c r="N35" s="31">
        <f>+N34</f>
        <v>60697</v>
      </c>
      <c r="O35" s="31"/>
      <c r="P35" s="31">
        <f>+P34</f>
        <v>20000</v>
      </c>
      <c r="Q35" s="31"/>
      <c r="R35" s="31">
        <f>+R34</f>
        <v>92618</v>
      </c>
      <c r="S35" s="31"/>
      <c r="T35" s="31"/>
      <c r="U35" s="175"/>
      <c r="V35" s="152">
        <f>SUM(C35:R35)</f>
        <v>1443231.5225408</v>
      </c>
      <c r="W35" s="34"/>
      <c r="X35" s="5"/>
    </row>
    <row r="36" spans="1:24" ht="15.6" x14ac:dyDescent="0.3">
      <c r="A36" s="28"/>
      <c r="B36" s="29" t="s">
        <v>298</v>
      </c>
      <c r="C36" s="126"/>
      <c r="D36" s="35">
        <f>D34*D37</f>
        <v>720733.59824339999</v>
      </c>
      <c r="E36" s="36"/>
      <c r="F36" s="35">
        <f>F34*F37</f>
        <v>116218.27499999999</v>
      </c>
      <c r="G36" s="35"/>
      <c r="H36" s="35">
        <f>H34*H37</f>
        <v>156334.9640376</v>
      </c>
      <c r="I36" s="35"/>
      <c r="J36" s="35">
        <f>J34*J37</f>
        <v>192195.2542998</v>
      </c>
      <c r="K36" s="35"/>
      <c r="L36" s="35">
        <f>L34*L37</f>
        <v>51900</v>
      </c>
      <c r="M36" s="35"/>
      <c r="N36" s="35">
        <f>N34*N37</f>
        <v>60697</v>
      </c>
      <c r="O36" s="35"/>
      <c r="P36" s="35">
        <f>P34*P37</f>
        <v>20000</v>
      </c>
      <c r="Q36" s="35"/>
      <c r="R36" s="35">
        <f>R34*R37</f>
        <v>92618</v>
      </c>
      <c r="S36" s="128"/>
      <c r="T36" s="128"/>
      <c r="U36" s="175"/>
      <c r="V36" s="153">
        <f>SUM(C36:R36)</f>
        <v>1410697.0915808</v>
      </c>
      <c r="W36" s="34"/>
      <c r="X36" s="5"/>
    </row>
    <row r="37" spans="1:24" ht="15.6" x14ac:dyDescent="0.3">
      <c r="A37" s="24"/>
      <c r="B37" s="122" t="s">
        <v>130</v>
      </c>
      <c r="C37" s="25"/>
      <c r="D37" s="171">
        <v>0.92974610000000002</v>
      </c>
      <c r="E37" s="171"/>
      <c r="F37" s="171">
        <v>0.92974619999999997</v>
      </c>
      <c r="G37" s="171"/>
      <c r="H37" s="171">
        <v>0.92974619999999997</v>
      </c>
      <c r="I37" s="171"/>
      <c r="J37" s="171">
        <v>0.92974610000000002</v>
      </c>
      <c r="K37" s="171"/>
      <c r="L37" s="171">
        <v>1</v>
      </c>
      <c r="M37" s="171"/>
      <c r="N37" s="171">
        <v>1</v>
      </c>
      <c r="O37" s="171"/>
      <c r="P37" s="171">
        <v>1</v>
      </c>
      <c r="Q37" s="171"/>
      <c r="R37" s="171">
        <v>1</v>
      </c>
      <c r="S37" s="30"/>
      <c r="T37" s="30"/>
      <c r="U37" s="174"/>
      <c r="V37" s="174"/>
      <c r="W37" s="25"/>
      <c r="X37" s="5"/>
    </row>
    <row r="38" spans="1:24" ht="15.6" x14ac:dyDescent="0.3">
      <c r="A38" s="24"/>
      <c r="B38" s="122" t="s">
        <v>131</v>
      </c>
      <c r="C38" s="25"/>
      <c r="D38" s="171">
        <v>0.9552621</v>
      </c>
      <c r="E38" s="171"/>
      <c r="F38" s="171">
        <v>0.95526219999999995</v>
      </c>
      <c r="G38" s="171"/>
      <c r="H38" s="171">
        <v>0.95526219999999995</v>
      </c>
      <c r="I38" s="171"/>
      <c r="J38" s="171">
        <v>0.9552621</v>
      </c>
      <c r="K38" s="171"/>
      <c r="L38" s="171">
        <v>1</v>
      </c>
      <c r="M38" s="171"/>
      <c r="N38" s="171">
        <v>1</v>
      </c>
      <c r="O38" s="171"/>
      <c r="P38" s="171">
        <v>1</v>
      </c>
      <c r="Q38" s="171"/>
      <c r="R38" s="171">
        <v>1</v>
      </c>
      <c r="S38" s="39"/>
      <c r="T38" s="38"/>
      <c r="U38" s="174"/>
      <c r="V38" s="39"/>
      <c r="W38" s="25"/>
      <c r="X38" s="5"/>
    </row>
    <row r="39" spans="1:24" ht="15.6" x14ac:dyDescent="0.3">
      <c r="A39" s="24"/>
      <c r="B39" s="25" t="s">
        <v>11</v>
      </c>
      <c r="C39" s="25"/>
      <c r="D39" s="30" t="s">
        <v>285</v>
      </c>
      <c r="E39" s="25"/>
      <c r="F39" s="30" t="s">
        <v>258</v>
      </c>
      <c r="G39" s="30"/>
      <c r="H39" s="30" t="s">
        <v>258</v>
      </c>
      <c r="I39" s="30"/>
      <c r="J39" s="30" t="s">
        <v>258</v>
      </c>
      <c r="K39" s="30"/>
      <c r="L39" s="30" t="s">
        <v>232</v>
      </c>
      <c r="M39" s="30"/>
      <c r="N39" s="30" t="s">
        <v>232</v>
      </c>
      <c r="O39" s="30"/>
      <c r="P39" s="30" t="s">
        <v>233</v>
      </c>
      <c r="Q39" s="30"/>
      <c r="R39" s="30" t="s">
        <v>233</v>
      </c>
      <c r="S39" s="39"/>
      <c r="T39" s="38"/>
      <c r="U39" s="174"/>
      <c r="V39" s="174"/>
      <c r="W39" s="25"/>
      <c r="X39" s="5"/>
    </row>
    <row r="40" spans="1:24" ht="15.6" x14ac:dyDescent="0.3">
      <c r="A40" s="24"/>
      <c r="B40" s="25" t="s">
        <v>12</v>
      </c>
      <c r="C40" s="25"/>
      <c r="D40" s="38">
        <v>3.2212499999999998E-2</v>
      </c>
      <c r="E40" s="25"/>
      <c r="F40" s="38">
        <v>6.5312499999999996E-2</v>
      </c>
      <c r="G40" s="39"/>
      <c r="H40" s="38">
        <v>5.0479999999999997E-2</v>
      </c>
      <c r="I40" s="38"/>
      <c r="J40" s="38">
        <v>5.0906300000000002E-2</v>
      </c>
      <c r="K40" s="39"/>
      <c r="L40" s="38">
        <v>6.6112500000000005E-2</v>
      </c>
      <c r="M40" s="39"/>
      <c r="N40" s="38">
        <v>5.1279999999999999E-2</v>
      </c>
      <c r="O40" s="39"/>
      <c r="P40" s="38">
        <v>6.8112500000000006E-2</v>
      </c>
      <c r="Q40" s="39"/>
      <c r="R40" s="38">
        <v>5.3280000000000001E-2</v>
      </c>
      <c r="S40" s="39"/>
      <c r="T40" s="38"/>
      <c r="U40" s="174"/>
      <c r="V40" s="30"/>
      <c r="W40" s="25"/>
      <c r="X40" s="5"/>
    </row>
    <row r="41" spans="1:24" ht="15.6" x14ac:dyDescent="0.3">
      <c r="A41" s="24"/>
      <c r="B41" s="25" t="s">
        <v>13</v>
      </c>
      <c r="C41" s="25"/>
      <c r="D41" s="38">
        <v>4.6518799999999999E-2</v>
      </c>
      <c r="E41" s="25"/>
      <c r="F41" s="38">
        <v>6.8512500000000004E-2</v>
      </c>
      <c r="G41" s="39"/>
      <c r="H41" s="38">
        <v>4.8300000000000003E-2</v>
      </c>
      <c r="I41" s="38"/>
      <c r="J41" s="38">
        <v>5.7943799999999997E-2</v>
      </c>
      <c r="K41" s="39"/>
      <c r="L41" s="38">
        <v>6.9312499999999999E-2</v>
      </c>
      <c r="M41" s="39"/>
      <c r="N41" s="38">
        <v>4.9099999999999998E-2</v>
      </c>
      <c r="O41" s="39"/>
      <c r="P41" s="38">
        <v>7.1312500000000001E-2</v>
      </c>
      <c r="Q41" s="39"/>
      <c r="R41" s="38">
        <v>5.11E-2</v>
      </c>
      <c r="S41" s="39"/>
      <c r="T41" s="38"/>
      <c r="U41" s="174"/>
      <c r="V41" s="39" t="s">
        <v>193</v>
      </c>
      <c r="W41" s="25"/>
      <c r="X41" s="5"/>
    </row>
    <row r="42" spans="1:24" ht="15.6" x14ac:dyDescent="0.3">
      <c r="A42" s="24"/>
      <c r="B42" s="25" t="s">
        <v>299</v>
      </c>
      <c r="C42" s="25"/>
      <c r="D42" s="30" t="s">
        <v>286</v>
      </c>
      <c r="E42" s="25"/>
      <c r="F42" s="30" t="s">
        <v>258</v>
      </c>
      <c r="G42" s="30"/>
      <c r="H42" s="30" t="s">
        <v>259</v>
      </c>
      <c r="I42" s="30"/>
      <c r="J42" s="30" t="s">
        <v>260</v>
      </c>
      <c r="K42" s="30"/>
      <c r="L42" s="30" t="s">
        <v>232</v>
      </c>
      <c r="M42" s="30"/>
      <c r="N42" s="30" t="s">
        <v>235</v>
      </c>
      <c r="O42" s="30"/>
      <c r="P42" s="30" t="s">
        <v>233</v>
      </c>
      <c r="Q42" s="30"/>
      <c r="R42" s="30" t="s">
        <v>261</v>
      </c>
      <c r="S42" s="39"/>
      <c r="T42" s="38"/>
      <c r="U42" s="174"/>
      <c r="V42" s="174"/>
      <c r="W42" s="25"/>
      <c r="X42" s="5"/>
    </row>
    <row r="43" spans="1:24" ht="15.6" x14ac:dyDescent="0.3">
      <c r="A43" s="24"/>
      <c r="B43" s="25" t="s">
        <v>300</v>
      </c>
      <c r="C43" s="110"/>
      <c r="D43" s="38">
        <v>6.5651500000000002E-2</v>
      </c>
      <c r="E43" s="38"/>
      <c r="F43" s="38">
        <f>+F40</f>
        <v>6.5312499999999996E-2</v>
      </c>
      <c r="G43" s="38"/>
      <c r="H43" s="38">
        <v>6.5452499999999997E-2</v>
      </c>
      <c r="I43" s="38"/>
      <c r="J43" s="38">
        <v>6.5675499999999998E-2</v>
      </c>
      <c r="K43" s="38"/>
      <c r="L43" s="38">
        <f>+L40</f>
        <v>6.6112500000000005E-2</v>
      </c>
      <c r="M43" s="38"/>
      <c r="N43" s="38">
        <v>6.6408499999999995E-2</v>
      </c>
      <c r="O43" s="38"/>
      <c r="P43" s="38">
        <f>+P40</f>
        <v>6.8112500000000006E-2</v>
      </c>
      <c r="Q43" s="39"/>
      <c r="R43" s="38">
        <v>6.8645499999999998E-2</v>
      </c>
      <c r="S43" s="30"/>
      <c r="T43" s="30"/>
      <c r="U43" s="174"/>
      <c r="V43" s="39">
        <f>SUMPRODUCT(D43:R43,D35:R35)/V35</f>
        <v>6.5879244056852748E-2</v>
      </c>
      <c r="W43" s="25"/>
      <c r="X43" s="5"/>
    </row>
    <row r="44" spans="1:24" ht="15.6" x14ac:dyDescent="0.3">
      <c r="A44" s="24"/>
      <c r="B44" s="25" t="s">
        <v>301</v>
      </c>
      <c r="C44" s="110"/>
      <c r="D44" s="38">
        <v>6.7816500000000002E-2</v>
      </c>
      <c r="E44" s="38"/>
      <c r="F44" s="38">
        <f>+F41</f>
        <v>6.8512500000000004E-2</v>
      </c>
      <c r="G44" s="38"/>
      <c r="H44" s="38">
        <v>6.8652500000000005E-2</v>
      </c>
      <c r="I44" s="38"/>
      <c r="J44" s="38">
        <v>6.8875500000000006E-2</v>
      </c>
      <c r="K44" s="38"/>
      <c r="L44" s="38">
        <f>+L41</f>
        <v>6.9312499999999999E-2</v>
      </c>
      <c r="M44" s="38"/>
      <c r="N44" s="38">
        <v>6.9608500000000004E-2</v>
      </c>
      <c r="O44" s="38"/>
      <c r="P44" s="38">
        <f>+P41</f>
        <v>7.1312500000000001E-2</v>
      </c>
      <c r="Q44" s="39"/>
      <c r="R44" s="38">
        <v>7.1845500000000007E-2</v>
      </c>
      <c r="S44" s="30"/>
      <c r="T44" s="30"/>
      <c r="U44" s="174"/>
      <c r="V44" s="174"/>
      <c r="W44" s="25"/>
      <c r="X44" s="5"/>
    </row>
    <row r="45" spans="1:24" ht="15.6" x14ac:dyDescent="0.3">
      <c r="A45" s="24"/>
      <c r="B45" s="25" t="s">
        <v>14</v>
      </c>
      <c r="C45" s="25"/>
      <c r="D45" s="110">
        <v>40617</v>
      </c>
      <c r="E45" s="110"/>
      <c r="F45" s="110">
        <v>40617</v>
      </c>
      <c r="G45" s="110"/>
      <c r="H45" s="110">
        <v>40617</v>
      </c>
      <c r="I45" s="110"/>
      <c r="J45" s="110">
        <v>40617</v>
      </c>
      <c r="K45" s="110"/>
      <c r="L45" s="110">
        <v>40617</v>
      </c>
      <c r="M45" s="110"/>
      <c r="N45" s="110">
        <v>40617</v>
      </c>
      <c r="O45" s="110"/>
      <c r="P45" s="110">
        <v>40617</v>
      </c>
      <c r="Q45" s="110"/>
      <c r="R45" s="110">
        <v>40617</v>
      </c>
      <c r="S45" s="30"/>
      <c r="T45" s="30"/>
      <c r="U45" s="174"/>
      <c r="V45" s="174"/>
      <c r="W45" s="25"/>
      <c r="X45" s="5"/>
    </row>
    <row r="46" spans="1:24" ht="15.6" x14ac:dyDescent="0.3">
      <c r="A46" s="24"/>
      <c r="B46" s="25" t="s">
        <v>15</v>
      </c>
      <c r="C46" s="25"/>
      <c r="D46" s="110" t="s">
        <v>118</v>
      </c>
      <c r="E46" s="110"/>
      <c r="F46" s="110">
        <v>40983</v>
      </c>
      <c r="G46" s="110"/>
      <c r="H46" s="110">
        <v>40983</v>
      </c>
      <c r="I46" s="110"/>
      <c r="J46" s="110">
        <v>40983</v>
      </c>
      <c r="K46" s="30"/>
      <c r="L46" s="110">
        <v>40983</v>
      </c>
      <c r="M46" s="30"/>
      <c r="N46" s="110">
        <v>40983</v>
      </c>
      <c r="O46" s="30"/>
      <c r="P46" s="110">
        <v>40983</v>
      </c>
      <c r="Q46" s="30"/>
      <c r="R46" s="110">
        <v>40983</v>
      </c>
      <c r="S46" s="30"/>
      <c r="T46" s="30"/>
      <c r="U46" s="174"/>
      <c r="V46" s="174"/>
      <c r="W46" s="25"/>
      <c r="X46" s="5"/>
    </row>
    <row r="47" spans="1:24" ht="15.6" x14ac:dyDescent="0.3">
      <c r="A47" s="24"/>
      <c r="B47" s="25" t="s">
        <v>119</v>
      </c>
      <c r="C47" s="25"/>
      <c r="D47" s="158" t="s">
        <v>118</v>
      </c>
      <c r="E47" s="25"/>
      <c r="F47" s="30" t="s">
        <v>231</v>
      </c>
      <c r="G47" s="30"/>
      <c r="H47" s="30" t="s">
        <v>231</v>
      </c>
      <c r="I47" s="30"/>
      <c r="J47" s="30" t="s">
        <v>231</v>
      </c>
      <c r="K47" s="30"/>
      <c r="L47" s="30" t="s">
        <v>265</v>
      </c>
      <c r="M47" s="30"/>
      <c r="N47" s="30" t="s">
        <v>265</v>
      </c>
      <c r="O47" s="30"/>
      <c r="P47" s="30" t="s">
        <v>266</v>
      </c>
      <c r="Q47" s="30"/>
      <c r="R47" s="30" t="s">
        <v>266</v>
      </c>
      <c r="S47" s="40"/>
      <c r="T47" s="40"/>
      <c r="U47" s="40"/>
      <c r="V47" s="40"/>
      <c r="W47" s="25"/>
      <c r="X47" s="5"/>
    </row>
    <row r="48" spans="1:24" ht="15.6" x14ac:dyDescent="0.3">
      <c r="A48" s="24"/>
      <c r="B48" s="25" t="s">
        <v>302</v>
      </c>
      <c r="C48" s="25"/>
      <c r="D48" s="30" t="s">
        <v>200</v>
      </c>
      <c r="E48" s="25"/>
      <c r="F48" s="30" t="s">
        <v>231</v>
      </c>
      <c r="G48" s="30"/>
      <c r="H48" s="30" t="s">
        <v>262</v>
      </c>
      <c r="I48" s="30"/>
      <c r="J48" s="30" t="s">
        <v>263</v>
      </c>
      <c r="K48" s="30"/>
      <c r="L48" s="30" t="s">
        <v>265</v>
      </c>
      <c r="M48" s="30"/>
      <c r="N48" s="30" t="s">
        <v>234</v>
      </c>
      <c r="O48" s="30"/>
      <c r="P48" s="30" t="s">
        <v>266</v>
      </c>
      <c r="Q48" s="30"/>
      <c r="R48" s="30" t="s">
        <v>264</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193</v>
      </c>
      <c r="W49" s="25"/>
      <c r="X49" s="5"/>
    </row>
    <row r="50" spans="1:25" ht="15.6" x14ac:dyDescent="0.3">
      <c r="A50" s="24"/>
      <c r="B50" s="25" t="s">
        <v>169</v>
      </c>
      <c r="C50" s="25"/>
      <c r="D50" s="30"/>
      <c r="E50" s="25"/>
      <c r="F50" s="30"/>
      <c r="G50" s="30"/>
      <c r="H50" s="30"/>
      <c r="I50" s="30"/>
      <c r="J50" s="30"/>
      <c r="K50" s="30"/>
      <c r="L50" s="30"/>
      <c r="M50" s="30"/>
      <c r="N50" s="30"/>
      <c r="O50" s="30"/>
      <c r="P50" s="30"/>
      <c r="Q50" s="30"/>
      <c r="R50" s="30"/>
      <c r="S50" s="25"/>
      <c r="T50" s="25"/>
      <c r="U50" s="25"/>
      <c r="V50" s="39">
        <f>SUM(L34:R34)/SUM(D34:J34)</f>
        <v>0.17663090364375009</v>
      </c>
      <c r="W50" s="25"/>
      <c r="X50" s="5"/>
    </row>
    <row r="51" spans="1:25" ht="15.6" x14ac:dyDescent="0.3">
      <c r="A51" s="24"/>
      <c r="B51" s="25" t="s">
        <v>170</v>
      </c>
      <c r="C51" s="25"/>
      <c r="D51" s="25"/>
      <c r="E51" s="25"/>
      <c r="F51" s="41"/>
      <c r="G51" s="25"/>
      <c r="H51" s="25"/>
      <c r="I51" s="25"/>
      <c r="J51" s="25"/>
      <c r="K51" s="25"/>
      <c r="L51" s="25"/>
      <c r="M51" s="25"/>
      <c r="N51" s="25"/>
      <c r="O51" s="25"/>
      <c r="P51" s="25"/>
      <c r="Q51" s="25"/>
      <c r="R51" s="25"/>
      <c r="S51" s="25"/>
      <c r="T51" s="25"/>
      <c r="U51" s="25"/>
      <c r="V51" s="39">
        <f>SUM(L36:R36)/SUM(D36:J36)</f>
        <v>0.18997756406398639</v>
      </c>
      <c r="W51" s="25"/>
      <c r="X51" s="5"/>
    </row>
    <row r="52" spans="1:25" ht="15.6" x14ac:dyDescent="0.3">
      <c r="A52" s="24"/>
      <c r="B52" s="25" t="s">
        <v>171</v>
      </c>
      <c r="C52" s="25"/>
      <c r="D52" s="25"/>
      <c r="E52" s="25"/>
      <c r="F52" s="25"/>
      <c r="G52" s="25"/>
      <c r="H52" s="25"/>
      <c r="I52" s="25"/>
      <c r="J52" s="25"/>
      <c r="K52" s="25"/>
      <c r="L52" s="25"/>
      <c r="M52" s="25"/>
      <c r="N52" s="25"/>
      <c r="O52" s="25"/>
      <c r="P52" s="25"/>
      <c r="Q52" s="25"/>
      <c r="R52" s="25"/>
      <c r="S52" s="25"/>
      <c r="T52" s="30"/>
      <c r="U52" s="30"/>
      <c r="V52" s="31" t="s">
        <v>276</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202</v>
      </c>
      <c r="C54" s="25"/>
      <c r="D54" s="25"/>
      <c r="E54" s="25"/>
      <c r="F54" s="25"/>
      <c r="G54" s="25"/>
      <c r="H54" s="25"/>
      <c r="I54" s="25"/>
      <c r="J54" s="25"/>
      <c r="K54" s="25"/>
      <c r="L54" s="25"/>
      <c r="M54" s="25"/>
      <c r="N54" s="25"/>
      <c r="O54" s="25"/>
      <c r="P54" s="25"/>
      <c r="Q54" s="25"/>
      <c r="R54" s="25"/>
      <c r="S54" s="25"/>
      <c r="T54" s="25"/>
      <c r="U54" s="25"/>
      <c r="V54" s="154" t="s">
        <v>203</v>
      </c>
      <c r="W54" s="25"/>
      <c r="X54" s="5"/>
    </row>
    <row r="55" spans="1:25" ht="15.6" x14ac:dyDescent="0.3">
      <c r="A55" s="24"/>
      <c r="B55" s="25" t="s">
        <v>280</v>
      </c>
      <c r="C55" s="25"/>
      <c r="D55" s="25"/>
      <c r="E55" s="25"/>
      <c r="F55" s="25"/>
      <c r="G55" s="25"/>
      <c r="H55" s="25"/>
      <c r="I55" s="25"/>
      <c r="J55" s="25"/>
      <c r="K55" s="25"/>
      <c r="L55" s="25"/>
      <c r="M55" s="25"/>
      <c r="N55" s="25"/>
      <c r="O55" s="25"/>
      <c r="P55" s="25"/>
      <c r="Q55" s="25"/>
      <c r="R55" s="25"/>
      <c r="S55" s="25"/>
      <c r="T55" s="30"/>
      <c r="U55" s="30"/>
      <c r="V55" s="155" t="s">
        <v>111</v>
      </c>
      <c r="W55" s="25"/>
      <c r="X55" s="5"/>
    </row>
    <row r="56" spans="1:25" ht="15.6" x14ac:dyDescent="0.3">
      <c r="A56" s="24"/>
      <c r="B56" s="29" t="s">
        <v>201</v>
      </c>
      <c r="C56" s="29"/>
      <c r="D56" s="29"/>
      <c r="E56" s="29"/>
      <c r="F56" s="29"/>
      <c r="G56" s="29"/>
      <c r="H56" s="29"/>
      <c r="I56" s="29"/>
      <c r="J56" s="29"/>
      <c r="K56" s="29"/>
      <c r="L56" s="29"/>
      <c r="M56" s="29"/>
      <c r="N56" s="29"/>
      <c r="O56" s="29"/>
      <c r="P56" s="29"/>
      <c r="Q56" s="29"/>
      <c r="R56" s="29"/>
      <c r="S56" s="29"/>
      <c r="T56" s="43"/>
      <c r="U56" s="43"/>
      <c r="V56" s="44">
        <v>39524</v>
      </c>
      <c r="W56" s="25"/>
      <c r="X56" s="5"/>
    </row>
    <row r="57" spans="1:25" ht="15.6" x14ac:dyDescent="0.3">
      <c r="A57" s="24"/>
      <c r="B57" s="25" t="s">
        <v>121</v>
      </c>
      <c r="C57" s="25"/>
      <c r="D57" s="25"/>
      <c r="E57" s="25"/>
      <c r="F57" s="25"/>
      <c r="G57" s="25"/>
      <c r="H57" s="58"/>
      <c r="I57" s="58"/>
      <c r="J57" s="58"/>
      <c r="K57" s="58"/>
      <c r="L57" s="58"/>
      <c r="M57" s="58"/>
      <c r="N57" s="58"/>
      <c r="O57" s="58"/>
      <c r="P57" s="58"/>
      <c r="Q57" s="58"/>
      <c r="R57" s="25">
        <f>+V57-T57+1</f>
        <v>91</v>
      </c>
      <c r="S57" s="58"/>
      <c r="T57" s="45">
        <v>39342</v>
      </c>
      <c r="U57" s="46"/>
      <c r="V57" s="45">
        <v>39432</v>
      </c>
      <c r="W57" s="25"/>
      <c r="X57" s="5"/>
    </row>
    <row r="58" spans="1:25" ht="15.6" x14ac:dyDescent="0.3">
      <c r="A58" s="24"/>
      <c r="B58" s="25" t="s">
        <v>122</v>
      </c>
      <c r="C58" s="25"/>
      <c r="D58" s="25"/>
      <c r="E58" s="25"/>
      <c r="F58" s="25"/>
      <c r="G58" s="25"/>
      <c r="H58" s="25"/>
      <c r="I58" s="25"/>
      <c r="J58" s="25"/>
      <c r="K58" s="25"/>
      <c r="L58" s="25"/>
      <c r="M58" s="25"/>
      <c r="N58" s="25"/>
      <c r="O58" s="25"/>
      <c r="P58" s="25"/>
      <c r="Q58" s="25"/>
      <c r="R58" s="25">
        <f>+V58-T58+1</f>
        <v>91</v>
      </c>
      <c r="S58" s="25"/>
      <c r="T58" s="45">
        <v>39433</v>
      </c>
      <c r="U58" s="46"/>
      <c r="V58" s="45">
        <v>39523</v>
      </c>
      <c r="W58" s="25"/>
      <c r="X58" s="5"/>
    </row>
    <row r="59" spans="1:25" ht="15.6" x14ac:dyDescent="0.3">
      <c r="A59" s="24"/>
      <c r="B59" s="25" t="s">
        <v>229</v>
      </c>
      <c r="C59" s="25"/>
      <c r="D59" s="25"/>
      <c r="E59" s="25"/>
      <c r="F59" s="25"/>
      <c r="G59" s="25"/>
      <c r="H59" s="25"/>
      <c r="I59" s="25"/>
      <c r="J59" s="25"/>
      <c r="K59" s="25"/>
      <c r="L59" s="25"/>
      <c r="M59" s="25"/>
      <c r="N59" s="25"/>
      <c r="O59" s="25"/>
      <c r="P59" s="25"/>
      <c r="Q59" s="25"/>
      <c r="R59" s="25"/>
      <c r="S59" s="25"/>
      <c r="T59" s="45"/>
      <c r="U59" s="46"/>
      <c r="V59" s="45" t="s">
        <v>120</v>
      </c>
      <c r="W59" s="25"/>
      <c r="X59" s="5"/>
    </row>
    <row r="60" spans="1:25" ht="15.6" x14ac:dyDescent="0.3">
      <c r="A60" s="24"/>
      <c r="B60" s="25" t="s">
        <v>228</v>
      </c>
      <c r="C60" s="25"/>
      <c r="D60" s="25"/>
      <c r="E60" s="25"/>
      <c r="F60" s="25"/>
      <c r="G60" s="25"/>
      <c r="H60" s="25"/>
      <c r="I60" s="25"/>
      <c r="J60" s="25"/>
      <c r="K60" s="25"/>
      <c r="L60" s="25"/>
      <c r="M60" s="25"/>
      <c r="N60" s="25"/>
      <c r="O60" s="25"/>
      <c r="P60" s="25"/>
      <c r="Q60" s="25"/>
      <c r="R60" s="25"/>
      <c r="S60" s="25"/>
      <c r="T60" s="45"/>
      <c r="U60" s="46"/>
      <c r="V60" s="45" t="s">
        <v>154</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39510</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284</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94</v>
      </c>
      <c r="M68" s="115"/>
      <c r="N68" s="115" t="s">
        <v>96</v>
      </c>
      <c r="O68" s="115"/>
      <c r="P68" s="115" t="s">
        <v>98</v>
      </c>
      <c r="Q68" s="115"/>
      <c r="R68" s="115" t="s">
        <v>100</v>
      </c>
      <c r="S68" s="115"/>
      <c r="T68" s="115" t="s">
        <v>106</v>
      </c>
      <c r="U68" s="115"/>
      <c r="V68" s="116" t="s">
        <v>112</v>
      </c>
      <c r="W68" s="117"/>
      <c r="X68" s="5"/>
    </row>
    <row r="69" spans="1:24" ht="15.6" x14ac:dyDescent="0.3">
      <c r="A69" s="24"/>
      <c r="B69" s="25" t="s">
        <v>19</v>
      </c>
      <c r="C69" s="34"/>
      <c r="D69" s="34"/>
      <c r="E69" s="34"/>
      <c r="F69" s="34"/>
      <c r="G69" s="34"/>
      <c r="H69" s="34"/>
      <c r="I69" s="34"/>
      <c r="J69" s="34"/>
      <c r="K69" s="34"/>
      <c r="L69" s="34">
        <v>1158015</v>
      </c>
      <c r="M69" s="34"/>
      <c r="N69" s="53">
        <v>1443232</v>
      </c>
      <c r="O69" s="34"/>
      <c r="P69" s="34">
        <f>32535+2132+606</f>
        <v>35273</v>
      </c>
      <c r="Q69" s="34"/>
      <c r="R69" s="34">
        <f>2132+606</f>
        <v>2738</v>
      </c>
      <c r="S69" s="34"/>
      <c r="T69" s="34">
        <v>0</v>
      </c>
      <c r="U69" s="34"/>
      <c r="V69" s="53">
        <f>+N69-P69+R69-T69</f>
        <v>1410697</v>
      </c>
      <c r="W69" s="25"/>
      <c r="X69" s="5"/>
    </row>
    <row r="70" spans="1:24" ht="15.6" x14ac:dyDescent="0.3">
      <c r="A70" s="24"/>
      <c r="B70" s="25" t="s">
        <v>20</v>
      </c>
      <c r="C70" s="34"/>
      <c r="D70" s="34"/>
      <c r="E70" s="34"/>
      <c r="F70" s="34"/>
      <c r="G70" s="34"/>
      <c r="H70" s="34"/>
      <c r="I70" s="34"/>
      <c r="J70" s="34"/>
      <c r="K70" s="34"/>
      <c r="L70" s="34">
        <v>15</v>
      </c>
      <c r="M70" s="34"/>
      <c r="N70" s="53">
        <v>0</v>
      </c>
      <c r="O70" s="34"/>
      <c r="P70" s="34">
        <v>0</v>
      </c>
      <c r="Q70" s="34"/>
      <c r="R70" s="34">
        <v>0</v>
      </c>
      <c r="S70" s="34"/>
      <c r="T70" s="34">
        <v>0</v>
      </c>
      <c r="U70" s="34"/>
      <c r="V70" s="53">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1158030</v>
      </c>
      <c r="M72" s="34"/>
      <c r="N72" s="54">
        <f>N69+N70</f>
        <v>1443232</v>
      </c>
      <c r="O72" s="34"/>
      <c r="P72" s="34">
        <f>SUM(P69:P71)</f>
        <v>35273</v>
      </c>
      <c r="Q72" s="34"/>
      <c r="R72" s="34">
        <f>SUM(R69:R71)</f>
        <v>2738</v>
      </c>
      <c r="S72" s="34"/>
      <c r="T72" s="34">
        <f>SUM(T69:T71)</f>
        <v>0</v>
      </c>
      <c r="U72" s="34"/>
      <c r="V72" s="54">
        <f>SUM(V69:V71)</f>
        <v>1410697</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117</v>
      </c>
      <c r="C82" s="34"/>
      <c r="D82" s="34"/>
      <c r="E82" s="34"/>
      <c r="F82" s="34"/>
      <c r="G82" s="34"/>
      <c r="H82" s="34"/>
      <c r="I82" s="34"/>
      <c r="J82" s="34"/>
      <c r="K82" s="34"/>
      <c r="L82" s="34">
        <v>342245</v>
      </c>
      <c r="M82" s="34"/>
      <c r="N82" s="34">
        <v>0</v>
      </c>
      <c r="O82" s="34"/>
      <c r="P82" s="34">
        <v>0</v>
      </c>
      <c r="Q82" s="34"/>
      <c r="R82" s="34"/>
      <c r="S82" s="34"/>
      <c r="T82" s="34"/>
      <c r="U82" s="34"/>
      <c r="V82" s="54">
        <f>SUM(N82:R82)</f>
        <v>0</v>
      </c>
      <c r="W82" s="25"/>
      <c r="X82" s="5"/>
    </row>
    <row r="83" spans="1:24" ht="15.6" x14ac:dyDescent="0.3">
      <c r="A83" s="24"/>
      <c r="B83" s="25" t="s">
        <v>146</v>
      </c>
      <c r="C83" s="34"/>
      <c r="D83" s="34"/>
      <c r="E83" s="34"/>
      <c r="F83" s="34"/>
      <c r="G83" s="34"/>
      <c r="H83" s="34"/>
      <c r="I83" s="34"/>
      <c r="J83" s="34"/>
      <c r="K83" s="34"/>
      <c r="L83" s="34">
        <v>0</v>
      </c>
      <c r="M83" s="34"/>
      <c r="N83" s="34">
        <v>0</v>
      </c>
      <c r="O83" s="34"/>
      <c r="P83" s="34">
        <v>0</v>
      </c>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1500275</v>
      </c>
      <c r="M85" s="34"/>
      <c r="N85" s="54">
        <f>SUM(N72:N84)</f>
        <v>1443232</v>
      </c>
      <c r="O85" s="34"/>
      <c r="P85" s="34"/>
      <c r="Q85" s="34"/>
      <c r="R85" s="34"/>
      <c r="S85" s="34"/>
      <c r="T85" s="54"/>
      <c r="U85" s="34"/>
      <c r="V85" s="54">
        <f>SUM(V72:V84)</f>
        <v>1410697</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7" t="s">
        <v>95</v>
      </c>
      <c r="M88" s="17"/>
      <c r="N88" s="156">
        <f>+T205</f>
        <v>39507</v>
      </c>
      <c r="O88" s="17"/>
      <c r="P88" s="17"/>
      <c r="Q88" s="17"/>
      <c r="R88" s="17"/>
      <c r="S88" s="17"/>
      <c r="T88" s="17" t="s">
        <v>107</v>
      </c>
      <c r="U88" s="17"/>
      <c r="V88" s="17" t="s">
        <v>113</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f>35273-8</f>
        <v>35265</v>
      </c>
      <c r="U90" s="25"/>
      <c r="V90" s="53"/>
      <c r="W90" s="25"/>
      <c r="X90" s="5"/>
    </row>
    <row r="91" spans="1:24" ht="15.6" x14ac:dyDescent="0.3">
      <c r="A91" s="24"/>
      <c r="B91" s="25" t="s">
        <v>216</v>
      </c>
      <c r="C91" s="25"/>
      <c r="D91" s="25"/>
      <c r="E91" s="25"/>
      <c r="F91" s="25"/>
      <c r="G91" s="25"/>
      <c r="H91" s="40"/>
      <c r="I91" s="40"/>
      <c r="J91" s="40"/>
      <c r="K91" s="57"/>
      <c r="L91" s="40"/>
      <c r="M91" s="25"/>
      <c r="N91" s="127"/>
      <c r="O91" s="25"/>
      <c r="P91" s="25"/>
      <c r="Q91" s="25"/>
      <c r="R91" s="25"/>
      <c r="S91" s="25"/>
      <c r="T91" s="34"/>
      <c r="U91" s="25"/>
      <c r="V91" s="53">
        <f>8554+12211-464-1065</f>
        <v>19236</v>
      </c>
      <c r="W91" s="25"/>
      <c r="X91" s="5"/>
    </row>
    <row r="92" spans="1:24" ht="15.6" x14ac:dyDescent="0.3">
      <c r="A92" s="24"/>
      <c r="B92" s="25" t="s">
        <v>211</v>
      </c>
      <c r="C92" s="25"/>
      <c r="D92" s="25"/>
      <c r="E92" s="25"/>
      <c r="F92" s="25"/>
      <c r="G92" s="25"/>
      <c r="H92" s="40"/>
      <c r="I92" s="40"/>
      <c r="J92" s="40"/>
      <c r="K92" s="57"/>
      <c r="L92" s="40"/>
      <c r="M92" s="25"/>
      <c r="N92" s="127"/>
      <c r="O92" s="25"/>
      <c r="P92" s="25"/>
      <c r="Q92" s="25"/>
      <c r="R92" s="25"/>
      <c r="S92" s="25"/>
      <c r="T92" s="34"/>
      <c r="U92" s="25"/>
      <c r="V92" s="53">
        <f>230+285</f>
        <v>515</v>
      </c>
      <c r="W92" s="25"/>
      <c r="X92" s="5"/>
    </row>
    <row r="93" spans="1:24" ht="15.6" x14ac:dyDescent="0.3">
      <c r="A93" s="24"/>
      <c r="B93" s="25" t="s">
        <v>212</v>
      </c>
      <c r="C93" s="25"/>
      <c r="D93" s="25"/>
      <c r="E93" s="25"/>
      <c r="F93" s="25"/>
      <c r="G93" s="25"/>
      <c r="H93" s="40"/>
      <c r="I93" s="40"/>
      <c r="J93" s="40"/>
      <c r="K93" s="57"/>
      <c r="L93" s="40"/>
      <c r="M93" s="25"/>
      <c r="N93" s="127"/>
      <c r="O93" s="25"/>
      <c r="P93" s="25"/>
      <c r="Q93" s="25"/>
      <c r="R93" s="25"/>
      <c r="S93" s="25"/>
      <c r="T93" s="34"/>
      <c r="U93" s="25"/>
      <c r="V93" s="53">
        <v>1022</v>
      </c>
      <c r="W93" s="25"/>
      <c r="X93" s="5"/>
    </row>
    <row r="94" spans="1:24" ht="15.6" x14ac:dyDescent="0.3">
      <c r="A94" s="24"/>
      <c r="B94" s="25" t="s">
        <v>272</v>
      </c>
      <c r="C94" s="25"/>
      <c r="D94" s="25"/>
      <c r="E94" s="25"/>
      <c r="F94" s="25"/>
      <c r="G94" s="25"/>
      <c r="H94" s="40"/>
      <c r="I94" s="40"/>
      <c r="J94" s="40"/>
      <c r="K94" s="57"/>
      <c r="L94" s="40"/>
      <c r="M94" s="25"/>
      <c r="N94" s="127"/>
      <c r="O94" s="25"/>
      <c r="P94" s="25"/>
      <c r="Q94" s="25"/>
      <c r="R94" s="25"/>
      <c r="S94" s="25"/>
      <c r="T94" s="34"/>
      <c r="U94" s="25"/>
      <c r="V94" s="53">
        <f>1+1758</f>
        <v>1759</v>
      </c>
      <c r="W94" s="25"/>
      <c r="X94" s="5"/>
    </row>
    <row r="95" spans="1:24" ht="15.6" x14ac:dyDescent="0.3">
      <c r="A95" s="24"/>
      <c r="B95" s="25" t="s">
        <v>274</v>
      </c>
      <c r="C95" s="25"/>
      <c r="D95" s="25"/>
      <c r="E95" s="25"/>
      <c r="F95" s="25"/>
      <c r="G95" s="25"/>
      <c r="H95" s="40"/>
      <c r="I95" s="40"/>
      <c r="J95" s="40"/>
      <c r="K95" s="57"/>
      <c r="L95" s="40"/>
      <c r="M95" s="25"/>
      <c r="N95" s="127"/>
      <c r="O95" s="25"/>
      <c r="P95" s="25"/>
      <c r="Q95" s="25"/>
      <c r="R95" s="25"/>
      <c r="S95" s="25"/>
      <c r="T95" s="34"/>
      <c r="U95" s="25"/>
      <c r="V95" s="53">
        <v>1254</v>
      </c>
      <c r="W95" s="25"/>
      <c r="X95" s="5"/>
    </row>
    <row r="96" spans="1:24" ht="15.6" x14ac:dyDescent="0.3">
      <c r="A96" s="24"/>
      <c r="B96" s="25" t="s">
        <v>135</v>
      </c>
      <c r="C96" s="25"/>
      <c r="D96" s="25"/>
      <c r="E96" s="25"/>
      <c r="F96" s="25"/>
      <c r="G96" s="25"/>
      <c r="H96" s="25"/>
      <c r="I96" s="25"/>
      <c r="J96" s="25"/>
      <c r="K96" s="25"/>
      <c r="L96" s="25"/>
      <c r="M96" s="25"/>
      <c r="N96" s="25"/>
      <c r="O96" s="25"/>
      <c r="P96" s="25"/>
      <c r="Q96" s="25"/>
      <c r="R96" s="25"/>
      <c r="S96" s="25"/>
      <c r="T96" s="34"/>
      <c r="U96" s="25"/>
      <c r="V96" s="53">
        <v>0</v>
      </c>
      <c r="W96" s="25"/>
      <c r="X96" s="5"/>
    </row>
    <row r="97" spans="1:25" ht="15.6" x14ac:dyDescent="0.3">
      <c r="A97" s="24"/>
      <c r="B97" s="25" t="s">
        <v>268</v>
      </c>
      <c r="C97" s="25"/>
      <c r="D97" s="25"/>
      <c r="E97" s="25"/>
      <c r="F97" s="25"/>
      <c r="G97" s="25"/>
      <c r="H97" s="25"/>
      <c r="I97" s="25"/>
      <c r="J97" s="25"/>
      <c r="K97" s="25"/>
      <c r="L97" s="25"/>
      <c r="M97" s="25"/>
      <c r="N97" s="25"/>
      <c r="O97" s="25"/>
      <c r="P97" s="25"/>
      <c r="Q97" s="25"/>
      <c r="R97" s="25"/>
      <c r="S97" s="25"/>
      <c r="T97" s="34"/>
      <c r="U97" s="25"/>
      <c r="V97" s="53">
        <v>4796</v>
      </c>
      <c r="W97" s="25"/>
      <c r="X97" s="5"/>
    </row>
    <row r="98" spans="1:25" ht="15.6" x14ac:dyDescent="0.3">
      <c r="A98" s="24"/>
      <c r="B98" s="25" t="s">
        <v>30</v>
      </c>
      <c r="C98" s="25"/>
      <c r="D98" s="25"/>
      <c r="E98" s="25"/>
      <c r="F98" s="25"/>
      <c r="G98" s="25"/>
      <c r="H98" s="25"/>
      <c r="I98" s="25"/>
      <c r="J98" s="25"/>
      <c r="K98" s="25"/>
      <c r="L98" s="25"/>
      <c r="M98" s="25"/>
      <c r="N98" s="25"/>
      <c r="O98" s="25"/>
      <c r="P98" s="25"/>
      <c r="Q98" s="25"/>
      <c r="R98" s="25"/>
      <c r="S98" s="25"/>
      <c r="T98" s="34">
        <f>SUM(T89:T97)</f>
        <v>35265</v>
      </c>
      <c r="U98" s="25"/>
      <c r="V98" s="54">
        <f>SUM(V89:V97)</f>
        <v>28582</v>
      </c>
      <c r="W98" s="25"/>
      <c r="X98" s="5"/>
    </row>
    <row r="99" spans="1:25" ht="15.6" x14ac:dyDescent="0.3">
      <c r="A99" s="24"/>
      <c r="B99" s="25" t="s">
        <v>161</v>
      </c>
      <c r="C99" s="25"/>
      <c r="D99" s="25"/>
      <c r="E99" s="25"/>
      <c r="F99" s="25"/>
      <c r="G99" s="25"/>
      <c r="H99" s="25"/>
      <c r="I99" s="25"/>
      <c r="J99" s="25"/>
      <c r="K99" s="25"/>
      <c r="L99" s="25"/>
      <c r="M99" s="25"/>
      <c r="N99" s="25"/>
      <c r="O99" s="25"/>
      <c r="P99" s="25"/>
      <c r="Q99" s="25"/>
      <c r="R99" s="25"/>
      <c r="S99" s="25"/>
      <c r="T99" s="34">
        <f>-V99</f>
        <v>-90</v>
      </c>
      <c r="U99" s="25"/>
      <c r="V99" s="54">
        <v>90</v>
      </c>
      <c r="W99" s="25"/>
      <c r="X99" s="5"/>
    </row>
    <row r="100" spans="1:25" ht="15.6" x14ac:dyDescent="0.3">
      <c r="A100" s="24"/>
      <c r="B100" s="25" t="s">
        <v>31</v>
      </c>
      <c r="C100" s="25"/>
      <c r="D100" s="25"/>
      <c r="E100" s="25"/>
      <c r="F100" s="25"/>
      <c r="G100" s="25"/>
      <c r="H100" s="25"/>
      <c r="I100" s="25"/>
      <c r="J100" s="25"/>
      <c r="K100" s="25"/>
      <c r="L100" s="25"/>
      <c r="M100" s="25"/>
      <c r="N100" s="25"/>
      <c r="O100" s="25"/>
      <c r="P100" s="25"/>
      <c r="Q100" s="25"/>
      <c r="R100" s="25"/>
      <c r="S100" s="25"/>
      <c r="T100" s="34">
        <f>-V100</f>
        <v>0</v>
      </c>
      <c r="U100" s="25"/>
      <c r="V100" s="53">
        <v>0</v>
      </c>
      <c r="W100" s="25"/>
      <c r="X100" s="5"/>
    </row>
    <row r="101" spans="1:25" ht="15.6" x14ac:dyDescent="0.3">
      <c r="A101" s="24"/>
      <c r="B101" s="25" t="s">
        <v>283</v>
      </c>
      <c r="C101" s="25"/>
      <c r="D101" s="25"/>
      <c r="E101" s="25"/>
      <c r="F101" s="25"/>
      <c r="G101" s="25"/>
      <c r="H101" s="25"/>
      <c r="I101" s="25"/>
      <c r="J101" s="25"/>
      <c r="K101" s="25"/>
      <c r="L101" s="25"/>
      <c r="M101" s="25"/>
      <c r="N101" s="25"/>
      <c r="O101" s="25"/>
      <c r="P101" s="25"/>
      <c r="Q101" s="25"/>
      <c r="R101" s="25"/>
      <c r="S101" s="25"/>
      <c r="T101" s="34"/>
      <c r="U101" s="25"/>
      <c r="V101" s="53">
        <v>0</v>
      </c>
      <c r="W101" s="25"/>
      <c r="X101" s="5"/>
    </row>
    <row r="102" spans="1:25" ht="15.6" x14ac:dyDescent="0.3">
      <c r="A102" s="24"/>
      <c r="B102" s="25" t="s">
        <v>32</v>
      </c>
      <c r="C102" s="25"/>
      <c r="D102" s="25"/>
      <c r="E102" s="25"/>
      <c r="F102" s="25"/>
      <c r="G102" s="25"/>
      <c r="H102" s="25"/>
      <c r="I102" s="25"/>
      <c r="J102" s="25"/>
      <c r="K102" s="25"/>
      <c r="L102" s="25"/>
      <c r="M102" s="25"/>
      <c r="N102" s="25"/>
      <c r="O102" s="25"/>
      <c r="P102" s="25"/>
      <c r="Q102" s="25"/>
      <c r="R102" s="25"/>
      <c r="S102" s="25"/>
      <c r="T102" s="34">
        <f>T98+T100+T99</f>
        <v>35175</v>
      </c>
      <c r="U102" s="25"/>
      <c r="V102" s="54">
        <f>V98+V100+V99+V101</f>
        <v>28672</v>
      </c>
      <c r="W102" s="25"/>
      <c r="X102" s="5"/>
    </row>
    <row r="103" spans="1:25" ht="15.6" x14ac:dyDescent="0.3">
      <c r="A103" s="24"/>
      <c r="B103" s="118" t="s">
        <v>33</v>
      </c>
      <c r="C103" s="25"/>
      <c r="D103" s="25"/>
      <c r="E103" s="25"/>
      <c r="F103" s="25"/>
      <c r="G103" s="25"/>
      <c r="H103" s="25"/>
      <c r="I103" s="25"/>
      <c r="J103" s="25"/>
      <c r="K103" s="25"/>
      <c r="L103" s="25"/>
      <c r="M103" s="25"/>
      <c r="N103" s="25"/>
      <c r="O103" s="25"/>
      <c r="P103" s="25"/>
      <c r="Q103" s="25"/>
      <c r="R103" s="25"/>
      <c r="S103" s="25"/>
      <c r="T103" s="34"/>
      <c r="U103" s="25"/>
      <c r="V103" s="53"/>
      <c r="W103" s="25"/>
      <c r="X103" s="5"/>
    </row>
    <row r="104" spans="1:25" ht="15.6" x14ac:dyDescent="0.3">
      <c r="A104" s="24">
        <v>1</v>
      </c>
      <c r="B104" s="25" t="s">
        <v>34</v>
      </c>
      <c r="C104" s="25"/>
      <c r="D104" s="25"/>
      <c r="E104" s="25"/>
      <c r="F104" s="25"/>
      <c r="G104" s="25"/>
      <c r="H104" s="25"/>
      <c r="I104" s="25"/>
      <c r="J104" s="25"/>
      <c r="K104" s="25"/>
      <c r="L104" s="25"/>
      <c r="M104" s="25"/>
      <c r="N104" s="25"/>
      <c r="O104" s="25"/>
      <c r="P104" s="25"/>
      <c r="Q104" s="25"/>
      <c r="R104" s="25"/>
      <c r="S104" s="25"/>
      <c r="T104" s="25"/>
      <c r="U104" s="25"/>
      <c r="V104" s="53">
        <v>0</v>
      </c>
      <c r="W104" s="25"/>
      <c r="X104" s="5"/>
    </row>
    <row r="105" spans="1:25" ht="15.6" x14ac:dyDescent="0.3">
      <c r="A105" s="24">
        <f>+A104+1</f>
        <v>2</v>
      </c>
      <c r="B105" s="25" t="s">
        <v>225</v>
      </c>
      <c r="C105" s="25"/>
      <c r="D105" s="25"/>
      <c r="E105" s="25"/>
      <c r="F105" s="25"/>
      <c r="G105" s="25"/>
      <c r="H105" s="25"/>
      <c r="I105" s="25"/>
      <c r="J105" s="25"/>
      <c r="K105" s="25"/>
      <c r="L105" s="25"/>
      <c r="M105" s="25"/>
      <c r="N105" s="25"/>
      <c r="O105" s="25"/>
      <c r="P105" s="25"/>
      <c r="Q105" s="25"/>
      <c r="R105" s="25"/>
      <c r="S105" s="25"/>
      <c r="T105" s="25"/>
      <c r="U105" s="25"/>
      <c r="V105" s="53">
        <v>-2</v>
      </c>
      <c r="W105" s="25"/>
      <c r="X105" s="5"/>
    </row>
    <row r="106" spans="1:25" ht="15.6" x14ac:dyDescent="0.3">
      <c r="A106" s="24">
        <f>+A105+1</f>
        <v>3</v>
      </c>
      <c r="B106" s="25" t="s">
        <v>204</v>
      </c>
      <c r="C106" s="25"/>
      <c r="D106" s="25"/>
      <c r="E106" s="25"/>
      <c r="F106" s="25"/>
      <c r="G106" s="25"/>
      <c r="H106" s="25"/>
      <c r="I106" s="25"/>
      <c r="J106" s="25"/>
      <c r="K106" s="25"/>
      <c r="L106" s="25"/>
      <c r="M106" s="25"/>
      <c r="N106" s="25"/>
      <c r="O106" s="25"/>
      <c r="P106" s="25"/>
      <c r="Q106" s="25"/>
      <c r="R106" s="25"/>
      <c r="S106" s="25"/>
      <c r="T106" s="25"/>
      <c r="U106" s="25"/>
      <c r="V106" s="53">
        <f>-180-17-17</f>
        <v>-214</v>
      </c>
      <c r="W106" s="25"/>
      <c r="X106" s="5"/>
    </row>
    <row r="107" spans="1:25" ht="15.6" x14ac:dyDescent="0.3">
      <c r="A107" s="24" t="s">
        <v>127</v>
      </c>
      <c r="B107" s="25" t="s">
        <v>116</v>
      </c>
      <c r="C107" s="25"/>
      <c r="D107" s="25"/>
      <c r="E107" s="25"/>
      <c r="F107" s="25"/>
      <c r="G107" s="25"/>
      <c r="H107" s="25"/>
      <c r="I107" s="25"/>
      <c r="J107" s="25"/>
      <c r="K107" s="25"/>
      <c r="L107" s="25"/>
      <c r="M107" s="25"/>
      <c r="N107" s="25"/>
      <c r="O107" s="25"/>
      <c r="P107" s="25"/>
      <c r="Q107" s="25"/>
      <c r="R107" s="25"/>
      <c r="S107" s="25"/>
      <c r="T107" s="25"/>
      <c r="U107" s="25"/>
      <c r="V107" s="53">
        <v>0</v>
      </c>
      <c r="W107" s="25"/>
      <c r="X107" s="5"/>
    </row>
    <row r="108" spans="1:25" ht="15.6" x14ac:dyDescent="0.3">
      <c r="A108" s="24" t="s">
        <v>128</v>
      </c>
      <c r="B108" s="25" t="s">
        <v>222</v>
      </c>
      <c r="C108" s="25"/>
      <c r="D108" s="25"/>
      <c r="E108" s="25"/>
      <c r="F108" s="25"/>
      <c r="G108" s="25"/>
      <c r="H108" s="25"/>
      <c r="I108" s="25"/>
      <c r="J108" s="25"/>
      <c r="K108" s="25"/>
      <c r="L108" s="25"/>
      <c r="M108" s="25"/>
      <c r="N108" s="25"/>
      <c r="O108" s="25"/>
      <c r="P108" s="25"/>
      <c r="Q108" s="25"/>
      <c r="R108" s="25"/>
      <c r="S108" s="25"/>
      <c r="T108" s="25"/>
      <c r="U108" s="25"/>
      <c r="V108" s="53">
        <v>-17975</v>
      </c>
      <c r="W108" s="25"/>
      <c r="X108" s="5"/>
      <c r="Y108" s="109"/>
    </row>
    <row r="109" spans="1:25" ht="15.6" x14ac:dyDescent="0.3">
      <c r="A109" s="24" t="s">
        <v>150</v>
      </c>
      <c r="B109" s="25" t="s">
        <v>184</v>
      </c>
      <c r="C109" s="25"/>
      <c r="D109" s="25"/>
      <c r="E109" s="25"/>
      <c r="F109" s="25"/>
      <c r="G109" s="25"/>
      <c r="H109" s="25"/>
      <c r="I109" s="25"/>
      <c r="J109" s="25"/>
      <c r="K109" s="25"/>
      <c r="L109" s="25"/>
      <c r="M109" s="25"/>
      <c r="N109" s="25"/>
      <c r="O109" s="25"/>
      <c r="P109" s="25"/>
      <c r="Q109" s="25"/>
      <c r="R109" s="25"/>
      <c r="S109" s="25"/>
      <c r="T109" s="25"/>
      <c r="U109" s="25"/>
      <c r="V109" s="53">
        <v>-1944</v>
      </c>
      <c r="W109" s="25"/>
      <c r="X109" s="5"/>
      <c r="Y109" s="109"/>
    </row>
    <row r="110" spans="1:25" ht="15.6" x14ac:dyDescent="0.3">
      <c r="A110" s="24" t="s">
        <v>236</v>
      </c>
      <c r="B110" s="25" t="s">
        <v>238</v>
      </c>
      <c r="C110" s="25"/>
      <c r="D110" s="25"/>
      <c r="E110" s="25"/>
      <c r="F110" s="25"/>
      <c r="G110" s="25"/>
      <c r="H110" s="25"/>
      <c r="I110" s="25"/>
      <c r="J110" s="25"/>
      <c r="K110" s="25"/>
      <c r="L110" s="25"/>
      <c r="M110" s="25"/>
      <c r="N110" s="25"/>
      <c r="O110" s="25"/>
      <c r="P110" s="25"/>
      <c r="Q110" s="25"/>
      <c r="R110" s="25"/>
      <c r="S110" s="25"/>
      <c r="T110" s="25"/>
      <c r="U110" s="25"/>
      <c r="V110" s="53">
        <v>-2</v>
      </c>
      <c r="W110" s="25"/>
      <c r="X110" s="5"/>
    </row>
    <row r="111" spans="1:25" ht="15.6" x14ac:dyDescent="0.3">
      <c r="A111" s="24" t="s">
        <v>205</v>
      </c>
      <c r="B111" s="25" t="s">
        <v>185</v>
      </c>
      <c r="C111" s="25"/>
      <c r="D111" s="25"/>
      <c r="E111" s="25"/>
      <c r="F111" s="25"/>
      <c r="G111" s="25"/>
      <c r="H111" s="25"/>
      <c r="I111" s="25"/>
      <c r="J111" s="25"/>
      <c r="K111" s="25"/>
      <c r="L111" s="25"/>
      <c r="M111" s="25"/>
      <c r="N111" s="25"/>
      <c r="O111" s="25"/>
      <c r="P111" s="25"/>
      <c r="Q111" s="25"/>
      <c r="R111" s="25"/>
      <c r="S111" s="25"/>
      <c r="T111" s="25"/>
      <c r="U111" s="25"/>
      <c r="V111" s="53">
        <v>-1005</v>
      </c>
      <c r="W111" s="25"/>
      <c r="X111" s="5"/>
      <c r="Y111" s="109"/>
    </row>
    <row r="112" spans="1:25" ht="15.6" x14ac:dyDescent="0.3">
      <c r="A112" s="24" t="s">
        <v>206</v>
      </c>
      <c r="B112" s="25" t="s">
        <v>186</v>
      </c>
      <c r="C112" s="25"/>
      <c r="D112" s="25"/>
      <c r="E112" s="25"/>
      <c r="F112" s="25"/>
      <c r="G112" s="25"/>
      <c r="H112" s="25"/>
      <c r="I112" s="25"/>
      <c r="J112" s="25"/>
      <c r="K112" s="25"/>
      <c r="L112" s="25"/>
      <c r="M112" s="25"/>
      <c r="N112" s="25"/>
      <c r="O112" s="25"/>
      <c r="P112" s="25"/>
      <c r="Q112" s="25"/>
      <c r="R112" s="25"/>
      <c r="S112" s="25"/>
      <c r="T112" s="25"/>
      <c r="U112" s="25"/>
      <c r="V112" s="53">
        <v>-855</v>
      </c>
      <c r="W112" s="25"/>
      <c r="X112" s="179"/>
      <c r="Y112" s="109"/>
    </row>
    <row r="113" spans="1:25" ht="15.6" x14ac:dyDescent="0.3">
      <c r="A113" s="24" t="s">
        <v>207</v>
      </c>
      <c r="B113" s="25" t="s">
        <v>196</v>
      </c>
      <c r="C113" s="25"/>
      <c r="D113" s="25"/>
      <c r="E113" s="25"/>
      <c r="F113" s="25"/>
      <c r="G113" s="25"/>
      <c r="H113" s="25"/>
      <c r="I113" s="25"/>
      <c r="J113" s="25"/>
      <c r="K113" s="25"/>
      <c r="L113" s="25"/>
      <c r="M113" s="25"/>
      <c r="N113" s="25"/>
      <c r="O113" s="25"/>
      <c r="P113" s="25"/>
      <c r="Q113" s="25"/>
      <c r="R113" s="25"/>
      <c r="S113" s="25"/>
      <c r="T113" s="25"/>
      <c r="U113" s="25"/>
      <c r="V113" s="53">
        <v>-1585</v>
      </c>
      <c r="W113" s="25"/>
      <c r="X113" s="5"/>
      <c r="Y113" s="109"/>
    </row>
    <row r="114" spans="1:25" ht="15.6" x14ac:dyDescent="0.3">
      <c r="A114" s="24" t="s">
        <v>224</v>
      </c>
      <c r="B114" s="25" t="s">
        <v>223</v>
      </c>
      <c r="C114" s="25"/>
      <c r="D114" s="25"/>
      <c r="E114" s="25"/>
      <c r="F114" s="25"/>
      <c r="G114" s="25"/>
      <c r="H114" s="25"/>
      <c r="I114" s="25"/>
      <c r="J114" s="25"/>
      <c r="K114" s="25"/>
      <c r="L114" s="25"/>
      <c r="M114" s="25"/>
      <c r="N114" s="25"/>
      <c r="O114" s="25"/>
      <c r="P114" s="25"/>
      <c r="Q114" s="25"/>
      <c r="R114" s="25"/>
      <c r="S114" s="25"/>
      <c r="T114" s="25"/>
      <c r="U114" s="25"/>
      <c r="V114" s="53">
        <v>-340</v>
      </c>
      <c r="W114" s="25"/>
      <c r="X114" s="5"/>
      <c r="Y114" s="109"/>
    </row>
    <row r="115" spans="1:25" ht="15.6" x14ac:dyDescent="0.3">
      <c r="A115" s="24">
        <v>7</v>
      </c>
      <c r="B115" s="25" t="s">
        <v>35</v>
      </c>
      <c r="C115" s="25"/>
      <c r="D115" s="25"/>
      <c r="E115" s="25"/>
      <c r="F115" s="25"/>
      <c r="G115" s="25"/>
      <c r="H115" s="25"/>
      <c r="I115" s="25"/>
      <c r="J115" s="25"/>
      <c r="K115" s="25"/>
      <c r="L115" s="25"/>
      <c r="M115" s="25"/>
      <c r="N115" s="25"/>
      <c r="O115" s="25"/>
      <c r="P115" s="25"/>
      <c r="Q115" s="25"/>
      <c r="R115" s="25"/>
      <c r="S115" s="25"/>
      <c r="T115" s="25"/>
      <c r="U115" s="25"/>
      <c r="V115" s="53">
        <v>-12</v>
      </c>
      <c r="W115" s="25"/>
      <c r="X115" s="5"/>
    </row>
    <row r="116" spans="1:25" ht="15.6" x14ac:dyDescent="0.3">
      <c r="A116" s="24">
        <f t="shared" ref="A116:A122" si="0">+A115+1</f>
        <v>8</v>
      </c>
      <c r="B116" s="25" t="s">
        <v>45</v>
      </c>
      <c r="C116" s="25"/>
      <c r="D116" s="25"/>
      <c r="E116" s="25"/>
      <c r="F116" s="25"/>
      <c r="G116" s="25"/>
      <c r="H116" s="25"/>
      <c r="I116" s="25"/>
      <c r="J116" s="25"/>
      <c r="K116" s="25"/>
      <c r="L116" s="25"/>
      <c r="M116" s="25"/>
      <c r="N116" s="25"/>
      <c r="O116" s="25"/>
      <c r="P116" s="25"/>
      <c r="Q116" s="25"/>
      <c r="R116" s="25"/>
      <c r="S116" s="25"/>
      <c r="T116" s="34">
        <f>-V116</f>
        <v>8</v>
      </c>
      <c r="U116" s="25"/>
      <c r="V116" s="53">
        <v>-8</v>
      </c>
      <c r="W116" s="25"/>
      <c r="X116" s="5"/>
    </row>
    <row r="117" spans="1:25" ht="15.6" x14ac:dyDescent="0.3">
      <c r="A117" s="24">
        <f t="shared" si="0"/>
        <v>9</v>
      </c>
      <c r="B117" s="25" t="s">
        <v>125</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5" ht="15.6" x14ac:dyDescent="0.3">
      <c r="A118" s="24">
        <f t="shared" si="0"/>
        <v>10</v>
      </c>
      <c r="B118" s="25" t="s">
        <v>240</v>
      </c>
      <c r="C118" s="25"/>
      <c r="D118" s="25"/>
      <c r="E118" s="25"/>
      <c r="F118" s="25"/>
      <c r="G118" s="25"/>
      <c r="H118" s="25"/>
      <c r="I118" s="25"/>
      <c r="J118" s="25"/>
      <c r="K118" s="25"/>
      <c r="L118" s="25"/>
      <c r="M118" s="25"/>
      <c r="N118" s="25"/>
      <c r="O118" s="25"/>
      <c r="P118" s="25"/>
      <c r="Q118" s="25"/>
      <c r="R118" s="25"/>
      <c r="S118" s="25"/>
      <c r="T118" s="25"/>
      <c r="U118" s="25"/>
      <c r="V118" s="53">
        <v>0</v>
      </c>
      <c r="W118" s="25"/>
      <c r="X118" s="5"/>
    </row>
    <row r="119" spans="1:25" ht="15.6" x14ac:dyDescent="0.3">
      <c r="A119" s="24">
        <f t="shared" si="0"/>
        <v>11</v>
      </c>
      <c r="B119" s="25" t="s">
        <v>36</v>
      </c>
      <c r="C119" s="25"/>
      <c r="D119" s="25"/>
      <c r="E119" s="25"/>
      <c r="F119" s="25"/>
      <c r="G119" s="25"/>
      <c r="H119" s="25"/>
      <c r="I119" s="25"/>
      <c r="J119" s="25"/>
      <c r="K119" s="25"/>
      <c r="L119" s="25"/>
      <c r="M119" s="25"/>
      <c r="N119" s="25"/>
      <c r="O119" s="25"/>
      <c r="P119" s="25"/>
      <c r="Q119" s="25"/>
      <c r="R119" s="25"/>
      <c r="S119" s="25"/>
      <c r="T119" s="25"/>
      <c r="U119" s="25"/>
      <c r="V119" s="53">
        <v>0</v>
      </c>
      <c r="W119" s="25"/>
      <c r="X119" s="5"/>
    </row>
    <row r="120" spans="1:25" ht="15.6" x14ac:dyDescent="0.3">
      <c r="A120" s="24">
        <f t="shared" si="0"/>
        <v>12</v>
      </c>
      <c r="B120" s="25" t="s">
        <v>239</v>
      </c>
      <c r="C120" s="25"/>
      <c r="D120" s="25"/>
      <c r="E120" s="25"/>
      <c r="F120" s="25"/>
      <c r="G120" s="25"/>
      <c r="H120" s="25"/>
      <c r="I120" s="25"/>
      <c r="J120" s="25"/>
      <c r="K120" s="25"/>
      <c r="L120" s="25"/>
      <c r="M120" s="25"/>
      <c r="N120" s="25"/>
      <c r="O120" s="25"/>
      <c r="P120" s="25"/>
      <c r="Q120" s="25"/>
      <c r="R120" s="25"/>
      <c r="S120" s="25"/>
      <c r="T120" s="25"/>
      <c r="U120" s="25"/>
      <c r="V120" s="53">
        <v>0</v>
      </c>
      <c r="W120" s="25"/>
      <c r="X120" s="5"/>
    </row>
    <row r="121" spans="1:25" ht="15.6" x14ac:dyDescent="0.3">
      <c r="A121" s="24">
        <f t="shared" si="0"/>
        <v>13</v>
      </c>
      <c r="B121" s="25" t="s">
        <v>149</v>
      </c>
      <c r="C121" s="25"/>
      <c r="D121" s="25"/>
      <c r="E121" s="25"/>
      <c r="F121" s="25"/>
      <c r="G121" s="25"/>
      <c r="H121" s="25"/>
      <c r="I121" s="25"/>
      <c r="J121" s="25"/>
      <c r="K121" s="25"/>
      <c r="L121" s="25"/>
      <c r="M121" s="25"/>
      <c r="N121" s="25"/>
      <c r="O121" s="25"/>
      <c r="P121" s="25"/>
      <c r="Q121" s="25"/>
      <c r="R121" s="25"/>
      <c r="S121" s="25"/>
      <c r="T121" s="25"/>
      <c r="U121" s="25"/>
      <c r="V121" s="53">
        <v>-900</v>
      </c>
      <c r="W121" s="25"/>
      <c r="X121" s="5"/>
    </row>
    <row r="122" spans="1:25" ht="15.6" x14ac:dyDescent="0.3">
      <c r="A122" s="24">
        <f t="shared" si="0"/>
        <v>14</v>
      </c>
      <c r="B122" s="25" t="s">
        <v>126</v>
      </c>
      <c r="C122" s="25"/>
      <c r="D122" s="25"/>
      <c r="E122" s="25"/>
      <c r="F122" s="25"/>
      <c r="G122" s="25"/>
      <c r="H122" s="25"/>
      <c r="I122" s="25"/>
      <c r="J122" s="25"/>
      <c r="K122" s="25"/>
      <c r="L122" s="25"/>
      <c r="M122" s="25"/>
      <c r="N122" s="25"/>
      <c r="O122" s="25"/>
      <c r="P122" s="25"/>
      <c r="Q122" s="25"/>
      <c r="R122" s="25"/>
      <c r="S122" s="25"/>
      <c r="T122" s="25"/>
      <c r="U122" s="25"/>
      <c r="V122" s="53">
        <f>-V102-SUM(V104:V121)</f>
        <v>-3830</v>
      </c>
      <c r="W122" s="25"/>
      <c r="X122" s="5"/>
    </row>
    <row r="123" spans="1:25" ht="15.6" x14ac:dyDescent="0.3">
      <c r="A123" s="24"/>
      <c r="B123" s="118" t="s">
        <v>37</v>
      </c>
      <c r="C123" s="25"/>
      <c r="D123" s="25"/>
      <c r="E123" s="25"/>
      <c r="F123" s="25"/>
      <c r="G123" s="25"/>
      <c r="H123" s="25"/>
      <c r="I123" s="25"/>
      <c r="J123" s="25"/>
      <c r="K123" s="25"/>
      <c r="L123" s="25"/>
      <c r="M123" s="25"/>
      <c r="N123" s="25"/>
      <c r="O123" s="25"/>
      <c r="P123" s="25"/>
      <c r="Q123" s="25"/>
      <c r="R123" s="25"/>
      <c r="S123" s="25"/>
      <c r="T123" s="25"/>
      <c r="U123" s="25"/>
      <c r="V123" s="59"/>
      <c r="W123" s="25"/>
      <c r="X123" s="5"/>
    </row>
    <row r="124" spans="1:25" ht="15.6" x14ac:dyDescent="0.3">
      <c r="A124" s="24"/>
      <c r="B124" s="25" t="s">
        <v>173</v>
      </c>
      <c r="C124" s="25"/>
      <c r="D124" s="25"/>
      <c r="E124" s="25"/>
      <c r="F124" s="25"/>
      <c r="G124" s="25"/>
      <c r="H124" s="25"/>
      <c r="I124" s="25"/>
      <c r="J124" s="25"/>
      <c r="K124" s="25"/>
      <c r="L124" s="25"/>
      <c r="M124" s="25"/>
      <c r="N124" s="25"/>
      <c r="O124" s="25"/>
      <c r="P124" s="25"/>
      <c r="Q124" s="25"/>
      <c r="R124" s="25"/>
      <c r="S124" s="25"/>
      <c r="T124" s="34">
        <f>-T189</f>
        <v>-546</v>
      </c>
      <c r="U124" s="34"/>
      <c r="V124" s="53"/>
      <c r="W124" s="25"/>
      <c r="X124" s="5"/>
    </row>
    <row r="125" spans="1:25" ht="15.6" x14ac:dyDescent="0.3">
      <c r="A125" s="24"/>
      <c r="B125" s="25" t="s">
        <v>174</v>
      </c>
      <c r="C125" s="25"/>
      <c r="D125" s="25"/>
      <c r="E125" s="25"/>
      <c r="F125" s="25"/>
      <c r="G125" s="25"/>
      <c r="H125" s="25"/>
      <c r="I125" s="25"/>
      <c r="J125" s="25"/>
      <c r="K125" s="25"/>
      <c r="L125" s="25"/>
      <c r="M125" s="25"/>
      <c r="N125" s="25"/>
      <c r="O125" s="25"/>
      <c r="P125" s="25"/>
      <c r="Q125" s="25"/>
      <c r="R125" s="25"/>
      <c r="S125" s="25"/>
      <c r="T125" s="34">
        <v>-4</v>
      </c>
      <c r="U125" s="34"/>
      <c r="V125" s="53"/>
      <c r="W125" s="25"/>
      <c r="X125" s="5"/>
    </row>
    <row r="126" spans="1:25" ht="15.6" x14ac:dyDescent="0.3">
      <c r="A126" s="24"/>
      <c r="B126" s="25" t="s">
        <v>38</v>
      </c>
      <c r="C126" s="25"/>
      <c r="D126" s="25"/>
      <c r="E126" s="25"/>
      <c r="F126" s="25"/>
      <c r="G126" s="25"/>
      <c r="H126" s="25"/>
      <c r="I126" s="25"/>
      <c r="J126" s="25"/>
      <c r="K126" s="25"/>
      <c r="L126" s="25"/>
      <c r="M126" s="25"/>
      <c r="N126" s="25"/>
      <c r="O126" s="25"/>
      <c r="P126" s="25"/>
      <c r="Q126" s="25"/>
      <c r="R126" s="25"/>
      <c r="S126" s="25"/>
      <c r="T126" s="34">
        <f>-S189</f>
        <v>-2098</v>
      </c>
      <c r="U126" s="34"/>
      <c r="V126" s="53"/>
      <c r="W126" s="25"/>
      <c r="X126" s="5"/>
    </row>
    <row r="127" spans="1:25" ht="15.6" x14ac:dyDescent="0.3">
      <c r="A127" s="24"/>
      <c r="B127" s="25" t="s">
        <v>197</v>
      </c>
      <c r="C127" s="25"/>
      <c r="D127" s="25"/>
      <c r="E127" s="25"/>
      <c r="F127" s="25"/>
      <c r="G127" s="25"/>
      <c r="H127" s="25"/>
      <c r="I127" s="25"/>
      <c r="J127" s="25"/>
      <c r="K127" s="25"/>
      <c r="L127" s="25"/>
      <c r="M127" s="25"/>
      <c r="N127" s="25"/>
      <c r="O127" s="25"/>
      <c r="P127" s="25"/>
      <c r="Q127" s="25"/>
      <c r="R127" s="25"/>
      <c r="S127" s="25"/>
      <c r="T127" s="34">
        <v>-19780</v>
      </c>
      <c r="U127" s="34"/>
      <c r="V127" s="53"/>
      <c r="W127" s="25"/>
      <c r="X127" s="5"/>
    </row>
    <row r="128" spans="1:25" ht="15.6" x14ac:dyDescent="0.3">
      <c r="A128" s="24"/>
      <c r="B128" s="25" t="s">
        <v>195</v>
      </c>
      <c r="C128" s="25"/>
      <c r="D128" s="25"/>
      <c r="E128" s="25"/>
      <c r="F128" s="25"/>
      <c r="G128" s="25"/>
      <c r="H128" s="25"/>
      <c r="I128" s="25"/>
      <c r="J128" s="25"/>
      <c r="K128" s="25"/>
      <c r="L128" s="25"/>
      <c r="M128" s="25"/>
      <c r="N128" s="25"/>
      <c r="O128" s="25"/>
      <c r="P128" s="25"/>
      <c r="Q128" s="25"/>
      <c r="R128" s="25"/>
      <c r="S128" s="25"/>
      <c r="T128" s="34">
        <v>-3190</v>
      </c>
      <c r="U128" s="34"/>
      <c r="V128" s="53"/>
      <c r="W128" s="25"/>
      <c r="X128" s="5"/>
    </row>
    <row r="129" spans="1:24" ht="15.6" x14ac:dyDescent="0.3">
      <c r="A129" s="24"/>
      <c r="B129" s="25" t="s">
        <v>194</v>
      </c>
      <c r="C129" s="25"/>
      <c r="D129" s="25"/>
      <c r="E129" s="25"/>
      <c r="F129" s="25"/>
      <c r="G129" s="25"/>
      <c r="H129" s="25"/>
      <c r="I129" s="25"/>
      <c r="J129" s="25"/>
      <c r="K129" s="25"/>
      <c r="L129" s="25"/>
      <c r="M129" s="25"/>
      <c r="N129" s="25"/>
      <c r="O129" s="25"/>
      <c r="P129" s="25"/>
      <c r="Q129" s="25"/>
      <c r="R129" s="25"/>
      <c r="S129" s="25"/>
      <c r="T129" s="34">
        <v>-4290</v>
      </c>
      <c r="U129" s="34"/>
      <c r="V129" s="53"/>
      <c r="W129" s="25"/>
      <c r="X129" s="5"/>
    </row>
    <row r="130" spans="1:24" ht="15.6" x14ac:dyDescent="0.3">
      <c r="A130" s="24"/>
      <c r="B130" s="25" t="s">
        <v>226</v>
      </c>
      <c r="C130" s="25"/>
      <c r="D130" s="25"/>
      <c r="E130" s="25"/>
      <c r="F130" s="25"/>
      <c r="G130" s="25"/>
      <c r="H130" s="25"/>
      <c r="I130" s="25"/>
      <c r="J130" s="25"/>
      <c r="K130" s="25"/>
      <c r="L130" s="25"/>
      <c r="M130" s="25"/>
      <c r="N130" s="25"/>
      <c r="O130" s="25"/>
      <c r="P130" s="25"/>
      <c r="Q130" s="25"/>
      <c r="R130" s="25"/>
      <c r="S130" s="25"/>
      <c r="T130" s="34">
        <v>-5275</v>
      </c>
      <c r="U130" s="34"/>
      <c r="V130" s="53"/>
      <c r="W130" s="25"/>
      <c r="X130" s="5"/>
    </row>
    <row r="131" spans="1:24" ht="15.6" x14ac:dyDescent="0.3">
      <c r="A131" s="24"/>
      <c r="B131" s="25" t="s">
        <v>189</v>
      </c>
      <c r="C131" s="25"/>
      <c r="D131" s="25"/>
      <c r="E131" s="25"/>
      <c r="F131" s="25"/>
      <c r="G131" s="25"/>
      <c r="H131" s="25"/>
      <c r="I131" s="25"/>
      <c r="J131" s="25"/>
      <c r="K131" s="25"/>
      <c r="L131" s="25"/>
      <c r="M131" s="25"/>
      <c r="N131" s="25"/>
      <c r="O131" s="25"/>
      <c r="P131" s="25"/>
      <c r="Q131" s="25"/>
      <c r="R131" s="25"/>
      <c r="S131" s="25"/>
      <c r="T131" s="34">
        <v>0</v>
      </c>
      <c r="U131" s="34"/>
      <c r="V131" s="53"/>
      <c r="W131" s="25"/>
      <c r="X131" s="5"/>
    </row>
    <row r="132" spans="1:24" ht="15.6" x14ac:dyDescent="0.3">
      <c r="A132" s="24"/>
      <c r="B132" s="25" t="s">
        <v>188</v>
      </c>
      <c r="C132" s="25"/>
      <c r="D132" s="25"/>
      <c r="E132" s="25"/>
      <c r="F132" s="25"/>
      <c r="G132" s="25"/>
      <c r="H132" s="25"/>
      <c r="I132" s="25"/>
      <c r="J132" s="25"/>
      <c r="K132" s="25"/>
      <c r="L132" s="25"/>
      <c r="M132" s="25"/>
      <c r="N132" s="25"/>
      <c r="O132" s="25"/>
      <c r="P132" s="25"/>
      <c r="Q132" s="25"/>
      <c r="R132" s="25"/>
      <c r="S132" s="25"/>
      <c r="T132" s="34">
        <v>0</v>
      </c>
      <c r="U132" s="34"/>
      <c r="V132" s="53"/>
      <c r="W132" s="25"/>
      <c r="X132" s="5"/>
    </row>
    <row r="133" spans="1:24" ht="15.6" x14ac:dyDescent="0.3">
      <c r="A133" s="24"/>
      <c r="B133" s="25" t="s">
        <v>227</v>
      </c>
      <c r="C133" s="25"/>
      <c r="D133" s="25"/>
      <c r="E133" s="25"/>
      <c r="F133" s="25"/>
      <c r="G133" s="25"/>
      <c r="H133" s="25"/>
      <c r="I133" s="25"/>
      <c r="J133" s="25"/>
      <c r="K133" s="25"/>
      <c r="L133" s="25"/>
      <c r="M133" s="25"/>
      <c r="N133" s="25"/>
      <c r="O133" s="25"/>
      <c r="P133" s="25"/>
      <c r="Q133" s="25"/>
      <c r="R133" s="25"/>
      <c r="S133" s="25"/>
      <c r="T133" s="34">
        <v>0</v>
      </c>
      <c r="U133" s="34"/>
      <c r="V133" s="53"/>
      <c r="W133" s="25"/>
      <c r="X133" s="5"/>
    </row>
    <row r="134" spans="1:24" ht="15.6" x14ac:dyDescent="0.3">
      <c r="A134" s="24"/>
      <c r="B134" s="25" t="s">
        <v>187</v>
      </c>
      <c r="C134" s="25"/>
      <c r="D134" s="25"/>
      <c r="E134" s="25"/>
      <c r="F134" s="25"/>
      <c r="G134" s="25"/>
      <c r="H134" s="25"/>
      <c r="I134" s="25"/>
      <c r="J134" s="25"/>
      <c r="K134" s="25"/>
      <c r="L134" s="25"/>
      <c r="M134" s="25"/>
      <c r="N134" s="25"/>
      <c r="O134" s="25"/>
      <c r="P134" s="25"/>
      <c r="Q134" s="25"/>
      <c r="R134" s="25"/>
      <c r="S134" s="25"/>
      <c r="T134" s="34">
        <v>0</v>
      </c>
      <c r="U134" s="34"/>
      <c r="V134" s="53"/>
      <c r="W134" s="25"/>
      <c r="X134" s="5"/>
    </row>
    <row r="135" spans="1:24" ht="15.6" x14ac:dyDescent="0.3">
      <c r="A135" s="24"/>
      <c r="B135" s="25" t="s">
        <v>39</v>
      </c>
      <c r="C135" s="25"/>
      <c r="D135" s="25"/>
      <c r="E135" s="25"/>
      <c r="F135" s="25"/>
      <c r="G135" s="25"/>
      <c r="H135" s="25"/>
      <c r="I135" s="25"/>
      <c r="J135" s="25"/>
      <c r="K135" s="25"/>
      <c r="L135" s="25"/>
      <c r="M135" s="25"/>
      <c r="N135" s="25"/>
      <c r="O135" s="25"/>
      <c r="P135" s="25"/>
      <c r="Q135" s="25"/>
      <c r="R135" s="25"/>
      <c r="S135" s="25"/>
      <c r="T135" s="34">
        <f>SUM(T124:T134)</f>
        <v>-35183</v>
      </c>
      <c r="U135" s="34"/>
      <c r="V135" s="34">
        <f>SUM(V103:V132)</f>
        <v>-28672</v>
      </c>
      <c r="W135" s="25"/>
      <c r="X135" s="5"/>
    </row>
    <row r="136" spans="1:24" ht="15.6" x14ac:dyDescent="0.3">
      <c r="A136" s="24"/>
      <c r="B136" s="25" t="s">
        <v>40</v>
      </c>
      <c r="C136" s="25"/>
      <c r="D136" s="25"/>
      <c r="E136" s="25"/>
      <c r="F136" s="25"/>
      <c r="G136" s="25"/>
      <c r="H136" s="25"/>
      <c r="I136" s="25"/>
      <c r="J136" s="25"/>
      <c r="K136" s="25"/>
      <c r="L136" s="25"/>
      <c r="M136" s="25"/>
      <c r="N136" s="25"/>
      <c r="O136" s="25"/>
      <c r="P136" s="25"/>
      <c r="Q136" s="25"/>
      <c r="R136" s="25"/>
      <c r="S136" s="25"/>
      <c r="T136" s="34">
        <f>T102+T135+T116</f>
        <v>0</v>
      </c>
      <c r="U136" s="34"/>
      <c r="V136" s="34">
        <f>V102+V135</f>
        <v>0</v>
      </c>
      <c r="W136" s="25"/>
      <c r="X136" s="5"/>
    </row>
    <row r="137" spans="1:24" ht="15.6" x14ac:dyDescent="0.3">
      <c r="A137" s="24"/>
      <c r="B137" s="25"/>
      <c r="C137" s="25"/>
      <c r="D137" s="25"/>
      <c r="E137" s="25"/>
      <c r="F137" s="25"/>
      <c r="G137" s="25"/>
      <c r="H137" s="25"/>
      <c r="I137" s="25"/>
      <c r="J137" s="25"/>
      <c r="K137" s="25"/>
      <c r="L137" s="25"/>
      <c r="M137" s="25"/>
      <c r="N137" s="25"/>
      <c r="O137" s="25"/>
      <c r="P137" s="25"/>
      <c r="Q137" s="25"/>
      <c r="R137" s="25"/>
      <c r="S137" s="25"/>
      <c r="T137" s="34"/>
      <c r="U137" s="34"/>
      <c r="V137" s="34"/>
      <c r="W137" s="25"/>
      <c r="X137" s="5"/>
    </row>
    <row r="138" spans="1:24" ht="15.6" x14ac:dyDescent="0.3">
      <c r="A138" s="6"/>
      <c r="B138" s="8"/>
      <c r="C138" s="8"/>
      <c r="D138" s="8"/>
      <c r="E138" s="8"/>
      <c r="F138" s="8"/>
      <c r="G138" s="8"/>
      <c r="H138" s="8"/>
      <c r="I138" s="8"/>
      <c r="J138" s="8"/>
      <c r="K138" s="8"/>
      <c r="L138" s="8"/>
      <c r="M138" s="8"/>
      <c r="N138" s="8"/>
      <c r="O138" s="8"/>
      <c r="P138" s="8"/>
      <c r="Q138" s="8"/>
      <c r="R138" s="8"/>
      <c r="S138" s="8"/>
      <c r="T138" s="8"/>
      <c r="U138" s="8"/>
      <c r="V138" s="52"/>
      <c r="W138" s="8"/>
      <c r="X138" s="5"/>
    </row>
    <row r="139" spans="1:24" ht="18" thickBot="1" x14ac:dyDescent="0.35">
      <c r="A139" s="101"/>
      <c r="B139" s="102" t="str">
        <f>B64</f>
        <v>PM14 INVESTOR REPORT QUARTER ENDING FEBRUARY 2008</v>
      </c>
      <c r="C139" s="103"/>
      <c r="D139" s="103"/>
      <c r="E139" s="103"/>
      <c r="F139" s="103"/>
      <c r="G139" s="103"/>
      <c r="H139" s="103"/>
      <c r="I139" s="103"/>
      <c r="J139" s="103"/>
      <c r="K139" s="103"/>
      <c r="L139" s="103"/>
      <c r="M139" s="103"/>
      <c r="N139" s="103"/>
      <c r="O139" s="103"/>
      <c r="P139" s="103"/>
      <c r="Q139" s="103"/>
      <c r="R139" s="103"/>
      <c r="S139" s="103"/>
      <c r="T139" s="103"/>
      <c r="U139" s="103"/>
      <c r="V139" s="106"/>
      <c r="W139" s="105"/>
      <c r="X139" s="5"/>
    </row>
    <row r="140" spans="1:24" ht="15.6" x14ac:dyDescent="0.3">
      <c r="A140" s="2"/>
      <c r="B140" s="60" t="s">
        <v>41</v>
      </c>
      <c r="C140" s="4"/>
      <c r="D140" s="4"/>
      <c r="E140" s="4"/>
      <c r="F140" s="4"/>
      <c r="G140" s="4"/>
      <c r="H140" s="4"/>
      <c r="I140" s="4"/>
      <c r="J140" s="4"/>
      <c r="K140" s="4"/>
      <c r="L140" s="4"/>
      <c r="M140" s="4"/>
      <c r="N140" s="4"/>
      <c r="O140" s="4"/>
      <c r="P140" s="4"/>
      <c r="Q140" s="4"/>
      <c r="R140" s="4"/>
      <c r="S140" s="4"/>
      <c r="T140" s="4"/>
      <c r="U140" s="4"/>
      <c r="V140" s="50"/>
      <c r="W140" s="4"/>
      <c r="X140" s="5"/>
    </row>
    <row r="141" spans="1:24" ht="15.6" x14ac:dyDescent="0.3">
      <c r="A141" s="6"/>
      <c r="B141" s="21"/>
      <c r="C141" s="8"/>
      <c r="D141" s="8"/>
      <c r="E141" s="8"/>
      <c r="F141" s="8"/>
      <c r="G141" s="8"/>
      <c r="H141" s="8"/>
      <c r="I141" s="8"/>
      <c r="J141" s="8"/>
      <c r="K141" s="8"/>
      <c r="L141" s="8"/>
      <c r="M141" s="8"/>
      <c r="N141" s="8"/>
      <c r="O141" s="8"/>
      <c r="P141" s="8"/>
      <c r="Q141" s="8"/>
      <c r="R141" s="8"/>
      <c r="S141" s="8"/>
      <c r="T141" s="8"/>
      <c r="U141" s="8"/>
      <c r="V141" s="52"/>
      <c r="W141" s="8"/>
      <c r="X141" s="5"/>
    </row>
    <row r="142" spans="1:24" ht="15.6" x14ac:dyDescent="0.3">
      <c r="A142" s="6"/>
      <c r="B142" s="119" t="s">
        <v>42</v>
      </c>
      <c r="C142" s="8"/>
      <c r="D142" s="8"/>
      <c r="E142" s="8"/>
      <c r="F142" s="8"/>
      <c r="G142" s="8"/>
      <c r="H142" s="8"/>
      <c r="I142" s="8"/>
      <c r="J142" s="8"/>
      <c r="K142" s="8"/>
      <c r="L142" s="8"/>
      <c r="M142" s="8"/>
      <c r="N142" s="8"/>
      <c r="O142" s="8"/>
      <c r="P142" s="8"/>
      <c r="Q142" s="8"/>
      <c r="R142" s="8"/>
      <c r="S142" s="8"/>
      <c r="T142" s="8"/>
      <c r="U142" s="8"/>
      <c r="V142" s="52"/>
      <c r="W142" s="8"/>
      <c r="X142" s="5"/>
    </row>
    <row r="143" spans="1:24" ht="15.6" x14ac:dyDescent="0.3">
      <c r="A143" s="24"/>
      <c r="B143" s="25" t="s">
        <v>43</v>
      </c>
      <c r="C143" s="25"/>
      <c r="D143" s="25"/>
      <c r="E143" s="25"/>
      <c r="F143" s="25"/>
      <c r="G143" s="25"/>
      <c r="H143" s="25"/>
      <c r="I143" s="25"/>
      <c r="J143" s="25"/>
      <c r="K143" s="25"/>
      <c r="L143" s="25"/>
      <c r="M143" s="25"/>
      <c r="N143" s="25"/>
      <c r="O143" s="25"/>
      <c r="P143" s="25"/>
      <c r="Q143" s="25"/>
      <c r="R143" s="25"/>
      <c r="S143" s="25"/>
      <c r="T143" s="25"/>
      <c r="U143" s="25"/>
      <c r="V143" s="53">
        <f>+V34*0.019</f>
        <v>28505.224999999999</v>
      </c>
      <c r="W143" s="25"/>
      <c r="X143" s="5"/>
    </row>
    <row r="144" spans="1:24" ht="15.6" x14ac:dyDescent="0.3">
      <c r="A144" s="24"/>
      <c r="B144" s="25" t="s">
        <v>44</v>
      </c>
      <c r="C144" s="25"/>
      <c r="D144" s="25"/>
      <c r="E144" s="25"/>
      <c r="F144" s="25"/>
      <c r="G144" s="25"/>
      <c r="H144" s="25"/>
      <c r="I144" s="25"/>
      <c r="J144" s="25"/>
      <c r="K144" s="25"/>
      <c r="L144" s="25"/>
      <c r="M144" s="25"/>
      <c r="N144" s="25"/>
      <c r="O144" s="25"/>
      <c r="P144" s="25"/>
      <c r="Q144" s="25"/>
      <c r="R144" s="25"/>
      <c r="S144" s="25"/>
      <c r="T144" s="25"/>
      <c r="U144" s="25"/>
      <c r="V144" s="53">
        <v>28505</v>
      </c>
      <c r="W144" s="25"/>
      <c r="X144" s="5"/>
    </row>
    <row r="145" spans="1:25" ht="15.6" x14ac:dyDescent="0.3">
      <c r="A145" s="24"/>
      <c r="B145" s="25" t="s">
        <v>136</v>
      </c>
      <c r="C145" s="25"/>
      <c r="D145" s="25"/>
      <c r="E145" s="25"/>
      <c r="F145" s="25"/>
      <c r="G145" s="25"/>
      <c r="H145" s="25"/>
      <c r="I145" s="25"/>
      <c r="J145" s="25"/>
      <c r="K145" s="25"/>
      <c r="L145" s="25"/>
      <c r="M145" s="25"/>
      <c r="N145" s="25"/>
      <c r="O145" s="25"/>
      <c r="P145" s="25"/>
      <c r="Q145" s="25"/>
      <c r="R145" s="25"/>
      <c r="S145" s="25"/>
      <c r="T145" s="25"/>
      <c r="U145" s="25"/>
      <c r="V145" s="53"/>
      <c r="W145" s="25"/>
      <c r="X145" s="5"/>
    </row>
    <row r="146" spans="1:25" ht="15.6" x14ac:dyDescent="0.3">
      <c r="A146" s="24"/>
      <c r="B146" s="25" t="s">
        <v>123</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124</v>
      </c>
      <c r="C147" s="25"/>
      <c r="D147" s="25"/>
      <c r="E147" s="25"/>
      <c r="F147" s="25"/>
      <c r="G147" s="25"/>
      <c r="H147" s="25"/>
      <c r="I147" s="25"/>
      <c r="J147" s="25"/>
      <c r="K147" s="25"/>
      <c r="L147" s="25"/>
      <c r="M147" s="25"/>
      <c r="N147" s="25"/>
      <c r="O147" s="25"/>
      <c r="P147" s="25"/>
      <c r="Q147" s="25"/>
      <c r="R147" s="25"/>
      <c r="S147" s="25"/>
      <c r="T147" s="25"/>
      <c r="U147" s="25"/>
      <c r="V147" s="53">
        <v>0</v>
      </c>
      <c r="W147" s="25"/>
      <c r="X147" s="5"/>
    </row>
    <row r="148" spans="1:25" ht="15.6" x14ac:dyDescent="0.3">
      <c r="A148" s="24"/>
      <c r="B148" s="25" t="s">
        <v>175</v>
      </c>
      <c r="C148" s="25"/>
      <c r="D148" s="25"/>
      <c r="E148" s="25"/>
      <c r="F148" s="25"/>
      <c r="G148" s="25"/>
      <c r="H148" s="25"/>
      <c r="I148" s="25"/>
      <c r="J148" s="25"/>
      <c r="K148" s="25"/>
      <c r="L148" s="25"/>
      <c r="M148" s="25"/>
      <c r="N148" s="25"/>
      <c r="O148" s="25"/>
      <c r="P148" s="25"/>
      <c r="Q148" s="25"/>
      <c r="R148" s="25"/>
      <c r="S148" s="25"/>
      <c r="T148" s="25"/>
      <c r="U148" s="25"/>
      <c r="V148" s="53">
        <v>0</v>
      </c>
      <c r="W148" s="25"/>
      <c r="X148" s="5"/>
    </row>
    <row r="149" spans="1:25" ht="15.6" x14ac:dyDescent="0.3">
      <c r="A149" s="24"/>
      <c r="B149" s="25" t="s">
        <v>45</v>
      </c>
      <c r="C149" s="25"/>
      <c r="D149" s="25"/>
      <c r="E149" s="25"/>
      <c r="F149" s="25"/>
      <c r="G149" s="25"/>
      <c r="H149" s="25"/>
      <c r="I149" s="25"/>
      <c r="J149" s="25"/>
      <c r="K149" s="25"/>
      <c r="L149" s="25"/>
      <c r="M149" s="25"/>
      <c r="N149" s="25"/>
      <c r="O149" s="25"/>
      <c r="P149" s="25"/>
      <c r="Q149" s="25"/>
      <c r="R149" s="25"/>
      <c r="S149" s="25"/>
      <c r="T149" s="25"/>
      <c r="U149" s="25"/>
      <c r="V149" s="53">
        <v>0</v>
      </c>
      <c r="W149" s="25"/>
      <c r="X149" s="5"/>
    </row>
    <row r="150" spans="1:25" ht="15.6" x14ac:dyDescent="0.3">
      <c r="A150" s="24"/>
      <c r="B150" s="25" t="s">
        <v>129</v>
      </c>
      <c r="C150" s="25"/>
      <c r="D150" s="25"/>
      <c r="E150" s="25"/>
      <c r="F150" s="25"/>
      <c r="G150" s="25"/>
      <c r="H150" s="25"/>
      <c r="I150" s="25"/>
      <c r="J150" s="25"/>
      <c r="K150" s="25"/>
      <c r="L150" s="25"/>
      <c r="M150" s="25"/>
      <c r="N150" s="25"/>
      <c r="O150" s="25"/>
      <c r="P150" s="25"/>
      <c r="Q150" s="25"/>
      <c r="R150" s="25"/>
      <c r="S150" s="25"/>
      <c r="T150" s="25"/>
      <c r="U150" s="25"/>
      <c r="V150" s="53">
        <v>0</v>
      </c>
      <c r="W150" s="25"/>
      <c r="X150" s="5"/>
    </row>
    <row r="151" spans="1:25" ht="15.6" x14ac:dyDescent="0.3">
      <c r="A151" s="24"/>
      <c r="B151" s="25" t="s">
        <v>267</v>
      </c>
      <c r="C151" s="25"/>
      <c r="D151" s="25"/>
      <c r="E151" s="25"/>
      <c r="F151" s="25"/>
      <c r="G151" s="25"/>
      <c r="H151" s="25"/>
      <c r="I151" s="25"/>
      <c r="J151" s="25"/>
      <c r="K151" s="25"/>
      <c r="L151" s="25"/>
      <c r="M151" s="25"/>
      <c r="N151" s="25"/>
      <c r="O151" s="25"/>
      <c r="P151" s="25"/>
      <c r="Q151" s="25"/>
      <c r="R151" s="25"/>
      <c r="S151" s="25"/>
      <c r="T151" s="25"/>
      <c r="U151" s="25"/>
      <c r="V151" s="53">
        <v>0</v>
      </c>
      <c r="W151" s="25"/>
      <c r="X151" s="5"/>
      <c r="Y151" s="109"/>
    </row>
    <row r="152" spans="1:25" ht="15.6" x14ac:dyDescent="0.3">
      <c r="A152" s="24"/>
      <c r="B152" s="25" t="s">
        <v>46</v>
      </c>
      <c r="C152" s="25"/>
      <c r="D152" s="25"/>
      <c r="E152" s="25"/>
      <c r="F152" s="25"/>
      <c r="G152" s="25"/>
      <c r="H152" s="25"/>
      <c r="I152" s="25"/>
      <c r="J152" s="25"/>
      <c r="K152" s="25"/>
      <c r="L152" s="25"/>
      <c r="M152" s="25"/>
      <c r="N152" s="25"/>
      <c r="O152" s="25"/>
      <c r="P152" s="25"/>
      <c r="Q152" s="25"/>
      <c r="R152" s="25"/>
      <c r="S152" s="25"/>
      <c r="T152" s="25"/>
      <c r="U152" s="25"/>
      <c r="V152" s="53">
        <f>SUM(V144:V151)</f>
        <v>28505</v>
      </c>
      <c r="W152" s="25"/>
      <c r="X152" s="5"/>
    </row>
    <row r="153" spans="1:25" ht="15.6" x14ac:dyDescent="0.3">
      <c r="A153" s="24"/>
      <c r="B153" s="25"/>
      <c r="C153" s="25"/>
      <c r="D153" s="25"/>
      <c r="E153" s="25"/>
      <c r="F153" s="25"/>
      <c r="G153" s="25"/>
      <c r="H153" s="25"/>
      <c r="I153" s="25"/>
      <c r="J153" s="25"/>
      <c r="K153" s="25"/>
      <c r="L153" s="25"/>
      <c r="M153" s="25"/>
      <c r="N153" s="25"/>
      <c r="O153" s="25"/>
      <c r="P153" s="25"/>
      <c r="Q153" s="25"/>
      <c r="R153" s="25"/>
      <c r="S153" s="25"/>
      <c r="T153" s="25"/>
      <c r="U153" s="25"/>
      <c r="V153" s="53"/>
      <c r="W153" s="25"/>
      <c r="X153" s="5"/>
    </row>
    <row r="154" spans="1:25" ht="15.6" x14ac:dyDescent="0.3">
      <c r="A154" s="24"/>
      <c r="B154" s="136" t="s">
        <v>237</v>
      </c>
      <c r="C154" s="25"/>
      <c r="D154" s="25"/>
      <c r="E154" s="25"/>
      <c r="F154" s="25"/>
      <c r="G154" s="25"/>
      <c r="H154" s="25"/>
      <c r="I154" s="25"/>
      <c r="J154" s="25"/>
      <c r="K154" s="25"/>
      <c r="L154" s="25"/>
      <c r="M154" s="25"/>
      <c r="N154" s="25"/>
      <c r="O154" s="25"/>
      <c r="P154" s="25"/>
      <c r="Q154" s="25"/>
      <c r="R154" s="25"/>
      <c r="S154" s="25"/>
      <c r="T154" s="25"/>
      <c r="U154" s="25"/>
      <c r="V154" s="53"/>
      <c r="W154" s="25"/>
      <c r="X154" s="5"/>
    </row>
    <row r="155" spans="1:25" ht="15.6" x14ac:dyDescent="0.3">
      <c r="A155" s="24"/>
      <c r="B155" s="25" t="s">
        <v>155</v>
      </c>
      <c r="C155" s="25"/>
      <c r="D155" s="25"/>
      <c r="E155" s="25"/>
      <c r="F155" s="25"/>
      <c r="G155" s="25"/>
      <c r="H155" s="25"/>
      <c r="I155" s="25"/>
      <c r="J155" s="25"/>
      <c r="K155" s="25"/>
      <c r="L155" s="25"/>
      <c r="M155" s="25"/>
      <c r="N155" s="25"/>
      <c r="O155" s="25"/>
      <c r="P155" s="25"/>
      <c r="Q155" s="25"/>
      <c r="R155" s="25"/>
      <c r="S155" s="25"/>
      <c r="T155" s="25"/>
      <c r="U155" s="25"/>
      <c r="V155" s="53">
        <v>7500</v>
      </c>
      <c r="W155" s="25"/>
      <c r="X155" s="5"/>
    </row>
    <row r="156" spans="1:25" ht="15.6" x14ac:dyDescent="0.3">
      <c r="A156" s="24"/>
      <c r="B156" s="25" t="s">
        <v>172</v>
      </c>
      <c r="C156" s="25"/>
      <c r="D156" s="25"/>
      <c r="E156" s="25"/>
      <c r="F156" s="25"/>
      <c r="G156" s="25"/>
      <c r="H156" s="25"/>
      <c r="I156" s="25"/>
      <c r="J156" s="25"/>
      <c r="K156" s="25"/>
      <c r="L156" s="25"/>
      <c r="M156" s="25"/>
      <c r="N156" s="25"/>
      <c r="O156" s="25"/>
      <c r="P156" s="25"/>
      <c r="Q156" s="25"/>
      <c r="R156" s="25"/>
      <c r="S156" s="25"/>
      <c r="T156" s="25"/>
      <c r="U156" s="25"/>
      <c r="V156" s="53">
        <v>0</v>
      </c>
      <c r="W156" s="25"/>
      <c r="X156" s="5"/>
    </row>
    <row r="157" spans="1:25" ht="15.6" x14ac:dyDescent="0.3">
      <c r="A157" s="24"/>
      <c r="B157" s="25" t="s">
        <v>241</v>
      </c>
      <c r="C157" s="25"/>
      <c r="D157" s="25"/>
      <c r="E157" s="25"/>
      <c r="F157" s="25"/>
      <c r="G157" s="25"/>
      <c r="H157" s="25"/>
      <c r="I157" s="25"/>
      <c r="J157" s="25"/>
      <c r="K157" s="25"/>
      <c r="L157" s="25"/>
      <c r="M157" s="25"/>
      <c r="N157" s="25"/>
      <c r="O157" s="25"/>
      <c r="P157" s="25"/>
      <c r="Q157" s="25"/>
      <c r="R157" s="25"/>
      <c r="S157" s="25"/>
      <c r="T157" s="25"/>
      <c r="U157" s="25"/>
      <c r="V157" s="53">
        <v>4406</v>
      </c>
      <c r="W157" s="25"/>
      <c r="X157" s="5"/>
    </row>
    <row r="158" spans="1:25" ht="15.6" x14ac:dyDescent="0.3">
      <c r="A158" s="24"/>
      <c r="B158" s="25"/>
      <c r="C158" s="25"/>
      <c r="D158" s="25"/>
      <c r="E158" s="25"/>
      <c r="F158" s="25"/>
      <c r="G158" s="25"/>
      <c r="H158" s="25"/>
      <c r="I158" s="25"/>
      <c r="J158" s="25"/>
      <c r="K158" s="25"/>
      <c r="L158" s="25"/>
      <c r="M158" s="25"/>
      <c r="N158" s="25"/>
      <c r="O158" s="25"/>
      <c r="P158" s="25"/>
      <c r="Q158" s="25"/>
      <c r="R158" s="25"/>
      <c r="S158" s="25"/>
      <c r="T158" s="25"/>
      <c r="U158" s="25"/>
      <c r="V158" s="53"/>
      <c r="W158" s="25"/>
      <c r="X158" s="5"/>
    </row>
    <row r="159" spans="1:25" ht="15.6" x14ac:dyDescent="0.3">
      <c r="A159" s="24"/>
      <c r="B159" s="25"/>
      <c r="C159" s="25"/>
      <c r="D159" s="25"/>
      <c r="E159" s="25"/>
      <c r="F159" s="25"/>
      <c r="G159" s="25"/>
      <c r="H159" s="25"/>
      <c r="I159" s="25"/>
      <c r="J159" s="25"/>
      <c r="K159" s="25"/>
      <c r="L159" s="25"/>
      <c r="M159" s="25"/>
      <c r="N159" s="25"/>
      <c r="O159" s="25"/>
      <c r="P159" s="25"/>
      <c r="Q159" s="25"/>
      <c r="R159" s="25"/>
      <c r="S159" s="25"/>
      <c r="T159" s="25"/>
      <c r="U159" s="25"/>
      <c r="V159" s="61"/>
      <c r="W159" s="25"/>
      <c r="X159" s="5"/>
    </row>
    <row r="160" spans="1:25" ht="15.6" x14ac:dyDescent="0.3">
      <c r="A160" s="6"/>
      <c r="B160" s="119" t="s">
        <v>24</v>
      </c>
      <c r="C160" s="8"/>
      <c r="D160" s="8"/>
      <c r="E160" s="8"/>
      <c r="F160" s="8"/>
      <c r="G160" s="8"/>
      <c r="H160" s="8"/>
      <c r="I160" s="8"/>
      <c r="J160" s="8"/>
      <c r="K160" s="8"/>
      <c r="L160" s="8"/>
      <c r="M160" s="8"/>
      <c r="N160" s="8"/>
      <c r="O160" s="8"/>
      <c r="P160" s="8"/>
      <c r="Q160" s="8"/>
      <c r="R160" s="8"/>
      <c r="S160" s="8"/>
      <c r="T160" s="8"/>
      <c r="U160" s="8"/>
      <c r="V160" s="52"/>
      <c r="W160" s="8"/>
      <c r="X160" s="5"/>
    </row>
    <row r="161" spans="1:256" ht="15.6" x14ac:dyDescent="0.3">
      <c r="A161" s="24"/>
      <c r="B161" s="25" t="s">
        <v>47</v>
      </c>
      <c r="C161" s="25"/>
      <c r="D161" s="25"/>
      <c r="E161" s="25"/>
      <c r="F161" s="25"/>
      <c r="G161" s="25"/>
      <c r="H161" s="25"/>
      <c r="I161" s="25"/>
      <c r="J161" s="25"/>
      <c r="K161" s="25"/>
      <c r="L161" s="25"/>
      <c r="M161" s="25"/>
      <c r="N161" s="25"/>
      <c r="O161" s="25"/>
      <c r="P161" s="25"/>
      <c r="Q161" s="25"/>
      <c r="R161" s="25"/>
      <c r="S161" s="25"/>
      <c r="T161" s="25"/>
      <c r="U161" s="25"/>
      <c r="V161" s="59" t="s">
        <v>118</v>
      </c>
      <c r="W161" s="25"/>
      <c r="X161" s="5"/>
    </row>
    <row r="162" spans="1:256" ht="15.6" x14ac:dyDescent="0.3">
      <c r="A162" s="24"/>
      <c r="B162" s="25" t="s">
        <v>48</v>
      </c>
      <c r="C162" s="174"/>
      <c r="D162" s="174"/>
      <c r="E162" s="174"/>
      <c r="F162" s="174"/>
      <c r="G162" s="174"/>
      <c r="H162" s="174"/>
      <c r="I162" s="174"/>
      <c r="J162" s="174"/>
      <c r="K162" s="174"/>
      <c r="L162" s="174"/>
      <c r="M162" s="174"/>
      <c r="N162" s="174"/>
      <c r="O162" s="174"/>
      <c r="P162" s="174"/>
      <c r="Q162" s="174"/>
      <c r="R162" s="174"/>
      <c r="S162" s="174"/>
      <c r="T162" s="174"/>
      <c r="U162" s="174"/>
      <c r="V162" s="59" t="s">
        <v>118</v>
      </c>
      <c r="W162" s="25"/>
      <c r="X162" s="5"/>
    </row>
    <row r="163" spans="1:256" ht="15.6" x14ac:dyDescent="0.3">
      <c r="A163" s="24"/>
      <c r="B163" s="25" t="s">
        <v>49</v>
      </c>
      <c r="C163" s="25"/>
      <c r="D163" s="25"/>
      <c r="E163" s="25"/>
      <c r="F163" s="25"/>
      <c r="G163" s="25"/>
      <c r="H163" s="25"/>
      <c r="I163" s="25"/>
      <c r="J163" s="25"/>
      <c r="K163" s="25"/>
      <c r="L163" s="25"/>
      <c r="M163" s="25"/>
      <c r="N163" s="25"/>
      <c r="O163" s="25"/>
      <c r="P163" s="25"/>
      <c r="Q163" s="25"/>
      <c r="R163" s="25"/>
      <c r="S163" s="25"/>
      <c r="T163" s="25"/>
      <c r="U163" s="25"/>
      <c r="V163" s="59" t="s">
        <v>118</v>
      </c>
      <c r="W163" s="25"/>
      <c r="X163" s="5"/>
    </row>
    <row r="164" spans="1:256" ht="15.6" x14ac:dyDescent="0.3">
      <c r="A164" s="24"/>
      <c r="B164" s="25" t="s">
        <v>50</v>
      </c>
      <c r="C164" s="25"/>
      <c r="D164" s="25"/>
      <c r="E164" s="25"/>
      <c r="F164" s="25"/>
      <c r="G164" s="25"/>
      <c r="H164" s="25"/>
      <c r="I164" s="25"/>
      <c r="J164" s="25"/>
      <c r="K164" s="25"/>
      <c r="L164" s="25"/>
      <c r="M164" s="25"/>
      <c r="N164" s="25"/>
      <c r="O164" s="25"/>
      <c r="P164" s="25"/>
      <c r="Q164" s="25"/>
      <c r="R164" s="25"/>
      <c r="S164" s="25"/>
      <c r="T164" s="25"/>
      <c r="U164" s="25"/>
      <c r="V164" s="59" t="s">
        <v>118</v>
      </c>
      <c r="W164" s="25"/>
      <c r="X164" s="5"/>
    </row>
    <row r="165" spans="1:256" ht="15.6" x14ac:dyDescent="0.3">
      <c r="A165" s="24"/>
      <c r="B165" s="25"/>
      <c r="C165" s="25"/>
      <c r="D165" s="25"/>
      <c r="E165" s="25"/>
      <c r="F165" s="25"/>
      <c r="G165" s="25"/>
      <c r="H165" s="25"/>
      <c r="I165" s="25"/>
      <c r="J165" s="25"/>
      <c r="K165" s="25"/>
      <c r="L165" s="25"/>
      <c r="M165" s="25"/>
      <c r="N165" s="25"/>
      <c r="O165" s="25"/>
      <c r="P165" s="25"/>
      <c r="Q165" s="25"/>
      <c r="R165" s="25"/>
      <c r="S165" s="25"/>
      <c r="T165" s="25"/>
      <c r="U165" s="25"/>
      <c r="V165" s="61"/>
      <c r="W165" s="25"/>
      <c r="X165" s="5"/>
    </row>
    <row r="166" spans="1:256" ht="15.6" x14ac:dyDescent="0.3">
      <c r="A166" s="6"/>
      <c r="B166" s="119" t="s">
        <v>51</v>
      </c>
      <c r="C166" s="8"/>
      <c r="D166" s="8"/>
      <c r="E166" s="8"/>
      <c r="F166" s="8"/>
      <c r="G166" s="8"/>
      <c r="H166" s="8"/>
      <c r="I166" s="8"/>
      <c r="J166" s="8"/>
      <c r="K166" s="8"/>
      <c r="L166" s="8"/>
      <c r="M166" s="8"/>
      <c r="N166" s="8"/>
      <c r="O166" s="8"/>
      <c r="P166" s="8"/>
      <c r="Q166" s="8"/>
      <c r="R166" s="8"/>
      <c r="S166" s="8"/>
      <c r="T166" s="8"/>
      <c r="U166" s="8"/>
      <c r="V166" s="63"/>
      <c r="W166" s="8"/>
      <c r="X166" s="5"/>
    </row>
    <row r="167" spans="1:256" ht="15.6" x14ac:dyDescent="0.3">
      <c r="A167" s="24"/>
      <c r="B167" s="25" t="s">
        <v>52</v>
      </c>
      <c r="C167" s="25"/>
      <c r="D167" s="25"/>
      <c r="E167" s="25"/>
      <c r="F167" s="25"/>
      <c r="G167" s="25"/>
      <c r="H167" s="25"/>
      <c r="I167" s="25"/>
      <c r="J167" s="25"/>
      <c r="K167" s="25"/>
      <c r="L167" s="25"/>
      <c r="M167" s="25"/>
      <c r="N167" s="25"/>
      <c r="O167" s="25"/>
      <c r="P167" s="25"/>
      <c r="Q167" s="25"/>
      <c r="R167" s="25"/>
      <c r="S167" s="25"/>
      <c r="T167" s="25"/>
      <c r="U167" s="25"/>
      <c r="V167" s="53">
        <v>0</v>
      </c>
      <c r="W167" s="25"/>
      <c r="X167" s="5"/>
    </row>
    <row r="168" spans="1:256" ht="15.6" x14ac:dyDescent="0.3">
      <c r="A168" s="24"/>
      <c r="B168" s="25" t="s">
        <v>53</v>
      </c>
      <c r="C168" s="25"/>
      <c r="D168" s="25"/>
      <c r="E168" s="25"/>
      <c r="F168" s="25"/>
      <c r="G168" s="25"/>
      <c r="H168" s="25"/>
      <c r="I168" s="25"/>
      <c r="J168" s="25"/>
      <c r="K168" s="25"/>
      <c r="L168" s="25"/>
      <c r="M168" s="25"/>
      <c r="N168" s="25"/>
      <c r="O168" s="25"/>
      <c r="P168" s="25"/>
      <c r="Q168" s="25"/>
      <c r="R168" s="25"/>
      <c r="S168" s="25"/>
      <c r="T168" s="25"/>
      <c r="U168" s="25"/>
      <c r="V168" s="53">
        <v>8</v>
      </c>
      <c r="W168" s="25"/>
      <c r="X168" s="5"/>
    </row>
    <row r="169" spans="1:256" ht="15.6" x14ac:dyDescent="0.3">
      <c r="A169" s="24"/>
      <c r="B169" s="25" t="s">
        <v>54</v>
      </c>
      <c r="C169" s="25"/>
      <c r="D169" s="25"/>
      <c r="E169" s="25"/>
      <c r="F169" s="25"/>
      <c r="G169" s="25"/>
      <c r="H169" s="25"/>
      <c r="I169" s="25"/>
      <c r="J169" s="25"/>
      <c r="K169" s="25"/>
      <c r="L169" s="25"/>
      <c r="M169" s="25"/>
      <c r="N169" s="25"/>
      <c r="O169" s="25"/>
      <c r="P169" s="25"/>
      <c r="Q169" s="25"/>
      <c r="R169" s="25"/>
      <c r="S169" s="25"/>
      <c r="T169" s="25"/>
      <c r="U169" s="25"/>
      <c r="V169" s="53">
        <f>V168+V167</f>
        <v>8</v>
      </c>
      <c r="W169" s="25"/>
      <c r="X169" s="5"/>
    </row>
    <row r="170" spans="1:256" ht="15.6" x14ac:dyDescent="0.3">
      <c r="A170" s="24"/>
      <c r="B170" s="25" t="s">
        <v>315</v>
      </c>
      <c r="C170" s="25"/>
      <c r="D170" s="25"/>
      <c r="E170" s="25"/>
      <c r="F170" s="25"/>
      <c r="G170" s="25"/>
      <c r="H170" s="25"/>
      <c r="I170" s="25"/>
      <c r="J170" s="25"/>
      <c r="K170" s="25"/>
      <c r="L170" s="25"/>
      <c r="M170" s="25"/>
      <c r="N170" s="25"/>
      <c r="O170" s="25"/>
      <c r="P170" s="25"/>
      <c r="Q170" s="25"/>
      <c r="R170" s="25"/>
      <c r="S170" s="25"/>
      <c r="T170" s="25"/>
      <c r="U170" s="25"/>
      <c r="V170" s="53">
        <f>V116</f>
        <v>-8</v>
      </c>
      <c r="W170" s="25"/>
      <c r="X170" s="5"/>
    </row>
    <row r="171" spans="1:256" ht="15.6" x14ac:dyDescent="0.3">
      <c r="A171" s="24"/>
      <c r="B171" s="25" t="s">
        <v>55</v>
      </c>
      <c r="C171" s="25"/>
      <c r="D171" s="25"/>
      <c r="E171" s="25"/>
      <c r="F171" s="25"/>
      <c r="G171" s="25"/>
      <c r="H171" s="25"/>
      <c r="I171" s="25"/>
      <c r="J171" s="25"/>
      <c r="K171" s="25"/>
      <c r="L171" s="25"/>
      <c r="M171" s="25"/>
      <c r="N171" s="25"/>
      <c r="O171" s="25"/>
      <c r="P171" s="25"/>
      <c r="Q171" s="25"/>
      <c r="R171" s="25"/>
      <c r="S171" s="25"/>
      <c r="T171" s="25"/>
      <c r="U171" s="25"/>
      <c r="V171" s="53">
        <f>V169+V170</f>
        <v>0</v>
      </c>
      <c r="W171" s="25"/>
      <c r="X171" s="5"/>
    </row>
    <row r="172" spans="1:256" ht="16.2" thickBot="1" x14ac:dyDescent="0.35">
      <c r="A172" s="24"/>
      <c r="B172" s="25"/>
      <c r="C172" s="25"/>
      <c r="D172" s="25"/>
      <c r="E172" s="25"/>
      <c r="F172" s="25"/>
      <c r="G172" s="25"/>
      <c r="H172" s="25"/>
      <c r="I172" s="25"/>
      <c r="J172" s="25"/>
      <c r="K172" s="25"/>
      <c r="L172" s="25"/>
      <c r="M172" s="25"/>
      <c r="N172" s="25"/>
      <c r="O172" s="25"/>
      <c r="P172" s="25"/>
      <c r="Q172" s="25"/>
      <c r="R172" s="25"/>
      <c r="S172" s="25"/>
      <c r="T172" s="25"/>
      <c r="U172" s="25"/>
      <c r="V172" s="61"/>
      <c r="W172" s="25"/>
      <c r="X172" s="5"/>
    </row>
    <row r="173" spans="1:256" ht="15.6" x14ac:dyDescent="0.3">
      <c r="A173" s="2"/>
      <c r="B173" s="4"/>
      <c r="C173" s="4"/>
      <c r="D173" s="4"/>
      <c r="E173" s="4"/>
      <c r="F173" s="4"/>
      <c r="G173" s="4"/>
      <c r="H173" s="4"/>
      <c r="I173" s="4"/>
      <c r="J173" s="4"/>
      <c r="K173" s="4"/>
      <c r="L173" s="4"/>
      <c r="M173" s="4"/>
      <c r="N173" s="4"/>
      <c r="O173" s="4"/>
      <c r="P173" s="4"/>
      <c r="Q173" s="4"/>
      <c r="R173" s="4"/>
      <c r="S173" s="4"/>
      <c r="T173" s="4"/>
      <c r="U173" s="4"/>
      <c r="V173" s="50"/>
      <c r="W173" s="4"/>
      <c r="X173" s="5"/>
    </row>
    <row r="174" spans="1:256" s="161" customFormat="1" ht="15.6" x14ac:dyDescent="0.3">
      <c r="A174" s="6"/>
      <c r="B174" s="119" t="s">
        <v>269</v>
      </c>
      <c r="C174" s="160"/>
      <c r="D174" s="160"/>
      <c r="E174" s="160"/>
      <c r="F174" s="160"/>
      <c r="G174" s="160"/>
      <c r="H174" s="160"/>
      <c r="I174" s="160"/>
      <c r="J174" s="160"/>
      <c r="K174" s="160"/>
      <c r="L174" s="160"/>
      <c r="M174" s="160"/>
      <c r="N174" s="160"/>
      <c r="O174" s="160"/>
      <c r="P174" s="160"/>
      <c r="Q174" s="160"/>
      <c r="R174" s="160"/>
      <c r="S174" s="160"/>
      <c r="T174" s="160"/>
      <c r="U174" s="160"/>
      <c r="V174" s="168"/>
      <c r="W174" s="160"/>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5.6" x14ac:dyDescent="0.3">
      <c r="A175" s="24"/>
      <c r="B175" s="162" t="s">
        <v>270</v>
      </c>
      <c r="C175" s="162"/>
      <c r="D175" s="162"/>
      <c r="E175" s="162"/>
      <c r="F175" s="162"/>
      <c r="G175" s="162"/>
      <c r="H175" s="162"/>
      <c r="I175" s="162"/>
      <c r="J175" s="162"/>
      <c r="K175" s="162"/>
      <c r="L175" s="162"/>
      <c r="M175" s="162"/>
      <c r="N175" s="162"/>
      <c r="O175" s="162"/>
      <c r="P175" s="162"/>
      <c r="Q175" s="162"/>
      <c r="R175" s="162"/>
      <c r="S175" s="162"/>
      <c r="T175" s="162"/>
      <c r="U175" s="162"/>
      <c r="V175" s="169">
        <f>+'Nov 07'!V177</f>
        <v>2396</v>
      </c>
      <c r="W175" s="162"/>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3" customFormat="1" ht="15.6" x14ac:dyDescent="0.3">
      <c r="A176" s="24"/>
      <c r="B176" s="162" t="s">
        <v>273</v>
      </c>
      <c r="C176" s="162"/>
      <c r="D176" s="162"/>
      <c r="E176" s="162"/>
      <c r="F176" s="162"/>
      <c r="G176" s="162"/>
      <c r="H176" s="162"/>
      <c r="I176" s="162"/>
      <c r="J176" s="162"/>
      <c r="K176" s="162"/>
      <c r="L176" s="162"/>
      <c r="M176" s="162"/>
      <c r="N176" s="162"/>
      <c r="O176" s="162"/>
      <c r="P176" s="162"/>
      <c r="Q176" s="162"/>
      <c r="R176" s="162"/>
      <c r="S176" s="162"/>
      <c r="T176" s="162"/>
      <c r="U176" s="162"/>
      <c r="V176" s="169">
        <f>+V95</f>
        <v>1254</v>
      </c>
      <c r="W176" s="162"/>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s="163" customFormat="1" ht="15.6" x14ac:dyDescent="0.3">
      <c r="A177" s="24"/>
      <c r="B177" s="162" t="s">
        <v>271</v>
      </c>
      <c r="C177" s="162"/>
      <c r="D177" s="162"/>
      <c r="E177" s="162"/>
      <c r="F177" s="162"/>
      <c r="G177" s="162"/>
      <c r="H177" s="162"/>
      <c r="I177" s="162"/>
      <c r="J177" s="162"/>
      <c r="K177" s="162"/>
      <c r="L177" s="162"/>
      <c r="M177" s="162"/>
      <c r="N177" s="162"/>
      <c r="O177" s="162"/>
      <c r="P177" s="162"/>
      <c r="Q177" s="162"/>
      <c r="R177" s="162"/>
      <c r="S177" s="162"/>
      <c r="T177" s="162"/>
      <c r="U177" s="162"/>
      <c r="V177" s="169">
        <f>+V175-V176</f>
        <v>1142</v>
      </c>
      <c r="W177" s="162"/>
      <c r="X177" s="5"/>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s="166" customFormat="1" ht="16.2" thickBot="1" x14ac:dyDescent="0.35">
      <c r="A178" s="170"/>
      <c r="B178" s="164"/>
      <c r="C178" s="164"/>
      <c r="D178" s="164"/>
      <c r="E178" s="164"/>
      <c r="F178" s="164"/>
      <c r="G178" s="164"/>
      <c r="H178" s="164"/>
      <c r="I178" s="164"/>
      <c r="J178" s="164"/>
      <c r="K178" s="164"/>
      <c r="L178" s="164"/>
      <c r="M178" s="164"/>
      <c r="N178" s="164"/>
      <c r="O178" s="164"/>
      <c r="P178" s="164"/>
      <c r="Q178" s="164"/>
      <c r="R178" s="164"/>
      <c r="S178" s="164"/>
      <c r="T178" s="164"/>
      <c r="U178" s="164"/>
      <c r="V178" s="165"/>
      <c r="W178" s="164"/>
      <c r="X178" s="5"/>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s="167" customFormat="1" ht="15.6" x14ac:dyDescent="0.3">
      <c r="A179" s="2"/>
      <c r="B179" s="4"/>
      <c r="C179" s="4"/>
      <c r="D179" s="4"/>
      <c r="E179" s="4"/>
      <c r="F179" s="4"/>
      <c r="G179" s="4"/>
      <c r="H179" s="4"/>
      <c r="I179" s="4"/>
      <c r="J179" s="4"/>
      <c r="K179" s="4"/>
      <c r="L179" s="4"/>
      <c r="M179" s="4"/>
      <c r="N179" s="4"/>
      <c r="O179" s="4"/>
      <c r="P179" s="4"/>
      <c r="Q179" s="4"/>
      <c r="R179" s="4"/>
      <c r="S179" s="4"/>
      <c r="T179" s="4"/>
      <c r="U179" s="4"/>
      <c r="V179" s="50"/>
      <c r="W179" s="4"/>
      <c r="X179" s="5"/>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ht="15.6" x14ac:dyDescent="0.3">
      <c r="A180" s="6"/>
      <c r="B180" s="119" t="s">
        <v>56</v>
      </c>
      <c r="C180" s="8"/>
      <c r="D180" s="8"/>
      <c r="E180" s="8"/>
      <c r="F180" s="8"/>
      <c r="G180" s="8"/>
      <c r="H180" s="8"/>
      <c r="I180" s="8"/>
      <c r="J180" s="8"/>
      <c r="K180" s="8"/>
      <c r="L180" s="8"/>
      <c r="M180" s="8"/>
      <c r="N180" s="8"/>
      <c r="O180" s="8"/>
      <c r="P180" s="8"/>
      <c r="Q180" s="8"/>
      <c r="R180" s="8"/>
      <c r="S180" s="8"/>
      <c r="T180" s="8"/>
      <c r="U180" s="8"/>
      <c r="V180" s="52"/>
      <c r="W180" s="8"/>
      <c r="X180" s="5"/>
    </row>
    <row r="181" spans="1:256" ht="15.6" x14ac:dyDescent="0.3">
      <c r="A181" s="6"/>
      <c r="B181" s="21"/>
      <c r="C181" s="8"/>
      <c r="D181" s="8"/>
      <c r="E181" s="8"/>
      <c r="F181" s="8"/>
      <c r="G181" s="8"/>
      <c r="H181" s="8"/>
      <c r="I181" s="8"/>
      <c r="J181" s="8"/>
      <c r="K181" s="8"/>
      <c r="L181" s="8"/>
      <c r="M181" s="8"/>
      <c r="N181" s="8"/>
      <c r="O181" s="8"/>
      <c r="P181" s="8"/>
      <c r="Q181" s="8"/>
      <c r="R181" s="8"/>
      <c r="S181" s="8"/>
      <c r="T181" s="8"/>
      <c r="U181" s="8"/>
      <c r="V181" s="52"/>
      <c r="W181" s="8"/>
      <c r="X181" s="5"/>
    </row>
    <row r="182" spans="1:256" ht="15.6" x14ac:dyDescent="0.3">
      <c r="A182" s="24"/>
      <c r="B182" s="25" t="s">
        <v>57</v>
      </c>
      <c r="C182" s="25"/>
      <c r="D182" s="25"/>
      <c r="E182" s="25"/>
      <c r="F182" s="25"/>
      <c r="G182" s="25"/>
      <c r="H182" s="25"/>
      <c r="I182" s="25"/>
      <c r="J182" s="25"/>
      <c r="K182" s="25"/>
      <c r="L182" s="25"/>
      <c r="M182" s="25"/>
      <c r="N182" s="25"/>
      <c r="O182" s="25"/>
      <c r="P182" s="25"/>
      <c r="Q182" s="25"/>
      <c r="R182" s="25"/>
      <c r="S182" s="25"/>
      <c r="T182" s="25"/>
      <c r="U182" s="25"/>
      <c r="V182" s="53">
        <f>V72</f>
        <v>1410697</v>
      </c>
      <c r="W182" s="25"/>
      <c r="X182" s="5"/>
    </row>
    <row r="183" spans="1:256" ht="15.6" x14ac:dyDescent="0.3">
      <c r="A183" s="24"/>
      <c r="B183" s="25" t="s">
        <v>58</v>
      </c>
      <c r="C183" s="25"/>
      <c r="D183" s="25"/>
      <c r="E183" s="25"/>
      <c r="F183" s="25"/>
      <c r="G183" s="25"/>
      <c r="H183" s="25"/>
      <c r="I183" s="25"/>
      <c r="J183" s="25"/>
      <c r="K183" s="25"/>
      <c r="L183" s="25"/>
      <c r="M183" s="25"/>
      <c r="N183" s="25"/>
      <c r="O183" s="25"/>
      <c r="P183" s="25"/>
      <c r="Q183" s="25"/>
      <c r="R183" s="25"/>
      <c r="S183" s="25"/>
      <c r="T183" s="25"/>
      <c r="U183" s="25"/>
      <c r="V183" s="53">
        <f>V85</f>
        <v>1410697</v>
      </c>
      <c r="W183" s="25"/>
      <c r="X183" s="5"/>
    </row>
    <row r="184" spans="1:256" ht="16.2" thickBot="1" x14ac:dyDescent="0.35">
      <c r="A184" s="24"/>
      <c r="B184" s="25"/>
      <c r="C184" s="25"/>
      <c r="D184" s="25"/>
      <c r="E184" s="25"/>
      <c r="F184" s="25"/>
      <c r="G184" s="25"/>
      <c r="H184" s="25"/>
      <c r="I184" s="25"/>
      <c r="J184" s="25"/>
      <c r="K184" s="25"/>
      <c r="L184" s="25"/>
      <c r="M184" s="25"/>
      <c r="N184" s="25"/>
      <c r="O184" s="25"/>
      <c r="P184" s="25"/>
      <c r="Q184" s="25"/>
      <c r="R184" s="25"/>
      <c r="S184" s="25"/>
      <c r="T184" s="25"/>
      <c r="U184" s="25"/>
      <c r="V184" s="61"/>
      <c r="W184" s="25"/>
      <c r="X184" s="5"/>
    </row>
    <row r="185" spans="1:256" ht="15.6" x14ac:dyDescent="0.3">
      <c r="A185" s="2"/>
      <c r="B185" s="4"/>
      <c r="C185" s="4"/>
      <c r="D185" s="4"/>
      <c r="E185" s="4"/>
      <c r="F185" s="4"/>
      <c r="G185" s="4"/>
      <c r="H185" s="4"/>
      <c r="I185" s="4"/>
      <c r="J185" s="4"/>
      <c r="K185" s="4"/>
      <c r="L185" s="4"/>
      <c r="M185" s="4"/>
      <c r="N185" s="4"/>
      <c r="O185" s="4"/>
      <c r="P185" s="4"/>
      <c r="Q185" s="4"/>
      <c r="R185" s="4"/>
      <c r="S185" s="4"/>
      <c r="T185" s="4"/>
      <c r="U185" s="4"/>
      <c r="V185" s="50"/>
      <c r="W185" s="4"/>
      <c r="X185" s="5"/>
    </row>
    <row r="186" spans="1:256" ht="15.6" x14ac:dyDescent="0.3">
      <c r="A186" s="6"/>
      <c r="B186" s="119" t="s">
        <v>59</v>
      </c>
      <c r="C186" s="117"/>
      <c r="D186" s="117"/>
      <c r="E186" s="117"/>
      <c r="F186" s="117"/>
      <c r="G186" s="117"/>
      <c r="H186" s="120"/>
      <c r="I186" s="120"/>
      <c r="J186" s="120"/>
      <c r="K186" s="120"/>
      <c r="L186" s="120"/>
      <c r="M186" s="120"/>
      <c r="N186" s="120"/>
      <c r="O186" s="120"/>
      <c r="P186" s="120"/>
      <c r="Q186" s="120"/>
      <c r="R186" s="120"/>
      <c r="S186" s="120" t="s">
        <v>101</v>
      </c>
      <c r="T186" s="120" t="s">
        <v>176</v>
      </c>
      <c r="U186" s="111"/>
      <c r="V186" s="121" t="s">
        <v>114</v>
      </c>
      <c r="W186" s="10"/>
      <c r="X186" s="5"/>
    </row>
    <row r="187" spans="1:256" ht="15.6" x14ac:dyDescent="0.3">
      <c r="A187" s="24"/>
      <c r="B187" s="25" t="s">
        <v>60</v>
      </c>
      <c r="C187" s="25"/>
      <c r="D187" s="25"/>
      <c r="E187" s="25"/>
      <c r="F187" s="25"/>
      <c r="G187" s="25"/>
      <c r="H187" s="25"/>
      <c r="I187" s="25"/>
      <c r="J187" s="25"/>
      <c r="K187" s="25"/>
      <c r="L187" s="25"/>
      <c r="M187" s="25"/>
      <c r="N187" s="25"/>
      <c r="O187" s="25"/>
      <c r="P187" s="25"/>
      <c r="Q187" s="25"/>
      <c r="R187" s="25"/>
      <c r="S187" s="53">
        <f>+V34*0.16</f>
        <v>240044</v>
      </c>
      <c r="T187" s="40"/>
      <c r="U187" s="25"/>
      <c r="V187" s="53"/>
      <c r="W187" s="25"/>
      <c r="X187" s="5"/>
    </row>
    <row r="188" spans="1:256" ht="15.6" x14ac:dyDescent="0.3">
      <c r="A188" s="24"/>
      <c r="B188" s="25" t="s">
        <v>61</v>
      </c>
      <c r="C188" s="25"/>
      <c r="D188" s="25"/>
      <c r="E188" s="25"/>
      <c r="F188" s="25"/>
      <c r="G188" s="25"/>
      <c r="H188" s="25"/>
      <c r="I188" s="25"/>
      <c r="J188" s="25"/>
      <c r="K188" s="25"/>
      <c r="L188" s="25"/>
      <c r="M188" s="25"/>
      <c r="N188" s="25"/>
      <c r="O188" s="25"/>
      <c r="P188" s="25"/>
      <c r="Q188" s="25"/>
      <c r="R188" s="25"/>
      <c r="S188" s="53">
        <f>+'Nov 07'!S190</f>
        <v>12552</v>
      </c>
      <c r="T188" s="53">
        <f>+'Nov 07'!T190</f>
        <v>4814</v>
      </c>
      <c r="U188" s="25"/>
      <c r="V188" s="53">
        <f>S188+T188</f>
        <v>17366</v>
      </c>
      <c r="W188" s="25"/>
      <c r="X188" s="5"/>
    </row>
    <row r="189" spans="1:256" ht="15.6" x14ac:dyDescent="0.3">
      <c r="A189" s="24"/>
      <c r="B189" s="25" t="s">
        <v>62</v>
      </c>
      <c r="C189" s="25"/>
      <c r="D189" s="25"/>
      <c r="E189" s="25"/>
      <c r="F189" s="25"/>
      <c r="G189" s="25"/>
      <c r="H189" s="25"/>
      <c r="I189" s="25"/>
      <c r="J189" s="25"/>
      <c r="K189" s="25"/>
      <c r="L189" s="25"/>
      <c r="M189" s="25"/>
      <c r="N189" s="25"/>
      <c r="O189" s="25"/>
      <c r="P189" s="25"/>
      <c r="Q189" s="25"/>
      <c r="R189" s="25"/>
      <c r="S189" s="34">
        <v>2098</v>
      </c>
      <c r="T189" s="34">
        <v>546</v>
      </c>
      <c r="U189" s="25"/>
      <c r="V189" s="53">
        <f>S189+T189</f>
        <v>2644</v>
      </c>
      <c r="W189" s="25"/>
      <c r="X189" s="5"/>
    </row>
    <row r="190" spans="1:256" ht="15.6" x14ac:dyDescent="0.3">
      <c r="A190" s="24"/>
      <c r="B190" s="25" t="s">
        <v>63</v>
      </c>
      <c r="C190" s="25"/>
      <c r="D190" s="25"/>
      <c r="E190" s="25"/>
      <c r="F190" s="25"/>
      <c r="G190" s="25"/>
      <c r="H190" s="25"/>
      <c r="I190" s="25"/>
      <c r="J190" s="25"/>
      <c r="K190" s="25"/>
      <c r="L190" s="25"/>
      <c r="M190" s="25"/>
      <c r="N190" s="25"/>
      <c r="O190" s="25"/>
      <c r="P190" s="25"/>
      <c r="Q190" s="25"/>
      <c r="R190" s="25"/>
      <c r="S190" s="53">
        <f>S188+S189</f>
        <v>14650</v>
      </c>
      <c r="T190" s="53">
        <f>T189+T188</f>
        <v>5360</v>
      </c>
      <c r="U190" s="25"/>
      <c r="V190" s="53">
        <f>S190+T190</f>
        <v>20010</v>
      </c>
      <c r="W190" s="25"/>
      <c r="X190" s="5"/>
    </row>
    <row r="191" spans="1:256" ht="15.6" x14ac:dyDescent="0.3">
      <c r="A191" s="24"/>
      <c r="B191" s="25" t="s">
        <v>64</v>
      </c>
      <c r="C191" s="25"/>
      <c r="D191" s="25"/>
      <c r="E191" s="25"/>
      <c r="F191" s="25"/>
      <c r="G191" s="25"/>
      <c r="H191" s="25"/>
      <c r="I191" s="25"/>
      <c r="J191" s="25"/>
      <c r="K191" s="25"/>
      <c r="L191" s="25"/>
      <c r="M191" s="25"/>
      <c r="N191" s="25"/>
      <c r="O191" s="25"/>
      <c r="P191" s="25"/>
      <c r="Q191" s="25"/>
      <c r="R191" s="25"/>
      <c r="S191" s="53">
        <f>S187-S190-T190</f>
        <v>220034</v>
      </c>
      <c r="T191" s="40"/>
      <c r="U191" s="25"/>
      <c r="V191" s="53"/>
      <c r="W191" s="25"/>
      <c r="X191" s="5"/>
    </row>
    <row r="192" spans="1:256" ht="16.2" thickBot="1" x14ac:dyDescent="0.35">
      <c r="A192" s="24"/>
      <c r="B192" s="25"/>
      <c r="C192" s="25"/>
      <c r="D192" s="25"/>
      <c r="E192" s="25"/>
      <c r="F192" s="25"/>
      <c r="G192" s="25"/>
      <c r="H192" s="25"/>
      <c r="I192" s="25"/>
      <c r="J192" s="25"/>
      <c r="K192" s="25"/>
      <c r="L192" s="25"/>
      <c r="M192" s="25"/>
      <c r="N192" s="25"/>
      <c r="O192" s="25"/>
      <c r="P192" s="25"/>
      <c r="Q192" s="25"/>
      <c r="R192" s="25"/>
      <c r="S192" s="25"/>
      <c r="T192" s="25"/>
      <c r="U192" s="25"/>
      <c r="V192" s="61"/>
      <c r="W192" s="25"/>
      <c r="X192" s="5"/>
    </row>
    <row r="193" spans="1:24" ht="15.6" x14ac:dyDescent="0.3">
      <c r="A193" s="2"/>
      <c r="B193" s="4"/>
      <c r="C193" s="4"/>
      <c r="D193" s="4"/>
      <c r="E193" s="4"/>
      <c r="F193" s="4"/>
      <c r="G193" s="4"/>
      <c r="H193" s="4"/>
      <c r="I193" s="4"/>
      <c r="J193" s="4"/>
      <c r="K193" s="4"/>
      <c r="L193" s="4"/>
      <c r="M193" s="4"/>
      <c r="N193" s="4"/>
      <c r="O193" s="4"/>
      <c r="P193" s="4"/>
      <c r="Q193" s="4"/>
      <c r="R193" s="4"/>
      <c r="S193" s="4"/>
      <c r="T193" s="4"/>
      <c r="U193" s="4"/>
      <c r="V193" s="50"/>
      <c r="W193" s="4"/>
      <c r="X193" s="5"/>
    </row>
    <row r="194" spans="1:24" ht="15.6" x14ac:dyDescent="0.3">
      <c r="A194" s="6"/>
      <c r="B194" s="119" t="s">
        <v>65</v>
      </c>
      <c r="C194" s="8"/>
      <c r="D194" s="8"/>
      <c r="E194" s="8"/>
      <c r="F194" s="8"/>
      <c r="G194" s="8"/>
      <c r="H194" s="8"/>
      <c r="I194" s="8"/>
      <c r="J194" s="8"/>
      <c r="K194" s="8"/>
      <c r="L194" s="8"/>
      <c r="M194" s="8"/>
      <c r="N194" s="8"/>
      <c r="O194" s="8"/>
      <c r="P194" s="8"/>
      <c r="Q194" s="8"/>
      <c r="R194" s="8"/>
      <c r="S194" s="8"/>
      <c r="T194" s="8"/>
      <c r="U194" s="8"/>
      <c r="V194" s="65"/>
      <c r="W194" s="8"/>
      <c r="X194" s="5"/>
    </row>
    <row r="195" spans="1:24" ht="15.6" x14ac:dyDescent="0.3">
      <c r="A195" s="24"/>
      <c r="B195" s="25" t="s">
        <v>66</v>
      </c>
      <c r="C195" s="25"/>
      <c r="D195" s="25"/>
      <c r="E195" s="25"/>
      <c r="F195" s="25"/>
      <c r="G195" s="25"/>
      <c r="H195" s="25"/>
      <c r="I195" s="25"/>
      <c r="J195" s="25"/>
      <c r="K195" s="25"/>
      <c r="L195" s="25"/>
      <c r="M195" s="25"/>
      <c r="N195" s="25"/>
      <c r="O195" s="25"/>
      <c r="P195" s="25"/>
      <c r="Q195" s="25"/>
      <c r="R195" s="25"/>
      <c r="S195" s="25"/>
      <c r="T195" s="25"/>
      <c r="U195" s="25"/>
      <c r="V195" s="59">
        <f>(V102+V104+V105+V106+V107)/-(V108+V109)</f>
        <v>1.4285857723781314</v>
      </c>
      <c r="W195" s="25" t="s">
        <v>115</v>
      </c>
      <c r="X195" s="5"/>
    </row>
    <row r="196" spans="1:24" ht="15.6" x14ac:dyDescent="0.3">
      <c r="A196" s="24"/>
      <c r="B196" s="25" t="s">
        <v>67</v>
      </c>
      <c r="C196" s="25"/>
      <c r="D196" s="25"/>
      <c r="E196" s="25"/>
      <c r="F196" s="25"/>
      <c r="G196" s="25"/>
      <c r="H196" s="25"/>
      <c r="I196" s="25"/>
      <c r="J196" s="25"/>
      <c r="K196" s="25"/>
      <c r="L196" s="25"/>
      <c r="M196" s="25"/>
      <c r="N196" s="25"/>
      <c r="O196" s="25"/>
      <c r="P196" s="25"/>
      <c r="Q196" s="25"/>
      <c r="R196" s="25"/>
      <c r="S196" s="25"/>
      <c r="T196" s="25"/>
      <c r="U196" s="25"/>
      <c r="V196" s="66">
        <v>1.32</v>
      </c>
      <c r="W196" s="25" t="s">
        <v>115</v>
      </c>
      <c r="X196" s="5"/>
    </row>
    <row r="197" spans="1:24" ht="15.6" x14ac:dyDescent="0.3">
      <c r="A197" s="24"/>
      <c r="B197" s="25" t="s">
        <v>68</v>
      </c>
      <c r="C197" s="25"/>
      <c r="D197" s="25"/>
      <c r="E197" s="25"/>
      <c r="F197" s="25"/>
      <c r="G197" s="25"/>
      <c r="H197" s="25"/>
      <c r="I197" s="25"/>
      <c r="J197" s="25"/>
      <c r="K197" s="25"/>
      <c r="L197" s="25"/>
      <c r="M197" s="25"/>
      <c r="N197" s="25"/>
      <c r="O197" s="25"/>
      <c r="P197" s="25"/>
      <c r="Q197" s="25"/>
      <c r="R197" s="25"/>
      <c r="S197" s="25"/>
      <c r="T197" s="25"/>
      <c r="U197" s="25"/>
      <c r="V197" s="59">
        <f>(V102+V104+V105+V106+V107+V108+V109)/-(V111+V112)</f>
        <v>4.5897849462365592</v>
      </c>
      <c r="W197" s="25" t="s">
        <v>115</v>
      </c>
      <c r="X197" s="5"/>
    </row>
    <row r="198" spans="1:24" ht="15.6" x14ac:dyDescent="0.3">
      <c r="A198" s="24"/>
      <c r="B198" s="25" t="s">
        <v>69</v>
      </c>
      <c r="C198" s="25"/>
      <c r="D198" s="25"/>
      <c r="E198" s="25"/>
      <c r="F198" s="25"/>
      <c r="G198" s="25"/>
      <c r="H198" s="25"/>
      <c r="I198" s="25"/>
      <c r="J198" s="25"/>
      <c r="K198" s="25"/>
      <c r="L198" s="25"/>
      <c r="M198" s="25"/>
      <c r="N198" s="25"/>
      <c r="O198" s="25"/>
      <c r="P198" s="25"/>
      <c r="Q198" s="25"/>
      <c r="R198" s="25"/>
      <c r="S198" s="25"/>
      <c r="T198" s="25"/>
      <c r="U198" s="25"/>
      <c r="V198" s="66">
        <v>3.47</v>
      </c>
      <c r="W198" s="25" t="s">
        <v>115</v>
      </c>
      <c r="X198" s="5"/>
    </row>
    <row r="199" spans="1:24" ht="15.6" x14ac:dyDescent="0.3">
      <c r="A199" s="24"/>
      <c r="B199" s="25" t="s">
        <v>198</v>
      </c>
      <c r="C199" s="25"/>
      <c r="D199" s="25"/>
      <c r="E199" s="25"/>
      <c r="F199" s="25"/>
      <c r="G199" s="25"/>
      <c r="H199" s="25"/>
      <c r="I199" s="25"/>
      <c r="J199" s="25"/>
      <c r="K199" s="25"/>
      <c r="L199" s="25"/>
      <c r="M199" s="25"/>
      <c r="N199" s="25"/>
      <c r="O199" s="25"/>
      <c r="P199" s="25"/>
      <c r="Q199" s="25"/>
      <c r="R199" s="25"/>
      <c r="S199" s="25"/>
      <c r="T199" s="25"/>
      <c r="U199" s="25"/>
      <c r="V199" s="59">
        <f>(V102+V104+V105+V106+V107+V108+V109+V111+V112)/-(V113+V114)</f>
        <v>3.4685714285714284</v>
      </c>
      <c r="W199" s="25" t="s">
        <v>115</v>
      </c>
      <c r="X199" s="5"/>
    </row>
    <row r="200" spans="1:24" ht="15.6" x14ac:dyDescent="0.3">
      <c r="A200" s="24"/>
      <c r="B200" s="25" t="s">
        <v>199</v>
      </c>
      <c r="C200" s="25"/>
      <c r="D200" s="25"/>
      <c r="E200" s="25"/>
      <c r="F200" s="25"/>
      <c r="G200" s="25"/>
      <c r="H200" s="25"/>
      <c r="I200" s="25"/>
      <c r="J200" s="25"/>
      <c r="K200" s="25"/>
      <c r="L200" s="25"/>
      <c r="M200" s="25"/>
      <c r="N200" s="25"/>
      <c r="O200" s="25"/>
      <c r="P200" s="25"/>
      <c r="Q200" s="25"/>
      <c r="R200" s="25"/>
      <c r="S200" s="25"/>
      <c r="T200" s="25"/>
      <c r="U200" s="25"/>
      <c r="V200" s="66">
        <v>2.38</v>
      </c>
      <c r="W200" s="25" t="s">
        <v>115</v>
      </c>
      <c r="X200" s="5"/>
    </row>
    <row r="201" spans="1:24" ht="15.6" x14ac:dyDescent="0.3">
      <c r="A201" s="24"/>
      <c r="B201" s="25"/>
      <c r="C201" s="25"/>
      <c r="D201" s="25"/>
      <c r="E201" s="25"/>
      <c r="F201" s="25"/>
      <c r="G201" s="25"/>
      <c r="H201" s="25"/>
      <c r="I201" s="25"/>
      <c r="J201" s="25"/>
      <c r="K201" s="25"/>
      <c r="L201" s="25"/>
      <c r="M201" s="25"/>
      <c r="N201" s="25"/>
      <c r="O201" s="25"/>
      <c r="P201" s="25"/>
      <c r="Q201" s="25"/>
      <c r="R201" s="25"/>
      <c r="S201" s="25"/>
      <c r="T201" s="25"/>
      <c r="U201" s="25"/>
      <c r="V201" s="25"/>
      <c r="W201" s="25"/>
      <c r="X201" s="5"/>
    </row>
    <row r="202" spans="1:24" ht="15.6" x14ac:dyDescent="0.3">
      <c r="A202" s="24"/>
      <c r="B202" s="25"/>
      <c r="C202" s="25"/>
      <c r="D202" s="25"/>
      <c r="E202" s="25"/>
      <c r="F202" s="25"/>
      <c r="G202" s="25"/>
      <c r="H202" s="25"/>
      <c r="I202" s="25"/>
      <c r="J202" s="25"/>
      <c r="K202" s="25"/>
      <c r="L202" s="25"/>
      <c r="M202" s="25"/>
      <c r="N202" s="25"/>
      <c r="O202" s="25"/>
      <c r="P202" s="25"/>
      <c r="Q202" s="25"/>
      <c r="R202" s="25"/>
      <c r="S202" s="25"/>
      <c r="T202" s="25"/>
      <c r="U202" s="25"/>
      <c r="V202" s="25"/>
      <c r="W202" s="25"/>
      <c r="X202" s="5"/>
    </row>
    <row r="203" spans="1:24" ht="15.6" x14ac:dyDescent="0.3">
      <c r="A203" s="6"/>
      <c r="B203" s="8"/>
      <c r="C203" s="8"/>
      <c r="D203" s="8"/>
      <c r="E203" s="8"/>
      <c r="F203" s="8"/>
      <c r="G203" s="8"/>
      <c r="H203" s="8"/>
      <c r="I203" s="8"/>
      <c r="J203" s="8"/>
      <c r="K203" s="8"/>
      <c r="L203" s="8"/>
      <c r="M203" s="8"/>
      <c r="N203" s="8"/>
      <c r="O203" s="8"/>
      <c r="P203" s="8"/>
      <c r="Q203" s="8"/>
      <c r="R203" s="8"/>
      <c r="S203" s="8"/>
      <c r="T203" s="8"/>
      <c r="U203" s="8"/>
      <c r="V203" s="8"/>
      <c r="W203" s="8"/>
      <c r="X203" s="5"/>
    </row>
    <row r="204" spans="1:24" ht="18" thickBot="1" x14ac:dyDescent="0.35">
      <c r="A204" s="101"/>
      <c r="B204" s="102" t="str">
        <f>B139</f>
        <v>PM14 INVESTOR REPORT QUARTER ENDING FEBRUARY 2008</v>
      </c>
      <c r="C204" s="176"/>
      <c r="D204" s="176"/>
      <c r="E204" s="176"/>
      <c r="F204" s="176"/>
      <c r="G204" s="176"/>
      <c r="H204" s="176"/>
      <c r="I204" s="176"/>
      <c r="J204" s="176"/>
      <c r="K204" s="176"/>
      <c r="L204" s="176"/>
      <c r="M204" s="176"/>
      <c r="N204" s="176"/>
      <c r="O204" s="176"/>
      <c r="P204" s="176"/>
      <c r="Q204" s="176"/>
      <c r="R204" s="176"/>
      <c r="S204" s="176"/>
      <c r="T204" s="176"/>
      <c r="U204" s="176"/>
      <c r="V204" s="176"/>
      <c r="W204" s="177"/>
      <c r="X204" s="5"/>
    </row>
    <row r="205" spans="1:24" ht="15.6" x14ac:dyDescent="0.3">
      <c r="A205" s="67"/>
      <c r="B205" s="60" t="s">
        <v>70</v>
      </c>
      <c r="C205" s="68"/>
      <c r="D205" s="68"/>
      <c r="E205" s="68"/>
      <c r="F205" s="68"/>
      <c r="G205" s="69"/>
      <c r="H205" s="69"/>
      <c r="I205" s="69"/>
      <c r="J205" s="69"/>
      <c r="K205" s="69"/>
      <c r="L205" s="69"/>
      <c r="M205" s="69"/>
      <c r="N205" s="69"/>
      <c r="O205" s="69"/>
      <c r="P205" s="69"/>
      <c r="Q205" s="69"/>
      <c r="R205" s="69"/>
      <c r="S205" s="69"/>
      <c r="T205" s="70">
        <v>39507</v>
      </c>
      <c r="U205" s="4"/>
      <c r="V205" s="4"/>
      <c r="W205" s="4"/>
      <c r="X205" s="5"/>
    </row>
    <row r="206" spans="1:24" ht="15.6" x14ac:dyDescent="0.3">
      <c r="A206" s="71"/>
      <c r="B206" s="72"/>
      <c r="C206" s="73"/>
      <c r="D206" s="73"/>
      <c r="E206" s="73"/>
      <c r="F206" s="73"/>
      <c r="G206" s="74"/>
      <c r="H206" s="74"/>
      <c r="I206" s="74"/>
      <c r="J206" s="74"/>
      <c r="K206" s="74"/>
      <c r="L206" s="74"/>
      <c r="M206" s="74"/>
      <c r="N206" s="74"/>
      <c r="O206" s="74"/>
      <c r="P206" s="74"/>
      <c r="Q206" s="74"/>
      <c r="R206" s="74"/>
      <c r="S206" s="74"/>
      <c r="T206" s="74"/>
      <c r="U206" s="8"/>
      <c r="V206" s="8"/>
      <c r="W206" s="8"/>
      <c r="X206" s="5"/>
    </row>
    <row r="207" spans="1:24" ht="15.6" x14ac:dyDescent="0.3">
      <c r="A207" s="75"/>
      <c r="B207" s="76" t="s">
        <v>71</v>
      </c>
      <c r="C207" s="77"/>
      <c r="D207" s="77"/>
      <c r="E207" s="77"/>
      <c r="F207" s="77"/>
      <c r="G207" s="64"/>
      <c r="H207" s="64"/>
      <c r="I207" s="64"/>
      <c r="J207" s="64"/>
      <c r="K207" s="64"/>
      <c r="L207" s="64"/>
      <c r="M207" s="64"/>
      <c r="N207" s="64"/>
      <c r="O207" s="64"/>
      <c r="P207" s="64"/>
      <c r="Q207" s="64"/>
      <c r="R207" s="64"/>
      <c r="S207" s="64"/>
      <c r="T207" s="78">
        <v>5.2819999999999999E-2</v>
      </c>
      <c r="U207" s="25"/>
      <c r="V207" s="25"/>
      <c r="W207" s="25"/>
      <c r="X207" s="5"/>
    </row>
    <row r="208" spans="1:24" ht="15.6" x14ac:dyDescent="0.3">
      <c r="A208" s="75"/>
      <c r="B208" s="76" t="s">
        <v>151</v>
      </c>
      <c r="C208" s="77"/>
      <c r="D208" s="77"/>
      <c r="E208" s="77"/>
      <c r="F208" s="77"/>
      <c r="G208" s="64"/>
      <c r="H208" s="64"/>
      <c r="I208" s="64"/>
      <c r="J208" s="64"/>
      <c r="K208" s="64"/>
      <c r="L208" s="64"/>
      <c r="M208" s="64"/>
      <c r="N208" s="64"/>
      <c r="O208" s="64"/>
      <c r="P208" s="64"/>
      <c r="Q208" s="64"/>
      <c r="R208" s="64"/>
      <c r="S208" s="64"/>
      <c r="T208" s="39">
        <v>5.7799999999999997E-2</v>
      </c>
      <c r="U208" s="25"/>
      <c r="V208" s="25"/>
      <c r="W208" s="25"/>
      <c r="X208" s="5"/>
    </row>
    <row r="209" spans="1:24" ht="15.6" x14ac:dyDescent="0.3">
      <c r="A209" s="75"/>
      <c r="B209" s="76" t="s">
        <v>72</v>
      </c>
      <c r="C209" s="77"/>
      <c r="D209" s="77"/>
      <c r="E209" s="77"/>
      <c r="F209" s="77"/>
      <c r="G209" s="64"/>
      <c r="H209" s="64"/>
      <c r="I209" s="64"/>
      <c r="J209" s="64"/>
      <c r="K209" s="64"/>
      <c r="L209" s="64"/>
      <c r="M209" s="64"/>
      <c r="N209" s="64"/>
      <c r="O209" s="64"/>
      <c r="P209" s="64"/>
      <c r="Q209" s="64"/>
      <c r="R209" s="64"/>
      <c r="S209" s="64"/>
      <c r="T209" s="78">
        <f>T207-T208</f>
        <v>-4.9799999999999983E-3</v>
      </c>
      <c r="U209" s="25"/>
      <c r="V209" s="25"/>
      <c r="W209" s="25"/>
      <c r="X209" s="5"/>
    </row>
    <row r="210" spans="1:24" ht="15.6" x14ac:dyDescent="0.3">
      <c r="A210" s="75"/>
      <c r="B210" s="76" t="s">
        <v>73</v>
      </c>
      <c r="C210" s="77"/>
      <c r="D210" s="77"/>
      <c r="E210" s="77"/>
      <c r="F210" s="77"/>
      <c r="G210" s="64"/>
      <c r="H210" s="64"/>
      <c r="I210" s="64"/>
      <c r="J210" s="64"/>
      <c r="K210" s="64"/>
      <c r="L210" s="64"/>
      <c r="M210" s="64"/>
      <c r="N210" s="64"/>
      <c r="O210" s="64"/>
      <c r="P210" s="64"/>
      <c r="Q210" s="64"/>
      <c r="R210" s="64"/>
      <c r="S210" s="64"/>
      <c r="T210" s="78">
        <v>5.4829999999999997E-2</v>
      </c>
      <c r="U210" s="25"/>
      <c r="V210" s="25"/>
      <c r="W210" s="25"/>
      <c r="X210" s="5"/>
    </row>
    <row r="211" spans="1:24" ht="15.6" x14ac:dyDescent="0.3">
      <c r="A211" s="75"/>
      <c r="B211" s="76" t="s">
        <v>219</v>
      </c>
      <c r="C211" s="77"/>
      <c r="D211" s="77"/>
      <c r="E211" s="77"/>
      <c r="F211" s="77"/>
      <c r="G211" s="64"/>
      <c r="H211" s="64"/>
      <c r="I211" s="64"/>
      <c r="J211" s="64"/>
      <c r="K211" s="64"/>
      <c r="L211" s="64"/>
      <c r="M211" s="64"/>
      <c r="N211" s="64"/>
      <c r="O211" s="64"/>
      <c r="P211" s="64"/>
      <c r="Q211" s="64"/>
      <c r="R211" s="64"/>
      <c r="S211" s="64"/>
      <c r="T211" s="78">
        <f>V43</f>
        <v>6.5879244056852748E-2</v>
      </c>
      <c r="U211" s="25"/>
      <c r="V211" s="25"/>
      <c r="W211" s="25"/>
      <c r="X211" s="5"/>
    </row>
    <row r="212" spans="1:24" ht="15.6" x14ac:dyDescent="0.3">
      <c r="A212" s="75"/>
      <c r="B212" s="76" t="s">
        <v>74</v>
      </c>
      <c r="C212" s="77"/>
      <c r="D212" s="77"/>
      <c r="E212" s="77"/>
      <c r="F212" s="77"/>
      <c r="G212" s="64"/>
      <c r="H212" s="64"/>
      <c r="I212" s="64"/>
      <c r="J212" s="64"/>
      <c r="K212" s="64"/>
      <c r="L212" s="64"/>
      <c r="M212" s="64"/>
      <c r="N212" s="64"/>
      <c r="O212" s="64"/>
      <c r="P212" s="64"/>
      <c r="Q212" s="64"/>
      <c r="R212" s="64"/>
      <c r="S212" s="64"/>
      <c r="T212" s="78">
        <f>T210-T211</f>
        <v>-1.1049244056852751E-2</v>
      </c>
      <c r="U212" s="25"/>
      <c r="V212" s="25"/>
      <c r="W212" s="25"/>
      <c r="X212" s="5"/>
    </row>
    <row r="213" spans="1:24" ht="15.6" x14ac:dyDescent="0.3">
      <c r="A213" s="75"/>
      <c r="B213" s="76" t="s">
        <v>242</v>
      </c>
      <c r="C213" s="77"/>
      <c r="D213" s="77"/>
      <c r="E213" s="77"/>
      <c r="F213" s="77"/>
      <c r="G213" s="64"/>
      <c r="H213" s="64"/>
      <c r="I213" s="64"/>
      <c r="J213" s="64"/>
      <c r="K213" s="64"/>
      <c r="L213" s="64"/>
      <c r="M213" s="64"/>
      <c r="N213" s="64"/>
      <c r="O213" s="64"/>
      <c r="P213" s="64"/>
      <c r="Q213" s="64"/>
      <c r="R213" s="64"/>
      <c r="S213" s="64"/>
      <c r="T213" s="78">
        <f>V102/N72</f>
        <v>1.9866521806611828E-2</v>
      </c>
      <c r="U213" s="25"/>
      <c r="V213" s="25"/>
      <c r="W213" s="25"/>
      <c r="X213" s="5"/>
    </row>
    <row r="214" spans="1:24" ht="15.6" x14ac:dyDescent="0.3">
      <c r="A214" s="75"/>
      <c r="B214" s="76" t="s">
        <v>208</v>
      </c>
      <c r="C214" s="77"/>
      <c r="D214" s="77"/>
      <c r="E214" s="77"/>
      <c r="F214" s="77"/>
      <c r="G214" s="64"/>
      <c r="H214" s="64"/>
      <c r="I214" s="64"/>
      <c r="J214" s="64"/>
      <c r="K214" s="64"/>
      <c r="L214" s="64"/>
      <c r="M214" s="64"/>
      <c r="N214" s="64"/>
      <c r="O214" s="64"/>
      <c r="P214" s="64"/>
      <c r="Q214" s="64"/>
      <c r="R214" s="64"/>
      <c r="S214" s="64"/>
      <c r="T214" s="129">
        <v>51014</v>
      </c>
      <c r="U214" s="25"/>
      <c r="V214" s="25"/>
      <c r="W214" s="25"/>
      <c r="X214" s="5"/>
    </row>
    <row r="215" spans="1:24" ht="15.6" x14ac:dyDescent="0.3">
      <c r="A215" s="75"/>
      <c r="B215" s="76" t="s">
        <v>209</v>
      </c>
      <c r="C215" s="77"/>
      <c r="D215" s="77"/>
      <c r="E215" s="77"/>
      <c r="F215" s="77"/>
      <c r="G215" s="64"/>
      <c r="H215" s="64"/>
      <c r="I215" s="64"/>
      <c r="J215" s="64"/>
      <c r="K215" s="64"/>
      <c r="L215" s="64"/>
      <c r="M215" s="64"/>
      <c r="N215" s="64"/>
      <c r="O215" s="64"/>
      <c r="P215" s="64"/>
      <c r="Q215" s="64"/>
      <c r="R215" s="64"/>
      <c r="S215" s="64"/>
      <c r="T215" s="129">
        <v>51014</v>
      </c>
      <c r="U215" s="25"/>
      <c r="V215" s="25"/>
      <c r="W215" s="25"/>
      <c r="X215" s="5"/>
    </row>
    <row r="216" spans="1:24" ht="15.6" x14ac:dyDescent="0.3">
      <c r="A216" s="75"/>
      <c r="B216" s="76" t="s">
        <v>210</v>
      </c>
      <c r="C216" s="77"/>
      <c r="D216" s="77"/>
      <c r="E216" s="77"/>
      <c r="F216" s="77"/>
      <c r="G216" s="64"/>
      <c r="H216" s="64"/>
      <c r="I216" s="64"/>
      <c r="J216" s="64"/>
      <c r="K216" s="64"/>
      <c r="L216" s="64"/>
      <c r="M216" s="64"/>
      <c r="N216" s="64"/>
      <c r="O216" s="64"/>
      <c r="P216" s="64"/>
      <c r="Q216" s="64"/>
      <c r="R216" s="64"/>
      <c r="S216" s="64"/>
      <c r="T216" s="129">
        <v>51014</v>
      </c>
      <c r="U216" s="25"/>
      <c r="V216" s="25"/>
      <c r="W216" s="25"/>
      <c r="X216" s="5"/>
    </row>
    <row r="217" spans="1:24" ht="15.6" x14ac:dyDescent="0.3">
      <c r="A217" s="75"/>
      <c r="B217" s="76" t="s">
        <v>75</v>
      </c>
      <c r="C217" s="77"/>
      <c r="D217" s="77"/>
      <c r="E217" s="77"/>
      <c r="F217" s="77"/>
      <c r="G217" s="64"/>
      <c r="H217" s="64"/>
      <c r="I217" s="64"/>
      <c r="J217" s="64"/>
      <c r="K217" s="64"/>
      <c r="L217" s="64"/>
      <c r="M217" s="64"/>
      <c r="N217" s="64"/>
      <c r="O217" s="64"/>
      <c r="P217" s="64"/>
      <c r="Q217" s="64"/>
      <c r="R217" s="64"/>
      <c r="S217" s="64"/>
      <c r="T217" s="133">
        <v>20.66</v>
      </c>
      <c r="U217" s="25" t="s">
        <v>110</v>
      </c>
      <c r="V217" s="25"/>
      <c r="W217" s="25"/>
      <c r="X217" s="5"/>
    </row>
    <row r="218" spans="1:24" ht="15.6" x14ac:dyDescent="0.3">
      <c r="A218" s="75"/>
      <c r="B218" s="76" t="s">
        <v>76</v>
      </c>
      <c r="C218" s="77"/>
      <c r="D218" s="77"/>
      <c r="E218" s="77"/>
      <c r="F218" s="77"/>
      <c r="G218" s="64"/>
      <c r="H218" s="64"/>
      <c r="I218" s="64"/>
      <c r="J218" s="64"/>
      <c r="K218" s="64"/>
      <c r="L218" s="64"/>
      <c r="M218" s="64"/>
      <c r="N218" s="64"/>
      <c r="O218" s="64"/>
      <c r="P218" s="64"/>
      <c r="Q218" s="64"/>
      <c r="R218" s="64"/>
      <c r="S218" s="64"/>
      <c r="T218" s="133">
        <v>20.329999999999998</v>
      </c>
      <c r="U218" s="25" t="s">
        <v>110</v>
      </c>
      <c r="V218" s="25"/>
      <c r="W218" s="25"/>
      <c r="X218" s="5"/>
    </row>
    <row r="219" spans="1:24" ht="15.6" x14ac:dyDescent="0.3">
      <c r="A219" s="75"/>
      <c r="B219" s="76" t="s">
        <v>77</v>
      </c>
      <c r="C219" s="77"/>
      <c r="D219" s="77"/>
      <c r="E219" s="77"/>
      <c r="F219" s="77"/>
      <c r="G219" s="64"/>
      <c r="H219" s="64"/>
      <c r="I219" s="64"/>
      <c r="J219" s="64"/>
      <c r="K219" s="64"/>
      <c r="L219" s="64"/>
      <c r="M219" s="64"/>
      <c r="N219" s="64"/>
      <c r="O219" s="64"/>
      <c r="P219" s="64"/>
      <c r="Q219" s="64"/>
      <c r="R219" s="64"/>
      <c r="S219" s="64"/>
      <c r="T219" s="78">
        <f>+P69/N69</f>
        <v>2.4440284029178954E-2</v>
      </c>
      <c r="U219" s="25"/>
      <c r="V219" s="25"/>
      <c r="W219" s="25"/>
      <c r="X219" s="5"/>
    </row>
    <row r="220" spans="1:24" ht="15.6" x14ac:dyDescent="0.3">
      <c r="A220" s="75"/>
      <c r="B220" s="76" t="s">
        <v>78</v>
      </c>
      <c r="C220" s="77"/>
      <c r="D220" s="77"/>
      <c r="E220" s="77"/>
      <c r="F220" s="77"/>
      <c r="G220" s="64"/>
      <c r="H220" s="64"/>
      <c r="I220" s="64"/>
      <c r="J220" s="64"/>
      <c r="K220" s="64"/>
      <c r="L220" s="64"/>
      <c r="M220" s="64"/>
      <c r="N220" s="64"/>
      <c r="O220" s="64"/>
      <c r="P220" s="64"/>
      <c r="Q220" s="64"/>
      <c r="R220" s="64"/>
      <c r="S220" s="64"/>
      <c r="T220" s="78">
        <v>7.6799999999999993E-2</v>
      </c>
      <c r="U220" s="25"/>
      <c r="V220" s="25"/>
      <c r="W220" s="25"/>
      <c r="X220" s="5"/>
    </row>
    <row r="221" spans="1:24" ht="15.6" x14ac:dyDescent="0.3">
      <c r="A221" s="75"/>
      <c r="B221" s="76"/>
      <c r="C221" s="76"/>
      <c r="D221" s="76"/>
      <c r="E221" s="76"/>
      <c r="F221" s="76"/>
      <c r="G221" s="25"/>
      <c r="H221" s="25"/>
      <c r="I221" s="25"/>
      <c r="J221" s="25"/>
      <c r="K221" s="25"/>
      <c r="L221" s="25"/>
      <c r="M221" s="25"/>
      <c r="N221" s="25"/>
      <c r="O221" s="25"/>
      <c r="P221" s="25"/>
      <c r="Q221" s="25"/>
      <c r="R221" s="25"/>
      <c r="S221" s="25"/>
      <c r="T221" s="61"/>
      <c r="U221" s="25"/>
      <c r="V221" s="79"/>
      <c r="W221" s="25"/>
      <c r="X221" s="5"/>
    </row>
    <row r="222" spans="1:24" ht="15.6" x14ac:dyDescent="0.3">
      <c r="A222" s="80"/>
      <c r="B222" s="14" t="s">
        <v>79</v>
      </c>
      <c r="C222" s="81"/>
      <c r="D222" s="81"/>
      <c r="E222" s="81"/>
      <c r="F222" s="82"/>
      <c r="G222" s="81"/>
      <c r="H222" s="17"/>
      <c r="I222" s="17"/>
      <c r="J222" s="17"/>
      <c r="K222" s="17"/>
      <c r="L222" s="17"/>
      <c r="M222" s="17"/>
      <c r="N222" s="17"/>
      <c r="O222" s="17"/>
      <c r="P222" s="17"/>
      <c r="Q222" s="17"/>
      <c r="R222" s="17"/>
      <c r="S222" s="17" t="s">
        <v>102</v>
      </c>
      <c r="T222" s="83" t="s">
        <v>108</v>
      </c>
      <c r="U222" s="8"/>
      <c r="V222" s="8"/>
      <c r="W222" s="8"/>
      <c r="X222" s="5"/>
    </row>
    <row r="223" spans="1:24" ht="15.6" x14ac:dyDescent="0.3">
      <c r="A223" s="84"/>
      <c r="B223" s="76" t="s">
        <v>80</v>
      </c>
      <c r="C223" s="54"/>
      <c r="D223" s="54"/>
      <c r="E223" s="54"/>
      <c r="F223" s="25"/>
      <c r="G223" s="25"/>
      <c r="H223" s="30"/>
      <c r="I223" s="30"/>
      <c r="J223" s="30"/>
      <c r="K223" s="30"/>
      <c r="L223" s="30"/>
      <c r="M223" s="30"/>
      <c r="N223" s="30"/>
      <c r="O223" s="30"/>
      <c r="P223" s="30"/>
      <c r="Q223" s="30"/>
      <c r="R223" s="30"/>
      <c r="S223" s="30">
        <v>1</v>
      </c>
      <c r="T223" s="85">
        <v>121</v>
      </c>
      <c r="U223" s="25"/>
      <c r="V223" s="79"/>
      <c r="W223" s="86"/>
      <c r="X223" s="5"/>
    </row>
    <row r="224" spans="1:24" ht="15.6" x14ac:dyDescent="0.3">
      <c r="A224" s="84"/>
      <c r="B224" s="76" t="s">
        <v>145</v>
      </c>
      <c r="C224" s="54"/>
      <c r="D224" s="54"/>
      <c r="E224" s="54"/>
      <c r="F224" s="25"/>
      <c r="G224" s="25"/>
      <c r="H224" s="30"/>
      <c r="I224" s="30"/>
      <c r="J224" s="30"/>
      <c r="K224" s="30"/>
      <c r="L224" s="30"/>
      <c r="M224" s="30"/>
      <c r="N224" s="30"/>
      <c r="O224" s="30"/>
      <c r="P224" s="30"/>
      <c r="Q224" s="30"/>
      <c r="R224" s="30"/>
      <c r="S224" s="150">
        <f>+R264</f>
        <v>35</v>
      </c>
      <c r="T224" s="85">
        <f>+T264</f>
        <v>4969</v>
      </c>
      <c r="U224" s="25"/>
      <c r="V224" s="79"/>
      <c r="W224" s="86"/>
      <c r="X224" s="5"/>
    </row>
    <row r="225" spans="1:24" ht="15.6" x14ac:dyDescent="0.3">
      <c r="A225" s="84"/>
      <c r="B225" s="76" t="s">
        <v>81</v>
      </c>
      <c r="C225" s="54"/>
      <c r="D225" s="54"/>
      <c r="E225" s="54"/>
      <c r="F225" s="25"/>
      <c r="G225" s="25"/>
      <c r="H225" s="30"/>
      <c r="I225" s="30"/>
      <c r="J225" s="30"/>
      <c r="K225" s="30"/>
      <c r="L225" s="30"/>
      <c r="M225" s="30"/>
      <c r="N225" s="30"/>
      <c r="O225" s="30"/>
      <c r="P225" s="30"/>
      <c r="Q225" s="30"/>
      <c r="R225" s="30"/>
      <c r="S225" s="30">
        <v>2</v>
      </c>
      <c r="T225" s="85">
        <v>238</v>
      </c>
      <c r="U225" s="25"/>
      <c r="V225" s="79"/>
      <c r="W225" s="86"/>
      <c r="X225" s="5"/>
    </row>
    <row r="226" spans="1:24" ht="15.6" x14ac:dyDescent="0.3">
      <c r="A226" s="84"/>
      <c r="B226" s="122" t="s">
        <v>82</v>
      </c>
      <c r="C226" s="54"/>
      <c r="D226" s="54"/>
      <c r="E226" s="54"/>
      <c r="F226" s="25"/>
      <c r="G226" s="25"/>
      <c r="H226" s="25"/>
      <c r="I226" s="25"/>
      <c r="J226" s="25"/>
      <c r="K226" s="25"/>
      <c r="L226" s="25"/>
      <c r="M226" s="25"/>
      <c r="N226" s="25"/>
      <c r="O226" s="25"/>
      <c r="P226" s="25"/>
      <c r="Q226" s="25"/>
      <c r="R226" s="25"/>
      <c r="S226" s="25"/>
      <c r="T226" s="85">
        <v>0</v>
      </c>
      <c r="U226" s="25"/>
      <c r="V226" s="79"/>
      <c r="W226" s="86"/>
      <c r="X226" s="5"/>
    </row>
    <row r="227" spans="1:24" ht="15.6" x14ac:dyDescent="0.3">
      <c r="A227" s="84"/>
      <c r="B227" s="122" t="s">
        <v>243</v>
      </c>
      <c r="C227" s="54"/>
      <c r="D227" s="54"/>
      <c r="E227" s="54"/>
      <c r="F227" s="25"/>
      <c r="G227" s="25"/>
      <c r="H227" s="25"/>
      <c r="I227" s="25"/>
      <c r="J227" s="25"/>
      <c r="K227" s="25"/>
      <c r="L227" s="25"/>
      <c r="M227" s="25"/>
      <c r="N227" s="25"/>
      <c r="O227" s="25"/>
      <c r="P227" s="25"/>
      <c r="Q227" s="25"/>
      <c r="R227" s="25"/>
      <c r="S227" s="25"/>
      <c r="T227" s="85">
        <f>+N82</f>
        <v>0</v>
      </c>
      <c r="U227" s="25"/>
      <c r="V227" s="79"/>
      <c r="W227" s="86"/>
      <c r="X227" s="5"/>
    </row>
    <row r="228" spans="1:24" ht="15.6" x14ac:dyDescent="0.3">
      <c r="A228" s="87"/>
      <c r="B228" s="122" t="s">
        <v>83</v>
      </c>
      <c r="C228" s="76"/>
      <c r="D228" s="76"/>
      <c r="E228" s="76"/>
      <c r="F228" s="76"/>
      <c r="G228" s="25"/>
      <c r="H228" s="25"/>
      <c r="I228" s="25"/>
      <c r="J228" s="25"/>
      <c r="K228" s="25"/>
      <c r="L228" s="25"/>
      <c r="M228" s="25"/>
      <c r="N228" s="25"/>
      <c r="O228" s="25"/>
      <c r="P228" s="25"/>
      <c r="Q228" s="25"/>
      <c r="R228" s="25"/>
      <c r="S228" s="25"/>
      <c r="T228" s="85"/>
      <c r="U228" s="25"/>
      <c r="V228" s="79"/>
      <c r="W228" s="88"/>
      <c r="X228" s="5"/>
    </row>
    <row r="229" spans="1:24" ht="15.6" x14ac:dyDescent="0.3">
      <c r="A229" s="87"/>
      <c r="B229" s="131" t="s">
        <v>84</v>
      </c>
      <c r="C229" s="76"/>
      <c r="D229" s="76"/>
      <c r="E229" s="76"/>
      <c r="F229" s="76"/>
      <c r="G229" s="25"/>
      <c r="H229" s="25"/>
      <c r="I229" s="25"/>
      <c r="J229" s="25"/>
      <c r="K229" s="25"/>
      <c r="L229" s="25"/>
      <c r="M229" s="25"/>
      <c r="N229" s="25"/>
      <c r="O229" s="25"/>
      <c r="P229" s="25"/>
      <c r="Q229" s="25"/>
      <c r="R229" s="25"/>
      <c r="S229" s="30"/>
      <c r="T229" s="85">
        <f>V168</f>
        <v>8</v>
      </c>
      <c r="U229" s="25"/>
      <c r="V229" s="79"/>
      <c r="W229" s="88"/>
      <c r="X229" s="5"/>
    </row>
    <row r="230" spans="1:24" ht="15.6" x14ac:dyDescent="0.3">
      <c r="A230" s="84"/>
      <c r="B230" s="76" t="s">
        <v>85</v>
      </c>
      <c r="C230" s="54"/>
      <c r="D230" s="54"/>
      <c r="E230" s="54"/>
      <c r="F230" s="54"/>
      <c r="G230" s="25"/>
      <c r="H230" s="25"/>
      <c r="I230" s="25"/>
      <c r="J230" s="25"/>
      <c r="K230" s="25"/>
      <c r="L230" s="25"/>
      <c r="M230" s="25"/>
      <c r="N230" s="25"/>
      <c r="O230" s="25"/>
      <c r="P230" s="25"/>
      <c r="Q230" s="25"/>
      <c r="R230" s="25"/>
      <c r="S230" s="30"/>
      <c r="T230" s="85">
        <f>'Nov 07'!T230+T229</f>
        <v>8</v>
      </c>
      <c r="U230" s="25"/>
      <c r="V230" s="79"/>
      <c r="W230" s="88"/>
      <c r="X230" s="5"/>
    </row>
    <row r="231" spans="1:24" ht="15.6" x14ac:dyDescent="0.3">
      <c r="A231" s="87"/>
      <c r="B231" s="122" t="s">
        <v>295</v>
      </c>
      <c r="C231" s="76"/>
      <c r="D231" s="76"/>
      <c r="E231" s="76"/>
      <c r="F231" s="76"/>
      <c r="G231" s="25"/>
      <c r="H231" s="25"/>
      <c r="I231" s="25"/>
      <c r="J231" s="25"/>
      <c r="K231" s="25"/>
      <c r="L231" s="25"/>
      <c r="M231" s="25"/>
      <c r="N231" s="25"/>
      <c r="O231" s="25"/>
      <c r="P231" s="25"/>
      <c r="Q231" s="25"/>
      <c r="R231" s="25"/>
      <c r="S231" s="30"/>
      <c r="T231" s="85"/>
      <c r="U231" s="25"/>
      <c r="V231" s="79"/>
      <c r="W231" s="88"/>
      <c r="X231" s="5"/>
    </row>
    <row r="232" spans="1:24" ht="15.6" x14ac:dyDescent="0.3">
      <c r="A232" s="87"/>
      <c r="B232" s="76" t="s">
        <v>291</v>
      </c>
      <c r="C232" s="76"/>
      <c r="D232" s="76"/>
      <c r="E232" s="76"/>
      <c r="F232" s="76"/>
      <c r="G232" s="25"/>
      <c r="H232" s="25"/>
      <c r="I232" s="25"/>
      <c r="J232" s="25"/>
      <c r="K232" s="25"/>
      <c r="L232" s="25"/>
      <c r="M232" s="25"/>
      <c r="N232" s="25"/>
      <c r="O232" s="25"/>
      <c r="P232" s="25"/>
      <c r="Q232" s="25"/>
      <c r="R232" s="25"/>
      <c r="S232" s="30">
        <v>0</v>
      </c>
      <c r="T232" s="85">
        <v>0</v>
      </c>
      <c r="U232" s="25"/>
      <c r="V232" s="79"/>
      <c r="W232" s="88"/>
      <c r="X232" s="5"/>
    </row>
    <row r="233" spans="1:24" ht="15.6" x14ac:dyDescent="0.3">
      <c r="A233" s="84"/>
      <c r="B233" s="76" t="s">
        <v>86</v>
      </c>
      <c r="C233" s="89"/>
      <c r="D233" s="89"/>
      <c r="E233" s="89"/>
      <c r="F233" s="90"/>
      <c r="G233" s="25"/>
      <c r="H233" s="25"/>
      <c r="I233" s="25"/>
      <c r="J233" s="25"/>
      <c r="K233" s="25"/>
      <c r="L233" s="25"/>
      <c r="M233" s="25"/>
      <c r="N233" s="25"/>
      <c r="O233" s="25"/>
      <c r="P233" s="25"/>
      <c r="Q233" s="25"/>
      <c r="R233" s="25"/>
      <c r="S233" s="25"/>
      <c r="T233" s="62">
        <v>0</v>
      </c>
      <c r="U233" s="25"/>
      <c r="V233" s="79"/>
      <c r="W233" s="88"/>
      <c r="X233" s="5"/>
    </row>
    <row r="234" spans="1:24" ht="15.6" x14ac:dyDescent="0.3">
      <c r="A234" s="84"/>
      <c r="B234" s="76" t="s">
        <v>87</v>
      </c>
      <c r="C234" s="89"/>
      <c r="D234" s="89"/>
      <c r="E234" s="89"/>
      <c r="F234" s="90"/>
      <c r="G234" s="25"/>
      <c r="H234" s="25"/>
      <c r="I234" s="25"/>
      <c r="J234" s="25"/>
      <c r="K234" s="25"/>
      <c r="L234" s="25"/>
      <c r="M234" s="25"/>
      <c r="N234" s="25"/>
      <c r="O234" s="25"/>
      <c r="P234" s="25"/>
      <c r="Q234" s="25"/>
      <c r="R234" s="25"/>
      <c r="S234" s="25"/>
      <c r="T234" s="62">
        <v>0</v>
      </c>
      <c r="U234" s="25"/>
      <c r="V234" s="79"/>
      <c r="W234" s="88"/>
      <c r="X234" s="5"/>
    </row>
    <row r="235" spans="1:24" ht="15.6" x14ac:dyDescent="0.3">
      <c r="A235" s="84"/>
      <c r="B235" s="122" t="s">
        <v>217</v>
      </c>
      <c r="C235" s="89"/>
      <c r="D235" s="89"/>
      <c r="E235" s="89"/>
      <c r="F235" s="90"/>
      <c r="G235" s="25"/>
      <c r="H235" s="25"/>
      <c r="I235" s="25"/>
      <c r="J235" s="25"/>
      <c r="K235" s="25"/>
      <c r="L235" s="25"/>
      <c r="M235" s="25"/>
      <c r="N235" s="25"/>
      <c r="O235" s="25"/>
      <c r="P235" s="25"/>
      <c r="Q235" s="25"/>
      <c r="R235" s="25"/>
      <c r="S235" s="25"/>
      <c r="T235" s="91"/>
      <c r="U235" s="25"/>
      <c r="V235" s="79"/>
      <c r="W235" s="88"/>
      <c r="X235" s="5"/>
    </row>
    <row r="236" spans="1:24" ht="15.6" x14ac:dyDescent="0.3">
      <c r="A236" s="84"/>
      <c r="B236" s="76" t="s">
        <v>291</v>
      </c>
      <c r="C236" s="89"/>
      <c r="D236" s="89"/>
      <c r="E236" s="89"/>
      <c r="F236" s="90"/>
      <c r="G236" s="25"/>
      <c r="H236" s="25"/>
      <c r="I236" s="25"/>
      <c r="J236" s="25"/>
      <c r="K236" s="25"/>
      <c r="L236" s="25"/>
      <c r="M236" s="25"/>
      <c r="N236" s="25"/>
      <c r="O236" s="25"/>
      <c r="P236" s="25"/>
      <c r="Q236" s="25"/>
      <c r="R236" s="25"/>
      <c r="S236" s="30">
        <v>1</v>
      </c>
      <c r="T236" s="85">
        <v>107</v>
      </c>
      <c r="U236" s="25"/>
      <c r="V236" s="79"/>
      <c r="W236" s="88"/>
      <c r="X236" s="5"/>
    </row>
    <row r="237" spans="1:24" ht="15.6" x14ac:dyDescent="0.3">
      <c r="A237" s="84"/>
      <c r="B237" s="76" t="s">
        <v>218</v>
      </c>
      <c r="C237" s="89"/>
      <c r="D237" s="89"/>
      <c r="E237" s="89"/>
      <c r="F237" s="90"/>
      <c r="G237" s="25"/>
      <c r="H237" s="25"/>
      <c r="I237" s="25"/>
      <c r="J237" s="25"/>
      <c r="K237" s="25"/>
      <c r="L237" s="25"/>
      <c r="M237" s="25"/>
      <c r="N237" s="25"/>
      <c r="O237" s="25"/>
      <c r="P237" s="25"/>
      <c r="Q237" s="25"/>
      <c r="R237" s="25"/>
      <c r="S237" s="25"/>
      <c r="T237" s="62">
        <v>5</v>
      </c>
      <c r="U237" s="25"/>
      <c r="V237" s="79"/>
      <c r="W237" s="88"/>
      <c r="X237" s="5"/>
    </row>
    <row r="238" spans="1:24" ht="15.6" x14ac:dyDescent="0.3">
      <c r="A238" s="84"/>
      <c r="B238" s="76"/>
      <c r="C238" s="89"/>
      <c r="D238" s="89"/>
      <c r="E238" s="89"/>
      <c r="F238" s="90"/>
      <c r="G238" s="25"/>
      <c r="H238" s="25"/>
      <c r="I238" s="25"/>
      <c r="J238" s="25"/>
      <c r="K238" s="25"/>
      <c r="L238" s="25"/>
      <c r="M238" s="25"/>
      <c r="N238" s="25"/>
      <c r="O238" s="25"/>
      <c r="P238" s="25"/>
      <c r="Q238" s="25"/>
      <c r="R238" s="25"/>
      <c r="S238" s="25"/>
      <c r="T238" s="91"/>
      <c r="U238" s="25"/>
      <c r="V238" s="79"/>
      <c r="W238" s="88"/>
      <c r="X238" s="5"/>
    </row>
    <row r="239" spans="1:24" ht="15.6" x14ac:dyDescent="0.3">
      <c r="A239" s="84"/>
      <c r="B239" s="76"/>
      <c r="C239" s="89"/>
      <c r="D239" s="89"/>
      <c r="E239" s="89"/>
      <c r="F239" s="90"/>
      <c r="G239" s="25"/>
      <c r="H239" s="25"/>
      <c r="I239" s="25"/>
      <c r="J239" s="25"/>
      <c r="K239" s="25"/>
      <c r="L239" s="25"/>
      <c r="M239" s="25"/>
      <c r="N239" s="25"/>
      <c r="O239" s="25"/>
      <c r="P239" s="25"/>
      <c r="Q239" s="25"/>
      <c r="R239" s="25"/>
      <c r="S239" s="25"/>
      <c r="T239" s="91"/>
      <c r="U239" s="25"/>
      <c r="V239" s="79"/>
      <c r="W239" s="88"/>
      <c r="X239" s="5"/>
    </row>
    <row r="240" spans="1:24" ht="17.399999999999999" x14ac:dyDescent="0.3">
      <c r="A240" s="84"/>
      <c r="B240" s="147" t="s">
        <v>168</v>
      </c>
      <c r="C240" s="89"/>
      <c r="D240" s="89"/>
      <c r="E240" s="89"/>
      <c r="F240" s="90"/>
      <c r="G240" s="25"/>
      <c r="H240" s="25"/>
      <c r="I240" s="25"/>
      <c r="J240" s="25"/>
      <c r="K240" s="25"/>
      <c r="L240" s="25"/>
      <c r="M240" s="25"/>
      <c r="N240" s="25"/>
      <c r="O240" s="25"/>
      <c r="P240" s="148" t="s">
        <v>167</v>
      </c>
      <c r="Q240" s="25"/>
      <c r="R240" s="25"/>
      <c r="S240" s="25"/>
      <c r="T240" s="91"/>
      <c r="U240" s="25"/>
      <c r="V240" s="79"/>
      <c r="W240" s="88"/>
      <c r="X240" s="5"/>
    </row>
    <row r="241" spans="1:25" ht="15.6" x14ac:dyDescent="0.3">
      <c r="A241" s="84"/>
      <c r="B241" s="76"/>
      <c r="C241" s="89"/>
      <c r="D241" s="89"/>
      <c r="E241" s="89"/>
      <c r="F241" s="90"/>
      <c r="G241" s="25"/>
      <c r="H241" s="25"/>
      <c r="I241" s="25"/>
      <c r="J241" s="25"/>
      <c r="K241" s="25"/>
      <c r="L241" s="25"/>
      <c r="M241" s="25"/>
      <c r="N241" s="25"/>
      <c r="O241" s="25"/>
      <c r="P241" s="25"/>
      <c r="Q241" s="25"/>
      <c r="R241" s="25"/>
      <c r="S241" s="25"/>
      <c r="T241" s="91"/>
      <c r="U241" s="25"/>
      <c r="V241" s="79"/>
      <c r="W241" s="88"/>
      <c r="X241" s="5"/>
    </row>
    <row r="242" spans="1:25" ht="15.6" x14ac:dyDescent="0.3">
      <c r="A242" s="6"/>
      <c r="B242" s="14" t="s">
        <v>162</v>
      </c>
      <c r="C242" s="81"/>
      <c r="D242" s="81"/>
      <c r="E242" s="81"/>
      <c r="F242" s="82"/>
      <c r="G242" s="81"/>
      <c r="H242" s="17"/>
      <c r="I242" s="17"/>
      <c r="J242" s="17"/>
      <c r="K242" s="17"/>
      <c r="L242" s="17"/>
      <c r="M242" s="17"/>
      <c r="N242" s="17"/>
      <c r="O242" s="17"/>
      <c r="P242" s="17"/>
      <c r="Q242" s="17"/>
      <c r="R242" s="83" t="s">
        <v>102</v>
      </c>
      <c r="S242" s="17" t="s">
        <v>103</v>
      </c>
      <c r="T242" s="83" t="s">
        <v>109</v>
      </c>
      <c r="U242" s="17" t="s">
        <v>103</v>
      </c>
      <c r="V242" s="8"/>
      <c r="W242" s="92"/>
      <c r="X242" s="5"/>
    </row>
    <row r="243" spans="1:25" ht="15.6" x14ac:dyDescent="0.3">
      <c r="A243" s="24"/>
      <c r="B243" s="54" t="s">
        <v>88</v>
      </c>
      <c r="C243" s="93"/>
      <c r="D243" s="93"/>
      <c r="E243" s="93"/>
      <c r="F243" s="25"/>
      <c r="G243" s="93"/>
      <c r="H243" s="93"/>
      <c r="I243" s="93"/>
      <c r="J243" s="93"/>
      <c r="K243" s="93"/>
      <c r="L243" s="93"/>
      <c r="M243" s="93"/>
      <c r="N243" s="93"/>
      <c r="O243" s="93"/>
      <c r="P243" s="93"/>
      <c r="Q243" s="93"/>
      <c r="R243" s="54">
        <v>9636</v>
      </c>
      <c r="S243" s="94">
        <f t="shared" ref="S243:S250" si="1">R243/$R$252</f>
        <v>0.99370939465814168</v>
      </c>
      <c r="T243" s="53">
        <v>1396163</v>
      </c>
      <c r="U243" s="132">
        <f t="shared" ref="U243:U250" si="2">T243/$T$252</f>
        <v>0.99336388021259492</v>
      </c>
      <c r="V243" s="79"/>
      <c r="W243" s="88"/>
      <c r="X243" s="5"/>
    </row>
    <row r="244" spans="1:25" ht="15.6" x14ac:dyDescent="0.3">
      <c r="A244" s="24"/>
      <c r="B244" s="54" t="s">
        <v>89</v>
      </c>
      <c r="C244" s="93"/>
      <c r="D244" s="93"/>
      <c r="E244" s="93"/>
      <c r="F244" s="25"/>
      <c r="G244" s="94"/>
      <c r="H244" s="93"/>
      <c r="I244" s="93"/>
      <c r="J244" s="93"/>
      <c r="K244" s="93"/>
      <c r="L244" s="93"/>
      <c r="M244" s="93"/>
      <c r="N244" s="93"/>
      <c r="O244" s="93"/>
      <c r="P244" s="93"/>
      <c r="Q244" s="93"/>
      <c r="R244" s="54">
        <v>42</v>
      </c>
      <c r="S244" s="94">
        <f t="shared" si="1"/>
        <v>4.3312364648860477E-3</v>
      </c>
      <c r="T244" s="53">
        <v>6538</v>
      </c>
      <c r="U244" s="132">
        <f t="shared" si="2"/>
        <v>4.651758461461839E-3</v>
      </c>
      <c r="V244" s="79"/>
      <c r="W244" s="88"/>
      <c r="X244" s="5"/>
      <c r="Y244" s="109"/>
    </row>
    <row r="245" spans="1:25" ht="15.6" x14ac:dyDescent="0.3">
      <c r="A245" s="24"/>
      <c r="B245" s="54" t="s">
        <v>90</v>
      </c>
      <c r="C245" s="93"/>
      <c r="D245" s="93"/>
      <c r="E245" s="93"/>
      <c r="F245" s="25"/>
      <c r="G245" s="94"/>
      <c r="H245" s="93"/>
      <c r="I245" s="93"/>
      <c r="J245" s="93"/>
      <c r="K245" s="93"/>
      <c r="L245" s="93"/>
      <c r="M245" s="93"/>
      <c r="N245" s="93"/>
      <c r="O245" s="93"/>
      <c r="P245" s="93"/>
      <c r="Q245" s="93"/>
      <c r="R245" s="54">
        <v>13</v>
      </c>
      <c r="S245" s="94">
        <f t="shared" si="1"/>
        <v>1.3406208105599671E-3</v>
      </c>
      <c r="T245" s="53">
        <v>2072</v>
      </c>
      <c r="U245" s="132">
        <f t="shared" si="2"/>
        <v>1.474218955666707E-3</v>
      </c>
      <c r="V245" s="79"/>
      <c r="W245" s="88"/>
      <c r="X245" s="5"/>
    </row>
    <row r="246" spans="1:25" ht="15.6" x14ac:dyDescent="0.3">
      <c r="A246" s="24"/>
      <c r="B246" s="54" t="s">
        <v>156</v>
      </c>
      <c r="C246" s="93"/>
      <c r="D246" s="93"/>
      <c r="E246" s="93"/>
      <c r="F246" s="25"/>
      <c r="G246" s="94"/>
      <c r="H246" s="93"/>
      <c r="I246" s="93"/>
      <c r="J246" s="93"/>
      <c r="K246" s="93"/>
      <c r="L246" s="93"/>
      <c r="M246" s="93"/>
      <c r="N246" s="93"/>
      <c r="O246" s="93"/>
      <c r="P246" s="93"/>
      <c r="Q246" s="93"/>
      <c r="R246" s="54">
        <v>1</v>
      </c>
      <c r="S246" s="94">
        <f t="shared" si="1"/>
        <v>1.0312467773538208E-4</v>
      </c>
      <c r="T246" s="53">
        <v>82</v>
      </c>
      <c r="U246" s="132">
        <f t="shared" si="2"/>
        <v>5.8342642067890911E-5</v>
      </c>
      <c r="V246" s="79"/>
      <c r="W246" s="88"/>
      <c r="X246" s="5"/>
      <c r="Y246" s="109"/>
    </row>
    <row r="247" spans="1:25" ht="15.6" x14ac:dyDescent="0.3">
      <c r="A247" s="24"/>
      <c r="B247" s="54" t="s">
        <v>157</v>
      </c>
      <c r="C247" s="93"/>
      <c r="D247" s="93"/>
      <c r="E247" s="93"/>
      <c r="F247" s="25"/>
      <c r="G247" s="94"/>
      <c r="H247" s="93"/>
      <c r="I247" s="93"/>
      <c r="J247" s="93"/>
      <c r="K247" s="93"/>
      <c r="L247" s="93"/>
      <c r="M247" s="93"/>
      <c r="N247" s="93"/>
      <c r="O247" s="93"/>
      <c r="P247" s="93"/>
      <c r="Q247" s="93"/>
      <c r="R247" s="54">
        <v>1</v>
      </c>
      <c r="S247" s="94">
        <f t="shared" si="1"/>
        <v>1.0312467773538208E-4</v>
      </c>
      <c r="T247" s="53">
        <v>163</v>
      </c>
      <c r="U247" s="132">
        <f t="shared" si="2"/>
        <v>1.1597378850080754E-4</v>
      </c>
      <c r="V247" s="79"/>
      <c r="W247" s="88"/>
      <c r="X247" s="5"/>
    </row>
    <row r="248" spans="1:25" ht="15.6" x14ac:dyDescent="0.3">
      <c r="A248" s="24"/>
      <c r="B248" s="54" t="s">
        <v>158</v>
      </c>
      <c r="C248" s="93"/>
      <c r="D248" s="93"/>
      <c r="E248" s="93"/>
      <c r="F248" s="25"/>
      <c r="G248" s="94"/>
      <c r="H248" s="93"/>
      <c r="I248" s="93"/>
      <c r="J248" s="93"/>
      <c r="K248" s="93"/>
      <c r="L248" s="93"/>
      <c r="M248" s="93"/>
      <c r="N248" s="93"/>
      <c r="O248" s="93"/>
      <c r="P248" s="93"/>
      <c r="Q248" s="93"/>
      <c r="R248" s="54">
        <v>4</v>
      </c>
      <c r="S248" s="94">
        <f t="shared" si="1"/>
        <v>4.1249871094152832E-4</v>
      </c>
      <c r="T248" s="53">
        <v>472</v>
      </c>
      <c r="U248" s="132">
        <f t="shared" si="2"/>
        <v>3.3582593970785991E-4</v>
      </c>
      <c r="V248" s="79"/>
      <c r="W248" s="88"/>
      <c r="X248" s="5"/>
      <c r="Y248" s="109"/>
    </row>
    <row r="249" spans="1:25" ht="15.6" x14ac:dyDescent="0.3">
      <c r="A249" s="24"/>
      <c r="B249" s="54" t="s">
        <v>159</v>
      </c>
      <c r="C249" s="93"/>
      <c r="D249" s="93"/>
      <c r="E249" s="93"/>
      <c r="F249" s="25"/>
      <c r="G249" s="94"/>
      <c r="H249" s="93"/>
      <c r="I249" s="93"/>
      <c r="J249" s="93"/>
      <c r="K249" s="93"/>
      <c r="L249" s="93"/>
      <c r="M249" s="93"/>
      <c r="N249" s="93"/>
      <c r="O249" s="93"/>
      <c r="P249" s="93"/>
      <c r="Q249" s="93"/>
      <c r="R249" s="54">
        <v>0</v>
      </c>
      <c r="S249" s="94">
        <f t="shared" si="1"/>
        <v>0</v>
      </c>
      <c r="T249" s="53">
        <v>0</v>
      </c>
      <c r="U249" s="132">
        <f t="shared" si="2"/>
        <v>0</v>
      </c>
      <c r="V249" s="79"/>
      <c r="W249" s="88"/>
      <c r="X249" s="5"/>
    </row>
    <row r="250" spans="1:25" ht="15.6" x14ac:dyDescent="0.3">
      <c r="A250" s="24"/>
      <c r="B250" s="54" t="s">
        <v>160</v>
      </c>
      <c r="C250" s="93"/>
      <c r="D250" s="93"/>
      <c r="E250" s="93"/>
      <c r="F250" s="25"/>
      <c r="G250" s="94"/>
      <c r="H250" s="93"/>
      <c r="I250" s="93"/>
      <c r="J250" s="93"/>
      <c r="K250" s="93"/>
      <c r="L250" s="93"/>
      <c r="M250" s="93"/>
      <c r="N250" s="93"/>
      <c r="O250" s="93"/>
      <c r="P250" s="93"/>
      <c r="Q250" s="93"/>
      <c r="R250" s="54">
        <v>0</v>
      </c>
      <c r="S250" s="94">
        <f t="shared" si="1"/>
        <v>0</v>
      </c>
      <c r="T250" s="53">
        <v>0</v>
      </c>
      <c r="U250" s="132">
        <f t="shared" si="2"/>
        <v>0</v>
      </c>
      <c r="V250" s="79"/>
      <c r="W250" s="88"/>
      <c r="X250" s="5"/>
      <c r="Y250" s="109"/>
    </row>
    <row r="251" spans="1:25" ht="15.6" x14ac:dyDescent="0.3">
      <c r="A251" s="24"/>
      <c r="B251" s="54"/>
      <c r="C251" s="93"/>
      <c r="D251" s="93"/>
      <c r="E251" s="93"/>
      <c r="F251" s="25"/>
      <c r="G251" s="94"/>
      <c r="H251" s="93"/>
      <c r="I251" s="93"/>
      <c r="J251" s="93"/>
      <c r="K251" s="93"/>
      <c r="L251" s="93"/>
      <c r="M251" s="93"/>
      <c r="N251" s="93"/>
      <c r="O251" s="93"/>
      <c r="P251" s="93"/>
      <c r="Q251" s="93"/>
      <c r="R251" s="54"/>
      <c r="S251" s="94"/>
      <c r="T251" s="53"/>
      <c r="U251" s="132"/>
      <c r="V251" s="79"/>
      <c r="W251" s="88"/>
      <c r="X251" s="5"/>
    </row>
    <row r="252" spans="1:25" ht="15.6" x14ac:dyDescent="0.3">
      <c r="A252" s="24"/>
      <c r="B252" s="25"/>
      <c r="C252" s="25"/>
      <c r="D252" s="25"/>
      <c r="E252" s="25"/>
      <c r="F252" s="25"/>
      <c r="G252" s="25"/>
      <c r="H252" s="95"/>
      <c r="I252" s="95"/>
      <c r="J252" s="95"/>
      <c r="K252" s="95"/>
      <c r="L252" s="95"/>
      <c r="M252" s="95"/>
      <c r="N252" s="95"/>
      <c r="O252" s="95"/>
      <c r="P252" s="95"/>
      <c r="Q252" s="95"/>
      <c r="R252" s="34">
        <f>SUM(R243:R251)</f>
        <v>9697</v>
      </c>
      <c r="S252" s="132">
        <f>SUM(S243:S251)</f>
        <v>1.0000000000000002</v>
      </c>
      <c r="T252" s="53">
        <f>SUM(T243:T251)</f>
        <v>1405490</v>
      </c>
      <c r="U252" s="132">
        <f>SUM(U243:U251)</f>
        <v>1</v>
      </c>
      <c r="V252" s="25"/>
      <c r="W252" s="25"/>
      <c r="X252" s="5"/>
    </row>
    <row r="253" spans="1:25" ht="15.6" x14ac:dyDescent="0.3">
      <c r="A253" s="24"/>
      <c r="B253" s="25"/>
      <c r="C253" s="25"/>
      <c r="D253" s="25"/>
      <c r="E253" s="25"/>
      <c r="F253" s="25"/>
      <c r="G253" s="25"/>
      <c r="H253" s="95"/>
      <c r="I253" s="95"/>
      <c r="J253" s="95"/>
      <c r="K253" s="95"/>
      <c r="L253" s="95"/>
      <c r="M253" s="95"/>
      <c r="N253" s="95"/>
      <c r="O253" s="95"/>
      <c r="P253" s="95"/>
      <c r="Q253" s="95"/>
      <c r="R253" s="34"/>
      <c r="S253" s="132"/>
      <c r="T253" s="53"/>
      <c r="U253" s="132"/>
      <c r="V253" s="25"/>
      <c r="W253" s="25"/>
      <c r="X253" s="5"/>
    </row>
    <row r="254" spans="1:25" ht="15.6" x14ac:dyDescent="0.3">
      <c r="A254" s="139"/>
      <c r="B254" s="14" t="s">
        <v>275</v>
      </c>
      <c r="C254" s="81"/>
      <c r="D254" s="81"/>
      <c r="E254" s="81"/>
      <c r="F254" s="82"/>
      <c r="G254" s="81"/>
      <c r="H254" s="17"/>
      <c r="I254" s="17"/>
      <c r="J254" s="17"/>
      <c r="K254" s="17"/>
      <c r="L254" s="17"/>
      <c r="M254" s="17"/>
      <c r="N254" s="17"/>
      <c r="O254" s="17"/>
      <c r="P254" s="17"/>
      <c r="Q254" s="17"/>
      <c r="R254" s="83" t="s">
        <v>102</v>
      </c>
      <c r="S254" s="17" t="s">
        <v>103</v>
      </c>
      <c r="T254" s="83" t="s">
        <v>109</v>
      </c>
      <c r="U254" s="17" t="s">
        <v>103</v>
      </c>
      <c r="V254" s="137"/>
      <c r="W254" s="138"/>
      <c r="X254" s="5"/>
    </row>
    <row r="255" spans="1:25" ht="15.6" x14ac:dyDescent="0.3">
      <c r="A255" s="24"/>
      <c r="B255" s="54" t="s">
        <v>88</v>
      </c>
      <c r="C255" s="93"/>
      <c r="D255" s="93"/>
      <c r="E255" s="93"/>
      <c r="F255" s="25"/>
      <c r="G255" s="93"/>
      <c r="H255" s="93"/>
      <c r="I255" s="93"/>
      <c r="J255" s="93"/>
      <c r="K255" s="93"/>
      <c r="L255" s="93"/>
      <c r="M255" s="93"/>
      <c r="N255" s="93"/>
      <c r="O255" s="93"/>
      <c r="P255" s="93"/>
      <c r="Q255" s="93"/>
      <c r="R255" s="54">
        <v>10</v>
      </c>
      <c r="S255" s="94">
        <f t="shared" ref="S255:S262" si="3">R255/$R$264</f>
        <v>0.2857142857142857</v>
      </c>
      <c r="T255" s="53">
        <v>1295</v>
      </c>
      <c r="U255" s="132">
        <f t="shared" ref="U255:U262" si="4">T255/$T$264</f>
        <v>0.2606158180720467</v>
      </c>
      <c r="V255" s="25"/>
      <c r="W255" s="25"/>
      <c r="X255" s="5"/>
    </row>
    <row r="256" spans="1:25" ht="15.6" x14ac:dyDescent="0.3">
      <c r="A256" s="24"/>
      <c r="B256" s="54" t="s">
        <v>89</v>
      </c>
      <c r="C256" s="93"/>
      <c r="D256" s="93"/>
      <c r="E256" s="93"/>
      <c r="F256" s="25"/>
      <c r="G256" s="94"/>
      <c r="H256" s="93"/>
      <c r="I256" s="93"/>
      <c r="J256" s="93"/>
      <c r="K256" s="93"/>
      <c r="L256" s="93"/>
      <c r="M256" s="93"/>
      <c r="N256" s="93"/>
      <c r="O256" s="93"/>
      <c r="P256" s="93"/>
      <c r="Q256" s="93"/>
      <c r="R256" s="54">
        <v>0</v>
      </c>
      <c r="S256" s="94">
        <f t="shared" si="3"/>
        <v>0</v>
      </c>
      <c r="T256" s="53">
        <v>0</v>
      </c>
      <c r="U256" s="132">
        <f t="shared" si="4"/>
        <v>0</v>
      </c>
      <c r="V256" s="25"/>
      <c r="W256" s="25"/>
      <c r="X256" s="5"/>
    </row>
    <row r="257" spans="1:24" ht="15.6" x14ac:dyDescent="0.3">
      <c r="A257" s="24"/>
      <c r="B257" s="54" t="s">
        <v>90</v>
      </c>
      <c r="C257" s="93"/>
      <c r="D257" s="93"/>
      <c r="E257" s="93"/>
      <c r="F257" s="25"/>
      <c r="G257" s="94"/>
      <c r="H257" s="93"/>
      <c r="I257" s="93"/>
      <c r="J257" s="93"/>
      <c r="K257" s="93"/>
      <c r="L257" s="93"/>
      <c r="M257" s="93"/>
      <c r="N257" s="93"/>
      <c r="O257" s="93"/>
      <c r="P257" s="93"/>
      <c r="Q257" s="93"/>
      <c r="R257" s="54">
        <v>1</v>
      </c>
      <c r="S257" s="94">
        <f t="shared" si="3"/>
        <v>2.8571428571428571E-2</v>
      </c>
      <c r="T257" s="53">
        <v>103</v>
      </c>
      <c r="U257" s="132">
        <f t="shared" si="4"/>
        <v>2.0728516804185953E-2</v>
      </c>
      <c r="V257" s="25"/>
      <c r="W257" s="25"/>
      <c r="X257" s="5"/>
    </row>
    <row r="258" spans="1:24" ht="15.6" x14ac:dyDescent="0.3">
      <c r="A258" s="24"/>
      <c r="B258" s="54" t="s">
        <v>156</v>
      </c>
      <c r="C258" s="93"/>
      <c r="D258" s="93"/>
      <c r="E258" s="93"/>
      <c r="F258" s="25"/>
      <c r="G258" s="94"/>
      <c r="H258" s="93"/>
      <c r="I258" s="93"/>
      <c r="J258" s="93"/>
      <c r="K258" s="93"/>
      <c r="L258" s="93"/>
      <c r="M258" s="93"/>
      <c r="N258" s="93"/>
      <c r="O258" s="93"/>
      <c r="P258" s="93"/>
      <c r="Q258" s="93"/>
      <c r="R258" s="54">
        <v>6</v>
      </c>
      <c r="S258" s="94">
        <f t="shared" si="3"/>
        <v>0.17142857142857143</v>
      </c>
      <c r="T258" s="53">
        <v>731</v>
      </c>
      <c r="U258" s="132">
        <f t="shared" si="4"/>
        <v>0.14711209498893138</v>
      </c>
      <c r="V258" s="25"/>
      <c r="W258" s="25"/>
      <c r="X258" s="5"/>
    </row>
    <row r="259" spans="1:24" ht="15.6" x14ac:dyDescent="0.3">
      <c r="A259" s="24"/>
      <c r="B259" s="54" t="s">
        <v>157</v>
      </c>
      <c r="C259" s="93"/>
      <c r="D259" s="93"/>
      <c r="E259" s="93"/>
      <c r="F259" s="25"/>
      <c r="G259" s="94"/>
      <c r="H259" s="93"/>
      <c r="I259" s="93"/>
      <c r="J259" s="93"/>
      <c r="K259" s="93"/>
      <c r="L259" s="93"/>
      <c r="M259" s="93"/>
      <c r="N259" s="93"/>
      <c r="O259" s="93"/>
      <c r="P259" s="93"/>
      <c r="Q259" s="93"/>
      <c r="R259" s="54">
        <v>5</v>
      </c>
      <c r="S259" s="94">
        <f t="shared" si="3"/>
        <v>0.14285714285714285</v>
      </c>
      <c r="T259" s="53">
        <v>674</v>
      </c>
      <c r="U259" s="132">
        <f t="shared" si="4"/>
        <v>0.13564097403904207</v>
      </c>
      <c r="V259" s="25"/>
      <c r="W259" s="25"/>
      <c r="X259" s="5"/>
    </row>
    <row r="260" spans="1:24" ht="15.6" x14ac:dyDescent="0.3">
      <c r="A260" s="24"/>
      <c r="B260" s="54" t="s">
        <v>158</v>
      </c>
      <c r="C260" s="93"/>
      <c r="D260" s="93"/>
      <c r="E260" s="93"/>
      <c r="F260" s="25"/>
      <c r="G260" s="94"/>
      <c r="H260" s="93"/>
      <c r="I260" s="93"/>
      <c r="J260" s="93"/>
      <c r="K260" s="93"/>
      <c r="L260" s="93"/>
      <c r="M260" s="93"/>
      <c r="N260" s="93"/>
      <c r="O260" s="93"/>
      <c r="P260" s="93"/>
      <c r="Q260" s="93"/>
      <c r="R260" s="54">
        <v>5</v>
      </c>
      <c r="S260" s="94">
        <f t="shared" si="3"/>
        <v>0.14285714285714285</v>
      </c>
      <c r="T260" s="53">
        <v>895</v>
      </c>
      <c r="U260" s="132">
        <f t="shared" si="4"/>
        <v>0.18011672368685852</v>
      </c>
      <c r="V260" s="25"/>
      <c r="W260" s="25"/>
      <c r="X260" s="5"/>
    </row>
    <row r="261" spans="1:24" ht="15.6" x14ac:dyDescent="0.3">
      <c r="A261" s="24"/>
      <c r="B261" s="54" t="s">
        <v>159</v>
      </c>
      <c r="C261" s="93"/>
      <c r="D261" s="93"/>
      <c r="E261" s="93"/>
      <c r="F261" s="25"/>
      <c r="G261" s="94"/>
      <c r="H261" s="93"/>
      <c r="I261" s="93"/>
      <c r="J261" s="93"/>
      <c r="K261" s="93"/>
      <c r="L261" s="93"/>
      <c r="M261" s="93"/>
      <c r="N261" s="93"/>
      <c r="O261" s="93"/>
      <c r="P261" s="93"/>
      <c r="Q261" s="93"/>
      <c r="R261" s="54">
        <v>7</v>
      </c>
      <c r="S261" s="94">
        <f t="shared" si="3"/>
        <v>0.2</v>
      </c>
      <c r="T261" s="53">
        <v>1120</v>
      </c>
      <c r="U261" s="132">
        <f t="shared" si="4"/>
        <v>0.22539746427852686</v>
      </c>
      <c r="V261" s="25"/>
      <c r="W261" s="25"/>
      <c r="X261" s="5"/>
    </row>
    <row r="262" spans="1:24" ht="15.6" x14ac:dyDescent="0.3">
      <c r="A262" s="24"/>
      <c r="B262" s="54" t="s">
        <v>160</v>
      </c>
      <c r="C262" s="93"/>
      <c r="D262" s="93"/>
      <c r="E262" s="93"/>
      <c r="F262" s="25"/>
      <c r="G262" s="94"/>
      <c r="H262" s="93"/>
      <c r="I262" s="93"/>
      <c r="J262" s="93"/>
      <c r="K262" s="93"/>
      <c r="L262" s="93"/>
      <c r="M262" s="93"/>
      <c r="N262" s="93"/>
      <c r="O262" s="93"/>
      <c r="P262" s="93"/>
      <c r="Q262" s="93"/>
      <c r="R262" s="54">
        <v>1</v>
      </c>
      <c r="S262" s="94">
        <f t="shared" si="3"/>
        <v>2.8571428571428571E-2</v>
      </c>
      <c r="T262" s="53">
        <v>151</v>
      </c>
      <c r="U262" s="132">
        <f t="shared" si="4"/>
        <v>3.0388408130408533E-2</v>
      </c>
      <c r="V262" s="25"/>
      <c r="W262" s="25"/>
      <c r="X262" s="5"/>
    </row>
    <row r="263" spans="1:24" ht="15.6" x14ac:dyDescent="0.3">
      <c r="A263" s="24"/>
      <c r="B263" s="54"/>
      <c r="C263" s="93"/>
      <c r="D263" s="93"/>
      <c r="E263" s="93"/>
      <c r="F263" s="25"/>
      <c r="G263" s="94"/>
      <c r="H263" s="93"/>
      <c r="I263" s="93"/>
      <c r="J263" s="93"/>
      <c r="K263" s="93"/>
      <c r="L263" s="93"/>
      <c r="M263" s="93"/>
      <c r="N263" s="93"/>
      <c r="O263" s="93"/>
      <c r="P263" s="93"/>
      <c r="Q263" s="93"/>
      <c r="R263" s="54"/>
      <c r="S263" s="94"/>
      <c r="T263" s="53"/>
      <c r="U263" s="132"/>
      <c r="V263" s="25"/>
      <c r="W263" s="25"/>
      <c r="X263" s="5"/>
    </row>
    <row r="264" spans="1:24" ht="15.6" x14ac:dyDescent="0.3">
      <c r="A264" s="24"/>
      <c r="B264" s="25"/>
      <c r="C264" s="25"/>
      <c r="D264" s="25"/>
      <c r="E264" s="25"/>
      <c r="F264" s="25"/>
      <c r="G264" s="25"/>
      <c r="H264" s="95"/>
      <c r="I264" s="95"/>
      <c r="J264" s="95"/>
      <c r="K264" s="95"/>
      <c r="L264" s="95"/>
      <c r="M264" s="95"/>
      <c r="N264" s="95"/>
      <c r="O264" s="95"/>
      <c r="P264" s="95"/>
      <c r="Q264" s="95"/>
      <c r="R264" s="34">
        <f>SUM(R255:R263)</f>
        <v>35</v>
      </c>
      <c r="S264" s="132">
        <f>SUM(S255:S263)</f>
        <v>0.99999999999999989</v>
      </c>
      <c r="T264" s="53">
        <f>SUM(T255:T263)</f>
        <v>4969</v>
      </c>
      <c r="U264" s="132">
        <f>SUM(U255:U263)</f>
        <v>1</v>
      </c>
      <c r="V264" s="25"/>
      <c r="W264" s="25"/>
      <c r="X264" s="5"/>
    </row>
    <row r="265" spans="1:24" ht="15.6" x14ac:dyDescent="0.3">
      <c r="A265" s="24"/>
      <c r="B265" s="25"/>
      <c r="C265" s="25"/>
      <c r="D265" s="25"/>
      <c r="E265" s="25"/>
      <c r="F265" s="25"/>
      <c r="G265" s="25"/>
      <c r="H265" s="95"/>
      <c r="I265" s="95"/>
      <c r="J265" s="95"/>
      <c r="K265" s="95"/>
      <c r="L265" s="95"/>
      <c r="M265" s="95"/>
      <c r="N265" s="95"/>
      <c r="O265" s="95"/>
      <c r="P265" s="95"/>
      <c r="Q265" s="95"/>
      <c r="R265" s="34"/>
      <c r="S265" s="132"/>
      <c r="T265" s="53"/>
      <c r="U265" s="132"/>
      <c r="V265" s="25"/>
      <c r="W265" s="25"/>
      <c r="X265" s="5"/>
    </row>
    <row r="266" spans="1:24" ht="15.6" x14ac:dyDescent="0.3">
      <c r="A266" s="139"/>
      <c r="B266" s="14" t="s">
        <v>163</v>
      </c>
      <c r="C266" s="137"/>
      <c r="D266" s="137"/>
      <c r="E266" s="137"/>
      <c r="F266" s="137"/>
      <c r="G266" s="137"/>
      <c r="H266" s="143"/>
      <c r="I266" s="143"/>
      <c r="J266" s="143"/>
      <c r="K266" s="143"/>
      <c r="L266" s="143"/>
      <c r="M266" s="143"/>
      <c r="N266" s="143"/>
      <c r="O266" s="143"/>
      <c r="P266" s="143"/>
      <c r="Q266" s="143"/>
      <c r="R266" s="83" t="s">
        <v>102</v>
      </c>
      <c r="S266" s="17" t="s">
        <v>103</v>
      </c>
      <c r="T266" s="83" t="s">
        <v>109</v>
      </c>
      <c r="U266" s="17" t="s">
        <v>103</v>
      </c>
      <c r="V266" s="137"/>
      <c r="W266" s="138"/>
      <c r="X266" s="5"/>
    </row>
    <row r="267" spans="1:24" ht="15.6" x14ac:dyDescent="0.3">
      <c r="A267" s="24"/>
      <c r="B267" s="54" t="s">
        <v>88</v>
      </c>
      <c r="C267" s="25"/>
      <c r="D267" s="25"/>
      <c r="E267" s="25"/>
      <c r="F267" s="25"/>
      <c r="G267" s="25"/>
      <c r="H267" s="95"/>
      <c r="I267" s="95"/>
      <c r="J267" s="95"/>
      <c r="K267" s="95"/>
      <c r="L267" s="95"/>
      <c r="M267" s="95"/>
      <c r="N267" s="95"/>
      <c r="O267" s="95"/>
      <c r="P267" s="95"/>
      <c r="Q267" s="95"/>
      <c r="R267" s="54">
        <v>0</v>
      </c>
      <c r="S267" s="94">
        <f t="shared" ref="S267:S274" si="5">R267/$R$276</f>
        <v>0</v>
      </c>
      <c r="T267" s="53">
        <v>0</v>
      </c>
      <c r="U267" s="132">
        <f t="shared" ref="U267:U274" si="6">T267/$T$276</f>
        <v>0</v>
      </c>
      <c r="V267" s="25"/>
      <c r="W267" s="25"/>
      <c r="X267" s="5"/>
    </row>
    <row r="268" spans="1:24" ht="15.6" x14ac:dyDescent="0.3">
      <c r="A268" s="24"/>
      <c r="B268" s="54" t="s">
        <v>89</v>
      </c>
      <c r="C268" s="25"/>
      <c r="D268" s="25"/>
      <c r="E268" s="25"/>
      <c r="F268" s="25"/>
      <c r="G268" s="25"/>
      <c r="H268" s="95"/>
      <c r="I268" s="95"/>
      <c r="J268" s="95"/>
      <c r="K268" s="95"/>
      <c r="L268" s="95"/>
      <c r="M268" s="95"/>
      <c r="N268" s="95"/>
      <c r="O268" s="95"/>
      <c r="P268" s="95"/>
      <c r="Q268" s="95"/>
      <c r="R268" s="54">
        <v>0</v>
      </c>
      <c r="S268" s="94">
        <f t="shared" si="5"/>
        <v>0</v>
      </c>
      <c r="T268" s="53">
        <v>0</v>
      </c>
      <c r="U268" s="132">
        <f t="shared" si="6"/>
        <v>0</v>
      </c>
      <c r="V268" s="25"/>
      <c r="W268" s="25"/>
      <c r="X268" s="5"/>
    </row>
    <row r="269" spans="1:24" ht="15.6" x14ac:dyDescent="0.3">
      <c r="A269" s="24"/>
      <c r="B269" s="54" t="s">
        <v>90</v>
      </c>
      <c r="C269" s="25"/>
      <c r="D269" s="25"/>
      <c r="E269" s="25"/>
      <c r="F269" s="25"/>
      <c r="G269" s="25"/>
      <c r="H269" s="95"/>
      <c r="I269" s="95"/>
      <c r="J269" s="95"/>
      <c r="K269" s="95"/>
      <c r="L269" s="95"/>
      <c r="M269" s="95"/>
      <c r="N269" s="95"/>
      <c r="O269" s="95"/>
      <c r="P269" s="95"/>
      <c r="Q269" s="95"/>
      <c r="R269" s="54">
        <v>0</v>
      </c>
      <c r="S269" s="94">
        <f t="shared" si="5"/>
        <v>0</v>
      </c>
      <c r="T269" s="53">
        <v>0</v>
      </c>
      <c r="U269" s="132">
        <f t="shared" si="6"/>
        <v>0</v>
      </c>
      <c r="V269" s="25"/>
      <c r="W269" s="25"/>
      <c r="X269" s="5"/>
    </row>
    <row r="270" spans="1:24" ht="15.6" x14ac:dyDescent="0.3">
      <c r="A270" s="24"/>
      <c r="B270" s="54" t="s">
        <v>156</v>
      </c>
      <c r="C270" s="25"/>
      <c r="D270" s="25"/>
      <c r="E270" s="25"/>
      <c r="F270" s="25"/>
      <c r="G270" s="25"/>
      <c r="H270" s="95"/>
      <c r="I270" s="95"/>
      <c r="J270" s="95"/>
      <c r="K270" s="95"/>
      <c r="L270" s="95"/>
      <c r="M270" s="95"/>
      <c r="N270" s="95"/>
      <c r="O270" s="95"/>
      <c r="P270" s="95"/>
      <c r="Q270" s="95"/>
      <c r="R270" s="54">
        <v>0</v>
      </c>
      <c r="S270" s="94">
        <f t="shared" si="5"/>
        <v>0</v>
      </c>
      <c r="T270" s="53">
        <v>0</v>
      </c>
      <c r="U270" s="132">
        <f t="shared" si="6"/>
        <v>0</v>
      </c>
      <c r="V270" s="25"/>
      <c r="W270" s="25"/>
      <c r="X270" s="5"/>
    </row>
    <row r="271" spans="1:24" ht="15.6" x14ac:dyDescent="0.3">
      <c r="A271" s="24"/>
      <c r="B271" s="54" t="s">
        <v>157</v>
      </c>
      <c r="C271" s="25"/>
      <c r="D271" s="25"/>
      <c r="E271" s="25"/>
      <c r="F271" s="25"/>
      <c r="G271" s="25"/>
      <c r="H271" s="95"/>
      <c r="I271" s="95"/>
      <c r="J271" s="95"/>
      <c r="K271" s="95"/>
      <c r="L271" s="95"/>
      <c r="M271" s="95"/>
      <c r="N271" s="95"/>
      <c r="O271" s="95"/>
      <c r="P271" s="95"/>
      <c r="Q271" s="95"/>
      <c r="R271" s="54">
        <v>0</v>
      </c>
      <c r="S271" s="94">
        <f t="shared" si="5"/>
        <v>0</v>
      </c>
      <c r="T271" s="53">
        <v>0</v>
      </c>
      <c r="U271" s="132">
        <f t="shared" si="6"/>
        <v>0</v>
      </c>
      <c r="V271" s="25"/>
      <c r="W271" s="25"/>
      <c r="X271" s="5"/>
    </row>
    <row r="272" spans="1:24" ht="15.6" x14ac:dyDescent="0.3">
      <c r="A272" s="24"/>
      <c r="B272" s="54" t="s">
        <v>158</v>
      </c>
      <c r="C272" s="25"/>
      <c r="D272" s="25"/>
      <c r="E272" s="25"/>
      <c r="F272" s="25"/>
      <c r="G272" s="25"/>
      <c r="H272" s="95"/>
      <c r="I272" s="95"/>
      <c r="J272" s="95"/>
      <c r="K272" s="95"/>
      <c r="L272" s="95"/>
      <c r="M272" s="95"/>
      <c r="N272" s="95"/>
      <c r="O272" s="95"/>
      <c r="P272" s="95"/>
      <c r="Q272" s="95"/>
      <c r="R272" s="54">
        <v>2</v>
      </c>
      <c r="S272" s="94">
        <f t="shared" si="5"/>
        <v>1</v>
      </c>
      <c r="T272" s="53">
        <v>238</v>
      </c>
      <c r="U272" s="132">
        <f t="shared" si="6"/>
        <v>1</v>
      </c>
      <c r="V272" s="25"/>
      <c r="W272" s="25"/>
      <c r="X272" s="5"/>
    </row>
    <row r="273" spans="1:24" ht="15.6" x14ac:dyDescent="0.3">
      <c r="A273" s="24"/>
      <c r="B273" s="54" t="s">
        <v>159</v>
      </c>
      <c r="C273" s="25"/>
      <c r="D273" s="25"/>
      <c r="E273" s="25"/>
      <c r="F273" s="25"/>
      <c r="G273" s="25"/>
      <c r="H273" s="95"/>
      <c r="I273" s="95"/>
      <c r="J273" s="95"/>
      <c r="K273" s="95"/>
      <c r="L273" s="95"/>
      <c r="M273" s="95"/>
      <c r="N273" s="95"/>
      <c r="O273" s="95"/>
      <c r="P273" s="95"/>
      <c r="Q273" s="95"/>
      <c r="R273" s="54">
        <v>0</v>
      </c>
      <c r="S273" s="94">
        <f t="shared" si="5"/>
        <v>0</v>
      </c>
      <c r="T273" s="53">
        <v>0</v>
      </c>
      <c r="U273" s="132">
        <f t="shared" si="6"/>
        <v>0</v>
      </c>
      <c r="V273" s="25"/>
      <c r="W273" s="25"/>
      <c r="X273" s="5"/>
    </row>
    <row r="274" spans="1:24" ht="15.6" x14ac:dyDescent="0.3">
      <c r="A274" s="24"/>
      <c r="B274" s="54" t="s">
        <v>160</v>
      </c>
      <c r="C274" s="25"/>
      <c r="D274" s="25"/>
      <c r="E274" s="25"/>
      <c r="F274" s="25"/>
      <c r="G274" s="25"/>
      <c r="H274" s="95"/>
      <c r="I274" s="95"/>
      <c r="J274" s="95"/>
      <c r="K274" s="95"/>
      <c r="L274" s="95"/>
      <c r="M274" s="95"/>
      <c r="N274" s="95"/>
      <c r="O274" s="95"/>
      <c r="P274" s="95"/>
      <c r="Q274" s="95"/>
      <c r="R274" s="54">
        <v>0</v>
      </c>
      <c r="S274" s="94">
        <f t="shared" si="5"/>
        <v>0</v>
      </c>
      <c r="T274" s="53">
        <v>0</v>
      </c>
      <c r="U274" s="132">
        <f t="shared" si="6"/>
        <v>0</v>
      </c>
      <c r="V274" s="25"/>
      <c r="W274" s="25"/>
      <c r="X274" s="5"/>
    </row>
    <row r="275" spans="1:24" ht="15.6" x14ac:dyDescent="0.3">
      <c r="A275" s="24"/>
      <c r="B275" s="54"/>
      <c r="C275" s="25"/>
      <c r="D275" s="25"/>
      <c r="E275" s="25"/>
      <c r="F275" s="25"/>
      <c r="G275" s="25"/>
      <c r="H275" s="95"/>
      <c r="I275" s="95"/>
      <c r="J275" s="95"/>
      <c r="K275" s="95"/>
      <c r="L275" s="95"/>
      <c r="M275" s="95"/>
      <c r="N275" s="95"/>
      <c r="O275" s="95"/>
      <c r="P275" s="95"/>
      <c r="Q275" s="95"/>
      <c r="R275" s="54"/>
      <c r="S275" s="94"/>
      <c r="T275" s="53"/>
      <c r="U275" s="132"/>
      <c r="V275" s="25"/>
      <c r="W275" s="25"/>
      <c r="X275" s="5"/>
    </row>
    <row r="276" spans="1:24" ht="15.6" x14ac:dyDescent="0.3">
      <c r="A276" s="24"/>
      <c r="B276" s="25" t="s">
        <v>114</v>
      </c>
      <c r="C276" s="25"/>
      <c r="D276" s="25"/>
      <c r="E276" s="25"/>
      <c r="F276" s="25"/>
      <c r="G276" s="25"/>
      <c r="H276" s="95"/>
      <c r="I276" s="95"/>
      <c r="J276" s="95"/>
      <c r="K276" s="95"/>
      <c r="L276" s="95"/>
      <c r="M276" s="95"/>
      <c r="N276" s="95"/>
      <c r="O276" s="95"/>
      <c r="P276" s="95"/>
      <c r="Q276" s="95"/>
      <c r="R276" s="34">
        <f>SUM(R267:R274)</f>
        <v>2</v>
      </c>
      <c r="S276" s="132">
        <f>SUM(S267:S275)</f>
        <v>1</v>
      </c>
      <c r="T276" s="53">
        <f>SUM(T267:T274)</f>
        <v>238</v>
      </c>
      <c r="U276" s="132">
        <f>SUM(U267:U275)</f>
        <v>1</v>
      </c>
      <c r="V276" s="25"/>
      <c r="W276" s="25"/>
      <c r="X276" s="5"/>
    </row>
    <row r="277" spans="1:24" ht="15.6" x14ac:dyDescent="0.3">
      <c r="A277" s="24"/>
      <c r="B277" s="25"/>
      <c r="C277" s="25"/>
      <c r="D277" s="25"/>
      <c r="E277" s="25"/>
      <c r="F277" s="25"/>
      <c r="G277" s="25"/>
      <c r="H277" s="95"/>
      <c r="I277" s="95"/>
      <c r="J277" s="95"/>
      <c r="K277" s="95"/>
      <c r="L277" s="95"/>
      <c r="M277" s="95"/>
      <c r="N277" s="95"/>
      <c r="O277" s="95"/>
      <c r="P277" s="95"/>
      <c r="Q277" s="95"/>
      <c r="R277" s="34"/>
      <c r="S277" s="132"/>
      <c r="T277" s="53"/>
      <c r="U277" s="132"/>
      <c r="V277" s="25"/>
      <c r="W277" s="25"/>
      <c r="X277" s="5"/>
    </row>
    <row r="278" spans="1:24" ht="15.6" x14ac:dyDescent="0.3">
      <c r="A278" s="24"/>
      <c r="B278" s="140" t="s">
        <v>164</v>
      </c>
      <c r="C278" s="25"/>
      <c r="D278" s="25"/>
      <c r="E278" s="25"/>
      <c r="F278" s="25"/>
      <c r="G278" s="25"/>
      <c r="H278" s="95"/>
      <c r="I278" s="95"/>
      <c r="J278" s="95"/>
      <c r="K278" s="95"/>
      <c r="L278" s="95"/>
      <c r="M278" s="95"/>
      <c r="N278" s="95"/>
      <c r="O278" s="95"/>
      <c r="P278" s="95"/>
      <c r="Q278" s="95"/>
      <c r="R278" s="159">
        <f>R276+R264+R252</f>
        <v>9734</v>
      </c>
      <c r="S278" s="141"/>
      <c r="T278" s="142">
        <f>+T276+T264+T252</f>
        <v>1410697</v>
      </c>
      <c r="U278" s="141"/>
      <c r="V278" s="25"/>
      <c r="W278" s="25"/>
      <c r="X278" s="5"/>
    </row>
    <row r="279" spans="1:24" ht="15.6" x14ac:dyDescent="0.3">
      <c r="A279" s="24"/>
      <c r="B279" s="25"/>
      <c r="C279" s="25"/>
      <c r="D279" s="25"/>
      <c r="E279" s="25"/>
      <c r="F279" s="25"/>
      <c r="G279" s="25"/>
      <c r="H279" s="95"/>
      <c r="I279" s="95"/>
      <c r="J279" s="95"/>
      <c r="K279" s="95"/>
      <c r="L279" s="95"/>
      <c r="M279" s="95"/>
      <c r="N279" s="95"/>
      <c r="O279" s="95"/>
      <c r="P279" s="95"/>
      <c r="Q279" s="95"/>
      <c r="R279" s="95"/>
      <c r="S279" s="95"/>
      <c r="T279" s="53"/>
      <c r="U279" s="95"/>
      <c r="V279" s="25"/>
      <c r="W279" s="25"/>
      <c r="X279" s="5"/>
    </row>
    <row r="280" spans="1:24" ht="15.6" x14ac:dyDescent="0.3">
      <c r="A280" s="6"/>
      <c r="B280" s="8"/>
      <c r="C280" s="8"/>
      <c r="D280" s="8"/>
      <c r="E280" s="8"/>
      <c r="F280" s="8"/>
      <c r="G280" s="8"/>
      <c r="H280" s="96"/>
      <c r="I280" s="96"/>
      <c r="J280" s="96"/>
      <c r="K280" s="96"/>
      <c r="L280" s="96"/>
      <c r="M280" s="96"/>
      <c r="N280" s="96"/>
      <c r="O280" s="96"/>
      <c r="P280" s="96"/>
      <c r="Q280" s="96"/>
      <c r="R280" s="96"/>
      <c r="S280" s="96"/>
      <c r="T280" s="97"/>
      <c r="U280" s="96"/>
      <c r="V280" s="8"/>
      <c r="W280" s="8"/>
      <c r="X280" s="5"/>
    </row>
    <row r="281" spans="1:24" ht="15.6" x14ac:dyDescent="0.3">
      <c r="A281" s="178"/>
      <c r="B281" s="14" t="s">
        <v>91</v>
      </c>
      <c r="C281" s="15"/>
      <c r="D281" s="15"/>
      <c r="E281" s="15"/>
      <c r="F281" s="17" t="s">
        <v>97</v>
      </c>
      <c r="G281" s="15"/>
      <c r="H281" s="14" t="s">
        <v>99</v>
      </c>
      <c r="I281" s="14"/>
      <c r="J281" s="14"/>
      <c r="K281" s="173"/>
      <c r="L281" s="173"/>
      <c r="M281" s="173"/>
      <c r="N281" s="173"/>
      <c r="O281" s="173"/>
      <c r="P281" s="173"/>
      <c r="Q281" s="173"/>
      <c r="R281" s="173"/>
      <c r="S281" s="173"/>
      <c r="T281" s="173"/>
      <c r="U281" s="173"/>
      <c r="V281" s="173"/>
      <c r="W281" s="173"/>
      <c r="X281" s="5"/>
    </row>
    <row r="282" spans="1:24" ht="15.6" x14ac:dyDescent="0.3">
      <c r="A282" s="178"/>
      <c r="B282" s="173"/>
      <c r="C282" s="8"/>
      <c r="D282" s="8"/>
      <c r="E282" s="8"/>
      <c r="F282" s="8"/>
      <c r="G282" s="8"/>
      <c r="H282" s="8"/>
      <c r="I282" s="8"/>
      <c r="J282" s="8"/>
      <c r="K282" s="173"/>
      <c r="L282" s="173"/>
      <c r="M282" s="173"/>
      <c r="N282" s="173"/>
      <c r="O282" s="173"/>
      <c r="P282" s="173"/>
      <c r="Q282" s="173"/>
      <c r="R282" s="173"/>
      <c r="S282" s="173"/>
      <c r="T282" s="173"/>
      <c r="U282" s="173"/>
      <c r="V282" s="173"/>
      <c r="W282" s="173"/>
      <c r="X282" s="5"/>
    </row>
    <row r="283" spans="1:24" ht="15.6" x14ac:dyDescent="0.3">
      <c r="A283" s="178"/>
      <c r="B283" s="13" t="s">
        <v>92</v>
      </c>
      <c r="C283" s="13"/>
      <c r="D283" s="13"/>
      <c r="E283" s="13"/>
      <c r="F283" s="130" t="s">
        <v>148</v>
      </c>
      <c r="G283" s="13"/>
      <c r="H283" s="13" t="s">
        <v>152</v>
      </c>
      <c r="I283" s="13"/>
      <c r="J283" s="13"/>
      <c r="K283" s="173"/>
      <c r="L283" s="173"/>
      <c r="M283" s="173"/>
      <c r="N283" s="173"/>
      <c r="O283" s="173"/>
      <c r="P283" s="173"/>
      <c r="Q283" s="173"/>
      <c r="R283" s="173"/>
      <c r="S283" s="173"/>
      <c r="T283" s="173"/>
      <c r="U283" s="173"/>
      <c r="V283" s="173"/>
      <c r="W283" s="173"/>
      <c r="X283" s="5"/>
    </row>
    <row r="284" spans="1:24" ht="15.6" x14ac:dyDescent="0.3">
      <c r="A284" s="178"/>
      <c r="B284" s="13" t="s">
        <v>277</v>
      </c>
      <c r="C284" s="13"/>
      <c r="D284" s="13"/>
      <c r="E284" s="13"/>
      <c r="F284" s="130" t="s">
        <v>278</v>
      </c>
      <c r="G284" s="13"/>
      <c r="H284" s="13" t="s">
        <v>279</v>
      </c>
      <c r="I284" s="173"/>
      <c r="J284" s="13"/>
      <c r="K284" s="173"/>
      <c r="L284" s="173"/>
      <c r="M284" s="173"/>
      <c r="N284" s="173"/>
      <c r="O284" s="173"/>
      <c r="P284" s="173"/>
      <c r="Q284" s="173"/>
      <c r="R284" s="173"/>
      <c r="S284" s="173"/>
      <c r="T284" s="173"/>
      <c r="U284" s="173"/>
      <c r="V284" s="173"/>
      <c r="W284" s="173"/>
      <c r="X284" s="5"/>
    </row>
    <row r="285" spans="1:24" ht="15.6" x14ac:dyDescent="0.3">
      <c r="A285" s="178"/>
      <c r="B285" s="13" t="s">
        <v>93</v>
      </c>
      <c r="C285" s="13"/>
      <c r="D285" s="13"/>
      <c r="E285" s="13"/>
      <c r="F285" s="130" t="s">
        <v>147</v>
      </c>
      <c r="G285" s="13"/>
      <c r="H285" s="13" t="s">
        <v>153</v>
      </c>
      <c r="I285" s="13"/>
      <c r="J285" s="13"/>
      <c r="K285" s="173"/>
      <c r="L285" s="173"/>
      <c r="M285" s="173"/>
      <c r="N285" s="173"/>
      <c r="O285" s="173"/>
      <c r="P285" s="173"/>
      <c r="Q285" s="173"/>
      <c r="R285" s="173"/>
      <c r="S285" s="173"/>
      <c r="T285" s="173"/>
      <c r="U285" s="173"/>
      <c r="V285" s="173"/>
      <c r="W285" s="173"/>
      <c r="X285" s="5"/>
    </row>
    <row r="286" spans="1:24" ht="15.6" x14ac:dyDescent="0.3">
      <c r="A286" s="178"/>
      <c r="B286" s="13"/>
      <c r="C286" s="13"/>
      <c r="D286" s="13"/>
      <c r="E286" s="13"/>
      <c r="F286" s="13"/>
      <c r="G286" s="99"/>
      <c r="H286" s="173"/>
      <c r="I286" s="173"/>
      <c r="J286" s="173"/>
      <c r="K286" s="173"/>
      <c r="L286" s="173"/>
      <c r="M286" s="173"/>
      <c r="N286" s="173"/>
      <c r="O286" s="173"/>
      <c r="P286" s="173"/>
      <c r="Q286" s="173"/>
      <c r="R286" s="173"/>
      <c r="S286" s="173"/>
      <c r="T286" s="173"/>
      <c r="U286" s="173"/>
      <c r="V286" s="173"/>
      <c r="W286" s="173"/>
      <c r="X286" s="5"/>
    </row>
    <row r="287" spans="1:24" ht="15.6" x14ac:dyDescent="0.3">
      <c r="A287" s="178"/>
      <c r="B287" s="13"/>
      <c r="C287" s="13"/>
      <c r="D287" s="13"/>
      <c r="E287" s="13"/>
      <c r="F287" s="13"/>
      <c r="G287" s="99"/>
      <c r="H287" s="173"/>
      <c r="I287" s="173"/>
      <c r="J287" s="173"/>
      <c r="K287" s="173"/>
      <c r="L287" s="173"/>
      <c r="M287" s="173"/>
      <c r="N287" s="173"/>
      <c r="O287" s="173"/>
      <c r="P287" s="173"/>
      <c r="Q287" s="173"/>
      <c r="R287" s="173"/>
      <c r="S287" s="173"/>
      <c r="T287" s="173"/>
      <c r="U287" s="173"/>
      <c r="V287" s="173"/>
      <c r="W287" s="173"/>
      <c r="X287" s="5"/>
    </row>
    <row r="288" spans="1:24" ht="18" thickBot="1" x14ac:dyDescent="0.35">
      <c r="A288" s="178"/>
      <c r="B288" s="49" t="str">
        <f>B204</f>
        <v>PM14 INVESTOR REPORT QUARTER ENDING FEBRUARY 2008</v>
      </c>
      <c r="C288" s="13"/>
      <c r="D288" s="13"/>
      <c r="E288" s="13"/>
      <c r="F288" s="13"/>
      <c r="G288" s="99"/>
      <c r="H288" s="173"/>
      <c r="I288" s="173"/>
      <c r="J288" s="173"/>
      <c r="K288" s="173"/>
      <c r="L288" s="173"/>
      <c r="M288" s="173"/>
      <c r="N288" s="173"/>
      <c r="O288" s="173"/>
      <c r="P288" s="173"/>
      <c r="Q288" s="173"/>
      <c r="R288" s="173"/>
      <c r="S288" s="173"/>
      <c r="T288" s="173"/>
      <c r="U288" s="173"/>
      <c r="V288" s="173"/>
      <c r="W288" s="173"/>
      <c r="X288" s="5"/>
    </row>
    <row r="289" spans="1:23" x14ac:dyDescent="0.25">
      <c r="A289" s="100"/>
      <c r="B289" s="100"/>
      <c r="C289" s="100"/>
      <c r="D289" s="100"/>
      <c r="E289" s="100"/>
      <c r="F289" s="100"/>
      <c r="G289" s="100"/>
      <c r="H289" s="100"/>
      <c r="I289" s="100"/>
      <c r="J289" s="100"/>
      <c r="K289" s="100"/>
      <c r="L289" s="100"/>
      <c r="M289" s="100"/>
      <c r="N289" s="100"/>
      <c r="O289" s="100"/>
      <c r="P289" s="100"/>
      <c r="Q289" s="100"/>
      <c r="R289" s="100"/>
      <c r="S289" s="100"/>
      <c r="T289" s="100"/>
      <c r="U289" s="100"/>
      <c r="V289" s="100"/>
      <c r="W289" s="100"/>
    </row>
  </sheetData>
  <phoneticPr fontId="0" type="noConversion"/>
  <hyperlinks>
    <hyperlink ref="P240" r:id="rId1" xr:uid="{00000000-0004-0000-0200-000000000000}"/>
    <hyperlink ref="I9" r:id="rId2" xr:uid="{00000000-0004-0000-02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9" max="14" man="1"/>
    <brk id="204" max="14" man="1"/>
  </rowBreaks>
  <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theme="4"/>
  </sheetPr>
  <dimension ref="A1:IV301"/>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80"/>
      <c r="B1" s="220" t="s">
        <v>244</v>
      </c>
      <c r="C1" s="181"/>
      <c r="D1" s="181"/>
      <c r="E1" s="181"/>
      <c r="F1" s="181"/>
      <c r="G1" s="181"/>
      <c r="H1" s="181"/>
      <c r="I1" s="181"/>
      <c r="J1" s="181"/>
      <c r="K1" s="181"/>
      <c r="L1" s="181"/>
      <c r="M1" s="181"/>
      <c r="N1" s="181"/>
      <c r="O1" s="181"/>
      <c r="P1" s="181"/>
      <c r="Q1" s="181"/>
      <c r="R1" s="181"/>
      <c r="S1" s="181"/>
      <c r="T1" s="181"/>
      <c r="U1" s="181"/>
      <c r="V1" s="181"/>
      <c r="W1" s="181"/>
      <c r="X1" s="5"/>
    </row>
    <row r="2" spans="1:24" ht="15.6" x14ac:dyDescent="0.3">
      <c r="A2" s="183"/>
      <c r="B2" s="184"/>
      <c r="C2" s="185"/>
      <c r="D2" s="185"/>
      <c r="E2" s="185"/>
      <c r="F2" s="185"/>
      <c r="G2" s="185"/>
      <c r="H2" s="185"/>
      <c r="I2" s="185"/>
      <c r="J2" s="185"/>
      <c r="K2" s="185"/>
      <c r="L2" s="185"/>
      <c r="M2" s="185"/>
      <c r="N2" s="185"/>
      <c r="O2" s="185"/>
      <c r="P2" s="185"/>
      <c r="Q2" s="185"/>
      <c r="R2" s="185"/>
      <c r="S2" s="185"/>
      <c r="T2" s="185"/>
      <c r="U2" s="185"/>
      <c r="V2" s="185"/>
      <c r="W2" s="185"/>
      <c r="X2" s="5"/>
    </row>
    <row r="3" spans="1:24" ht="15.6" x14ac:dyDescent="0.3">
      <c r="A3" s="186"/>
      <c r="B3" s="187" t="s">
        <v>245</v>
      </c>
      <c r="C3" s="185"/>
      <c r="D3" s="185"/>
      <c r="E3" s="185"/>
      <c r="F3" s="185"/>
      <c r="G3" s="185"/>
      <c r="H3" s="185"/>
      <c r="I3" s="185"/>
      <c r="J3" s="185"/>
      <c r="K3" s="185"/>
      <c r="L3" s="185"/>
      <c r="M3" s="185"/>
      <c r="N3" s="185"/>
      <c r="O3" s="185"/>
      <c r="P3" s="185"/>
      <c r="Q3" s="185"/>
      <c r="R3" s="185"/>
      <c r="S3" s="185"/>
      <c r="T3" s="185"/>
      <c r="U3" s="185"/>
      <c r="V3" s="185"/>
      <c r="W3" s="185"/>
      <c r="X3" s="5"/>
    </row>
    <row r="4" spans="1:24" ht="15.6" x14ac:dyDescent="0.3">
      <c r="A4" s="183"/>
      <c r="B4" s="184"/>
      <c r="C4" s="185"/>
      <c r="D4" s="185"/>
      <c r="E4" s="185"/>
      <c r="F4" s="185"/>
      <c r="G4" s="185"/>
      <c r="H4" s="185"/>
      <c r="I4" s="185"/>
      <c r="J4" s="185"/>
      <c r="K4" s="185"/>
      <c r="L4" s="185"/>
      <c r="M4" s="185"/>
      <c r="N4" s="185"/>
      <c r="O4" s="185"/>
      <c r="P4" s="185"/>
      <c r="Q4" s="185"/>
      <c r="R4" s="185"/>
      <c r="S4" s="185"/>
      <c r="T4" s="185"/>
      <c r="U4" s="185"/>
      <c r="V4" s="185"/>
      <c r="W4" s="185"/>
      <c r="X4" s="5"/>
    </row>
    <row r="5" spans="1:24" ht="15.6" x14ac:dyDescent="0.3">
      <c r="A5" s="183"/>
      <c r="B5" s="221" t="s">
        <v>137</v>
      </c>
      <c r="C5" s="185"/>
      <c r="D5" s="185"/>
      <c r="E5" s="185"/>
      <c r="F5" s="185"/>
      <c r="G5" s="185"/>
      <c r="H5" s="185"/>
      <c r="I5" s="185"/>
      <c r="J5" s="185"/>
      <c r="K5" s="185"/>
      <c r="L5" s="185"/>
      <c r="M5" s="185"/>
      <c r="N5" s="185"/>
      <c r="O5" s="185"/>
      <c r="P5" s="185"/>
      <c r="Q5" s="185"/>
      <c r="R5" s="185"/>
      <c r="S5" s="185"/>
      <c r="T5" s="185"/>
      <c r="U5" s="185"/>
      <c r="V5" s="185"/>
      <c r="W5" s="185"/>
      <c r="X5" s="5"/>
    </row>
    <row r="6" spans="1:24" ht="15.6" x14ac:dyDescent="0.3">
      <c r="A6" s="183"/>
      <c r="B6" s="221" t="s">
        <v>139</v>
      </c>
      <c r="C6" s="185"/>
      <c r="D6" s="185"/>
      <c r="E6" s="185"/>
      <c r="F6" s="185"/>
      <c r="G6" s="185"/>
      <c r="H6" s="185"/>
      <c r="I6" s="185"/>
      <c r="J6" s="185"/>
      <c r="K6" s="185"/>
      <c r="L6" s="185"/>
      <c r="M6" s="185"/>
      <c r="N6" s="185"/>
      <c r="O6" s="185"/>
      <c r="P6" s="185"/>
      <c r="Q6" s="185"/>
      <c r="R6" s="185"/>
      <c r="S6" s="185"/>
      <c r="T6" s="185"/>
      <c r="U6" s="185"/>
      <c r="V6" s="185"/>
      <c r="W6" s="185"/>
      <c r="X6" s="5"/>
    </row>
    <row r="7" spans="1:24" ht="15.6" x14ac:dyDescent="0.3">
      <c r="A7" s="183"/>
      <c r="B7" s="221" t="s">
        <v>138</v>
      </c>
      <c r="C7" s="185"/>
      <c r="D7" s="185"/>
      <c r="E7" s="185"/>
      <c r="F7" s="185"/>
      <c r="G7" s="185"/>
      <c r="H7" s="185"/>
      <c r="I7" s="185"/>
      <c r="J7" s="185"/>
      <c r="K7" s="185"/>
      <c r="L7" s="185"/>
      <c r="M7" s="185"/>
      <c r="N7" s="185"/>
      <c r="O7" s="185"/>
      <c r="P7" s="185"/>
      <c r="Q7" s="185"/>
      <c r="R7" s="185"/>
      <c r="S7" s="185"/>
      <c r="T7" s="185"/>
      <c r="U7" s="185"/>
      <c r="V7" s="185"/>
      <c r="W7" s="185"/>
      <c r="X7" s="5"/>
    </row>
    <row r="8" spans="1:24" ht="15.6" x14ac:dyDescent="0.3">
      <c r="A8" s="183"/>
      <c r="B8" s="188"/>
      <c r="C8" s="185"/>
      <c r="D8" s="185"/>
      <c r="E8" s="185"/>
      <c r="F8" s="185"/>
      <c r="G8" s="185"/>
      <c r="H8" s="185"/>
      <c r="I8" s="185"/>
      <c r="J8" s="185"/>
      <c r="K8" s="185"/>
      <c r="L8" s="185"/>
      <c r="M8" s="185"/>
      <c r="N8" s="185"/>
      <c r="O8" s="185"/>
      <c r="P8" s="185"/>
      <c r="Q8" s="185"/>
      <c r="R8" s="185"/>
      <c r="S8" s="185"/>
      <c r="T8" s="185"/>
      <c r="U8" s="185"/>
      <c r="V8" s="185"/>
      <c r="W8" s="185"/>
      <c r="X8" s="5"/>
    </row>
    <row r="9" spans="1:24" ht="17.399999999999999" x14ac:dyDescent="0.3">
      <c r="A9" s="183"/>
      <c r="B9" s="189" t="s">
        <v>166</v>
      </c>
      <c r="C9" s="185"/>
      <c r="D9" s="185"/>
      <c r="E9" s="185"/>
      <c r="F9" s="185"/>
      <c r="G9" s="185"/>
      <c r="H9" s="185"/>
      <c r="I9" s="190" t="s">
        <v>167</v>
      </c>
      <c r="J9" s="185"/>
      <c r="K9" s="185"/>
      <c r="L9" s="190"/>
      <c r="M9" s="185"/>
      <c r="N9" s="190"/>
      <c r="O9" s="185"/>
      <c r="P9" s="185"/>
      <c r="Q9" s="185"/>
      <c r="R9" s="185"/>
      <c r="S9" s="185"/>
      <c r="T9" s="185"/>
      <c r="U9" s="185"/>
      <c r="V9" s="185"/>
      <c r="W9" s="185"/>
      <c r="X9" s="5"/>
    </row>
    <row r="10" spans="1:24" ht="15.6" x14ac:dyDescent="0.3">
      <c r="A10" s="183"/>
      <c r="B10" s="188"/>
      <c r="C10" s="191"/>
      <c r="D10" s="191"/>
      <c r="E10" s="191"/>
      <c r="F10" s="185"/>
      <c r="G10" s="185"/>
      <c r="H10" s="185"/>
      <c r="I10" s="185"/>
      <c r="J10" s="185"/>
      <c r="K10" s="185"/>
      <c r="L10" s="185"/>
      <c r="M10" s="185"/>
      <c r="N10" s="185"/>
      <c r="O10" s="185"/>
      <c r="P10" s="185"/>
      <c r="Q10" s="185"/>
      <c r="R10" s="185"/>
      <c r="S10" s="185"/>
      <c r="T10" s="185"/>
      <c r="U10" s="185"/>
      <c r="V10" s="185"/>
      <c r="W10" s="185"/>
      <c r="X10" s="5"/>
    </row>
    <row r="11" spans="1:24" ht="15.6" x14ac:dyDescent="0.3">
      <c r="A11" s="183"/>
      <c r="B11" s="222" t="s">
        <v>0</v>
      </c>
      <c r="C11" s="185"/>
      <c r="D11" s="185"/>
      <c r="E11" s="185"/>
      <c r="F11" s="185"/>
      <c r="G11" s="185"/>
      <c r="H11" s="185"/>
      <c r="I11" s="185"/>
      <c r="J11" s="185"/>
      <c r="K11" s="185"/>
      <c r="L11" s="185"/>
      <c r="M11" s="185"/>
      <c r="N11" s="185"/>
      <c r="O11" s="185"/>
      <c r="P11" s="185"/>
      <c r="Q11" s="185"/>
      <c r="R11" s="185"/>
      <c r="S11" s="185"/>
      <c r="T11" s="185"/>
      <c r="U11" s="185"/>
      <c r="V11" s="185"/>
      <c r="W11" s="185"/>
      <c r="X11" s="5"/>
    </row>
    <row r="12" spans="1:24" ht="16.2" thickBot="1" x14ac:dyDescent="0.35">
      <c r="A12" s="183"/>
      <c r="B12" s="191"/>
      <c r="C12" s="185"/>
      <c r="D12" s="185"/>
      <c r="E12" s="185"/>
      <c r="F12" s="185"/>
      <c r="G12" s="185"/>
      <c r="H12" s="185"/>
      <c r="I12" s="185"/>
      <c r="J12" s="185"/>
      <c r="K12" s="185"/>
      <c r="L12" s="185"/>
      <c r="M12" s="185"/>
      <c r="N12" s="185"/>
      <c r="O12" s="185"/>
      <c r="P12" s="185"/>
      <c r="Q12" s="185"/>
      <c r="R12" s="185"/>
      <c r="S12" s="185"/>
      <c r="T12" s="185"/>
      <c r="U12" s="185"/>
      <c r="V12" s="185"/>
      <c r="W12" s="185"/>
      <c r="X12" s="5"/>
    </row>
    <row r="13" spans="1:24" ht="15.6" x14ac:dyDescent="0.3">
      <c r="A13" s="180"/>
      <c r="B13" s="181"/>
      <c r="C13" s="181"/>
      <c r="D13" s="181"/>
      <c r="E13" s="181"/>
      <c r="F13" s="181"/>
      <c r="G13" s="181"/>
      <c r="H13" s="181"/>
      <c r="I13" s="181"/>
      <c r="J13" s="181"/>
      <c r="K13" s="181"/>
      <c r="L13" s="181"/>
      <c r="M13" s="181"/>
      <c r="N13" s="181"/>
      <c r="O13" s="181"/>
      <c r="P13" s="181"/>
      <c r="Q13" s="181"/>
      <c r="R13" s="181"/>
      <c r="S13" s="181"/>
      <c r="T13" s="181"/>
      <c r="U13" s="181"/>
      <c r="V13" s="181"/>
      <c r="W13" s="181"/>
      <c r="X13" s="5"/>
    </row>
    <row r="14" spans="1:24" ht="15.6" x14ac:dyDescent="0.3">
      <c r="A14" s="183"/>
      <c r="B14" s="222" t="s">
        <v>1</v>
      </c>
      <c r="C14" s="192"/>
      <c r="D14" s="192"/>
      <c r="E14" s="192"/>
      <c r="F14" s="192"/>
      <c r="G14" s="192"/>
      <c r="H14" s="192"/>
      <c r="I14" s="192"/>
      <c r="J14" s="192"/>
      <c r="K14" s="192"/>
      <c r="L14" s="192"/>
      <c r="M14" s="192"/>
      <c r="N14" s="192"/>
      <c r="O14" s="192"/>
      <c r="P14" s="192"/>
      <c r="Q14" s="192"/>
      <c r="R14" s="224"/>
      <c r="S14" s="224"/>
      <c r="T14" s="224"/>
      <c r="U14" s="224"/>
      <c r="V14" s="225" t="s">
        <v>246</v>
      </c>
      <c r="W14" s="192"/>
      <c r="X14" s="5"/>
    </row>
    <row r="15" spans="1:24" ht="15.6" x14ac:dyDescent="0.3">
      <c r="A15" s="183"/>
      <c r="B15" s="222" t="s">
        <v>2</v>
      </c>
      <c r="C15" s="192"/>
      <c r="D15" s="192"/>
      <c r="E15" s="192"/>
      <c r="F15" s="192"/>
      <c r="G15" s="192"/>
      <c r="H15" s="193"/>
      <c r="I15" s="193"/>
      <c r="J15" s="193"/>
      <c r="K15" s="193"/>
      <c r="L15" s="193"/>
      <c r="M15" s="193"/>
      <c r="N15" s="193"/>
      <c r="O15" s="193"/>
      <c r="P15" s="193"/>
      <c r="Q15" s="193"/>
      <c r="R15" s="226" t="s">
        <v>104</v>
      </c>
      <c r="S15" s="227">
        <v>0.38300000000000001</v>
      </c>
      <c r="T15" s="228" t="s">
        <v>140</v>
      </c>
      <c r="U15" s="227">
        <v>0.61699999999999999</v>
      </c>
      <c r="V15" s="225"/>
      <c r="W15" s="192"/>
      <c r="X15" s="5"/>
    </row>
    <row r="16" spans="1:24" ht="15.6" x14ac:dyDescent="0.3">
      <c r="A16" s="183"/>
      <c r="B16" s="222" t="s">
        <v>3</v>
      </c>
      <c r="C16" s="192"/>
      <c r="D16" s="192"/>
      <c r="E16" s="192"/>
      <c r="F16" s="192"/>
      <c r="G16" s="192"/>
      <c r="H16" s="193"/>
      <c r="I16" s="193"/>
      <c r="J16" s="193"/>
      <c r="K16" s="193"/>
      <c r="L16" s="193"/>
      <c r="M16" s="193"/>
      <c r="N16" s="193"/>
      <c r="O16" s="193"/>
      <c r="P16" s="193"/>
      <c r="Q16" s="193"/>
      <c r="R16" s="226" t="s">
        <v>104</v>
      </c>
      <c r="S16" s="227">
        <v>0.46820000000000001</v>
      </c>
      <c r="T16" s="228" t="s">
        <v>140</v>
      </c>
      <c r="U16" s="227">
        <v>0.53180000000000005</v>
      </c>
      <c r="V16" s="225"/>
      <c r="W16" s="192"/>
      <c r="X16" s="5"/>
    </row>
    <row r="17" spans="1:24" ht="15.6" x14ac:dyDescent="0.3">
      <c r="A17" s="183"/>
      <c r="B17" s="222" t="s">
        <v>4</v>
      </c>
      <c r="C17" s="192"/>
      <c r="D17" s="192"/>
      <c r="E17" s="192"/>
      <c r="F17" s="192"/>
      <c r="G17" s="192"/>
      <c r="H17" s="192"/>
      <c r="I17" s="192"/>
      <c r="J17" s="192"/>
      <c r="K17" s="192"/>
      <c r="L17" s="192"/>
      <c r="M17" s="192"/>
      <c r="N17" s="192"/>
      <c r="O17" s="192"/>
      <c r="P17" s="192"/>
      <c r="Q17" s="192"/>
      <c r="R17" s="224"/>
      <c r="S17" s="224"/>
      <c r="T17" s="224"/>
      <c r="U17" s="224"/>
      <c r="V17" s="229">
        <v>39163</v>
      </c>
      <c r="W17" s="192"/>
      <c r="X17" s="5"/>
    </row>
    <row r="18" spans="1:24" ht="15.6" x14ac:dyDescent="0.3">
      <c r="A18" s="183"/>
      <c r="B18" s="222" t="s">
        <v>5</v>
      </c>
      <c r="C18" s="192"/>
      <c r="D18" s="192"/>
      <c r="E18" s="192"/>
      <c r="F18" s="192"/>
      <c r="G18" s="192"/>
      <c r="H18" s="192"/>
      <c r="I18" s="192"/>
      <c r="J18" s="192"/>
      <c r="K18" s="192"/>
      <c r="L18" s="192"/>
      <c r="M18" s="192"/>
      <c r="N18" s="192"/>
      <c r="O18" s="192"/>
      <c r="P18" s="192"/>
      <c r="Q18" s="192"/>
      <c r="R18" s="224"/>
      <c r="S18" s="224"/>
      <c r="T18" s="224"/>
      <c r="U18" s="224"/>
      <c r="V18" s="229">
        <v>41992</v>
      </c>
      <c r="W18" s="192"/>
      <c r="X18" s="5"/>
    </row>
    <row r="19" spans="1:24" ht="15.6" x14ac:dyDescent="0.3">
      <c r="A19" s="183"/>
      <c r="B19" s="185"/>
      <c r="C19" s="185"/>
      <c r="D19" s="185"/>
      <c r="E19" s="185"/>
      <c r="F19" s="185"/>
      <c r="G19" s="185"/>
      <c r="H19" s="185"/>
      <c r="I19" s="185"/>
      <c r="J19" s="185"/>
      <c r="K19" s="185"/>
      <c r="L19" s="185"/>
      <c r="M19" s="185"/>
      <c r="N19" s="185"/>
      <c r="O19" s="185"/>
      <c r="P19" s="185"/>
      <c r="Q19" s="185"/>
      <c r="R19" s="185"/>
      <c r="S19" s="185"/>
      <c r="T19" s="185"/>
      <c r="U19" s="185"/>
      <c r="V19" s="194"/>
      <c r="W19" s="185"/>
      <c r="X19" s="5"/>
    </row>
    <row r="20" spans="1:24" ht="15.6" x14ac:dyDescent="0.3">
      <c r="A20" s="183"/>
      <c r="B20" s="230" t="s">
        <v>6</v>
      </c>
      <c r="C20" s="185"/>
      <c r="D20" s="185"/>
      <c r="E20" s="185"/>
      <c r="F20" s="185"/>
      <c r="G20" s="185"/>
      <c r="H20" s="185"/>
      <c r="I20" s="185"/>
      <c r="J20" s="185"/>
      <c r="K20" s="185"/>
      <c r="L20" s="185"/>
      <c r="M20" s="185"/>
      <c r="N20" s="185"/>
      <c r="O20" s="185"/>
      <c r="P20" s="185"/>
      <c r="Q20" s="185"/>
      <c r="R20" s="185"/>
      <c r="S20" s="185"/>
      <c r="T20" s="223" t="s">
        <v>105</v>
      </c>
      <c r="U20" s="185"/>
      <c r="V20" s="182"/>
      <c r="W20" s="185"/>
      <c r="X20" s="5"/>
    </row>
    <row r="21" spans="1:24" ht="15.6" x14ac:dyDescent="0.3">
      <c r="A21" s="183"/>
      <c r="B21" s="185"/>
      <c r="C21" s="185"/>
      <c r="D21" s="185"/>
      <c r="E21" s="185"/>
      <c r="F21" s="185"/>
      <c r="G21" s="185"/>
      <c r="H21" s="185"/>
      <c r="I21" s="185"/>
      <c r="J21" s="185"/>
      <c r="K21" s="185"/>
      <c r="L21" s="185"/>
      <c r="M21" s="185"/>
      <c r="N21" s="185"/>
      <c r="O21" s="185"/>
      <c r="P21" s="185"/>
      <c r="Q21" s="185"/>
      <c r="R21" s="185"/>
      <c r="S21" s="185"/>
      <c r="T21" s="185"/>
      <c r="U21" s="185"/>
      <c r="V21" s="196"/>
      <c r="W21" s="185"/>
      <c r="X21" s="5"/>
    </row>
    <row r="22" spans="1:24" ht="15.6" x14ac:dyDescent="0.3">
      <c r="A22" s="262"/>
      <c r="B22" s="263"/>
      <c r="C22" s="264"/>
      <c r="D22" s="264" t="s">
        <v>177</v>
      </c>
      <c r="E22" s="264"/>
      <c r="F22" s="264" t="s">
        <v>178</v>
      </c>
      <c r="G22" s="264"/>
      <c r="H22" s="264" t="s">
        <v>179</v>
      </c>
      <c r="I22" s="264"/>
      <c r="J22" s="264" t="s">
        <v>220</v>
      </c>
      <c r="K22" s="264"/>
      <c r="L22" s="264" t="s">
        <v>180</v>
      </c>
      <c r="M22" s="264"/>
      <c r="N22" s="264" t="s">
        <v>181</v>
      </c>
      <c r="O22" s="264"/>
      <c r="P22" s="264" t="s">
        <v>221</v>
      </c>
      <c r="Q22" s="264"/>
      <c r="R22" s="264" t="s">
        <v>182</v>
      </c>
      <c r="S22" s="266"/>
      <c r="T22" s="266"/>
      <c r="U22" s="267"/>
      <c r="V22" s="267"/>
      <c r="W22" s="263"/>
      <c r="X22" s="5"/>
    </row>
    <row r="23" spans="1:24" ht="15.6" x14ac:dyDescent="0.3">
      <c r="A23" s="287"/>
      <c r="B23" s="288" t="s">
        <v>7</v>
      </c>
      <c r="C23" s="289"/>
      <c r="D23" s="289" t="s">
        <v>213</v>
      </c>
      <c r="E23" s="289"/>
      <c r="F23" s="289" t="s">
        <v>141</v>
      </c>
      <c r="G23" s="289"/>
      <c r="H23" s="289" t="s">
        <v>141</v>
      </c>
      <c r="I23" s="289"/>
      <c r="J23" s="289" t="s">
        <v>141</v>
      </c>
      <c r="K23" s="289"/>
      <c r="L23" s="289" t="s">
        <v>183</v>
      </c>
      <c r="M23" s="289"/>
      <c r="N23" s="289" t="s">
        <v>183</v>
      </c>
      <c r="O23" s="289"/>
      <c r="P23" s="289" t="s">
        <v>142</v>
      </c>
      <c r="Q23" s="289"/>
      <c r="R23" s="289" t="s">
        <v>142</v>
      </c>
      <c r="S23" s="289"/>
      <c r="T23" s="289"/>
      <c r="U23" s="290"/>
      <c r="V23" s="290"/>
      <c r="W23" s="291"/>
      <c r="X23" s="5"/>
    </row>
    <row r="24" spans="1:24" ht="15.6" x14ac:dyDescent="0.3">
      <c r="A24" s="287"/>
      <c r="B24" s="288" t="s">
        <v>8</v>
      </c>
      <c r="C24" s="289"/>
      <c r="D24" s="289" t="s">
        <v>214</v>
      </c>
      <c r="E24" s="289"/>
      <c r="F24" s="289" t="s">
        <v>143</v>
      </c>
      <c r="G24" s="289"/>
      <c r="H24" s="289" t="s">
        <v>143</v>
      </c>
      <c r="I24" s="289"/>
      <c r="J24" s="289" t="s">
        <v>143</v>
      </c>
      <c r="K24" s="289"/>
      <c r="L24" s="289" t="s">
        <v>165</v>
      </c>
      <c r="M24" s="289"/>
      <c r="N24" s="289" t="s">
        <v>165</v>
      </c>
      <c r="O24" s="289"/>
      <c r="P24" s="289" t="s">
        <v>144</v>
      </c>
      <c r="Q24" s="289"/>
      <c r="R24" s="289" t="s">
        <v>144</v>
      </c>
      <c r="S24" s="289"/>
      <c r="T24" s="289"/>
      <c r="U24" s="290"/>
      <c r="V24" s="290"/>
      <c r="W24" s="291"/>
      <c r="X24" s="5"/>
    </row>
    <row r="25" spans="1:24" ht="15.6" x14ac:dyDescent="0.3">
      <c r="A25" s="292"/>
      <c r="B25" s="288" t="s">
        <v>190</v>
      </c>
      <c r="C25" s="398"/>
      <c r="D25" s="289" t="s">
        <v>215</v>
      </c>
      <c r="E25" s="289"/>
      <c r="F25" s="289" t="s">
        <v>143</v>
      </c>
      <c r="G25" s="289"/>
      <c r="H25" s="289" t="s">
        <v>143</v>
      </c>
      <c r="I25" s="289"/>
      <c r="J25" s="289" t="s">
        <v>143</v>
      </c>
      <c r="K25" s="289"/>
      <c r="L25" s="289" t="s">
        <v>293</v>
      </c>
      <c r="M25" s="289"/>
      <c r="N25" s="289" t="s">
        <v>293</v>
      </c>
      <c r="O25" s="289"/>
      <c r="P25" s="289" t="s">
        <v>144</v>
      </c>
      <c r="Q25" s="289"/>
      <c r="R25" s="289" t="s">
        <v>144</v>
      </c>
      <c r="S25" s="398"/>
      <c r="T25" s="289"/>
      <c r="U25" s="290"/>
      <c r="V25" s="290"/>
      <c r="W25" s="291"/>
      <c r="X25" s="5"/>
    </row>
    <row r="26" spans="1:24" ht="15.6" x14ac:dyDescent="0.3">
      <c r="A26" s="292"/>
      <c r="B26" s="295" t="s">
        <v>9</v>
      </c>
      <c r="C26" s="398"/>
      <c r="D26" s="398" t="s">
        <v>332</v>
      </c>
      <c r="E26" s="398"/>
      <c r="F26" s="398" t="s">
        <v>333</v>
      </c>
      <c r="G26" s="398"/>
      <c r="H26" s="398" t="s">
        <v>333</v>
      </c>
      <c r="I26" s="398"/>
      <c r="J26" s="398" t="s">
        <v>333</v>
      </c>
      <c r="K26" s="398"/>
      <c r="L26" s="398" t="s">
        <v>334</v>
      </c>
      <c r="M26" s="398"/>
      <c r="N26" s="398" t="s">
        <v>334</v>
      </c>
      <c r="O26" s="398"/>
      <c r="P26" s="398" t="s">
        <v>335</v>
      </c>
      <c r="Q26" s="398"/>
      <c r="R26" s="398" t="s">
        <v>335</v>
      </c>
      <c r="S26" s="398"/>
      <c r="T26" s="289"/>
      <c r="U26" s="290"/>
      <c r="V26" s="290"/>
      <c r="W26" s="291"/>
      <c r="X26" s="5"/>
    </row>
    <row r="27" spans="1:24" ht="15.6" x14ac:dyDescent="0.3">
      <c r="A27" s="287"/>
      <c r="B27" s="295" t="s">
        <v>191</v>
      </c>
      <c r="C27" s="289"/>
      <c r="D27" s="398" t="s">
        <v>317</v>
      </c>
      <c r="E27" s="398"/>
      <c r="F27" s="398" t="s">
        <v>143</v>
      </c>
      <c r="G27" s="398"/>
      <c r="H27" s="398" t="s">
        <v>143</v>
      </c>
      <c r="I27" s="398"/>
      <c r="J27" s="398" t="s">
        <v>143</v>
      </c>
      <c r="K27" s="398"/>
      <c r="L27" s="398" t="s">
        <v>319</v>
      </c>
      <c r="M27" s="398"/>
      <c r="N27" s="398" t="s">
        <v>319</v>
      </c>
      <c r="O27" s="398"/>
      <c r="P27" s="398" t="s">
        <v>320</v>
      </c>
      <c r="Q27" s="398"/>
      <c r="R27" s="398" t="s">
        <v>320</v>
      </c>
      <c r="S27" s="289"/>
      <c r="T27" s="296"/>
      <c r="U27" s="290"/>
      <c r="V27" s="290"/>
      <c r="W27" s="291"/>
      <c r="X27" s="5"/>
    </row>
    <row r="28" spans="1:24" ht="15.6" x14ac:dyDescent="0.3">
      <c r="A28" s="287"/>
      <c r="B28" s="295" t="s">
        <v>192</v>
      </c>
      <c r="C28" s="289"/>
      <c r="D28" s="398" t="s">
        <v>314</v>
      </c>
      <c r="E28" s="398"/>
      <c r="F28" s="398" t="s">
        <v>143</v>
      </c>
      <c r="G28" s="398"/>
      <c r="H28" s="398" t="s">
        <v>143</v>
      </c>
      <c r="I28" s="398"/>
      <c r="J28" s="398" t="s">
        <v>143</v>
      </c>
      <c r="K28" s="398"/>
      <c r="L28" s="398" t="s">
        <v>293</v>
      </c>
      <c r="M28" s="398"/>
      <c r="N28" s="398" t="s">
        <v>293</v>
      </c>
      <c r="O28" s="398"/>
      <c r="P28" s="398" t="s">
        <v>337</v>
      </c>
      <c r="Q28" s="398"/>
      <c r="R28" s="398" t="s">
        <v>337</v>
      </c>
      <c r="S28" s="289"/>
      <c r="T28" s="296"/>
      <c r="U28" s="290"/>
      <c r="V28" s="290"/>
      <c r="W28" s="291"/>
      <c r="X28" s="5"/>
    </row>
    <row r="29" spans="1:24" ht="15.6" x14ac:dyDescent="0.3">
      <c r="A29" s="287"/>
      <c r="B29" s="288" t="s">
        <v>10</v>
      </c>
      <c r="C29" s="298"/>
      <c r="D29" s="289" t="s">
        <v>249</v>
      </c>
      <c r="E29" s="289"/>
      <c r="F29" s="296" t="s">
        <v>250</v>
      </c>
      <c r="G29" s="289"/>
      <c r="H29" s="289" t="s">
        <v>251</v>
      </c>
      <c r="I29" s="289"/>
      <c r="J29" s="289" t="s">
        <v>253</v>
      </c>
      <c r="K29" s="289"/>
      <c r="L29" s="289" t="s">
        <v>254</v>
      </c>
      <c r="M29" s="289"/>
      <c r="N29" s="289" t="s">
        <v>255</v>
      </c>
      <c r="O29" s="289"/>
      <c r="P29" s="289" t="s">
        <v>256</v>
      </c>
      <c r="Q29" s="289"/>
      <c r="R29" s="289" t="s">
        <v>257</v>
      </c>
      <c r="S29" s="299"/>
      <c r="T29" s="299"/>
      <c r="U29" s="300"/>
      <c r="V29" s="299"/>
      <c r="W29" s="301"/>
      <c r="X29" s="5"/>
    </row>
    <row r="30" spans="1:24" ht="15.6" x14ac:dyDescent="0.3">
      <c r="A30" s="287"/>
      <c r="B30" s="288" t="s">
        <v>10</v>
      </c>
      <c r="C30" s="298"/>
      <c r="D30" s="289" t="s">
        <v>248</v>
      </c>
      <c r="E30" s="289"/>
      <c r="F30" s="296" t="s">
        <v>118</v>
      </c>
      <c r="G30" s="289"/>
      <c r="H30" s="289" t="s">
        <v>118</v>
      </c>
      <c r="I30" s="289"/>
      <c r="J30" s="289" t="s">
        <v>252</v>
      </c>
      <c r="K30" s="289"/>
      <c r="L30" s="289" t="s">
        <v>118</v>
      </c>
      <c r="M30" s="289"/>
      <c r="N30" s="289" t="s">
        <v>118</v>
      </c>
      <c r="O30" s="289"/>
      <c r="P30" s="289" t="s">
        <v>118</v>
      </c>
      <c r="Q30" s="289"/>
      <c r="R30" s="289" t="s">
        <v>118</v>
      </c>
      <c r="S30" s="299"/>
      <c r="T30" s="299"/>
      <c r="U30" s="300"/>
      <c r="V30" s="299"/>
      <c r="W30" s="301"/>
      <c r="X30" s="5"/>
    </row>
    <row r="31" spans="1:24" ht="15.6" x14ac:dyDescent="0.3">
      <c r="A31" s="292"/>
      <c r="B31" s="288" t="s">
        <v>133</v>
      </c>
      <c r="C31" s="302"/>
      <c r="D31" s="303">
        <v>1500000</v>
      </c>
      <c r="E31" s="298"/>
      <c r="F31" s="299">
        <v>125000</v>
      </c>
      <c r="G31" s="299"/>
      <c r="H31" s="304">
        <v>246000</v>
      </c>
      <c r="I31" s="304"/>
      <c r="J31" s="303">
        <v>400000</v>
      </c>
      <c r="K31" s="299"/>
      <c r="L31" s="299">
        <v>51900</v>
      </c>
      <c r="M31" s="299"/>
      <c r="N31" s="304">
        <v>88800</v>
      </c>
      <c r="O31" s="299"/>
      <c r="P31" s="299">
        <v>20000</v>
      </c>
      <c r="Q31" s="299"/>
      <c r="R31" s="304">
        <v>135500</v>
      </c>
      <c r="S31" s="305"/>
      <c r="T31" s="305"/>
      <c r="U31" s="306"/>
      <c r="V31" s="305"/>
      <c r="W31" s="301"/>
      <c r="X31" s="5"/>
    </row>
    <row r="32" spans="1:24" ht="15.6" x14ac:dyDescent="0.3">
      <c r="A32" s="287"/>
      <c r="B32" s="288" t="s">
        <v>132</v>
      </c>
      <c r="C32" s="298"/>
      <c r="D32" s="303">
        <f>D31*D38</f>
        <v>967082.1</v>
      </c>
      <c r="E32" s="298"/>
      <c r="F32" s="299">
        <f>F31*F38</f>
        <v>80590.324999999997</v>
      </c>
      <c r="G32" s="299"/>
      <c r="H32" s="304">
        <f>H31*H38</f>
        <v>158601.75960000002</v>
      </c>
      <c r="I32" s="304"/>
      <c r="J32" s="303">
        <f>J31*J38</f>
        <v>257888.56</v>
      </c>
      <c r="K32" s="299"/>
      <c r="L32" s="299">
        <f>+L31</f>
        <v>51900</v>
      </c>
      <c r="M32" s="299"/>
      <c r="N32" s="304">
        <f>+N31</f>
        <v>88800</v>
      </c>
      <c r="O32" s="299"/>
      <c r="P32" s="299">
        <f>+P31</f>
        <v>20000</v>
      </c>
      <c r="Q32" s="299"/>
      <c r="R32" s="304">
        <f>+R31</f>
        <v>135500</v>
      </c>
      <c r="S32" s="299"/>
      <c r="T32" s="299"/>
      <c r="U32" s="300"/>
      <c r="V32" s="299"/>
      <c r="W32" s="301"/>
      <c r="X32" s="5"/>
    </row>
    <row r="33" spans="1:24" ht="15.6" x14ac:dyDescent="0.3">
      <c r="A33" s="287"/>
      <c r="B33" s="295" t="s">
        <v>134</v>
      </c>
      <c r="C33" s="298"/>
      <c r="D33" s="307">
        <f>D37*D31</f>
        <v>952867.05</v>
      </c>
      <c r="E33" s="302"/>
      <c r="F33" s="305">
        <f>F37*F31</f>
        <v>79405.75</v>
      </c>
      <c r="G33" s="305"/>
      <c r="H33" s="308">
        <f>H31*H37</f>
        <v>156270.516</v>
      </c>
      <c r="I33" s="308"/>
      <c r="J33" s="307">
        <f>J37*J31</f>
        <v>254097.88</v>
      </c>
      <c r="K33" s="305"/>
      <c r="L33" s="305">
        <f>L31*L37</f>
        <v>51900</v>
      </c>
      <c r="M33" s="305"/>
      <c r="N33" s="308">
        <f>N31*N37</f>
        <v>88800</v>
      </c>
      <c r="O33" s="305"/>
      <c r="P33" s="305">
        <f>P31*P37</f>
        <v>20000</v>
      </c>
      <c r="Q33" s="305"/>
      <c r="R33" s="308">
        <f>R31*R37</f>
        <v>135500</v>
      </c>
      <c r="S33" s="299"/>
      <c r="T33" s="299"/>
      <c r="U33" s="300"/>
      <c r="V33" s="299"/>
      <c r="W33" s="301"/>
      <c r="X33" s="5"/>
    </row>
    <row r="34" spans="1:24" ht="15.6" x14ac:dyDescent="0.3">
      <c r="A34" s="292"/>
      <c r="B34" s="288" t="s">
        <v>296</v>
      </c>
      <c r="C34" s="302"/>
      <c r="D34" s="299">
        <v>775194</v>
      </c>
      <c r="E34" s="298"/>
      <c r="F34" s="299">
        <v>125000</v>
      </c>
      <c r="G34" s="299"/>
      <c r="H34" s="299">
        <v>168148</v>
      </c>
      <c r="I34" s="299"/>
      <c r="J34" s="299">
        <v>206718</v>
      </c>
      <c r="K34" s="299"/>
      <c r="L34" s="299">
        <v>51900</v>
      </c>
      <c r="M34" s="299"/>
      <c r="N34" s="299">
        <v>60697</v>
      </c>
      <c r="O34" s="299"/>
      <c r="P34" s="299">
        <v>20000</v>
      </c>
      <c r="Q34" s="299"/>
      <c r="R34" s="299">
        <v>92618</v>
      </c>
      <c r="S34" s="305"/>
      <c r="T34" s="305"/>
      <c r="U34" s="306"/>
      <c r="V34" s="299">
        <f>SUM(C34:R34)</f>
        <v>1500275</v>
      </c>
      <c r="W34" s="301"/>
      <c r="X34" s="5"/>
    </row>
    <row r="35" spans="1:24" ht="15.6" x14ac:dyDescent="0.3">
      <c r="A35" s="292"/>
      <c r="B35" s="288" t="s">
        <v>297</v>
      </c>
      <c r="C35" s="302"/>
      <c r="D35" s="299">
        <f>D34*D38</f>
        <v>499784.1609516</v>
      </c>
      <c r="E35" s="298"/>
      <c r="F35" s="299">
        <f>F34*F38</f>
        <v>80590.324999999997</v>
      </c>
      <c r="G35" s="299"/>
      <c r="H35" s="299">
        <f>H34*H38</f>
        <v>108408.81574480001</v>
      </c>
      <c r="I35" s="299"/>
      <c r="J35" s="299">
        <f>J34*J38</f>
        <v>133275.5183652</v>
      </c>
      <c r="K35" s="299"/>
      <c r="L35" s="299">
        <f>+L34</f>
        <v>51900</v>
      </c>
      <c r="M35" s="299"/>
      <c r="N35" s="299">
        <f>+N34</f>
        <v>60697</v>
      </c>
      <c r="O35" s="299"/>
      <c r="P35" s="299">
        <f>+P34</f>
        <v>20000</v>
      </c>
      <c r="Q35" s="299"/>
      <c r="R35" s="299">
        <f>+R34</f>
        <v>92618</v>
      </c>
      <c r="S35" s="299"/>
      <c r="T35" s="299"/>
      <c r="U35" s="300"/>
      <c r="V35" s="299">
        <f>SUM(C35:R35)</f>
        <v>1047273.8200616001</v>
      </c>
      <c r="W35" s="301"/>
      <c r="X35" s="5"/>
    </row>
    <row r="36" spans="1:24" ht="15.6" x14ac:dyDescent="0.3">
      <c r="A36" s="292"/>
      <c r="B36" s="295" t="s">
        <v>298</v>
      </c>
      <c r="C36" s="302"/>
      <c r="D36" s="305">
        <f>D34*D37</f>
        <v>492437.87997180002</v>
      </c>
      <c r="E36" s="302"/>
      <c r="F36" s="305">
        <f>F34*F37</f>
        <v>79405.75</v>
      </c>
      <c r="G36" s="305"/>
      <c r="H36" s="305">
        <f>H34*H37</f>
        <v>106815.34440799999</v>
      </c>
      <c r="I36" s="305"/>
      <c r="J36" s="305">
        <f>J34*J37</f>
        <v>131316.51389460001</v>
      </c>
      <c r="K36" s="305"/>
      <c r="L36" s="305">
        <f>L34*L37</f>
        <v>51900</v>
      </c>
      <c r="M36" s="305"/>
      <c r="N36" s="305">
        <f>N34*N37</f>
        <v>60697</v>
      </c>
      <c r="O36" s="305"/>
      <c r="P36" s="305">
        <f>P34*P37</f>
        <v>20000</v>
      </c>
      <c r="Q36" s="305"/>
      <c r="R36" s="305">
        <f>R34*R37</f>
        <v>92618</v>
      </c>
      <c r="S36" s="328"/>
      <c r="T36" s="328"/>
      <c r="U36" s="300"/>
      <c r="V36" s="305">
        <f>SUM(C36:R36)</f>
        <v>1035190.4882744</v>
      </c>
      <c r="W36" s="301"/>
      <c r="X36" s="5"/>
    </row>
    <row r="37" spans="1:24" ht="15.6" x14ac:dyDescent="0.3">
      <c r="A37" s="287"/>
      <c r="B37" s="313" t="s">
        <v>130</v>
      </c>
      <c r="C37" s="314"/>
      <c r="D37" s="315">
        <v>0.6352447</v>
      </c>
      <c r="E37" s="315"/>
      <c r="F37" s="315">
        <v>0.63524599999999998</v>
      </c>
      <c r="G37" s="315"/>
      <c r="H37" s="315">
        <v>0.63524599999999998</v>
      </c>
      <c r="I37" s="315"/>
      <c r="J37" s="315">
        <v>0.6352447</v>
      </c>
      <c r="K37" s="315"/>
      <c r="L37" s="315">
        <v>1</v>
      </c>
      <c r="M37" s="315"/>
      <c r="N37" s="315">
        <v>1</v>
      </c>
      <c r="O37" s="315"/>
      <c r="P37" s="315">
        <v>1</v>
      </c>
      <c r="Q37" s="315"/>
      <c r="R37" s="315">
        <v>1</v>
      </c>
      <c r="S37" s="316"/>
      <c r="T37" s="316"/>
      <c r="U37" s="317"/>
      <c r="V37" s="317"/>
      <c r="W37" s="318"/>
      <c r="X37" s="5"/>
    </row>
    <row r="38" spans="1:24" ht="15.6" x14ac:dyDescent="0.3">
      <c r="A38" s="287"/>
      <c r="B38" s="313" t="s">
        <v>131</v>
      </c>
      <c r="C38" s="314"/>
      <c r="D38" s="315">
        <v>0.6447214</v>
      </c>
      <c r="E38" s="315"/>
      <c r="F38" s="315">
        <v>0.64472260000000003</v>
      </c>
      <c r="G38" s="315"/>
      <c r="H38" s="315">
        <v>0.64472260000000003</v>
      </c>
      <c r="I38" s="315"/>
      <c r="J38" s="315">
        <v>0.6447214</v>
      </c>
      <c r="K38" s="315"/>
      <c r="L38" s="315">
        <v>1</v>
      </c>
      <c r="M38" s="315"/>
      <c r="N38" s="315">
        <v>1</v>
      </c>
      <c r="O38" s="315"/>
      <c r="P38" s="315">
        <v>1</v>
      </c>
      <c r="Q38" s="315"/>
      <c r="R38" s="315">
        <v>1</v>
      </c>
      <c r="S38" s="319"/>
      <c r="T38" s="320"/>
      <c r="U38" s="317"/>
      <c r="V38" s="319"/>
      <c r="W38" s="318"/>
      <c r="X38" s="5"/>
    </row>
    <row r="39" spans="1:24" ht="15.6" x14ac:dyDescent="0.3">
      <c r="A39" s="287"/>
      <c r="B39" s="288" t="s">
        <v>11</v>
      </c>
      <c r="C39" s="288"/>
      <c r="D39" s="296" t="s">
        <v>321</v>
      </c>
      <c r="E39" s="288"/>
      <c r="F39" s="296" t="s">
        <v>231</v>
      </c>
      <c r="G39" s="296"/>
      <c r="H39" s="296" t="s">
        <v>231</v>
      </c>
      <c r="I39" s="296"/>
      <c r="J39" s="296" t="s">
        <v>231</v>
      </c>
      <c r="K39" s="296"/>
      <c r="L39" s="296" t="s">
        <v>265</v>
      </c>
      <c r="M39" s="296"/>
      <c r="N39" s="296" t="s">
        <v>265</v>
      </c>
      <c r="O39" s="296"/>
      <c r="P39" s="296" t="s">
        <v>266</v>
      </c>
      <c r="Q39" s="296"/>
      <c r="R39" s="296" t="s">
        <v>266</v>
      </c>
      <c r="S39" s="321"/>
      <c r="T39" s="322"/>
      <c r="U39" s="290"/>
      <c r="V39" s="290"/>
      <c r="W39" s="291"/>
      <c r="X39" s="5"/>
    </row>
    <row r="40" spans="1:24" ht="15.6" x14ac:dyDescent="0.3">
      <c r="A40" s="287"/>
      <c r="B40" s="288" t="s">
        <v>12</v>
      </c>
      <c r="C40" s="288"/>
      <c r="D40" s="322">
        <v>3.5469999999999998E-3</v>
      </c>
      <c r="E40" s="288"/>
      <c r="F40" s="322">
        <v>7.6337999999999996E-3</v>
      </c>
      <c r="G40" s="321"/>
      <c r="H40" s="322">
        <v>2.8400000000000001E-3</v>
      </c>
      <c r="I40" s="322"/>
      <c r="J40" s="322">
        <v>4.3410000000000002E-3</v>
      </c>
      <c r="K40" s="321"/>
      <c r="L40" s="322">
        <v>9.2338000000000003E-3</v>
      </c>
      <c r="M40" s="321"/>
      <c r="N40" s="322">
        <v>4.4400000000000004E-3</v>
      </c>
      <c r="O40" s="321"/>
      <c r="P40" s="322">
        <v>1.32338E-2</v>
      </c>
      <c r="Q40" s="321"/>
      <c r="R40" s="322">
        <v>8.4399999999999996E-3</v>
      </c>
      <c r="S40" s="321"/>
      <c r="T40" s="322"/>
      <c r="U40" s="290"/>
      <c r="V40" s="296"/>
      <c r="W40" s="291"/>
      <c r="X40" s="5"/>
    </row>
    <row r="41" spans="1:24" ht="15.6" x14ac:dyDescent="0.3">
      <c r="A41" s="287"/>
      <c r="B41" s="288" t="s">
        <v>13</v>
      </c>
      <c r="C41" s="288"/>
      <c r="D41" s="322">
        <v>3.5500000000000002E-3</v>
      </c>
      <c r="E41" s="288"/>
      <c r="F41" s="322">
        <v>7.5813E-3</v>
      </c>
      <c r="G41" s="321"/>
      <c r="H41" s="322">
        <v>4.4200000000000003E-3</v>
      </c>
      <c r="I41" s="322"/>
      <c r="J41" s="322">
        <v>4.3059999999999999E-3</v>
      </c>
      <c r="K41" s="321"/>
      <c r="L41" s="322">
        <v>9.1812999999999999E-3</v>
      </c>
      <c r="M41" s="321"/>
      <c r="N41" s="322">
        <v>6.0200000000000002E-3</v>
      </c>
      <c r="O41" s="321"/>
      <c r="P41" s="322">
        <v>1.31813E-2</v>
      </c>
      <c r="Q41" s="321"/>
      <c r="R41" s="322">
        <v>1.0019999999999999E-2</v>
      </c>
      <c r="S41" s="321"/>
      <c r="T41" s="322"/>
      <c r="U41" s="290"/>
      <c r="V41" s="321" t="s">
        <v>193</v>
      </c>
      <c r="W41" s="291"/>
      <c r="X41" s="5"/>
    </row>
    <row r="42" spans="1:24" ht="15.6" x14ac:dyDescent="0.3">
      <c r="A42" s="287"/>
      <c r="B42" s="288" t="s">
        <v>299</v>
      </c>
      <c r="C42" s="288"/>
      <c r="D42" s="296" t="s">
        <v>322</v>
      </c>
      <c r="E42" s="288"/>
      <c r="F42" s="296" t="s">
        <v>231</v>
      </c>
      <c r="G42" s="296"/>
      <c r="H42" s="296" t="s">
        <v>323</v>
      </c>
      <c r="I42" s="296"/>
      <c r="J42" s="296" t="s">
        <v>324</v>
      </c>
      <c r="K42" s="296"/>
      <c r="L42" s="296" t="s">
        <v>265</v>
      </c>
      <c r="M42" s="296"/>
      <c r="N42" s="296" t="s">
        <v>234</v>
      </c>
      <c r="O42" s="296"/>
      <c r="P42" s="296" t="s">
        <v>266</v>
      </c>
      <c r="Q42" s="296"/>
      <c r="R42" s="296" t="s">
        <v>264</v>
      </c>
      <c r="S42" s="321"/>
      <c r="T42" s="322"/>
      <c r="U42" s="290"/>
      <c r="V42" s="290"/>
      <c r="W42" s="291"/>
      <c r="X42" s="5"/>
    </row>
    <row r="43" spans="1:24" ht="15.6" x14ac:dyDescent="0.3">
      <c r="A43" s="287"/>
      <c r="B43" s="288" t="s">
        <v>300</v>
      </c>
      <c r="C43" s="323"/>
      <c r="D43" s="322">
        <v>8.0078000000000007E-3</v>
      </c>
      <c r="E43" s="322"/>
      <c r="F43" s="322">
        <f>+F40</f>
        <v>7.6337999999999996E-3</v>
      </c>
      <c r="G43" s="322"/>
      <c r="H43" s="322">
        <v>7.9138000000000003E-3</v>
      </c>
      <c r="I43" s="322"/>
      <c r="J43" s="322">
        <v>8.3598000000000006E-3</v>
      </c>
      <c r="K43" s="322"/>
      <c r="L43" s="322">
        <f>+L40</f>
        <v>9.2338000000000003E-3</v>
      </c>
      <c r="M43" s="322"/>
      <c r="N43" s="322">
        <v>9.8258000000000009E-3</v>
      </c>
      <c r="O43" s="322"/>
      <c r="P43" s="322">
        <f>+P40</f>
        <v>1.32338E-2</v>
      </c>
      <c r="Q43" s="321"/>
      <c r="R43" s="322">
        <v>1.42998E-2</v>
      </c>
      <c r="S43" s="296"/>
      <c r="T43" s="296"/>
      <c r="U43" s="290"/>
      <c r="V43" s="321">
        <f>SUMPRODUCT(D43:R43,D35:R35)/V35</f>
        <v>8.8364569926702597E-3</v>
      </c>
      <c r="W43" s="291"/>
      <c r="X43" s="5"/>
    </row>
    <row r="44" spans="1:24" ht="15.6" x14ac:dyDescent="0.3">
      <c r="A44" s="287"/>
      <c r="B44" s="288" t="s">
        <v>301</v>
      </c>
      <c r="C44" s="323"/>
      <c r="D44" s="322">
        <v>7.9553000000000002E-3</v>
      </c>
      <c r="E44" s="322"/>
      <c r="F44" s="322">
        <f>+F41</f>
        <v>7.5813E-3</v>
      </c>
      <c r="G44" s="322"/>
      <c r="H44" s="322">
        <v>7.8612999999999999E-3</v>
      </c>
      <c r="I44" s="322"/>
      <c r="J44" s="322">
        <v>8.3073000000000001E-3</v>
      </c>
      <c r="K44" s="322"/>
      <c r="L44" s="322">
        <f>+L41</f>
        <v>9.1812999999999999E-3</v>
      </c>
      <c r="M44" s="322"/>
      <c r="N44" s="322">
        <v>9.7733000000000004E-3</v>
      </c>
      <c r="O44" s="322"/>
      <c r="P44" s="322">
        <f>+P41</f>
        <v>1.31813E-2</v>
      </c>
      <c r="Q44" s="321"/>
      <c r="R44" s="322">
        <v>1.4247299999999999E-2</v>
      </c>
      <c r="S44" s="296"/>
      <c r="T44" s="296"/>
      <c r="U44" s="290"/>
      <c r="V44" s="290"/>
      <c r="W44" s="291"/>
      <c r="X44" s="5"/>
    </row>
    <row r="45" spans="1:24" ht="15.6" x14ac:dyDescent="0.3">
      <c r="A45" s="287"/>
      <c r="B45" s="288" t="s">
        <v>14</v>
      </c>
      <c r="C45" s="288"/>
      <c r="D45" s="323">
        <v>40617</v>
      </c>
      <c r="E45" s="323"/>
      <c r="F45" s="323">
        <v>40617</v>
      </c>
      <c r="G45" s="323"/>
      <c r="H45" s="323">
        <v>40617</v>
      </c>
      <c r="I45" s="323"/>
      <c r="J45" s="323">
        <v>40617</v>
      </c>
      <c r="K45" s="323"/>
      <c r="L45" s="323">
        <v>40617</v>
      </c>
      <c r="M45" s="323"/>
      <c r="N45" s="323">
        <v>40617</v>
      </c>
      <c r="O45" s="323"/>
      <c r="P45" s="323">
        <v>40617</v>
      </c>
      <c r="Q45" s="323"/>
      <c r="R45" s="323">
        <v>40617</v>
      </c>
      <c r="S45" s="296"/>
      <c r="T45" s="296"/>
      <c r="U45" s="290"/>
      <c r="V45" s="290"/>
      <c r="W45" s="291"/>
      <c r="X45" s="5"/>
    </row>
    <row r="46" spans="1:24" ht="15.6" x14ac:dyDescent="0.3">
      <c r="A46" s="287"/>
      <c r="B46" s="288" t="s">
        <v>15</v>
      </c>
      <c r="C46" s="288"/>
      <c r="D46" s="323">
        <v>40983</v>
      </c>
      <c r="E46" s="323"/>
      <c r="F46" s="323">
        <v>40983</v>
      </c>
      <c r="G46" s="323"/>
      <c r="H46" s="323">
        <v>40983</v>
      </c>
      <c r="I46" s="323"/>
      <c r="J46" s="323">
        <v>40983</v>
      </c>
      <c r="K46" s="296"/>
      <c r="L46" s="323">
        <v>40983</v>
      </c>
      <c r="M46" s="296"/>
      <c r="N46" s="323">
        <v>40983</v>
      </c>
      <c r="O46" s="296"/>
      <c r="P46" s="323">
        <v>40983</v>
      </c>
      <c r="Q46" s="296"/>
      <c r="R46" s="323">
        <v>40983</v>
      </c>
      <c r="S46" s="296"/>
      <c r="T46" s="296"/>
      <c r="U46" s="290"/>
      <c r="V46" s="290"/>
      <c r="W46" s="291"/>
      <c r="X46" s="5"/>
    </row>
    <row r="47" spans="1:24" ht="15.6" x14ac:dyDescent="0.3">
      <c r="A47" s="287"/>
      <c r="B47" s="288" t="s">
        <v>119</v>
      </c>
      <c r="C47" s="288"/>
      <c r="D47" s="296" t="s">
        <v>231</v>
      </c>
      <c r="E47" s="288"/>
      <c r="F47" s="296" t="s">
        <v>231</v>
      </c>
      <c r="G47" s="296"/>
      <c r="H47" s="296" t="s">
        <v>231</v>
      </c>
      <c r="I47" s="296"/>
      <c r="J47" s="296" t="s">
        <v>231</v>
      </c>
      <c r="K47" s="296"/>
      <c r="L47" s="296" t="s">
        <v>265</v>
      </c>
      <c r="M47" s="296"/>
      <c r="N47" s="296" t="s">
        <v>265</v>
      </c>
      <c r="O47" s="296"/>
      <c r="P47" s="296" t="s">
        <v>266</v>
      </c>
      <c r="Q47" s="296"/>
      <c r="R47" s="296" t="s">
        <v>266</v>
      </c>
      <c r="S47" s="325"/>
      <c r="T47" s="325"/>
      <c r="U47" s="325"/>
      <c r="V47" s="325"/>
      <c r="W47" s="291"/>
      <c r="X47" s="5"/>
    </row>
    <row r="48" spans="1:24" ht="15.6" x14ac:dyDescent="0.3">
      <c r="A48" s="287"/>
      <c r="B48" s="288" t="s">
        <v>302</v>
      </c>
      <c r="C48" s="288"/>
      <c r="D48" s="296" t="s">
        <v>325</v>
      </c>
      <c r="E48" s="288"/>
      <c r="F48" s="296" t="s">
        <v>231</v>
      </c>
      <c r="G48" s="296"/>
      <c r="H48" s="296" t="s">
        <v>262</v>
      </c>
      <c r="I48" s="296"/>
      <c r="J48" s="296" t="s">
        <v>263</v>
      </c>
      <c r="K48" s="296"/>
      <c r="L48" s="296" t="s">
        <v>265</v>
      </c>
      <c r="M48" s="296"/>
      <c r="N48" s="296" t="s">
        <v>234</v>
      </c>
      <c r="O48" s="296"/>
      <c r="P48" s="296" t="s">
        <v>266</v>
      </c>
      <c r="Q48" s="296"/>
      <c r="R48" s="296" t="s">
        <v>264</v>
      </c>
      <c r="S48" s="288"/>
      <c r="T48" s="288"/>
      <c r="U48" s="288"/>
      <c r="V48" s="321"/>
      <c r="W48" s="291"/>
      <c r="X48" s="5"/>
    </row>
    <row r="49" spans="1:25" ht="15.6" x14ac:dyDescent="0.3">
      <c r="A49" s="287"/>
      <c r="B49" s="288"/>
      <c r="C49" s="288"/>
      <c r="D49" s="296"/>
      <c r="E49" s="288"/>
      <c r="F49" s="296"/>
      <c r="G49" s="296"/>
      <c r="H49" s="296"/>
      <c r="I49" s="296"/>
      <c r="J49" s="296"/>
      <c r="K49" s="296"/>
      <c r="L49" s="296"/>
      <c r="M49" s="296"/>
      <c r="N49" s="296"/>
      <c r="O49" s="296"/>
      <c r="P49" s="296"/>
      <c r="Q49" s="296"/>
      <c r="R49" s="296"/>
      <c r="S49" s="288"/>
      <c r="T49" s="288"/>
      <c r="U49" s="288"/>
      <c r="V49" s="321" t="s">
        <v>193</v>
      </c>
      <c r="W49" s="291"/>
      <c r="X49" s="5"/>
    </row>
    <row r="50" spans="1:25" ht="15.6" x14ac:dyDescent="0.3">
      <c r="A50" s="287"/>
      <c r="B50" s="288" t="s">
        <v>169</v>
      </c>
      <c r="C50" s="288"/>
      <c r="D50" s="296"/>
      <c r="E50" s="288"/>
      <c r="F50" s="296"/>
      <c r="G50" s="296"/>
      <c r="H50" s="296"/>
      <c r="I50" s="296"/>
      <c r="J50" s="296"/>
      <c r="K50" s="296"/>
      <c r="L50" s="296"/>
      <c r="M50" s="296"/>
      <c r="N50" s="296"/>
      <c r="O50" s="296"/>
      <c r="P50" s="296"/>
      <c r="Q50" s="296"/>
      <c r="R50" s="296"/>
      <c r="S50" s="288"/>
      <c r="T50" s="288"/>
      <c r="U50" s="288"/>
      <c r="V50" s="321">
        <f>SUM(L34:R34)/SUM(D34:J34)</f>
        <v>0.17663090364375009</v>
      </c>
      <c r="W50" s="291"/>
      <c r="X50" s="5"/>
    </row>
    <row r="51" spans="1:25" ht="15.6" x14ac:dyDescent="0.3">
      <c r="A51" s="287"/>
      <c r="B51" s="288" t="s">
        <v>170</v>
      </c>
      <c r="C51" s="288"/>
      <c r="D51" s="288"/>
      <c r="E51" s="288"/>
      <c r="F51" s="326"/>
      <c r="G51" s="288"/>
      <c r="H51" s="288"/>
      <c r="I51" s="288"/>
      <c r="J51" s="288"/>
      <c r="K51" s="288"/>
      <c r="L51" s="288"/>
      <c r="M51" s="288"/>
      <c r="N51" s="288"/>
      <c r="O51" s="288"/>
      <c r="P51" s="288"/>
      <c r="Q51" s="288"/>
      <c r="R51" s="288"/>
      <c r="S51" s="288"/>
      <c r="T51" s="288"/>
      <c r="U51" s="288"/>
      <c r="V51" s="321">
        <f>SUM(L36:R36)/SUM(D36:J36)</f>
        <v>0.27805162410507739</v>
      </c>
      <c r="W51" s="291"/>
      <c r="X51" s="5"/>
    </row>
    <row r="52" spans="1:25" ht="15.6" x14ac:dyDescent="0.3">
      <c r="A52" s="287"/>
      <c r="B52" s="288" t="s">
        <v>171</v>
      </c>
      <c r="C52" s="288"/>
      <c r="D52" s="288"/>
      <c r="E52" s="288"/>
      <c r="F52" s="288"/>
      <c r="G52" s="288"/>
      <c r="H52" s="288"/>
      <c r="I52" s="288"/>
      <c r="J52" s="288"/>
      <c r="K52" s="288"/>
      <c r="L52" s="288"/>
      <c r="M52" s="288"/>
      <c r="N52" s="288"/>
      <c r="O52" s="288"/>
      <c r="P52" s="288"/>
      <c r="Q52" s="288"/>
      <c r="R52" s="288"/>
      <c r="S52" s="288"/>
      <c r="T52" s="296"/>
      <c r="U52" s="296"/>
      <c r="V52" s="299" t="s">
        <v>276</v>
      </c>
      <c r="W52" s="291"/>
      <c r="X52" s="5"/>
    </row>
    <row r="53" spans="1:25" ht="15.6" x14ac:dyDescent="0.3">
      <c r="A53" s="287"/>
      <c r="B53" s="288"/>
      <c r="C53" s="288"/>
      <c r="D53" s="288"/>
      <c r="E53" s="288"/>
      <c r="F53" s="288"/>
      <c r="G53" s="288"/>
      <c r="H53" s="288"/>
      <c r="I53" s="288"/>
      <c r="J53" s="288"/>
      <c r="K53" s="288"/>
      <c r="L53" s="288"/>
      <c r="M53" s="288"/>
      <c r="N53" s="288"/>
      <c r="O53" s="288"/>
      <c r="P53" s="288"/>
      <c r="Q53" s="288"/>
      <c r="R53" s="288"/>
      <c r="S53" s="288"/>
      <c r="T53" s="288"/>
      <c r="U53" s="288"/>
      <c r="V53" s="327"/>
      <c r="W53" s="291"/>
      <c r="X53" s="5"/>
    </row>
    <row r="54" spans="1:25" ht="15.6" x14ac:dyDescent="0.3">
      <c r="A54" s="287"/>
      <c r="B54" s="288" t="s">
        <v>202</v>
      </c>
      <c r="C54" s="288"/>
      <c r="D54" s="288"/>
      <c r="E54" s="288"/>
      <c r="F54" s="288"/>
      <c r="G54" s="288"/>
      <c r="H54" s="288"/>
      <c r="I54" s="288"/>
      <c r="J54" s="288"/>
      <c r="K54" s="288"/>
      <c r="L54" s="288"/>
      <c r="M54" s="288"/>
      <c r="N54" s="288"/>
      <c r="O54" s="288"/>
      <c r="P54" s="288"/>
      <c r="Q54" s="288"/>
      <c r="R54" s="288"/>
      <c r="S54" s="288"/>
      <c r="T54" s="288"/>
      <c r="U54" s="288"/>
      <c r="V54" s="328" t="s">
        <v>203</v>
      </c>
      <c r="W54" s="291"/>
      <c r="X54" s="5"/>
    </row>
    <row r="55" spans="1:25" ht="15.6" x14ac:dyDescent="0.3">
      <c r="A55" s="287"/>
      <c r="B55" s="288" t="s">
        <v>280</v>
      </c>
      <c r="C55" s="288"/>
      <c r="D55" s="288"/>
      <c r="E55" s="288"/>
      <c r="F55" s="288"/>
      <c r="G55" s="288"/>
      <c r="H55" s="288"/>
      <c r="I55" s="288"/>
      <c r="J55" s="288"/>
      <c r="K55" s="288"/>
      <c r="L55" s="288"/>
      <c r="M55" s="288"/>
      <c r="N55" s="288"/>
      <c r="O55" s="288"/>
      <c r="P55" s="288"/>
      <c r="Q55" s="288"/>
      <c r="R55" s="288"/>
      <c r="S55" s="288"/>
      <c r="T55" s="296"/>
      <c r="U55" s="296"/>
      <c r="V55" s="329" t="s">
        <v>111</v>
      </c>
      <c r="W55" s="291"/>
      <c r="X55" s="5"/>
    </row>
    <row r="56" spans="1:25" ht="15.6" x14ac:dyDescent="0.3">
      <c r="A56" s="287"/>
      <c r="B56" s="295" t="s">
        <v>201</v>
      </c>
      <c r="C56" s="295"/>
      <c r="D56" s="295"/>
      <c r="E56" s="295"/>
      <c r="F56" s="295"/>
      <c r="G56" s="295"/>
      <c r="H56" s="295"/>
      <c r="I56" s="295"/>
      <c r="J56" s="295"/>
      <c r="K56" s="295"/>
      <c r="L56" s="295"/>
      <c r="M56" s="295"/>
      <c r="N56" s="295"/>
      <c r="O56" s="295"/>
      <c r="P56" s="295"/>
      <c r="Q56" s="295"/>
      <c r="R56" s="295"/>
      <c r="S56" s="295"/>
      <c r="T56" s="330"/>
      <c r="U56" s="330"/>
      <c r="V56" s="331">
        <v>41988</v>
      </c>
      <c r="W56" s="291"/>
      <c r="X56" s="5"/>
    </row>
    <row r="57" spans="1:25" ht="15.6" x14ac:dyDescent="0.3">
      <c r="A57" s="287"/>
      <c r="B57" s="288" t="s">
        <v>121</v>
      </c>
      <c r="C57" s="288"/>
      <c r="D57" s="288"/>
      <c r="E57" s="288"/>
      <c r="F57" s="288"/>
      <c r="G57" s="288"/>
      <c r="H57" s="332"/>
      <c r="I57" s="332"/>
      <c r="J57" s="332"/>
      <c r="K57" s="332"/>
      <c r="L57" s="332"/>
      <c r="M57" s="332"/>
      <c r="N57" s="332"/>
      <c r="O57" s="332"/>
      <c r="P57" s="332"/>
      <c r="Q57" s="332"/>
      <c r="R57" s="288">
        <f>+V57-T57+1</f>
        <v>91</v>
      </c>
      <c r="S57" s="332"/>
      <c r="T57" s="333">
        <v>41806</v>
      </c>
      <c r="U57" s="334"/>
      <c r="V57" s="333">
        <v>41896</v>
      </c>
      <c r="W57" s="291"/>
      <c r="X57" s="5"/>
    </row>
    <row r="58" spans="1:25" ht="15.6" x14ac:dyDescent="0.3">
      <c r="A58" s="287"/>
      <c r="B58" s="288" t="s">
        <v>122</v>
      </c>
      <c r="C58" s="288"/>
      <c r="D58" s="288"/>
      <c r="E58" s="288"/>
      <c r="F58" s="288"/>
      <c r="G58" s="288"/>
      <c r="H58" s="288"/>
      <c r="I58" s="288"/>
      <c r="J58" s="288"/>
      <c r="K58" s="288"/>
      <c r="L58" s="288"/>
      <c r="M58" s="288"/>
      <c r="N58" s="288"/>
      <c r="O58" s="288"/>
      <c r="P58" s="288"/>
      <c r="Q58" s="288"/>
      <c r="R58" s="288">
        <f>+V58-T58+1</f>
        <v>91</v>
      </c>
      <c r="S58" s="288"/>
      <c r="T58" s="333">
        <v>41897</v>
      </c>
      <c r="U58" s="334"/>
      <c r="V58" s="333">
        <v>41987</v>
      </c>
      <c r="W58" s="291"/>
      <c r="X58" s="5"/>
    </row>
    <row r="59" spans="1:25" ht="15.6" x14ac:dyDescent="0.3">
      <c r="A59" s="287"/>
      <c r="B59" s="288" t="s">
        <v>229</v>
      </c>
      <c r="C59" s="288"/>
      <c r="D59" s="288"/>
      <c r="E59" s="288"/>
      <c r="F59" s="288"/>
      <c r="G59" s="288"/>
      <c r="H59" s="288"/>
      <c r="I59" s="288"/>
      <c r="J59" s="288"/>
      <c r="K59" s="288"/>
      <c r="L59" s="288"/>
      <c r="M59" s="288"/>
      <c r="N59" s="288"/>
      <c r="O59" s="288"/>
      <c r="P59" s="288"/>
      <c r="Q59" s="288"/>
      <c r="R59" s="288"/>
      <c r="S59" s="288"/>
      <c r="T59" s="333"/>
      <c r="U59" s="334"/>
      <c r="V59" s="333" t="s">
        <v>120</v>
      </c>
      <c r="W59" s="291"/>
      <c r="X59" s="5"/>
    </row>
    <row r="60" spans="1:25" ht="15.6" x14ac:dyDescent="0.3">
      <c r="A60" s="287"/>
      <c r="B60" s="288" t="s">
        <v>228</v>
      </c>
      <c r="C60" s="288"/>
      <c r="D60" s="288"/>
      <c r="E60" s="288"/>
      <c r="F60" s="288"/>
      <c r="G60" s="288"/>
      <c r="H60" s="288"/>
      <c r="I60" s="288"/>
      <c r="J60" s="288"/>
      <c r="K60" s="288"/>
      <c r="L60" s="288"/>
      <c r="M60" s="288"/>
      <c r="N60" s="288"/>
      <c r="O60" s="288"/>
      <c r="P60" s="288"/>
      <c r="Q60" s="288"/>
      <c r="R60" s="288"/>
      <c r="S60" s="288"/>
      <c r="T60" s="333"/>
      <c r="U60" s="334"/>
      <c r="V60" s="333" t="s">
        <v>154</v>
      </c>
      <c r="W60" s="291"/>
      <c r="X60" s="5"/>
      <c r="Y60" s="134"/>
    </row>
    <row r="61" spans="1:25" ht="15.6" x14ac:dyDescent="0.3">
      <c r="A61" s="287"/>
      <c r="B61" s="288" t="s">
        <v>16</v>
      </c>
      <c r="C61" s="288"/>
      <c r="D61" s="288"/>
      <c r="E61" s="288"/>
      <c r="F61" s="288"/>
      <c r="G61" s="288"/>
      <c r="H61" s="288"/>
      <c r="I61" s="288"/>
      <c r="J61" s="288"/>
      <c r="K61" s="288"/>
      <c r="L61" s="288"/>
      <c r="M61" s="288"/>
      <c r="N61" s="288"/>
      <c r="O61" s="288"/>
      <c r="P61" s="288"/>
      <c r="Q61" s="288"/>
      <c r="R61" s="288"/>
      <c r="S61" s="288"/>
      <c r="T61" s="333"/>
      <c r="U61" s="334"/>
      <c r="V61" s="333">
        <v>41974</v>
      </c>
      <c r="W61" s="291"/>
      <c r="X61" s="5"/>
    </row>
    <row r="62" spans="1:25" ht="15.6" x14ac:dyDescent="0.3">
      <c r="A62" s="183"/>
      <c r="B62" s="284"/>
      <c r="C62" s="284"/>
      <c r="D62" s="284"/>
      <c r="E62" s="284"/>
      <c r="F62" s="284"/>
      <c r="G62" s="284"/>
      <c r="H62" s="284"/>
      <c r="I62" s="284"/>
      <c r="J62" s="284"/>
      <c r="K62" s="284"/>
      <c r="L62" s="284"/>
      <c r="M62" s="284"/>
      <c r="N62" s="284"/>
      <c r="O62" s="284"/>
      <c r="P62" s="284"/>
      <c r="Q62" s="284"/>
      <c r="R62" s="284"/>
      <c r="S62" s="284"/>
      <c r="T62" s="285"/>
      <c r="U62" s="286"/>
      <c r="V62" s="285"/>
      <c r="W62" s="284"/>
      <c r="X62" s="5"/>
    </row>
    <row r="63" spans="1:25" ht="15.6" x14ac:dyDescent="0.3">
      <c r="A63" s="183"/>
      <c r="B63" s="224"/>
      <c r="C63" s="224"/>
      <c r="D63" s="224"/>
      <c r="E63" s="224"/>
      <c r="F63" s="224"/>
      <c r="G63" s="224"/>
      <c r="H63" s="224"/>
      <c r="I63" s="224"/>
      <c r="J63" s="224"/>
      <c r="K63" s="224"/>
      <c r="L63" s="224"/>
      <c r="M63" s="224"/>
      <c r="N63" s="224"/>
      <c r="O63" s="224"/>
      <c r="P63" s="224"/>
      <c r="Q63" s="224"/>
      <c r="R63" s="224"/>
      <c r="S63" s="224"/>
      <c r="T63" s="235"/>
      <c r="U63" s="236"/>
      <c r="V63" s="235"/>
      <c r="W63" s="224"/>
      <c r="X63" s="5"/>
    </row>
    <row r="64" spans="1:25" ht="18" thickBot="1" x14ac:dyDescent="0.35">
      <c r="A64" s="199"/>
      <c r="B64" s="237" t="s">
        <v>347</v>
      </c>
      <c r="C64" s="238"/>
      <c r="D64" s="238"/>
      <c r="E64" s="238"/>
      <c r="F64" s="238"/>
      <c r="G64" s="238"/>
      <c r="H64" s="238"/>
      <c r="I64" s="238"/>
      <c r="J64" s="238"/>
      <c r="K64" s="238"/>
      <c r="L64" s="238"/>
      <c r="M64" s="238"/>
      <c r="N64" s="238"/>
      <c r="O64" s="238"/>
      <c r="P64" s="238"/>
      <c r="Q64" s="238"/>
      <c r="R64" s="238"/>
      <c r="S64" s="238"/>
      <c r="T64" s="238"/>
      <c r="U64" s="238"/>
      <c r="V64" s="239"/>
      <c r="W64" s="240"/>
      <c r="X64" s="5"/>
    </row>
    <row r="65" spans="1:24" ht="15.6" x14ac:dyDescent="0.3">
      <c r="A65" s="262"/>
      <c r="B65" s="399" t="s">
        <v>17</v>
      </c>
      <c r="C65" s="263"/>
      <c r="D65" s="263"/>
      <c r="E65" s="263"/>
      <c r="F65" s="263"/>
      <c r="G65" s="263"/>
      <c r="H65" s="263"/>
      <c r="I65" s="263"/>
      <c r="J65" s="263"/>
      <c r="K65" s="263"/>
      <c r="L65" s="263"/>
      <c r="M65" s="263"/>
      <c r="N65" s="263"/>
      <c r="O65" s="263"/>
      <c r="P65" s="263"/>
      <c r="Q65" s="263"/>
      <c r="R65" s="263"/>
      <c r="S65" s="263"/>
      <c r="T65" s="263"/>
      <c r="U65" s="263"/>
      <c r="V65" s="268"/>
      <c r="W65" s="263"/>
      <c r="X65" s="5"/>
    </row>
    <row r="66" spans="1:24" ht="15.6" x14ac:dyDescent="0.3">
      <c r="A66" s="183"/>
      <c r="B66" s="191"/>
      <c r="C66" s="185"/>
      <c r="D66" s="185"/>
      <c r="E66" s="185"/>
      <c r="F66" s="185"/>
      <c r="G66" s="185"/>
      <c r="H66" s="185"/>
      <c r="I66" s="185"/>
      <c r="J66" s="185"/>
      <c r="K66" s="185"/>
      <c r="L66" s="185"/>
      <c r="M66" s="185"/>
      <c r="N66" s="185"/>
      <c r="O66" s="185"/>
      <c r="P66" s="185"/>
      <c r="Q66" s="185"/>
      <c r="R66" s="185"/>
      <c r="S66" s="185"/>
      <c r="T66" s="185"/>
      <c r="U66" s="185"/>
      <c r="V66" s="201"/>
      <c r="W66" s="185"/>
      <c r="X66" s="5"/>
    </row>
    <row r="67" spans="1:24" ht="46.8" x14ac:dyDescent="0.3">
      <c r="A67" s="183"/>
      <c r="B67" s="202" t="s">
        <v>18</v>
      </c>
      <c r="C67" s="203"/>
      <c r="D67" s="203"/>
      <c r="E67" s="203"/>
      <c r="F67" s="203"/>
      <c r="G67" s="203"/>
      <c r="H67" s="203"/>
      <c r="I67" s="203"/>
      <c r="J67" s="203"/>
      <c r="K67" s="203"/>
      <c r="L67" s="203" t="s">
        <v>94</v>
      </c>
      <c r="M67" s="203"/>
      <c r="N67" s="203" t="s">
        <v>96</v>
      </c>
      <c r="O67" s="203"/>
      <c r="P67" s="203" t="s">
        <v>98</v>
      </c>
      <c r="Q67" s="203"/>
      <c r="R67" s="203" t="s">
        <v>100</v>
      </c>
      <c r="S67" s="203"/>
      <c r="T67" s="203" t="s">
        <v>106</v>
      </c>
      <c r="U67" s="203"/>
      <c r="V67" s="204" t="s">
        <v>112</v>
      </c>
      <c r="W67" s="205"/>
      <c r="X67" s="5"/>
    </row>
    <row r="68" spans="1:24" ht="15.6" x14ac:dyDescent="0.3">
      <c r="A68" s="287"/>
      <c r="B68" s="288" t="s">
        <v>19</v>
      </c>
      <c r="C68" s="337"/>
      <c r="D68" s="337"/>
      <c r="E68" s="337"/>
      <c r="F68" s="337"/>
      <c r="G68" s="337"/>
      <c r="H68" s="337"/>
      <c r="I68" s="337"/>
      <c r="J68" s="337"/>
      <c r="K68" s="337"/>
      <c r="L68" s="337">
        <v>1158015</v>
      </c>
      <c r="M68" s="337"/>
      <c r="N68" s="338">
        <v>1047274</v>
      </c>
      <c r="O68" s="337"/>
      <c r="P68" s="337">
        <f>12084+3+188+197</f>
        <v>12472</v>
      </c>
      <c r="Q68" s="337"/>
      <c r="R68" s="337">
        <f>3+188+197</f>
        <v>388</v>
      </c>
      <c r="S68" s="337"/>
      <c r="T68" s="337">
        <v>0</v>
      </c>
      <c r="U68" s="337"/>
      <c r="V68" s="338">
        <f>+N68-P68+R68-T68</f>
        <v>1035190</v>
      </c>
      <c r="W68" s="291"/>
      <c r="X68" s="5"/>
    </row>
    <row r="69" spans="1:24" ht="15.6" x14ac:dyDescent="0.3">
      <c r="A69" s="287"/>
      <c r="B69" s="288" t="s">
        <v>20</v>
      </c>
      <c r="C69" s="337"/>
      <c r="D69" s="337"/>
      <c r="E69" s="337"/>
      <c r="F69" s="337"/>
      <c r="G69" s="337"/>
      <c r="H69" s="337"/>
      <c r="I69" s="337"/>
      <c r="J69" s="337"/>
      <c r="K69" s="337"/>
      <c r="L69" s="337">
        <v>15</v>
      </c>
      <c r="M69" s="337"/>
      <c r="N69" s="338">
        <v>0</v>
      </c>
      <c r="O69" s="337"/>
      <c r="P69" s="337">
        <v>0</v>
      </c>
      <c r="Q69" s="337"/>
      <c r="R69" s="337">
        <v>0</v>
      </c>
      <c r="S69" s="337"/>
      <c r="T69" s="337">
        <v>0</v>
      </c>
      <c r="U69" s="337"/>
      <c r="V69" s="338">
        <v>0</v>
      </c>
      <c r="W69" s="291"/>
      <c r="X69" s="5"/>
    </row>
    <row r="70" spans="1:24" ht="15.6" x14ac:dyDescent="0.3">
      <c r="A70" s="287"/>
      <c r="B70" s="288"/>
      <c r="C70" s="337"/>
      <c r="D70" s="337"/>
      <c r="E70" s="337"/>
      <c r="F70" s="337"/>
      <c r="G70" s="337"/>
      <c r="H70" s="337"/>
      <c r="I70" s="337"/>
      <c r="J70" s="337"/>
      <c r="K70" s="337"/>
      <c r="L70" s="337"/>
      <c r="M70" s="337"/>
      <c r="N70" s="338"/>
      <c r="O70" s="337"/>
      <c r="P70" s="337"/>
      <c r="Q70" s="337"/>
      <c r="R70" s="337"/>
      <c r="S70" s="337"/>
      <c r="T70" s="337"/>
      <c r="U70" s="337"/>
      <c r="V70" s="338"/>
      <c r="W70" s="291"/>
      <c r="X70" s="5"/>
    </row>
    <row r="71" spans="1:24" ht="15.6" x14ac:dyDescent="0.3">
      <c r="A71" s="287"/>
      <c r="B71" s="288" t="s">
        <v>21</v>
      </c>
      <c r="C71" s="337"/>
      <c r="D71" s="337"/>
      <c r="E71" s="337"/>
      <c r="F71" s="337"/>
      <c r="G71" s="337"/>
      <c r="H71" s="337"/>
      <c r="I71" s="337"/>
      <c r="J71" s="337"/>
      <c r="K71" s="337"/>
      <c r="L71" s="337">
        <f>SUM(L68:L70)</f>
        <v>1158030</v>
      </c>
      <c r="M71" s="337"/>
      <c r="N71" s="337">
        <f>N68+N69</f>
        <v>1047274</v>
      </c>
      <c r="O71" s="337"/>
      <c r="P71" s="337">
        <f>SUM(P68:P70)</f>
        <v>12472</v>
      </c>
      <c r="Q71" s="337"/>
      <c r="R71" s="337">
        <f>SUM(R68:R70)</f>
        <v>388</v>
      </c>
      <c r="S71" s="337"/>
      <c r="T71" s="337">
        <f>SUM(T68:T70)</f>
        <v>0</v>
      </c>
      <c r="U71" s="337"/>
      <c r="V71" s="337">
        <f>SUM(V68:V70)</f>
        <v>1035190</v>
      </c>
      <c r="W71" s="291"/>
      <c r="X71" s="5"/>
    </row>
    <row r="72" spans="1:24" ht="15.6" x14ac:dyDescent="0.3">
      <c r="A72" s="183"/>
      <c r="B72" s="198"/>
      <c r="C72" s="335"/>
      <c r="D72" s="335"/>
      <c r="E72" s="335"/>
      <c r="F72" s="335"/>
      <c r="G72" s="335"/>
      <c r="H72" s="335"/>
      <c r="I72" s="335"/>
      <c r="J72" s="335"/>
      <c r="K72" s="335"/>
      <c r="L72" s="335"/>
      <c r="M72" s="335"/>
      <c r="N72" s="335"/>
      <c r="O72" s="335"/>
      <c r="P72" s="335"/>
      <c r="Q72" s="335"/>
      <c r="R72" s="335"/>
      <c r="S72" s="335"/>
      <c r="T72" s="335"/>
      <c r="U72" s="335"/>
      <c r="V72" s="336"/>
      <c r="W72" s="198"/>
      <c r="X72" s="5"/>
    </row>
    <row r="73" spans="1:24" ht="15.6" x14ac:dyDescent="0.3">
      <c r="A73" s="183"/>
      <c r="B73" s="187" t="s">
        <v>22</v>
      </c>
      <c r="C73" s="206"/>
      <c r="D73" s="206"/>
      <c r="E73" s="206"/>
      <c r="F73" s="206"/>
      <c r="G73" s="206"/>
      <c r="H73" s="206"/>
      <c r="I73" s="206"/>
      <c r="J73" s="206"/>
      <c r="K73" s="206"/>
      <c r="L73" s="206"/>
      <c r="M73" s="206"/>
      <c r="N73" s="206"/>
      <c r="O73" s="206"/>
      <c r="P73" s="206"/>
      <c r="Q73" s="206"/>
      <c r="R73" s="206"/>
      <c r="S73" s="206"/>
      <c r="T73" s="206"/>
      <c r="U73" s="206"/>
      <c r="V73" s="207"/>
      <c r="W73" s="185"/>
      <c r="X73" s="5"/>
    </row>
    <row r="74" spans="1:24" ht="15.6" x14ac:dyDescent="0.3">
      <c r="A74" s="183"/>
      <c r="B74" s="185"/>
      <c r="C74" s="206"/>
      <c r="D74" s="206"/>
      <c r="E74" s="206"/>
      <c r="F74" s="206"/>
      <c r="G74" s="206"/>
      <c r="H74" s="206"/>
      <c r="I74" s="206"/>
      <c r="J74" s="206"/>
      <c r="K74" s="206"/>
      <c r="L74" s="206"/>
      <c r="M74" s="206"/>
      <c r="N74" s="206"/>
      <c r="O74" s="206"/>
      <c r="P74" s="206"/>
      <c r="Q74" s="206"/>
      <c r="R74" s="206"/>
      <c r="S74" s="206"/>
      <c r="T74" s="206"/>
      <c r="U74" s="206"/>
      <c r="V74" s="207"/>
      <c r="W74" s="185"/>
      <c r="X74" s="5"/>
    </row>
    <row r="75" spans="1:24" ht="15.6" x14ac:dyDescent="0.3">
      <c r="A75" s="340"/>
      <c r="B75" s="288" t="s">
        <v>19</v>
      </c>
      <c r="C75" s="337"/>
      <c r="D75" s="337"/>
      <c r="E75" s="337"/>
      <c r="F75" s="337"/>
      <c r="G75" s="337"/>
      <c r="H75" s="337"/>
      <c r="I75" s="337"/>
      <c r="J75" s="337"/>
      <c r="K75" s="337"/>
      <c r="L75" s="337"/>
      <c r="M75" s="337"/>
      <c r="N75" s="337"/>
      <c r="O75" s="337"/>
      <c r="P75" s="337"/>
      <c r="Q75" s="337"/>
      <c r="R75" s="337"/>
      <c r="S75" s="337"/>
      <c r="T75" s="337"/>
      <c r="U75" s="337"/>
      <c r="V75" s="337"/>
      <c r="W75" s="291"/>
      <c r="X75" s="5"/>
    </row>
    <row r="76" spans="1:24" ht="15.6" x14ac:dyDescent="0.3">
      <c r="A76" s="340"/>
      <c r="B76" s="288" t="s">
        <v>20</v>
      </c>
      <c r="C76" s="337"/>
      <c r="D76" s="337"/>
      <c r="E76" s="337"/>
      <c r="F76" s="337"/>
      <c r="G76" s="337"/>
      <c r="H76" s="337"/>
      <c r="I76" s="337"/>
      <c r="J76" s="337"/>
      <c r="K76" s="337"/>
      <c r="L76" s="337"/>
      <c r="M76" s="337"/>
      <c r="N76" s="337"/>
      <c r="O76" s="337"/>
      <c r="P76" s="337"/>
      <c r="Q76" s="337"/>
      <c r="R76" s="337"/>
      <c r="S76" s="337"/>
      <c r="T76" s="337"/>
      <c r="U76" s="337"/>
      <c r="V76" s="337"/>
      <c r="W76" s="291"/>
      <c r="X76" s="5"/>
    </row>
    <row r="77" spans="1:24" ht="15.6" x14ac:dyDescent="0.3">
      <c r="A77" s="340"/>
      <c r="B77" s="288"/>
      <c r="C77" s="337"/>
      <c r="D77" s="337"/>
      <c r="E77" s="337"/>
      <c r="F77" s="337"/>
      <c r="G77" s="337"/>
      <c r="H77" s="337"/>
      <c r="I77" s="337"/>
      <c r="J77" s="337"/>
      <c r="K77" s="337"/>
      <c r="L77" s="337"/>
      <c r="M77" s="337"/>
      <c r="N77" s="337"/>
      <c r="O77" s="337"/>
      <c r="P77" s="337"/>
      <c r="Q77" s="337"/>
      <c r="R77" s="337"/>
      <c r="S77" s="337"/>
      <c r="T77" s="337"/>
      <c r="U77" s="337"/>
      <c r="V77" s="337"/>
      <c r="W77" s="291"/>
      <c r="X77" s="5"/>
    </row>
    <row r="78" spans="1:24" ht="15.6" x14ac:dyDescent="0.3">
      <c r="A78" s="340"/>
      <c r="B78" s="288" t="s">
        <v>21</v>
      </c>
      <c r="C78" s="337"/>
      <c r="D78" s="337"/>
      <c r="E78" s="337"/>
      <c r="F78" s="337"/>
      <c r="G78" s="337"/>
      <c r="H78" s="337"/>
      <c r="I78" s="337"/>
      <c r="J78" s="337"/>
      <c r="K78" s="337"/>
      <c r="L78" s="337"/>
      <c r="M78" s="337"/>
      <c r="N78" s="337"/>
      <c r="O78" s="337"/>
      <c r="P78" s="337"/>
      <c r="Q78" s="337"/>
      <c r="R78" s="337"/>
      <c r="S78" s="337"/>
      <c r="T78" s="337"/>
      <c r="U78" s="337"/>
      <c r="V78" s="337"/>
      <c r="W78" s="291"/>
      <c r="X78" s="5"/>
    </row>
    <row r="79" spans="1:24" ht="15.6" x14ac:dyDescent="0.3">
      <c r="A79" s="340"/>
      <c r="B79" s="288"/>
      <c r="C79" s="337"/>
      <c r="D79" s="337"/>
      <c r="E79" s="337"/>
      <c r="F79" s="337"/>
      <c r="G79" s="337"/>
      <c r="H79" s="337"/>
      <c r="I79" s="337"/>
      <c r="J79" s="337"/>
      <c r="K79" s="337"/>
      <c r="L79" s="337"/>
      <c r="M79" s="337"/>
      <c r="N79" s="337"/>
      <c r="O79" s="337"/>
      <c r="P79" s="337"/>
      <c r="Q79" s="337"/>
      <c r="R79" s="337"/>
      <c r="S79" s="337"/>
      <c r="T79" s="337"/>
      <c r="U79" s="337"/>
      <c r="V79" s="337"/>
      <c r="W79" s="291"/>
      <c r="X79" s="5"/>
    </row>
    <row r="80" spans="1:24" ht="15.6" x14ac:dyDescent="0.3">
      <c r="A80" s="340"/>
      <c r="B80" s="288" t="s">
        <v>23</v>
      </c>
      <c r="C80" s="337"/>
      <c r="D80" s="337"/>
      <c r="E80" s="337"/>
      <c r="F80" s="337"/>
      <c r="G80" s="337"/>
      <c r="H80" s="337"/>
      <c r="I80" s="337"/>
      <c r="J80" s="337"/>
      <c r="K80" s="337"/>
      <c r="L80" s="337">
        <v>0</v>
      </c>
      <c r="M80" s="337"/>
      <c r="N80" s="337">
        <v>0</v>
      </c>
      <c r="O80" s="337"/>
      <c r="P80" s="337"/>
      <c r="Q80" s="337"/>
      <c r="R80" s="337"/>
      <c r="S80" s="337"/>
      <c r="T80" s="337"/>
      <c r="U80" s="337"/>
      <c r="V80" s="338">
        <v>0</v>
      </c>
      <c r="W80" s="291"/>
      <c r="X80" s="5"/>
    </row>
    <row r="81" spans="1:24" ht="15.6" x14ac:dyDescent="0.3">
      <c r="A81" s="340"/>
      <c r="B81" s="288" t="s">
        <v>117</v>
      </c>
      <c r="C81" s="337"/>
      <c r="D81" s="337"/>
      <c r="E81" s="337"/>
      <c r="F81" s="337"/>
      <c r="G81" s="337"/>
      <c r="H81" s="337"/>
      <c r="I81" s="337"/>
      <c r="J81" s="337"/>
      <c r="K81" s="337"/>
      <c r="L81" s="337">
        <v>342245</v>
      </c>
      <c r="M81" s="337"/>
      <c r="N81" s="337">
        <v>0</v>
      </c>
      <c r="O81" s="337"/>
      <c r="P81" s="337">
        <v>0</v>
      </c>
      <c r="Q81" s="337"/>
      <c r="R81" s="337"/>
      <c r="S81" s="337"/>
      <c r="T81" s="337"/>
      <c r="U81" s="337"/>
      <c r="V81" s="337">
        <f>SUM(N81:R81)</f>
        <v>0</v>
      </c>
      <c r="W81" s="291"/>
      <c r="X81" s="5"/>
    </row>
    <row r="82" spans="1:24" ht="15.6" x14ac:dyDescent="0.3">
      <c r="A82" s="340"/>
      <c r="B82" s="288"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91"/>
      <c r="X82" s="5"/>
    </row>
    <row r="83" spans="1:24" ht="15.6" x14ac:dyDescent="0.3">
      <c r="A83" s="340"/>
      <c r="B83" s="288" t="s">
        <v>25</v>
      </c>
      <c r="C83" s="337"/>
      <c r="D83" s="337"/>
      <c r="E83" s="337"/>
      <c r="F83" s="337"/>
      <c r="G83" s="337"/>
      <c r="H83" s="337"/>
      <c r="I83" s="337"/>
      <c r="J83" s="337"/>
      <c r="K83" s="337"/>
      <c r="L83" s="337">
        <v>0</v>
      </c>
      <c r="M83" s="337"/>
      <c r="N83" s="337">
        <v>0</v>
      </c>
      <c r="O83" s="337"/>
      <c r="P83" s="337"/>
      <c r="Q83" s="337"/>
      <c r="R83" s="337"/>
      <c r="S83" s="337"/>
      <c r="T83" s="337"/>
      <c r="U83" s="337"/>
      <c r="V83" s="337">
        <v>0</v>
      </c>
      <c r="W83" s="291"/>
      <c r="X83" s="5"/>
    </row>
    <row r="84" spans="1:24" ht="15.6" x14ac:dyDescent="0.3">
      <c r="A84" s="340"/>
      <c r="B84" s="288" t="s">
        <v>26</v>
      </c>
      <c r="C84" s="337"/>
      <c r="D84" s="337"/>
      <c r="E84" s="337"/>
      <c r="F84" s="337"/>
      <c r="G84" s="337"/>
      <c r="H84" s="337"/>
      <c r="I84" s="337"/>
      <c r="J84" s="337"/>
      <c r="K84" s="337"/>
      <c r="L84" s="337">
        <f>SUM(L71:L83)</f>
        <v>1500275</v>
      </c>
      <c r="M84" s="337"/>
      <c r="N84" s="337">
        <f>SUM(N71:N83)</f>
        <v>1047274</v>
      </c>
      <c r="O84" s="337"/>
      <c r="P84" s="337"/>
      <c r="Q84" s="337"/>
      <c r="R84" s="337"/>
      <c r="S84" s="337"/>
      <c r="T84" s="337"/>
      <c r="U84" s="337"/>
      <c r="V84" s="337">
        <f>SUM(V71:V83)</f>
        <v>1035190</v>
      </c>
      <c r="W84" s="291"/>
      <c r="X84" s="5"/>
    </row>
    <row r="85" spans="1:24" ht="15.6" x14ac:dyDescent="0.3">
      <c r="A85" s="243"/>
      <c r="B85" s="284"/>
      <c r="C85" s="339"/>
      <c r="D85" s="339"/>
      <c r="E85" s="339"/>
      <c r="F85" s="339"/>
      <c r="G85" s="339"/>
      <c r="H85" s="339"/>
      <c r="I85" s="339"/>
      <c r="J85" s="339"/>
      <c r="K85" s="339"/>
      <c r="L85" s="339"/>
      <c r="M85" s="339"/>
      <c r="N85" s="339"/>
      <c r="O85" s="339"/>
      <c r="P85" s="339"/>
      <c r="Q85" s="339"/>
      <c r="R85" s="339"/>
      <c r="S85" s="339"/>
      <c r="T85" s="339"/>
      <c r="U85" s="339"/>
      <c r="V85" s="339"/>
      <c r="W85" s="284"/>
      <c r="X85" s="5"/>
    </row>
    <row r="86" spans="1:24" ht="15.6" x14ac:dyDescent="0.3">
      <c r="A86" s="243"/>
      <c r="B86" s="224"/>
      <c r="C86" s="224"/>
      <c r="D86" s="224"/>
      <c r="E86" s="224"/>
      <c r="F86" s="224"/>
      <c r="G86" s="224"/>
      <c r="H86" s="224"/>
      <c r="I86" s="224"/>
      <c r="J86" s="224"/>
      <c r="K86" s="224"/>
      <c r="L86" s="224"/>
      <c r="M86" s="224"/>
      <c r="N86" s="224"/>
      <c r="O86" s="224"/>
      <c r="P86" s="224"/>
      <c r="Q86" s="224"/>
      <c r="R86" s="224"/>
      <c r="S86" s="224"/>
      <c r="T86" s="224"/>
      <c r="U86" s="224"/>
      <c r="V86" s="224"/>
      <c r="W86" s="224"/>
      <c r="X86" s="5"/>
    </row>
    <row r="87" spans="1:24" ht="15.6" x14ac:dyDescent="0.3">
      <c r="A87" s="262"/>
      <c r="B87" s="399" t="s">
        <v>27</v>
      </c>
      <c r="C87" s="399"/>
      <c r="D87" s="399"/>
      <c r="E87" s="399"/>
      <c r="F87" s="399"/>
      <c r="G87" s="399"/>
      <c r="H87" s="400"/>
      <c r="I87" s="400"/>
      <c r="J87" s="400"/>
      <c r="K87" s="400"/>
      <c r="L87" s="401" t="s">
        <v>95</v>
      </c>
      <c r="M87" s="400"/>
      <c r="N87" s="402">
        <f>+T205</f>
        <v>41971</v>
      </c>
      <c r="O87" s="400"/>
      <c r="P87" s="400"/>
      <c r="Q87" s="400"/>
      <c r="R87" s="400"/>
      <c r="S87" s="400"/>
      <c r="T87" s="400" t="s">
        <v>107</v>
      </c>
      <c r="U87" s="400"/>
      <c r="V87" s="400" t="s">
        <v>113</v>
      </c>
      <c r="W87" s="263"/>
      <c r="X87" s="5"/>
    </row>
    <row r="88" spans="1:24" ht="15.6" x14ac:dyDescent="0.3">
      <c r="A88" s="242"/>
      <c r="B88" s="231" t="s">
        <v>28</v>
      </c>
      <c r="C88" s="231"/>
      <c r="D88" s="231"/>
      <c r="E88" s="231"/>
      <c r="F88" s="231"/>
      <c r="G88" s="231"/>
      <c r="H88" s="231"/>
      <c r="I88" s="231"/>
      <c r="J88" s="231"/>
      <c r="K88" s="231"/>
      <c r="L88" s="231"/>
      <c r="M88" s="231"/>
      <c r="N88" s="231"/>
      <c r="O88" s="231"/>
      <c r="P88" s="231"/>
      <c r="Q88" s="231"/>
      <c r="R88" s="231"/>
      <c r="S88" s="231"/>
      <c r="T88" s="234">
        <v>0</v>
      </c>
      <c r="U88" s="231"/>
      <c r="V88" s="241">
        <v>0</v>
      </c>
      <c r="W88" s="231"/>
      <c r="X88" s="5"/>
    </row>
    <row r="89" spans="1:24" ht="15.6" x14ac:dyDescent="0.3">
      <c r="A89" s="340"/>
      <c r="B89" s="288" t="s">
        <v>29</v>
      </c>
      <c r="C89" s="288"/>
      <c r="D89" s="288"/>
      <c r="E89" s="288"/>
      <c r="F89" s="288"/>
      <c r="G89" s="288"/>
      <c r="H89" s="325"/>
      <c r="I89" s="325"/>
      <c r="J89" s="325"/>
      <c r="K89" s="341"/>
      <c r="L89" s="325"/>
      <c r="M89" s="288"/>
      <c r="N89" s="342"/>
      <c r="O89" s="288"/>
      <c r="P89" s="288"/>
      <c r="Q89" s="288"/>
      <c r="R89" s="288"/>
      <c r="S89" s="288"/>
      <c r="T89" s="337">
        <f>12472-426</f>
        <v>12046</v>
      </c>
      <c r="U89" s="288"/>
      <c r="V89" s="338"/>
      <c r="W89" s="291"/>
      <c r="X89" s="5"/>
    </row>
    <row r="90" spans="1:24" ht="15.6" x14ac:dyDescent="0.3">
      <c r="A90" s="340"/>
      <c r="B90" s="288" t="s">
        <v>216</v>
      </c>
      <c r="C90" s="288"/>
      <c r="D90" s="288"/>
      <c r="E90" s="288"/>
      <c r="F90" s="288"/>
      <c r="G90" s="288"/>
      <c r="H90" s="325"/>
      <c r="I90" s="325"/>
      <c r="J90" s="325"/>
      <c r="K90" s="341"/>
      <c r="L90" s="325"/>
      <c r="M90" s="288"/>
      <c r="N90" s="342"/>
      <c r="O90" s="288"/>
      <c r="P90" s="288"/>
      <c r="Q90" s="288"/>
      <c r="R90" s="288"/>
      <c r="S90" s="288"/>
      <c r="T90" s="337"/>
      <c r="U90" s="288"/>
      <c r="V90" s="338">
        <f>3412+4125-493-765</f>
        <v>6279</v>
      </c>
      <c r="W90" s="291"/>
      <c r="X90" s="5"/>
    </row>
    <row r="91" spans="1:24" ht="15.6" x14ac:dyDescent="0.3">
      <c r="A91" s="340"/>
      <c r="B91" s="288" t="s">
        <v>211</v>
      </c>
      <c r="C91" s="288"/>
      <c r="D91" s="288"/>
      <c r="E91" s="288"/>
      <c r="F91" s="288"/>
      <c r="G91" s="288"/>
      <c r="H91" s="325"/>
      <c r="I91" s="325"/>
      <c r="J91" s="325"/>
      <c r="K91" s="341"/>
      <c r="L91" s="325"/>
      <c r="M91" s="288"/>
      <c r="N91" s="342"/>
      <c r="O91" s="288"/>
      <c r="P91" s="288"/>
      <c r="Q91" s="288"/>
      <c r="R91" s="288"/>
      <c r="S91" s="288"/>
      <c r="T91" s="337"/>
      <c r="U91" s="288"/>
      <c r="V91" s="338">
        <f>36+94</f>
        <v>130</v>
      </c>
      <c r="W91" s="291"/>
      <c r="X91" s="5"/>
    </row>
    <row r="92" spans="1:24" ht="15.6" x14ac:dyDescent="0.3">
      <c r="A92" s="340"/>
      <c r="B92" s="288" t="s">
        <v>212</v>
      </c>
      <c r="C92" s="288"/>
      <c r="D92" s="288"/>
      <c r="E92" s="288"/>
      <c r="F92" s="288"/>
      <c r="G92" s="288"/>
      <c r="H92" s="325"/>
      <c r="I92" s="325"/>
      <c r="J92" s="325"/>
      <c r="K92" s="341"/>
      <c r="L92" s="325"/>
      <c r="M92" s="288"/>
      <c r="N92" s="342"/>
      <c r="O92" s="288"/>
      <c r="P92" s="288"/>
      <c r="Q92" s="288"/>
      <c r="R92" s="288"/>
      <c r="S92" s="288"/>
      <c r="T92" s="337"/>
      <c r="U92" s="288"/>
      <c r="V92" s="338">
        <v>41</v>
      </c>
      <c r="W92" s="291"/>
      <c r="X92" s="5"/>
    </row>
    <row r="93" spans="1:24" ht="15.6" x14ac:dyDescent="0.3">
      <c r="A93" s="340"/>
      <c r="B93" s="288" t="s">
        <v>272</v>
      </c>
      <c r="C93" s="288"/>
      <c r="D93" s="288"/>
      <c r="E93" s="288"/>
      <c r="F93" s="288"/>
      <c r="G93" s="288"/>
      <c r="H93" s="325"/>
      <c r="I93" s="325"/>
      <c r="J93" s="325"/>
      <c r="K93" s="341"/>
      <c r="L93" s="325"/>
      <c r="M93" s="288"/>
      <c r="N93" s="342"/>
      <c r="O93" s="288"/>
      <c r="P93" s="288"/>
      <c r="Q93" s="288"/>
      <c r="R93" s="288"/>
      <c r="S93" s="288"/>
      <c r="T93" s="337"/>
      <c r="U93" s="288"/>
      <c r="V93" s="338">
        <v>0</v>
      </c>
      <c r="W93" s="291"/>
      <c r="X93" s="5"/>
    </row>
    <row r="94" spans="1:24" ht="15.6" x14ac:dyDescent="0.3">
      <c r="A94" s="340"/>
      <c r="B94" s="288" t="s">
        <v>274</v>
      </c>
      <c r="C94" s="288"/>
      <c r="D94" s="288"/>
      <c r="E94" s="288"/>
      <c r="F94" s="288"/>
      <c r="G94" s="288"/>
      <c r="H94" s="325"/>
      <c r="I94" s="325"/>
      <c r="J94" s="325"/>
      <c r="K94" s="341"/>
      <c r="L94" s="325"/>
      <c r="M94" s="288"/>
      <c r="N94" s="342"/>
      <c r="O94" s="288"/>
      <c r="P94" s="288"/>
      <c r="Q94" s="288"/>
      <c r="R94" s="288"/>
      <c r="S94" s="288"/>
      <c r="T94" s="337"/>
      <c r="U94" s="288"/>
      <c r="V94" s="338">
        <v>0</v>
      </c>
      <c r="W94" s="291"/>
      <c r="X94" s="5"/>
    </row>
    <row r="95" spans="1:24" ht="15.6" x14ac:dyDescent="0.3">
      <c r="A95" s="340"/>
      <c r="B95" s="288" t="s">
        <v>135</v>
      </c>
      <c r="C95" s="288"/>
      <c r="D95" s="288"/>
      <c r="E95" s="288"/>
      <c r="F95" s="288"/>
      <c r="G95" s="288"/>
      <c r="H95" s="288"/>
      <c r="I95" s="288"/>
      <c r="J95" s="288"/>
      <c r="K95" s="288"/>
      <c r="L95" s="288"/>
      <c r="M95" s="288"/>
      <c r="N95" s="288"/>
      <c r="O95" s="288"/>
      <c r="P95" s="288"/>
      <c r="Q95" s="288"/>
      <c r="R95" s="288"/>
      <c r="S95" s="288"/>
      <c r="T95" s="337"/>
      <c r="U95" s="288"/>
      <c r="V95" s="338">
        <v>0</v>
      </c>
      <c r="W95" s="291"/>
      <c r="X95" s="5"/>
    </row>
    <row r="96" spans="1:24" ht="15.6" x14ac:dyDescent="0.3">
      <c r="A96" s="340"/>
      <c r="B96" s="288" t="s">
        <v>268</v>
      </c>
      <c r="C96" s="288"/>
      <c r="D96" s="288"/>
      <c r="E96" s="288"/>
      <c r="F96" s="288"/>
      <c r="G96" s="288"/>
      <c r="H96" s="288"/>
      <c r="I96" s="288"/>
      <c r="J96" s="288"/>
      <c r="K96" s="288"/>
      <c r="L96" s="288"/>
      <c r="M96" s="288"/>
      <c r="N96" s="288"/>
      <c r="O96" s="288"/>
      <c r="P96" s="288"/>
      <c r="Q96" s="288"/>
      <c r="R96" s="288"/>
      <c r="S96" s="288"/>
      <c r="T96" s="337"/>
      <c r="U96" s="288"/>
      <c r="V96" s="338">
        <v>319</v>
      </c>
      <c r="W96" s="291"/>
      <c r="X96" s="5"/>
    </row>
    <row r="97" spans="1:25" ht="15.6" x14ac:dyDescent="0.3">
      <c r="A97" s="340"/>
      <c r="B97" s="288" t="s">
        <v>30</v>
      </c>
      <c r="C97" s="288"/>
      <c r="D97" s="288"/>
      <c r="E97" s="288"/>
      <c r="F97" s="288"/>
      <c r="G97" s="288"/>
      <c r="H97" s="288"/>
      <c r="I97" s="288"/>
      <c r="J97" s="288"/>
      <c r="K97" s="288"/>
      <c r="L97" s="288"/>
      <c r="M97" s="288"/>
      <c r="N97" s="288"/>
      <c r="O97" s="288"/>
      <c r="P97" s="288"/>
      <c r="Q97" s="288"/>
      <c r="R97" s="288"/>
      <c r="S97" s="288"/>
      <c r="T97" s="337">
        <f>SUM(T88:T96)</f>
        <v>12046</v>
      </c>
      <c r="U97" s="288"/>
      <c r="V97" s="337">
        <f>SUM(V88:V96)</f>
        <v>6769</v>
      </c>
      <c r="W97" s="291"/>
      <c r="X97" s="5"/>
    </row>
    <row r="98" spans="1:25" ht="15.6" x14ac:dyDescent="0.3">
      <c r="A98" s="340"/>
      <c r="B98" s="288" t="s">
        <v>161</v>
      </c>
      <c r="C98" s="288"/>
      <c r="D98" s="288"/>
      <c r="E98" s="288"/>
      <c r="F98" s="288"/>
      <c r="G98" s="288"/>
      <c r="H98" s="288"/>
      <c r="I98" s="288"/>
      <c r="J98" s="288"/>
      <c r="K98" s="288"/>
      <c r="L98" s="288"/>
      <c r="M98" s="288"/>
      <c r="N98" s="288"/>
      <c r="O98" s="288"/>
      <c r="P98" s="288"/>
      <c r="Q98" s="288"/>
      <c r="R98" s="288"/>
      <c r="S98" s="288"/>
      <c r="T98" s="337">
        <f>-V98</f>
        <v>0</v>
      </c>
      <c r="U98" s="288"/>
      <c r="V98" s="337">
        <v>0</v>
      </c>
      <c r="W98" s="291"/>
      <c r="X98" s="5"/>
    </row>
    <row r="99" spans="1:25" ht="15.6" x14ac:dyDescent="0.3">
      <c r="A99" s="340"/>
      <c r="B99" s="288" t="s">
        <v>31</v>
      </c>
      <c r="C99" s="288"/>
      <c r="D99" s="288"/>
      <c r="E99" s="288"/>
      <c r="F99" s="288"/>
      <c r="G99" s="288"/>
      <c r="H99" s="288"/>
      <c r="I99" s="288"/>
      <c r="J99" s="288"/>
      <c r="K99" s="288"/>
      <c r="L99" s="288"/>
      <c r="M99" s="288"/>
      <c r="N99" s="288"/>
      <c r="O99" s="288"/>
      <c r="P99" s="288"/>
      <c r="Q99" s="288"/>
      <c r="R99" s="288"/>
      <c r="S99" s="288"/>
      <c r="T99" s="337">
        <f>-V99</f>
        <v>0</v>
      </c>
      <c r="U99" s="288"/>
      <c r="V99" s="338">
        <v>0</v>
      </c>
      <c r="W99" s="291"/>
      <c r="X99" s="5"/>
    </row>
    <row r="100" spans="1:25" ht="15.6" x14ac:dyDescent="0.3">
      <c r="A100" s="340"/>
      <c r="B100" s="288" t="s">
        <v>283</v>
      </c>
      <c r="C100" s="288"/>
      <c r="D100" s="288"/>
      <c r="E100" s="288"/>
      <c r="F100" s="288"/>
      <c r="G100" s="288"/>
      <c r="H100" s="288"/>
      <c r="I100" s="288"/>
      <c r="J100" s="288"/>
      <c r="K100" s="288"/>
      <c r="L100" s="288"/>
      <c r="M100" s="288"/>
      <c r="N100" s="288"/>
      <c r="O100" s="288"/>
      <c r="P100" s="288"/>
      <c r="Q100" s="288"/>
      <c r="R100" s="288"/>
      <c r="S100" s="288"/>
      <c r="T100" s="337"/>
      <c r="U100" s="288"/>
      <c r="V100" s="338">
        <v>-13</v>
      </c>
      <c r="W100" s="291"/>
      <c r="X100" s="5"/>
    </row>
    <row r="101" spans="1:25" ht="15.6" x14ac:dyDescent="0.3">
      <c r="A101" s="340"/>
      <c r="B101" s="288" t="s">
        <v>32</v>
      </c>
      <c r="C101" s="288"/>
      <c r="D101" s="288"/>
      <c r="E101" s="288"/>
      <c r="F101" s="288"/>
      <c r="G101" s="288"/>
      <c r="H101" s="288"/>
      <c r="I101" s="288"/>
      <c r="J101" s="288"/>
      <c r="K101" s="288"/>
      <c r="L101" s="288"/>
      <c r="M101" s="288"/>
      <c r="N101" s="288"/>
      <c r="O101" s="288"/>
      <c r="P101" s="288"/>
      <c r="Q101" s="288"/>
      <c r="R101" s="288"/>
      <c r="S101" s="288"/>
      <c r="T101" s="337">
        <f>T97+T99+T98</f>
        <v>12046</v>
      </c>
      <c r="U101" s="288"/>
      <c r="V101" s="337">
        <f>V97+V99+V98+V100</f>
        <v>6756</v>
      </c>
      <c r="W101" s="291"/>
      <c r="X101" s="5"/>
    </row>
    <row r="102" spans="1:25" ht="15.6" x14ac:dyDescent="0.3">
      <c r="A102" s="287"/>
      <c r="B102" s="343" t="s">
        <v>33</v>
      </c>
      <c r="C102" s="314"/>
      <c r="D102" s="314"/>
      <c r="E102" s="314"/>
      <c r="F102" s="314"/>
      <c r="G102" s="314"/>
      <c r="H102" s="314"/>
      <c r="I102" s="314"/>
      <c r="J102" s="314"/>
      <c r="K102" s="314"/>
      <c r="L102" s="314"/>
      <c r="M102" s="314"/>
      <c r="N102" s="314"/>
      <c r="O102" s="314"/>
      <c r="P102" s="314"/>
      <c r="Q102" s="314"/>
      <c r="R102" s="314"/>
      <c r="S102" s="314"/>
      <c r="T102" s="344"/>
      <c r="U102" s="314"/>
      <c r="V102" s="345"/>
      <c r="W102" s="318"/>
      <c r="X102" s="5"/>
    </row>
    <row r="103" spans="1:25" ht="15.6" x14ac:dyDescent="0.3">
      <c r="A103" s="340">
        <v>1</v>
      </c>
      <c r="B103" s="288" t="s">
        <v>34</v>
      </c>
      <c r="C103" s="288"/>
      <c r="D103" s="288"/>
      <c r="E103" s="288"/>
      <c r="F103" s="288"/>
      <c r="G103" s="288"/>
      <c r="H103" s="288"/>
      <c r="I103" s="288"/>
      <c r="J103" s="288"/>
      <c r="K103" s="288"/>
      <c r="L103" s="288"/>
      <c r="M103" s="288"/>
      <c r="N103" s="288"/>
      <c r="O103" s="288"/>
      <c r="P103" s="288"/>
      <c r="Q103" s="288"/>
      <c r="R103" s="288"/>
      <c r="S103" s="288"/>
      <c r="T103" s="288"/>
      <c r="U103" s="288"/>
      <c r="V103" s="338">
        <v>0</v>
      </c>
      <c r="W103" s="291"/>
      <c r="X103" s="5"/>
    </row>
    <row r="104" spans="1:25" ht="15.6" x14ac:dyDescent="0.3">
      <c r="A104" s="340">
        <f>+A103+1</f>
        <v>2</v>
      </c>
      <c r="B104" s="288" t="s">
        <v>330</v>
      </c>
      <c r="C104" s="288"/>
      <c r="D104" s="288"/>
      <c r="E104" s="288"/>
      <c r="F104" s="288"/>
      <c r="G104" s="288"/>
      <c r="H104" s="288"/>
      <c r="I104" s="288"/>
      <c r="J104" s="288"/>
      <c r="K104" s="288"/>
      <c r="L104" s="288"/>
      <c r="M104" s="288"/>
      <c r="N104" s="288"/>
      <c r="O104" s="288"/>
      <c r="P104" s="288"/>
      <c r="Q104" s="288"/>
      <c r="R104" s="288"/>
      <c r="S104" s="288"/>
      <c r="T104" s="288"/>
      <c r="U104" s="288"/>
      <c r="V104" s="338">
        <v>-2</v>
      </c>
      <c r="W104" s="291"/>
      <c r="X104" s="5"/>
    </row>
    <row r="105" spans="1:25" ht="15.6" x14ac:dyDescent="0.3">
      <c r="A105" s="340">
        <f>+A104+1</f>
        <v>3</v>
      </c>
      <c r="B105" s="288" t="s">
        <v>331</v>
      </c>
      <c r="C105" s="288"/>
      <c r="D105" s="288"/>
      <c r="E105" s="288"/>
      <c r="F105" s="288"/>
      <c r="G105" s="288"/>
      <c r="H105" s="288"/>
      <c r="I105" s="288"/>
      <c r="J105" s="288"/>
      <c r="K105" s="288"/>
      <c r="L105" s="288"/>
      <c r="M105" s="288"/>
      <c r="N105" s="288"/>
      <c r="O105" s="288"/>
      <c r="P105" s="288"/>
      <c r="Q105" s="288"/>
      <c r="R105" s="288"/>
      <c r="S105" s="288"/>
      <c r="T105" s="288"/>
      <c r="U105" s="288"/>
      <c r="V105" s="338">
        <f>-132-215-13</f>
        <v>-360</v>
      </c>
      <c r="W105" s="291"/>
      <c r="X105" s="5"/>
    </row>
    <row r="106" spans="1:25" ht="15.6" x14ac:dyDescent="0.3">
      <c r="A106" s="340" t="s">
        <v>127</v>
      </c>
      <c r="B106" s="288" t="s">
        <v>116</v>
      </c>
      <c r="C106" s="288"/>
      <c r="D106" s="288"/>
      <c r="E106" s="288"/>
      <c r="F106" s="288"/>
      <c r="G106" s="288"/>
      <c r="H106" s="288"/>
      <c r="I106" s="288"/>
      <c r="J106" s="288"/>
      <c r="K106" s="288"/>
      <c r="L106" s="288"/>
      <c r="M106" s="288"/>
      <c r="N106" s="288"/>
      <c r="O106" s="288"/>
      <c r="P106" s="288"/>
      <c r="Q106" s="288"/>
      <c r="R106" s="288"/>
      <c r="S106" s="288"/>
      <c r="T106" s="288"/>
      <c r="U106" s="288"/>
      <c r="V106" s="338">
        <v>0</v>
      </c>
      <c r="W106" s="291"/>
      <c r="X106" s="5"/>
    </row>
    <row r="107" spans="1:25" ht="15.6" x14ac:dyDescent="0.3">
      <c r="A107" s="340" t="s">
        <v>128</v>
      </c>
      <c r="B107" s="288" t="s">
        <v>222</v>
      </c>
      <c r="C107" s="288"/>
      <c r="D107" s="288"/>
      <c r="E107" s="288"/>
      <c r="F107" s="288"/>
      <c r="G107" s="288"/>
      <c r="H107" s="288"/>
      <c r="I107" s="288"/>
      <c r="J107" s="288"/>
      <c r="K107" s="288"/>
      <c r="L107" s="288"/>
      <c r="M107" s="288"/>
      <c r="N107" s="288"/>
      <c r="O107" s="288"/>
      <c r="P107" s="288"/>
      <c r="Q107" s="288"/>
      <c r="R107" s="288"/>
      <c r="S107" s="288"/>
      <c r="T107" s="288"/>
      <c r="U107" s="288"/>
      <c r="V107" s="338">
        <f>-1643+153</f>
        <v>-1490</v>
      </c>
      <c r="W107" s="291"/>
      <c r="X107" s="5"/>
      <c r="Y107" s="109"/>
    </row>
    <row r="108" spans="1:25" ht="15.6" x14ac:dyDescent="0.3">
      <c r="A108" s="340" t="s">
        <v>150</v>
      </c>
      <c r="B108" s="288" t="s">
        <v>184</v>
      </c>
      <c r="C108" s="288"/>
      <c r="D108" s="288"/>
      <c r="E108" s="288"/>
      <c r="F108" s="288"/>
      <c r="G108" s="288"/>
      <c r="H108" s="288"/>
      <c r="I108" s="288"/>
      <c r="J108" s="288"/>
      <c r="K108" s="288"/>
      <c r="L108" s="288"/>
      <c r="M108" s="288"/>
      <c r="N108" s="288"/>
      <c r="O108" s="288"/>
      <c r="P108" s="288"/>
      <c r="Q108" s="288"/>
      <c r="R108" s="288"/>
      <c r="S108" s="288"/>
      <c r="T108" s="288"/>
      <c r="U108" s="288"/>
      <c r="V108" s="338">
        <v>-153</v>
      </c>
      <c r="W108" s="291"/>
      <c r="X108" s="5"/>
      <c r="Y108" s="109"/>
    </row>
    <row r="109" spans="1:25" ht="15.6" x14ac:dyDescent="0.3">
      <c r="A109" s="340" t="s">
        <v>236</v>
      </c>
      <c r="B109" s="288" t="s">
        <v>238</v>
      </c>
      <c r="C109" s="288"/>
      <c r="D109" s="288"/>
      <c r="E109" s="288"/>
      <c r="F109" s="288"/>
      <c r="G109" s="288"/>
      <c r="H109" s="288"/>
      <c r="I109" s="288"/>
      <c r="J109" s="288"/>
      <c r="K109" s="288"/>
      <c r="L109" s="288"/>
      <c r="M109" s="288"/>
      <c r="N109" s="288"/>
      <c r="O109" s="288"/>
      <c r="P109" s="288"/>
      <c r="Q109" s="288"/>
      <c r="R109" s="288"/>
      <c r="S109" s="288"/>
      <c r="T109" s="288"/>
      <c r="U109" s="288"/>
      <c r="V109" s="338">
        <v>0</v>
      </c>
      <c r="W109" s="291"/>
      <c r="X109" s="5"/>
    </row>
    <row r="110" spans="1:25" ht="15.6" x14ac:dyDescent="0.3">
      <c r="A110" s="340" t="s">
        <v>205</v>
      </c>
      <c r="B110" s="288" t="s">
        <v>185</v>
      </c>
      <c r="C110" s="288"/>
      <c r="D110" s="288"/>
      <c r="E110" s="288"/>
      <c r="F110" s="288"/>
      <c r="G110" s="288"/>
      <c r="H110" s="288"/>
      <c r="I110" s="288"/>
      <c r="J110" s="288"/>
      <c r="K110" s="288"/>
      <c r="L110" s="288"/>
      <c r="M110" s="288"/>
      <c r="N110" s="288"/>
      <c r="O110" s="288"/>
      <c r="P110" s="288"/>
      <c r="Q110" s="288"/>
      <c r="R110" s="288"/>
      <c r="S110" s="288"/>
      <c r="T110" s="288"/>
      <c r="U110" s="288"/>
      <c r="V110" s="338">
        <v>-149</v>
      </c>
      <c r="W110" s="291"/>
      <c r="X110" s="5"/>
      <c r="Y110" s="109"/>
    </row>
    <row r="111" spans="1:25" ht="15.6" x14ac:dyDescent="0.3">
      <c r="A111" s="340" t="s">
        <v>206</v>
      </c>
      <c r="B111" s="288" t="s">
        <v>186</v>
      </c>
      <c r="C111" s="288"/>
      <c r="D111" s="288"/>
      <c r="E111" s="288"/>
      <c r="F111" s="288"/>
      <c r="G111" s="288"/>
      <c r="H111" s="288"/>
      <c r="I111" s="288"/>
      <c r="J111" s="288"/>
      <c r="K111" s="288"/>
      <c r="L111" s="288"/>
      <c r="M111" s="288"/>
      <c r="N111" s="288"/>
      <c r="O111" s="288"/>
      <c r="P111" s="288"/>
      <c r="Q111" s="288"/>
      <c r="R111" s="288"/>
      <c r="S111" s="288"/>
      <c r="T111" s="288"/>
      <c r="U111" s="288"/>
      <c r="V111" s="338">
        <v>-119</v>
      </c>
      <c r="W111" s="291"/>
      <c r="X111" s="179"/>
      <c r="Y111" s="109"/>
    </row>
    <row r="112" spans="1:25" ht="15.6" x14ac:dyDescent="0.3">
      <c r="A112" s="340" t="s">
        <v>207</v>
      </c>
      <c r="B112" s="288" t="s">
        <v>196</v>
      </c>
      <c r="C112" s="288"/>
      <c r="D112" s="288"/>
      <c r="E112" s="288"/>
      <c r="F112" s="288"/>
      <c r="G112" s="288"/>
      <c r="H112" s="288"/>
      <c r="I112" s="288"/>
      <c r="J112" s="288"/>
      <c r="K112" s="288"/>
      <c r="L112" s="288"/>
      <c r="M112" s="288"/>
      <c r="N112" s="288"/>
      <c r="O112" s="288"/>
      <c r="P112" s="288"/>
      <c r="Q112" s="288"/>
      <c r="R112" s="288"/>
      <c r="S112" s="288"/>
      <c r="T112" s="288"/>
      <c r="U112" s="288"/>
      <c r="V112" s="338">
        <v>-330</v>
      </c>
      <c r="W112" s="291"/>
      <c r="X112" s="5"/>
      <c r="Y112" s="109"/>
    </row>
    <row r="113" spans="1:25" ht="15.6" x14ac:dyDescent="0.3">
      <c r="A113" s="340" t="s">
        <v>224</v>
      </c>
      <c r="B113" s="288" t="s">
        <v>223</v>
      </c>
      <c r="C113" s="288"/>
      <c r="D113" s="288"/>
      <c r="E113" s="288"/>
      <c r="F113" s="288"/>
      <c r="G113" s="288"/>
      <c r="H113" s="288"/>
      <c r="I113" s="288"/>
      <c r="J113" s="288"/>
      <c r="K113" s="288"/>
      <c r="L113" s="288"/>
      <c r="M113" s="288"/>
      <c r="N113" s="288"/>
      <c r="O113" s="288"/>
      <c r="P113" s="288"/>
      <c r="Q113" s="288"/>
      <c r="R113" s="288"/>
      <c r="S113" s="288"/>
      <c r="T113" s="288"/>
      <c r="U113" s="288"/>
      <c r="V113" s="338">
        <v>-66</v>
      </c>
      <c r="W113" s="291"/>
      <c r="X113" s="5"/>
      <c r="Y113" s="109"/>
    </row>
    <row r="114" spans="1:25" ht="15.6" x14ac:dyDescent="0.3">
      <c r="A114" s="340">
        <v>7</v>
      </c>
      <c r="B114" s="288" t="s">
        <v>35</v>
      </c>
      <c r="C114" s="288"/>
      <c r="D114" s="288"/>
      <c r="E114" s="288"/>
      <c r="F114" s="288"/>
      <c r="G114" s="288"/>
      <c r="H114" s="288"/>
      <c r="I114" s="288"/>
      <c r="J114" s="288"/>
      <c r="K114" s="288"/>
      <c r="L114" s="288"/>
      <c r="M114" s="288"/>
      <c r="N114" s="288"/>
      <c r="O114" s="288"/>
      <c r="P114" s="288"/>
      <c r="Q114" s="288"/>
      <c r="R114" s="288"/>
      <c r="S114" s="288"/>
      <c r="T114" s="288"/>
      <c r="U114" s="288"/>
      <c r="V114" s="338">
        <v>-8</v>
      </c>
      <c r="W114" s="291"/>
      <c r="X114" s="5"/>
    </row>
    <row r="115" spans="1:25" ht="15.6" x14ac:dyDescent="0.3">
      <c r="A115" s="340">
        <f t="shared" ref="A115:A121" si="0">+A114+1</f>
        <v>8</v>
      </c>
      <c r="B115" s="288" t="s">
        <v>45</v>
      </c>
      <c r="C115" s="288"/>
      <c r="D115" s="288"/>
      <c r="E115" s="288"/>
      <c r="F115" s="288"/>
      <c r="G115" s="288"/>
      <c r="H115" s="288"/>
      <c r="I115" s="288"/>
      <c r="J115" s="288"/>
      <c r="K115" s="288"/>
      <c r="L115" s="288"/>
      <c r="M115" s="288"/>
      <c r="N115" s="288"/>
      <c r="O115" s="288"/>
      <c r="P115" s="288"/>
      <c r="Q115" s="288"/>
      <c r="R115" s="288"/>
      <c r="S115" s="288"/>
      <c r="T115" s="337">
        <f>-V115</f>
        <v>426</v>
      </c>
      <c r="U115" s="288"/>
      <c r="V115" s="338">
        <v>-426</v>
      </c>
      <c r="W115" s="291"/>
      <c r="X115" s="5"/>
    </row>
    <row r="116" spans="1:25" ht="15.6" x14ac:dyDescent="0.3">
      <c r="A116" s="340">
        <f t="shared" si="0"/>
        <v>9</v>
      </c>
      <c r="B116" s="288" t="s">
        <v>125</v>
      </c>
      <c r="C116" s="288"/>
      <c r="D116" s="288"/>
      <c r="E116" s="288"/>
      <c r="F116" s="288"/>
      <c r="G116" s="288"/>
      <c r="H116" s="288"/>
      <c r="I116" s="288"/>
      <c r="J116" s="288"/>
      <c r="K116" s="288"/>
      <c r="L116" s="288"/>
      <c r="M116" s="288"/>
      <c r="N116" s="288"/>
      <c r="O116" s="288"/>
      <c r="P116" s="288"/>
      <c r="Q116" s="288"/>
      <c r="R116" s="288"/>
      <c r="S116" s="288"/>
      <c r="T116" s="288"/>
      <c r="U116" s="288"/>
      <c r="V116" s="338">
        <v>0</v>
      </c>
      <c r="W116" s="291"/>
      <c r="X116" s="5"/>
    </row>
    <row r="117" spans="1:25" ht="15.6" x14ac:dyDescent="0.3">
      <c r="A117" s="340">
        <f t="shared" si="0"/>
        <v>10</v>
      </c>
      <c r="B117" s="288" t="s">
        <v>240</v>
      </c>
      <c r="C117" s="288"/>
      <c r="D117" s="288"/>
      <c r="E117" s="288"/>
      <c r="F117" s="288"/>
      <c r="G117" s="288"/>
      <c r="H117" s="288"/>
      <c r="I117" s="288"/>
      <c r="J117" s="288"/>
      <c r="K117" s="288"/>
      <c r="L117" s="288"/>
      <c r="M117" s="288"/>
      <c r="N117" s="288"/>
      <c r="O117" s="288"/>
      <c r="P117" s="288"/>
      <c r="Q117" s="288"/>
      <c r="R117" s="288"/>
      <c r="S117" s="288"/>
      <c r="T117" s="288"/>
      <c r="U117" s="288"/>
      <c r="V117" s="338">
        <v>0</v>
      </c>
      <c r="W117" s="291"/>
      <c r="X117" s="5"/>
    </row>
    <row r="118" spans="1:25" ht="15.6" x14ac:dyDescent="0.3">
      <c r="A118" s="340">
        <f t="shared" si="0"/>
        <v>11</v>
      </c>
      <c r="B118" s="288" t="s">
        <v>36</v>
      </c>
      <c r="C118" s="288"/>
      <c r="D118" s="288"/>
      <c r="E118" s="288"/>
      <c r="F118" s="288"/>
      <c r="G118" s="288"/>
      <c r="H118" s="288"/>
      <c r="I118" s="288"/>
      <c r="J118" s="288"/>
      <c r="K118" s="288"/>
      <c r="L118" s="288"/>
      <c r="M118" s="288"/>
      <c r="N118" s="288"/>
      <c r="O118" s="288"/>
      <c r="P118" s="288"/>
      <c r="Q118" s="288"/>
      <c r="R118" s="288"/>
      <c r="S118" s="288"/>
      <c r="T118" s="288"/>
      <c r="U118" s="288"/>
      <c r="V118" s="338">
        <v>0</v>
      </c>
      <c r="W118" s="291"/>
      <c r="X118" s="5"/>
    </row>
    <row r="119" spans="1:25" ht="15.6" x14ac:dyDescent="0.3">
      <c r="A119" s="340">
        <f t="shared" si="0"/>
        <v>12</v>
      </c>
      <c r="B119" s="288" t="s">
        <v>239</v>
      </c>
      <c r="C119" s="288"/>
      <c r="D119" s="288"/>
      <c r="E119" s="288"/>
      <c r="F119" s="288"/>
      <c r="G119" s="288"/>
      <c r="H119" s="288"/>
      <c r="I119" s="288"/>
      <c r="J119" s="288"/>
      <c r="K119" s="288"/>
      <c r="L119" s="288"/>
      <c r="M119" s="288"/>
      <c r="N119" s="288"/>
      <c r="O119" s="288"/>
      <c r="P119" s="288"/>
      <c r="Q119" s="288"/>
      <c r="R119" s="288"/>
      <c r="S119" s="288"/>
      <c r="T119" s="288"/>
      <c r="U119" s="288"/>
      <c r="V119" s="338">
        <v>0</v>
      </c>
      <c r="W119" s="291"/>
      <c r="X119" s="5"/>
    </row>
    <row r="120" spans="1:25" ht="15.6" x14ac:dyDescent="0.3">
      <c r="A120" s="340">
        <f t="shared" si="0"/>
        <v>13</v>
      </c>
      <c r="B120" s="288" t="s">
        <v>149</v>
      </c>
      <c r="C120" s="288"/>
      <c r="D120" s="288"/>
      <c r="E120" s="288"/>
      <c r="F120" s="288"/>
      <c r="G120" s="288"/>
      <c r="H120" s="288"/>
      <c r="I120" s="288"/>
      <c r="J120" s="288"/>
      <c r="K120" s="288"/>
      <c r="L120" s="288"/>
      <c r="M120" s="288"/>
      <c r="N120" s="288"/>
      <c r="O120" s="288"/>
      <c r="P120" s="288"/>
      <c r="Q120" s="288"/>
      <c r="R120" s="288"/>
      <c r="S120" s="288"/>
      <c r="T120" s="288"/>
      <c r="U120" s="288"/>
      <c r="V120" s="338">
        <v>-658</v>
      </c>
      <c r="W120" s="291"/>
      <c r="X120" s="5"/>
    </row>
    <row r="121" spans="1:25" ht="15.6" x14ac:dyDescent="0.3">
      <c r="A121" s="340">
        <f t="shared" si="0"/>
        <v>14</v>
      </c>
      <c r="B121" s="288" t="s">
        <v>126</v>
      </c>
      <c r="C121" s="288"/>
      <c r="D121" s="288"/>
      <c r="E121" s="288"/>
      <c r="F121" s="288"/>
      <c r="G121" s="288"/>
      <c r="H121" s="288"/>
      <c r="I121" s="288"/>
      <c r="J121" s="288"/>
      <c r="K121" s="288"/>
      <c r="L121" s="288"/>
      <c r="M121" s="288"/>
      <c r="N121" s="288"/>
      <c r="O121" s="288"/>
      <c r="P121" s="288"/>
      <c r="Q121" s="288"/>
      <c r="R121" s="288"/>
      <c r="S121" s="288"/>
      <c r="T121" s="288"/>
      <c r="U121" s="288"/>
      <c r="V121" s="338">
        <f>-V101-SUM(V103:V120)</f>
        <v>-2995</v>
      </c>
      <c r="W121" s="291"/>
      <c r="X121" s="5"/>
    </row>
    <row r="122" spans="1:25" ht="15.6" x14ac:dyDescent="0.3">
      <c r="A122" s="287"/>
      <c r="B122" s="343" t="s">
        <v>37</v>
      </c>
      <c r="C122" s="314"/>
      <c r="D122" s="314"/>
      <c r="E122" s="314"/>
      <c r="F122" s="314"/>
      <c r="G122" s="314"/>
      <c r="H122" s="314"/>
      <c r="I122" s="314"/>
      <c r="J122" s="314"/>
      <c r="K122" s="314"/>
      <c r="L122" s="314"/>
      <c r="M122" s="314"/>
      <c r="N122" s="314"/>
      <c r="O122" s="314"/>
      <c r="P122" s="314"/>
      <c r="Q122" s="314"/>
      <c r="R122" s="314"/>
      <c r="S122" s="314"/>
      <c r="T122" s="314"/>
      <c r="U122" s="314"/>
      <c r="V122" s="346"/>
      <c r="W122" s="318"/>
      <c r="X122" s="5"/>
    </row>
    <row r="123" spans="1:25" ht="15.6" x14ac:dyDescent="0.3">
      <c r="A123" s="340"/>
      <c r="B123" s="288" t="s">
        <v>173</v>
      </c>
      <c r="C123" s="288"/>
      <c r="D123" s="288"/>
      <c r="E123" s="288"/>
      <c r="F123" s="288"/>
      <c r="G123" s="288"/>
      <c r="H123" s="288"/>
      <c r="I123" s="288"/>
      <c r="J123" s="288"/>
      <c r="K123" s="288"/>
      <c r="L123" s="288"/>
      <c r="M123" s="288"/>
      <c r="N123" s="288"/>
      <c r="O123" s="288"/>
      <c r="P123" s="288"/>
      <c r="Q123" s="288"/>
      <c r="R123" s="288"/>
      <c r="S123" s="288"/>
      <c r="T123" s="337">
        <f>-T189</f>
        <v>-3</v>
      </c>
      <c r="U123" s="337"/>
      <c r="V123" s="338"/>
      <c r="W123" s="291"/>
      <c r="X123" s="5"/>
    </row>
    <row r="124" spans="1:25" ht="15.6" x14ac:dyDescent="0.3">
      <c r="A124" s="340"/>
      <c r="B124" s="288" t="s">
        <v>174</v>
      </c>
      <c r="C124" s="288"/>
      <c r="D124" s="288"/>
      <c r="E124" s="288"/>
      <c r="F124" s="288"/>
      <c r="G124" s="288"/>
      <c r="H124" s="288"/>
      <c r="I124" s="288"/>
      <c r="J124" s="288"/>
      <c r="K124" s="288"/>
      <c r="L124" s="288"/>
      <c r="M124" s="288"/>
      <c r="N124" s="288"/>
      <c r="O124" s="288"/>
      <c r="P124" s="288"/>
      <c r="Q124" s="288"/>
      <c r="R124" s="288"/>
      <c r="S124" s="288"/>
      <c r="T124" s="337">
        <v>0</v>
      </c>
      <c r="U124" s="337"/>
      <c r="V124" s="338"/>
      <c r="W124" s="291"/>
      <c r="X124" s="5"/>
    </row>
    <row r="125" spans="1:25" ht="15.6" x14ac:dyDescent="0.3">
      <c r="A125" s="340"/>
      <c r="B125" s="288" t="s">
        <v>38</v>
      </c>
      <c r="C125" s="288"/>
      <c r="D125" s="288"/>
      <c r="E125" s="288"/>
      <c r="F125" s="288"/>
      <c r="G125" s="288"/>
      <c r="H125" s="288"/>
      <c r="I125" s="288"/>
      <c r="J125" s="288"/>
      <c r="K125" s="288"/>
      <c r="L125" s="288"/>
      <c r="M125" s="288"/>
      <c r="N125" s="288"/>
      <c r="O125" s="288"/>
      <c r="P125" s="288"/>
      <c r="Q125" s="288"/>
      <c r="R125" s="288"/>
      <c r="S125" s="288"/>
      <c r="T125" s="337">
        <f>-S189</f>
        <v>-385</v>
      </c>
      <c r="U125" s="337"/>
      <c r="V125" s="338"/>
      <c r="W125" s="291"/>
      <c r="X125" s="5"/>
    </row>
    <row r="126" spans="1:25" ht="15.6" x14ac:dyDescent="0.3">
      <c r="A126" s="340"/>
      <c r="B126" s="288" t="s">
        <v>197</v>
      </c>
      <c r="C126" s="288"/>
      <c r="D126" s="288"/>
      <c r="E126" s="288"/>
      <c r="F126" s="288"/>
      <c r="G126" s="288"/>
      <c r="H126" s="288"/>
      <c r="I126" s="288"/>
      <c r="J126" s="288"/>
      <c r="K126" s="288"/>
      <c r="L126" s="288"/>
      <c r="M126" s="288"/>
      <c r="N126" s="288"/>
      <c r="O126" s="288"/>
      <c r="P126" s="288"/>
      <c r="Q126" s="288"/>
      <c r="R126" s="288"/>
      <c r="S126" s="288"/>
      <c r="T126" s="337">
        <v>-7346</v>
      </c>
      <c r="U126" s="337"/>
      <c r="V126" s="338"/>
      <c r="W126" s="291"/>
      <c r="X126" s="5"/>
    </row>
    <row r="127" spans="1:25" ht="15.6" x14ac:dyDescent="0.3">
      <c r="A127" s="340"/>
      <c r="B127" s="288" t="s">
        <v>195</v>
      </c>
      <c r="C127" s="288"/>
      <c r="D127" s="288"/>
      <c r="E127" s="288"/>
      <c r="F127" s="288"/>
      <c r="G127" s="288"/>
      <c r="H127" s="288"/>
      <c r="I127" s="288"/>
      <c r="J127" s="288"/>
      <c r="K127" s="288"/>
      <c r="L127" s="288"/>
      <c r="M127" s="288"/>
      <c r="N127" s="288"/>
      <c r="O127" s="288"/>
      <c r="P127" s="288"/>
      <c r="Q127" s="288"/>
      <c r="R127" s="288"/>
      <c r="S127" s="288"/>
      <c r="T127" s="337">
        <v>-1185</v>
      </c>
      <c r="U127" s="337"/>
      <c r="V127" s="338"/>
      <c r="W127" s="291"/>
      <c r="X127" s="5"/>
    </row>
    <row r="128" spans="1:25" ht="15.6" x14ac:dyDescent="0.3">
      <c r="A128" s="340"/>
      <c r="B128" s="288" t="s">
        <v>194</v>
      </c>
      <c r="C128" s="288"/>
      <c r="D128" s="288"/>
      <c r="E128" s="288"/>
      <c r="F128" s="288"/>
      <c r="G128" s="288"/>
      <c r="H128" s="288"/>
      <c r="I128" s="288"/>
      <c r="J128" s="288"/>
      <c r="K128" s="288"/>
      <c r="L128" s="288"/>
      <c r="M128" s="288"/>
      <c r="N128" s="288"/>
      <c r="O128" s="288"/>
      <c r="P128" s="288"/>
      <c r="Q128" s="288"/>
      <c r="R128" s="288"/>
      <c r="S128" s="288"/>
      <c r="T128" s="337">
        <v>-1594</v>
      </c>
      <c r="U128" s="337"/>
      <c r="V128" s="338"/>
      <c r="W128" s="291"/>
      <c r="X128" s="5"/>
    </row>
    <row r="129" spans="1:24" ht="15.6" x14ac:dyDescent="0.3">
      <c r="A129" s="340"/>
      <c r="B129" s="288" t="s">
        <v>226</v>
      </c>
      <c r="C129" s="288"/>
      <c r="D129" s="288"/>
      <c r="E129" s="288"/>
      <c r="F129" s="288"/>
      <c r="G129" s="288"/>
      <c r="H129" s="288"/>
      <c r="I129" s="288"/>
      <c r="J129" s="288"/>
      <c r="K129" s="288"/>
      <c r="L129" s="288"/>
      <c r="M129" s="288"/>
      <c r="N129" s="288"/>
      <c r="O129" s="288"/>
      <c r="P129" s="288"/>
      <c r="Q129" s="288"/>
      <c r="R129" s="288"/>
      <c r="S129" s="288"/>
      <c r="T129" s="337">
        <v>-1959</v>
      </c>
      <c r="U129" s="337"/>
      <c r="V129" s="338"/>
      <c r="W129" s="291"/>
      <c r="X129" s="5"/>
    </row>
    <row r="130" spans="1:24" ht="15.6" x14ac:dyDescent="0.3">
      <c r="A130" s="340"/>
      <c r="B130" s="288" t="s">
        <v>189</v>
      </c>
      <c r="C130" s="288"/>
      <c r="D130" s="288"/>
      <c r="E130" s="288"/>
      <c r="F130" s="288"/>
      <c r="G130" s="288"/>
      <c r="H130" s="288"/>
      <c r="I130" s="288"/>
      <c r="J130" s="288"/>
      <c r="K130" s="288"/>
      <c r="L130" s="288"/>
      <c r="M130" s="288"/>
      <c r="N130" s="288"/>
      <c r="O130" s="288"/>
      <c r="P130" s="288"/>
      <c r="Q130" s="288"/>
      <c r="R130" s="288"/>
      <c r="S130" s="288"/>
      <c r="T130" s="337">
        <v>0</v>
      </c>
      <c r="U130" s="337"/>
      <c r="V130" s="338"/>
      <c r="W130" s="291"/>
      <c r="X130" s="5"/>
    </row>
    <row r="131" spans="1:24" ht="15.6" x14ac:dyDescent="0.3">
      <c r="A131" s="340"/>
      <c r="B131" s="288" t="s">
        <v>188</v>
      </c>
      <c r="C131" s="288"/>
      <c r="D131" s="288"/>
      <c r="E131" s="288"/>
      <c r="F131" s="288"/>
      <c r="G131" s="288"/>
      <c r="H131" s="288"/>
      <c r="I131" s="288"/>
      <c r="J131" s="288"/>
      <c r="K131" s="288"/>
      <c r="L131" s="288"/>
      <c r="M131" s="288"/>
      <c r="N131" s="288"/>
      <c r="O131" s="288"/>
      <c r="P131" s="288"/>
      <c r="Q131" s="288"/>
      <c r="R131" s="288"/>
      <c r="S131" s="288"/>
      <c r="T131" s="337">
        <v>0</v>
      </c>
      <c r="U131" s="337"/>
      <c r="V131" s="338"/>
      <c r="W131" s="291"/>
      <c r="X131" s="5"/>
    </row>
    <row r="132" spans="1:24" ht="15.6" x14ac:dyDescent="0.3">
      <c r="A132" s="340"/>
      <c r="B132" s="288" t="s">
        <v>227</v>
      </c>
      <c r="C132" s="288"/>
      <c r="D132" s="288"/>
      <c r="E132" s="288"/>
      <c r="F132" s="288"/>
      <c r="G132" s="288"/>
      <c r="H132" s="288"/>
      <c r="I132" s="288"/>
      <c r="J132" s="288"/>
      <c r="K132" s="288"/>
      <c r="L132" s="288"/>
      <c r="M132" s="288"/>
      <c r="N132" s="288"/>
      <c r="O132" s="288"/>
      <c r="P132" s="288"/>
      <c r="Q132" s="288"/>
      <c r="R132" s="288"/>
      <c r="S132" s="288"/>
      <c r="T132" s="337">
        <v>0</v>
      </c>
      <c r="U132" s="337"/>
      <c r="V132" s="338"/>
      <c r="W132" s="291"/>
      <c r="X132" s="5"/>
    </row>
    <row r="133" spans="1:24" ht="15.6" x14ac:dyDescent="0.3">
      <c r="A133" s="340"/>
      <c r="B133" s="288" t="s">
        <v>187</v>
      </c>
      <c r="C133" s="288"/>
      <c r="D133" s="288"/>
      <c r="E133" s="288"/>
      <c r="F133" s="288"/>
      <c r="G133" s="288"/>
      <c r="H133" s="288"/>
      <c r="I133" s="288"/>
      <c r="J133" s="288"/>
      <c r="K133" s="288"/>
      <c r="L133" s="288"/>
      <c r="M133" s="288"/>
      <c r="N133" s="288"/>
      <c r="O133" s="288"/>
      <c r="P133" s="288"/>
      <c r="Q133" s="288"/>
      <c r="R133" s="288"/>
      <c r="S133" s="288"/>
      <c r="T133" s="337">
        <v>0</v>
      </c>
      <c r="U133" s="337"/>
      <c r="V133" s="338"/>
      <c r="W133" s="291"/>
      <c r="X133" s="5"/>
    </row>
    <row r="134" spans="1:24" ht="15.6" x14ac:dyDescent="0.3">
      <c r="A134" s="340"/>
      <c r="B134" s="288" t="s">
        <v>39</v>
      </c>
      <c r="C134" s="288"/>
      <c r="D134" s="288"/>
      <c r="E134" s="288"/>
      <c r="F134" s="288"/>
      <c r="G134" s="288"/>
      <c r="H134" s="288"/>
      <c r="I134" s="288"/>
      <c r="J134" s="288"/>
      <c r="K134" s="288"/>
      <c r="L134" s="288"/>
      <c r="M134" s="288"/>
      <c r="N134" s="288"/>
      <c r="O134" s="288"/>
      <c r="P134" s="288"/>
      <c r="Q134" s="288"/>
      <c r="R134" s="288"/>
      <c r="S134" s="288"/>
      <c r="T134" s="337">
        <f>SUM(T123:T133)</f>
        <v>-12472</v>
      </c>
      <c r="U134" s="337"/>
      <c r="V134" s="337">
        <f>SUM(V102:V131)</f>
        <v>-6756</v>
      </c>
      <c r="W134" s="291"/>
      <c r="X134" s="5"/>
    </row>
    <row r="135" spans="1:24" ht="15.6" x14ac:dyDescent="0.3">
      <c r="A135" s="340"/>
      <c r="B135" s="288" t="s">
        <v>40</v>
      </c>
      <c r="C135" s="288"/>
      <c r="D135" s="288"/>
      <c r="E135" s="288"/>
      <c r="F135" s="288"/>
      <c r="G135" s="288"/>
      <c r="H135" s="288"/>
      <c r="I135" s="288"/>
      <c r="J135" s="288"/>
      <c r="K135" s="288"/>
      <c r="L135" s="288"/>
      <c r="M135" s="288"/>
      <c r="N135" s="288"/>
      <c r="O135" s="288"/>
      <c r="P135" s="288"/>
      <c r="Q135" s="288"/>
      <c r="R135" s="288"/>
      <c r="S135" s="288"/>
      <c r="T135" s="337">
        <f>T101+T134+T115</f>
        <v>0</v>
      </c>
      <c r="U135" s="337"/>
      <c r="V135" s="337">
        <f>V101+V134</f>
        <v>0</v>
      </c>
      <c r="W135" s="291"/>
      <c r="X135" s="5"/>
    </row>
    <row r="136" spans="1:24" ht="15.6" x14ac:dyDescent="0.3">
      <c r="A136" s="243"/>
      <c r="B136" s="284"/>
      <c r="C136" s="284"/>
      <c r="D136" s="284"/>
      <c r="E136" s="284"/>
      <c r="F136" s="284"/>
      <c r="G136" s="284"/>
      <c r="H136" s="284"/>
      <c r="I136" s="284"/>
      <c r="J136" s="284"/>
      <c r="K136" s="284"/>
      <c r="L136" s="284"/>
      <c r="M136" s="284"/>
      <c r="N136" s="284"/>
      <c r="O136" s="284"/>
      <c r="P136" s="284"/>
      <c r="Q136" s="284"/>
      <c r="R136" s="284"/>
      <c r="S136" s="284"/>
      <c r="T136" s="339"/>
      <c r="U136" s="339"/>
      <c r="V136" s="339"/>
      <c r="W136" s="284"/>
      <c r="X136" s="5"/>
    </row>
    <row r="137" spans="1:24" ht="15.6" x14ac:dyDescent="0.3">
      <c r="A137" s="243"/>
      <c r="B137" s="224"/>
      <c r="C137" s="224"/>
      <c r="D137" s="224"/>
      <c r="E137" s="224"/>
      <c r="F137" s="224"/>
      <c r="G137" s="224"/>
      <c r="H137" s="224"/>
      <c r="I137" s="224"/>
      <c r="J137" s="224"/>
      <c r="K137" s="224"/>
      <c r="L137" s="224"/>
      <c r="M137" s="224"/>
      <c r="N137" s="224"/>
      <c r="O137" s="224"/>
      <c r="P137" s="224"/>
      <c r="Q137" s="224"/>
      <c r="R137" s="224"/>
      <c r="S137" s="224"/>
      <c r="T137" s="224"/>
      <c r="U137" s="224"/>
      <c r="V137" s="244"/>
      <c r="W137" s="224"/>
      <c r="X137" s="5"/>
    </row>
    <row r="138" spans="1:24" ht="18" thickBot="1" x14ac:dyDescent="0.35">
      <c r="A138" s="245"/>
      <c r="B138" s="237" t="str">
        <f>B64</f>
        <v>PM14 INVESTOR REPORT QUARTER ENDING NOVEMBER 2014</v>
      </c>
      <c r="C138" s="238"/>
      <c r="D138" s="238"/>
      <c r="E138" s="238"/>
      <c r="F138" s="238"/>
      <c r="G138" s="238"/>
      <c r="H138" s="238"/>
      <c r="I138" s="238"/>
      <c r="J138" s="238"/>
      <c r="K138" s="238"/>
      <c r="L138" s="238"/>
      <c r="M138" s="238"/>
      <c r="N138" s="238"/>
      <c r="O138" s="238"/>
      <c r="P138" s="238"/>
      <c r="Q138" s="238"/>
      <c r="R138" s="238"/>
      <c r="S138" s="238"/>
      <c r="T138" s="238"/>
      <c r="U138" s="238"/>
      <c r="V138" s="246"/>
      <c r="W138" s="240"/>
      <c r="X138" s="5"/>
    </row>
    <row r="139" spans="1:24" ht="15.6" x14ac:dyDescent="0.3">
      <c r="A139" s="273"/>
      <c r="B139" s="403" t="s">
        <v>41</v>
      </c>
      <c r="C139" s="274"/>
      <c r="D139" s="274"/>
      <c r="E139" s="274"/>
      <c r="F139" s="274"/>
      <c r="G139" s="274"/>
      <c r="H139" s="274"/>
      <c r="I139" s="274"/>
      <c r="J139" s="274"/>
      <c r="K139" s="274"/>
      <c r="L139" s="274"/>
      <c r="M139" s="274"/>
      <c r="N139" s="274"/>
      <c r="O139" s="274"/>
      <c r="P139" s="274"/>
      <c r="Q139" s="274"/>
      <c r="R139" s="274"/>
      <c r="S139" s="274"/>
      <c r="T139" s="274"/>
      <c r="U139" s="274"/>
      <c r="V139" s="275"/>
      <c r="W139" s="274"/>
      <c r="X139" s="5"/>
    </row>
    <row r="140" spans="1:24" ht="15.6" x14ac:dyDescent="0.3">
      <c r="A140" s="183"/>
      <c r="B140" s="195"/>
      <c r="C140" s="185"/>
      <c r="D140" s="185"/>
      <c r="E140" s="185"/>
      <c r="F140" s="185"/>
      <c r="G140" s="185"/>
      <c r="H140" s="185"/>
      <c r="I140" s="185"/>
      <c r="J140" s="185"/>
      <c r="K140" s="185"/>
      <c r="L140" s="185"/>
      <c r="M140" s="185"/>
      <c r="N140" s="185"/>
      <c r="O140" s="185"/>
      <c r="P140" s="185"/>
      <c r="Q140" s="185"/>
      <c r="R140" s="185"/>
      <c r="S140" s="185"/>
      <c r="T140" s="185"/>
      <c r="U140" s="185"/>
      <c r="V140" s="201"/>
      <c r="W140" s="185"/>
      <c r="X140" s="5"/>
    </row>
    <row r="141" spans="1:24" ht="15.6" x14ac:dyDescent="0.3">
      <c r="A141" s="183"/>
      <c r="B141" s="208" t="s">
        <v>42</v>
      </c>
      <c r="C141" s="185"/>
      <c r="D141" s="185"/>
      <c r="E141" s="185"/>
      <c r="F141" s="185"/>
      <c r="G141" s="185"/>
      <c r="H141" s="185"/>
      <c r="I141" s="185"/>
      <c r="J141" s="185"/>
      <c r="K141" s="185"/>
      <c r="L141" s="185"/>
      <c r="M141" s="185"/>
      <c r="N141" s="185"/>
      <c r="O141" s="185"/>
      <c r="P141" s="185"/>
      <c r="Q141" s="185"/>
      <c r="R141" s="185"/>
      <c r="S141" s="185"/>
      <c r="T141" s="185"/>
      <c r="U141" s="185"/>
      <c r="V141" s="201"/>
      <c r="W141" s="185"/>
      <c r="X141" s="5"/>
    </row>
    <row r="142" spans="1:24" ht="15.6" x14ac:dyDescent="0.3">
      <c r="A142" s="287"/>
      <c r="B142" s="288" t="s">
        <v>43</v>
      </c>
      <c r="C142" s="288"/>
      <c r="D142" s="288"/>
      <c r="E142" s="288"/>
      <c r="F142" s="288"/>
      <c r="G142" s="288"/>
      <c r="H142" s="288"/>
      <c r="I142" s="288"/>
      <c r="J142" s="288"/>
      <c r="K142" s="288"/>
      <c r="L142" s="288"/>
      <c r="M142" s="288"/>
      <c r="N142" s="288"/>
      <c r="O142" s="288"/>
      <c r="P142" s="288"/>
      <c r="Q142" s="288"/>
      <c r="R142" s="288"/>
      <c r="S142" s="288"/>
      <c r="T142" s="288"/>
      <c r="U142" s="288"/>
      <c r="V142" s="338">
        <f>+V34*0.019</f>
        <v>28505.224999999999</v>
      </c>
      <c r="W142" s="291"/>
      <c r="X142" s="5"/>
    </row>
    <row r="143" spans="1:24" ht="15.6" x14ac:dyDescent="0.3">
      <c r="A143" s="287"/>
      <c r="B143" s="288" t="s">
        <v>44</v>
      </c>
      <c r="C143" s="288"/>
      <c r="D143" s="288"/>
      <c r="E143" s="288"/>
      <c r="F143" s="288"/>
      <c r="G143" s="288"/>
      <c r="H143" s="288"/>
      <c r="I143" s="288"/>
      <c r="J143" s="288"/>
      <c r="K143" s="288"/>
      <c r="L143" s="288"/>
      <c r="M143" s="288"/>
      <c r="N143" s="288"/>
      <c r="O143" s="288"/>
      <c r="P143" s="288"/>
      <c r="Q143" s="288"/>
      <c r="R143" s="288"/>
      <c r="S143" s="288"/>
      <c r="T143" s="288"/>
      <c r="U143" s="288"/>
      <c r="V143" s="338">
        <v>28505</v>
      </c>
      <c r="W143" s="291"/>
      <c r="X143" s="5"/>
    </row>
    <row r="144" spans="1:24" ht="15.6" x14ac:dyDescent="0.3">
      <c r="A144" s="287"/>
      <c r="B144" s="288" t="s">
        <v>136</v>
      </c>
      <c r="C144" s="288"/>
      <c r="D144" s="288"/>
      <c r="E144" s="288"/>
      <c r="F144" s="288"/>
      <c r="G144" s="288"/>
      <c r="H144" s="288"/>
      <c r="I144" s="288"/>
      <c r="J144" s="288"/>
      <c r="K144" s="288"/>
      <c r="L144" s="288"/>
      <c r="M144" s="288"/>
      <c r="N144" s="288"/>
      <c r="O144" s="288"/>
      <c r="P144" s="288"/>
      <c r="Q144" s="288"/>
      <c r="R144" s="288"/>
      <c r="S144" s="288"/>
      <c r="T144" s="288"/>
      <c r="U144" s="288"/>
      <c r="V144" s="338"/>
      <c r="W144" s="291"/>
      <c r="X144" s="5"/>
    </row>
    <row r="145" spans="1:25" ht="15.6" x14ac:dyDescent="0.3">
      <c r="A145" s="287"/>
      <c r="B145" s="288" t="s">
        <v>123</v>
      </c>
      <c r="C145" s="288"/>
      <c r="D145" s="288"/>
      <c r="E145" s="288"/>
      <c r="F145" s="288"/>
      <c r="G145" s="288"/>
      <c r="H145" s="288"/>
      <c r="I145" s="288"/>
      <c r="J145" s="288"/>
      <c r="K145" s="288"/>
      <c r="L145" s="288"/>
      <c r="M145" s="288"/>
      <c r="N145" s="288"/>
      <c r="O145" s="288"/>
      <c r="P145" s="288"/>
      <c r="Q145" s="288"/>
      <c r="R145" s="288"/>
      <c r="S145" s="288"/>
      <c r="T145" s="288"/>
      <c r="U145" s="288"/>
      <c r="V145" s="338">
        <v>0</v>
      </c>
      <c r="W145" s="291"/>
      <c r="X145" s="5"/>
    </row>
    <row r="146" spans="1:25" ht="15.6" x14ac:dyDescent="0.3">
      <c r="A146" s="287"/>
      <c r="B146" s="288" t="s">
        <v>124</v>
      </c>
      <c r="C146" s="288"/>
      <c r="D146" s="288"/>
      <c r="E146" s="288"/>
      <c r="F146" s="288"/>
      <c r="G146" s="288"/>
      <c r="H146" s="288"/>
      <c r="I146" s="288"/>
      <c r="J146" s="288"/>
      <c r="K146" s="288"/>
      <c r="L146" s="288"/>
      <c r="M146" s="288"/>
      <c r="N146" s="288"/>
      <c r="O146" s="288"/>
      <c r="P146" s="288"/>
      <c r="Q146" s="288"/>
      <c r="R146" s="288"/>
      <c r="S146" s="288"/>
      <c r="T146" s="288"/>
      <c r="U146" s="288"/>
      <c r="V146" s="338">
        <v>0</v>
      </c>
      <c r="W146" s="291"/>
      <c r="X146" s="5"/>
    </row>
    <row r="147" spans="1:25" ht="15.6" x14ac:dyDescent="0.3">
      <c r="A147" s="287"/>
      <c r="B147" s="288" t="s">
        <v>175</v>
      </c>
      <c r="C147" s="288"/>
      <c r="D147" s="288"/>
      <c r="E147" s="288"/>
      <c r="F147" s="288"/>
      <c r="G147" s="288"/>
      <c r="H147" s="288"/>
      <c r="I147" s="288"/>
      <c r="J147" s="288"/>
      <c r="K147" s="288"/>
      <c r="L147" s="288"/>
      <c r="M147" s="288"/>
      <c r="N147" s="288"/>
      <c r="O147" s="288"/>
      <c r="P147" s="288"/>
      <c r="Q147" s="288"/>
      <c r="R147" s="288"/>
      <c r="S147" s="288"/>
      <c r="T147" s="288"/>
      <c r="U147" s="288"/>
      <c r="V147" s="338">
        <v>0</v>
      </c>
      <c r="W147" s="291"/>
      <c r="X147" s="5"/>
    </row>
    <row r="148" spans="1:25" ht="15.6" x14ac:dyDescent="0.3">
      <c r="A148" s="287"/>
      <c r="B148" s="288" t="s">
        <v>45</v>
      </c>
      <c r="C148" s="288"/>
      <c r="D148" s="288"/>
      <c r="E148" s="288"/>
      <c r="F148" s="288"/>
      <c r="G148" s="288"/>
      <c r="H148" s="288"/>
      <c r="I148" s="288"/>
      <c r="J148" s="288"/>
      <c r="K148" s="288"/>
      <c r="L148" s="288"/>
      <c r="M148" s="288"/>
      <c r="N148" s="288"/>
      <c r="O148" s="288"/>
      <c r="P148" s="288"/>
      <c r="Q148" s="288"/>
      <c r="R148" s="288"/>
      <c r="S148" s="288"/>
      <c r="T148" s="288"/>
      <c r="U148" s="288"/>
      <c r="V148" s="338">
        <v>0</v>
      </c>
      <c r="W148" s="291"/>
      <c r="X148" s="5"/>
    </row>
    <row r="149" spans="1:25" ht="15.6" x14ac:dyDescent="0.3">
      <c r="A149" s="287"/>
      <c r="B149" s="288" t="s">
        <v>129</v>
      </c>
      <c r="C149" s="288"/>
      <c r="D149" s="288"/>
      <c r="E149" s="288"/>
      <c r="F149" s="288"/>
      <c r="G149" s="288"/>
      <c r="H149" s="288"/>
      <c r="I149" s="288"/>
      <c r="J149" s="288"/>
      <c r="K149" s="288"/>
      <c r="L149" s="288"/>
      <c r="M149" s="288"/>
      <c r="N149" s="288"/>
      <c r="O149" s="288"/>
      <c r="P149" s="288"/>
      <c r="Q149" s="288"/>
      <c r="R149" s="288"/>
      <c r="S149" s="288"/>
      <c r="T149" s="288"/>
      <c r="U149" s="288"/>
      <c r="V149" s="338">
        <v>0</v>
      </c>
      <c r="W149" s="291"/>
      <c r="X149" s="5"/>
    </row>
    <row r="150" spans="1:25" ht="15.6" x14ac:dyDescent="0.3">
      <c r="A150" s="287"/>
      <c r="B150" s="288" t="s">
        <v>267</v>
      </c>
      <c r="C150" s="288"/>
      <c r="D150" s="288"/>
      <c r="E150" s="288"/>
      <c r="F150" s="288"/>
      <c r="G150" s="288"/>
      <c r="H150" s="288"/>
      <c r="I150" s="288"/>
      <c r="J150" s="288"/>
      <c r="K150" s="288"/>
      <c r="L150" s="288"/>
      <c r="M150" s="288"/>
      <c r="N150" s="288"/>
      <c r="O150" s="288"/>
      <c r="P150" s="288"/>
      <c r="Q150" s="288"/>
      <c r="R150" s="288"/>
      <c r="S150" s="288"/>
      <c r="T150" s="288"/>
      <c r="U150" s="288"/>
      <c r="V150" s="338">
        <v>0</v>
      </c>
      <c r="W150" s="291"/>
      <c r="X150" s="5"/>
      <c r="Y150" s="109"/>
    </row>
    <row r="151" spans="1:25" ht="15.6" x14ac:dyDescent="0.3">
      <c r="A151" s="287"/>
      <c r="B151" s="288" t="s">
        <v>46</v>
      </c>
      <c r="C151" s="288"/>
      <c r="D151" s="288"/>
      <c r="E151" s="288"/>
      <c r="F151" s="288"/>
      <c r="G151" s="288"/>
      <c r="H151" s="288"/>
      <c r="I151" s="288"/>
      <c r="J151" s="288"/>
      <c r="K151" s="288"/>
      <c r="L151" s="288"/>
      <c r="M151" s="288"/>
      <c r="N151" s="288"/>
      <c r="O151" s="288"/>
      <c r="P151" s="288"/>
      <c r="Q151" s="288"/>
      <c r="R151" s="288"/>
      <c r="S151" s="288"/>
      <c r="T151" s="288"/>
      <c r="U151" s="288"/>
      <c r="V151" s="338">
        <f>SUM(V143:V150)</f>
        <v>28505</v>
      </c>
      <c r="W151" s="291"/>
      <c r="X151" s="5"/>
    </row>
    <row r="152" spans="1:25" ht="15.6" x14ac:dyDescent="0.3">
      <c r="A152" s="287"/>
      <c r="B152" s="314"/>
      <c r="C152" s="314"/>
      <c r="D152" s="314"/>
      <c r="E152" s="314"/>
      <c r="F152" s="314"/>
      <c r="G152" s="314"/>
      <c r="H152" s="314"/>
      <c r="I152" s="314"/>
      <c r="J152" s="314"/>
      <c r="K152" s="314"/>
      <c r="L152" s="314"/>
      <c r="M152" s="314"/>
      <c r="N152" s="314"/>
      <c r="O152" s="314"/>
      <c r="P152" s="314"/>
      <c r="Q152" s="314"/>
      <c r="R152" s="314"/>
      <c r="S152" s="314"/>
      <c r="T152" s="314"/>
      <c r="U152" s="314"/>
      <c r="V152" s="345"/>
      <c r="W152" s="318"/>
      <c r="X152" s="5"/>
    </row>
    <row r="153" spans="1:25" ht="15.6" x14ac:dyDescent="0.3">
      <c r="A153" s="287"/>
      <c r="B153" s="343" t="s">
        <v>237</v>
      </c>
      <c r="C153" s="314"/>
      <c r="D153" s="314"/>
      <c r="E153" s="314"/>
      <c r="F153" s="314"/>
      <c r="G153" s="314"/>
      <c r="H153" s="314"/>
      <c r="I153" s="314"/>
      <c r="J153" s="314"/>
      <c r="K153" s="314"/>
      <c r="L153" s="314"/>
      <c r="M153" s="314"/>
      <c r="N153" s="314"/>
      <c r="O153" s="314"/>
      <c r="P153" s="314"/>
      <c r="Q153" s="314"/>
      <c r="R153" s="314"/>
      <c r="S153" s="314"/>
      <c r="T153" s="314"/>
      <c r="U153" s="314"/>
      <c r="V153" s="345"/>
      <c r="W153" s="318"/>
      <c r="X153" s="5"/>
    </row>
    <row r="154" spans="1:25" ht="15.6" x14ac:dyDescent="0.3">
      <c r="A154" s="287"/>
      <c r="B154" s="288" t="s">
        <v>155</v>
      </c>
      <c r="C154" s="288"/>
      <c r="D154" s="288"/>
      <c r="E154" s="288"/>
      <c r="F154" s="288"/>
      <c r="G154" s="288"/>
      <c r="H154" s="288"/>
      <c r="I154" s="288"/>
      <c r="J154" s="288"/>
      <c r="K154" s="288"/>
      <c r="L154" s="288"/>
      <c r="M154" s="288"/>
      <c r="N154" s="288"/>
      <c r="O154" s="288"/>
      <c r="P154" s="288"/>
      <c r="Q154" s="288"/>
      <c r="R154" s="288"/>
      <c r="S154" s="288"/>
      <c r="T154" s="288"/>
      <c r="U154" s="288"/>
      <c r="V154" s="338">
        <v>7500</v>
      </c>
      <c r="W154" s="291"/>
      <c r="X154" s="5"/>
    </row>
    <row r="155" spans="1:25" ht="15.6" x14ac:dyDescent="0.3">
      <c r="A155" s="287"/>
      <c r="B155" s="288" t="s">
        <v>172</v>
      </c>
      <c r="C155" s="288"/>
      <c r="D155" s="288"/>
      <c r="E155" s="288"/>
      <c r="F155" s="288"/>
      <c r="G155" s="288"/>
      <c r="H155" s="288"/>
      <c r="I155" s="288"/>
      <c r="J155" s="288"/>
      <c r="K155" s="288"/>
      <c r="L155" s="288"/>
      <c r="M155" s="288"/>
      <c r="N155" s="288"/>
      <c r="O155" s="288"/>
      <c r="P155" s="288"/>
      <c r="Q155" s="288"/>
      <c r="R155" s="288"/>
      <c r="S155" s="288"/>
      <c r="T155" s="288"/>
      <c r="U155" s="288"/>
      <c r="V155" s="338">
        <v>0</v>
      </c>
      <c r="W155" s="291"/>
      <c r="X155" s="5"/>
    </row>
    <row r="156" spans="1:25" ht="15.6" x14ac:dyDescent="0.3">
      <c r="A156" s="287"/>
      <c r="B156" s="288" t="s">
        <v>344</v>
      </c>
      <c r="C156" s="288"/>
      <c r="D156" s="288"/>
      <c r="E156" s="288"/>
      <c r="F156" s="288"/>
      <c r="G156" s="288"/>
      <c r="H156" s="288"/>
      <c r="I156" s="288"/>
      <c r="J156" s="288"/>
      <c r="K156" s="288"/>
      <c r="L156" s="288"/>
      <c r="M156" s="288"/>
      <c r="N156" s="288"/>
      <c r="O156" s="288"/>
      <c r="P156" s="288"/>
      <c r="Q156" s="288"/>
      <c r="R156" s="288"/>
      <c r="S156" s="288"/>
      <c r="T156" s="288"/>
      <c r="U156" s="288"/>
      <c r="V156" s="338">
        <v>0</v>
      </c>
      <c r="W156" s="291"/>
      <c r="X156" s="5"/>
    </row>
    <row r="157" spans="1:25" ht="15.6" x14ac:dyDescent="0.3">
      <c r="A157" s="287"/>
      <c r="B157" s="288"/>
      <c r="C157" s="288"/>
      <c r="D157" s="288"/>
      <c r="E157" s="288"/>
      <c r="F157" s="288"/>
      <c r="G157" s="288"/>
      <c r="H157" s="288"/>
      <c r="I157" s="288"/>
      <c r="J157" s="288"/>
      <c r="K157" s="288"/>
      <c r="L157" s="288"/>
      <c r="M157" s="288"/>
      <c r="N157" s="288"/>
      <c r="O157" s="288"/>
      <c r="P157" s="288"/>
      <c r="Q157" s="288"/>
      <c r="R157" s="288"/>
      <c r="S157" s="288"/>
      <c r="T157" s="288"/>
      <c r="U157" s="288"/>
      <c r="V157" s="338"/>
      <c r="W157" s="291"/>
      <c r="X157" s="5"/>
    </row>
    <row r="158" spans="1:25" ht="15.6" x14ac:dyDescent="0.3">
      <c r="A158" s="183"/>
      <c r="B158" s="198"/>
      <c r="C158" s="198"/>
      <c r="D158" s="198"/>
      <c r="E158" s="198"/>
      <c r="F158" s="198"/>
      <c r="G158" s="198"/>
      <c r="H158" s="198"/>
      <c r="I158" s="198"/>
      <c r="J158" s="198"/>
      <c r="K158" s="198"/>
      <c r="L158" s="198"/>
      <c r="M158" s="198"/>
      <c r="N158" s="198"/>
      <c r="O158" s="198"/>
      <c r="P158" s="198"/>
      <c r="Q158" s="198"/>
      <c r="R158" s="198"/>
      <c r="S158" s="198"/>
      <c r="T158" s="198"/>
      <c r="U158" s="198"/>
      <c r="V158" s="347"/>
      <c r="W158" s="198"/>
      <c r="X158" s="5"/>
    </row>
    <row r="159" spans="1:25" ht="15.6" x14ac:dyDescent="0.3">
      <c r="A159" s="183"/>
      <c r="B159" s="208" t="s">
        <v>24</v>
      </c>
      <c r="C159" s="185"/>
      <c r="D159" s="185"/>
      <c r="E159" s="185"/>
      <c r="F159" s="185"/>
      <c r="G159" s="185"/>
      <c r="H159" s="185"/>
      <c r="I159" s="185"/>
      <c r="J159" s="185"/>
      <c r="K159" s="185"/>
      <c r="L159" s="185"/>
      <c r="M159" s="185"/>
      <c r="N159" s="185"/>
      <c r="O159" s="185"/>
      <c r="P159" s="185"/>
      <c r="Q159" s="185"/>
      <c r="R159" s="185"/>
      <c r="S159" s="185"/>
      <c r="T159" s="185"/>
      <c r="U159" s="185"/>
      <c r="V159" s="201"/>
      <c r="W159" s="185"/>
      <c r="X159" s="5"/>
    </row>
    <row r="160" spans="1:25" ht="15.6" x14ac:dyDescent="0.3">
      <c r="A160" s="287"/>
      <c r="B160" s="288" t="s">
        <v>47</v>
      </c>
      <c r="C160" s="288"/>
      <c r="D160" s="288"/>
      <c r="E160" s="288"/>
      <c r="F160" s="288"/>
      <c r="G160" s="288"/>
      <c r="H160" s="288"/>
      <c r="I160" s="288"/>
      <c r="J160" s="288"/>
      <c r="K160" s="288"/>
      <c r="L160" s="288"/>
      <c r="M160" s="288"/>
      <c r="N160" s="288"/>
      <c r="O160" s="288"/>
      <c r="P160" s="288"/>
      <c r="Q160" s="288"/>
      <c r="R160" s="288"/>
      <c r="S160" s="288"/>
      <c r="T160" s="288"/>
      <c r="U160" s="288"/>
      <c r="V160" s="348" t="s">
        <v>118</v>
      </c>
      <c r="W160" s="291"/>
      <c r="X160" s="5"/>
    </row>
    <row r="161" spans="1:256" ht="15.6" x14ac:dyDescent="0.3">
      <c r="A161" s="287"/>
      <c r="B161" s="288" t="s">
        <v>48</v>
      </c>
      <c r="C161" s="290"/>
      <c r="D161" s="290"/>
      <c r="E161" s="290"/>
      <c r="F161" s="290"/>
      <c r="G161" s="290"/>
      <c r="H161" s="290"/>
      <c r="I161" s="290"/>
      <c r="J161" s="290"/>
      <c r="K161" s="290"/>
      <c r="L161" s="290"/>
      <c r="M161" s="290"/>
      <c r="N161" s="290"/>
      <c r="O161" s="290"/>
      <c r="P161" s="290"/>
      <c r="Q161" s="290"/>
      <c r="R161" s="290"/>
      <c r="S161" s="290"/>
      <c r="T161" s="290"/>
      <c r="U161" s="290"/>
      <c r="V161" s="348" t="s">
        <v>118</v>
      </c>
      <c r="W161" s="291"/>
      <c r="X161" s="5"/>
    </row>
    <row r="162" spans="1:256" ht="15.6" x14ac:dyDescent="0.3">
      <c r="A162" s="287"/>
      <c r="B162" s="288" t="s">
        <v>49</v>
      </c>
      <c r="C162" s="288"/>
      <c r="D162" s="288"/>
      <c r="E162" s="288"/>
      <c r="F162" s="288"/>
      <c r="G162" s="288"/>
      <c r="H162" s="288"/>
      <c r="I162" s="288"/>
      <c r="J162" s="288"/>
      <c r="K162" s="288"/>
      <c r="L162" s="288"/>
      <c r="M162" s="288"/>
      <c r="N162" s="288"/>
      <c r="O162" s="288"/>
      <c r="P162" s="288"/>
      <c r="Q162" s="288"/>
      <c r="R162" s="288"/>
      <c r="S162" s="288"/>
      <c r="T162" s="288"/>
      <c r="U162" s="288"/>
      <c r="V162" s="348" t="s">
        <v>118</v>
      </c>
      <c r="W162" s="291"/>
      <c r="X162" s="5"/>
    </row>
    <row r="163" spans="1:256" ht="15.6" x14ac:dyDescent="0.3">
      <c r="A163" s="287"/>
      <c r="B163" s="288" t="s">
        <v>50</v>
      </c>
      <c r="C163" s="288"/>
      <c r="D163" s="288"/>
      <c r="E163" s="288"/>
      <c r="F163" s="288"/>
      <c r="G163" s="288"/>
      <c r="H163" s="288"/>
      <c r="I163" s="288"/>
      <c r="J163" s="288"/>
      <c r="K163" s="288"/>
      <c r="L163" s="288"/>
      <c r="M163" s="288"/>
      <c r="N163" s="288"/>
      <c r="O163" s="288"/>
      <c r="P163" s="288"/>
      <c r="Q163" s="288"/>
      <c r="R163" s="288"/>
      <c r="S163" s="288"/>
      <c r="T163" s="288"/>
      <c r="U163" s="288"/>
      <c r="V163" s="348" t="s">
        <v>118</v>
      </c>
      <c r="W163" s="291"/>
      <c r="X163" s="5"/>
    </row>
    <row r="164" spans="1:256" ht="15.6" x14ac:dyDescent="0.3">
      <c r="A164" s="183"/>
      <c r="B164" s="198"/>
      <c r="C164" s="198"/>
      <c r="D164" s="198"/>
      <c r="E164" s="198"/>
      <c r="F164" s="198"/>
      <c r="G164" s="198"/>
      <c r="H164" s="198"/>
      <c r="I164" s="198"/>
      <c r="J164" s="198"/>
      <c r="K164" s="198"/>
      <c r="L164" s="198"/>
      <c r="M164" s="198"/>
      <c r="N164" s="198"/>
      <c r="O164" s="198"/>
      <c r="P164" s="198"/>
      <c r="Q164" s="198"/>
      <c r="R164" s="198"/>
      <c r="S164" s="198"/>
      <c r="T164" s="198"/>
      <c r="U164" s="198"/>
      <c r="V164" s="347"/>
      <c r="W164" s="198"/>
      <c r="X164" s="5"/>
    </row>
    <row r="165" spans="1:256" ht="15.6" x14ac:dyDescent="0.3">
      <c r="A165" s="183"/>
      <c r="B165" s="208" t="s">
        <v>51</v>
      </c>
      <c r="C165" s="185"/>
      <c r="D165" s="185"/>
      <c r="E165" s="185"/>
      <c r="F165" s="185"/>
      <c r="G165" s="185"/>
      <c r="H165" s="185"/>
      <c r="I165" s="185"/>
      <c r="J165" s="185"/>
      <c r="K165" s="185"/>
      <c r="L165" s="185"/>
      <c r="M165" s="185"/>
      <c r="N165" s="185"/>
      <c r="O165" s="185"/>
      <c r="P165" s="185"/>
      <c r="Q165" s="185"/>
      <c r="R165" s="185"/>
      <c r="S165" s="185"/>
      <c r="T165" s="185"/>
      <c r="U165" s="185"/>
      <c r="V165" s="209"/>
      <c r="W165" s="185"/>
      <c r="X165" s="5"/>
    </row>
    <row r="166" spans="1:256" ht="15.6" x14ac:dyDescent="0.3">
      <c r="A166" s="287"/>
      <c r="B166" s="288" t="s">
        <v>52</v>
      </c>
      <c r="C166" s="288"/>
      <c r="D166" s="288"/>
      <c r="E166" s="288"/>
      <c r="F166" s="288"/>
      <c r="G166" s="288"/>
      <c r="H166" s="288"/>
      <c r="I166" s="288"/>
      <c r="J166" s="288"/>
      <c r="K166" s="288"/>
      <c r="L166" s="288"/>
      <c r="M166" s="288"/>
      <c r="N166" s="288"/>
      <c r="O166" s="288"/>
      <c r="P166" s="288"/>
      <c r="Q166" s="288"/>
      <c r="R166" s="288"/>
      <c r="S166" s="288"/>
      <c r="T166" s="288"/>
      <c r="U166" s="288"/>
      <c r="V166" s="338">
        <v>0</v>
      </c>
      <c r="W166" s="291"/>
      <c r="X166" s="5"/>
    </row>
    <row r="167" spans="1:256" ht="15.6" x14ac:dyDescent="0.3">
      <c r="A167" s="287"/>
      <c r="B167" s="288" t="s">
        <v>53</v>
      </c>
      <c r="C167" s="288"/>
      <c r="D167" s="288"/>
      <c r="E167" s="288"/>
      <c r="F167" s="288"/>
      <c r="G167" s="288"/>
      <c r="H167" s="288"/>
      <c r="I167" s="288"/>
      <c r="J167" s="288"/>
      <c r="K167" s="288"/>
      <c r="L167" s="288"/>
      <c r="M167" s="288"/>
      <c r="N167" s="288"/>
      <c r="O167" s="288"/>
      <c r="P167" s="288"/>
      <c r="Q167" s="288"/>
      <c r="R167" s="288"/>
      <c r="S167" s="288"/>
      <c r="T167" s="288"/>
      <c r="U167" s="288"/>
      <c r="V167" s="338">
        <v>426</v>
      </c>
      <c r="W167" s="291"/>
      <c r="X167" s="5"/>
    </row>
    <row r="168" spans="1:256" ht="15.6" x14ac:dyDescent="0.3">
      <c r="A168" s="287"/>
      <c r="B168" s="288" t="s">
        <v>54</v>
      </c>
      <c r="C168" s="288"/>
      <c r="D168" s="288"/>
      <c r="E168" s="288"/>
      <c r="F168" s="288"/>
      <c r="G168" s="288"/>
      <c r="H168" s="288"/>
      <c r="I168" s="288"/>
      <c r="J168" s="288"/>
      <c r="K168" s="288"/>
      <c r="L168" s="288"/>
      <c r="M168" s="288"/>
      <c r="N168" s="288"/>
      <c r="O168" s="288"/>
      <c r="P168" s="288"/>
      <c r="Q168" s="288"/>
      <c r="R168" s="288"/>
      <c r="S168" s="288"/>
      <c r="T168" s="288"/>
      <c r="U168" s="288"/>
      <c r="V168" s="338">
        <f>V167+V166</f>
        <v>426</v>
      </c>
      <c r="W168" s="291"/>
      <c r="X168" s="5"/>
    </row>
    <row r="169" spans="1:256" ht="15.6" x14ac:dyDescent="0.3">
      <c r="A169" s="287"/>
      <c r="B169" s="288" t="s">
        <v>315</v>
      </c>
      <c r="C169" s="288"/>
      <c r="D169" s="288"/>
      <c r="E169" s="288"/>
      <c r="F169" s="288"/>
      <c r="G169" s="288"/>
      <c r="H169" s="288"/>
      <c r="I169" s="288"/>
      <c r="J169" s="288"/>
      <c r="K169" s="288"/>
      <c r="L169" s="288"/>
      <c r="M169" s="288"/>
      <c r="N169" s="288"/>
      <c r="O169" s="288"/>
      <c r="P169" s="288"/>
      <c r="Q169" s="288"/>
      <c r="R169" s="288"/>
      <c r="S169" s="288"/>
      <c r="T169" s="288"/>
      <c r="U169" s="288"/>
      <c r="V169" s="338">
        <f>V115</f>
        <v>-426</v>
      </c>
      <c r="W169" s="291"/>
      <c r="X169" s="5"/>
    </row>
    <row r="170" spans="1:256" ht="15.6" x14ac:dyDescent="0.3">
      <c r="A170" s="287"/>
      <c r="B170" s="288" t="s">
        <v>55</v>
      </c>
      <c r="C170" s="288"/>
      <c r="D170" s="288"/>
      <c r="E170" s="288"/>
      <c r="F170" s="288"/>
      <c r="G170" s="288"/>
      <c r="H170" s="288"/>
      <c r="I170" s="288"/>
      <c r="J170" s="288"/>
      <c r="K170" s="288"/>
      <c r="L170" s="288"/>
      <c r="M170" s="288"/>
      <c r="N170" s="288"/>
      <c r="O170" s="288"/>
      <c r="P170" s="288"/>
      <c r="Q170" s="288"/>
      <c r="R170" s="288"/>
      <c r="S170" s="288"/>
      <c r="T170" s="288"/>
      <c r="U170" s="288"/>
      <c r="V170" s="338">
        <f>V168+V169</f>
        <v>0</v>
      </c>
      <c r="W170" s="291"/>
      <c r="X170" s="5"/>
    </row>
    <row r="171" spans="1:256" ht="15.6" x14ac:dyDescent="0.3">
      <c r="A171" s="287"/>
      <c r="B171" s="288" t="s">
        <v>283</v>
      </c>
      <c r="C171" s="288"/>
      <c r="D171" s="288"/>
      <c r="E171" s="288"/>
      <c r="F171" s="288"/>
      <c r="G171" s="288"/>
      <c r="H171" s="288"/>
      <c r="I171" s="288"/>
      <c r="J171" s="288"/>
      <c r="K171" s="288"/>
      <c r="L171" s="288"/>
      <c r="M171" s="288"/>
      <c r="N171" s="288"/>
      <c r="O171" s="288"/>
      <c r="P171" s="288"/>
      <c r="Q171" s="288"/>
      <c r="R171" s="288"/>
      <c r="S171" s="288"/>
      <c r="T171" s="288"/>
      <c r="U171" s="288"/>
      <c r="V171" s="338">
        <f>-V100</f>
        <v>13</v>
      </c>
      <c r="W171" s="291"/>
      <c r="X171" s="5"/>
    </row>
    <row r="172" spans="1:256" ht="16.2" thickBot="1" x14ac:dyDescent="0.35">
      <c r="A172" s="183"/>
      <c r="B172" s="284"/>
      <c r="C172" s="284"/>
      <c r="D172" s="284"/>
      <c r="E172" s="284"/>
      <c r="F172" s="284"/>
      <c r="G172" s="284"/>
      <c r="H172" s="284"/>
      <c r="I172" s="284"/>
      <c r="J172" s="284"/>
      <c r="K172" s="284"/>
      <c r="L172" s="284"/>
      <c r="M172" s="284"/>
      <c r="N172" s="284"/>
      <c r="O172" s="284"/>
      <c r="P172" s="284"/>
      <c r="Q172" s="284"/>
      <c r="R172" s="284"/>
      <c r="S172" s="284"/>
      <c r="T172" s="284"/>
      <c r="U172" s="284"/>
      <c r="V172" s="349"/>
      <c r="W172" s="284"/>
      <c r="X172" s="5"/>
    </row>
    <row r="173" spans="1:256" ht="15.6" x14ac:dyDescent="0.3">
      <c r="A173" s="180"/>
      <c r="B173" s="247"/>
      <c r="C173" s="247"/>
      <c r="D173" s="247"/>
      <c r="E173" s="247"/>
      <c r="F173" s="247"/>
      <c r="G173" s="247"/>
      <c r="H173" s="247"/>
      <c r="I173" s="247"/>
      <c r="J173" s="247"/>
      <c r="K173" s="247"/>
      <c r="L173" s="247"/>
      <c r="M173" s="247"/>
      <c r="N173" s="247"/>
      <c r="O173" s="247"/>
      <c r="P173" s="247"/>
      <c r="Q173" s="247"/>
      <c r="R173" s="247"/>
      <c r="S173" s="247"/>
      <c r="T173" s="247"/>
      <c r="U173" s="247"/>
      <c r="V173" s="248"/>
      <c r="W173" s="247"/>
      <c r="X173" s="5"/>
    </row>
    <row r="174" spans="1:256" s="161" customFormat="1" ht="15.6" x14ac:dyDescent="0.3">
      <c r="A174" s="183"/>
      <c r="B174" s="208" t="s">
        <v>269</v>
      </c>
      <c r="C174" s="198"/>
      <c r="D174" s="198"/>
      <c r="E174" s="198"/>
      <c r="F174" s="198"/>
      <c r="G174" s="198"/>
      <c r="H174" s="198"/>
      <c r="I174" s="198"/>
      <c r="J174" s="198"/>
      <c r="K174" s="198"/>
      <c r="L174" s="198"/>
      <c r="M174" s="198"/>
      <c r="N174" s="198"/>
      <c r="O174" s="198"/>
      <c r="P174" s="198"/>
      <c r="Q174" s="198"/>
      <c r="R174" s="198"/>
      <c r="S174" s="198"/>
      <c r="T174" s="198"/>
      <c r="U174" s="198"/>
      <c r="V174" s="210"/>
      <c r="W174" s="198"/>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5.6" x14ac:dyDescent="0.3">
      <c r="A175" s="287"/>
      <c r="B175" s="288" t="s">
        <v>270</v>
      </c>
      <c r="C175" s="288"/>
      <c r="D175" s="288"/>
      <c r="E175" s="288"/>
      <c r="F175" s="288"/>
      <c r="G175" s="288"/>
      <c r="H175" s="288"/>
      <c r="I175" s="288"/>
      <c r="J175" s="288"/>
      <c r="K175" s="288"/>
      <c r="L175" s="288"/>
      <c r="M175" s="288"/>
      <c r="N175" s="288"/>
      <c r="O175" s="288"/>
      <c r="P175" s="288"/>
      <c r="Q175" s="288"/>
      <c r="R175" s="288"/>
      <c r="S175" s="288"/>
      <c r="T175" s="288"/>
      <c r="U175" s="288"/>
      <c r="V175" s="338">
        <f>+'Aug 08'!V177</f>
        <v>0</v>
      </c>
      <c r="W175" s="291"/>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3" customFormat="1" ht="15.6" x14ac:dyDescent="0.3">
      <c r="A176" s="287"/>
      <c r="B176" s="288" t="s">
        <v>273</v>
      </c>
      <c r="C176" s="288"/>
      <c r="D176" s="288"/>
      <c r="E176" s="288"/>
      <c r="F176" s="288"/>
      <c r="G176" s="288"/>
      <c r="H176" s="288"/>
      <c r="I176" s="288"/>
      <c r="J176" s="288"/>
      <c r="K176" s="288"/>
      <c r="L176" s="288"/>
      <c r="M176" s="288"/>
      <c r="N176" s="288"/>
      <c r="O176" s="288"/>
      <c r="P176" s="288"/>
      <c r="Q176" s="288"/>
      <c r="R176" s="288"/>
      <c r="S176" s="288"/>
      <c r="T176" s="288"/>
      <c r="U176" s="288"/>
      <c r="V176" s="338">
        <f>+V94</f>
        <v>0</v>
      </c>
      <c r="W176" s="291"/>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s="163" customFormat="1" ht="15.6" x14ac:dyDescent="0.3">
      <c r="A177" s="287"/>
      <c r="B177" s="288" t="s">
        <v>271</v>
      </c>
      <c r="C177" s="288"/>
      <c r="D177" s="288"/>
      <c r="E177" s="288"/>
      <c r="F177" s="288"/>
      <c r="G177" s="288"/>
      <c r="H177" s="288"/>
      <c r="I177" s="288"/>
      <c r="J177" s="288"/>
      <c r="K177" s="288"/>
      <c r="L177" s="288"/>
      <c r="M177" s="288"/>
      <c r="N177" s="288"/>
      <c r="O177" s="288"/>
      <c r="P177" s="288"/>
      <c r="Q177" s="288"/>
      <c r="R177" s="288"/>
      <c r="S177" s="288"/>
      <c r="T177" s="288"/>
      <c r="U177" s="288"/>
      <c r="V177" s="338">
        <f>+V175-V176</f>
        <v>0</v>
      </c>
      <c r="W177" s="291"/>
      <c r="X177" s="5"/>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s="166" customFormat="1" ht="16.2" thickBot="1" x14ac:dyDescent="0.35">
      <c r="A178" s="199"/>
      <c r="B178" s="198"/>
      <c r="C178" s="198"/>
      <c r="D178" s="198"/>
      <c r="E178" s="198"/>
      <c r="F178" s="198"/>
      <c r="G178" s="198"/>
      <c r="H178" s="198"/>
      <c r="I178" s="198"/>
      <c r="J178" s="198"/>
      <c r="K178" s="198"/>
      <c r="L178" s="198"/>
      <c r="M178" s="198"/>
      <c r="N178" s="198"/>
      <c r="O178" s="198"/>
      <c r="P178" s="198"/>
      <c r="Q178" s="198"/>
      <c r="R178" s="198"/>
      <c r="S178" s="198"/>
      <c r="T178" s="198"/>
      <c r="U178" s="198"/>
      <c r="V178" s="347"/>
      <c r="W178" s="198"/>
      <c r="X178" s="5"/>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s="167" customFormat="1" ht="15.6" x14ac:dyDescent="0.3">
      <c r="A179" s="180"/>
      <c r="B179" s="181"/>
      <c r="C179" s="181"/>
      <c r="D179" s="181"/>
      <c r="E179" s="181"/>
      <c r="F179" s="181"/>
      <c r="G179" s="181"/>
      <c r="H179" s="181"/>
      <c r="I179" s="181"/>
      <c r="J179" s="181"/>
      <c r="K179" s="181"/>
      <c r="L179" s="181"/>
      <c r="M179" s="181"/>
      <c r="N179" s="181"/>
      <c r="O179" s="181"/>
      <c r="P179" s="181"/>
      <c r="Q179" s="181"/>
      <c r="R179" s="181"/>
      <c r="S179" s="181"/>
      <c r="T179" s="181"/>
      <c r="U179" s="181"/>
      <c r="V179" s="200"/>
      <c r="W179" s="181"/>
      <c r="X179" s="5"/>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ht="15.6" x14ac:dyDescent="0.3">
      <c r="A180" s="183"/>
      <c r="B180" s="208" t="s">
        <v>56</v>
      </c>
      <c r="C180" s="185"/>
      <c r="D180" s="185"/>
      <c r="E180" s="185"/>
      <c r="F180" s="185"/>
      <c r="G180" s="185"/>
      <c r="H180" s="185"/>
      <c r="I180" s="185"/>
      <c r="J180" s="185"/>
      <c r="K180" s="185"/>
      <c r="L180" s="185"/>
      <c r="M180" s="185"/>
      <c r="N180" s="185"/>
      <c r="O180" s="185"/>
      <c r="P180" s="185"/>
      <c r="Q180" s="185"/>
      <c r="R180" s="185"/>
      <c r="S180" s="185"/>
      <c r="T180" s="185"/>
      <c r="U180" s="185"/>
      <c r="V180" s="201"/>
      <c r="W180" s="185"/>
      <c r="X180" s="5"/>
    </row>
    <row r="181" spans="1:256" ht="15.6" x14ac:dyDescent="0.3">
      <c r="A181" s="183"/>
      <c r="B181" s="195"/>
      <c r="C181" s="185"/>
      <c r="D181" s="185"/>
      <c r="E181" s="185"/>
      <c r="F181" s="185"/>
      <c r="G181" s="185"/>
      <c r="H181" s="185"/>
      <c r="I181" s="185"/>
      <c r="J181" s="185"/>
      <c r="K181" s="185"/>
      <c r="L181" s="185"/>
      <c r="M181" s="185"/>
      <c r="N181" s="185"/>
      <c r="O181" s="185"/>
      <c r="P181" s="185"/>
      <c r="Q181" s="185"/>
      <c r="R181" s="185"/>
      <c r="S181" s="185"/>
      <c r="T181" s="185"/>
      <c r="U181" s="185"/>
      <c r="V181" s="201"/>
      <c r="W181" s="185"/>
      <c r="X181" s="5"/>
    </row>
    <row r="182" spans="1:256" ht="15.6" x14ac:dyDescent="0.3">
      <c r="A182" s="287"/>
      <c r="B182" s="288" t="s">
        <v>57</v>
      </c>
      <c r="C182" s="288"/>
      <c r="D182" s="288"/>
      <c r="E182" s="288"/>
      <c r="F182" s="288"/>
      <c r="G182" s="288"/>
      <c r="H182" s="288"/>
      <c r="I182" s="288"/>
      <c r="J182" s="288"/>
      <c r="K182" s="288"/>
      <c r="L182" s="288"/>
      <c r="M182" s="288"/>
      <c r="N182" s="288"/>
      <c r="O182" s="288"/>
      <c r="P182" s="288"/>
      <c r="Q182" s="288"/>
      <c r="R182" s="288"/>
      <c r="S182" s="288"/>
      <c r="T182" s="288"/>
      <c r="U182" s="288"/>
      <c r="V182" s="338">
        <f>V71</f>
        <v>1035190</v>
      </c>
      <c r="W182" s="291"/>
      <c r="X182" s="5"/>
    </row>
    <row r="183" spans="1:256" ht="15.6" x14ac:dyDescent="0.3">
      <c r="A183" s="287"/>
      <c r="B183" s="288" t="s">
        <v>58</v>
      </c>
      <c r="C183" s="288"/>
      <c r="D183" s="288"/>
      <c r="E183" s="288"/>
      <c r="F183" s="288"/>
      <c r="G183" s="288"/>
      <c r="H183" s="288"/>
      <c r="I183" s="288"/>
      <c r="J183" s="288"/>
      <c r="K183" s="288"/>
      <c r="L183" s="288"/>
      <c r="M183" s="288"/>
      <c r="N183" s="288"/>
      <c r="O183" s="288"/>
      <c r="P183" s="288"/>
      <c r="Q183" s="288"/>
      <c r="R183" s="288"/>
      <c r="S183" s="288"/>
      <c r="T183" s="288"/>
      <c r="U183" s="288"/>
      <c r="V183" s="338">
        <f>V84</f>
        <v>1035190</v>
      </c>
      <c r="W183" s="291"/>
      <c r="X183" s="5"/>
    </row>
    <row r="184" spans="1:256" ht="16.2" thickBot="1" x14ac:dyDescent="0.35">
      <c r="A184" s="183"/>
      <c r="B184" s="198"/>
      <c r="C184" s="198"/>
      <c r="D184" s="198"/>
      <c r="E184" s="198"/>
      <c r="F184" s="198"/>
      <c r="G184" s="198"/>
      <c r="H184" s="198"/>
      <c r="I184" s="198"/>
      <c r="J184" s="198"/>
      <c r="K184" s="198"/>
      <c r="L184" s="198"/>
      <c r="M184" s="198"/>
      <c r="N184" s="198"/>
      <c r="O184" s="198"/>
      <c r="P184" s="198"/>
      <c r="Q184" s="198"/>
      <c r="R184" s="198"/>
      <c r="S184" s="198"/>
      <c r="T184" s="198"/>
      <c r="U184" s="198"/>
      <c r="V184" s="347"/>
      <c r="W184" s="198"/>
      <c r="X184" s="5"/>
    </row>
    <row r="185" spans="1:256" ht="15.6" x14ac:dyDescent="0.3">
      <c r="A185" s="180"/>
      <c r="B185" s="181"/>
      <c r="C185" s="181"/>
      <c r="D185" s="181"/>
      <c r="E185" s="181"/>
      <c r="F185" s="181"/>
      <c r="G185" s="181"/>
      <c r="H185" s="181"/>
      <c r="I185" s="181"/>
      <c r="J185" s="181"/>
      <c r="K185" s="181"/>
      <c r="L185" s="181"/>
      <c r="M185" s="181"/>
      <c r="N185" s="181"/>
      <c r="O185" s="181"/>
      <c r="P185" s="181"/>
      <c r="Q185" s="181"/>
      <c r="R185" s="181"/>
      <c r="S185" s="181"/>
      <c r="T185" s="181"/>
      <c r="U185" s="181"/>
      <c r="V185" s="200"/>
      <c r="W185" s="181"/>
      <c r="X185" s="5"/>
    </row>
    <row r="186" spans="1:256" ht="15.6" x14ac:dyDescent="0.3">
      <c r="A186" s="183"/>
      <c r="B186" s="208" t="s">
        <v>59</v>
      </c>
      <c r="C186" s="205"/>
      <c r="D186" s="205"/>
      <c r="E186" s="205"/>
      <c r="F186" s="205"/>
      <c r="G186" s="205"/>
      <c r="H186" s="211"/>
      <c r="I186" s="211"/>
      <c r="J186" s="211"/>
      <c r="K186" s="211"/>
      <c r="L186" s="211"/>
      <c r="M186" s="211"/>
      <c r="N186" s="211"/>
      <c r="O186" s="211"/>
      <c r="P186" s="211"/>
      <c r="Q186" s="211"/>
      <c r="R186" s="211"/>
      <c r="S186" s="211" t="s">
        <v>101</v>
      </c>
      <c r="T186" s="211" t="s">
        <v>176</v>
      </c>
      <c r="U186" s="187"/>
      <c r="V186" s="212" t="s">
        <v>114</v>
      </c>
      <c r="W186" s="213"/>
      <c r="X186" s="5"/>
    </row>
    <row r="187" spans="1:256" ht="15.6" x14ac:dyDescent="0.3">
      <c r="A187" s="287"/>
      <c r="B187" s="288" t="s">
        <v>60</v>
      </c>
      <c r="C187" s="288"/>
      <c r="D187" s="288"/>
      <c r="E187" s="288"/>
      <c r="F187" s="288"/>
      <c r="G187" s="288"/>
      <c r="H187" s="288"/>
      <c r="I187" s="288"/>
      <c r="J187" s="288"/>
      <c r="K187" s="288"/>
      <c r="L187" s="288"/>
      <c r="M187" s="288"/>
      <c r="N187" s="288"/>
      <c r="O187" s="288"/>
      <c r="P187" s="288"/>
      <c r="Q187" s="288"/>
      <c r="R187" s="288"/>
      <c r="S187" s="338">
        <f>+V34*0.16</f>
        <v>240044</v>
      </c>
      <c r="T187" s="325"/>
      <c r="U187" s="288"/>
      <c r="V187" s="338"/>
      <c r="W187" s="291"/>
      <c r="X187" s="5"/>
    </row>
    <row r="188" spans="1:256" ht="15.6" x14ac:dyDescent="0.3">
      <c r="A188" s="287"/>
      <c r="B188" s="288" t="s">
        <v>61</v>
      </c>
      <c r="C188" s="288"/>
      <c r="D188" s="288"/>
      <c r="E188" s="288"/>
      <c r="F188" s="288"/>
      <c r="G188" s="288"/>
      <c r="H188" s="288"/>
      <c r="I188" s="288"/>
      <c r="J188" s="288"/>
      <c r="K188" s="288"/>
      <c r="L188" s="288"/>
      <c r="M188" s="288"/>
      <c r="N188" s="288"/>
      <c r="O188" s="288"/>
      <c r="P188" s="288"/>
      <c r="Q188" s="288"/>
      <c r="R188" s="288"/>
      <c r="S188" s="338">
        <f>+'Aug 14'!S190</f>
        <v>25012</v>
      </c>
      <c r="T188" s="338">
        <f>+'Aug 14'!T190</f>
        <v>6013</v>
      </c>
      <c r="U188" s="288"/>
      <c r="V188" s="338">
        <f>S188+T188</f>
        <v>31025</v>
      </c>
      <c r="W188" s="291"/>
      <c r="X188" s="5"/>
    </row>
    <row r="189" spans="1:256" ht="15.6" x14ac:dyDescent="0.3">
      <c r="A189" s="287"/>
      <c r="B189" s="288" t="s">
        <v>62</v>
      </c>
      <c r="C189" s="288"/>
      <c r="D189" s="288"/>
      <c r="E189" s="288"/>
      <c r="F189" s="288"/>
      <c r="G189" s="288"/>
      <c r="H189" s="288"/>
      <c r="I189" s="288"/>
      <c r="J189" s="288"/>
      <c r="K189" s="288"/>
      <c r="L189" s="288"/>
      <c r="M189" s="288"/>
      <c r="N189" s="288"/>
      <c r="O189" s="288"/>
      <c r="P189" s="288"/>
      <c r="Q189" s="288"/>
      <c r="R189" s="288"/>
      <c r="S189" s="337">
        <f>197+188</f>
        <v>385</v>
      </c>
      <c r="T189" s="337">
        <v>3</v>
      </c>
      <c r="U189" s="288"/>
      <c r="V189" s="338">
        <f>S189+T189</f>
        <v>388</v>
      </c>
      <c r="W189" s="291"/>
      <c r="X189" s="5"/>
    </row>
    <row r="190" spans="1:256" ht="15.6" x14ac:dyDescent="0.3">
      <c r="A190" s="287"/>
      <c r="B190" s="288" t="s">
        <v>63</v>
      </c>
      <c r="C190" s="288"/>
      <c r="D190" s="288"/>
      <c r="E190" s="288"/>
      <c r="F190" s="288"/>
      <c r="G190" s="288"/>
      <c r="H190" s="288"/>
      <c r="I190" s="288"/>
      <c r="J190" s="288"/>
      <c r="K190" s="288"/>
      <c r="L190" s="288"/>
      <c r="M190" s="288"/>
      <c r="N190" s="288"/>
      <c r="O190" s="288"/>
      <c r="P190" s="288"/>
      <c r="Q190" s="288"/>
      <c r="R190" s="288"/>
      <c r="S190" s="338">
        <f>S188+S189</f>
        <v>25397</v>
      </c>
      <c r="T190" s="338">
        <f>T189+T188</f>
        <v>6016</v>
      </c>
      <c r="U190" s="288"/>
      <c r="V190" s="338">
        <f>S190+T190</f>
        <v>31413</v>
      </c>
      <c r="W190" s="291"/>
      <c r="X190" s="5"/>
    </row>
    <row r="191" spans="1:256" ht="15.6" x14ac:dyDescent="0.3">
      <c r="A191" s="287"/>
      <c r="B191" s="288" t="s">
        <v>64</v>
      </c>
      <c r="C191" s="288"/>
      <c r="D191" s="288"/>
      <c r="E191" s="288"/>
      <c r="F191" s="288"/>
      <c r="G191" s="288"/>
      <c r="H191" s="288"/>
      <c r="I191" s="288"/>
      <c r="J191" s="288"/>
      <c r="K191" s="288"/>
      <c r="L191" s="288"/>
      <c r="M191" s="288"/>
      <c r="N191" s="288"/>
      <c r="O191" s="288"/>
      <c r="P191" s="288"/>
      <c r="Q191" s="288"/>
      <c r="R191" s="288"/>
      <c r="S191" s="338">
        <f>S187-S190-T190</f>
        <v>208631</v>
      </c>
      <c r="T191" s="325"/>
      <c r="U191" s="288"/>
      <c r="V191" s="338"/>
      <c r="W191" s="291"/>
      <c r="X191" s="5"/>
    </row>
    <row r="192" spans="1:256" ht="16.2" thickBot="1" x14ac:dyDescent="0.35">
      <c r="A192" s="183"/>
      <c r="B192" s="198"/>
      <c r="C192" s="198"/>
      <c r="D192" s="198"/>
      <c r="E192" s="198"/>
      <c r="F192" s="198"/>
      <c r="G192" s="198"/>
      <c r="H192" s="198"/>
      <c r="I192" s="198"/>
      <c r="J192" s="198"/>
      <c r="K192" s="198"/>
      <c r="L192" s="198"/>
      <c r="M192" s="198"/>
      <c r="N192" s="198"/>
      <c r="O192" s="198"/>
      <c r="P192" s="198"/>
      <c r="Q192" s="198"/>
      <c r="R192" s="198"/>
      <c r="S192" s="198"/>
      <c r="T192" s="198"/>
      <c r="U192" s="198"/>
      <c r="V192" s="347"/>
      <c r="W192" s="198"/>
      <c r="X192" s="5"/>
    </row>
    <row r="193" spans="1:24" ht="15.6" x14ac:dyDescent="0.3">
      <c r="A193" s="180"/>
      <c r="B193" s="181"/>
      <c r="C193" s="181"/>
      <c r="D193" s="181"/>
      <c r="E193" s="181"/>
      <c r="F193" s="181"/>
      <c r="G193" s="181"/>
      <c r="H193" s="181"/>
      <c r="I193" s="181"/>
      <c r="J193" s="181"/>
      <c r="K193" s="181"/>
      <c r="L193" s="181"/>
      <c r="M193" s="181"/>
      <c r="N193" s="181"/>
      <c r="O193" s="181"/>
      <c r="P193" s="181"/>
      <c r="Q193" s="181"/>
      <c r="R193" s="181"/>
      <c r="S193" s="181"/>
      <c r="T193" s="181"/>
      <c r="U193" s="181"/>
      <c r="V193" s="200"/>
      <c r="W193" s="181"/>
      <c r="X193" s="5"/>
    </row>
    <row r="194" spans="1:24" ht="15.6" x14ac:dyDescent="0.3">
      <c r="A194" s="183"/>
      <c r="B194" s="208" t="s">
        <v>65</v>
      </c>
      <c r="C194" s="185"/>
      <c r="D194" s="185"/>
      <c r="E194" s="185"/>
      <c r="F194" s="185"/>
      <c r="G194" s="185"/>
      <c r="H194" s="185"/>
      <c r="I194" s="185"/>
      <c r="J194" s="185"/>
      <c r="K194" s="185"/>
      <c r="L194" s="185"/>
      <c r="M194" s="185"/>
      <c r="N194" s="185"/>
      <c r="O194" s="185"/>
      <c r="P194" s="185"/>
      <c r="Q194" s="185"/>
      <c r="R194" s="185"/>
      <c r="S194" s="185"/>
      <c r="T194" s="185"/>
      <c r="U194" s="185"/>
      <c r="V194" s="214"/>
      <c r="W194" s="185"/>
      <c r="X194" s="5"/>
    </row>
    <row r="195" spans="1:24" ht="15.6" x14ac:dyDescent="0.3">
      <c r="A195" s="287"/>
      <c r="B195" s="288" t="s">
        <v>66</v>
      </c>
      <c r="C195" s="288"/>
      <c r="D195" s="288"/>
      <c r="E195" s="288"/>
      <c r="F195" s="288"/>
      <c r="G195" s="288"/>
      <c r="H195" s="288"/>
      <c r="I195" s="288"/>
      <c r="J195" s="288"/>
      <c r="K195" s="288"/>
      <c r="L195" s="288"/>
      <c r="M195" s="288"/>
      <c r="N195" s="288"/>
      <c r="O195" s="288"/>
      <c r="P195" s="288"/>
      <c r="Q195" s="288"/>
      <c r="R195" s="288"/>
      <c r="S195" s="288"/>
      <c r="T195" s="288"/>
      <c r="U195" s="288"/>
      <c r="V195" s="348">
        <f>(V101+V103+V104+V105+V106)/-(V107+V108)</f>
        <v>3.8916615946439439</v>
      </c>
      <c r="W195" s="291" t="s">
        <v>115</v>
      </c>
      <c r="X195" s="5"/>
    </row>
    <row r="196" spans="1:24" ht="15.6" x14ac:dyDescent="0.3">
      <c r="A196" s="287"/>
      <c r="B196" s="288" t="s">
        <v>67</v>
      </c>
      <c r="C196" s="288"/>
      <c r="D196" s="288"/>
      <c r="E196" s="288"/>
      <c r="F196" s="288"/>
      <c r="G196" s="288"/>
      <c r="H196" s="288"/>
      <c r="I196" s="288"/>
      <c r="J196" s="288"/>
      <c r="K196" s="288"/>
      <c r="L196" s="288"/>
      <c r="M196" s="288"/>
      <c r="N196" s="288"/>
      <c r="O196" s="288"/>
      <c r="P196" s="288"/>
      <c r="Q196" s="288"/>
      <c r="R196" s="288"/>
      <c r="S196" s="288"/>
      <c r="T196" s="288"/>
      <c r="U196" s="288"/>
      <c r="V196" s="350">
        <v>1.89</v>
      </c>
      <c r="W196" s="291" t="s">
        <v>115</v>
      </c>
      <c r="X196" s="5"/>
    </row>
    <row r="197" spans="1:24" ht="15.6" x14ac:dyDescent="0.3">
      <c r="A197" s="287"/>
      <c r="B197" s="288" t="s">
        <v>68</v>
      </c>
      <c r="C197" s="288"/>
      <c r="D197" s="288"/>
      <c r="E197" s="288"/>
      <c r="F197" s="288"/>
      <c r="G197" s="288"/>
      <c r="H197" s="288"/>
      <c r="I197" s="288"/>
      <c r="J197" s="288"/>
      <c r="K197" s="288"/>
      <c r="L197" s="288"/>
      <c r="M197" s="288"/>
      <c r="N197" s="288"/>
      <c r="O197" s="288"/>
      <c r="P197" s="288"/>
      <c r="Q197" s="288"/>
      <c r="R197" s="288"/>
      <c r="S197" s="288"/>
      <c r="T197" s="288"/>
      <c r="U197" s="288"/>
      <c r="V197" s="348">
        <f>(V101+V103+V104+V105+V106+V107+V108)/-(V110+V111)</f>
        <v>17.727611940298509</v>
      </c>
      <c r="W197" s="291" t="s">
        <v>115</v>
      </c>
      <c r="X197" s="5"/>
    </row>
    <row r="198" spans="1:24" ht="15.6" x14ac:dyDescent="0.3">
      <c r="A198" s="287"/>
      <c r="B198" s="288" t="s">
        <v>69</v>
      </c>
      <c r="C198" s="288"/>
      <c r="D198" s="288"/>
      <c r="E198" s="288"/>
      <c r="F198" s="288"/>
      <c r="G198" s="288"/>
      <c r="H198" s="288"/>
      <c r="I198" s="288"/>
      <c r="J198" s="288"/>
      <c r="K198" s="288"/>
      <c r="L198" s="288"/>
      <c r="M198" s="288"/>
      <c r="N198" s="288"/>
      <c r="O198" s="288"/>
      <c r="P198" s="288"/>
      <c r="Q198" s="288"/>
      <c r="R198" s="288"/>
      <c r="S198" s="288"/>
      <c r="T198" s="288"/>
      <c r="U198" s="288"/>
      <c r="V198" s="350">
        <v>8.35</v>
      </c>
      <c r="W198" s="291" t="s">
        <v>115</v>
      </c>
      <c r="X198" s="5"/>
    </row>
    <row r="199" spans="1:24" ht="15.6" x14ac:dyDescent="0.3">
      <c r="A199" s="287"/>
      <c r="B199" s="288" t="s">
        <v>198</v>
      </c>
      <c r="C199" s="288"/>
      <c r="D199" s="288"/>
      <c r="E199" s="288"/>
      <c r="F199" s="288"/>
      <c r="G199" s="288"/>
      <c r="H199" s="288"/>
      <c r="I199" s="288"/>
      <c r="J199" s="288"/>
      <c r="K199" s="288"/>
      <c r="L199" s="288"/>
      <c r="M199" s="288"/>
      <c r="N199" s="288"/>
      <c r="O199" s="288"/>
      <c r="P199" s="288"/>
      <c r="Q199" s="288"/>
      <c r="R199" s="288"/>
      <c r="S199" s="288"/>
      <c r="T199" s="288"/>
      <c r="U199" s="288"/>
      <c r="V199" s="348">
        <f>(V101+V103+V104+V105+V106+V107+V108+V110+V111)/-(V112+V113)</f>
        <v>11.320707070707071</v>
      </c>
      <c r="W199" s="291" t="s">
        <v>115</v>
      </c>
      <c r="X199" s="5"/>
    </row>
    <row r="200" spans="1:24" ht="15.6" x14ac:dyDescent="0.3">
      <c r="A200" s="287"/>
      <c r="B200" s="288" t="s">
        <v>199</v>
      </c>
      <c r="C200" s="288"/>
      <c r="D200" s="288"/>
      <c r="E200" s="288"/>
      <c r="F200" s="288"/>
      <c r="G200" s="288"/>
      <c r="H200" s="288"/>
      <c r="I200" s="288"/>
      <c r="J200" s="288"/>
      <c r="K200" s="288"/>
      <c r="L200" s="288"/>
      <c r="M200" s="288"/>
      <c r="N200" s="288"/>
      <c r="O200" s="288"/>
      <c r="P200" s="288"/>
      <c r="Q200" s="288"/>
      <c r="R200" s="288"/>
      <c r="S200" s="288"/>
      <c r="T200" s="288"/>
      <c r="U200" s="288"/>
      <c r="V200" s="350">
        <v>6.48</v>
      </c>
      <c r="W200" s="291" t="s">
        <v>115</v>
      </c>
      <c r="X200" s="5"/>
    </row>
    <row r="201" spans="1:24" ht="15.6" x14ac:dyDescent="0.3">
      <c r="A201" s="287"/>
      <c r="B201" s="314"/>
      <c r="C201" s="314"/>
      <c r="D201" s="314"/>
      <c r="E201" s="314"/>
      <c r="F201" s="314"/>
      <c r="G201" s="314"/>
      <c r="H201" s="314"/>
      <c r="I201" s="314"/>
      <c r="J201" s="314"/>
      <c r="K201" s="314"/>
      <c r="L201" s="314"/>
      <c r="M201" s="314"/>
      <c r="N201" s="314"/>
      <c r="O201" s="314"/>
      <c r="P201" s="314"/>
      <c r="Q201" s="314"/>
      <c r="R201" s="314"/>
      <c r="S201" s="314"/>
      <c r="T201" s="314"/>
      <c r="U201" s="314"/>
      <c r="V201" s="314"/>
      <c r="W201" s="318"/>
      <c r="X201" s="5"/>
    </row>
    <row r="202" spans="1:24" ht="15.6" x14ac:dyDescent="0.3">
      <c r="A202" s="183"/>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5"/>
    </row>
    <row r="203" spans="1:24" ht="15.6" x14ac:dyDescent="0.3">
      <c r="A203" s="183"/>
      <c r="B203" s="185"/>
      <c r="C203" s="185"/>
      <c r="D203" s="185"/>
      <c r="E203" s="185"/>
      <c r="F203" s="185"/>
      <c r="G203" s="185"/>
      <c r="H203" s="185"/>
      <c r="I203" s="185"/>
      <c r="J203" s="185"/>
      <c r="K203" s="185"/>
      <c r="L203" s="185"/>
      <c r="M203" s="185"/>
      <c r="N203" s="185"/>
      <c r="O203" s="185"/>
      <c r="P203" s="185"/>
      <c r="Q203" s="185"/>
      <c r="R203" s="185"/>
      <c r="S203" s="185"/>
      <c r="T203" s="185"/>
      <c r="U203" s="185"/>
      <c r="V203" s="185"/>
      <c r="W203" s="185"/>
      <c r="X203" s="5"/>
    </row>
    <row r="204" spans="1:24" ht="18" thickBot="1" x14ac:dyDescent="0.35">
      <c r="A204" s="199"/>
      <c r="B204" s="237" t="str">
        <f>B138</f>
        <v>PM14 INVESTOR REPORT QUARTER ENDING NOVEMBER 2014</v>
      </c>
      <c r="C204" s="215"/>
      <c r="D204" s="215"/>
      <c r="E204" s="215"/>
      <c r="F204" s="215"/>
      <c r="G204" s="215"/>
      <c r="H204" s="215"/>
      <c r="I204" s="215"/>
      <c r="J204" s="215"/>
      <c r="K204" s="215"/>
      <c r="L204" s="215"/>
      <c r="M204" s="215"/>
      <c r="N204" s="215"/>
      <c r="O204" s="215"/>
      <c r="P204" s="215"/>
      <c r="Q204" s="215"/>
      <c r="R204" s="215"/>
      <c r="S204" s="215"/>
      <c r="T204" s="215"/>
      <c r="U204" s="215"/>
      <c r="V204" s="215"/>
      <c r="W204" s="216"/>
      <c r="X204" s="5"/>
    </row>
    <row r="205" spans="1:24" ht="15.6" x14ac:dyDescent="0.3">
      <c r="A205" s="273"/>
      <c r="B205" s="403" t="s">
        <v>70</v>
      </c>
      <c r="C205" s="404"/>
      <c r="D205" s="404"/>
      <c r="E205" s="404"/>
      <c r="F205" s="404"/>
      <c r="G205" s="405"/>
      <c r="H205" s="405"/>
      <c r="I205" s="405"/>
      <c r="J205" s="405"/>
      <c r="K205" s="405"/>
      <c r="L205" s="405"/>
      <c r="M205" s="405"/>
      <c r="N205" s="405"/>
      <c r="O205" s="405"/>
      <c r="P205" s="405"/>
      <c r="Q205" s="405"/>
      <c r="R205" s="405"/>
      <c r="S205" s="405"/>
      <c r="T205" s="405">
        <v>41971</v>
      </c>
      <c r="U205" s="274"/>
      <c r="V205" s="274"/>
      <c r="W205" s="274"/>
      <c r="X205" s="5"/>
    </row>
    <row r="206" spans="1:24" ht="15.6" x14ac:dyDescent="0.3">
      <c r="A206" s="217"/>
      <c r="B206" s="230"/>
      <c r="C206" s="249"/>
      <c r="D206" s="249"/>
      <c r="E206" s="249"/>
      <c r="F206" s="249"/>
      <c r="G206" s="229"/>
      <c r="H206" s="229"/>
      <c r="I206" s="229"/>
      <c r="J206" s="229"/>
      <c r="K206" s="229"/>
      <c r="L206" s="229"/>
      <c r="M206" s="229"/>
      <c r="N206" s="229"/>
      <c r="O206" s="229"/>
      <c r="P206" s="229"/>
      <c r="Q206" s="229"/>
      <c r="R206" s="229"/>
      <c r="S206" s="229"/>
      <c r="T206" s="229"/>
      <c r="U206" s="224"/>
      <c r="V206" s="224"/>
      <c r="W206" s="224"/>
      <c r="X206" s="5"/>
    </row>
    <row r="207" spans="1:24" ht="15.6" x14ac:dyDescent="0.3">
      <c r="A207" s="352"/>
      <c r="B207" s="288" t="s">
        <v>71</v>
      </c>
      <c r="C207" s="353"/>
      <c r="D207" s="353"/>
      <c r="E207" s="353"/>
      <c r="F207" s="353"/>
      <c r="G207" s="330"/>
      <c r="H207" s="330"/>
      <c r="I207" s="330"/>
      <c r="J207" s="330"/>
      <c r="K207" s="330"/>
      <c r="L207" s="330"/>
      <c r="M207" s="330"/>
      <c r="N207" s="330"/>
      <c r="O207" s="330"/>
      <c r="P207" s="330"/>
      <c r="Q207" s="330"/>
      <c r="R207" s="330"/>
      <c r="S207" s="330"/>
      <c r="T207" s="321">
        <v>5.2819999999999999E-2</v>
      </c>
      <c r="U207" s="288"/>
      <c r="V207" s="288"/>
      <c r="W207" s="291"/>
      <c r="X207" s="5"/>
    </row>
    <row r="208" spans="1:24" ht="15.6" x14ac:dyDescent="0.3">
      <c r="A208" s="352"/>
      <c r="B208" s="288" t="s">
        <v>151</v>
      </c>
      <c r="C208" s="353"/>
      <c r="D208" s="353"/>
      <c r="E208" s="353"/>
      <c r="F208" s="353"/>
      <c r="G208" s="330"/>
      <c r="H208" s="330"/>
      <c r="I208" s="330"/>
      <c r="J208" s="330"/>
      <c r="K208" s="330"/>
      <c r="L208" s="330"/>
      <c r="M208" s="330"/>
      <c r="N208" s="330"/>
      <c r="O208" s="330"/>
      <c r="P208" s="330"/>
      <c r="Q208" s="330"/>
      <c r="R208" s="330"/>
      <c r="S208" s="330"/>
      <c r="T208" s="321">
        <v>5.7799999999999997E-2</v>
      </c>
      <c r="U208" s="288"/>
      <c r="V208" s="288"/>
      <c r="W208" s="291"/>
      <c r="X208" s="5"/>
    </row>
    <row r="209" spans="1:24" ht="15.6" x14ac:dyDescent="0.3">
      <c r="A209" s="352"/>
      <c r="B209" s="288" t="s">
        <v>72</v>
      </c>
      <c r="C209" s="353"/>
      <c r="D209" s="353"/>
      <c r="E209" s="353"/>
      <c r="F209" s="353"/>
      <c r="G209" s="330"/>
      <c r="H209" s="330"/>
      <c r="I209" s="330"/>
      <c r="J209" s="330"/>
      <c r="K209" s="330"/>
      <c r="L209" s="330"/>
      <c r="M209" s="330"/>
      <c r="N209" s="330"/>
      <c r="O209" s="330"/>
      <c r="P209" s="330"/>
      <c r="Q209" s="330"/>
      <c r="R209" s="330"/>
      <c r="S209" s="330"/>
      <c r="T209" s="321">
        <f>T207-T208</f>
        <v>-4.9799999999999983E-3</v>
      </c>
      <c r="U209" s="288"/>
      <c r="V209" s="288"/>
      <c r="W209" s="291"/>
      <c r="X209" s="5"/>
    </row>
    <row r="210" spans="1:24" ht="15.6" x14ac:dyDescent="0.3">
      <c r="A210" s="352"/>
      <c r="B210" s="288" t="s">
        <v>73</v>
      </c>
      <c r="C210" s="353"/>
      <c r="D210" s="353"/>
      <c r="E210" s="353"/>
      <c r="F210" s="353"/>
      <c r="G210" s="330"/>
      <c r="H210" s="330"/>
      <c r="I210" s="330"/>
      <c r="J210" s="330"/>
      <c r="K210" s="330"/>
      <c r="L210" s="330"/>
      <c r="M210" s="330"/>
      <c r="N210" s="330"/>
      <c r="O210" s="330"/>
      <c r="P210" s="330"/>
      <c r="Q210" s="330"/>
      <c r="R210" s="330"/>
      <c r="S210" s="330"/>
      <c r="T210" s="321">
        <v>2.375E-2</v>
      </c>
      <c r="U210" s="288"/>
      <c r="V210" s="288"/>
      <c r="W210" s="291"/>
      <c r="X210" s="5"/>
    </row>
    <row r="211" spans="1:24" ht="15.6" x14ac:dyDescent="0.3">
      <c r="A211" s="352"/>
      <c r="B211" s="288" t="s">
        <v>219</v>
      </c>
      <c r="C211" s="353"/>
      <c r="D211" s="353"/>
      <c r="E211" s="353"/>
      <c r="F211" s="353"/>
      <c r="G211" s="330"/>
      <c r="H211" s="330"/>
      <c r="I211" s="330"/>
      <c r="J211" s="330"/>
      <c r="K211" s="330"/>
      <c r="L211" s="330"/>
      <c r="M211" s="330"/>
      <c r="N211" s="330"/>
      <c r="O211" s="330"/>
      <c r="P211" s="330"/>
      <c r="Q211" s="330"/>
      <c r="R211" s="330"/>
      <c r="S211" s="330"/>
      <c r="T211" s="321">
        <f>V43</f>
        <v>8.8364569926702597E-3</v>
      </c>
      <c r="U211" s="288"/>
      <c r="V211" s="288"/>
      <c r="W211" s="291"/>
      <c r="X211" s="5"/>
    </row>
    <row r="212" spans="1:24" ht="15.6" x14ac:dyDescent="0.3">
      <c r="A212" s="352"/>
      <c r="B212" s="288" t="s">
        <v>74</v>
      </c>
      <c r="C212" s="353"/>
      <c r="D212" s="353"/>
      <c r="E212" s="353"/>
      <c r="F212" s="353"/>
      <c r="G212" s="330"/>
      <c r="H212" s="330"/>
      <c r="I212" s="330"/>
      <c r="J212" s="330"/>
      <c r="K212" s="330"/>
      <c r="L212" s="330"/>
      <c r="M212" s="330"/>
      <c r="N212" s="330"/>
      <c r="O212" s="330"/>
      <c r="P212" s="330"/>
      <c r="Q212" s="330"/>
      <c r="R212" s="330"/>
      <c r="S212" s="330"/>
      <c r="T212" s="321">
        <f>T210-T211</f>
        <v>1.4913543007329741E-2</v>
      </c>
      <c r="U212" s="288"/>
      <c r="V212" s="288"/>
      <c r="W212" s="291"/>
      <c r="X212" s="5"/>
    </row>
    <row r="213" spans="1:24" ht="15.6" x14ac:dyDescent="0.3">
      <c r="A213" s="352"/>
      <c r="B213" s="288" t="s">
        <v>242</v>
      </c>
      <c r="C213" s="353"/>
      <c r="D213" s="353"/>
      <c r="E213" s="353"/>
      <c r="F213" s="353"/>
      <c r="G213" s="330"/>
      <c r="H213" s="330"/>
      <c r="I213" s="330"/>
      <c r="J213" s="330"/>
      <c r="K213" s="330"/>
      <c r="L213" s="330"/>
      <c r="M213" s="330"/>
      <c r="N213" s="330"/>
      <c r="O213" s="330"/>
      <c r="P213" s="330"/>
      <c r="Q213" s="330"/>
      <c r="R213" s="330"/>
      <c r="S213" s="330"/>
      <c r="T213" s="321">
        <f>V101/N71</f>
        <v>6.4510338268686128E-3</v>
      </c>
      <c r="U213" s="288"/>
      <c r="V213" s="288"/>
      <c r="W213" s="291"/>
      <c r="X213" s="5"/>
    </row>
    <row r="214" spans="1:24" ht="15.6" x14ac:dyDescent="0.3">
      <c r="A214" s="352"/>
      <c r="B214" s="288" t="s">
        <v>208</v>
      </c>
      <c r="C214" s="353"/>
      <c r="D214" s="353"/>
      <c r="E214" s="353"/>
      <c r="F214" s="353"/>
      <c r="G214" s="330"/>
      <c r="H214" s="330"/>
      <c r="I214" s="330"/>
      <c r="J214" s="330"/>
      <c r="K214" s="330"/>
      <c r="L214" s="330"/>
      <c r="M214" s="330"/>
      <c r="N214" s="330"/>
      <c r="O214" s="330"/>
      <c r="P214" s="330"/>
      <c r="Q214" s="330"/>
      <c r="R214" s="330"/>
      <c r="S214" s="330"/>
      <c r="T214" s="354">
        <v>51014</v>
      </c>
      <c r="U214" s="288"/>
      <c r="V214" s="288"/>
      <c r="W214" s="291"/>
      <c r="X214" s="5"/>
    </row>
    <row r="215" spans="1:24" ht="15.6" x14ac:dyDescent="0.3">
      <c r="A215" s="352"/>
      <c r="B215" s="288" t="s">
        <v>209</v>
      </c>
      <c r="C215" s="353"/>
      <c r="D215" s="353"/>
      <c r="E215" s="353"/>
      <c r="F215" s="353"/>
      <c r="G215" s="330"/>
      <c r="H215" s="330"/>
      <c r="I215" s="330"/>
      <c r="J215" s="330"/>
      <c r="K215" s="330"/>
      <c r="L215" s="330"/>
      <c r="M215" s="330"/>
      <c r="N215" s="330"/>
      <c r="O215" s="330"/>
      <c r="P215" s="330"/>
      <c r="Q215" s="330"/>
      <c r="R215" s="330"/>
      <c r="S215" s="330"/>
      <c r="T215" s="354">
        <v>51014</v>
      </c>
      <c r="U215" s="288"/>
      <c r="V215" s="288"/>
      <c r="W215" s="291"/>
      <c r="X215" s="5"/>
    </row>
    <row r="216" spans="1:24" ht="15.6" x14ac:dyDescent="0.3">
      <c r="A216" s="352"/>
      <c r="B216" s="288" t="s">
        <v>210</v>
      </c>
      <c r="C216" s="353"/>
      <c r="D216" s="353"/>
      <c r="E216" s="353"/>
      <c r="F216" s="353"/>
      <c r="G216" s="330"/>
      <c r="H216" s="330"/>
      <c r="I216" s="330"/>
      <c r="J216" s="330"/>
      <c r="K216" s="330"/>
      <c r="L216" s="330"/>
      <c r="M216" s="330"/>
      <c r="N216" s="330"/>
      <c r="O216" s="330"/>
      <c r="P216" s="330"/>
      <c r="Q216" s="330"/>
      <c r="R216" s="330"/>
      <c r="S216" s="330"/>
      <c r="T216" s="354">
        <v>51014</v>
      </c>
      <c r="U216" s="288"/>
      <c r="V216" s="288"/>
      <c r="W216" s="291"/>
      <c r="X216" s="5"/>
    </row>
    <row r="217" spans="1:24" ht="15.6" x14ac:dyDescent="0.3">
      <c r="A217" s="352"/>
      <c r="B217" s="288" t="s">
        <v>75</v>
      </c>
      <c r="C217" s="353"/>
      <c r="D217" s="353"/>
      <c r="E217" s="353"/>
      <c r="F217" s="353"/>
      <c r="G217" s="330"/>
      <c r="H217" s="330"/>
      <c r="I217" s="330"/>
      <c r="J217" s="330"/>
      <c r="K217" s="330"/>
      <c r="L217" s="330"/>
      <c r="M217" s="330"/>
      <c r="N217" s="330"/>
      <c r="O217" s="330"/>
      <c r="P217" s="330"/>
      <c r="Q217" s="330"/>
      <c r="R217" s="330"/>
      <c r="S217" s="330"/>
      <c r="T217" s="327">
        <v>20.66</v>
      </c>
      <c r="U217" s="288" t="s">
        <v>110</v>
      </c>
      <c r="V217" s="288"/>
      <c r="W217" s="291"/>
      <c r="X217" s="5"/>
    </row>
    <row r="218" spans="1:24" ht="15.6" x14ac:dyDescent="0.3">
      <c r="A218" s="352"/>
      <c r="B218" s="288" t="s">
        <v>76</v>
      </c>
      <c r="C218" s="353"/>
      <c r="D218" s="353"/>
      <c r="E218" s="353"/>
      <c r="F218" s="353"/>
      <c r="G218" s="330"/>
      <c r="H218" s="330"/>
      <c r="I218" s="330"/>
      <c r="J218" s="330"/>
      <c r="K218" s="330"/>
      <c r="L218" s="330"/>
      <c r="M218" s="330"/>
      <c r="N218" s="330"/>
      <c r="O218" s="330"/>
      <c r="P218" s="330"/>
      <c r="Q218" s="330"/>
      <c r="R218" s="330"/>
      <c r="S218" s="330"/>
      <c r="T218" s="327">
        <v>13.76</v>
      </c>
      <c r="U218" s="288" t="s">
        <v>110</v>
      </c>
      <c r="V218" s="288"/>
      <c r="W218" s="291"/>
      <c r="X218" s="5"/>
    </row>
    <row r="219" spans="1:24" ht="15.6" x14ac:dyDescent="0.3">
      <c r="A219" s="352"/>
      <c r="B219" s="288" t="s">
        <v>77</v>
      </c>
      <c r="C219" s="353"/>
      <c r="D219" s="353"/>
      <c r="E219" s="353"/>
      <c r="F219" s="353"/>
      <c r="G219" s="330"/>
      <c r="H219" s="330"/>
      <c r="I219" s="330"/>
      <c r="J219" s="330"/>
      <c r="K219" s="330"/>
      <c r="L219" s="330"/>
      <c r="M219" s="330"/>
      <c r="N219" s="330"/>
      <c r="O219" s="330"/>
      <c r="P219" s="330"/>
      <c r="Q219" s="330"/>
      <c r="R219" s="330"/>
      <c r="S219" s="330"/>
      <c r="T219" s="321">
        <f>+P68/N68</f>
        <v>1.1909013305018553E-2</v>
      </c>
      <c r="U219" s="288"/>
      <c r="V219" s="288"/>
      <c r="W219" s="291"/>
      <c r="X219" s="5"/>
    </row>
    <row r="220" spans="1:24" ht="15.6" x14ac:dyDescent="0.3">
      <c r="A220" s="352"/>
      <c r="B220" s="288" t="s">
        <v>78</v>
      </c>
      <c r="C220" s="353"/>
      <c r="D220" s="353"/>
      <c r="E220" s="353"/>
      <c r="F220" s="353"/>
      <c r="G220" s="330"/>
      <c r="H220" s="330"/>
      <c r="I220" s="330"/>
      <c r="J220" s="330"/>
      <c r="K220" s="330"/>
      <c r="L220" s="330"/>
      <c r="M220" s="330"/>
      <c r="N220" s="330"/>
      <c r="O220" s="330"/>
      <c r="P220" s="330"/>
      <c r="Q220" s="330"/>
      <c r="R220" s="330"/>
      <c r="S220" s="330"/>
      <c r="T220" s="321">
        <v>4.99E-2</v>
      </c>
      <c r="U220" s="288"/>
      <c r="V220" s="288"/>
      <c r="W220" s="291"/>
      <c r="X220" s="5"/>
    </row>
    <row r="221" spans="1:24" ht="15.6" x14ac:dyDescent="0.3">
      <c r="A221" s="217"/>
      <c r="B221" s="284"/>
      <c r="C221" s="284"/>
      <c r="D221" s="284"/>
      <c r="E221" s="284"/>
      <c r="F221" s="284"/>
      <c r="G221" s="284"/>
      <c r="H221" s="284"/>
      <c r="I221" s="284"/>
      <c r="J221" s="284"/>
      <c r="K221" s="284"/>
      <c r="L221" s="284"/>
      <c r="M221" s="284"/>
      <c r="N221" s="284"/>
      <c r="O221" s="284"/>
      <c r="P221" s="284"/>
      <c r="Q221" s="284"/>
      <c r="R221" s="284"/>
      <c r="S221" s="284"/>
      <c r="T221" s="349"/>
      <c r="U221" s="284"/>
      <c r="V221" s="351"/>
      <c r="W221" s="284"/>
      <c r="X221" s="5"/>
    </row>
    <row r="222" spans="1:24" ht="15.6" x14ac:dyDescent="0.3">
      <c r="A222" s="278"/>
      <c r="B222" s="399" t="s">
        <v>79</v>
      </c>
      <c r="C222" s="400"/>
      <c r="D222" s="400"/>
      <c r="E222" s="400"/>
      <c r="F222" s="406"/>
      <c r="G222" s="400"/>
      <c r="H222" s="400"/>
      <c r="I222" s="400"/>
      <c r="J222" s="400"/>
      <c r="K222" s="400"/>
      <c r="L222" s="400"/>
      <c r="M222" s="400"/>
      <c r="N222" s="400"/>
      <c r="O222" s="400"/>
      <c r="P222" s="400"/>
      <c r="Q222" s="400"/>
      <c r="R222" s="400"/>
      <c r="S222" s="400" t="s">
        <v>102</v>
      </c>
      <c r="T222" s="406" t="s">
        <v>108</v>
      </c>
      <c r="U222" s="263"/>
      <c r="V222" s="263"/>
      <c r="W222" s="263"/>
      <c r="X222" s="5"/>
    </row>
    <row r="223" spans="1:24" ht="15.6" x14ac:dyDescent="0.3">
      <c r="A223" s="218"/>
      <c r="B223" s="231" t="s">
        <v>80</v>
      </c>
      <c r="C223" s="234"/>
      <c r="D223" s="234"/>
      <c r="E223" s="234"/>
      <c r="F223" s="231"/>
      <c r="G223" s="231"/>
      <c r="H223" s="233"/>
      <c r="I223" s="233"/>
      <c r="J223" s="233"/>
      <c r="K223" s="233"/>
      <c r="L223" s="233"/>
      <c r="M223" s="233"/>
      <c r="N223" s="233"/>
      <c r="O223" s="233"/>
      <c r="P223" s="233"/>
      <c r="Q223" s="233"/>
      <c r="R223" s="233"/>
      <c r="S223" s="233">
        <v>1</v>
      </c>
      <c r="T223" s="251">
        <v>171</v>
      </c>
      <c r="U223" s="231"/>
      <c r="V223" s="250"/>
      <c r="W223" s="252"/>
      <c r="X223" s="5"/>
    </row>
    <row r="224" spans="1:24" ht="15.6" x14ac:dyDescent="0.3">
      <c r="A224" s="362"/>
      <c r="B224" s="288" t="s">
        <v>145</v>
      </c>
      <c r="C224" s="337"/>
      <c r="D224" s="337"/>
      <c r="E224" s="337"/>
      <c r="F224" s="288"/>
      <c r="G224" s="288"/>
      <c r="H224" s="296"/>
      <c r="I224" s="296"/>
      <c r="J224" s="296"/>
      <c r="K224" s="296"/>
      <c r="L224" s="296"/>
      <c r="M224" s="296"/>
      <c r="N224" s="296"/>
      <c r="O224" s="296"/>
      <c r="P224" s="296"/>
      <c r="Q224" s="296"/>
      <c r="R224" s="296"/>
      <c r="S224" s="363">
        <f>+R276</f>
        <v>144</v>
      </c>
      <c r="T224" s="364">
        <f>+T276</f>
        <v>20876</v>
      </c>
      <c r="U224" s="288"/>
      <c r="V224" s="365"/>
      <c r="W224" s="366"/>
      <c r="X224" s="5"/>
    </row>
    <row r="225" spans="1:24" ht="15.6" x14ac:dyDescent="0.3">
      <c r="A225" s="362"/>
      <c r="B225" s="288" t="s">
        <v>81</v>
      </c>
      <c r="C225" s="337"/>
      <c r="D225" s="337"/>
      <c r="E225" s="337"/>
      <c r="F225" s="288"/>
      <c r="G225" s="288"/>
      <c r="H225" s="296"/>
      <c r="I225" s="296"/>
      <c r="J225" s="296"/>
      <c r="K225" s="296"/>
      <c r="L225" s="296"/>
      <c r="M225" s="296"/>
      <c r="N225" s="296"/>
      <c r="O225" s="296"/>
      <c r="P225" s="296"/>
      <c r="Q225" s="296"/>
      <c r="R225" s="296"/>
      <c r="S225" s="363">
        <f>+R288</f>
        <v>2</v>
      </c>
      <c r="T225" s="364">
        <f>+T288</f>
        <v>194</v>
      </c>
      <c r="U225" s="288"/>
      <c r="V225" s="365"/>
      <c r="W225" s="366"/>
      <c r="X225" s="5"/>
    </row>
    <row r="226" spans="1:24" ht="15.6" x14ac:dyDescent="0.3">
      <c r="A226" s="362"/>
      <c r="B226" s="313" t="s">
        <v>82</v>
      </c>
      <c r="C226" s="367"/>
      <c r="D226" s="367"/>
      <c r="E226" s="367"/>
      <c r="F226" s="314"/>
      <c r="G226" s="314"/>
      <c r="H226" s="314"/>
      <c r="I226" s="314"/>
      <c r="J226" s="314"/>
      <c r="K226" s="314"/>
      <c r="L226" s="314"/>
      <c r="M226" s="314"/>
      <c r="N226" s="314"/>
      <c r="O226" s="314"/>
      <c r="P226" s="314"/>
      <c r="Q226" s="314"/>
      <c r="R226" s="314"/>
      <c r="S226" s="314"/>
      <c r="T226" s="364">
        <v>0</v>
      </c>
      <c r="U226" s="314"/>
      <c r="V226" s="369"/>
      <c r="W226" s="370"/>
      <c r="X226" s="5"/>
    </row>
    <row r="227" spans="1:24" ht="15.6" x14ac:dyDescent="0.3">
      <c r="A227" s="362"/>
      <c r="B227" s="313" t="s">
        <v>243</v>
      </c>
      <c r="C227" s="367"/>
      <c r="D227" s="367"/>
      <c r="E227" s="367"/>
      <c r="F227" s="314"/>
      <c r="G227" s="314"/>
      <c r="H227" s="314"/>
      <c r="I227" s="314"/>
      <c r="J227" s="314"/>
      <c r="K227" s="314"/>
      <c r="L227" s="314"/>
      <c r="M227" s="314"/>
      <c r="N227" s="314"/>
      <c r="O227" s="314"/>
      <c r="P227" s="314"/>
      <c r="Q227" s="314"/>
      <c r="R227" s="314"/>
      <c r="S227" s="314"/>
      <c r="T227" s="364">
        <f>+N81</f>
        <v>0</v>
      </c>
      <c r="U227" s="314"/>
      <c r="V227" s="369"/>
      <c r="W227" s="370"/>
      <c r="X227" s="5"/>
    </row>
    <row r="228" spans="1:24" ht="15.6" x14ac:dyDescent="0.3">
      <c r="A228" s="371"/>
      <c r="B228" s="313" t="s">
        <v>83</v>
      </c>
      <c r="C228" s="372"/>
      <c r="D228" s="372"/>
      <c r="E228" s="372"/>
      <c r="F228" s="372"/>
      <c r="G228" s="314"/>
      <c r="H228" s="314"/>
      <c r="I228" s="314"/>
      <c r="J228" s="314"/>
      <c r="K228" s="314"/>
      <c r="L228" s="314"/>
      <c r="M228" s="314"/>
      <c r="N228" s="314"/>
      <c r="O228" s="314"/>
      <c r="P228" s="314"/>
      <c r="Q228" s="314"/>
      <c r="R228" s="314"/>
      <c r="S228" s="314"/>
      <c r="T228" s="368"/>
      <c r="U228" s="314"/>
      <c r="V228" s="369"/>
      <c r="W228" s="373"/>
      <c r="X228" s="5"/>
    </row>
    <row r="229" spans="1:24" ht="15.6" x14ac:dyDescent="0.3">
      <c r="A229" s="371"/>
      <c r="B229" s="288" t="s">
        <v>84</v>
      </c>
      <c r="C229" s="288"/>
      <c r="D229" s="288"/>
      <c r="E229" s="288"/>
      <c r="F229" s="288"/>
      <c r="G229" s="288"/>
      <c r="H229" s="288"/>
      <c r="I229" s="288"/>
      <c r="J229" s="288"/>
      <c r="K229" s="288"/>
      <c r="L229" s="288"/>
      <c r="M229" s="288"/>
      <c r="N229" s="288"/>
      <c r="O229" s="288"/>
      <c r="P229" s="288"/>
      <c r="Q229" s="288"/>
      <c r="R229" s="288"/>
      <c r="S229" s="296"/>
      <c r="T229" s="364">
        <f>V167</f>
        <v>426</v>
      </c>
      <c r="U229" s="288"/>
      <c r="V229" s="365"/>
      <c r="W229" s="378"/>
      <c r="X229" s="5"/>
    </row>
    <row r="230" spans="1:24" ht="15.6" x14ac:dyDescent="0.3">
      <c r="A230" s="362"/>
      <c r="B230" s="288" t="s">
        <v>85</v>
      </c>
      <c r="C230" s="337"/>
      <c r="D230" s="337"/>
      <c r="E230" s="337"/>
      <c r="F230" s="337"/>
      <c r="G230" s="288"/>
      <c r="H230" s="288"/>
      <c r="I230" s="288"/>
      <c r="J230" s="288"/>
      <c r="K230" s="288"/>
      <c r="L230" s="288"/>
      <c r="M230" s="288"/>
      <c r="N230" s="288"/>
      <c r="O230" s="288"/>
      <c r="P230" s="288"/>
      <c r="Q230" s="288"/>
      <c r="R230" s="288"/>
      <c r="S230" s="296"/>
      <c r="T230" s="364">
        <f>'Aug 14'!T230+T229</f>
        <v>5681</v>
      </c>
      <c r="U230" s="288"/>
      <c r="V230" s="365"/>
      <c r="W230" s="378"/>
      <c r="X230" s="5"/>
    </row>
    <row r="231" spans="1:24" ht="15.6" x14ac:dyDescent="0.3">
      <c r="A231" s="371"/>
      <c r="B231" s="313" t="s">
        <v>295</v>
      </c>
      <c r="C231" s="372"/>
      <c r="D231" s="372"/>
      <c r="E231" s="372"/>
      <c r="F231" s="372"/>
      <c r="G231" s="314"/>
      <c r="H231" s="314"/>
      <c r="I231" s="314"/>
      <c r="J231" s="314"/>
      <c r="K231" s="314"/>
      <c r="L231" s="314"/>
      <c r="M231" s="314"/>
      <c r="N231" s="314"/>
      <c r="O231" s="314"/>
      <c r="P231" s="314"/>
      <c r="Q231" s="314"/>
      <c r="R231" s="314"/>
      <c r="S231" s="316"/>
      <c r="T231" s="368"/>
      <c r="U231" s="314"/>
      <c r="V231" s="369"/>
      <c r="W231" s="373"/>
      <c r="X231" s="5"/>
    </row>
    <row r="232" spans="1:24" ht="15.6" x14ac:dyDescent="0.3">
      <c r="A232" s="371"/>
      <c r="B232" s="288" t="s">
        <v>291</v>
      </c>
      <c r="C232" s="288"/>
      <c r="D232" s="288"/>
      <c r="E232" s="288"/>
      <c r="F232" s="288"/>
      <c r="G232" s="288"/>
      <c r="H232" s="288"/>
      <c r="I232" s="288"/>
      <c r="J232" s="288"/>
      <c r="K232" s="288"/>
      <c r="L232" s="288"/>
      <c r="M232" s="288"/>
      <c r="N232" s="288"/>
      <c r="O232" s="288"/>
      <c r="P232" s="288"/>
      <c r="Q232" s="288"/>
      <c r="R232" s="288"/>
      <c r="S232" s="296">
        <v>2</v>
      </c>
      <c r="T232" s="364">
        <v>117</v>
      </c>
      <c r="U232" s="288"/>
      <c r="V232" s="365"/>
      <c r="W232" s="378"/>
      <c r="X232" s="5"/>
    </row>
    <row r="233" spans="1:24" ht="15.6" x14ac:dyDescent="0.3">
      <c r="A233" s="362"/>
      <c r="B233" s="288" t="s">
        <v>86</v>
      </c>
      <c r="C233" s="325"/>
      <c r="D233" s="325"/>
      <c r="E233" s="325"/>
      <c r="F233" s="379"/>
      <c r="G233" s="288"/>
      <c r="H233" s="288"/>
      <c r="I233" s="288"/>
      <c r="J233" s="288"/>
      <c r="K233" s="288"/>
      <c r="L233" s="288"/>
      <c r="M233" s="288"/>
      <c r="N233" s="288"/>
      <c r="O233" s="288"/>
      <c r="P233" s="288"/>
      <c r="Q233" s="288"/>
      <c r="R233" s="288"/>
      <c r="S233" s="288"/>
      <c r="T233" s="380">
        <v>6.54</v>
      </c>
      <c r="U233" s="288"/>
      <c r="V233" s="365"/>
      <c r="W233" s="378"/>
      <c r="X233" s="5"/>
    </row>
    <row r="234" spans="1:24" ht="15.6" x14ac:dyDescent="0.3">
      <c r="A234" s="362"/>
      <c r="B234" s="288" t="s">
        <v>87</v>
      </c>
      <c r="C234" s="325"/>
      <c r="D234" s="325"/>
      <c r="E234" s="325"/>
      <c r="F234" s="379"/>
      <c r="G234" s="288"/>
      <c r="H234" s="288"/>
      <c r="I234" s="288"/>
      <c r="J234" s="288"/>
      <c r="K234" s="288"/>
      <c r="L234" s="288"/>
      <c r="M234" s="288"/>
      <c r="N234" s="288"/>
      <c r="O234" s="288"/>
      <c r="P234" s="288"/>
      <c r="Q234" s="288"/>
      <c r="R234" s="288"/>
      <c r="S234" s="288"/>
      <c r="T234" s="380">
        <v>3.6</v>
      </c>
      <c r="U234" s="288"/>
      <c r="V234" s="365"/>
      <c r="W234" s="378"/>
      <c r="X234" s="5"/>
    </row>
    <row r="235" spans="1:24" ht="15.6" x14ac:dyDescent="0.3">
      <c r="A235" s="362"/>
      <c r="B235" s="313" t="s">
        <v>217</v>
      </c>
      <c r="C235" s="381"/>
      <c r="D235" s="381"/>
      <c r="E235" s="381"/>
      <c r="F235" s="382"/>
      <c r="G235" s="314"/>
      <c r="H235" s="314"/>
      <c r="I235" s="314"/>
      <c r="J235" s="314"/>
      <c r="K235" s="314"/>
      <c r="L235" s="314"/>
      <c r="M235" s="314"/>
      <c r="N235" s="314"/>
      <c r="O235" s="314"/>
      <c r="P235" s="314"/>
      <c r="Q235" s="314"/>
      <c r="R235" s="314"/>
      <c r="S235" s="314"/>
      <c r="T235" s="383"/>
      <c r="U235" s="314"/>
      <c r="V235" s="369"/>
      <c r="W235" s="373"/>
      <c r="X235" s="5"/>
    </row>
    <row r="236" spans="1:24" ht="15.6" x14ac:dyDescent="0.3">
      <c r="A236" s="362"/>
      <c r="B236" s="288" t="s">
        <v>291</v>
      </c>
      <c r="C236" s="381"/>
      <c r="D236" s="381"/>
      <c r="E236" s="381"/>
      <c r="F236" s="382"/>
      <c r="G236" s="314"/>
      <c r="H236" s="314"/>
      <c r="I236" s="314"/>
      <c r="J236" s="314"/>
      <c r="K236" s="314"/>
      <c r="L236" s="314"/>
      <c r="M236" s="314"/>
      <c r="N236" s="314"/>
      <c r="O236" s="314"/>
      <c r="P236" s="314"/>
      <c r="Q236" s="314"/>
      <c r="R236" s="314"/>
      <c r="S236" s="296">
        <v>8</v>
      </c>
      <c r="T236" s="364">
        <v>763</v>
      </c>
      <c r="U236" s="314"/>
      <c r="V236" s="369"/>
      <c r="W236" s="373"/>
      <c r="X236" s="5"/>
    </row>
    <row r="237" spans="1:24" ht="15.6" x14ac:dyDescent="0.3">
      <c r="A237" s="362"/>
      <c r="B237" s="288" t="s">
        <v>218</v>
      </c>
      <c r="C237" s="381"/>
      <c r="D237" s="381"/>
      <c r="E237" s="381"/>
      <c r="F237" s="382"/>
      <c r="G237" s="314"/>
      <c r="H237" s="314"/>
      <c r="I237" s="314"/>
      <c r="J237" s="314"/>
      <c r="K237" s="314"/>
      <c r="L237" s="314"/>
      <c r="M237" s="314"/>
      <c r="N237" s="314"/>
      <c r="O237" s="314"/>
      <c r="P237" s="314"/>
      <c r="Q237" s="314"/>
      <c r="R237" s="314"/>
      <c r="S237" s="288"/>
      <c r="T237" s="380">
        <v>2.75</v>
      </c>
      <c r="U237" s="314"/>
      <c r="V237" s="369"/>
      <c r="W237" s="373"/>
      <c r="X237" s="5"/>
    </row>
    <row r="238" spans="1:24" ht="15.6" x14ac:dyDescent="0.3">
      <c r="A238" s="362"/>
      <c r="B238" s="372"/>
      <c r="C238" s="381"/>
      <c r="D238" s="381"/>
      <c r="E238" s="381"/>
      <c r="F238" s="382"/>
      <c r="G238" s="314"/>
      <c r="H238" s="314"/>
      <c r="I238" s="314"/>
      <c r="J238" s="314"/>
      <c r="K238" s="314"/>
      <c r="L238" s="314"/>
      <c r="M238" s="314"/>
      <c r="N238" s="314"/>
      <c r="O238" s="314"/>
      <c r="P238" s="314"/>
      <c r="Q238" s="314"/>
      <c r="R238" s="314"/>
      <c r="S238" s="314"/>
      <c r="T238" s="383"/>
      <c r="U238" s="314"/>
      <c r="V238" s="369"/>
      <c r="W238" s="373"/>
      <c r="X238" s="5"/>
    </row>
    <row r="239" spans="1:24" ht="15.6" x14ac:dyDescent="0.3">
      <c r="A239" s="362"/>
      <c r="B239" s="372"/>
      <c r="C239" s="381"/>
      <c r="D239" s="381"/>
      <c r="E239" s="381"/>
      <c r="F239" s="382"/>
      <c r="G239" s="314"/>
      <c r="H239" s="314"/>
      <c r="I239" s="314"/>
      <c r="J239" s="314"/>
      <c r="K239" s="314"/>
      <c r="L239" s="314"/>
      <c r="M239" s="314"/>
      <c r="N239" s="314"/>
      <c r="O239" s="314"/>
      <c r="P239" s="314"/>
      <c r="Q239" s="314"/>
      <c r="R239" s="314"/>
      <c r="S239" s="314"/>
      <c r="T239" s="383"/>
      <c r="U239" s="314"/>
      <c r="V239" s="369"/>
      <c r="W239" s="373"/>
      <c r="X239" s="5"/>
    </row>
    <row r="240" spans="1:24" ht="17.399999999999999" x14ac:dyDescent="0.3">
      <c r="A240" s="362"/>
      <c r="B240" s="384" t="s">
        <v>168</v>
      </c>
      <c r="C240" s="381"/>
      <c r="D240" s="381"/>
      <c r="E240" s="381"/>
      <c r="F240" s="382"/>
      <c r="G240" s="314"/>
      <c r="H240" s="314"/>
      <c r="I240" s="314"/>
      <c r="J240" s="314"/>
      <c r="K240" s="314"/>
      <c r="L240" s="314"/>
      <c r="M240" s="314"/>
      <c r="N240" s="314"/>
      <c r="O240" s="314"/>
      <c r="P240" s="385" t="s">
        <v>167</v>
      </c>
      <c r="Q240" s="314"/>
      <c r="R240" s="314"/>
      <c r="S240" s="314"/>
      <c r="T240" s="383"/>
      <c r="U240" s="314"/>
      <c r="V240" s="369"/>
      <c r="W240" s="373"/>
      <c r="X240" s="5"/>
    </row>
    <row r="241" spans="1:25" ht="15.6" x14ac:dyDescent="0.3">
      <c r="A241" s="355"/>
      <c r="B241" s="356"/>
      <c r="C241" s="357"/>
      <c r="D241" s="357"/>
      <c r="E241" s="357"/>
      <c r="F241" s="358"/>
      <c r="G241" s="198"/>
      <c r="H241" s="198"/>
      <c r="I241" s="198"/>
      <c r="J241" s="198"/>
      <c r="K241" s="198"/>
      <c r="L241" s="198"/>
      <c r="M241" s="198"/>
      <c r="N241" s="198"/>
      <c r="O241" s="198"/>
      <c r="P241" s="198"/>
      <c r="Q241" s="198"/>
      <c r="R241" s="198"/>
      <c r="S241" s="198"/>
      <c r="T241" s="359"/>
      <c r="U241" s="198"/>
      <c r="V241" s="360"/>
      <c r="W241" s="361"/>
      <c r="X241" s="5"/>
    </row>
    <row r="242" spans="1:25" ht="15.6" x14ac:dyDescent="0.3">
      <c r="A242" s="262"/>
      <c r="B242" s="399" t="s">
        <v>308</v>
      </c>
      <c r="C242" s="400"/>
      <c r="D242" s="400"/>
      <c r="E242" s="400"/>
      <c r="F242" s="406"/>
      <c r="G242" s="400"/>
      <c r="H242" s="400"/>
      <c r="I242" s="400"/>
      <c r="J242" s="400"/>
      <c r="K242" s="400"/>
      <c r="L242" s="400"/>
      <c r="M242" s="400"/>
      <c r="N242" s="400"/>
      <c r="O242" s="400"/>
      <c r="P242" s="400"/>
      <c r="Q242" s="400"/>
      <c r="R242" s="406" t="s">
        <v>102</v>
      </c>
      <c r="S242" s="400" t="s">
        <v>103</v>
      </c>
      <c r="T242" s="406" t="s">
        <v>109</v>
      </c>
      <c r="U242" s="400" t="s">
        <v>103</v>
      </c>
      <c r="V242" s="263"/>
      <c r="W242" s="399"/>
      <c r="X242" s="5"/>
    </row>
    <row r="243" spans="1:25" ht="15.6" x14ac:dyDescent="0.3">
      <c r="A243" s="197"/>
      <c r="B243" s="234" t="s">
        <v>88</v>
      </c>
      <c r="C243" s="253"/>
      <c r="D243" s="253"/>
      <c r="E243" s="253"/>
      <c r="F243" s="231"/>
      <c r="G243" s="253"/>
      <c r="H243" s="253"/>
      <c r="I243" s="253"/>
      <c r="J243" s="253"/>
      <c r="K243" s="253"/>
      <c r="L243" s="253"/>
      <c r="M243" s="253"/>
      <c r="N243" s="253"/>
      <c r="O243" s="253"/>
      <c r="P243" s="253"/>
      <c r="Q243" s="253"/>
      <c r="R243" s="234">
        <f t="shared" ref="R243:R250" si="1">+R255+R267+R279</f>
        <v>7443</v>
      </c>
      <c r="S243" s="254">
        <f t="shared" ref="S243:S250" si="2">R243/$R$252</f>
        <v>0.99598554797270178</v>
      </c>
      <c r="T243" s="241">
        <f t="shared" ref="T243:T250" si="3">+T255+T267+T279</f>
        <v>1030622</v>
      </c>
      <c r="U243" s="254">
        <f t="shared" ref="U243:U250" si="4">T243/$T$252</f>
        <v>0.99558728349385139</v>
      </c>
      <c r="V243" s="250"/>
      <c r="W243" s="232"/>
      <c r="X243" s="5"/>
    </row>
    <row r="244" spans="1:25" ht="15.6" x14ac:dyDescent="0.3">
      <c r="A244" s="287"/>
      <c r="B244" s="337" t="s">
        <v>89</v>
      </c>
      <c r="C244" s="389"/>
      <c r="D244" s="389"/>
      <c r="E244" s="389"/>
      <c r="F244" s="288"/>
      <c r="G244" s="390"/>
      <c r="H244" s="389"/>
      <c r="I244" s="389"/>
      <c r="J244" s="389"/>
      <c r="K244" s="389"/>
      <c r="L244" s="389"/>
      <c r="M244" s="389"/>
      <c r="N244" s="389"/>
      <c r="O244" s="389"/>
      <c r="P244" s="389"/>
      <c r="Q244" s="389"/>
      <c r="R244" s="337">
        <f t="shared" si="1"/>
        <v>5</v>
      </c>
      <c r="S244" s="390">
        <f t="shared" si="2"/>
        <v>6.6907533788304564E-4</v>
      </c>
      <c r="T244" s="338">
        <f t="shared" si="3"/>
        <v>853</v>
      </c>
      <c r="U244" s="390">
        <f t="shared" si="4"/>
        <v>8.2400332306146703E-4</v>
      </c>
      <c r="V244" s="365"/>
      <c r="W244" s="378"/>
      <c r="X244" s="5"/>
      <c r="Y244" s="109"/>
    </row>
    <row r="245" spans="1:25" ht="15.6" x14ac:dyDescent="0.3">
      <c r="A245" s="287"/>
      <c r="B245" s="337" t="s">
        <v>90</v>
      </c>
      <c r="C245" s="389"/>
      <c r="D245" s="389"/>
      <c r="E245" s="389"/>
      <c r="F245" s="288"/>
      <c r="G245" s="390"/>
      <c r="H245" s="389"/>
      <c r="I245" s="389"/>
      <c r="J245" s="389"/>
      <c r="K245" s="389"/>
      <c r="L245" s="389"/>
      <c r="M245" s="389"/>
      <c r="N245" s="389"/>
      <c r="O245" s="389"/>
      <c r="P245" s="389"/>
      <c r="Q245" s="389"/>
      <c r="R245" s="337">
        <f t="shared" si="1"/>
        <v>2</v>
      </c>
      <c r="S245" s="390">
        <f t="shared" si="2"/>
        <v>2.6763013515321824E-4</v>
      </c>
      <c r="T245" s="338">
        <f t="shared" si="3"/>
        <v>440</v>
      </c>
      <c r="U245" s="390">
        <f t="shared" si="4"/>
        <v>4.2504274577613772E-4</v>
      </c>
      <c r="V245" s="365"/>
      <c r="W245" s="378"/>
      <c r="X245" s="5"/>
    </row>
    <row r="246" spans="1:25" ht="15.6" x14ac:dyDescent="0.3">
      <c r="A246" s="287"/>
      <c r="B246" s="337" t="s">
        <v>156</v>
      </c>
      <c r="C246" s="389"/>
      <c r="D246" s="389"/>
      <c r="E246" s="389"/>
      <c r="F246" s="288"/>
      <c r="G246" s="390"/>
      <c r="H246" s="389"/>
      <c r="I246" s="389"/>
      <c r="J246" s="389"/>
      <c r="K246" s="389"/>
      <c r="L246" s="389"/>
      <c r="M246" s="389"/>
      <c r="N246" s="389"/>
      <c r="O246" s="389"/>
      <c r="P246" s="389"/>
      <c r="Q246" s="389"/>
      <c r="R246" s="337">
        <f t="shared" si="1"/>
        <v>2</v>
      </c>
      <c r="S246" s="390">
        <f t="shared" si="2"/>
        <v>2.6763013515321824E-4</v>
      </c>
      <c r="T246" s="338">
        <f t="shared" si="3"/>
        <v>160</v>
      </c>
      <c r="U246" s="390">
        <f t="shared" si="4"/>
        <v>1.5456099846405008E-4</v>
      </c>
      <c r="V246" s="365"/>
      <c r="W246" s="378"/>
      <c r="X246" s="5"/>
      <c r="Y246" s="109"/>
    </row>
    <row r="247" spans="1:25" ht="15.6" x14ac:dyDescent="0.3">
      <c r="A247" s="287"/>
      <c r="B247" s="337" t="s">
        <v>157</v>
      </c>
      <c r="C247" s="389"/>
      <c r="D247" s="389"/>
      <c r="E247" s="389"/>
      <c r="F247" s="288"/>
      <c r="G247" s="390"/>
      <c r="H247" s="389"/>
      <c r="I247" s="389"/>
      <c r="J247" s="389"/>
      <c r="K247" s="389"/>
      <c r="L247" s="389"/>
      <c r="M247" s="389"/>
      <c r="N247" s="389"/>
      <c r="O247" s="389"/>
      <c r="P247" s="389"/>
      <c r="Q247" s="389"/>
      <c r="R247" s="337">
        <f t="shared" si="1"/>
        <v>4</v>
      </c>
      <c r="S247" s="390">
        <f t="shared" si="2"/>
        <v>5.3526027030643649E-4</v>
      </c>
      <c r="T247" s="338">
        <f t="shared" si="3"/>
        <v>691</v>
      </c>
      <c r="U247" s="390">
        <f t="shared" si="4"/>
        <v>6.6751031211661625E-4</v>
      </c>
      <c r="V247" s="365"/>
      <c r="W247" s="378"/>
      <c r="X247" s="5"/>
    </row>
    <row r="248" spans="1:25" ht="15.6" x14ac:dyDescent="0.3">
      <c r="A248" s="287"/>
      <c r="B248" s="337" t="s">
        <v>158</v>
      </c>
      <c r="C248" s="389"/>
      <c r="D248" s="389"/>
      <c r="E248" s="389"/>
      <c r="F248" s="288"/>
      <c r="G248" s="390"/>
      <c r="H248" s="389"/>
      <c r="I248" s="389"/>
      <c r="J248" s="389"/>
      <c r="K248" s="389"/>
      <c r="L248" s="389"/>
      <c r="M248" s="389"/>
      <c r="N248" s="389"/>
      <c r="O248" s="389"/>
      <c r="P248" s="389"/>
      <c r="Q248" s="389"/>
      <c r="R248" s="337">
        <f t="shared" si="1"/>
        <v>1</v>
      </c>
      <c r="S248" s="390">
        <f t="shared" si="2"/>
        <v>1.3381506757660912E-4</v>
      </c>
      <c r="T248" s="338">
        <f t="shared" si="3"/>
        <v>171</v>
      </c>
      <c r="U248" s="390">
        <f t="shared" si="4"/>
        <v>1.6518706710845352E-4</v>
      </c>
      <c r="V248" s="365"/>
      <c r="W248" s="378"/>
      <c r="X248" s="5"/>
      <c r="Y248" s="109"/>
    </row>
    <row r="249" spans="1:25" ht="15.6" x14ac:dyDescent="0.3">
      <c r="A249" s="287"/>
      <c r="B249" s="337" t="s">
        <v>159</v>
      </c>
      <c r="C249" s="389"/>
      <c r="D249" s="389"/>
      <c r="E249" s="389"/>
      <c r="F249" s="288"/>
      <c r="G249" s="390"/>
      <c r="H249" s="389"/>
      <c r="I249" s="389"/>
      <c r="J249" s="389"/>
      <c r="K249" s="389"/>
      <c r="L249" s="389"/>
      <c r="M249" s="389"/>
      <c r="N249" s="389"/>
      <c r="O249" s="389"/>
      <c r="P249" s="389"/>
      <c r="Q249" s="389"/>
      <c r="R249" s="337">
        <f t="shared" si="1"/>
        <v>3</v>
      </c>
      <c r="S249" s="390">
        <f t="shared" si="2"/>
        <v>4.0144520272982739E-4</v>
      </c>
      <c r="T249" s="338">
        <f t="shared" si="3"/>
        <v>299</v>
      </c>
      <c r="U249" s="390">
        <f t="shared" si="4"/>
        <v>2.8883586587969356E-4</v>
      </c>
      <c r="V249" s="365"/>
      <c r="W249" s="378"/>
      <c r="X249" s="5"/>
    </row>
    <row r="250" spans="1:25" ht="15.6" x14ac:dyDescent="0.3">
      <c r="A250" s="287"/>
      <c r="B250" s="337" t="s">
        <v>160</v>
      </c>
      <c r="C250" s="389"/>
      <c r="D250" s="389"/>
      <c r="E250" s="389"/>
      <c r="F250" s="288"/>
      <c r="G250" s="390"/>
      <c r="H250" s="389"/>
      <c r="I250" s="389"/>
      <c r="J250" s="389"/>
      <c r="K250" s="389"/>
      <c r="L250" s="389"/>
      <c r="M250" s="389"/>
      <c r="N250" s="389"/>
      <c r="O250" s="389"/>
      <c r="P250" s="389"/>
      <c r="Q250" s="389"/>
      <c r="R250" s="339">
        <f t="shared" si="1"/>
        <v>13</v>
      </c>
      <c r="S250" s="393">
        <f t="shared" si="2"/>
        <v>1.7395958784959186E-3</v>
      </c>
      <c r="T250" s="394">
        <f t="shared" si="3"/>
        <v>1954</v>
      </c>
      <c r="U250" s="393">
        <f t="shared" si="4"/>
        <v>1.8875761937422115E-3</v>
      </c>
      <c r="V250" s="365"/>
      <c r="W250" s="378"/>
      <c r="X250" s="5"/>
      <c r="Y250" s="109"/>
    </row>
    <row r="251" spans="1:25" ht="15.6" x14ac:dyDescent="0.3">
      <c r="A251" s="287"/>
      <c r="B251" s="337"/>
      <c r="C251" s="389"/>
      <c r="D251" s="389"/>
      <c r="E251" s="389"/>
      <c r="F251" s="288"/>
      <c r="G251" s="390"/>
      <c r="H251" s="389"/>
      <c r="I251" s="389"/>
      <c r="J251" s="389"/>
      <c r="K251" s="389"/>
      <c r="L251" s="389"/>
      <c r="M251" s="389"/>
      <c r="N251" s="389"/>
      <c r="O251" s="389"/>
      <c r="P251" s="389"/>
      <c r="Q251" s="389"/>
      <c r="R251" s="337"/>
      <c r="S251" s="390"/>
      <c r="T251" s="338"/>
      <c r="U251" s="390"/>
      <c r="V251" s="365"/>
      <c r="W251" s="378"/>
      <c r="X251" s="5"/>
    </row>
    <row r="252" spans="1:25" ht="15.6" x14ac:dyDescent="0.3">
      <c r="A252" s="287"/>
      <c r="B252" s="288"/>
      <c r="C252" s="288"/>
      <c r="D252" s="288"/>
      <c r="E252" s="288"/>
      <c r="F252" s="288"/>
      <c r="G252" s="288"/>
      <c r="H252" s="391"/>
      <c r="I252" s="391"/>
      <c r="J252" s="391"/>
      <c r="K252" s="391"/>
      <c r="L252" s="391"/>
      <c r="M252" s="391"/>
      <c r="N252" s="391"/>
      <c r="O252" s="391"/>
      <c r="P252" s="391"/>
      <c r="Q252" s="391"/>
      <c r="R252" s="337">
        <f>SUM(R243:R251)</f>
        <v>7473</v>
      </c>
      <c r="S252" s="390">
        <f>SUM(S243:S251)</f>
        <v>1</v>
      </c>
      <c r="T252" s="338">
        <f>SUM(T243:T251)</f>
        <v>1035190</v>
      </c>
      <c r="U252" s="390">
        <f>SUM(U243:U251)</f>
        <v>1</v>
      </c>
      <c r="V252" s="288"/>
      <c r="W252" s="291"/>
      <c r="X252" s="5"/>
    </row>
    <row r="253" spans="1:25" ht="15.6" x14ac:dyDescent="0.3">
      <c r="A253" s="183"/>
      <c r="B253" s="198"/>
      <c r="C253" s="198"/>
      <c r="D253" s="198"/>
      <c r="E253" s="198"/>
      <c r="F253" s="198"/>
      <c r="G253" s="198"/>
      <c r="H253" s="386"/>
      <c r="I253" s="386"/>
      <c r="J253" s="386"/>
      <c r="K253" s="386"/>
      <c r="L253" s="386"/>
      <c r="M253" s="386"/>
      <c r="N253" s="386"/>
      <c r="O253" s="386"/>
      <c r="P253" s="386"/>
      <c r="Q253" s="386"/>
      <c r="R253" s="335"/>
      <c r="S253" s="387"/>
      <c r="T253" s="388"/>
      <c r="U253" s="387"/>
      <c r="V253" s="198"/>
      <c r="W253" s="198"/>
      <c r="X253" s="5"/>
    </row>
    <row r="254" spans="1:25" ht="15.6" x14ac:dyDescent="0.3">
      <c r="A254" s="262"/>
      <c r="B254" s="399" t="s">
        <v>162</v>
      </c>
      <c r="C254" s="400"/>
      <c r="D254" s="400"/>
      <c r="E254" s="400"/>
      <c r="F254" s="406"/>
      <c r="G254" s="400"/>
      <c r="H254" s="400"/>
      <c r="I254" s="400"/>
      <c r="J254" s="400"/>
      <c r="K254" s="400"/>
      <c r="L254" s="400"/>
      <c r="M254" s="400"/>
      <c r="N254" s="400"/>
      <c r="O254" s="400"/>
      <c r="P254" s="400"/>
      <c r="Q254" s="400"/>
      <c r="R254" s="406" t="s">
        <v>102</v>
      </c>
      <c r="S254" s="400" t="s">
        <v>103</v>
      </c>
      <c r="T254" s="406" t="s">
        <v>109</v>
      </c>
      <c r="U254" s="400" t="s">
        <v>103</v>
      </c>
      <c r="V254" s="263"/>
      <c r="W254" s="399"/>
      <c r="X254" s="5"/>
    </row>
    <row r="255" spans="1:25" ht="15.6" x14ac:dyDescent="0.3">
      <c r="A255" s="197"/>
      <c r="B255" s="234" t="s">
        <v>88</v>
      </c>
      <c r="C255" s="253"/>
      <c r="D255" s="253"/>
      <c r="E255" s="253"/>
      <c r="F255" s="231"/>
      <c r="G255" s="253"/>
      <c r="H255" s="253"/>
      <c r="I255" s="253"/>
      <c r="J255" s="253"/>
      <c r="K255" s="253"/>
      <c r="L255" s="253"/>
      <c r="M255" s="253"/>
      <c r="N255" s="253"/>
      <c r="O255" s="253"/>
      <c r="P255" s="253"/>
      <c r="Q255" s="253"/>
      <c r="R255" s="234">
        <v>7318</v>
      </c>
      <c r="S255" s="254">
        <f t="shared" ref="S255:S262" si="5">R255/$R$264</f>
        <v>0.99877166643919746</v>
      </c>
      <c r="T255" s="241">
        <v>1012608</v>
      </c>
      <c r="U255" s="254">
        <f t="shared" ref="U255:U262" si="6">T255/$T$264</f>
        <v>0.99850905218317354</v>
      </c>
      <c r="V255" s="250"/>
      <c r="W255" s="232"/>
      <c r="X255" s="5"/>
    </row>
    <row r="256" spans="1:25" ht="15.6" x14ac:dyDescent="0.3">
      <c r="A256" s="287"/>
      <c r="B256" s="337" t="s">
        <v>89</v>
      </c>
      <c r="C256" s="389"/>
      <c r="D256" s="389"/>
      <c r="E256" s="389"/>
      <c r="F256" s="288"/>
      <c r="G256" s="390"/>
      <c r="H256" s="389"/>
      <c r="I256" s="389"/>
      <c r="J256" s="389"/>
      <c r="K256" s="389"/>
      <c r="L256" s="389"/>
      <c r="M256" s="389"/>
      <c r="N256" s="389"/>
      <c r="O256" s="389"/>
      <c r="P256" s="389"/>
      <c r="Q256" s="389"/>
      <c r="R256" s="337">
        <v>4</v>
      </c>
      <c r="S256" s="390">
        <f t="shared" si="5"/>
        <v>5.4592602702333839E-4</v>
      </c>
      <c r="T256" s="338">
        <v>758</v>
      </c>
      <c r="U256" s="390">
        <f t="shared" si="6"/>
        <v>7.4744606161006582E-4</v>
      </c>
      <c r="V256" s="365"/>
      <c r="W256" s="378"/>
      <c r="X256" s="5"/>
      <c r="Y256" s="109"/>
    </row>
    <row r="257" spans="1:25" ht="15.6" x14ac:dyDescent="0.3">
      <c r="A257" s="287"/>
      <c r="B257" s="337" t="s">
        <v>90</v>
      </c>
      <c r="C257" s="389"/>
      <c r="D257" s="389"/>
      <c r="E257" s="389"/>
      <c r="F257" s="288"/>
      <c r="G257" s="390"/>
      <c r="H257" s="389"/>
      <c r="I257" s="389"/>
      <c r="J257" s="389"/>
      <c r="K257" s="389"/>
      <c r="L257" s="389"/>
      <c r="M257" s="389"/>
      <c r="N257" s="389"/>
      <c r="O257" s="389"/>
      <c r="P257" s="389"/>
      <c r="Q257" s="389"/>
      <c r="R257" s="337">
        <v>2</v>
      </c>
      <c r="S257" s="390">
        <f t="shared" si="5"/>
        <v>2.729630135116692E-4</v>
      </c>
      <c r="T257" s="338">
        <v>440</v>
      </c>
      <c r="U257" s="390">
        <f t="shared" si="6"/>
        <v>4.3387370330927305E-4</v>
      </c>
      <c r="V257" s="365"/>
      <c r="W257" s="378"/>
      <c r="X257" s="5"/>
    </row>
    <row r="258" spans="1:25" ht="15.6" x14ac:dyDescent="0.3">
      <c r="A258" s="287"/>
      <c r="B258" s="337" t="s">
        <v>156</v>
      </c>
      <c r="C258" s="389"/>
      <c r="D258" s="389"/>
      <c r="E258" s="389"/>
      <c r="F258" s="288"/>
      <c r="G258" s="390"/>
      <c r="H258" s="389"/>
      <c r="I258" s="389"/>
      <c r="J258" s="389"/>
      <c r="K258" s="389"/>
      <c r="L258" s="389"/>
      <c r="M258" s="389"/>
      <c r="N258" s="389"/>
      <c r="O258" s="389"/>
      <c r="P258" s="389"/>
      <c r="Q258" s="389"/>
      <c r="R258" s="337">
        <v>1</v>
      </c>
      <c r="S258" s="390">
        <f t="shared" si="5"/>
        <v>1.364815067558346E-4</v>
      </c>
      <c r="T258" s="338">
        <v>91</v>
      </c>
      <c r="U258" s="390">
        <f t="shared" si="6"/>
        <v>8.9732970457145106E-5</v>
      </c>
      <c r="V258" s="365"/>
      <c r="W258" s="378"/>
      <c r="X258" s="5"/>
      <c r="Y258" s="109"/>
    </row>
    <row r="259" spans="1:25" ht="15.6" x14ac:dyDescent="0.3">
      <c r="A259" s="287"/>
      <c r="B259" s="337" t="s">
        <v>157</v>
      </c>
      <c r="C259" s="389"/>
      <c r="D259" s="389"/>
      <c r="E259" s="389"/>
      <c r="F259" s="288"/>
      <c r="G259" s="390"/>
      <c r="H259" s="389"/>
      <c r="I259" s="389"/>
      <c r="J259" s="389"/>
      <c r="K259" s="389"/>
      <c r="L259" s="389"/>
      <c r="M259" s="389"/>
      <c r="N259" s="389"/>
      <c r="O259" s="389"/>
      <c r="P259" s="389"/>
      <c r="Q259" s="389"/>
      <c r="R259" s="337">
        <v>0</v>
      </c>
      <c r="S259" s="390">
        <f t="shared" si="5"/>
        <v>0</v>
      </c>
      <c r="T259" s="338">
        <v>0</v>
      </c>
      <c r="U259" s="390">
        <f t="shared" si="6"/>
        <v>0</v>
      </c>
      <c r="V259" s="365"/>
      <c r="W259" s="378"/>
      <c r="X259" s="5"/>
    </row>
    <row r="260" spans="1:25" ht="15.6" x14ac:dyDescent="0.3">
      <c r="A260" s="287"/>
      <c r="B260" s="337" t="s">
        <v>158</v>
      </c>
      <c r="C260" s="389"/>
      <c r="D260" s="389"/>
      <c r="E260" s="389"/>
      <c r="F260" s="288"/>
      <c r="G260" s="390"/>
      <c r="H260" s="389"/>
      <c r="I260" s="389"/>
      <c r="J260" s="389"/>
      <c r="K260" s="389"/>
      <c r="L260" s="389"/>
      <c r="M260" s="389"/>
      <c r="N260" s="389"/>
      <c r="O260" s="389"/>
      <c r="P260" s="389"/>
      <c r="Q260" s="389"/>
      <c r="R260" s="337">
        <v>1</v>
      </c>
      <c r="S260" s="390">
        <f t="shared" si="5"/>
        <v>1.364815067558346E-4</v>
      </c>
      <c r="T260" s="338">
        <v>171</v>
      </c>
      <c r="U260" s="390">
        <f t="shared" si="6"/>
        <v>1.686190983315584E-4</v>
      </c>
      <c r="V260" s="365"/>
      <c r="W260" s="378"/>
      <c r="X260" s="5"/>
      <c r="Y260" s="109"/>
    </row>
    <row r="261" spans="1:25" ht="15.6" x14ac:dyDescent="0.3">
      <c r="A261" s="287"/>
      <c r="B261" s="337" t="s">
        <v>159</v>
      </c>
      <c r="C261" s="389"/>
      <c r="D261" s="389"/>
      <c r="E261" s="389"/>
      <c r="F261" s="288"/>
      <c r="G261" s="390"/>
      <c r="H261" s="389"/>
      <c r="I261" s="389"/>
      <c r="J261" s="389"/>
      <c r="K261" s="389"/>
      <c r="L261" s="389"/>
      <c r="M261" s="389"/>
      <c r="N261" s="389"/>
      <c r="O261" s="389"/>
      <c r="P261" s="389"/>
      <c r="Q261" s="389"/>
      <c r="R261" s="337">
        <v>1</v>
      </c>
      <c r="S261" s="390">
        <f t="shared" si="5"/>
        <v>1.364815067558346E-4</v>
      </c>
      <c r="T261" s="338">
        <v>52</v>
      </c>
      <c r="U261" s="390">
        <f t="shared" si="6"/>
        <v>5.1275983118368635E-5</v>
      </c>
      <c r="V261" s="365"/>
      <c r="W261" s="378"/>
      <c r="X261" s="5"/>
    </row>
    <row r="262" spans="1:25" ht="15.6" x14ac:dyDescent="0.3">
      <c r="A262" s="287"/>
      <c r="B262" s="337" t="s">
        <v>160</v>
      </c>
      <c r="C262" s="389"/>
      <c r="D262" s="389"/>
      <c r="E262" s="389"/>
      <c r="F262" s="288"/>
      <c r="G262" s="390"/>
      <c r="H262" s="389"/>
      <c r="I262" s="389"/>
      <c r="J262" s="389"/>
      <c r="K262" s="389"/>
      <c r="L262" s="389"/>
      <c r="M262" s="389"/>
      <c r="N262" s="389"/>
      <c r="O262" s="389"/>
      <c r="P262" s="389"/>
      <c r="Q262" s="389"/>
      <c r="R262" s="337">
        <v>0</v>
      </c>
      <c r="S262" s="390">
        <f t="shared" si="5"/>
        <v>0</v>
      </c>
      <c r="T262" s="338">
        <v>0</v>
      </c>
      <c r="U262" s="390">
        <f t="shared" si="6"/>
        <v>0</v>
      </c>
      <c r="V262" s="365"/>
      <c r="W262" s="378"/>
      <c r="X262" s="5"/>
      <c r="Y262" s="109"/>
    </row>
    <row r="263" spans="1:25" ht="15.6" x14ac:dyDescent="0.3">
      <c r="A263" s="287"/>
      <c r="B263" s="337"/>
      <c r="C263" s="389"/>
      <c r="D263" s="389"/>
      <c r="E263" s="389"/>
      <c r="F263" s="288"/>
      <c r="G263" s="390"/>
      <c r="H263" s="389"/>
      <c r="I263" s="389"/>
      <c r="J263" s="389"/>
      <c r="K263" s="389"/>
      <c r="L263" s="389"/>
      <c r="M263" s="389"/>
      <c r="N263" s="389"/>
      <c r="O263" s="389"/>
      <c r="P263" s="389"/>
      <c r="Q263" s="389"/>
      <c r="R263" s="337"/>
      <c r="S263" s="390"/>
      <c r="T263" s="338"/>
      <c r="U263" s="390"/>
      <c r="V263" s="365"/>
      <c r="W263" s="378"/>
      <c r="X263" s="5"/>
    </row>
    <row r="264" spans="1:25" ht="15.6" x14ac:dyDescent="0.3">
      <c r="A264" s="287"/>
      <c r="B264" s="288"/>
      <c r="C264" s="288"/>
      <c r="D264" s="288"/>
      <c r="E264" s="288"/>
      <c r="F264" s="288"/>
      <c r="G264" s="288"/>
      <c r="H264" s="391"/>
      <c r="I264" s="391"/>
      <c r="J264" s="391"/>
      <c r="K264" s="391"/>
      <c r="L264" s="391"/>
      <c r="M264" s="391"/>
      <c r="N264" s="391"/>
      <c r="O264" s="391"/>
      <c r="P264" s="391"/>
      <c r="Q264" s="391"/>
      <c r="R264" s="337">
        <f>SUM(R255:R263)</f>
        <v>7327</v>
      </c>
      <c r="S264" s="390">
        <f>SUM(S255:S263)</f>
        <v>0.99999999999999989</v>
      </c>
      <c r="T264" s="338">
        <f>SUM(T255:T263)</f>
        <v>1014120</v>
      </c>
      <c r="U264" s="390">
        <f>SUM(U255:U263)</f>
        <v>0.99999999999999989</v>
      </c>
      <c r="V264" s="288"/>
      <c r="W264" s="291"/>
      <c r="X264" s="5"/>
    </row>
    <row r="265" spans="1:25" ht="15.6" x14ac:dyDescent="0.3">
      <c r="A265" s="183"/>
      <c r="B265" s="198"/>
      <c r="C265" s="198"/>
      <c r="D265" s="198"/>
      <c r="E265" s="198"/>
      <c r="F265" s="198"/>
      <c r="G265" s="198"/>
      <c r="H265" s="386"/>
      <c r="I265" s="386"/>
      <c r="J265" s="386"/>
      <c r="K265" s="386"/>
      <c r="L265" s="386"/>
      <c r="M265" s="386"/>
      <c r="N265" s="386"/>
      <c r="O265" s="386"/>
      <c r="P265" s="386"/>
      <c r="Q265" s="386"/>
      <c r="R265" s="335"/>
      <c r="S265" s="387"/>
      <c r="T265" s="388"/>
      <c r="U265" s="387"/>
      <c r="V265" s="198"/>
      <c r="W265" s="198"/>
      <c r="X265" s="5"/>
    </row>
    <row r="266" spans="1:25" ht="15.6" x14ac:dyDescent="0.3">
      <c r="A266" s="280"/>
      <c r="B266" s="399" t="s">
        <v>275</v>
      </c>
      <c r="C266" s="400"/>
      <c r="D266" s="400"/>
      <c r="E266" s="400"/>
      <c r="F266" s="406"/>
      <c r="G266" s="400"/>
      <c r="H266" s="400"/>
      <c r="I266" s="400"/>
      <c r="J266" s="400"/>
      <c r="K266" s="400"/>
      <c r="L266" s="400"/>
      <c r="M266" s="400"/>
      <c r="N266" s="400"/>
      <c r="O266" s="400"/>
      <c r="P266" s="400"/>
      <c r="Q266" s="400"/>
      <c r="R266" s="406" t="s">
        <v>102</v>
      </c>
      <c r="S266" s="400" t="s">
        <v>103</v>
      </c>
      <c r="T266" s="406" t="s">
        <v>109</v>
      </c>
      <c r="U266" s="400" t="s">
        <v>103</v>
      </c>
      <c r="V266" s="281"/>
      <c r="W266" s="282"/>
      <c r="X266" s="5"/>
    </row>
    <row r="267" spans="1:25" ht="15.6" x14ac:dyDescent="0.3">
      <c r="A267" s="197"/>
      <c r="B267" s="234" t="s">
        <v>88</v>
      </c>
      <c r="C267" s="253"/>
      <c r="D267" s="253"/>
      <c r="E267" s="253"/>
      <c r="F267" s="231"/>
      <c r="G267" s="253"/>
      <c r="H267" s="253"/>
      <c r="I267" s="253"/>
      <c r="J267" s="253"/>
      <c r="K267" s="253"/>
      <c r="L267" s="253"/>
      <c r="M267" s="253"/>
      <c r="N267" s="253"/>
      <c r="O267" s="253"/>
      <c r="P267" s="253"/>
      <c r="Q267" s="253"/>
      <c r="R267" s="234">
        <v>125</v>
      </c>
      <c r="S267" s="254">
        <f t="shared" ref="S267:S274" si="7">R267/$R$276</f>
        <v>0.86805555555555558</v>
      </c>
      <c r="T267" s="241">
        <v>18014</v>
      </c>
      <c r="U267" s="254">
        <f t="shared" ref="U267:U274" si="8">T267/$T$276</f>
        <v>0.8629047710289327</v>
      </c>
      <c r="V267" s="231"/>
      <c r="W267" s="231"/>
      <c r="X267" s="5"/>
    </row>
    <row r="268" spans="1:25" ht="15.6" x14ac:dyDescent="0.3">
      <c r="A268" s="287"/>
      <c r="B268" s="337" t="s">
        <v>89</v>
      </c>
      <c r="C268" s="389"/>
      <c r="D268" s="389"/>
      <c r="E268" s="389"/>
      <c r="F268" s="288"/>
      <c r="G268" s="390"/>
      <c r="H268" s="389"/>
      <c r="I268" s="389"/>
      <c r="J268" s="389"/>
      <c r="K268" s="389"/>
      <c r="L268" s="389"/>
      <c r="M268" s="389"/>
      <c r="N268" s="389"/>
      <c r="O268" s="389"/>
      <c r="P268" s="389"/>
      <c r="Q268" s="389"/>
      <c r="R268" s="337">
        <v>1</v>
      </c>
      <c r="S268" s="390">
        <f t="shared" si="7"/>
        <v>6.9444444444444441E-3</v>
      </c>
      <c r="T268" s="338">
        <v>95</v>
      </c>
      <c r="U268" s="390">
        <f t="shared" si="8"/>
        <v>4.5506802069361944E-3</v>
      </c>
      <c r="V268" s="288"/>
      <c r="W268" s="291"/>
      <c r="X268" s="5"/>
    </row>
    <row r="269" spans="1:25" ht="15.6" x14ac:dyDescent="0.3">
      <c r="A269" s="287"/>
      <c r="B269" s="337" t="s">
        <v>90</v>
      </c>
      <c r="C269" s="389"/>
      <c r="D269" s="389"/>
      <c r="E269" s="389"/>
      <c r="F269" s="288"/>
      <c r="G269" s="390"/>
      <c r="H269" s="389"/>
      <c r="I269" s="389"/>
      <c r="J269" s="389"/>
      <c r="K269" s="389"/>
      <c r="L269" s="389"/>
      <c r="M269" s="389"/>
      <c r="N269" s="389"/>
      <c r="O269" s="389"/>
      <c r="P269" s="389"/>
      <c r="Q269" s="389"/>
      <c r="R269" s="337">
        <v>0</v>
      </c>
      <c r="S269" s="390">
        <f t="shared" si="7"/>
        <v>0</v>
      </c>
      <c r="T269" s="338">
        <v>0</v>
      </c>
      <c r="U269" s="390">
        <f t="shared" si="8"/>
        <v>0</v>
      </c>
      <c r="V269" s="288"/>
      <c r="W269" s="291"/>
      <c r="X269" s="5"/>
    </row>
    <row r="270" spans="1:25" ht="15.6" x14ac:dyDescent="0.3">
      <c r="A270" s="287"/>
      <c r="B270" s="337" t="s">
        <v>156</v>
      </c>
      <c r="C270" s="389"/>
      <c r="D270" s="389"/>
      <c r="E270" s="389"/>
      <c r="F270" s="288"/>
      <c r="G270" s="390"/>
      <c r="H270" s="389"/>
      <c r="I270" s="389"/>
      <c r="J270" s="389"/>
      <c r="K270" s="389"/>
      <c r="L270" s="389"/>
      <c r="M270" s="389"/>
      <c r="N270" s="389"/>
      <c r="O270" s="389"/>
      <c r="P270" s="389"/>
      <c r="Q270" s="389"/>
      <c r="R270" s="337">
        <v>1</v>
      </c>
      <c r="S270" s="390">
        <f t="shared" si="7"/>
        <v>6.9444444444444441E-3</v>
      </c>
      <c r="T270" s="338">
        <v>69</v>
      </c>
      <c r="U270" s="390">
        <f t="shared" si="8"/>
        <v>3.3052308871431308E-3</v>
      </c>
      <c r="V270" s="288"/>
      <c r="W270" s="291"/>
      <c r="X270" s="5"/>
    </row>
    <row r="271" spans="1:25" ht="15.6" x14ac:dyDescent="0.3">
      <c r="A271" s="287"/>
      <c r="B271" s="337" t="s">
        <v>157</v>
      </c>
      <c r="C271" s="389"/>
      <c r="D271" s="389"/>
      <c r="E271" s="389"/>
      <c r="F271" s="288"/>
      <c r="G271" s="390"/>
      <c r="H271" s="389"/>
      <c r="I271" s="389"/>
      <c r="J271" s="389"/>
      <c r="K271" s="389"/>
      <c r="L271" s="389"/>
      <c r="M271" s="389"/>
      <c r="N271" s="389"/>
      <c r="O271" s="389"/>
      <c r="P271" s="389"/>
      <c r="Q271" s="389"/>
      <c r="R271" s="337">
        <v>4</v>
      </c>
      <c r="S271" s="390">
        <f t="shared" si="7"/>
        <v>2.7777777777777776E-2</v>
      </c>
      <c r="T271" s="338">
        <v>691</v>
      </c>
      <c r="U271" s="390">
        <f t="shared" si="8"/>
        <v>3.3100210768346426E-2</v>
      </c>
      <c r="V271" s="288"/>
      <c r="W271" s="291"/>
      <c r="X271" s="5"/>
    </row>
    <row r="272" spans="1:25" ht="15.6" x14ac:dyDescent="0.3">
      <c r="A272" s="287"/>
      <c r="B272" s="337" t="s">
        <v>158</v>
      </c>
      <c r="C272" s="389"/>
      <c r="D272" s="389"/>
      <c r="E272" s="389"/>
      <c r="F272" s="288"/>
      <c r="G272" s="390"/>
      <c r="H272" s="389"/>
      <c r="I272" s="389"/>
      <c r="J272" s="389"/>
      <c r="K272" s="389"/>
      <c r="L272" s="389"/>
      <c r="M272" s="389"/>
      <c r="N272" s="389"/>
      <c r="O272" s="389"/>
      <c r="P272" s="389"/>
      <c r="Q272" s="389"/>
      <c r="R272" s="337">
        <v>0</v>
      </c>
      <c r="S272" s="390">
        <f t="shared" si="7"/>
        <v>0</v>
      </c>
      <c r="T272" s="338">
        <v>0</v>
      </c>
      <c r="U272" s="390">
        <f t="shared" si="8"/>
        <v>0</v>
      </c>
      <c r="V272" s="288"/>
      <c r="W272" s="291"/>
      <c r="X272" s="5"/>
    </row>
    <row r="273" spans="1:24" ht="15.6" x14ac:dyDescent="0.3">
      <c r="A273" s="287"/>
      <c r="B273" s="337" t="s">
        <v>159</v>
      </c>
      <c r="C273" s="389"/>
      <c r="D273" s="389"/>
      <c r="E273" s="389"/>
      <c r="F273" s="288"/>
      <c r="G273" s="390"/>
      <c r="H273" s="389"/>
      <c r="I273" s="389"/>
      <c r="J273" s="389"/>
      <c r="K273" s="389"/>
      <c r="L273" s="389"/>
      <c r="M273" s="389"/>
      <c r="N273" s="389"/>
      <c r="O273" s="389"/>
      <c r="P273" s="389"/>
      <c r="Q273" s="389"/>
      <c r="R273" s="337">
        <v>1</v>
      </c>
      <c r="S273" s="390">
        <f t="shared" si="7"/>
        <v>6.9444444444444441E-3</v>
      </c>
      <c r="T273" s="338">
        <v>195</v>
      </c>
      <c r="U273" s="390">
        <f t="shared" si="8"/>
        <v>9.3408698984479791E-3</v>
      </c>
      <c r="V273" s="288"/>
      <c r="W273" s="291"/>
      <c r="X273" s="5"/>
    </row>
    <row r="274" spans="1:24" ht="15.6" x14ac:dyDescent="0.3">
      <c r="A274" s="287"/>
      <c r="B274" s="337" t="s">
        <v>160</v>
      </c>
      <c r="C274" s="389"/>
      <c r="D274" s="389"/>
      <c r="E274" s="389"/>
      <c r="F274" s="288"/>
      <c r="G274" s="390"/>
      <c r="H274" s="389"/>
      <c r="I274" s="389"/>
      <c r="J274" s="389"/>
      <c r="K274" s="389"/>
      <c r="L274" s="389"/>
      <c r="M274" s="389"/>
      <c r="N274" s="389"/>
      <c r="O274" s="389"/>
      <c r="P274" s="389"/>
      <c r="Q274" s="389"/>
      <c r="R274" s="337">
        <v>12</v>
      </c>
      <c r="S274" s="390">
        <f t="shared" si="7"/>
        <v>8.3333333333333329E-2</v>
      </c>
      <c r="T274" s="338">
        <v>1812</v>
      </c>
      <c r="U274" s="390">
        <f t="shared" si="8"/>
        <v>8.679823721019353E-2</v>
      </c>
      <c r="V274" s="288"/>
      <c r="W274" s="291"/>
      <c r="X274" s="5"/>
    </row>
    <row r="275" spans="1:24" ht="15.6" x14ac:dyDescent="0.3">
      <c r="A275" s="287"/>
      <c r="B275" s="337"/>
      <c r="C275" s="389"/>
      <c r="D275" s="389"/>
      <c r="E275" s="389"/>
      <c r="F275" s="288"/>
      <c r="G275" s="390"/>
      <c r="H275" s="389"/>
      <c r="I275" s="389"/>
      <c r="J275" s="389"/>
      <c r="K275" s="389"/>
      <c r="L275" s="389"/>
      <c r="M275" s="389"/>
      <c r="N275" s="389"/>
      <c r="O275" s="389"/>
      <c r="P275" s="389"/>
      <c r="Q275" s="389"/>
      <c r="R275" s="337"/>
      <c r="S275" s="390"/>
      <c r="T275" s="338"/>
      <c r="U275" s="390"/>
      <c r="V275" s="288"/>
      <c r="W275" s="291"/>
      <c r="X275" s="5"/>
    </row>
    <row r="276" spans="1:24" ht="15.6" x14ac:dyDescent="0.3">
      <c r="A276" s="287"/>
      <c r="B276" s="288"/>
      <c r="C276" s="288"/>
      <c r="D276" s="288"/>
      <c r="E276" s="288"/>
      <c r="F276" s="288"/>
      <c r="G276" s="288"/>
      <c r="H276" s="391"/>
      <c r="I276" s="391"/>
      <c r="J276" s="391"/>
      <c r="K276" s="391"/>
      <c r="L276" s="391"/>
      <c r="M276" s="391"/>
      <c r="N276" s="391"/>
      <c r="O276" s="391"/>
      <c r="P276" s="391"/>
      <c r="Q276" s="391"/>
      <c r="R276" s="337">
        <f>SUM(R267:R275)</f>
        <v>144</v>
      </c>
      <c r="S276" s="390">
        <f>SUM(S267:S275)</f>
        <v>1</v>
      </c>
      <c r="T276" s="338">
        <f>SUM(T267:T275)</f>
        <v>20876</v>
      </c>
      <c r="U276" s="390">
        <f>SUM(U267:U275)</f>
        <v>1</v>
      </c>
      <c r="V276" s="288"/>
      <c r="W276" s="291"/>
      <c r="X276" s="5"/>
    </row>
    <row r="277" spans="1:24" ht="15.6" x14ac:dyDescent="0.3">
      <c r="A277" s="183"/>
      <c r="B277" s="284"/>
      <c r="C277" s="284"/>
      <c r="D277" s="284"/>
      <c r="E277" s="284"/>
      <c r="F277" s="284"/>
      <c r="G277" s="284"/>
      <c r="H277" s="392"/>
      <c r="I277" s="392"/>
      <c r="J277" s="392"/>
      <c r="K277" s="392"/>
      <c r="L277" s="392"/>
      <c r="M277" s="392"/>
      <c r="N277" s="392"/>
      <c r="O277" s="392"/>
      <c r="P277" s="392"/>
      <c r="Q277" s="392"/>
      <c r="R277" s="339"/>
      <c r="S277" s="393"/>
      <c r="T277" s="394"/>
      <c r="U277" s="393"/>
      <c r="V277" s="284"/>
      <c r="W277" s="284"/>
      <c r="X277" s="5"/>
    </row>
    <row r="278" spans="1:24" ht="15.6" x14ac:dyDescent="0.3">
      <c r="A278" s="280"/>
      <c r="B278" s="399" t="s">
        <v>163</v>
      </c>
      <c r="C278" s="281"/>
      <c r="D278" s="281"/>
      <c r="E278" s="281"/>
      <c r="F278" s="281"/>
      <c r="G278" s="281"/>
      <c r="H278" s="283"/>
      <c r="I278" s="283"/>
      <c r="J278" s="283"/>
      <c r="K278" s="283"/>
      <c r="L278" s="283"/>
      <c r="M278" s="283"/>
      <c r="N278" s="283"/>
      <c r="O278" s="283"/>
      <c r="P278" s="283"/>
      <c r="Q278" s="283"/>
      <c r="R278" s="406" t="s">
        <v>102</v>
      </c>
      <c r="S278" s="400" t="s">
        <v>103</v>
      </c>
      <c r="T278" s="406" t="s">
        <v>109</v>
      </c>
      <c r="U278" s="400" t="s">
        <v>103</v>
      </c>
      <c r="V278" s="281"/>
      <c r="W278" s="282"/>
      <c r="X278" s="5"/>
    </row>
    <row r="279" spans="1:24" ht="15.6" x14ac:dyDescent="0.3">
      <c r="A279" s="197"/>
      <c r="B279" s="234" t="s">
        <v>88</v>
      </c>
      <c r="C279" s="231"/>
      <c r="D279" s="231"/>
      <c r="E279" s="231"/>
      <c r="F279" s="231"/>
      <c r="G279" s="231"/>
      <c r="H279" s="255"/>
      <c r="I279" s="255"/>
      <c r="J279" s="255"/>
      <c r="K279" s="255"/>
      <c r="L279" s="255"/>
      <c r="M279" s="255"/>
      <c r="N279" s="255"/>
      <c r="O279" s="255"/>
      <c r="P279" s="255"/>
      <c r="Q279" s="255"/>
      <c r="R279" s="234">
        <v>0</v>
      </c>
      <c r="S279" s="254">
        <v>0</v>
      </c>
      <c r="T279" s="241">
        <v>0</v>
      </c>
      <c r="U279" s="254">
        <v>0</v>
      </c>
      <c r="V279" s="231"/>
      <c r="W279" s="231"/>
      <c r="X279" s="5"/>
    </row>
    <row r="280" spans="1:24" ht="15.6" x14ac:dyDescent="0.3">
      <c r="A280" s="287"/>
      <c r="B280" s="337" t="s">
        <v>89</v>
      </c>
      <c r="C280" s="288"/>
      <c r="D280" s="288"/>
      <c r="E280" s="288"/>
      <c r="F280" s="288"/>
      <c r="G280" s="288"/>
      <c r="H280" s="391"/>
      <c r="I280" s="391"/>
      <c r="J280" s="391"/>
      <c r="K280" s="391"/>
      <c r="L280" s="391"/>
      <c r="M280" s="391"/>
      <c r="N280" s="391"/>
      <c r="O280" s="391"/>
      <c r="P280" s="391"/>
      <c r="Q280" s="391"/>
      <c r="R280" s="337">
        <v>0</v>
      </c>
      <c r="S280" s="390">
        <v>0</v>
      </c>
      <c r="T280" s="338">
        <v>0</v>
      </c>
      <c r="U280" s="390">
        <v>0</v>
      </c>
      <c r="V280" s="288"/>
      <c r="W280" s="291"/>
      <c r="X280" s="5"/>
    </row>
    <row r="281" spans="1:24" ht="15.6" x14ac:dyDescent="0.3">
      <c r="A281" s="287"/>
      <c r="B281" s="337" t="s">
        <v>90</v>
      </c>
      <c r="C281" s="288"/>
      <c r="D281" s="288"/>
      <c r="E281" s="288"/>
      <c r="F281" s="288"/>
      <c r="G281" s="288"/>
      <c r="H281" s="391"/>
      <c r="I281" s="391"/>
      <c r="J281" s="391"/>
      <c r="K281" s="391"/>
      <c r="L281" s="391"/>
      <c r="M281" s="391"/>
      <c r="N281" s="391"/>
      <c r="O281" s="391"/>
      <c r="P281" s="391"/>
      <c r="Q281" s="391"/>
      <c r="R281" s="337">
        <v>0</v>
      </c>
      <c r="S281" s="390">
        <v>0</v>
      </c>
      <c r="T281" s="338">
        <v>0</v>
      </c>
      <c r="U281" s="390">
        <v>0</v>
      </c>
      <c r="V281" s="288"/>
      <c r="W281" s="291"/>
      <c r="X281" s="5"/>
    </row>
    <row r="282" spans="1:24" ht="15.6" x14ac:dyDescent="0.3">
      <c r="A282" s="287"/>
      <c r="B282" s="337" t="s">
        <v>156</v>
      </c>
      <c r="C282" s="288"/>
      <c r="D282" s="288"/>
      <c r="E282" s="288"/>
      <c r="F282" s="288"/>
      <c r="G282" s="288"/>
      <c r="H282" s="391"/>
      <c r="I282" s="391"/>
      <c r="J282" s="391"/>
      <c r="K282" s="391"/>
      <c r="L282" s="391"/>
      <c r="M282" s="391"/>
      <c r="N282" s="391"/>
      <c r="O282" s="391"/>
      <c r="P282" s="391"/>
      <c r="Q282" s="391"/>
      <c r="R282" s="337">
        <v>0</v>
      </c>
      <c r="S282" s="390">
        <f>R282/R288</f>
        <v>0</v>
      </c>
      <c r="T282" s="338">
        <v>0</v>
      </c>
      <c r="U282" s="390">
        <f>T282/T288</f>
        <v>0</v>
      </c>
      <c r="V282" s="288"/>
      <c r="W282" s="291"/>
      <c r="X282" s="5"/>
    </row>
    <row r="283" spans="1:24" ht="15.6" x14ac:dyDescent="0.3">
      <c r="A283" s="287"/>
      <c r="B283" s="337" t="s">
        <v>157</v>
      </c>
      <c r="C283" s="288"/>
      <c r="D283" s="288"/>
      <c r="E283" s="288"/>
      <c r="F283" s="288"/>
      <c r="G283" s="288"/>
      <c r="H283" s="391"/>
      <c r="I283" s="391"/>
      <c r="J283" s="391"/>
      <c r="K283" s="391"/>
      <c r="L283" s="391"/>
      <c r="M283" s="391"/>
      <c r="N283" s="391"/>
      <c r="O283" s="391"/>
      <c r="P283" s="391"/>
      <c r="Q283" s="391"/>
      <c r="R283" s="337">
        <v>0</v>
      </c>
      <c r="S283" s="390">
        <v>0</v>
      </c>
      <c r="T283" s="338">
        <v>0</v>
      </c>
      <c r="U283" s="390">
        <v>0</v>
      </c>
      <c r="V283" s="288"/>
      <c r="W283" s="291"/>
      <c r="X283" s="5"/>
    </row>
    <row r="284" spans="1:24" ht="15.6" x14ac:dyDescent="0.3">
      <c r="A284" s="287"/>
      <c r="B284" s="337" t="s">
        <v>158</v>
      </c>
      <c r="C284" s="288"/>
      <c r="D284" s="288"/>
      <c r="E284" s="288"/>
      <c r="F284" s="288"/>
      <c r="G284" s="288"/>
      <c r="H284" s="391"/>
      <c r="I284" s="391"/>
      <c r="J284" s="391"/>
      <c r="K284" s="391"/>
      <c r="L284" s="391"/>
      <c r="M284" s="391"/>
      <c r="N284" s="391"/>
      <c r="O284" s="391"/>
      <c r="P284" s="391"/>
      <c r="Q284" s="391"/>
      <c r="R284" s="337">
        <v>0</v>
      </c>
      <c r="S284" s="390">
        <v>0</v>
      </c>
      <c r="T284" s="338">
        <v>0</v>
      </c>
      <c r="U284" s="390">
        <v>0</v>
      </c>
      <c r="V284" s="288"/>
      <c r="W284" s="291"/>
      <c r="X284" s="5"/>
    </row>
    <row r="285" spans="1:24" ht="15.6" x14ac:dyDescent="0.3">
      <c r="A285" s="287"/>
      <c r="B285" s="337" t="s">
        <v>159</v>
      </c>
      <c r="C285" s="288"/>
      <c r="D285" s="288"/>
      <c r="E285" s="288"/>
      <c r="F285" s="288"/>
      <c r="G285" s="288"/>
      <c r="H285" s="391"/>
      <c r="I285" s="391"/>
      <c r="J285" s="391"/>
      <c r="K285" s="391"/>
      <c r="L285" s="391"/>
      <c r="M285" s="391"/>
      <c r="N285" s="391"/>
      <c r="O285" s="391"/>
      <c r="P285" s="391"/>
      <c r="Q285" s="391"/>
      <c r="R285" s="337">
        <v>1</v>
      </c>
      <c r="S285" s="390">
        <f>R285/R288</f>
        <v>0.5</v>
      </c>
      <c r="T285" s="338">
        <v>52</v>
      </c>
      <c r="U285" s="390">
        <f>T285/T288</f>
        <v>0.26804123711340205</v>
      </c>
      <c r="V285" s="288"/>
      <c r="W285" s="291"/>
      <c r="X285" s="5"/>
    </row>
    <row r="286" spans="1:24" ht="15.6" x14ac:dyDescent="0.3">
      <c r="A286" s="287"/>
      <c r="B286" s="337" t="s">
        <v>160</v>
      </c>
      <c r="C286" s="288"/>
      <c r="D286" s="288"/>
      <c r="E286" s="288"/>
      <c r="F286" s="288"/>
      <c r="G286" s="288"/>
      <c r="H286" s="391"/>
      <c r="I286" s="391"/>
      <c r="J286" s="391"/>
      <c r="K286" s="391"/>
      <c r="L286" s="391"/>
      <c r="M286" s="391"/>
      <c r="N286" s="391"/>
      <c r="O286" s="391"/>
      <c r="P286" s="391"/>
      <c r="Q286" s="391"/>
      <c r="R286" s="337">
        <v>1</v>
      </c>
      <c r="S286" s="390">
        <f>R286/R288</f>
        <v>0.5</v>
      </c>
      <c r="T286" s="338">
        <v>142</v>
      </c>
      <c r="U286" s="390">
        <f>T286/T288</f>
        <v>0.73195876288659789</v>
      </c>
      <c r="V286" s="288"/>
      <c r="W286" s="291"/>
      <c r="X286" s="5"/>
    </row>
    <row r="287" spans="1:24" ht="15.6" x14ac:dyDescent="0.3">
      <c r="A287" s="287"/>
      <c r="B287" s="337"/>
      <c r="C287" s="288"/>
      <c r="D287" s="288"/>
      <c r="E287" s="288"/>
      <c r="F287" s="288"/>
      <c r="G287" s="288"/>
      <c r="H287" s="391"/>
      <c r="I287" s="391"/>
      <c r="J287" s="391"/>
      <c r="K287" s="391"/>
      <c r="L287" s="391"/>
      <c r="M287" s="391"/>
      <c r="N287" s="391"/>
      <c r="O287" s="391"/>
      <c r="P287" s="391"/>
      <c r="Q287" s="391"/>
      <c r="R287" s="337"/>
      <c r="S287" s="390"/>
      <c r="T287" s="338"/>
      <c r="U287" s="390"/>
      <c r="V287" s="288"/>
      <c r="W287" s="291"/>
      <c r="X287" s="5"/>
    </row>
    <row r="288" spans="1:24" ht="15.6" x14ac:dyDescent="0.3">
      <c r="A288" s="287"/>
      <c r="B288" s="288" t="s">
        <v>114</v>
      </c>
      <c r="C288" s="288"/>
      <c r="D288" s="288"/>
      <c r="E288" s="288"/>
      <c r="F288" s="288"/>
      <c r="G288" s="288"/>
      <c r="H288" s="391"/>
      <c r="I288" s="391"/>
      <c r="J288" s="391"/>
      <c r="K288" s="391"/>
      <c r="L288" s="391"/>
      <c r="M288" s="391"/>
      <c r="N288" s="391"/>
      <c r="O288" s="391"/>
      <c r="P288" s="391"/>
      <c r="Q288" s="391"/>
      <c r="R288" s="337">
        <f>SUM(R279:R286)</f>
        <v>2</v>
      </c>
      <c r="S288" s="390">
        <f>SUM(S279:S287)</f>
        <v>1</v>
      </c>
      <c r="T288" s="338">
        <f>SUM(T279:T286)</f>
        <v>194</v>
      </c>
      <c r="U288" s="390">
        <f>SUM(U279:U287)</f>
        <v>1</v>
      </c>
      <c r="V288" s="288"/>
      <c r="W288" s="291"/>
      <c r="X288" s="5"/>
    </row>
    <row r="289" spans="1:24" ht="15.6" x14ac:dyDescent="0.3">
      <c r="A289" s="287"/>
      <c r="B289" s="288"/>
      <c r="C289" s="288"/>
      <c r="D289" s="288"/>
      <c r="E289" s="288"/>
      <c r="F289" s="288"/>
      <c r="G289" s="288"/>
      <c r="H289" s="391"/>
      <c r="I289" s="391"/>
      <c r="J289" s="391"/>
      <c r="K289" s="391"/>
      <c r="L289" s="391"/>
      <c r="M289" s="391"/>
      <c r="N289" s="391"/>
      <c r="O289" s="391"/>
      <c r="P289" s="391"/>
      <c r="Q289" s="391"/>
      <c r="R289" s="337"/>
      <c r="S289" s="390"/>
      <c r="T289" s="338"/>
      <c r="U289" s="390"/>
      <c r="V289" s="288"/>
      <c r="W289" s="291"/>
      <c r="X289" s="5"/>
    </row>
    <row r="290" spans="1:24" ht="15.6" x14ac:dyDescent="0.3">
      <c r="A290" s="287"/>
      <c r="B290" s="295" t="s">
        <v>164</v>
      </c>
      <c r="C290" s="288"/>
      <c r="D290" s="288"/>
      <c r="E290" s="288"/>
      <c r="F290" s="288"/>
      <c r="G290" s="288"/>
      <c r="H290" s="391"/>
      <c r="I290" s="391"/>
      <c r="J290" s="391"/>
      <c r="K290" s="391"/>
      <c r="L290" s="391"/>
      <c r="M290" s="391"/>
      <c r="N290" s="391"/>
      <c r="O290" s="391"/>
      <c r="P290" s="391"/>
      <c r="Q290" s="391"/>
      <c r="R290" s="407">
        <f>R288+R276+R264</f>
        <v>7473</v>
      </c>
      <c r="S290" s="390"/>
      <c r="T290" s="396">
        <f>+T288+T276+T264</f>
        <v>1035190</v>
      </c>
      <c r="U290" s="390"/>
      <c r="V290" s="288"/>
      <c r="W290" s="291"/>
      <c r="X290" s="5"/>
    </row>
    <row r="291" spans="1:24" ht="15.6" x14ac:dyDescent="0.3">
      <c r="A291" s="183"/>
      <c r="B291" s="284"/>
      <c r="C291" s="284"/>
      <c r="D291" s="284"/>
      <c r="E291" s="284"/>
      <c r="F291" s="284"/>
      <c r="G291" s="284"/>
      <c r="H291" s="392"/>
      <c r="I291" s="392"/>
      <c r="J291" s="392"/>
      <c r="K291" s="392"/>
      <c r="L291" s="392"/>
      <c r="M291" s="392"/>
      <c r="N291" s="392"/>
      <c r="O291" s="392"/>
      <c r="P291" s="392"/>
      <c r="Q291" s="392"/>
      <c r="R291" s="392"/>
      <c r="S291" s="392"/>
      <c r="T291" s="394"/>
      <c r="U291" s="392"/>
      <c r="V291" s="284"/>
      <c r="W291" s="284"/>
      <c r="X291" s="5"/>
    </row>
    <row r="292" spans="1:24" ht="15.6" x14ac:dyDescent="0.3">
      <c r="A292" s="183"/>
      <c r="B292" s="224"/>
      <c r="C292" s="224"/>
      <c r="D292" s="224"/>
      <c r="E292" s="224"/>
      <c r="F292" s="224"/>
      <c r="G292" s="224"/>
      <c r="H292" s="256"/>
      <c r="I292" s="256"/>
      <c r="J292" s="256"/>
      <c r="K292" s="256"/>
      <c r="L292" s="256"/>
      <c r="M292" s="256"/>
      <c r="N292" s="256"/>
      <c r="O292" s="256"/>
      <c r="P292" s="256"/>
      <c r="Q292" s="256"/>
      <c r="R292" s="256"/>
      <c r="S292" s="256"/>
      <c r="T292" s="257"/>
      <c r="U292" s="256"/>
      <c r="V292" s="224"/>
      <c r="W292" s="224"/>
      <c r="X292" s="5"/>
    </row>
    <row r="293" spans="1:24" ht="15.6" x14ac:dyDescent="0.3">
      <c r="A293" s="219"/>
      <c r="B293" s="222" t="s">
        <v>91</v>
      </c>
      <c r="C293" s="224"/>
      <c r="D293" s="224"/>
      <c r="E293" s="224"/>
      <c r="F293" s="228" t="s">
        <v>97</v>
      </c>
      <c r="G293" s="224"/>
      <c r="H293" s="222" t="s">
        <v>99</v>
      </c>
      <c r="I293" s="222"/>
      <c r="J293" s="222"/>
      <c r="K293" s="258"/>
      <c r="L293" s="258"/>
      <c r="M293" s="258"/>
      <c r="N293" s="258"/>
      <c r="O293" s="258"/>
      <c r="P293" s="258"/>
      <c r="Q293" s="258"/>
      <c r="R293" s="258"/>
      <c r="S293" s="258"/>
      <c r="T293" s="258"/>
      <c r="U293" s="258"/>
      <c r="V293" s="258"/>
      <c r="W293" s="258"/>
      <c r="X293" s="5"/>
    </row>
    <row r="294" spans="1:24" ht="15.6" x14ac:dyDescent="0.3">
      <c r="A294" s="219"/>
      <c r="B294" s="258"/>
      <c r="C294" s="224"/>
      <c r="D294" s="224"/>
      <c r="E294" s="224"/>
      <c r="F294" s="224"/>
      <c r="G294" s="224"/>
      <c r="H294" s="224"/>
      <c r="I294" s="224"/>
      <c r="J294" s="224"/>
      <c r="K294" s="258"/>
      <c r="L294" s="258"/>
      <c r="M294" s="258"/>
      <c r="N294" s="258"/>
      <c r="O294" s="258"/>
      <c r="P294" s="258"/>
      <c r="Q294" s="258"/>
      <c r="R294" s="258"/>
      <c r="S294" s="258"/>
      <c r="T294" s="258"/>
      <c r="U294" s="258"/>
      <c r="V294" s="258"/>
      <c r="W294" s="258"/>
      <c r="X294" s="5"/>
    </row>
    <row r="295" spans="1:24" ht="15.6" x14ac:dyDescent="0.3">
      <c r="A295" s="219"/>
      <c r="B295" s="222" t="s">
        <v>338</v>
      </c>
      <c r="C295" s="222"/>
      <c r="D295" s="222"/>
      <c r="E295" s="222"/>
      <c r="F295" s="259" t="s">
        <v>148</v>
      </c>
      <c r="G295" s="222"/>
      <c r="H295" s="222" t="s">
        <v>152</v>
      </c>
      <c r="I295" s="222"/>
      <c r="J295" s="222"/>
      <c r="K295" s="258"/>
      <c r="L295" s="258"/>
      <c r="M295" s="258"/>
      <c r="N295" s="258"/>
      <c r="O295" s="258"/>
      <c r="P295" s="258"/>
      <c r="Q295" s="258"/>
      <c r="R295" s="258"/>
      <c r="S295" s="258"/>
      <c r="T295" s="258"/>
      <c r="U295" s="258"/>
      <c r="V295" s="258"/>
      <c r="W295" s="258"/>
      <c r="X295" s="5"/>
    </row>
    <row r="296" spans="1:24" ht="15.6" x14ac:dyDescent="0.3">
      <c r="A296" s="219"/>
      <c r="B296" s="222" t="s">
        <v>339</v>
      </c>
      <c r="C296" s="222"/>
      <c r="D296" s="222"/>
      <c r="E296" s="222"/>
      <c r="F296" s="259" t="s">
        <v>278</v>
      </c>
      <c r="G296" s="222"/>
      <c r="H296" s="222" t="s">
        <v>279</v>
      </c>
      <c r="I296" s="258"/>
      <c r="J296" s="222"/>
      <c r="K296" s="258"/>
      <c r="L296" s="258"/>
      <c r="M296" s="258"/>
      <c r="N296" s="258"/>
      <c r="O296" s="258"/>
      <c r="P296" s="258"/>
      <c r="Q296" s="258"/>
      <c r="R296" s="258"/>
      <c r="S296" s="258"/>
      <c r="T296" s="258"/>
      <c r="U296" s="258"/>
      <c r="V296" s="258"/>
      <c r="W296" s="258"/>
      <c r="X296" s="5"/>
    </row>
    <row r="297" spans="1:24" ht="15.6" x14ac:dyDescent="0.3">
      <c r="A297" s="219"/>
      <c r="B297" s="222" t="s">
        <v>340</v>
      </c>
      <c r="C297" s="222"/>
      <c r="D297" s="222"/>
      <c r="E297" s="222"/>
      <c r="F297" s="259" t="s">
        <v>147</v>
      </c>
      <c r="G297" s="222"/>
      <c r="H297" s="222" t="s">
        <v>153</v>
      </c>
      <c r="I297" s="222"/>
      <c r="J297" s="222"/>
      <c r="K297" s="258"/>
      <c r="L297" s="258"/>
      <c r="M297" s="258"/>
      <c r="N297" s="258"/>
      <c r="O297" s="258"/>
      <c r="P297" s="258"/>
      <c r="Q297" s="258"/>
      <c r="R297" s="258"/>
      <c r="S297" s="258"/>
      <c r="T297" s="258"/>
      <c r="U297" s="258"/>
      <c r="V297" s="258"/>
      <c r="W297" s="258"/>
      <c r="X297" s="5"/>
    </row>
    <row r="298" spans="1:24" ht="15.6" x14ac:dyDescent="0.3">
      <c r="A298" s="219"/>
      <c r="B298" s="222"/>
      <c r="C298" s="222"/>
      <c r="D298" s="222"/>
      <c r="E298" s="222"/>
      <c r="F298" s="222"/>
      <c r="G298" s="260"/>
      <c r="H298" s="258"/>
      <c r="I298" s="258"/>
      <c r="J298" s="258"/>
      <c r="K298" s="258"/>
      <c r="L298" s="258"/>
      <c r="M298" s="258"/>
      <c r="N298" s="258"/>
      <c r="O298" s="258"/>
      <c r="P298" s="258"/>
      <c r="Q298" s="258"/>
      <c r="R298" s="258"/>
      <c r="S298" s="258"/>
      <c r="T298" s="258"/>
      <c r="U298" s="258"/>
      <c r="V298" s="258"/>
      <c r="W298" s="258"/>
      <c r="X298" s="5"/>
    </row>
    <row r="299" spans="1:24" ht="15.6" x14ac:dyDescent="0.3">
      <c r="A299" s="219"/>
      <c r="B299" s="222"/>
      <c r="C299" s="222"/>
      <c r="D299" s="222"/>
      <c r="E299" s="222"/>
      <c r="F299" s="222"/>
      <c r="G299" s="260"/>
      <c r="H299" s="258"/>
      <c r="I299" s="258"/>
      <c r="J299" s="258"/>
      <c r="K299" s="258"/>
      <c r="L299" s="258"/>
      <c r="M299" s="258"/>
      <c r="N299" s="258"/>
      <c r="O299" s="258"/>
      <c r="P299" s="258"/>
      <c r="Q299" s="258"/>
      <c r="R299" s="258"/>
      <c r="S299" s="258"/>
      <c r="T299" s="258"/>
      <c r="U299" s="258"/>
      <c r="V299" s="258"/>
      <c r="W299" s="258"/>
      <c r="X299" s="5"/>
    </row>
    <row r="300" spans="1:24" ht="18" thickBot="1" x14ac:dyDescent="0.35">
      <c r="A300" s="219"/>
      <c r="B300" s="261" t="str">
        <f>B204</f>
        <v>PM14 INVESTOR REPORT QUARTER ENDING NOVEMBER 2014</v>
      </c>
      <c r="C300" s="222"/>
      <c r="D300" s="222"/>
      <c r="E300" s="222"/>
      <c r="F300" s="222"/>
      <c r="G300" s="260"/>
      <c r="H300" s="258"/>
      <c r="I300" s="258"/>
      <c r="J300" s="258"/>
      <c r="K300" s="258"/>
      <c r="L300" s="258"/>
      <c r="M300" s="258"/>
      <c r="N300" s="258"/>
      <c r="O300" s="258"/>
      <c r="P300" s="258"/>
      <c r="Q300" s="258"/>
      <c r="R300" s="258"/>
      <c r="S300" s="258"/>
      <c r="T300" s="258"/>
      <c r="U300" s="258"/>
      <c r="V300" s="258"/>
      <c r="W300" s="258"/>
      <c r="X300" s="5"/>
    </row>
    <row r="301" spans="1:24" x14ac:dyDescent="0.25">
      <c r="A301" s="100"/>
      <c r="B301" s="100"/>
      <c r="C301" s="100"/>
      <c r="D301" s="100"/>
      <c r="E301" s="100"/>
      <c r="F301" s="100"/>
      <c r="G301" s="100"/>
      <c r="H301" s="100"/>
      <c r="I301" s="100"/>
      <c r="J301" s="100"/>
      <c r="K301" s="100"/>
      <c r="L301" s="100"/>
      <c r="M301" s="100"/>
      <c r="N301" s="100"/>
      <c r="O301" s="100"/>
      <c r="P301" s="100"/>
      <c r="Q301" s="100"/>
      <c r="R301" s="100"/>
      <c r="S301" s="100"/>
      <c r="T301" s="100"/>
      <c r="U301" s="100"/>
      <c r="V301" s="100"/>
      <c r="W301" s="100"/>
    </row>
  </sheetData>
  <hyperlinks>
    <hyperlink ref="P240" r:id="rId1" xr:uid="{00000000-0004-0000-1D00-000000000000}"/>
    <hyperlink ref="I9" r:id="rId2" xr:uid="{00000000-0004-0000-1D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8" max="14" man="1"/>
    <brk id="204" max="14" man="1"/>
  </rowBreaks>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theme="6"/>
  </sheetPr>
  <dimension ref="A1:IV301"/>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80"/>
      <c r="B1" s="220" t="s">
        <v>244</v>
      </c>
      <c r="C1" s="181"/>
      <c r="D1" s="181"/>
      <c r="E1" s="181"/>
      <c r="F1" s="181"/>
      <c r="G1" s="181"/>
      <c r="H1" s="181"/>
      <c r="I1" s="181"/>
      <c r="J1" s="181"/>
      <c r="K1" s="181"/>
      <c r="L1" s="181"/>
      <c r="M1" s="181"/>
      <c r="N1" s="181"/>
      <c r="O1" s="181"/>
      <c r="P1" s="181"/>
      <c r="Q1" s="181"/>
      <c r="R1" s="181"/>
      <c r="S1" s="181"/>
      <c r="T1" s="181"/>
      <c r="U1" s="181"/>
      <c r="V1" s="181"/>
      <c r="W1" s="181"/>
      <c r="X1" s="5"/>
    </row>
    <row r="2" spans="1:24" ht="15.6" x14ac:dyDescent="0.3">
      <c r="A2" s="183"/>
      <c r="B2" s="184"/>
      <c r="C2" s="185"/>
      <c r="D2" s="185"/>
      <c r="E2" s="185"/>
      <c r="F2" s="185"/>
      <c r="G2" s="185"/>
      <c r="H2" s="185"/>
      <c r="I2" s="185"/>
      <c r="J2" s="185"/>
      <c r="K2" s="185"/>
      <c r="L2" s="185"/>
      <c r="M2" s="185"/>
      <c r="N2" s="185"/>
      <c r="O2" s="185"/>
      <c r="P2" s="185"/>
      <c r="Q2" s="185"/>
      <c r="R2" s="185"/>
      <c r="S2" s="185"/>
      <c r="T2" s="185"/>
      <c r="U2" s="185"/>
      <c r="V2" s="185"/>
      <c r="W2" s="185"/>
      <c r="X2" s="5"/>
    </row>
    <row r="3" spans="1:24" ht="15.6" x14ac:dyDescent="0.3">
      <c r="A3" s="186"/>
      <c r="B3" s="187" t="s">
        <v>245</v>
      </c>
      <c r="C3" s="185"/>
      <c r="D3" s="185"/>
      <c r="E3" s="185"/>
      <c r="F3" s="185"/>
      <c r="G3" s="185"/>
      <c r="H3" s="185"/>
      <c r="I3" s="185"/>
      <c r="J3" s="185"/>
      <c r="K3" s="185"/>
      <c r="L3" s="185"/>
      <c r="M3" s="185"/>
      <c r="N3" s="185"/>
      <c r="O3" s="185"/>
      <c r="P3" s="185"/>
      <c r="Q3" s="185"/>
      <c r="R3" s="185"/>
      <c r="S3" s="185"/>
      <c r="T3" s="185"/>
      <c r="U3" s="185"/>
      <c r="V3" s="185"/>
      <c r="W3" s="185"/>
      <c r="X3" s="5"/>
    </row>
    <row r="4" spans="1:24" ht="15.6" x14ac:dyDescent="0.3">
      <c r="A4" s="183"/>
      <c r="B4" s="184"/>
      <c r="C4" s="185"/>
      <c r="D4" s="185"/>
      <c r="E4" s="185"/>
      <c r="F4" s="185"/>
      <c r="G4" s="185"/>
      <c r="H4" s="185"/>
      <c r="I4" s="185"/>
      <c r="J4" s="185"/>
      <c r="K4" s="185"/>
      <c r="L4" s="185"/>
      <c r="M4" s="185"/>
      <c r="N4" s="185"/>
      <c r="O4" s="185"/>
      <c r="P4" s="185"/>
      <c r="Q4" s="185"/>
      <c r="R4" s="185"/>
      <c r="S4" s="185"/>
      <c r="T4" s="185"/>
      <c r="U4" s="185"/>
      <c r="V4" s="185"/>
      <c r="W4" s="185"/>
      <c r="X4" s="5"/>
    </row>
    <row r="5" spans="1:24" ht="15.6" x14ac:dyDescent="0.3">
      <c r="A5" s="183"/>
      <c r="B5" s="221" t="s">
        <v>137</v>
      </c>
      <c r="C5" s="185"/>
      <c r="D5" s="185"/>
      <c r="E5" s="185"/>
      <c r="F5" s="185"/>
      <c r="G5" s="185"/>
      <c r="H5" s="185"/>
      <c r="I5" s="185"/>
      <c r="J5" s="185"/>
      <c r="K5" s="185"/>
      <c r="L5" s="185"/>
      <c r="M5" s="185"/>
      <c r="N5" s="185"/>
      <c r="O5" s="185"/>
      <c r="P5" s="185"/>
      <c r="Q5" s="185"/>
      <c r="R5" s="185"/>
      <c r="S5" s="185"/>
      <c r="T5" s="185"/>
      <c r="U5" s="185"/>
      <c r="V5" s="185"/>
      <c r="W5" s="185"/>
      <c r="X5" s="5"/>
    </row>
    <row r="6" spans="1:24" ht="15.6" x14ac:dyDescent="0.3">
      <c r="A6" s="183"/>
      <c r="B6" s="221" t="s">
        <v>139</v>
      </c>
      <c r="C6" s="185"/>
      <c r="D6" s="185"/>
      <c r="E6" s="185"/>
      <c r="F6" s="185"/>
      <c r="G6" s="185"/>
      <c r="H6" s="185"/>
      <c r="I6" s="185"/>
      <c r="J6" s="185"/>
      <c r="K6" s="185"/>
      <c r="L6" s="185"/>
      <c r="M6" s="185"/>
      <c r="N6" s="185"/>
      <c r="O6" s="185"/>
      <c r="P6" s="185"/>
      <c r="Q6" s="185"/>
      <c r="R6" s="185"/>
      <c r="S6" s="185"/>
      <c r="T6" s="185"/>
      <c r="U6" s="185"/>
      <c r="V6" s="185"/>
      <c r="W6" s="185"/>
      <c r="X6" s="5"/>
    </row>
    <row r="7" spans="1:24" ht="15.6" x14ac:dyDescent="0.3">
      <c r="A7" s="183"/>
      <c r="B7" s="221" t="s">
        <v>138</v>
      </c>
      <c r="C7" s="185"/>
      <c r="D7" s="185"/>
      <c r="E7" s="185"/>
      <c r="F7" s="185"/>
      <c r="G7" s="185"/>
      <c r="H7" s="185"/>
      <c r="I7" s="185"/>
      <c r="J7" s="185"/>
      <c r="K7" s="185"/>
      <c r="L7" s="185"/>
      <c r="M7" s="185"/>
      <c r="N7" s="185"/>
      <c r="O7" s="185"/>
      <c r="P7" s="185"/>
      <c r="Q7" s="185"/>
      <c r="R7" s="185"/>
      <c r="S7" s="185"/>
      <c r="T7" s="185"/>
      <c r="U7" s="185"/>
      <c r="V7" s="185"/>
      <c r="W7" s="185"/>
      <c r="X7" s="5"/>
    </row>
    <row r="8" spans="1:24" ht="15.6" x14ac:dyDescent="0.3">
      <c r="A8" s="183"/>
      <c r="B8" s="188"/>
      <c r="C8" s="185"/>
      <c r="D8" s="185"/>
      <c r="E8" s="185"/>
      <c r="F8" s="185"/>
      <c r="G8" s="185"/>
      <c r="H8" s="185"/>
      <c r="I8" s="185"/>
      <c r="J8" s="185"/>
      <c r="K8" s="185"/>
      <c r="L8" s="185"/>
      <c r="M8" s="185"/>
      <c r="N8" s="185"/>
      <c r="O8" s="185"/>
      <c r="P8" s="185"/>
      <c r="Q8" s="185"/>
      <c r="R8" s="185"/>
      <c r="S8" s="185"/>
      <c r="T8" s="185"/>
      <c r="U8" s="185"/>
      <c r="V8" s="185"/>
      <c r="W8" s="185"/>
      <c r="X8" s="5"/>
    </row>
    <row r="9" spans="1:24" ht="17.399999999999999" x14ac:dyDescent="0.3">
      <c r="A9" s="183"/>
      <c r="B9" s="189" t="s">
        <v>166</v>
      </c>
      <c r="C9" s="185"/>
      <c r="D9" s="185"/>
      <c r="E9" s="185"/>
      <c r="F9" s="185"/>
      <c r="G9" s="185"/>
      <c r="H9" s="185"/>
      <c r="I9" s="190" t="s">
        <v>167</v>
      </c>
      <c r="J9" s="185"/>
      <c r="K9" s="185"/>
      <c r="L9" s="190"/>
      <c r="M9" s="185"/>
      <c r="N9" s="190"/>
      <c r="O9" s="185"/>
      <c r="P9" s="185"/>
      <c r="Q9" s="185"/>
      <c r="R9" s="185"/>
      <c r="S9" s="185"/>
      <c r="T9" s="185"/>
      <c r="U9" s="185"/>
      <c r="V9" s="185"/>
      <c r="W9" s="185"/>
      <c r="X9" s="5"/>
    </row>
    <row r="10" spans="1:24" ht="15.6" x14ac:dyDescent="0.3">
      <c r="A10" s="183"/>
      <c r="B10" s="188"/>
      <c r="C10" s="191"/>
      <c r="D10" s="191"/>
      <c r="E10" s="191"/>
      <c r="F10" s="185"/>
      <c r="G10" s="185"/>
      <c r="H10" s="185"/>
      <c r="I10" s="185"/>
      <c r="J10" s="185"/>
      <c r="K10" s="185"/>
      <c r="L10" s="185"/>
      <c r="M10" s="185"/>
      <c r="N10" s="185"/>
      <c r="O10" s="185"/>
      <c r="P10" s="185"/>
      <c r="Q10" s="185"/>
      <c r="R10" s="185"/>
      <c r="S10" s="185"/>
      <c r="T10" s="185"/>
      <c r="U10" s="185"/>
      <c r="V10" s="185"/>
      <c r="W10" s="185"/>
      <c r="X10" s="5"/>
    </row>
    <row r="11" spans="1:24" ht="15.6" x14ac:dyDescent="0.3">
      <c r="A11" s="183"/>
      <c r="B11" s="222" t="s">
        <v>0</v>
      </c>
      <c r="C11" s="185"/>
      <c r="D11" s="185"/>
      <c r="E11" s="185"/>
      <c r="F11" s="185"/>
      <c r="G11" s="185"/>
      <c r="H11" s="185"/>
      <c r="I11" s="185"/>
      <c r="J11" s="185"/>
      <c r="K11" s="185"/>
      <c r="L11" s="185"/>
      <c r="M11" s="185"/>
      <c r="N11" s="185"/>
      <c r="O11" s="185"/>
      <c r="P11" s="185"/>
      <c r="Q11" s="185"/>
      <c r="R11" s="185"/>
      <c r="S11" s="185"/>
      <c r="T11" s="185"/>
      <c r="U11" s="185"/>
      <c r="V11" s="185"/>
      <c r="W11" s="185"/>
      <c r="X11" s="5"/>
    </row>
    <row r="12" spans="1:24" ht="16.2" thickBot="1" x14ac:dyDescent="0.35">
      <c r="A12" s="183"/>
      <c r="B12" s="191"/>
      <c r="C12" s="185"/>
      <c r="D12" s="185"/>
      <c r="E12" s="185"/>
      <c r="F12" s="185"/>
      <c r="G12" s="185"/>
      <c r="H12" s="185"/>
      <c r="I12" s="185"/>
      <c r="J12" s="185"/>
      <c r="K12" s="185"/>
      <c r="L12" s="185"/>
      <c r="M12" s="185"/>
      <c r="N12" s="185"/>
      <c r="O12" s="185"/>
      <c r="P12" s="185"/>
      <c r="Q12" s="185"/>
      <c r="R12" s="185"/>
      <c r="S12" s="185"/>
      <c r="T12" s="185"/>
      <c r="U12" s="185"/>
      <c r="V12" s="185"/>
      <c r="W12" s="185"/>
      <c r="X12" s="5"/>
    </row>
    <row r="13" spans="1:24" ht="15.6" x14ac:dyDescent="0.3">
      <c r="A13" s="180"/>
      <c r="B13" s="181"/>
      <c r="C13" s="181"/>
      <c r="D13" s="181"/>
      <c r="E13" s="181"/>
      <c r="F13" s="181"/>
      <c r="G13" s="181"/>
      <c r="H13" s="181"/>
      <c r="I13" s="181"/>
      <c r="J13" s="181"/>
      <c r="K13" s="181"/>
      <c r="L13" s="181"/>
      <c r="M13" s="181"/>
      <c r="N13" s="181"/>
      <c r="O13" s="181"/>
      <c r="P13" s="181"/>
      <c r="Q13" s="181"/>
      <c r="R13" s="181"/>
      <c r="S13" s="181"/>
      <c r="T13" s="181"/>
      <c r="U13" s="181"/>
      <c r="V13" s="181"/>
      <c r="W13" s="181"/>
      <c r="X13" s="5"/>
    </row>
    <row r="14" spans="1:24" ht="15.6" x14ac:dyDescent="0.3">
      <c r="A14" s="183"/>
      <c r="B14" s="222" t="s">
        <v>1</v>
      </c>
      <c r="C14" s="192"/>
      <c r="D14" s="192"/>
      <c r="E14" s="192"/>
      <c r="F14" s="192"/>
      <c r="G14" s="192"/>
      <c r="H14" s="192"/>
      <c r="I14" s="192"/>
      <c r="J14" s="192"/>
      <c r="K14" s="192"/>
      <c r="L14" s="192"/>
      <c r="M14" s="192"/>
      <c r="N14" s="192"/>
      <c r="O14" s="192"/>
      <c r="P14" s="192"/>
      <c r="Q14" s="192"/>
      <c r="R14" s="224"/>
      <c r="S14" s="224"/>
      <c r="T14" s="224"/>
      <c r="U14" s="224"/>
      <c r="V14" s="225" t="s">
        <v>246</v>
      </c>
      <c r="W14" s="192"/>
      <c r="X14" s="5"/>
    </row>
    <row r="15" spans="1:24" ht="15.6" x14ac:dyDescent="0.3">
      <c r="A15" s="183"/>
      <c r="B15" s="222" t="s">
        <v>2</v>
      </c>
      <c r="C15" s="192"/>
      <c r="D15" s="192"/>
      <c r="E15" s="192"/>
      <c r="F15" s="192"/>
      <c r="G15" s="192"/>
      <c r="H15" s="193"/>
      <c r="I15" s="193"/>
      <c r="J15" s="193"/>
      <c r="K15" s="193"/>
      <c r="L15" s="193"/>
      <c r="M15" s="193"/>
      <c r="N15" s="193"/>
      <c r="O15" s="193"/>
      <c r="P15" s="193"/>
      <c r="Q15" s="193"/>
      <c r="R15" s="226" t="s">
        <v>104</v>
      </c>
      <c r="S15" s="227">
        <v>0.38300000000000001</v>
      </c>
      <c r="T15" s="228" t="s">
        <v>140</v>
      </c>
      <c r="U15" s="227">
        <v>0.61699999999999999</v>
      </c>
      <c r="V15" s="225"/>
      <c r="W15" s="192"/>
      <c r="X15" s="5"/>
    </row>
    <row r="16" spans="1:24" ht="15.6" x14ac:dyDescent="0.3">
      <c r="A16" s="183"/>
      <c r="B16" s="222" t="s">
        <v>3</v>
      </c>
      <c r="C16" s="192"/>
      <c r="D16" s="192"/>
      <c r="E16" s="192"/>
      <c r="F16" s="192"/>
      <c r="G16" s="192"/>
      <c r="H16" s="193"/>
      <c r="I16" s="193"/>
      <c r="J16" s="193"/>
      <c r="K16" s="193"/>
      <c r="L16" s="193"/>
      <c r="M16" s="193"/>
      <c r="N16" s="193"/>
      <c r="O16" s="193"/>
      <c r="P16" s="193"/>
      <c r="Q16" s="193"/>
      <c r="R16" s="226" t="s">
        <v>104</v>
      </c>
      <c r="S16" s="227">
        <v>0.47020000000000001</v>
      </c>
      <c r="T16" s="228" t="s">
        <v>140</v>
      </c>
      <c r="U16" s="227">
        <v>0.52980000000000005</v>
      </c>
      <c r="V16" s="225"/>
      <c r="W16" s="192"/>
      <c r="X16" s="5"/>
    </row>
    <row r="17" spans="1:24" ht="15.6" x14ac:dyDescent="0.3">
      <c r="A17" s="183"/>
      <c r="B17" s="222" t="s">
        <v>4</v>
      </c>
      <c r="C17" s="192"/>
      <c r="D17" s="192"/>
      <c r="E17" s="192"/>
      <c r="F17" s="192"/>
      <c r="G17" s="192"/>
      <c r="H17" s="192"/>
      <c r="I17" s="192"/>
      <c r="J17" s="192"/>
      <c r="K17" s="192"/>
      <c r="L17" s="192"/>
      <c r="M17" s="192"/>
      <c r="N17" s="192"/>
      <c r="O17" s="192"/>
      <c r="P17" s="192"/>
      <c r="Q17" s="192"/>
      <c r="R17" s="224"/>
      <c r="S17" s="224"/>
      <c r="T17" s="224"/>
      <c r="U17" s="224"/>
      <c r="V17" s="229">
        <v>39163</v>
      </c>
      <c r="W17" s="192"/>
      <c r="X17" s="5"/>
    </row>
    <row r="18" spans="1:24" ht="15.6" x14ac:dyDescent="0.3">
      <c r="A18" s="183"/>
      <c r="B18" s="222" t="s">
        <v>5</v>
      </c>
      <c r="C18" s="192"/>
      <c r="D18" s="192"/>
      <c r="E18" s="192"/>
      <c r="F18" s="192"/>
      <c r="G18" s="192"/>
      <c r="H18" s="192"/>
      <c r="I18" s="192"/>
      <c r="J18" s="192"/>
      <c r="K18" s="192"/>
      <c r="L18" s="192"/>
      <c r="M18" s="192"/>
      <c r="N18" s="192"/>
      <c r="O18" s="192"/>
      <c r="P18" s="192"/>
      <c r="Q18" s="192"/>
      <c r="R18" s="224"/>
      <c r="S18" s="224"/>
      <c r="T18" s="224"/>
      <c r="U18" s="224"/>
      <c r="V18" s="229">
        <v>42086</v>
      </c>
      <c r="W18" s="192"/>
      <c r="X18" s="5"/>
    </row>
    <row r="19" spans="1:24" ht="15.6" x14ac:dyDescent="0.3">
      <c r="A19" s="183"/>
      <c r="B19" s="185"/>
      <c r="C19" s="185"/>
      <c r="D19" s="185"/>
      <c r="E19" s="185"/>
      <c r="F19" s="185"/>
      <c r="G19" s="185"/>
      <c r="H19" s="185"/>
      <c r="I19" s="185"/>
      <c r="J19" s="185"/>
      <c r="K19" s="185"/>
      <c r="L19" s="185"/>
      <c r="M19" s="185"/>
      <c r="N19" s="185"/>
      <c r="O19" s="185"/>
      <c r="P19" s="185"/>
      <c r="Q19" s="185"/>
      <c r="R19" s="185"/>
      <c r="S19" s="185"/>
      <c r="T19" s="185"/>
      <c r="U19" s="185"/>
      <c r="V19" s="194"/>
      <c r="W19" s="185"/>
      <c r="X19" s="5"/>
    </row>
    <row r="20" spans="1:24" ht="15.6" x14ac:dyDescent="0.3">
      <c r="A20" s="183"/>
      <c r="B20" s="230" t="s">
        <v>6</v>
      </c>
      <c r="C20" s="185"/>
      <c r="D20" s="185"/>
      <c r="E20" s="185"/>
      <c r="F20" s="185"/>
      <c r="G20" s="185"/>
      <c r="H20" s="185"/>
      <c r="I20" s="185"/>
      <c r="J20" s="185"/>
      <c r="K20" s="185"/>
      <c r="L20" s="185"/>
      <c r="M20" s="185"/>
      <c r="N20" s="185"/>
      <c r="O20" s="185"/>
      <c r="P20" s="185"/>
      <c r="Q20" s="185"/>
      <c r="R20" s="185"/>
      <c r="S20" s="185"/>
      <c r="T20" s="223" t="s">
        <v>105</v>
      </c>
      <c r="U20" s="185"/>
      <c r="V20" s="182"/>
      <c r="W20" s="185"/>
      <c r="X20" s="5"/>
    </row>
    <row r="21" spans="1:24" ht="15.6" x14ac:dyDescent="0.3">
      <c r="A21" s="183"/>
      <c r="B21" s="185"/>
      <c r="C21" s="185"/>
      <c r="D21" s="185"/>
      <c r="E21" s="185"/>
      <c r="F21" s="185"/>
      <c r="G21" s="185"/>
      <c r="H21" s="185"/>
      <c r="I21" s="185"/>
      <c r="J21" s="185"/>
      <c r="K21" s="185"/>
      <c r="L21" s="185"/>
      <c r="M21" s="185"/>
      <c r="N21" s="185"/>
      <c r="O21" s="185"/>
      <c r="P21" s="185"/>
      <c r="Q21" s="185"/>
      <c r="R21" s="185"/>
      <c r="S21" s="185"/>
      <c r="T21" s="185"/>
      <c r="U21" s="185"/>
      <c r="V21" s="196"/>
      <c r="W21" s="185"/>
      <c r="X21" s="5"/>
    </row>
    <row r="22" spans="1:24" ht="15.6" x14ac:dyDescent="0.3">
      <c r="A22" s="262"/>
      <c r="B22" s="263"/>
      <c r="C22" s="264"/>
      <c r="D22" s="264" t="s">
        <v>177</v>
      </c>
      <c r="E22" s="264"/>
      <c r="F22" s="264" t="s">
        <v>178</v>
      </c>
      <c r="G22" s="264"/>
      <c r="H22" s="264" t="s">
        <v>179</v>
      </c>
      <c r="I22" s="264"/>
      <c r="J22" s="264" t="s">
        <v>220</v>
      </c>
      <c r="K22" s="264"/>
      <c r="L22" s="264" t="s">
        <v>180</v>
      </c>
      <c r="M22" s="264"/>
      <c r="N22" s="264" t="s">
        <v>181</v>
      </c>
      <c r="O22" s="264"/>
      <c r="P22" s="264" t="s">
        <v>221</v>
      </c>
      <c r="Q22" s="264"/>
      <c r="R22" s="264" t="s">
        <v>182</v>
      </c>
      <c r="S22" s="266"/>
      <c r="T22" s="266"/>
      <c r="U22" s="267"/>
      <c r="V22" s="267"/>
      <c r="W22" s="263"/>
      <c r="X22" s="5"/>
    </row>
    <row r="23" spans="1:24" ht="15.6" x14ac:dyDescent="0.3">
      <c r="A23" s="287"/>
      <c r="B23" s="288" t="s">
        <v>7</v>
      </c>
      <c r="C23" s="289"/>
      <c r="D23" s="289" t="s">
        <v>213</v>
      </c>
      <c r="E23" s="289"/>
      <c r="F23" s="289" t="s">
        <v>141</v>
      </c>
      <c r="G23" s="289"/>
      <c r="H23" s="289" t="s">
        <v>141</v>
      </c>
      <c r="I23" s="289"/>
      <c r="J23" s="289" t="s">
        <v>141</v>
      </c>
      <c r="K23" s="289"/>
      <c r="L23" s="289" t="s">
        <v>183</v>
      </c>
      <c r="M23" s="289"/>
      <c r="N23" s="289" t="s">
        <v>183</v>
      </c>
      <c r="O23" s="289"/>
      <c r="P23" s="289" t="s">
        <v>142</v>
      </c>
      <c r="Q23" s="289"/>
      <c r="R23" s="289" t="s">
        <v>142</v>
      </c>
      <c r="S23" s="289"/>
      <c r="T23" s="289"/>
      <c r="U23" s="290"/>
      <c r="V23" s="290"/>
      <c r="W23" s="291"/>
      <c r="X23" s="5"/>
    </row>
    <row r="24" spans="1:24" ht="15.6" x14ac:dyDescent="0.3">
      <c r="A24" s="287"/>
      <c r="B24" s="288" t="s">
        <v>8</v>
      </c>
      <c r="C24" s="289"/>
      <c r="D24" s="289" t="s">
        <v>214</v>
      </c>
      <c r="E24" s="289"/>
      <c r="F24" s="289" t="s">
        <v>143</v>
      </c>
      <c r="G24" s="289"/>
      <c r="H24" s="289" t="s">
        <v>143</v>
      </c>
      <c r="I24" s="289"/>
      <c r="J24" s="289" t="s">
        <v>143</v>
      </c>
      <c r="K24" s="289"/>
      <c r="L24" s="289" t="s">
        <v>165</v>
      </c>
      <c r="M24" s="289"/>
      <c r="N24" s="289" t="s">
        <v>165</v>
      </c>
      <c r="O24" s="289"/>
      <c r="P24" s="289" t="s">
        <v>144</v>
      </c>
      <c r="Q24" s="289"/>
      <c r="R24" s="289" t="s">
        <v>144</v>
      </c>
      <c r="S24" s="289"/>
      <c r="T24" s="289"/>
      <c r="U24" s="290"/>
      <c r="V24" s="290"/>
      <c r="W24" s="291"/>
      <c r="X24" s="5"/>
    </row>
    <row r="25" spans="1:24" ht="15.6" x14ac:dyDescent="0.3">
      <c r="A25" s="292"/>
      <c r="B25" s="288" t="s">
        <v>190</v>
      </c>
      <c r="C25" s="398"/>
      <c r="D25" s="289" t="s">
        <v>215</v>
      </c>
      <c r="E25" s="289"/>
      <c r="F25" s="289" t="s">
        <v>143</v>
      </c>
      <c r="G25" s="289"/>
      <c r="H25" s="289" t="s">
        <v>143</v>
      </c>
      <c r="I25" s="289"/>
      <c r="J25" s="289" t="s">
        <v>143</v>
      </c>
      <c r="K25" s="289"/>
      <c r="L25" s="289" t="s">
        <v>293</v>
      </c>
      <c r="M25" s="289"/>
      <c r="N25" s="289" t="s">
        <v>293</v>
      </c>
      <c r="O25" s="289"/>
      <c r="P25" s="289" t="s">
        <v>144</v>
      </c>
      <c r="Q25" s="289"/>
      <c r="R25" s="289" t="s">
        <v>144</v>
      </c>
      <c r="S25" s="398"/>
      <c r="T25" s="289"/>
      <c r="U25" s="290"/>
      <c r="V25" s="290"/>
      <c r="W25" s="291"/>
      <c r="X25" s="5"/>
    </row>
    <row r="26" spans="1:24" ht="15.6" x14ac:dyDescent="0.3">
      <c r="A26" s="292"/>
      <c r="B26" s="295" t="s">
        <v>9</v>
      </c>
      <c r="C26" s="398"/>
      <c r="D26" s="398" t="s">
        <v>332</v>
      </c>
      <c r="E26" s="398"/>
      <c r="F26" s="398" t="s">
        <v>333</v>
      </c>
      <c r="G26" s="398"/>
      <c r="H26" s="398" t="s">
        <v>333</v>
      </c>
      <c r="I26" s="398"/>
      <c r="J26" s="398" t="s">
        <v>333</v>
      </c>
      <c r="K26" s="398"/>
      <c r="L26" s="398" t="s">
        <v>334</v>
      </c>
      <c r="M26" s="398"/>
      <c r="N26" s="398" t="s">
        <v>334</v>
      </c>
      <c r="O26" s="398"/>
      <c r="P26" s="398" t="s">
        <v>335</v>
      </c>
      <c r="Q26" s="398"/>
      <c r="R26" s="398" t="s">
        <v>335</v>
      </c>
      <c r="S26" s="398"/>
      <c r="T26" s="289"/>
      <c r="U26" s="290"/>
      <c r="V26" s="290"/>
      <c r="W26" s="291"/>
      <c r="X26" s="5"/>
    </row>
    <row r="27" spans="1:24" ht="15.6" x14ac:dyDescent="0.3">
      <c r="A27" s="287"/>
      <c r="B27" s="295" t="s">
        <v>191</v>
      </c>
      <c r="C27" s="289"/>
      <c r="D27" s="398" t="s">
        <v>317</v>
      </c>
      <c r="E27" s="398"/>
      <c r="F27" s="398" t="s">
        <v>143</v>
      </c>
      <c r="G27" s="398"/>
      <c r="H27" s="398" t="s">
        <v>143</v>
      </c>
      <c r="I27" s="398"/>
      <c r="J27" s="398" t="s">
        <v>143</v>
      </c>
      <c r="K27" s="398"/>
      <c r="L27" s="398" t="s">
        <v>319</v>
      </c>
      <c r="M27" s="398"/>
      <c r="N27" s="398" t="s">
        <v>319</v>
      </c>
      <c r="O27" s="398"/>
      <c r="P27" s="398" t="s">
        <v>320</v>
      </c>
      <c r="Q27" s="398"/>
      <c r="R27" s="398" t="s">
        <v>320</v>
      </c>
      <c r="S27" s="289"/>
      <c r="T27" s="296"/>
      <c r="U27" s="290"/>
      <c r="V27" s="290"/>
      <c r="W27" s="291"/>
      <c r="X27" s="5"/>
    </row>
    <row r="28" spans="1:24" ht="15.6" x14ac:dyDescent="0.3">
      <c r="A28" s="287"/>
      <c r="B28" s="295" t="s">
        <v>192</v>
      </c>
      <c r="C28" s="289"/>
      <c r="D28" s="398" t="s">
        <v>314</v>
      </c>
      <c r="E28" s="398"/>
      <c r="F28" s="398" t="s">
        <v>143</v>
      </c>
      <c r="G28" s="398"/>
      <c r="H28" s="398" t="s">
        <v>143</v>
      </c>
      <c r="I28" s="398"/>
      <c r="J28" s="398" t="s">
        <v>143</v>
      </c>
      <c r="K28" s="398"/>
      <c r="L28" s="398" t="s">
        <v>293</v>
      </c>
      <c r="M28" s="398"/>
      <c r="N28" s="398" t="s">
        <v>293</v>
      </c>
      <c r="O28" s="398"/>
      <c r="P28" s="398" t="s">
        <v>337</v>
      </c>
      <c r="Q28" s="398"/>
      <c r="R28" s="398" t="s">
        <v>337</v>
      </c>
      <c r="S28" s="289"/>
      <c r="T28" s="296"/>
      <c r="U28" s="290"/>
      <c r="V28" s="290"/>
      <c r="W28" s="291"/>
      <c r="X28" s="5"/>
    </row>
    <row r="29" spans="1:24" ht="15.6" x14ac:dyDescent="0.3">
      <c r="A29" s="287"/>
      <c r="B29" s="288" t="s">
        <v>10</v>
      </c>
      <c r="C29" s="298"/>
      <c r="D29" s="289" t="s">
        <v>249</v>
      </c>
      <c r="E29" s="289"/>
      <c r="F29" s="296" t="s">
        <v>250</v>
      </c>
      <c r="G29" s="289"/>
      <c r="H29" s="289" t="s">
        <v>251</v>
      </c>
      <c r="I29" s="289"/>
      <c r="J29" s="289" t="s">
        <v>253</v>
      </c>
      <c r="K29" s="289"/>
      <c r="L29" s="289" t="s">
        <v>254</v>
      </c>
      <c r="M29" s="289"/>
      <c r="N29" s="289" t="s">
        <v>255</v>
      </c>
      <c r="O29" s="289"/>
      <c r="P29" s="289" t="s">
        <v>256</v>
      </c>
      <c r="Q29" s="289"/>
      <c r="R29" s="289" t="s">
        <v>257</v>
      </c>
      <c r="S29" s="299"/>
      <c r="T29" s="299"/>
      <c r="U29" s="300"/>
      <c r="V29" s="299"/>
      <c r="W29" s="301"/>
      <c r="X29" s="5"/>
    </row>
    <row r="30" spans="1:24" ht="15.6" x14ac:dyDescent="0.3">
      <c r="A30" s="287"/>
      <c r="B30" s="288" t="s">
        <v>10</v>
      </c>
      <c r="C30" s="298"/>
      <c r="D30" s="289" t="s">
        <v>248</v>
      </c>
      <c r="E30" s="289"/>
      <c r="F30" s="296" t="s">
        <v>118</v>
      </c>
      <c r="G30" s="289"/>
      <c r="H30" s="289" t="s">
        <v>118</v>
      </c>
      <c r="I30" s="289"/>
      <c r="J30" s="289" t="s">
        <v>252</v>
      </c>
      <c r="K30" s="289"/>
      <c r="L30" s="289" t="s">
        <v>118</v>
      </c>
      <c r="M30" s="289"/>
      <c r="N30" s="289" t="s">
        <v>118</v>
      </c>
      <c r="O30" s="289"/>
      <c r="P30" s="289" t="s">
        <v>118</v>
      </c>
      <c r="Q30" s="289"/>
      <c r="R30" s="289" t="s">
        <v>118</v>
      </c>
      <c r="S30" s="299"/>
      <c r="T30" s="299"/>
      <c r="U30" s="300"/>
      <c r="V30" s="299"/>
      <c r="W30" s="301"/>
      <c r="X30" s="5"/>
    </row>
    <row r="31" spans="1:24" ht="15.6" x14ac:dyDescent="0.3">
      <c r="A31" s="292"/>
      <c r="B31" s="288" t="s">
        <v>133</v>
      </c>
      <c r="C31" s="302"/>
      <c r="D31" s="303">
        <v>1500000</v>
      </c>
      <c r="E31" s="298"/>
      <c r="F31" s="299">
        <v>125000</v>
      </c>
      <c r="G31" s="299"/>
      <c r="H31" s="304">
        <v>246000</v>
      </c>
      <c r="I31" s="304"/>
      <c r="J31" s="303">
        <v>400000</v>
      </c>
      <c r="K31" s="299"/>
      <c r="L31" s="299">
        <v>51900</v>
      </c>
      <c r="M31" s="299"/>
      <c r="N31" s="304">
        <v>88800</v>
      </c>
      <c r="O31" s="299"/>
      <c r="P31" s="299">
        <v>20000</v>
      </c>
      <c r="Q31" s="299"/>
      <c r="R31" s="304">
        <v>135500</v>
      </c>
      <c r="S31" s="305"/>
      <c r="T31" s="305"/>
      <c r="U31" s="306"/>
      <c r="V31" s="305"/>
      <c r="W31" s="301"/>
      <c r="X31" s="5"/>
    </row>
    <row r="32" spans="1:24" ht="15.6" x14ac:dyDescent="0.3">
      <c r="A32" s="287"/>
      <c r="B32" s="288" t="s">
        <v>132</v>
      </c>
      <c r="C32" s="298"/>
      <c r="D32" s="303">
        <f>D31*D38</f>
        <v>952867.05</v>
      </c>
      <c r="E32" s="298"/>
      <c r="F32" s="299">
        <f>F31*F38</f>
        <v>79405.75</v>
      </c>
      <c r="G32" s="299"/>
      <c r="H32" s="304">
        <f>H31*H38</f>
        <v>156270.516</v>
      </c>
      <c r="I32" s="304"/>
      <c r="J32" s="303">
        <f>J31*J38</f>
        <v>254097.88</v>
      </c>
      <c r="K32" s="299"/>
      <c r="L32" s="299">
        <f>+L31</f>
        <v>51900</v>
      </c>
      <c r="M32" s="299"/>
      <c r="N32" s="304">
        <f>+N31</f>
        <v>88800</v>
      </c>
      <c r="O32" s="299"/>
      <c r="P32" s="299">
        <f>+P31</f>
        <v>20000</v>
      </c>
      <c r="Q32" s="299"/>
      <c r="R32" s="304">
        <f>+R31</f>
        <v>135500</v>
      </c>
      <c r="S32" s="299"/>
      <c r="T32" s="299"/>
      <c r="U32" s="300"/>
      <c r="V32" s="299"/>
      <c r="W32" s="301"/>
      <c r="X32" s="5"/>
    </row>
    <row r="33" spans="1:24" ht="15.6" x14ac:dyDescent="0.3">
      <c r="A33" s="287"/>
      <c r="B33" s="295" t="s">
        <v>134</v>
      </c>
      <c r="C33" s="298"/>
      <c r="D33" s="307">
        <f>D37*D31</f>
        <v>942006.45</v>
      </c>
      <c r="E33" s="302"/>
      <c r="F33" s="305">
        <f>F37*F31</f>
        <v>78500.700000000012</v>
      </c>
      <c r="G33" s="305"/>
      <c r="H33" s="308">
        <f>H31*H37</f>
        <v>154489.37760000001</v>
      </c>
      <c r="I33" s="308"/>
      <c r="J33" s="307">
        <f>J37*J31</f>
        <v>251201.71999999997</v>
      </c>
      <c r="K33" s="305"/>
      <c r="L33" s="305">
        <f>L31*L37</f>
        <v>51900</v>
      </c>
      <c r="M33" s="305"/>
      <c r="N33" s="308">
        <f>N31*N37</f>
        <v>88800</v>
      </c>
      <c r="O33" s="305"/>
      <c r="P33" s="305">
        <f>P31*P37</f>
        <v>20000</v>
      </c>
      <c r="Q33" s="305"/>
      <c r="R33" s="308">
        <f>R31*R37</f>
        <v>135500</v>
      </c>
      <c r="S33" s="299"/>
      <c r="T33" s="299"/>
      <c r="U33" s="300"/>
      <c r="V33" s="299"/>
      <c r="W33" s="301"/>
      <c r="X33" s="5"/>
    </row>
    <row r="34" spans="1:24" ht="15.6" x14ac:dyDescent="0.3">
      <c r="A34" s="292"/>
      <c r="B34" s="288" t="s">
        <v>296</v>
      </c>
      <c r="C34" s="302"/>
      <c r="D34" s="299">
        <v>775194</v>
      </c>
      <c r="E34" s="298"/>
      <c r="F34" s="299">
        <v>125000</v>
      </c>
      <c r="G34" s="299"/>
      <c r="H34" s="299">
        <v>168148</v>
      </c>
      <c r="I34" s="299"/>
      <c r="J34" s="299">
        <v>206718</v>
      </c>
      <c r="K34" s="299"/>
      <c r="L34" s="299">
        <v>51900</v>
      </c>
      <c r="M34" s="299"/>
      <c r="N34" s="299">
        <v>60697</v>
      </c>
      <c r="O34" s="299"/>
      <c r="P34" s="299">
        <v>20000</v>
      </c>
      <c r="Q34" s="299"/>
      <c r="R34" s="299">
        <v>92618</v>
      </c>
      <c r="S34" s="305"/>
      <c r="T34" s="305"/>
      <c r="U34" s="306"/>
      <c r="V34" s="299">
        <f>SUM(C34:R34)</f>
        <v>1500275</v>
      </c>
      <c r="W34" s="301"/>
      <c r="X34" s="5"/>
    </row>
    <row r="35" spans="1:24" ht="15.6" x14ac:dyDescent="0.3">
      <c r="A35" s="292"/>
      <c r="B35" s="288" t="s">
        <v>297</v>
      </c>
      <c r="C35" s="302"/>
      <c r="D35" s="299">
        <f>D34*D38</f>
        <v>492437.87997180002</v>
      </c>
      <c r="E35" s="298"/>
      <c r="F35" s="299">
        <f>F34*F38</f>
        <v>79405.75</v>
      </c>
      <c r="G35" s="299"/>
      <c r="H35" s="299">
        <f>H34*H38</f>
        <v>106815.34440799999</v>
      </c>
      <c r="I35" s="299"/>
      <c r="J35" s="299">
        <f>J34*J38</f>
        <v>131316.51389460001</v>
      </c>
      <c r="K35" s="299"/>
      <c r="L35" s="299">
        <f>+L34</f>
        <v>51900</v>
      </c>
      <c r="M35" s="299"/>
      <c r="N35" s="299">
        <f>+N34</f>
        <v>60697</v>
      </c>
      <c r="O35" s="299"/>
      <c r="P35" s="299">
        <f>+P34</f>
        <v>20000</v>
      </c>
      <c r="Q35" s="299"/>
      <c r="R35" s="299">
        <f>+R34</f>
        <v>92618</v>
      </c>
      <c r="S35" s="299"/>
      <c r="T35" s="299"/>
      <c r="U35" s="300"/>
      <c r="V35" s="299">
        <f>SUM(C35:R35)</f>
        <v>1035190.4882744</v>
      </c>
      <c r="W35" s="301"/>
      <c r="X35" s="5"/>
    </row>
    <row r="36" spans="1:24" ht="15.6" x14ac:dyDescent="0.3">
      <c r="A36" s="292"/>
      <c r="B36" s="295" t="s">
        <v>298</v>
      </c>
      <c r="C36" s="302"/>
      <c r="D36" s="305">
        <f>D34*D37</f>
        <v>486825.16533419996</v>
      </c>
      <c r="E36" s="302"/>
      <c r="F36" s="305">
        <f>F34*F37</f>
        <v>78500.700000000012</v>
      </c>
      <c r="G36" s="305"/>
      <c r="H36" s="305">
        <f>H34*H37</f>
        <v>105597.88562880001</v>
      </c>
      <c r="I36" s="305"/>
      <c r="J36" s="305">
        <f>J34*J37</f>
        <v>129819.79288739999</v>
      </c>
      <c r="K36" s="305"/>
      <c r="L36" s="305">
        <f>L34*L37</f>
        <v>51900</v>
      </c>
      <c r="M36" s="305"/>
      <c r="N36" s="305">
        <f>N34*N37</f>
        <v>60697</v>
      </c>
      <c r="O36" s="305"/>
      <c r="P36" s="305">
        <f>P34*P37</f>
        <v>20000</v>
      </c>
      <c r="Q36" s="305"/>
      <c r="R36" s="305">
        <f>R34*R37</f>
        <v>92618</v>
      </c>
      <c r="S36" s="328"/>
      <c r="T36" s="328"/>
      <c r="U36" s="300"/>
      <c r="V36" s="305">
        <f>SUM(C36:R36)-1</f>
        <v>1025957.5438504</v>
      </c>
      <c r="W36" s="301"/>
      <c r="X36" s="5"/>
    </row>
    <row r="37" spans="1:24" ht="15.6" x14ac:dyDescent="0.3">
      <c r="A37" s="287"/>
      <c r="B37" s="313" t="s">
        <v>130</v>
      </c>
      <c r="C37" s="314"/>
      <c r="D37" s="315">
        <v>0.62800429999999996</v>
      </c>
      <c r="E37" s="315"/>
      <c r="F37" s="315">
        <v>0.62800560000000005</v>
      </c>
      <c r="G37" s="315"/>
      <c r="H37" s="315">
        <v>0.62800560000000005</v>
      </c>
      <c r="I37" s="315"/>
      <c r="J37" s="315">
        <v>0.62800429999999996</v>
      </c>
      <c r="K37" s="315"/>
      <c r="L37" s="315">
        <v>1</v>
      </c>
      <c r="M37" s="315"/>
      <c r="N37" s="315">
        <v>1</v>
      </c>
      <c r="O37" s="315"/>
      <c r="P37" s="315">
        <v>1</v>
      </c>
      <c r="Q37" s="315"/>
      <c r="R37" s="315">
        <v>1</v>
      </c>
      <c r="S37" s="316"/>
      <c r="T37" s="316"/>
      <c r="U37" s="317"/>
      <c r="V37" s="317"/>
      <c r="W37" s="318"/>
      <c r="X37" s="5"/>
    </row>
    <row r="38" spans="1:24" ht="15.6" x14ac:dyDescent="0.3">
      <c r="A38" s="287"/>
      <c r="B38" s="313" t="s">
        <v>131</v>
      </c>
      <c r="C38" s="314"/>
      <c r="D38" s="315">
        <v>0.6352447</v>
      </c>
      <c r="E38" s="315"/>
      <c r="F38" s="315">
        <v>0.63524599999999998</v>
      </c>
      <c r="G38" s="315"/>
      <c r="H38" s="315">
        <v>0.63524599999999998</v>
      </c>
      <c r="I38" s="315"/>
      <c r="J38" s="315">
        <v>0.6352447</v>
      </c>
      <c r="K38" s="315"/>
      <c r="L38" s="315">
        <v>1</v>
      </c>
      <c r="M38" s="315"/>
      <c r="N38" s="315">
        <v>1</v>
      </c>
      <c r="O38" s="315"/>
      <c r="P38" s="315">
        <v>1</v>
      </c>
      <c r="Q38" s="315"/>
      <c r="R38" s="315">
        <v>1</v>
      </c>
      <c r="S38" s="319"/>
      <c r="T38" s="320"/>
      <c r="U38" s="317"/>
      <c r="V38" s="319"/>
      <c r="W38" s="318"/>
      <c r="X38" s="5"/>
    </row>
    <row r="39" spans="1:24" ht="15.6" x14ac:dyDescent="0.3">
      <c r="A39" s="287"/>
      <c r="B39" s="288" t="s">
        <v>11</v>
      </c>
      <c r="C39" s="288"/>
      <c r="D39" s="296" t="s">
        <v>321</v>
      </c>
      <c r="E39" s="288"/>
      <c r="F39" s="296" t="s">
        <v>231</v>
      </c>
      <c r="G39" s="296"/>
      <c r="H39" s="296" t="s">
        <v>231</v>
      </c>
      <c r="I39" s="296"/>
      <c r="J39" s="296" t="s">
        <v>231</v>
      </c>
      <c r="K39" s="296"/>
      <c r="L39" s="296" t="s">
        <v>265</v>
      </c>
      <c r="M39" s="296"/>
      <c r="N39" s="296" t="s">
        <v>265</v>
      </c>
      <c r="O39" s="296"/>
      <c r="P39" s="296" t="s">
        <v>266</v>
      </c>
      <c r="Q39" s="296"/>
      <c r="R39" s="296" t="s">
        <v>266</v>
      </c>
      <c r="S39" s="321"/>
      <c r="T39" s="322"/>
      <c r="U39" s="290"/>
      <c r="V39" s="290"/>
      <c r="W39" s="291"/>
      <c r="X39" s="5"/>
    </row>
    <row r="40" spans="1:24" ht="15.6" x14ac:dyDescent="0.3">
      <c r="A40" s="287"/>
      <c r="B40" s="288" t="s">
        <v>12</v>
      </c>
      <c r="C40" s="288"/>
      <c r="D40" s="322">
        <v>3.7299999999999998E-3</v>
      </c>
      <c r="E40" s="288"/>
      <c r="F40" s="322">
        <v>7.6024999999999999E-3</v>
      </c>
      <c r="G40" s="321"/>
      <c r="H40" s="322">
        <v>2.82E-3</v>
      </c>
      <c r="I40" s="322"/>
      <c r="J40" s="322">
        <v>4.4060000000000002E-3</v>
      </c>
      <c r="K40" s="321"/>
      <c r="L40" s="322">
        <v>9.2025000000000006E-3</v>
      </c>
      <c r="M40" s="321"/>
      <c r="N40" s="322">
        <v>4.4200000000000003E-3</v>
      </c>
      <c r="O40" s="321"/>
      <c r="P40" s="322">
        <v>1.3202500000000001E-2</v>
      </c>
      <c r="Q40" s="321"/>
      <c r="R40" s="322">
        <v>8.4200000000000004E-3</v>
      </c>
      <c r="S40" s="321"/>
      <c r="T40" s="322"/>
      <c r="U40" s="290"/>
      <c r="V40" s="296"/>
      <c r="W40" s="291"/>
      <c r="X40" s="5"/>
    </row>
    <row r="41" spans="1:24" ht="15.6" x14ac:dyDescent="0.3">
      <c r="A41" s="287"/>
      <c r="B41" s="288" t="s">
        <v>13</v>
      </c>
      <c r="C41" s="288"/>
      <c r="D41" s="322">
        <v>3.5469999999999998E-3</v>
      </c>
      <c r="E41" s="288"/>
      <c r="F41" s="322">
        <v>7.6337999999999996E-3</v>
      </c>
      <c r="G41" s="321"/>
      <c r="H41" s="322">
        <v>2.8400000000000001E-3</v>
      </c>
      <c r="I41" s="322"/>
      <c r="J41" s="322">
        <v>4.3410000000000002E-3</v>
      </c>
      <c r="K41" s="321"/>
      <c r="L41" s="322">
        <v>9.2338000000000003E-3</v>
      </c>
      <c r="M41" s="321"/>
      <c r="N41" s="322">
        <v>4.4400000000000004E-3</v>
      </c>
      <c r="O41" s="321"/>
      <c r="P41" s="322">
        <v>1.32338E-2</v>
      </c>
      <c r="Q41" s="321"/>
      <c r="R41" s="322">
        <v>8.4399999999999996E-3</v>
      </c>
      <c r="S41" s="321"/>
      <c r="T41" s="322"/>
      <c r="U41" s="290"/>
      <c r="V41" s="321" t="s">
        <v>193</v>
      </c>
      <c r="W41" s="291"/>
      <c r="X41" s="5"/>
    </row>
    <row r="42" spans="1:24" ht="15.6" x14ac:dyDescent="0.3">
      <c r="A42" s="287"/>
      <c r="B42" s="288" t="s">
        <v>299</v>
      </c>
      <c r="C42" s="288"/>
      <c r="D42" s="296" t="s">
        <v>322</v>
      </c>
      <c r="E42" s="288"/>
      <c r="F42" s="296" t="s">
        <v>231</v>
      </c>
      <c r="G42" s="296"/>
      <c r="H42" s="296" t="s">
        <v>323</v>
      </c>
      <c r="I42" s="296"/>
      <c r="J42" s="296" t="s">
        <v>324</v>
      </c>
      <c r="K42" s="296"/>
      <c r="L42" s="296" t="s">
        <v>265</v>
      </c>
      <c r="M42" s="296"/>
      <c r="N42" s="296" t="s">
        <v>234</v>
      </c>
      <c r="O42" s="296"/>
      <c r="P42" s="296" t="s">
        <v>266</v>
      </c>
      <c r="Q42" s="296"/>
      <c r="R42" s="296" t="s">
        <v>264</v>
      </c>
      <c r="S42" s="321"/>
      <c r="T42" s="322"/>
      <c r="U42" s="290"/>
      <c r="V42" s="290"/>
      <c r="W42" s="291"/>
      <c r="X42" s="5"/>
    </row>
    <row r="43" spans="1:24" ht="15.6" x14ac:dyDescent="0.3">
      <c r="A43" s="287"/>
      <c r="B43" s="288" t="s">
        <v>300</v>
      </c>
      <c r="C43" s="323"/>
      <c r="D43" s="322">
        <v>7.9764999999999992E-3</v>
      </c>
      <c r="E43" s="322"/>
      <c r="F43" s="322">
        <f>+F40</f>
        <v>7.6024999999999999E-3</v>
      </c>
      <c r="G43" s="322"/>
      <c r="H43" s="322">
        <v>7.8825000000000006E-3</v>
      </c>
      <c r="I43" s="322"/>
      <c r="J43" s="322">
        <v>8.3285000000000008E-3</v>
      </c>
      <c r="K43" s="322"/>
      <c r="L43" s="322">
        <f>+L40</f>
        <v>9.2025000000000006E-3</v>
      </c>
      <c r="M43" s="322"/>
      <c r="N43" s="322">
        <v>9.7944999999999994E-3</v>
      </c>
      <c r="O43" s="322"/>
      <c r="P43" s="322">
        <f>+P40</f>
        <v>1.3202500000000001E-2</v>
      </c>
      <c r="Q43" s="321"/>
      <c r="R43" s="322">
        <v>1.42685E-2</v>
      </c>
      <c r="S43" s="296"/>
      <c r="T43" s="296"/>
      <c r="U43" s="290"/>
      <c r="V43" s="321">
        <f>SUMPRODUCT(D43:R43,D35:R35)/V35</f>
        <v>8.8147360848997054E-3</v>
      </c>
      <c r="W43" s="291"/>
      <c r="X43" s="5"/>
    </row>
    <row r="44" spans="1:24" ht="15.6" x14ac:dyDescent="0.3">
      <c r="A44" s="287"/>
      <c r="B44" s="288" t="s">
        <v>301</v>
      </c>
      <c r="C44" s="323"/>
      <c r="D44" s="322">
        <v>8.0078000000000007E-3</v>
      </c>
      <c r="E44" s="322"/>
      <c r="F44" s="322">
        <f>+F41</f>
        <v>7.6337999999999996E-3</v>
      </c>
      <c r="G44" s="322"/>
      <c r="H44" s="322">
        <v>7.9138000000000003E-3</v>
      </c>
      <c r="I44" s="322"/>
      <c r="J44" s="322">
        <v>8.3598000000000006E-3</v>
      </c>
      <c r="K44" s="322"/>
      <c r="L44" s="322">
        <f>+L41</f>
        <v>9.2338000000000003E-3</v>
      </c>
      <c r="M44" s="322"/>
      <c r="N44" s="322">
        <v>9.8258000000000009E-3</v>
      </c>
      <c r="O44" s="322"/>
      <c r="P44" s="322">
        <f>+P41</f>
        <v>1.32338E-2</v>
      </c>
      <c r="Q44" s="321"/>
      <c r="R44" s="322">
        <v>1.42998E-2</v>
      </c>
      <c r="S44" s="296"/>
      <c r="T44" s="296"/>
      <c r="U44" s="290"/>
      <c r="V44" s="290"/>
      <c r="W44" s="291"/>
      <c r="X44" s="5"/>
    </row>
    <row r="45" spans="1:24" ht="15.6" x14ac:dyDescent="0.3">
      <c r="A45" s="287"/>
      <c r="B45" s="288" t="s">
        <v>14</v>
      </c>
      <c r="C45" s="288"/>
      <c r="D45" s="323">
        <v>40617</v>
      </c>
      <c r="E45" s="323"/>
      <c r="F45" s="323">
        <v>40617</v>
      </c>
      <c r="G45" s="323"/>
      <c r="H45" s="323">
        <v>40617</v>
      </c>
      <c r="I45" s="323"/>
      <c r="J45" s="323">
        <v>40617</v>
      </c>
      <c r="K45" s="323"/>
      <c r="L45" s="323">
        <v>40617</v>
      </c>
      <c r="M45" s="323"/>
      <c r="N45" s="323">
        <v>40617</v>
      </c>
      <c r="O45" s="323"/>
      <c r="P45" s="323">
        <v>40617</v>
      </c>
      <c r="Q45" s="323"/>
      <c r="R45" s="323">
        <v>40617</v>
      </c>
      <c r="S45" s="296"/>
      <c r="T45" s="296"/>
      <c r="U45" s="290"/>
      <c r="V45" s="290"/>
      <c r="W45" s="291"/>
      <c r="X45" s="5"/>
    </row>
    <row r="46" spans="1:24" ht="15.6" x14ac:dyDescent="0.3">
      <c r="A46" s="287"/>
      <c r="B46" s="288" t="s">
        <v>15</v>
      </c>
      <c r="C46" s="288"/>
      <c r="D46" s="323">
        <v>40983</v>
      </c>
      <c r="E46" s="323"/>
      <c r="F46" s="323">
        <v>40983</v>
      </c>
      <c r="G46" s="323"/>
      <c r="H46" s="323">
        <v>40983</v>
      </c>
      <c r="I46" s="323"/>
      <c r="J46" s="323">
        <v>40983</v>
      </c>
      <c r="K46" s="296"/>
      <c r="L46" s="323">
        <v>40983</v>
      </c>
      <c r="M46" s="296"/>
      <c r="N46" s="323">
        <v>40983</v>
      </c>
      <c r="O46" s="296"/>
      <c r="P46" s="323">
        <v>40983</v>
      </c>
      <c r="Q46" s="296"/>
      <c r="R46" s="323">
        <v>40983</v>
      </c>
      <c r="S46" s="296"/>
      <c r="T46" s="296"/>
      <c r="U46" s="290"/>
      <c r="V46" s="290"/>
      <c r="W46" s="291"/>
      <c r="X46" s="5"/>
    </row>
    <row r="47" spans="1:24" ht="15.6" x14ac:dyDescent="0.3">
      <c r="A47" s="287"/>
      <c r="B47" s="288" t="s">
        <v>119</v>
      </c>
      <c r="C47" s="288"/>
      <c r="D47" s="296" t="s">
        <v>231</v>
      </c>
      <c r="E47" s="288"/>
      <c r="F47" s="296" t="s">
        <v>231</v>
      </c>
      <c r="G47" s="296"/>
      <c r="H47" s="296" t="s">
        <v>231</v>
      </c>
      <c r="I47" s="296"/>
      <c r="J47" s="296" t="s">
        <v>231</v>
      </c>
      <c r="K47" s="296"/>
      <c r="L47" s="296" t="s">
        <v>265</v>
      </c>
      <c r="M47" s="296"/>
      <c r="N47" s="296" t="s">
        <v>265</v>
      </c>
      <c r="O47" s="296"/>
      <c r="P47" s="296" t="s">
        <v>266</v>
      </c>
      <c r="Q47" s="296"/>
      <c r="R47" s="296" t="s">
        <v>266</v>
      </c>
      <c r="S47" s="325"/>
      <c r="T47" s="325"/>
      <c r="U47" s="325"/>
      <c r="V47" s="325"/>
      <c r="W47" s="291"/>
      <c r="X47" s="5"/>
    </row>
    <row r="48" spans="1:24" ht="15.6" x14ac:dyDescent="0.3">
      <c r="A48" s="287"/>
      <c r="B48" s="288" t="s">
        <v>302</v>
      </c>
      <c r="C48" s="288"/>
      <c r="D48" s="296" t="s">
        <v>325</v>
      </c>
      <c r="E48" s="288"/>
      <c r="F48" s="296" t="s">
        <v>231</v>
      </c>
      <c r="G48" s="296"/>
      <c r="H48" s="296" t="s">
        <v>262</v>
      </c>
      <c r="I48" s="296"/>
      <c r="J48" s="296" t="s">
        <v>263</v>
      </c>
      <c r="K48" s="296"/>
      <c r="L48" s="296" t="s">
        <v>265</v>
      </c>
      <c r="M48" s="296"/>
      <c r="N48" s="296" t="s">
        <v>234</v>
      </c>
      <c r="O48" s="296"/>
      <c r="P48" s="296" t="s">
        <v>266</v>
      </c>
      <c r="Q48" s="296"/>
      <c r="R48" s="296" t="s">
        <v>264</v>
      </c>
      <c r="S48" s="288"/>
      <c r="T48" s="288"/>
      <c r="U48" s="288"/>
      <c r="V48" s="321"/>
      <c r="W48" s="291"/>
      <c r="X48" s="5"/>
    </row>
    <row r="49" spans="1:25" ht="15.6" x14ac:dyDescent="0.3">
      <c r="A49" s="287"/>
      <c r="B49" s="288"/>
      <c r="C49" s="288"/>
      <c r="D49" s="296"/>
      <c r="E49" s="288"/>
      <c r="F49" s="296"/>
      <c r="G49" s="296"/>
      <c r="H49" s="296"/>
      <c r="I49" s="296"/>
      <c r="J49" s="296"/>
      <c r="K49" s="296"/>
      <c r="L49" s="296"/>
      <c r="M49" s="296"/>
      <c r="N49" s="296"/>
      <c r="O49" s="296"/>
      <c r="P49" s="296"/>
      <c r="Q49" s="296"/>
      <c r="R49" s="296"/>
      <c r="S49" s="288"/>
      <c r="T49" s="288"/>
      <c r="U49" s="288"/>
      <c r="V49" s="321" t="s">
        <v>193</v>
      </c>
      <c r="W49" s="291"/>
      <c r="X49" s="5"/>
    </row>
    <row r="50" spans="1:25" ht="15.6" x14ac:dyDescent="0.3">
      <c r="A50" s="287"/>
      <c r="B50" s="288" t="s">
        <v>169</v>
      </c>
      <c r="C50" s="288"/>
      <c r="D50" s="296"/>
      <c r="E50" s="288"/>
      <c r="F50" s="296"/>
      <c r="G50" s="296"/>
      <c r="H50" s="296"/>
      <c r="I50" s="296"/>
      <c r="J50" s="296"/>
      <c r="K50" s="296"/>
      <c r="L50" s="296"/>
      <c r="M50" s="296"/>
      <c r="N50" s="296"/>
      <c r="O50" s="296"/>
      <c r="P50" s="296"/>
      <c r="Q50" s="296"/>
      <c r="R50" s="296"/>
      <c r="S50" s="288"/>
      <c r="T50" s="288"/>
      <c r="U50" s="288"/>
      <c r="V50" s="321">
        <f>SUM(L34:R34)/SUM(D34:J34)</f>
        <v>0.17663090364375009</v>
      </c>
      <c r="W50" s="291"/>
      <c r="X50" s="5"/>
    </row>
    <row r="51" spans="1:25" ht="15.6" x14ac:dyDescent="0.3">
      <c r="A51" s="287"/>
      <c r="B51" s="288" t="s">
        <v>170</v>
      </c>
      <c r="C51" s="288"/>
      <c r="D51" s="288"/>
      <c r="E51" s="288"/>
      <c r="F51" s="326"/>
      <c r="G51" s="288"/>
      <c r="H51" s="288"/>
      <c r="I51" s="288"/>
      <c r="J51" s="288"/>
      <c r="K51" s="288"/>
      <c r="L51" s="288"/>
      <c r="M51" s="288"/>
      <c r="N51" s="288"/>
      <c r="O51" s="288"/>
      <c r="P51" s="288"/>
      <c r="Q51" s="288"/>
      <c r="R51" s="288"/>
      <c r="S51" s="288"/>
      <c r="T51" s="288"/>
      <c r="U51" s="288"/>
      <c r="V51" s="321">
        <f>SUM(L36:R36)/SUM(D36:J36)</f>
        <v>0.28125734104211036</v>
      </c>
      <c r="W51" s="291"/>
      <c r="X51" s="5"/>
    </row>
    <row r="52" spans="1:25" ht="15.6" x14ac:dyDescent="0.3">
      <c r="A52" s="287"/>
      <c r="B52" s="288" t="s">
        <v>171</v>
      </c>
      <c r="C52" s="288"/>
      <c r="D52" s="288"/>
      <c r="E52" s="288"/>
      <c r="F52" s="288"/>
      <c r="G52" s="288"/>
      <c r="H52" s="288"/>
      <c r="I52" s="288"/>
      <c r="J52" s="288"/>
      <c r="K52" s="288"/>
      <c r="L52" s="288"/>
      <c r="M52" s="288"/>
      <c r="N52" s="288"/>
      <c r="O52" s="288"/>
      <c r="P52" s="288"/>
      <c r="Q52" s="288"/>
      <c r="R52" s="288"/>
      <c r="S52" s="288"/>
      <c r="T52" s="296"/>
      <c r="U52" s="296"/>
      <c r="V52" s="299" t="s">
        <v>276</v>
      </c>
      <c r="W52" s="291"/>
      <c r="X52" s="5"/>
    </row>
    <row r="53" spans="1:25" ht="15.6" x14ac:dyDescent="0.3">
      <c r="A53" s="287"/>
      <c r="B53" s="288"/>
      <c r="C53" s="288"/>
      <c r="D53" s="288"/>
      <c r="E53" s="288"/>
      <c r="F53" s="288"/>
      <c r="G53" s="288"/>
      <c r="H53" s="288"/>
      <c r="I53" s="288"/>
      <c r="J53" s="288"/>
      <c r="K53" s="288"/>
      <c r="L53" s="288"/>
      <c r="M53" s="288"/>
      <c r="N53" s="288"/>
      <c r="O53" s="288"/>
      <c r="P53" s="288"/>
      <c r="Q53" s="288"/>
      <c r="R53" s="288"/>
      <c r="S53" s="288"/>
      <c r="T53" s="288"/>
      <c r="U53" s="288"/>
      <c r="V53" s="327"/>
      <c r="W53" s="291"/>
      <c r="X53" s="5"/>
    </row>
    <row r="54" spans="1:25" ht="15.6" x14ac:dyDescent="0.3">
      <c r="A54" s="287"/>
      <c r="B54" s="288" t="s">
        <v>202</v>
      </c>
      <c r="C54" s="288"/>
      <c r="D54" s="288"/>
      <c r="E54" s="288"/>
      <c r="F54" s="288"/>
      <c r="G54" s="288"/>
      <c r="H54" s="288"/>
      <c r="I54" s="288"/>
      <c r="J54" s="288"/>
      <c r="K54" s="288"/>
      <c r="L54" s="288"/>
      <c r="M54" s="288"/>
      <c r="N54" s="288"/>
      <c r="O54" s="288"/>
      <c r="P54" s="288"/>
      <c r="Q54" s="288"/>
      <c r="R54" s="288"/>
      <c r="S54" s="288"/>
      <c r="T54" s="288"/>
      <c r="U54" s="288"/>
      <c r="V54" s="328" t="s">
        <v>203</v>
      </c>
      <c r="W54" s="291"/>
      <c r="X54" s="5"/>
    </row>
    <row r="55" spans="1:25" ht="15.6" x14ac:dyDescent="0.3">
      <c r="A55" s="287"/>
      <c r="B55" s="288" t="s">
        <v>280</v>
      </c>
      <c r="C55" s="288"/>
      <c r="D55" s="288"/>
      <c r="E55" s="288"/>
      <c r="F55" s="288"/>
      <c r="G55" s="288"/>
      <c r="H55" s="288"/>
      <c r="I55" s="288"/>
      <c r="J55" s="288"/>
      <c r="K55" s="288"/>
      <c r="L55" s="288"/>
      <c r="M55" s="288"/>
      <c r="N55" s="288"/>
      <c r="O55" s="288"/>
      <c r="P55" s="288"/>
      <c r="Q55" s="288"/>
      <c r="R55" s="288"/>
      <c r="S55" s="288"/>
      <c r="T55" s="296"/>
      <c r="U55" s="296"/>
      <c r="V55" s="329" t="s">
        <v>111</v>
      </c>
      <c r="W55" s="291"/>
      <c r="X55" s="5"/>
    </row>
    <row r="56" spans="1:25" ht="15.6" x14ac:dyDescent="0.3">
      <c r="A56" s="287"/>
      <c r="B56" s="295" t="s">
        <v>201</v>
      </c>
      <c r="C56" s="295"/>
      <c r="D56" s="295"/>
      <c r="E56" s="295"/>
      <c r="F56" s="295"/>
      <c r="G56" s="295"/>
      <c r="H56" s="295"/>
      <c r="I56" s="295"/>
      <c r="J56" s="295"/>
      <c r="K56" s="295"/>
      <c r="L56" s="295"/>
      <c r="M56" s="295"/>
      <c r="N56" s="295"/>
      <c r="O56" s="295"/>
      <c r="P56" s="295"/>
      <c r="Q56" s="295"/>
      <c r="R56" s="295"/>
      <c r="S56" s="295"/>
      <c r="T56" s="330"/>
      <c r="U56" s="330"/>
      <c r="V56" s="331">
        <v>42079</v>
      </c>
      <c r="W56" s="291"/>
      <c r="X56" s="5"/>
    </row>
    <row r="57" spans="1:25" ht="15.6" x14ac:dyDescent="0.3">
      <c r="A57" s="287"/>
      <c r="B57" s="288" t="s">
        <v>121</v>
      </c>
      <c r="C57" s="288"/>
      <c r="D57" s="288"/>
      <c r="E57" s="288"/>
      <c r="F57" s="288"/>
      <c r="G57" s="288"/>
      <c r="H57" s="332"/>
      <c r="I57" s="332"/>
      <c r="J57" s="332"/>
      <c r="K57" s="332"/>
      <c r="L57" s="332"/>
      <c r="M57" s="332"/>
      <c r="N57" s="332"/>
      <c r="O57" s="332"/>
      <c r="P57" s="332"/>
      <c r="Q57" s="332"/>
      <c r="R57" s="288">
        <f>+V57-T57+1</f>
        <v>91</v>
      </c>
      <c r="S57" s="332"/>
      <c r="T57" s="333">
        <v>41897</v>
      </c>
      <c r="U57" s="334"/>
      <c r="V57" s="333">
        <v>41987</v>
      </c>
      <c r="W57" s="291"/>
      <c r="X57" s="5"/>
    </row>
    <row r="58" spans="1:25" ht="15.6" x14ac:dyDescent="0.3">
      <c r="A58" s="287"/>
      <c r="B58" s="288" t="s">
        <v>122</v>
      </c>
      <c r="C58" s="288"/>
      <c r="D58" s="288"/>
      <c r="E58" s="288"/>
      <c r="F58" s="288"/>
      <c r="G58" s="288"/>
      <c r="H58" s="288"/>
      <c r="I58" s="288"/>
      <c r="J58" s="288"/>
      <c r="K58" s="288"/>
      <c r="L58" s="288"/>
      <c r="M58" s="288"/>
      <c r="N58" s="288"/>
      <c r="O58" s="288"/>
      <c r="P58" s="288"/>
      <c r="Q58" s="288"/>
      <c r="R58" s="288">
        <f>+V58-T58+1</f>
        <v>91</v>
      </c>
      <c r="S58" s="288"/>
      <c r="T58" s="333">
        <v>41988</v>
      </c>
      <c r="U58" s="334"/>
      <c r="V58" s="333">
        <v>42078</v>
      </c>
      <c r="W58" s="291"/>
      <c r="X58" s="5"/>
    </row>
    <row r="59" spans="1:25" ht="15.6" x14ac:dyDescent="0.3">
      <c r="A59" s="287"/>
      <c r="B59" s="288" t="s">
        <v>229</v>
      </c>
      <c r="C59" s="288"/>
      <c r="D59" s="288"/>
      <c r="E59" s="288"/>
      <c r="F59" s="288"/>
      <c r="G59" s="288"/>
      <c r="H59" s="288"/>
      <c r="I59" s="288"/>
      <c r="J59" s="288"/>
      <c r="K59" s="288"/>
      <c r="L59" s="288"/>
      <c r="M59" s="288"/>
      <c r="N59" s="288"/>
      <c r="O59" s="288"/>
      <c r="P59" s="288"/>
      <c r="Q59" s="288"/>
      <c r="R59" s="288"/>
      <c r="S59" s="288"/>
      <c r="T59" s="333"/>
      <c r="U59" s="334"/>
      <c r="V59" s="333" t="s">
        <v>120</v>
      </c>
      <c r="W59" s="291"/>
      <c r="X59" s="5"/>
    </row>
    <row r="60" spans="1:25" ht="15.6" x14ac:dyDescent="0.3">
      <c r="A60" s="287"/>
      <c r="B60" s="288" t="s">
        <v>228</v>
      </c>
      <c r="C60" s="288"/>
      <c r="D60" s="288"/>
      <c r="E60" s="288"/>
      <c r="F60" s="288"/>
      <c r="G60" s="288"/>
      <c r="H60" s="288"/>
      <c r="I60" s="288"/>
      <c r="J60" s="288"/>
      <c r="K60" s="288"/>
      <c r="L60" s="288"/>
      <c r="M60" s="288"/>
      <c r="N60" s="288"/>
      <c r="O60" s="288"/>
      <c r="P60" s="288"/>
      <c r="Q60" s="288"/>
      <c r="R60" s="288"/>
      <c r="S60" s="288"/>
      <c r="T60" s="333"/>
      <c r="U60" s="334"/>
      <c r="V60" s="333" t="s">
        <v>154</v>
      </c>
      <c r="W60" s="291"/>
      <c r="X60" s="5"/>
      <c r="Y60" s="134"/>
    </row>
    <row r="61" spans="1:25" ht="15.6" x14ac:dyDescent="0.3">
      <c r="A61" s="287"/>
      <c r="B61" s="288" t="s">
        <v>16</v>
      </c>
      <c r="C61" s="288"/>
      <c r="D61" s="288"/>
      <c r="E61" s="288"/>
      <c r="F61" s="288"/>
      <c r="G61" s="288"/>
      <c r="H61" s="288"/>
      <c r="I61" s="288"/>
      <c r="J61" s="288"/>
      <c r="K61" s="288"/>
      <c r="L61" s="288"/>
      <c r="M61" s="288"/>
      <c r="N61" s="288"/>
      <c r="O61" s="288"/>
      <c r="P61" s="288"/>
      <c r="Q61" s="288"/>
      <c r="R61" s="288"/>
      <c r="S61" s="288"/>
      <c r="T61" s="333"/>
      <c r="U61" s="334"/>
      <c r="V61" s="333">
        <v>42065</v>
      </c>
      <c r="W61" s="291"/>
      <c r="X61" s="5"/>
    </row>
    <row r="62" spans="1:25" ht="15.6" x14ac:dyDescent="0.3">
      <c r="A62" s="183"/>
      <c r="B62" s="284"/>
      <c r="C62" s="284"/>
      <c r="D62" s="284"/>
      <c r="E62" s="284"/>
      <c r="F62" s="284"/>
      <c r="G62" s="284"/>
      <c r="H62" s="284"/>
      <c r="I62" s="284"/>
      <c r="J62" s="284"/>
      <c r="K62" s="284"/>
      <c r="L62" s="284"/>
      <c r="M62" s="284"/>
      <c r="N62" s="284"/>
      <c r="O62" s="284"/>
      <c r="P62" s="284"/>
      <c r="Q62" s="284"/>
      <c r="R62" s="284"/>
      <c r="S62" s="284"/>
      <c r="T62" s="285"/>
      <c r="U62" s="286"/>
      <c r="V62" s="285"/>
      <c r="W62" s="284"/>
      <c r="X62" s="5"/>
    </row>
    <row r="63" spans="1:25" ht="15.6" x14ac:dyDescent="0.3">
      <c r="A63" s="183"/>
      <c r="B63" s="224"/>
      <c r="C63" s="224"/>
      <c r="D63" s="224"/>
      <c r="E63" s="224"/>
      <c r="F63" s="224"/>
      <c r="G63" s="224"/>
      <c r="H63" s="224"/>
      <c r="I63" s="224"/>
      <c r="J63" s="224"/>
      <c r="K63" s="224"/>
      <c r="L63" s="224"/>
      <c r="M63" s="224"/>
      <c r="N63" s="224"/>
      <c r="O63" s="224"/>
      <c r="P63" s="224"/>
      <c r="Q63" s="224"/>
      <c r="R63" s="224"/>
      <c r="S63" s="224"/>
      <c r="T63" s="235"/>
      <c r="U63" s="236"/>
      <c r="V63" s="235"/>
      <c r="W63" s="224"/>
      <c r="X63" s="5"/>
    </row>
    <row r="64" spans="1:25" ht="18" thickBot="1" x14ac:dyDescent="0.35">
      <c r="A64" s="199"/>
      <c r="B64" s="237" t="s">
        <v>348</v>
      </c>
      <c r="C64" s="238"/>
      <c r="D64" s="238"/>
      <c r="E64" s="238"/>
      <c r="F64" s="238"/>
      <c r="G64" s="238"/>
      <c r="H64" s="238"/>
      <c r="I64" s="238"/>
      <c r="J64" s="238"/>
      <c r="K64" s="238"/>
      <c r="L64" s="238"/>
      <c r="M64" s="238"/>
      <c r="N64" s="238"/>
      <c r="O64" s="238"/>
      <c r="P64" s="238"/>
      <c r="Q64" s="238"/>
      <c r="R64" s="238"/>
      <c r="S64" s="238"/>
      <c r="T64" s="238"/>
      <c r="U64" s="238"/>
      <c r="V64" s="239"/>
      <c r="W64" s="240"/>
      <c r="X64" s="5"/>
    </row>
    <row r="65" spans="1:24" ht="15.6" x14ac:dyDescent="0.3">
      <c r="A65" s="262"/>
      <c r="B65" s="399" t="s">
        <v>17</v>
      </c>
      <c r="C65" s="263"/>
      <c r="D65" s="263"/>
      <c r="E65" s="263"/>
      <c r="F65" s="263"/>
      <c r="G65" s="263"/>
      <c r="H65" s="263"/>
      <c r="I65" s="263"/>
      <c r="J65" s="263"/>
      <c r="K65" s="263"/>
      <c r="L65" s="263"/>
      <c r="M65" s="263"/>
      <c r="N65" s="263"/>
      <c r="O65" s="263"/>
      <c r="P65" s="263"/>
      <c r="Q65" s="263"/>
      <c r="R65" s="263"/>
      <c r="S65" s="263"/>
      <c r="T65" s="263"/>
      <c r="U65" s="263"/>
      <c r="V65" s="268"/>
      <c r="W65" s="263"/>
      <c r="X65" s="5"/>
    </row>
    <row r="66" spans="1:24" ht="15.6" x14ac:dyDescent="0.3">
      <c r="A66" s="183"/>
      <c r="B66" s="191"/>
      <c r="C66" s="185"/>
      <c r="D66" s="185"/>
      <c r="E66" s="185"/>
      <c r="F66" s="185"/>
      <c r="G66" s="185"/>
      <c r="H66" s="185"/>
      <c r="I66" s="185"/>
      <c r="J66" s="185"/>
      <c r="K66" s="185"/>
      <c r="L66" s="185"/>
      <c r="M66" s="185"/>
      <c r="N66" s="185"/>
      <c r="O66" s="185"/>
      <c r="P66" s="185"/>
      <c r="Q66" s="185"/>
      <c r="R66" s="185"/>
      <c r="S66" s="185"/>
      <c r="T66" s="185"/>
      <c r="U66" s="185"/>
      <c r="V66" s="201"/>
      <c r="W66" s="185"/>
      <c r="X66" s="5"/>
    </row>
    <row r="67" spans="1:24" ht="46.8" x14ac:dyDescent="0.3">
      <c r="A67" s="183"/>
      <c r="B67" s="202" t="s">
        <v>18</v>
      </c>
      <c r="C67" s="203"/>
      <c r="D67" s="203"/>
      <c r="E67" s="203"/>
      <c r="F67" s="203"/>
      <c r="G67" s="203"/>
      <c r="H67" s="203"/>
      <c r="I67" s="203"/>
      <c r="J67" s="203"/>
      <c r="K67" s="203"/>
      <c r="L67" s="203" t="s">
        <v>94</v>
      </c>
      <c r="M67" s="203"/>
      <c r="N67" s="203" t="s">
        <v>96</v>
      </c>
      <c r="O67" s="203"/>
      <c r="P67" s="203" t="s">
        <v>98</v>
      </c>
      <c r="Q67" s="203"/>
      <c r="R67" s="203" t="s">
        <v>100</v>
      </c>
      <c r="S67" s="203"/>
      <c r="T67" s="203" t="s">
        <v>106</v>
      </c>
      <c r="U67" s="203"/>
      <c r="V67" s="204" t="s">
        <v>112</v>
      </c>
      <c r="W67" s="205"/>
      <c r="X67" s="5"/>
    </row>
    <row r="68" spans="1:24" ht="15.6" x14ac:dyDescent="0.3">
      <c r="A68" s="287"/>
      <c r="B68" s="288" t="s">
        <v>19</v>
      </c>
      <c r="C68" s="337"/>
      <c r="D68" s="337"/>
      <c r="E68" s="337"/>
      <c r="F68" s="337"/>
      <c r="G68" s="337"/>
      <c r="H68" s="337"/>
      <c r="I68" s="337"/>
      <c r="J68" s="337"/>
      <c r="K68" s="337"/>
      <c r="L68" s="337">
        <v>1158015</v>
      </c>
      <c r="M68" s="337"/>
      <c r="N68" s="338">
        <v>1035190</v>
      </c>
      <c r="O68" s="337"/>
      <c r="P68" s="337">
        <f>9232+257+132</f>
        <v>9621</v>
      </c>
      <c r="Q68" s="337"/>
      <c r="R68" s="337">
        <f>257+132</f>
        <v>389</v>
      </c>
      <c r="S68" s="337"/>
      <c r="T68" s="337">
        <v>0</v>
      </c>
      <c r="U68" s="337"/>
      <c r="V68" s="338">
        <f>+N68-P68+R68-T68</f>
        <v>1025958</v>
      </c>
      <c r="W68" s="291"/>
      <c r="X68" s="5"/>
    </row>
    <row r="69" spans="1:24" ht="15.6" x14ac:dyDescent="0.3">
      <c r="A69" s="287"/>
      <c r="B69" s="288" t="s">
        <v>20</v>
      </c>
      <c r="C69" s="337"/>
      <c r="D69" s="337"/>
      <c r="E69" s="337"/>
      <c r="F69" s="337"/>
      <c r="G69" s="337"/>
      <c r="H69" s="337"/>
      <c r="I69" s="337"/>
      <c r="J69" s="337"/>
      <c r="K69" s="337"/>
      <c r="L69" s="337">
        <v>15</v>
      </c>
      <c r="M69" s="337"/>
      <c r="N69" s="338">
        <v>0</v>
      </c>
      <c r="O69" s="337"/>
      <c r="P69" s="337">
        <v>0</v>
      </c>
      <c r="Q69" s="337"/>
      <c r="R69" s="337">
        <v>0</v>
      </c>
      <c r="S69" s="337"/>
      <c r="T69" s="337">
        <v>0</v>
      </c>
      <c r="U69" s="337"/>
      <c r="V69" s="338">
        <v>0</v>
      </c>
      <c r="W69" s="291"/>
      <c r="X69" s="5"/>
    </row>
    <row r="70" spans="1:24" ht="15.6" x14ac:dyDescent="0.3">
      <c r="A70" s="287"/>
      <c r="B70" s="288"/>
      <c r="C70" s="337"/>
      <c r="D70" s="337"/>
      <c r="E70" s="337"/>
      <c r="F70" s="337"/>
      <c r="G70" s="337"/>
      <c r="H70" s="337"/>
      <c r="I70" s="337"/>
      <c r="J70" s="337"/>
      <c r="K70" s="337"/>
      <c r="L70" s="337"/>
      <c r="M70" s="337"/>
      <c r="N70" s="338"/>
      <c r="O70" s="337"/>
      <c r="P70" s="337"/>
      <c r="Q70" s="337"/>
      <c r="R70" s="337"/>
      <c r="S70" s="337"/>
      <c r="T70" s="337"/>
      <c r="U70" s="337"/>
      <c r="V70" s="338"/>
      <c r="W70" s="291"/>
      <c r="X70" s="5"/>
    </row>
    <row r="71" spans="1:24" ht="15.6" x14ac:dyDescent="0.3">
      <c r="A71" s="287"/>
      <c r="B71" s="288" t="s">
        <v>21</v>
      </c>
      <c r="C71" s="337"/>
      <c r="D71" s="337"/>
      <c r="E71" s="337"/>
      <c r="F71" s="337"/>
      <c r="G71" s="337"/>
      <c r="H71" s="337"/>
      <c r="I71" s="337"/>
      <c r="J71" s="337"/>
      <c r="K71" s="337"/>
      <c r="L71" s="337">
        <f>SUM(L68:L70)</f>
        <v>1158030</v>
      </c>
      <c r="M71" s="337"/>
      <c r="N71" s="337">
        <f>N68+N69</f>
        <v>1035190</v>
      </c>
      <c r="O71" s="337"/>
      <c r="P71" s="337">
        <f>SUM(P68:P70)</f>
        <v>9621</v>
      </c>
      <c r="Q71" s="337"/>
      <c r="R71" s="337">
        <f>SUM(R68:R70)</f>
        <v>389</v>
      </c>
      <c r="S71" s="337"/>
      <c r="T71" s="337">
        <f>SUM(T68:T70)</f>
        <v>0</v>
      </c>
      <c r="U71" s="337"/>
      <c r="V71" s="337">
        <f>SUM(V68:V70)</f>
        <v>1025958</v>
      </c>
      <c r="W71" s="291"/>
      <c r="X71" s="5"/>
    </row>
    <row r="72" spans="1:24" ht="15.6" x14ac:dyDescent="0.3">
      <c r="A72" s="183"/>
      <c r="B72" s="198"/>
      <c r="C72" s="335"/>
      <c r="D72" s="335"/>
      <c r="E72" s="335"/>
      <c r="F72" s="335"/>
      <c r="G72" s="335"/>
      <c r="H72" s="335"/>
      <c r="I72" s="335"/>
      <c r="J72" s="335"/>
      <c r="K72" s="335"/>
      <c r="L72" s="335"/>
      <c r="M72" s="335"/>
      <c r="N72" s="335"/>
      <c r="O72" s="335"/>
      <c r="P72" s="335"/>
      <c r="Q72" s="335"/>
      <c r="R72" s="335"/>
      <c r="S72" s="335"/>
      <c r="T72" s="335"/>
      <c r="U72" s="335"/>
      <c r="V72" s="336"/>
      <c r="W72" s="198"/>
      <c r="X72" s="5"/>
    </row>
    <row r="73" spans="1:24" ht="15.6" x14ac:dyDescent="0.3">
      <c r="A73" s="183"/>
      <c r="B73" s="187" t="s">
        <v>22</v>
      </c>
      <c r="C73" s="206"/>
      <c r="D73" s="206"/>
      <c r="E73" s="206"/>
      <c r="F73" s="206"/>
      <c r="G73" s="206"/>
      <c r="H73" s="206"/>
      <c r="I73" s="206"/>
      <c r="J73" s="206"/>
      <c r="K73" s="206"/>
      <c r="L73" s="206"/>
      <c r="M73" s="206"/>
      <c r="N73" s="206"/>
      <c r="O73" s="206"/>
      <c r="P73" s="206"/>
      <c r="Q73" s="206"/>
      <c r="R73" s="206"/>
      <c r="S73" s="206"/>
      <c r="T73" s="206"/>
      <c r="U73" s="206"/>
      <c r="V73" s="207"/>
      <c r="W73" s="185"/>
      <c r="X73" s="5"/>
    </row>
    <row r="74" spans="1:24" ht="15.6" x14ac:dyDescent="0.3">
      <c r="A74" s="183"/>
      <c r="B74" s="185"/>
      <c r="C74" s="206"/>
      <c r="D74" s="206"/>
      <c r="E74" s="206"/>
      <c r="F74" s="206"/>
      <c r="G74" s="206"/>
      <c r="H74" s="206"/>
      <c r="I74" s="206"/>
      <c r="J74" s="206"/>
      <c r="K74" s="206"/>
      <c r="L74" s="206"/>
      <c r="M74" s="206"/>
      <c r="N74" s="206"/>
      <c r="O74" s="206"/>
      <c r="P74" s="206"/>
      <c r="Q74" s="206"/>
      <c r="R74" s="206"/>
      <c r="S74" s="206"/>
      <c r="T74" s="206"/>
      <c r="U74" s="206"/>
      <c r="V74" s="207"/>
      <c r="W74" s="185"/>
      <c r="X74" s="5"/>
    </row>
    <row r="75" spans="1:24" ht="15.6" x14ac:dyDescent="0.3">
      <c r="A75" s="340"/>
      <c r="B75" s="288" t="s">
        <v>19</v>
      </c>
      <c r="C75" s="337"/>
      <c r="D75" s="337"/>
      <c r="E75" s="337"/>
      <c r="F75" s="337"/>
      <c r="G75" s="337"/>
      <c r="H75" s="337"/>
      <c r="I75" s="337"/>
      <c r="J75" s="337"/>
      <c r="K75" s="337"/>
      <c r="L75" s="337"/>
      <c r="M75" s="337"/>
      <c r="N75" s="337"/>
      <c r="O75" s="337"/>
      <c r="P75" s="337"/>
      <c r="Q75" s="337"/>
      <c r="R75" s="337"/>
      <c r="S75" s="337"/>
      <c r="T75" s="337"/>
      <c r="U75" s="337"/>
      <c r="V75" s="337"/>
      <c r="W75" s="291"/>
      <c r="X75" s="5"/>
    </row>
    <row r="76" spans="1:24" ht="15.6" x14ac:dyDescent="0.3">
      <c r="A76" s="340"/>
      <c r="B76" s="288" t="s">
        <v>20</v>
      </c>
      <c r="C76" s="337"/>
      <c r="D76" s="337"/>
      <c r="E76" s="337"/>
      <c r="F76" s="337"/>
      <c r="G76" s="337"/>
      <c r="H76" s="337"/>
      <c r="I76" s="337"/>
      <c r="J76" s="337"/>
      <c r="K76" s="337"/>
      <c r="L76" s="337"/>
      <c r="M76" s="337"/>
      <c r="N76" s="337"/>
      <c r="O76" s="337"/>
      <c r="P76" s="337"/>
      <c r="Q76" s="337"/>
      <c r="R76" s="337"/>
      <c r="S76" s="337"/>
      <c r="T76" s="337"/>
      <c r="U76" s="337"/>
      <c r="V76" s="337"/>
      <c r="W76" s="291"/>
      <c r="X76" s="5"/>
    </row>
    <row r="77" spans="1:24" ht="15.6" x14ac:dyDescent="0.3">
      <c r="A77" s="340"/>
      <c r="B77" s="288"/>
      <c r="C77" s="337"/>
      <c r="D77" s="337"/>
      <c r="E77" s="337"/>
      <c r="F77" s="337"/>
      <c r="G77" s="337"/>
      <c r="H77" s="337"/>
      <c r="I77" s="337"/>
      <c r="J77" s="337"/>
      <c r="K77" s="337"/>
      <c r="L77" s="337"/>
      <c r="M77" s="337"/>
      <c r="N77" s="337"/>
      <c r="O77" s="337"/>
      <c r="P77" s="337"/>
      <c r="Q77" s="337"/>
      <c r="R77" s="337"/>
      <c r="S77" s="337"/>
      <c r="T77" s="337"/>
      <c r="U77" s="337"/>
      <c r="V77" s="337"/>
      <c r="W77" s="291"/>
      <c r="X77" s="5"/>
    </row>
    <row r="78" spans="1:24" ht="15.6" x14ac:dyDescent="0.3">
      <c r="A78" s="340"/>
      <c r="B78" s="288" t="s">
        <v>21</v>
      </c>
      <c r="C78" s="337"/>
      <c r="D78" s="337"/>
      <c r="E78" s="337"/>
      <c r="F78" s="337"/>
      <c r="G78" s="337"/>
      <c r="H78" s="337"/>
      <c r="I78" s="337"/>
      <c r="J78" s="337"/>
      <c r="K78" s="337"/>
      <c r="L78" s="337"/>
      <c r="M78" s="337"/>
      <c r="N78" s="337"/>
      <c r="O78" s="337"/>
      <c r="P78" s="337"/>
      <c r="Q78" s="337"/>
      <c r="R78" s="337"/>
      <c r="S78" s="337"/>
      <c r="T78" s="337"/>
      <c r="U78" s="337"/>
      <c r="V78" s="337"/>
      <c r="W78" s="291"/>
      <c r="X78" s="5"/>
    </row>
    <row r="79" spans="1:24" ht="15.6" x14ac:dyDescent="0.3">
      <c r="A79" s="340"/>
      <c r="B79" s="288"/>
      <c r="C79" s="337"/>
      <c r="D79" s="337"/>
      <c r="E79" s="337"/>
      <c r="F79" s="337"/>
      <c r="G79" s="337"/>
      <c r="H79" s="337"/>
      <c r="I79" s="337"/>
      <c r="J79" s="337"/>
      <c r="K79" s="337"/>
      <c r="L79" s="337"/>
      <c r="M79" s="337"/>
      <c r="N79" s="337"/>
      <c r="O79" s="337"/>
      <c r="P79" s="337"/>
      <c r="Q79" s="337"/>
      <c r="R79" s="337"/>
      <c r="S79" s="337"/>
      <c r="T79" s="337"/>
      <c r="U79" s="337"/>
      <c r="V79" s="337"/>
      <c r="W79" s="291"/>
      <c r="X79" s="5"/>
    </row>
    <row r="80" spans="1:24" ht="15.6" x14ac:dyDescent="0.3">
      <c r="A80" s="340"/>
      <c r="B80" s="288" t="s">
        <v>23</v>
      </c>
      <c r="C80" s="337"/>
      <c r="D80" s="337"/>
      <c r="E80" s="337"/>
      <c r="F80" s="337"/>
      <c r="G80" s="337"/>
      <c r="H80" s="337"/>
      <c r="I80" s="337"/>
      <c r="J80" s="337"/>
      <c r="K80" s="337"/>
      <c r="L80" s="337">
        <v>0</v>
      </c>
      <c r="M80" s="337"/>
      <c r="N80" s="337">
        <v>0</v>
      </c>
      <c r="O80" s="337"/>
      <c r="P80" s="337"/>
      <c r="Q80" s="337"/>
      <c r="R80" s="337"/>
      <c r="S80" s="337"/>
      <c r="T80" s="337"/>
      <c r="U80" s="337"/>
      <c r="V80" s="338">
        <v>0</v>
      </c>
      <c r="W80" s="291"/>
      <c r="X80" s="5"/>
    </row>
    <row r="81" spans="1:24" ht="15.6" x14ac:dyDescent="0.3">
      <c r="A81" s="340"/>
      <c r="B81" s="288" t="s">
        <v>117</v>
      </c>
      <c r="C81" s="337"/>
      <c r="D81" s="337"/>
      <c r="E81" s="337"/>
      <c r="F81" s="337"/>
      <c r="G81" s="337"/>
      <c r="H81" s="337"/>
      <c r="I81" s="337"/>
      <c r="J81" s="337"/>
      <c r="K81" s="337"/>
      <c r="L81" s="337">
        <v>342245</v>
      </c>
      <c r="M81" s="337"/>
      <c r="N81" s="337">
        <v>0</v>
      </c>
      <c r="O81" s="337"/>
      <c r="P81" s="337">
        <v>0</v>
      </c>
      <c r="Q81" s="337"/>
      <c r="R81" s="337"/>
      <c r="S81" s="337"/>
      <c r="T81" s="337"/>
      <c r="U81" s="337"/>
      <c r="V81" s="337">
        <f>SUM(N81:R81)</f>
        <v>0</v>
      </c>
      <c r="W81" s="291"/>
      <c r="X81" s="5"/>
    </row>
    <row r="82" spans="1:24" ht="15.6" x14ac:dyDescent="0.3">
      <c r="A82" s="340"/>
      <c r="B82" s="288"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91"/>
      <c r="X82" s="5"/>
    </row>
    <row r="83" spans="1:24" ht="15.6" x14ac:dyDescent="0.3">
      <c r="A83" s="340"/>
      <c r="B83" s="288" t="s">
        <v>25</v>
      </c>
      <c r="C83" s="337"/>
      <c r="D83" s="337"/>
      <c r="E83" s="337"/>
      <c r="F83" s="337"/>
      <c r="G83" s="337"/>
      <c r="H83" s="337"/>
      <c r="I83" s="337"/>
      <c r="J83" s="337"/>
      <c r="K83" s="337"/>
      <c r="L83" s="337">
        <v>0</v>
      </c>
      <c r="M83" s="337"/>
      <c r="N83" s="337">
        <v>0</v>
      </c>
      <c r="O83" s="337"/>
      <c r="P83" s="337"/>
      <c r="Q83" s="337"/>
      <c r="R83" s="337"/>
      <c r="S83" s="337"/>
      <c r="T83" s="337"/>
      <c r="U83" s="337"/>
      <c r="V83" s="337">
        <v>0</v>
      </c>
      <c r="W83" s="291"/>
      <c r="X83" s="5"/>
    </row>
    <row r="84" spans="1:24" ht="15.6" x14ac:dyDescent="0.3">
      <c r="A84" s="340"/>
      <c r="B84" s="288" t="s">
        <v>26</v>
      </c>
      <c r="C84" s="337"/>
      <c r="D84" s="337"/>
      <c r="E84" s="337"/>
      <c r="F84" s="337"/>
      <c r="G84" s="337"/>
      <c r="H84" s="337"/>
      <c r="I84" s="337"/>
      <c r="J84" s="337"/>
      <c r="K84" s="337"/>
      <c r="L84" s="337">
        <f>SUM(L71:L83)</f>
        <v>1500275</v>
      </c>
      <c r="M84" s="337"/>
      <c r="N84" s="337">
        <f>SUM(N71:N83)</f>
        <v>1035190</v>
      </c>
      <c r="O84" s="337"/>
      <c r="P84" s="337"/>
      <c r="Q84" s="337"/>
      <c r="R84" s="337"/>
      <c r="S84" s="337"/>
      <c r="T84" s="337"/>
      <c r="U84" s="337"/>
      <c r="V84" s="337">
        <f>SUM(V71:V83)</f>
        <v>1025958</v>
      </c>
      <c r="W84" s="291"/>
      <c r="X84" s="5"/>
    </row>
    <row r="85" spans="1:24" ht="15.6" x14ac:dyDescent="0.3">
      <c r="A85" s="243"/>
      <c r="B85" s="284"/>
      <c r="C85" s="339"/>
      <c r="D85" s="339"/>
      <c r="E85" s="339"/>
      <c r="F85" s="339"/>
      <c r="G85" s="339"/>
      <c r="H85" s="339"/>
      <c r="I85" s="339"/>
      <c r="J85" s="339"/>
      <c r="K85" s="339"/>
      <c r="L85" s="339"/>
      <c r="M85" s="339"/>
      <c r="N85" s="339"/>
      <c r="O85" s="339"/>
      <c r="P85" s="339"/>
      <c r="Q85" s="339"/>
      <c r="R85" s="339"/>
      <c r="S85" s="339"/>
      <c r="T85" s="339"/>
      <c r="U85" s="339"/>
      <c r="V85" s="339"/>
      <c r="W85" s="284"/>
      <c r="X85" s="5"/>
    </row>
    <row r="86" spans="1:24" ht="15.6" x14ac:dyDescent="0.3">
      <c r="A86" s="243"/>
      <c r="B86" s="224"/>
      <c r="C86" s="224"/>
      <c r="D86" s="224"/>
      <c r="E86" s="224"/>
      <c r="F86" s="224"/>
      <c r="G86" s="224"/>
      <c r="H86" s="224"/>
      <c r="I86" s="224"/>
      <c r="J86" s="224"/>
      <c r="K86" s="224"/>
      <c r="L86" s="224"/>
      <c r="M86" s="224"/>
      <c r="N86" s="224"/>
      <c r="O86" s="224"/>
      <c r="P86" s="224"/>
      <c r="Q86" s="224"/>
      <c r="R86" s="224"/>
      <c r="S86" s="224"/>
      <c r="T86" s="224"/>
      <c r="U86" s="224"/>
      <c r="V86" s="224"/>
      <c r="W86" s="224"/>
      <c r="X86" s="5"/>
    </row>
    <row r="87" spans="1:24" ht="15.6" x14ac:dyDescent="0.3">
      <c r="A87" s="262"/>
      <c r="B87" s="399" t="s">
        <v>27</v>
      </c>
      <c r="C87" s="399"/>
      <c r="D87" s="399"/>
      <c r="E87" s="399"/>
      <c r="F87" s="399"/>
      <c r="G87" s="399"/>
      <c r="H87" s="400"/>
      <c r="I87" s="400"/>
      <c r="J87" s="400"/>
      <c r="K87" s="400"/>
      <c r="L87" s="401" t="s">
        <v>95</v>
      </c>
      <c r="M87" s="400"/>
      <c r="N87" s="402">
        <f>+T205</f>
        <v>42062</v>
      </c>
      <c r="O87" s="400"/>
      <c r="P87" s="400"/>
      <c r="Q87" s="400"/>
      <c r="R87" s="400"/>
      <c r="S87" s="400"/>
      <c r="T87" s="400" t="s">
        <v>107</v>
      </c>
      <c r="U87" s="400"/>
      <c r="V87" s="400" t="s">
        <v>113</v>
      </c>
      <c r="W87" s="263"/>
      <c r="X87" s="5"/>
    </row>
    <row r="88" spans="1:24" ht="15.6" x14ac:dyDescent="0.3">
      <c r="A88" s="242"/>
      <c r="B88" s="231" t="s">
        <v>28</v>
      </c>
      <c r="C88" s="231"/>
      <c r="D88" s="231"/>
      <c r="E88" s="231"/>
      <c r="F88" s="231"/>
      <c r="G88" s="231"/>
      <c r="H88" s="231"/>
      <c r="I88" s="231"/>
      <c r="J88" s="231"/>
      <c r="K88" s="231"/>
      <c r="L88" s="231"/>
      <c r="M88" s="231"/>
      <c r="N88" s="231"/>
      <c r="O88" s="231"/>
      <c r="P88" s="231"/>
      <c r="Q88" s="231"/>
      <c r="R88" s="231"/>
      <c r="S88" s="231"/>
      <c r="T88" s="234">
        <v>0</v>
      </c>
      <c r="U88" s="231"/>
      <c r="V88" s="241">
        <v>0</v>
      </c>
      <c r="W88" s="231"/>
      <c r="X88" s="5"/>
    </row>
    <row r="89" spans="1:24" ht="15.6" x14ac:dyDescent="0.3">
      <c r="A89" s="340"/>
      <c r="B89" s="288" t="s">
        <v>29</v>
      </c>
      <c r="C89" s="288"/>
      <c r="D89" s="288"/>
      <c r="E89" s="288"/>
      <c r="F89" s="288"/>
      <c r="G89" s="288"/>
      <c r="H89" s="325"/>
      <c r="I89" s="325"/>
      <c r="J89" s="325"/>
      <c r="K89" s="341"/>
      <c r="L89" s="325"/>
      <c r="M89" s="288"/>
      <c r="N89" s="342"/>
      <c r="O89" s="288"/>
      <c r="P89" s="288"/>
      <c r="Q89" s="288"/>
      <c r="R89" s="288"/>
      <c r="S89" s="288"/>
      <c r="T89" s="337">
        <f>9621-292</f>
        <v>9329</v>
      </c>
      <c r="U89" s="288"/>
      <c r="V89" s="338"/>
      <c r="W89" s="291"/>
      <c r="X89" s="5"/>
    </row>
    <row r="90" spans="1:24" ht="15.6" x14ac:dyDescent="0.3">
      <c r="A90" s="340"/>
      <c r="B90" s="288" t="s">
        <v>216</v>
      </c>
      <c r="C90" s="288"/>
      <c r="D90" s="288"/>
      <c r="E90" s="288"/>
      <c r="F90" s="288"/>
      <c r="G90" s="288"/>
      <c r="H90" s="325"/>
      <c r="I90" s="325"/>
      <c r="J90" s="325"/>
      <c r="K90" s="341"/>
      <c r="L90" s="325"/>
      <c r="M90" s="288"/>
      <c r="N90" s="342"/>
      <c r="O90" s="288"/>
      <c r="P90" s="288"/>
      <c r="Q90" s="288"/>
      <c r="R90" s="288"/>
      <c r="S90" s="288"/>
      <c r="T90" s="337"/>
      <c r="U90" s="288"/>
      <c r="V90" s="338">
        <f>3385+3769-505-643</f>
        <v>6006</v>
      </c>
      <c r="W90" s="291"/>
      <c r="X90" s="5"/>
    </row>
    <row r="91" spans="1:24" ht="15.6" x14ac:dyDescent="0.3">
      <c r="A91" s="340"/>
      <c r="B91" s="288" t="s">
        <v>211</v>
      </c>
      <c r="C91" s="288"/>
      <c r="D91" s="288"/>
      <c r="E91" s="288"/>
      <c r="F91" s="288"/>
      <c r="G91" s="288"/>
      <c r="H91" s="325"/>
      <c r="I91" s="325"/>
      <c r="J91" s="325"/>
      <c r="K91" s="341"/>
      <c r="L91" s="325"/>
      <c r="M91" s="288"/>
      <c r="N91" s="342"/>
      <c r="O91" s="288"/>
      <c r="P91" s="288"/>
      <c r="Q91" s="288"/>
      <c r="R91" s="288"/>
      <c r="S91" s="288"/>
      <c r="T91" s="337"/>
      <c r="U91" s="288"/>
      <c r="V91" s="338">
        <f>46+119</f>
        <v>165</v>
      </c>
      <c r="W91" s="291"/>
      <c r="X91" s="5"/>
    </row>
    <row r="92" spans="1:24" ht="15.6" x14ac:dyDescent="0.3">
      <c r="A92" s="340"/>
      <c r="B92" s="288" t="s">
        <v>212</v>
      </c>
      <c r="C92" s="288"/>
      <c r="D92" s="288"/>
      <c r="E92" s="288"/>
      <c r="F92" s="288"/>
      <c r="G92" s="288"/>
      <c r="H92" s="325"/>
      <c r="I92" s="325"/>
      <c r="J92" s="325"/>
      <c r="K92" s="341"/>
      <c r="L92" s="325"/>
      <c r="M92" s="288"/>
      <c r="N92" s="342"/>
      <c r="O92" s="288"/>
      <c r="P92" s="288"/>
      <c r="Q92" s="288"/>
      <c r="R92" s="288"/>
      <c r="S92" s="288"/>
      <c r="T92" s="337"/>
      <c r="U92" s="288"/>
      <c r="V92" s="338">
        <v>42</v>
      </c>
      <c r="W92" s="291"/>
      <c r="X92" s="5"/>
    </row>
    <row r="93" spans="1:24" ht="15.6" x14ac:dyDescent="0.3">
      <c r="A93" s="340"/>
      <c r="B93" s="288" t="s">
        <v>272</v>
      </c>
      <c r="C93" s="288"/>
      <c r="D93" s="288"/>
      <c r="E93" s="288"/>
      <c r="F93" s="288"/>
      <c r="G93" s="288"/>
      <c r="H93" s="325"/>
      <c r="I93" s="325"/>
      <c r="J93" s="325"/>
      <c r="K93" s="341"/>
      <c r="L93" s="325"/>
      <c r="M93" s="288"/>
      <c r="N93" s="342"/>
      <c r="O93" s="288"/>
      <c r="P93" s="288"/>
      <c r="Q93" s="288"/>
      <c r="R93" s="288"/>
      <c r="S93" s="288"/>
      <c r="T93" s="337"/>
      <c r="U93" s="288"/>
      <c r="V93" s="338">
        <v>0</v>
      </c>
      <c r="W93" s="291"/>
      <c r="X93" s="5"/>
    </row>
    <row r="94" spans="1:24" ht="15.6" x14ac:dyDescent="0.3">
      <c r="A94" s="340"/>
      <c r="B94" s="288" t="s">
        <v>274</v>
      </c>
      <c r="C94" s="288"/>
      <c r="D94" s="288"/>
      <c r="E94" s="288"/>
      <c r="F94" s="288"/>
      <c r="G94" s="288"/>
      <c r="H94" s="325"/>
      <c r="I94" s="325"/>
      <c r="J94" s="325"/>
      <c r="K94" s="341"/>
      <c r="L94" s="325"/>
      <c r="M94" s="288"/>
      <c r="N94" s="342"/>
      <c r="O94" s="288"/>
      <c r="P94" s="288"/>
      <c r="Q94" s="288"/>
      <c r="R94" s="288"/>
      <c r="S94" s="288"/>
      <c r="T94" s="337"/>
      <c r="U94" s="288"/>
      <c r="V94" s="338">
        <v>0</v>
      </c>
      <c r="W94" s="291"/>
      <c r="X94" s="5"/>
    </row>
    <row r="95" spans="1:24" ht="15.6" x14ac:dyDescent="0.3">
      <c r="A95" s="340"/>
      <c r="B95" s="288" t="s">
        <v>135</v>
      </c>
      <c r="C95" s="288"/>
      <c r="D95" s="288"/>
      <c r="E95" s="288"/>
      <c r="F95" s="288"/>
      <c r="G95" s="288"/>
      <c r="H95" s="288"/>
      <c r="I95" s="288"/>
      <c r="J95" s="288"/>
      <c r="K95" s="288"/>
      <c r="L95" s="288"/>
      <c r="M95" s="288"/>
      <c r="N95" s="288"/>
      <c r="O95" s="288"/>
      <c r="P95" s="288"/>
      <c r="Q95" s="288"/>
      <c r="R95" s="288"/>
      <c r="S95" s="288"/>
      <c r="T95" s="337"/>
      <c r="U95" s="288"/>
      <c r="V95" s="338">
        <v>0</v>
      </c>
      <c r="W95" s="291"/>
      <c r="X95" s="5"/>
    </row>
    <row r="96" spans="1:24" ht="15.6" x14ac:dyDescent="0.3">
      <c r="A96" s="340"/>
      <c r="B96" s="288" t="s">
        <v>268</v>
      </c>
      <c r="C96" s="288"/>
      <c r="D96" s="288"/>
      <c r="E96" s="288"/>
      <c r="F96" s="288"/>
      <c r="G96" s="288"/>
      <c r="H96" s="288"/>
      <c r="I96" s="288"/>
      <c r="J96" s="288"/>
      <c r="K96" s="288"/>
      <c r="L96" s="288"/>
      <c r="M96" s="288"/>
      <c r="N96" s="288"/>
      <c r="O96" s="288"/>
      <c r="P96" s="288"/>
      <c r="Q96" s="288"/>
      <c r="R96" s="288"/>
      <c r="S96" s="288"/>
      <c r="T96" s="337"/>
      <c r="U96" s="288"/>
      <c r="V96" s="338">
        <v>270</v>
      </c>
      <c r="W96" s="291"/>
      <c r="X96" s="5"/>
    </row>
    <row r="97" spans="1:25" ht="15.6" x14ac:dyDescent="0.3">
      <c r="A97" s="340"/>
      <c r="B97" s="288" t="s">
        <v>30</v>
      </c>
      <c r="C97" s="288"/>
      <c r="D97" s="288"/>
      <c r="E97" s="288"/>
      <c r="F97" s="288"/>
      <c r="G97" s="288"/>
      <c r="H97" s="288"/>
      <c r="I97" s="288"/>
      <c r="J97" s="288"/>
      <c r="K97" s="288"/>
      <c r="L97" s="288"/>
      <c r="M97" s="288"/>
      <c r="N97" s="288"/>
      <c r="O97" s="288"/>
      <c r="P97" s="288"/>
      <c r="Q97" s="288"/>
      <c r="R97" s="288"/>
      <c r="S97" s="288"/>
      <c r="T97" s="337">
        <f>SUM(T88:T96)</f>
        <v>9329</v>
      </c>
      <c r="U97" s="288"/>
      <c r="V97" s="337">
        <f>SUM(V88:V96)</f>
        <v>6483</v>
      </c>
      <c r="W97" s="291"/>
      <c r="X97" s="5"/>
    </row>
    <row r="98" spans="1:25" ht="15.6" x14ac:dyDescent="0.3">
      <c r="A98" s="340"/>
      <c r="B98" s="288" t="s">
        <v>161</v>
      </c>
      <c r="C98" s="288"/>
      <c r="D98" s="288"/>
      <c r="E98" s="288"/>
      <c r="F98" s="288"/>
      <c r="G98" s="288"/>
      <c r="H98" s="288"/>
      <c r="I98" s="288"/>
      <c r="J98" s="288"/>
      <c r="K98" s="288"/>
      <c r="L98" s="288"/>
      <c r="M98" s="288"/>
      <c r="N98" s="288"/>
      <c r="O98" s="288"/>
      <c r="P98" s="288"/>
      <c r="Q98" s="288"/>
      <c r="R98" s="288"/>
      <c r="S98" s="288"/>
      <c r="T98" s="337">
        <f>-V98</f>
        <v>0</v>
      </c>
      <c r="U98" s="288"/>
      <c r="V98" s="337">
        <v>0</v>
      </c>
      <c r="W98" s="291"/>
      <c r="X98" s="5"/>
    </row>
    <row r="99" spans="1:25" ht="15.6" x14ac:dyDescent="0.3">
      <c r="A99" s="340"/>
      <c r="B99" s="288" t="s">
        <v>31</v>
      </c>
      <c r="C99" s="288"/>
      <c r="D99" s="288"/>
      <c r="E99" s="288"/>
      <c r="F99" s="288"/>
      <c r="G99" s="288"/>
      <c r="H99" s="288"/>
      <c r="I99" s="288"/>
      <c r="J99" s="288"/>
      <c r="K99" s="288"/>
      <c r="L99" s="288"/>
      <c r="M99" s="288"/>
      <c r="N99" s="288"/>
      <c r="O99" s="288"/>
      <c r="P99" s="288"/>
      <c r="Q99" s="288"/>
      <c r="R99" s="288"/>
      <c r="S99" s="288"/>
      <c r="T99" s="337">
        <f>-V99</f>
        <v>0</v>
      </c>
      <c r="U99" s="288"/>
      <c r="V99" s="338">
        <v>0</v>
      </c>
      <c r="W99" s="291"/>
      <c r="X99" s="5"/>
    </row>
    <row r="100" spans="1:25" ht="15.6" x14ac:dyDescent="0.3">
      <c r="A100" s="340"/>
      <c r="B100" s="288" t="s">
        <v>283</v>
      </c>
      <c r="C100" s="288"/>
      <c r="D100" s="288"/>
      <c r="E100" s="288"/>
      <c r="F100" s="288"/>
      <c r="G100" s="288"/>
      <c r="H100" s="288"/>
      <c r="I100" s="288"/>
      <c r="J100" s="288"/>
      <c r="K100" s="288"/>
      <c r="L100" s="288"/>
      <c r="M100" s="288"/>
      <c r="N100" s="288"/>
      <c r="O100" s="288"/>
      <c r="P100" s="288"/>
      <c r="Q100" s="288"/>
      <c r="R100" s="288"/>
      <c r="S100" s="288"/>
      <c r="T100" s="337"/>
      <c r="U100" s="288"/>
      <c r="V100" s="338">
        <v>18</v>
      </c>
      <c r="W100" s="291"/>
      <c r="X100" s="5"/>
    </row>
    <row r="101" spans="1:25" ht="15.6" x14ac:dyDescent="0.3">
      <c r="A101" s="340"/>
      <c r="B101" s="288" t="s">
        <v>32</v>
      </c>
      <c r="C101" s="288"/>
      <c r="D101" s="288"/>
      <c r="E101" s="288"/>
      <c r="F101" s="288"/>
      <c r="G101" s="288"/>
      <c r="H101" s="288"/>
      <c r="I101" s="288"/>
      <c r="J101" s="288"/>
      <c r="K101" s="288"/>
      <c r="L101" s="288"/>
      <c r="M101" s="288"/>
      <c r="N101" s="288"/>
      <c r="O101" s="288"/>
      <c r="P101" s="288"/>
      <c r="Q101" s="288"/>
      <c r="R101" s="288"/>
      <c r="S101" s="288"/>
      <c r="T101" s="337">
        <f>T97+T99+T98</f>
        <v>9329</v>
      </c>
      <c r="U101" s="288"/>
      <c r="V101" s="337">
        <f>V97+V99+V98+V100</f>
        <v>6501</v>
      </c>
      <c r="W101" s="291"/>
      <c r="X101" s="5"/>
    </row>
    <row r="102" spans="1:25" ht="15.6" x14ac:dyDescent="0.3">
      <c r="A102" s="287"/>
      <c r="B102" s="343" t="s">
        <v>33</v>
      </c>
      <c r="C102" s="314"/>
      <c r="D102" s="314"/>
      <c r="E102" s="314"/>
      <c r="F102" s="314"/>
      <c r="G102" s="314"/>
      <c r="H102" s="314"/>
      <c r="I102" s="314"/>
      <c r="J102" s="314"/>
      <c r="K102" s="314"/>
      <c r="L102" s="314"/>
      <c r="M102" s="314"/>
      <c r="N102" s="314"/>
      <c r="O102" s="314"/>
      <c r="P102" s="314"/>
      <c r="Q102" s="314"/>
      <c r="R102" s="314"/>
      <c r="S102" s="314"/>
      <c r="T102" s="344"/>
      <c r="U102" s="314"/>
      <c r="V102" s="345"/>
      <c r="W102" s="318"/>
      <c r="X102" s="5"/>
    </row>
    <row r="103" spans="1:25" ht="15.6" x14ac:dyDescent="0.3">
      <c r="A103" s="340">
        <v>1</v>
      </c>
      <c r="B103" s="288" t="s">
        <v>34</v>
      </c>
      <c r="C103" s="288"/>
      <c r="D103" s="288"/>
      <c r="E103" s="288"/>
      <c r="F103" s="288"/>
      <c r="G103" s="288"/>
      <c r="H103" s="288"/>
      <c r="I103" s="288"/>
      <c r="J103" s="288"/>
      <c r="K103" s="288"/>
      <c r="L103" s="288"/>
      <c r="M103" s="288"/>
      <c r="N103" s="288"/>
      <c r="O103" s="288"/>
      <c r="P103" s="288"/>
      <c r="Q103" s="288"/>
      <c r="R103" s="288"/>
      <c r="S103" s="288"/>
      <c r="T103" s="288"/>
      <c r="U103" s="288"/>
      <c r="V103" s="338">
        <v>0</v>
      </c>
      <c r="W103" s="291"/>
      <c r="X103" s="5"/>
    </row>
    <row r="104" spans="1:25" ht="15.6" x14ac:dyDescent="0.3">
      <c r="A104" s="340">
        <f>+A103+1</f>
        <v>2</v>
      </c>
      <c r="B104" s="288" t="s">
        <v>330</v>
      </c>
      <c r="C104" s="288"/>
      <c r="D104" s="288"/>
      <c r="E104" s="288"/>
      <c r="F104" s="288"/>
      <c r="G104" s="288"/>
      <c r="H104" s="288"/>
      <c r="I104" s="288"/>
      <c r="J104" s="288"/>
      <c r="K104" s="288"/>
      <c r="L104" s="288"/>
      <c r="M104" s="288"/>
      <c r="N104" s="288"/>
      <c r="O104" s="288"/>
      <c r="P104" s="288"/>
      <c r="Q104" s="288"/>
      <c r="R104" s="288"/>
      <c r="S104" s="288"/>
      <c r="T104" s="288"/>
      <c r="U104" s="288"/>
      <c r="V104" s="338">
        <v>-2</v>
      </c>
      <c r="W104" s="291"/>
      <c r="X104" s="5"/>
    </row>
    <row r="105" spans="1:25" ht="15.6" x14ac:dyDescent="0.3">
      <c r="A105" s="340">
        <f>+A104+1</f>
        <v>3</v>
      </c>
      <c r="B105" s="288" t="s">
        <v>331</v>
      </c>
      <c r="C105" s="288"/>
      <c r="D105" s="288"/>
      <c r="E105" s="288"/>
      <c r="F105" s="288"/>
      <c r="G105" s="288"/>
      <c r="H105" s="288"/>
      <c r="I105" s="288"/>
      <c r="J105" s="288"/>
      <c r="K105" s="288"/>
      <c r="L105" s="288"/>
      <c r="M105" s="288"/>
      <c r="N105" s="288"/>
      <c r="O105" s="288"/>
      <c r="P105" s="288"/>
      <c r="Q105" s="288"/>
      <c r="R105" s="288"/>
      <c r="S105" s="288"/>
      <c r="T105" s="288"/>
      <c r="U105" s="288"/>
      <c r="V105" s="338">
        <f>-129-223-13</f>
        <v>-365</v>
      </c>
      <c r="W105" s="291"/>
      <c r="X105" s="5"/>
    </row>
    <row r="106" spans="1:25" ht="15.6" x14ac:dyDescent="0.3">
      <c r="A106" s="340" t="s">
        <v>127</v>
      </c>
      <c r="B106" s="288" t="s">
        <v>116</v>
      </c>
      <c r="C106" s="288"/>
      <c r="D106" s="288"/>
      <c r="E106" s="288"/>
      <c r="F106" s="288"/>
      <c r="G106" s="288"/>
      <c r="H106" s="288"/>
      <c r="I106" s="288"/>
      <c r="J106" s="288"/>
      <c r="K106" s="288"/>
      <c r="L106" s="288"/>
      <c r="M106" s="288"/>
      <c r="N106" s="288"/>
      <c r="O106" s="288"/>
      <c r="P106" s="288"/>
      <c r="Q106" s="288"/>
      <c r="R106" s="288"/>
      <c r="S106" s="288"/>
      <c r="T106" s="288"/>
      <c r="U106" s="288"/>
      <c r="V106" s="338">
        <v>0</v>
      </c>
      <c r="W106" s="291"/>
      <c r="X106" s="5"/>
    </row>
    <row r="107" spans="1:25" ht="15.6" x14ac:dyDescent="0.3">
      <c r="A107" s="340" t="s">
        <v>128</v>
      </c>
      <c r="B107" s="288" t="s">
        <v>222</v>
      </c>
      <c r="C107" s="288"/>
      <c r="D107" s="288"/>
      <c r="E107" s="288"/>
      <c r="F107" s="288"/>
      <c r="G107" s="288"/>
      <c r="H107" s="288"/>
      <c r="I107" s="288"/>
      <c r="J107" s="288"/>
      <c r="K107" s="288"/>
      <c r="L107" s="288"/>
      <c r="M107" s="288"/>
      <c r="N107" s="288"/>
      <c r="O107" s="288"/>
      <c r="P107" s="288"/>
      <c r="Q107" s="288"/>
      <c r="R107" s="288"/>
      <c r="S107" s="288"/>
      <c r="T107" s="288"/>
      <c r="U107" s="288"/>
      <c r="V107" s="338">
        <f>-1612+151</f>
        <v>-1461</v>
      </c>
      <c r="W107" s="291"/>
      <c r="X107" s="5"/>
      <c r="Y107" s="109"/>
    </row>
    <row r="108" spans="1:25" ht="15.6" x14ac:dyDescent="0.3">
      <c r="A108" s="340" t="s">
        <v>150</v>
      </c>
      <c r="B108" s="288" t="s">
        <v>184</v>
      </c>
      <c r="C108" s="288"/>
      <c r="D108" s="288"/>
      <c r="E108" s="288"/>
      <c r="F108" s="288"/>
      <c r="G108" s="288"/>
      <c r="H108" s="288"/>
      <c r="I108" s="288"/>
      <c r="J108" s="288"/>
      <c r="K108" s="288"/>
      <c r="L108" s="288"/>
      <c r="M108" s="288"/>
      <c r="N108" s="288"/>
      <c r="O108" s="288"/>
      <c r="P108" s="288"/>
      <c r="Q108" s="288"/>
      <c r="R108" s="288"/>
      <c r="S108" s="288"/>
      <c r="T108" s="288"/>
      <c r="U108" s="288"/>
      <c r="V108" s="338">
        <v>-151</v>
      </c>
      <c r="W108" s="291"/>
      <c r="X108" s="5"/>
      <c r="Y108" s="109"/>
    </row>
    <row r="109" spans="1:25" ht="15.6" x14ac:dyDescent="0.3">
      <c r="A109" s="340" t="s">
        <v>236</v>
      </c>
      <c r="B109" s="288" t="s">
        <v>238</v>
      </c>
      <c r="C109" s="288"/>
      <c r="D109" s="288"/>
      <c r="E109" s="288"/>
      <c r="F109" s="288"/>
      <c r="G109" s="288"/>
      <c r="H109" s="288"/>
      <c r="I109" s="288"/>
      <c r="J109" s="288"/>
      <c r="K109" s="288"/>
      <c r="L109" s="288"/>
      <c r="M109" s="288"/>
      <c r="N109" s="288"/>
      <c r="O109" s="288"/>
      <c r="P109" s="288"/>
      <c r="Q109" s="288"/>
      <c r="R109" s="288"/>
      <c r="S109" s="288"/>
      <c r="T109" s="288"/>
      <c r="U109" s="288"/>
      <c r="V109" s="338">
        <v>0</v>
      </c>
      <c r="W109" s="291"/>
      <c r="X109" s="5"/>
    </row>
    <row r="110" spans="1:25" ht="15.6" x14ac:dyDescent="0.3">
      <c r="A110" s="340" t="s">
        <v>205</v>
      </c>
      <c r="B110" s="288" t="s">
        <v>185</v>
      </c>
      <c r="C110" s="288"/>
      <c r="D110" s="288"/>
      <c r="E110" s="288"/>
      <c r="F110" s="288"/>
      <c r="G110" s="288"/>
      <c r="H110" s="288"/>
      <c r="I110" s="288"/>
      <c r="J110" s="288"/>
      <c r="K110" s="288"/>
      <c r="L110" s="288"/>
      <c r="M110" s="288"/>
      <c r="N110" s="288"/>
      <c r="O110" s="288"/>
      <c r="P110" s="288"/>
      <c r="Q110" s="288"/>
      <c r="R110" s="288"/>
      <c r="S110" s="288"/>
      <c r="T110" s="288"/>
      <c r="U110" s="288"/>
      <c r="V110" s="338">
        <v>-148</v>
      </c>
      <c r="W110" s="291"/>
      <c r="X110" s="5"/>
      <c r="Y110" s="109"/>
    </row>
    <row r="111" spans="1:25" ht="15.6" x14ac:dyDescent="0.3">
      <c r="A111" s="340" t="s">
        <v>206</v>
      </c>
      <c r="B111" s="288" t="s">
        <v>186</v>
      </c>
      <c r="C111" s="288"/>
      <c r="D111" s="288"/>
      <c r="E111" s="288"/>
      <c r="F111" s="288"/>
      <c r="G111" s="288"/>
      <c r="H111" s="288"/>
      <c r="I111" s="288"/>
      <c r="J111" s="288"/>
      <c r="K111" s="288"/>
      <c r="L111" s="288"/>
      <c r="M111" s="288"/>
      <c r="N111" s="288"/>
      <c r="O111" s="288"/>
      <c r="P111" s="288"/>
      <c r="Q111" s="288"/>
      <c r="R111" s="288"/>
      <c r="S111" s="288"/>
      <c r="T111" s="288"/>
      <c r="U111" s="288"/>
      <c r="V111" s="338">
        <v>-119</v>
      </c>
      <c r="W111" s="291"/>
      <c r="X111" s="179"/>
      <c r="Y111" s="109"/>
    </row>
    <row r="112" spans="1:25" ht="15.6" x14ac:dyDescent="0.3">
      <c r="A112" s="340" t="s">
        <v>207</v>
      </c>
      <c r="B112" s="288" t="s">
        <v>196</v>
      </c>
      <c r="C112" s="288"/>
      <c r="D112" s="288"/>
      <c r="E112" s="288"/>
      <c r="F112" s="288"/>
      <c r="G112" s="288"/>
      <c r="H112" s="288"/>
      <c r="I112" s="288"/>
      <c r="J112" s="288"/>
      <c r="K112" s="288"/>
      <c r="L112" s="288"/>
      <c r="M112" s="288"/>
      <c r="N112" s="288"/>
      <c r="O112" s="288"/>
      <c r="P112" s="288"/>
      <c r="Q112" s="288"/>
      <c r="R112" s="288"/>
      <c r="S112" s="288"/>
      <c r="T112" s="288"/>
      <c r="U112" s="288"/>
      <c r="V112" s="338">
        <v>-329</v>
      </c>
      <c r="W112" s="291"/>
      <c r="X112" s="5"/>
      <c r="Y112" s="109"/>
    </row>
    <row r="113" spans="1:25" ht="15.6" x14ac:dyDescent="0.3">
      <c r="A113" s="340" t="s">
        <v>224</v>
      </c>
      <c r="B113" s="288" t="s">
        <v>223</v>
      </c>
      <c r="C113" s="288"/>
      <c r="D113" s="288"/>
      <c r="E113" s="288"/>
      <c r="F113" s="288"/>
      <c r="G113" s="288"/>
      <c r="H113" s="288"/>
      <c r="I113" s="288"/>
      <c r="J113" s="288"/>
      <c r="K113" s="288"/>
      <c r="L113" s="288"/>
      <c r="M113" s="288"/>
      <c r="N113" s="288"/>
      <c r="O113" s="288"/>
      <c r="P113" s="288"/>
      <c r="Q113" s="288"/>
      <c r="R113" s="288"/>
      <c r="S113" s="288"/>
      <c r="T113" s="288"/>
      <c r="U113" s="288"/>
      <c r="V113" s="338">
        <v>-66</v>
      </c>
      <c r="W113" s="291"/>
      <c r="X113" s="5"/>
      <c r="Y113" s="109"/>
    </row>
    <row r="114" spans="1:25" ht="15.6" x14ac:dyDescent="0.3">
      <c r="A114" s="340">
        <v>7</v>
      </c>
      <c r="B114" s="288" t="s">
        <v>35</v>
      </c>
      <c r="C114" s="288"/>
      <c r="D114" s="288"/>
      <c r="E114" s="288"/>
      <c r="F114" s="288"/>
      <c r="G114" s="288"/>
      <c r="H114" s="288"/>
      <c r="I114" s="288"/>
      <c r="J114" s="288"/>
      <c r="K114" s="288"/>
      <c r="L114" s="288"/>
      <c r="M114" s="288"/>
      <c r="N114" s="288"/>
      <c r="O114" s="288"/>
      <c r="P114" s="288"/>
      <c r="Q114" s="288"/>
      <c r="R114" s="288"/>
      <c r="S114" s="288"/>
      <c r="T114" s="288"/>
      <c r="U114" s="288"/>
      <c r="V114" s="338">
        <v>-8</v>
      </c>
      <c r="W114" s="291"/>
      <c r="X114" s="5"/>
    </row>
    <row r="115" spans="1:25" ht="15.6" x14ac:dyDescent="0.3">
      <c r="A115" s="340">
        <f t="shared" ref="A115:A121" si="0">+A114+1</f>
        <v>8</v>
      </c>
      <c r="B115" s="288" t="s">
        <v>45</v>
      </c>
      <c r="C115" s="288"/>
      <c r="D115" s="288"/>
      <c r="E115" s="288"/>
      <c r="F115" s="288"/>
      <c r="G115" s="288"/>
      <c r="H115" s="288"/>
      <c r="I115" s="288"/>
      <c r="J115" s="288"/>
      <c r="K115" s="288"/>
      <c r="L115" s="288"/>
      <c r="M115" s="288"/>
      <c r="N115" s="288"/>
      <c r="O115" s="288"/>
      <c r="P115" s="288"/>
      <c r="Q115" s="288"/>
      <c r="R115" s="288"/>
      <c r="S115" s="288"/>
      <c r="T115" s="337">
        <f>-V115</f>
        <v>292</v>
      </c>
      <c r="U115" s="288"/>
      <c r="V115" s="338">
        <v>-292</v>
      </c>
      <c r="W115" s="291"/>
      <c r="X115" s="5"/>
    </row>
    <row r="116" spans="1:25" ht="15.6" x14ac:dyDescent="0.3">
      <c r="A116" s="340">
        <f t="shared" si="0"/>
        <v>9</v>
      </c>
      <c r="B116" s="288" t="s">
        <v>125</v>
      </c>
      <c r="C116" s="288"/>
      <c r="D116" s="288"/>
      <c r="E116" s="288"/>
      <c r="F116" s="288"/>
      <c r="G116" s="288"/>
      <c r="H116" s="288"/>
      <c r="I116" s="288"/>
      <c r="J116" s="288"/>
      <c r="K116" s="288"/>
      <c r="L116" s="288"/>
      <c r="M116" s="288"/>
      <c r="N116" s="288"/>
      <c r="O116" s="288"/>
      <c r="P116" s="288"/>
      <c r="Q116" s="288"/>
      <c r="R116" s="288"/>
      <c r="S116" s="288"/>
      <c r="T116" s="288"/>
      <c r="U116" s="288"/>
      <c r="V116" s="338">
        <v>0</v>
      </c>
      <c r="W116" s="291"/>
      <c r="X116" s="5"/>
    </row>
    <row r="117" spans="1:25" ht="15.6" x14ac:dyDescent="0.3">
      <c r="A117" s="340">
        <f t="shared" si="0"/>
        <v>10</v>
      </c>
      <c r="B117" s="288" t="s">
        <v>240</v>
      </c>
      <c r="C117" s="288"/>
      <c r="D117" s="288"/>
      <c r="E117" s="288"/>
      <c r="F117" s="288"/>
      <c r="G117" s="288"/>
      <c r="H117" s="288"/>
      <c r="I117" s="288"/>
      <c r="J117" s="288"/>
      <c r="K117" s="288"/>
      <c r="L117" s="288"/>
      <c r="M117" s="288"/>
      <c r="N117" s="288"/>
      <c r="O117" s="288"/>
      <c r="P117" s="288"/>
      <c r="Q117" s="288"/>
      <c r="R117" s="288"/>
      <c r="S117" s="288"/>
      <c r="T117" s="288"/>
      <c r="U117" s="288"/>
      <c r="V117" s="338">
        <v>0</v>
      </c>
      <c r="W117" s="291"/>
      <c r="X117" s="5"/>
    </row>
    <row r="118" spans="1:25" ht="15.6" x14ac:dyDescent="0.3">
      <c r="A118" s="340">
        <f t="shared" si="0"/>
        <v>11</v>
      </c>
      <c r="B118" s="288" t="s">
        <v>36</v>
      </c>
      <c r="C118" s="288"/>
      <c r="D118" s="288"/>
      <c r="E118" s="288"/>
      <c r="F118" s="288"/>
      <c r="G118" s="288"/>
      <c r="H118" s="288"/>
      <c r="I118" s="288"/>
      <c r="J118" s="288"/>
      <c r="K118" s="288"/>
      <c r="L118" s="288"/>
      <c r="M118" s="288"/>
      <c r="N118" s="288"/>
      <c r="O118" s="288"/>
      <c r="P118" s="288"/>
      <c r="Q118" s="288"/>
      <c r="R118" s="288"/>
      <c r="S118" s="288"/>
      <c r="T118" s="288"/>
      <c r="U118" s="288"/>
      <c r="V118" s="338">
        <v>0</v>
      </c>
      <c r="W118" s="291"/>
      <c r="X118" s="5"/>
    </row>
    <row r="119" spans="1:25" ht="15.6" x14ac:dyDescent="0.3">
      <c r="A119" s="340">
        <f t="shared" si="0"/>
        <v>12</v>
      </c>
      <c r="B119" s="288" t="s">
        <v>239</v>
      </c>
      <c r="C119" s="288"/>
      <c r="D119" s="288"/>
      <c r="E119" s="288"/>
      <c r="F119" s="288"/>
      <c r="G119" s="288"/>
      <c r="H119" s="288"/>
      <c r="I119" s="288"/>
      <c r="J119" s="288"/>
      <c r="K119" s="288"/>
      <c r="L119" s="288"/>
      <c r="M119" s="288"/>
      <c r="N119" s="288"/>
      <c r="O119" s="288"/>
      <c r="P119" s="288"/>
      <c r="Q119" s="288"/>
      <c r="R119" s="288"/>
      <c r="S119" s="288"/>
      <c r="T119" s="288"/>
      <c r="U119" s="288"/>
      <c r="V119" s="338">
        <v>0</v>
      </c>
      <c r="W119" s="291"/>
      <c r="X119" s="5"/>
    </row>
    <row r="120" spans="1:25" ht="15.6" x14ac:dyDescent="0.3">
      <c r="A120" s="340">
        <f t="shared" si="0"/>
        <v>13</v>
      </c>
      <c r="B120" s="288" t="s">
        <v>149</v>
      </c>
      <c r="C120" s="288"/>
      <c r="D120" s="288"/>
      <c r="E120" s="288"/>
      <c r="F120" s="288"/>
      <c r="G120" s="288"/>
      <c r="H120" s="288"/>
      <c r="I120" s="288"/>
      <c r="J120" s="288"/>
      <c r="K120" s="288"/>
      <c r="L120" s="288"/>
      <c r="M120" s="288"/>
      <c r="N120" s="288"/>
      <c r="O120" s="288"/>
      <c r="P120" s="288"/>
      <c r="Q120" s="288"/>
      <c r="R120" s="288"/>
      <c r="S120" s="288"/>
      <c r="T120" s="288"/>
      <c r="U120" s="288"/>
      <c r="V120" s="338">
        <v>-643</v>
      </c>
      <c r="W120" s="291"/>
      <c r="X120" s="5"/>
    </row>
    <row r="121" spans="1:25" ht="15.6" x14ac:dyDescent="0.3">
      <c r="A121" s="340">
        <f t="shared" si="0"/>
        <v>14</v>
      </c>
      <c r="B121" s="288" t="s">
        <v>126</v>
      </c>
      <c r="C121" s="288"/>
      <c r="D121" s="288"/>
      <c r="E121" s="288"/>
      <c r="F121" s="288"/>
      <c r="G121" s="288"/>
      <c r="H121" s="288"/>
      <c r="I121" s="288"/>
      <c r="J121" s="288"/>
      <c r="K121" s="288"/>
      <c r="L121" s="288"/>
      <c r="M121" s="288"/>
      <c r="N121" s="288"/>
      <c r="O121" s="288"/>
      <c r="P121" s="288"/>
      <c r="Q121" s="288"/>
      <c r="R121" s="288"/>
      <c r="S121" s="288"/>
      <c r="T121" s="288"/>
      <c r="U121" s="288"/>
      <c r="V121" s="338">
        <f>-V101-SUM(V103:V120)</f>
        <v>-2917</v>
      </c>
      <c r="W121" s="291"/>
      <c r="X121" s="5"/>
    </row>
    <row r="122" spans="1:25" ht="15.6" x14ac:dyDescent="0.3">
      <c r="A122" s="287"/>
      <c r="B122" s="343" t="s">
        <v>37</v>
      </c>
      <c r="C122" s="314"/>
      <c r="D122" s="314"/>
      <c r="E122" s="314"/>
      <c r="F122" s="314"/>
      <c r="G122" s="314"/>
      <c r="H122" s="314"/>
      <c r="I122" s="314"/>
      <c r="J122" s="314"/>
      <c r="K122" s="314"/>
      <c r="L122" s="314"/>
      <c r="M122" s="314"/>
      <c r="N122" s="314"/>
      <c r="O122" s="314"/>
      <c r="P122" s="314"/>
      <c r="Q122" s="314"/>
      <c r="R122" s="314"/>
      <c r="S122" s="314"/>
      <c r="T122" s="314"/>
      <c r="U122" s="314"/>
      <c r="V122" s="346"/>
      <c r="W122" s="318"/>
      <c r="X122" s="5"/>
    </row>
    <row r="123" spans="1:25" ht="15.6" x14ac:dyDescent="0.3">
      <c r="A123" s="340"/>
      <c r="B123" s="288" t="s">
        <v>173</v>
      </c>
      <c r="C123" s="288"/>
      <c r="D123" s="288"/>
      <c r="E123" s="288"/>
      <c r="F123" s="288"/>
      <c r="G123" s="288"/>
      <c r="H123" s="288"/>
      <c r="I123" s="288"/>
      <c r="J123" s="288"/>
      <c r="K123" s="288"/>
      <c r="L123" s="288"/>
      <c r="M123" s="288"/>
      <c r="N123" s="288"/>
      <c r="O123" s="288"/>
      <c r="P123" s="288"/>
      <c r="Q123" s="288"/>
      <c r="R123" s="288"/>
      <c r="S123" s="288"/>
      <c r="T123" s="337">
        <f>-T189</f>
        <v>0</v>
      </c>
      <c r="U123" s="337"/>
      <c r="V123" s="338"/>
      <c r="W123" s="291"/>
      <c r="X123" s="5"/>
    </row>
    <row r="124" spans="1:25" ht="15.6" x14ac:dyDescent="0.3">
      <c r="A124" s="340"/>
      <c r="B124" s="288" t="s">
        <v>174</v>
      </c>
      <c r="C124" s="288"/>
      <c r="D124" s="288"/>
      <c r="E124" s="288"/>
      <c r="F124" s="288"/>
      <c r="G124" s="288"/>
      <c r="H124" s="288"/>
      <c r="I124" s="288"/>
      <c r="J124" s="288"/>
      <c r="K124" s="288"/>
      <c r="L124" s="288"/>
      <c r="M124" s="288"/>
      <c r="N124" s="288"/>
      <c r="O124" s="288"/>
      <c r="P124" s="288"/>
      <c r="Q124" s="288"/>
      <c r="R124" s="288"/>
      <c r="S124" s="288"/>
      <c r="T124" s="337">
        <v>0</v>
      </c>
      <c r="U124" s="337"/>
      <c r="V124" s="338"/>
      <c r="W124" s="291"/>
      <c r="X124" s="5"/>
    </row>
    <row r="125" spans="1:25" ht="15.6" x14ac:dyDescent="0.3">
      <c r="A125" s="340"/>
      <c r="B125" s="288" t="s">
        <v>38</v>
      </c>
      <c r="C125" s="288"/>
      <c r="D125" s="288"/>
      <c r="E125" s="288"/>
      <c r="F125" s="288"/>
      <c r="G125" s="288"/>
      <c r="H125" s="288"/>
      <c r="I125" s="288"/>
      <c r="J125" s="288"/>
      <c r="K125" s="288"/>
      <c r="L125" s="288"/>
      <c r="M125" s="288"/>
      <c r="N125" s="288"/>
      <c r="O125" s="288"/>
      <c r="P125" s="288"/>
      <c r="Q125" s="288"/>
      <c r="R125" s="288"/>
      <c r="S125" s="288"/>
      <c r="T125" s="337">
        <f>-S189</f>
        <v>-389</v>
      </c>
      <c r="U125" s="337"/>
      <c r="V125" s="338"/>
      <c r="W125" s="291"/>
      <c r="X125" s="5"/>
    </row>
    <row r="126" spans="1:25" ht="15.6" x14ac:dyDescent="0.3">
      <c r="A126" s="340"/>
      <c r="B126" s="288" t="s">
        <v>197</v>
      </c>
      <c r="C126" s="288"/>
      <c r="D126" s="288"/>
      <c r="E126" s="288"/>
      <c r="F126" s="288"/>
      <c r="G126" s="288"/>
      <c r="H126" s="288"/>
      <c r="I126" s="288"/>
      <c r="J126" s="288"/>
      <c r="K126" s="288"/>
      <c r="L126" s="288"/>
      <c r="M126" s="288"/>
      <c r="N126" s="288"/>
      <c r="O126" s="288"/>
      <c r="P126" s="288"/>
      <c r="Q126" s="288"/>
      <c r="R126" s="288"/>
      <c r="S126" s="288"/>
      <c r="T126" s="337">
        <v>-5613</v>
      </c>
      <c r="U126" s="337"/>
      <c r="V126" s="338"/>
      <c r="W126" s="291"/>
      <c r="X126" s="5"/>
    </row>
    <row r="127" spans="1:25" ht="15.6" x14ac:dyDescent="0.3">
      <c r="A127" s="340"/>
      <c r="B127" s="288" t="s">
        <v>195</v>
      </c>
      <c r="C127" s="288"/>
      <c r="D127" s="288"/>
      <c r="E127" s="288"/>
      <c r="F127" s="288"/>
      <c r="G127" s="288"/>
      <c r="H127" s="288"/>
      <c r="I127" s="288"/>
      <c r="J127" s="288"/>
      <c r="K127" s="288"/>
      <c r="L127" s="288"/>
      <c r="M127" s="288"/>
      <c r="N127" s="288"/>
      <c r="O127" s="288"/>
      <c r="P127" s="288"/>
      <c r="Q127" s="288"/>
      <c r="R127" s="288"/>
      <c r="S127" s="288"/>
      <c r="T127" s="337">
        <v>-905</v>
      </c>
      <c r="U127" s="337"/>
      <c r="V127" s="338"/>
      <c r="W127" s="291"/>
      <c r="X127" s="5"/>
    </row>
    <row r="128" spans="1:25" ht="15.6" x14ac:dyDescent="0.3">
      <c r="A128" s="340"/>
      <c r="B128" s="288" t="s">
        <v>194</v>
      </c>
      <c r="C128" s="288"/>
      <c r="D128" s="288"/>
      <c r="E128" s="288"/>
      <c r="F128" s="288"/>
      <c r="G128" s="288"/>
      <c r="H128" s="288"/>
      <c r="I128" s="288"/>
      <c r="J128" s="288"/>
      <c r="K128" s="288"/>
      <c r="L128" s="288"/>
      <c r="M128" s="288"/>
      <c r="N128" s="288"/>
      <c r="O128" s="288"/>
      <c r="P128" s="288"/>
      <c r="Q128" s="288"/>
      <c r="R128" s="288"/>
      <c r="S128" s="288"/>
      <c r="T128" s="337">
        <v>-1217</v>
      </c>
      <c r="U128" s="337"/>
      <c r="V128" s="338"/>
      <c r="W128" s="291"/>
      <c r="X128" s="5"/>
    </row>
    <row r="129" spans="1:24" ht="15.6" x14ac:dyDescent="0.3">
      <c r="A129" s="340"/>
      <c r="B129" s="288" t="s">
        <v>226</v>
      </c>
      <c r="C129" s="288"/>
      <c r="D129" s="288"/>
      <c r="E129" s="288"/>
      <c r="F129" s="288"/>
      <c r="G129" s="288"/>
      <c r="H129" s="288"/>
      <c r="I129" s="288"/>
      <c r="J129" s="288"/>
      <c r="K129" s="288"/>
      <c r="L129" s="288"/>
      <c r="M129" s="288"/>
      <c r="N129" s="288"/>
      <c r="O129" s="288"/>
      <c r="P129" s="288"/>
      <c r="Q129" s="288"/>
      <c r="R129" s="288"/>
      <c r="S129" s="288"/>
      <c r="T129" s="337">
        <v>-1497</v>
      </c>
      <c r="U129" s="337"/>
      <c r="V129" s="338"/>
      <c r="W129" s="291"/>
      <c r="X129" s="5"/>
    </row>
    <row r="130" spans="1:24" ht="15.6" x14ac:dyDescent="0.3">
      <c r="A130" s="340"/>
      <c r="B130" s="288" t="s">
        <v>189</v>
      </c>
      <c r="C130" s="288"/>
      <c r="D130" s="288"/>
      <c r="E130" s="288"/>
      <c r="F130" s="288"/>
      <c r="G130" s="288"/>
      <c r="H130" s="288"/>
      <c r="I130" s="288"/>
      <c r="J130" s="288"/>
      <c r="K130" s="288"/>
      <c r="L130" s="288"/>
      <c r="M130" s="288"/>
      <c r="N130" s="288"/>
      <c r="O130" s="288"/>
      <c r="P130" s="288"/>
      <c r="Q130" s="288"/>
      <c r="R130" s="288"/>
      <c r="S130" s="288"/>
      <c r="T130" s="337">
        <v>0</v>
      </c>
      <c r="U130" s="337"/>
      <c r="V130" s="338"/>
      <c r="W130" s="291"/>
      <c r="X130" s="5"/>
    </row>
    <row r="131" spans="1:24" ht="15.6" x14ac:dyDescent="0.3">
      <c r="A131" s="340"/>
      <c r="B131" s="288" t="s">
        <v>188</v>
      </c>
      <c r="C131" s="288"/>
      <c r="D131" s="288"/>
      <c r="E131" s="288"/>
      <c r="F131" s="288"/>
      <c r="G131" s="288"/>
      <c r="H131" s="288"/>
      <c r="I131" s="288"/>
      <c r="J131" s="288"/>
      <c r="K131" s="288"/>
      <c r="L131" s="288"/>
      <c r="M131" s="288"/>
      <c r="N131" s="288"/>
      <c r="O131" s="288"/>
      <c r="P131" s="288"/>
      <c r="Q131" s="288"/>
      <c r="R131" s="288"/>
      <c r="S131" s="288"/>
      <c r="T131" s="337">
        <v>0</v>
      </c>
      <c r="U131" s="337"/>
      <c r="V131" s="338"/>
      <c r="W131" s="291"/>
      <c r="X131" s="5"/>
    </row>
    <row r="132" spans="1:24" ht="15.6" x14ac:dyDescent="0.3">
      <c r="A132" s="340"/>
      <c r="B132" s="288" t="s">
        <v>227</v>
      </c>
      <c r="C132" s="288"/>
      <c r="D132" s="288"/>
      <c r="E132" s="288"/>
      <c r="F132" s="288"/>
      <c r="G132" s="288"/>
      <c r="H132" s="288"/>
      <c r="I132" s="288"/>
      <c r="J132" s="288"/>
      <c r="K132" s="288"/>
      <c r="L132" s="288"/>
      <c r="M132" s="288"/>
      <c r="N132" s="288"/>
      <c r="O132" s="288"/>
      <c r="P132" s="288"/>
      <c r="Q132" s="288"/>
      <c r="R132" s="288"/>
      <c r="S132" s="288"/>
      <c r="T132" s="337">
        <v>0</v>
      </c>
      <c r="U132" s="337"/>
      <c r="V132" s="338"/>
      <c r="W132" s="291"/>
      <c r="X132" s="5"/>
    </row>
    <row r="133" spans="1:24" ht="15.6" x14ac:dyDescent="0.3">
      <c r="A133" s="340"/>
      <c r="B133" s="288" t="s">
        <v>187</v>
      </c>
      <c r="C133" s="288"/>
      <c r="D133" s="288"/>
      <c r="E133" s="288"/>
      <c r="F133" s="288"/>
      <c r="G133" s="288"/>
      <c r="H133" s="288"/>
      <c r="I133" s="288"/>
      <c r="J133" s="288"/>
      <c r="K133" s="288"/>
      <c r="L133" s="288"/>
      <c r="M133" s="288"/>
      <c r="N133" s="288"/>
      <c r="O133" s="288"/>
      <c r="P133" s="288"/>
      <c r="Q133" s="288"/>
      <c r="R133" s="288"/>
      <c r="S133" s="288"/>
      <c r="T133" s="337">
        <v>0</v>
      </c>
      <c r="U133" s="337"/>
      <c r="V133" s="338"/>
      <c r="W133" s="291"/>
      <c r="X133" s="5"/>
    </row>
    <row r="134" spans="1:24" ht="15.6" x14ac:dyDescent="0.3">
      <c r="A134" s="340"/>
      <c r="B134" s="288" t="s">
        <v>39</v>
      </c>
      <c r="C134" s="288"/>
      <c r="D134" s="288"/>
      <c r="E134" s="288"/>
      <c r="F134" s="288"/>
      <c r="G134" s="288"/>
      <c r="H134" s="288"/>
      <c r="I134" s="288"/>
      <c r="J134" s="288"/>
      <c r="K134" s="288"/>
      <c r="L134" s="288"/>
      <c r="M134" s="288"/>
      <c r="N134" s="288"/>
      <c r="O134" s="288"/>
      <c r="P134" s="288"/>
      <c r="Q134" s="288"/>
      <c r="R134" s="288"/>
      <c r="S134" s="288"/>
      <c r="T134" s="337">
        <f>SUM(T123:T133)</f>
        <v>-9621</v>
      </c>
      <c r="U134" s="337"/>
      <c r="V134" s="337">
        <f>SUM(V102:V131)</f>
        <v>-6501</v>
      </c>
      <c r="W134" s="291"/>
      <c r="X134" s="5"/>
    </row>
    <row r="135" spans="1:24" ht="15.6" x14ac:dyDescent="0.3">
      <c r="A135" s="340"/>
      <c r="B135" s="288" t="s">
        <v>40</v>
      </c>
      <c r="C135" s="288"/>
      <c r="D135" s="288"/>
      <c r="E135" s="288"/>
      <c r="F135" s="288"/>
      <c r="G135" s="288"/>
      <c r="H135" s="288"/>
      <c r="I135" s="288"/>
      <c r="J135" s="288"/>
      <c r="K135" s="288"/>
      <c r="L135" s="288"/>
      <c r="M135" s="288"/>
      <c r="N135" s="288"/>
      <c r="O135" s="288"/>
      <c r="P135" s="288"/>
      <c r="Q135" s="288"/>
      <c r="R135" s="288"/>
      <c r="S135" s="288"/>
      <c r="T135" s="337">
        <f>T101+T134+T115</f>
        <v>0</v>
      </c>
      <c r="U135" s="337"/>
      <c r="V135" s="337">
        <f>V101+V134</f>
        <v>0</v>
      </c>
      <c r="W135" s="291"/>
      <c r="X135" s="5"/>
    </row>
    <row r="136" spans="1:24" ht="15.6" x14ac:dyDescent="0.3">
      <c r="A136" s="243"/>
      <c r="B136" s="284"/>
      <c r="C136" s="284"/>
      <c r="D136" s="284"/>
      <c r="E136" s="284"/>
      <c r="F136" s="284"/>
      <c r="G136" s="284"/>
      <c r="H136" s="284"/>
      <c r="I136" s="284"/>
      <c r="J136" s="284"/>
      <c r="K136" s="284"/>
      <c r="L136" s="284"/>
      <c r="M136" s="284"/>
      <c r="N136" s="284"/>
      <c r="O136" s="284"/>
      <c r="P136" s="284"/>
      <c r="Q136" s="284"/>
      <c r="R136" s="284"/>
      <c r="S136" s="284"/>
      <c r="T136" s="339"/>
      <c r="U136" s="339"/>
      <c r="V136" s="339"/>
      <c r="W136" s="284"/>
      <c r="X136" s="5"/>
    </row>
    <row r="137" spans="1:24" ht="15.6" x14ac:dyDescent="0.3">
      <c r="A137" s="243"/>
      <c r="B137" s="224"/>
      <c r="C137" s="224"/>
      <c r="D137" s="224"/>
      <c r="E137" s="224"/>
      <c r="F137" s="224"/>
      <c r="G137" s="224"/>
      <c r="H137" s="224"/>
      <c r="I137" s="224"/>
      <c r="J137" s="224"/>
      <c r="K137" s="224"/>
      <c r="L137" s="224"/>
      <c r="M137" s="224"/>
      <c r="N137" s="224"/>
      <c r="O137" s="224"/>
      <c r="P137" s="224"/>
      <c r="Q137" s="224"/>
      <c r="R137" s="224"/>
      <c r="S137" s="224"/>
      <c r="T137" s="224"/>
      <c r="U137" s="224"/>
      <c r="V137" s="244"/>
      <c r="W137" s="224"/>
      <c r="X137" s="5"/>
    </row>
    <row r="138" spans="1:24" ht="18" thickBot="1" x14ac:dyDescent="0.35">
      <c r="A138" s="245"/>
      <c r="B138" s="237" t="str">
        <f>B64</f>
        <v>PM14 INVESTOR REPORT QUARTER ENDING FEBRUARY 2015</v>
      </c>
      <c r="C138" s="238"/>
      <c r="D138" s="238"/>
      <c r="E138" s="238"/>
      <c r="F138" s="238"/>
      <c r="G138" s="238"/>
      <c r="H138" s="238"/>
      <c r="I138" s="238"/>
      <c r="J138" s="238"/>
      <c r="K138" s="238"/>
      <c r="L138" s="238"/>
      <c r="M138" s="238"/>
      <c r="N138" s="238"/>
      <c r="O138" s="238"/>
      <c r="P138" s="238"/>
      <c r="Q138" s="238"/>
      <c r="R138" s="238"/>
      <c r="S138" s="238"/>
      <c r="T138" s="238"/>
      <c r="U138" s="238"/>
      <c r="V138" s="246"/>
      <c r="W138" s="240"/>
      <c r="X138" s="5"/>
    </row>
    <row r="139" spans="1:24" ht="15.6" x14ac:dyDescent="0.3">
      <c r="A139" s="273"/>
      <c r="B139" s="403" t="s">
        <v>41</v>
      </c>
      <c r="C139" s="274"/>
      <c r="D139" s="274"/>
      <c r="E139" s="274"/>
      <c r="F139" s="274"/>
      <c r="G139" s="274"/>
      <c r="H139" s="274"/>
      <c r="I139" s="274"/>
      <c r="J139" s="274"/>
      <c r="K139" s="274"/>
      <c r="L139" s="274"/>
      <c r="M139" s="274"/>
      <c r="N139" s="274"/>
      <c r="O139" s="274"/>
      <c r="P139" s="274"/>
      <c r="Q139" s="274"/>
      <c r="R139" s="274"/>
      <c r="S139" s="274"/>
      <c r="T139" s="274"/>
      <c r="U139" s="274"/>
      <c r="V139" s="275"/>
      <c r="W139" s="274"/>
      <c r="X139" s="5"/>
    </row>
    <row r="140" spans="1:24" ht="15.6" x14ac:dyDescent="0.3">
      <c r="A140" s="183"/>
      <c r="B140" s="195"/>
      <c r="C140" s="185"/>
      <c r="D140" s="185"/>
      <c r="E140" s="185"/>
      <c r="F140" s="185"/>
      <c r="G140" s="185"/>
      <c r="H140" s="185"/>
      <c r="I140" s="185"/>
      <c r="J140" s="185"/>
      <c r="K140" s="185"/>
      <c r="L140" s="185"/>
      <c r="M140" s="185"/>
      <c r="N140" s="185"/>
      <c r="O140" s="185"/>
      <c r="P140" s="185"/>
      <c r="Q140" s="185"/>
      <c r="R140" s="185"/>
      <c r="S140" s="185"/>
      <c r="T140" s="185"/>
      <c r="U140" s="185"/>
      <c r="V140" s="201"/>
      <c r="W140" s="185"/>
      <c r="X140" s="5"/>
    </row>
    <row r="141" spans="1:24" ht="15.6" x14ac:dyDescent="0.3">
      <c r="A141" s="183"/>
      <c r="B141" s="208" t="s">
        <v>42</v>
      </c>
      <c r="C141" s="185"/>
      <c r="D141" s="185"/>
      <c r="E141" s="185"/>
      <c r="F141" s="185"/>
      <c r="G141" s="185"/>
      <c r="H141" s="185"/>
      <c r="I141" s="185"/>
      <c r="J141" s="185"/>
      <c r="K141" s="185"/>
      <c r="L141" s="185"/>
      <c r="M141" s="185"/>
      <c r="N141" s="185"/>
      <c r="O141" s="185"/>
      <c r="P141" s="185"/>
      <c r="Q141" s="185"/>
      <c r="R141" s="185"/>
      <c r="S141" s="185"/>
      <c r="T141" s="185"/>
      <c r="U141" s="185"/>
      <c r="V141" s="201"/>
      <c r="W141" s="185"/>
      <c r="X141" s="5"/>
    </row>
    <row r="142" spans="1:24" ht="15.6" x14ac:dyDescent="0.3">
      <c r="A142" s="287"/>
      <c r="B142" s="288" t="s">
        <v>43</v>
      </c>
      <c r="C142" s="288"/>
      <c r="D142" s="288"/>
      <c r="E142" s="288"/>
      <c r="F142" s="288"/>
      <c r="G142" s="288"/>
      <c r="H142" s="288"/>
      <c r="I142" s="288"/>
      <c r="J142" s="288"/>
      <c r="K142" s="288"/>
      <c r="L142" s="288"/>
      <c r="M142" s="288"/>
      <c r="N142" s="288"/>
      <c r="O142" s="288"/>
      <c r="P142" s="288"/>
      <c r="Q142" s="288"/>
      <c r="R142" s="288"/>
      <c r="S142" s="288"/>
      <c r="T142" s="288"/>
      <c r="U142" s="288"/>
      <c r="V142" s="338">
        <f>+V34*0.019</f>
        <v>28505.224999999999</v>
      </c>
      <c r="W142" s="291"/>
      <c r="X142" s="5"/>
    </row>
    <row r="143" spans="1:24" ht="15.6" x14ac:dyDescent="0.3">
      <c r="A143" s="287"/>
      <c r="B143" s="288" t="s">
        <v>44</v>
      </c>
      <c r="C143" s="288"/>
      <c r="D143" s="288"/>
      <c r="E143" s="288"/>
      <c r="F143" s="288"/>
      <c r="G143" s="288"/>
      <c r="H143" s="288"/>
      <c r="I143" s="288"/>
      <c r="J143" s="288"/>
      <c r="K143" s="288"/>
      <c r="L143" s="288"/>
      <c r="M143" s="288"/>
      <c r="N143" s="288"/>
      <c r="O143" s="288"/>
      <c r="P143" s="288"/>
      <c r="Q143" s="288"/>
      <c r="R143" s="288"/>
      <c r="S143" s="288"/>
      <c r="T143" s="288"/>
      <c r="U143" s="288"/>
      <c r="V143" s="338">
        <v>28505</v>
      </c>
      <c r="W143" s="291"/>
      <c r="X143" s="5"/>
    </row>
    <row r="144" spans="1:24" ht="15.6" x14ac:dyDescent="0.3">
      <c r="A144" s="287"/>
      <c r="B144" s="288" t="s">
        <v>136</v>
      </c>
      <c r="C144" s="288"/>
      <c r="D144" s="288"/>
      <c r="E144" s="288"/>
      <c r="F144" s="288"/>
      <c r="G144" s="288"/>
      <c r="H144" s="288"/>
      <c r="I144" s="288"/>
      <c r="J144" s="288"/>
      <c r="K144" s="288"/>
      <c r="L144" s="288"/>
      <c r="M144" s="288"/>
      <c r="N144" s="288"/>
      <c r="O144" s="288"/>
      <c r="P144" s="288"/>
      <c r="Q144" s="288"/>
      <c r="R144" s="288"/>
      <c r="S144" s="288"/>
      <c r="T144" s="288"/>
      <c r="U144" s="288"/>
      <c r="V144" s="338"/>
      <c r="W144" s="291"/>
      <c r="X144" s="5"/>
    </row>
    <row r="145" spans="1:25" ht="15.6" x14ac:dyDescent="0.3">
      <c r="A145" s="287"/>
      <c r="B145" s="288" t="s">
        <v>123</v>
      </c>
      <c r="C145" s="288"/>
      <c r="D145" s="288"/>
      <c r="E145" s="288"/>
      <c r="F145" s="288"/>
      <c r="G145" s="288"/>
      <c r="H145" s="288"/>
      <c r="I145" s="288"/>
      <c r="J145" s="288"/>
      <c r="K145" s="288"/>
      <c r="L145" s="288"/>
      <c r="M145" s="288"/>
      <c r="N145" s="288"/>
      <c r="O145" s="288"/>
      <c r="P145" s="288"/>
      <c r="Q145" s="288"/>
      <c r="R145" s="288"/>
      <c r="S145" s="288"/>
      <c r="T145" s="288"/>
      <c r="U145" s="288"/>
      <c r="V145" s="338">
        <v>0</v>
      </c>
      <c r="W145" s="291"/>
      <c r="X145" s="5"/>
    </row>
    <row r="146" spans="1:25" ht="15.6" x14ac:dyDescent="0.3">
      <c r="A146" s="287"/>
      <c r="B146" s="288" t="s">
        <v>124</v>
      </c>
      <c r="C146" s="288"/>
      <c r="D146" s="288"/>
      <c r="E146" s="288"/>
      <c r="F146" s="288"/>
      <c r="G146" s="288"/>
      <c r="H146" s="288"/>
      <c r="I146" s="288"/>
      <c r="J146" s="288"/>
      <c r="K146" s="288"/>
      <c r="L146" s="288"/>
      <c r="M146" s="288"/>
      <c r="N146" s="288"/>
      <c r="O146" s="288"/>
      <c r="P146" s="288"/>
      <c r="Q146" s="288"/>
      <c r="R146" s="288"/>
      <c r="S146" s="288"/>
      <c r="T146" s="288"/>
      <c r="U146" s="288"/>
      <c r="V146" s="338">
        <v>0</v>
      </c>
      <c r="W146" s="291"/>
      <c r="X146" s="5"/>
    </row>
    <row r="147" spans="1:25" ht="15.6" x14ac:dyDescent="0.3">
      <c r="A147" s="287"/>
      <c r="B147" s="288" t="s">
        <v>175</v>
      </c>
      <c r="C147" s="288"/>
      <c r="D147" s="288"/>
      <c r="E147" s="288"/>
      <c r="F147" s="288"/>
      <c r="G147" s="288"/>
      <c r="H147" s="288"/>
      <c r="I147" s="288"/>
      <c r="J147" s="288"/>
      <c r="K147" s="288"/>
      <c r="L147" s="288"/>
      <c r="M147" s="288"/>
      <c r="N147" s="288"/>
      <c r="O147" s="288"/>
      <c r="P147" s="288"/>
      <c r="Q147" s="288"/>
      <c r="R147" s="288"/>
      <c r="S147" s="288"/>
      <c r="T147" s="288"/>
      <c r="U147" s="288"/>
      <c r="V147" s="338">
        <v>0</v>
      </c>
      <c r="W147" s="291"/>
      <c r="X147" s="5"/>
    </row>
    <row r="148" spans="1:25" ht="15.6" x14ac:dyDescent="0.3">
      <c r="A148" s="287"/>
      <c r="B148" s="288" t="s">
        <v>45</v>
      </c>
      <c r="C148" s="288"/>
      <c r="D148" s="288"/>
      <c r="E148" s="288"/>
      <c r="F148" s="288"/>
      <c r="G148" s="288"/>
      <c r="H148" s="288"/>
      <c r="I148" s="288"/>
      <c r="J148" s="288"/>
      <c r="K148" s="288"/>
      <c r="L148" s="288"/>
      <c r="M148" s="288"/>
      <c r="N148" s="288"/>
      <c r="O148" s="288"/>
      <c r="P148" s="288"/>
      <c r="Q148" s="288"/>
      <c r="R148" s="288"/>
      <c r="S148" s="288"/>
      <c r="T148" s="288"/>
      <c r="U148" s="288"/>
      <c r="V148" s="338">
        <v>0</v>
      </c>
      <c r="W148" s="291"/>
      <c r="X148" s="5"/>
    </row>
    <row r="149" spans="1:25" ht="15.6" x14ac:dyDescent="0.3">
      <c r="A149" s="287"/>
      <c r="B149" s="288" t="s">
        <v>129</v>
      </c>
      <c r="C149" s="288"/>
      <c r="D149" s="288"/>
      <c r="E149" s="288"/>
      <c r="F149" s="288"/>
      <c r="G149" s="288"/>
      <c r="H149" s="288"/>
      <c r="I149" s="288"/>
      <c r="J149" s="288"/>
      <c r="K149" s="288"/>
      <c r="L149" s="288"/>
      <c r="M149" s="288"/>
      <c r="N149" s="288"/>
      <c r="O149" s="288"/>
      <c r="P149" s="288"/>
      <c r="Q149" s="288"/>
      <c r="R149" s="288"/>
      <c r="S149" s="288"/>
      <c r="T149" s="288"/>
      <c r="U149" s="288"/>
      <c r="V149" s="338">
        <v>0</v>
      </c>
      <c r="W149" s="291"/>
      <c r="X149" s="5"/>
    </row>
    <row r="150" spans="1:25" ht="15.6" x14ac:dyDescent="0.3">
      <c r="A150" s="287"/>
      <c r="B150" s="288" t="s">
        <v>267</v>
      </c>
      <c r="C150" s="288"/>
      <c r="D150" s="288"/>
      <c r="E150" s="288"/>
      <c r="F150" s="288"/>
      <c r="G150" s="288"/>
      <c r="H150" s="288"/>
      <c r="I150" s="288"/>
      <c r="J150" s="288"/>
      <c r="K150" s="288"/>
      <c r="L150" s="288"/>
      <c r="M150" s="288"/>
      <c r="N150" s="288"/>
      <c r="O150" s="288"/>
      <c r="P150" s="288"/>
      <c r="Q150" s="288"/>
      <c r="R150" s="288"/>
      <c r="S150" s="288"/>
      <c r="T150" s="288"/>
      <c r="U150" s="288"/>
      <c r="V150" s="338">
        <v>0</v>
      </c>
      <c r="W150" s="291"/>
      <c r="X150" s="5"/>
      <c r="Y150" s="109"/>
    </row>
    <row r="151" spans="1:25" ht="15.6" x14ac:dyDescent="0.3">
      <c r="A151" s="287"/>
      <c r="B151" s="288" t="s">
        <v>46</v>
      </c>
      <c r="C151" s="288"/>
      <c r="D151" s="288"/>
      <c r="E151" s="288"/>
      <c r="F151" s="288"/>
      <c r="G151" s="288"/>
      <c r="H151" s="288"/>
      <c r="I151" s="288"/>
      <c r="J151" s="288"/>
      <c r="K151" s="288"/>
      <c r="L151" s="288"/>
      <c r="M151" s="288"/>
      <c r="N151" s="288"/>
      <c r="O151" s="288"/>
      <c r="P151" s="288"/>
      <c r="Q151" s="288"/>
      <c r="R151" s="288"/>
      <c r="S151" s="288"/>
      <c r="T151" s="288"/>
      <c r="U151" s="288"/>
      <c r="V151" s="338">
        <f>SUM(V143:V150)</f>
        <v>28505</v>
      </c>
      <c r="W151" s="291"/>
      <c r="X151" s="5"/>
    </row>
    <row r="152" spans="1:25" ht="15.6" x14ac:dyDescent="0.3">
      <c r="A152" s="287"/>
      <c r="B152" s="314"/>
      <c r="C152" s="314"/>
      <c r="D152" s="314"/>
      <c r="E152" s="314"/>
      <c r="F152" s="314"/>
      <c r="G152" s="314"/>
      <c r="H152" s="314"/>
      <c r="I152" s="314"/>
      <c r="J152" s="314"/>
      <c r="K152" s="314"/>
      <c r="L152" s="314"/>
      <c r="M152" s="314"/>
      <c r="N152" s="314"/>
      <c r="O152" s="314"/>
      <c r="P152" s="314"/>
      <c r="Q152" s="314"/>
      <c r="R152" s="314"/>
      <c r="S152" s="314"/>
      <c r="T152" s="314"/>
      <c r="U152" s="314"/>
      <c r="V152" s="345"/>
      <c r="W152" s="318"/>
      <c r="X152" s="5"/>
    </row>
    <row r="153" spans="1:25" ht="15.6" x14ac:dyDescent="0.3">
      <c r="A153" s="287"/>
      <c r="B153" s="343" t="s">
        <v>237</v>
      </c>
      <c r="C153" s="314"/>
      <c r="D153" s="314"/>
      <c r="E153" s="314"/>
      <c r="F153" s="314"/>
      <c r="G153" s="314"/>
      <c r="H153" s="314"/>
      <c r="I153" s="314"/>
      <c r="J153" s="314"/>
      <c r="K153" s="314"/>
      <c r="L153" s="314"/>
      <c r="M153" s="314"/>
      <c r="N153" s="314"/>
      <c r="O153" s="314"/>
      <c r="P153" s="314"/>
      <c r="Q153" s="314"/>
      <c r="R153" s="314"/>
      <c r="S153" s="314"/>
      <c r="T153" s="314"/>
      <c r="U153" s="314"/>
      <c r="V153" s="345"/>
      <c r="W153" s="318"/>
      <c r="X153" s="5"/>
    </row>
    <row r="154" spans="1:25" ht="15.6" x14ac:dyDescent="0.3">
      <c r="A154" s="287"/>
      <c r="B154" s="288" t="s">
        <v>155</v>
      </c>
      <c r="C154" s="288"/>
      <c r="D154" s="288"/>
      <c r="E154" s="288"/>
      <c r="F154" s="288"/>
      <c r="G154" s="288"/>
      <c r="H154" s="288"/>
      <c r="I154" s="288"/>
      <c r="J154" s="288"/>
      <c r="K154" s="288"/>
      <c r="L154" s="288"/>
      <c r="M154" s="288"/>
      <c r="N154" s="288"/>
      <c r="O154" s="288"/>
      <c r="P154" s="288"/>
      <c r="Q154" s="288"/>
      <c r="R154" s="288"/>
      <c r="S154" s="288"/>
      <c r="T154" s="288"/>
      <c r="U154" s="288"/>
      <c r="V154" s="338">
        <v>7500</v>
      </c>
      <c r="W154" s="291"/>
      <c r="X154" s="5"/>
    </row>
    <row r="155" spans="1:25" ht="15.6" x14ac:dyDescent="0.3">
      <c r="A155" s="287"/>
      <c r="B155" s="288" t="s">
        <v>172</v>
      </c>
      <c r="C155" s="288"/>
      <c r="D155" s="288"/>
      <c r="E155" s="288"/>
      <c r="F155" s="288"/>
      <c r="G155" s="288"/>
      <c r="H155" s="288"/>
      <c r="I155" s="288"/>
      <c r="J155" s="288"/>
      <c r="K155" s="288"/>
      <c r="L155" s="288"/>
      <c r="M155" s="288"/>
      <c r="N155" s="288"/>
      <c r="O155" s="288"/>
      <c r="P155" s="288"/>
      <c r="Q155" s="288"/>
      <c r="R155" s="288"/>
      <c r="S155" s="288"/>
      <c r="T155" s="288"/>
      <c r="U155" s="288"/>
      <c r="V155" s="338">
        <v>0</v>
      </c>
      <c r="W155" s="291"/>
      <c r="X155" s="5"/>
    </row>
    <row r="156" spans="1:25" ht="15.6" x14ac:dyDescent="0.3">
      <c r="A156" s="287"/>
      <c r="B156" s="288" t="s">
        <v>344</v>
      </c>
      <c r="C156" s="288"/>
      <c r="D156" s="288"/>
      <c r="E156" s="288"/>
      <c r="F156" s="288"/>
      <c r="G156" s="288"/>
      <c r="H156" s="288"/>
      <c r="I156" s="288"/>
      <c r="J156" s="288"/>
      <c r="K156" s="288"/>
      <c r="L156" s="288"/>
      <c r="M156" s="288"/>
      <c r="N156" s="288"/>
      <c r="O156" s="288"/>
      <c r="P156" s="288"/>
      <c r="Q156" s="288"/>
      <c r="R156" s="288"/>
      <c r="S156" s="288"/>
      <c r="T156" s="288"/>
      <c r="U156" s="288"/>
      <c r="V156" s="338">
        <v>0</v>
      </c>
      <c r="W156" s="291"/>
      <c r="X156" s="5"/>
    </row>
    <row r="157" spans="1:25" ht="15.6" x14ac:dyDescent="0.3">
      <c r="A157" s="287"/>
      <c r="B157" s="288"/>
      <c r="C157" s="288"/>
      <c r="D157" s="288"/>
      <c r="E157" s="288"/>
      <c r="F157" s="288"/>
      <c r="G157" s="288"/>
      <c r="H157" s="288"/>
      <c r="I157" s="288"/>
      <c r="J157" s="288"/>
      <c r="K157" s="288"/>
      <c r="L157" s="288"/>
      <c r="M157" s="288"/>
      <c r="N157" s="288"/>
      <c r="O157" s="288"/>
      <c r="P157" s="288"/>
      <c r="Q157" s="288"/>
      <c r="R157" s="288"/>
      <c r="S157" s="288"/>
      <c r="T157" s="288"/>
      <c r="U157" s="288"/>
      <c r="V157" s="338"/>
      <c r="W157" s="291"/>
      <c r="X157" s="5"/>
    </row>
    <row r="158" spans="1:25" ht="15.6" x14ac:dyDescent="0.3">
      <c r="A158" s="183"/>
      <c r="B158" s="198"/>
      <c r="C158" s="198"/>
      <c r="D158" s="198"/>
      <c r="E158" s="198"/>
      <c r="F158" s="198"/>
      <c r="G158" s="198"/>
      <c r="H158" s="198"/>
      <c r="I158" s="198"/>
      <c r="J158" s="198"/>
      <c r="K158" s="198"/>
      <c r="L158" s="198"/>
      <c r="M158" s="198"/>
      <c r="N158" s="198"/>
      <c r="O158" s="198"/>
      <c r="P158" s="198"/>
      <c r="Q158" s="198"/>
      <c r="R158" s="198"/>
      <c r="S158" s="198"/>
      <c r="T158" s="198"/>
      <c r="U158" s="198"/>
      <c r="V158" s="347"/>
      <c r="W158" s="198"/>
      <c r="X158" s="5"/>
    </row>
    <row r="159" spans="1:25" ht="15.6" x14ac:dyDescent="0.3">
      <c r="A159" s="183"/>
      <c r="B159" s="208" t="s">
        <v>24</v>
      </c>
      <c r="C159" s="185"/>
      <c r="D159" s="185"/>
      <c r="E159" s="185"/>
      <c r="F159" s="185"/>
      <c r="G159" s="185"/>
      <c r="H159" s="185"/>
      <c r="I159" s="185"/>
      <c r="J159" s="185"/>
      <c r="K159" s="185"/>
      <c r="L159" s="185"/>
      <c r="M159" s="185"/>
      <c r="N159" s="185"/>
      <c r="O159" s="185"/>
      <c r="P159" s="185"/>
      <c r="Q159" s="185"/>
      <c r="R159" s="185"/>
      <c r="S159" s="185"/>
      <c r="T159" s="185"/>
      <c r="U159" s="185"/>
      <c r="V159" s="201"/>
      <c r="W159" s="185"/>
      <c r="X159" s="5"/>
    </row>
    <row r="160" spans="1:25" ht="15.6" x14ac:dyDescent="0.3">
      <c r="A160" s="287"/>
      <c r="B160" s="288" t="s">
        <v>47</v>
      </c>
      <c r="C160" s="288"/>
      <c r="D160" s="288"/>
      <c r="E160" s="288"/>
      <c r="F160" s="288"/>
      <c r="G160" s="288"/>
      <c r="H160" s="288"/>
      <c r="I160" s="288"/>
      <c r="J160" s="288"/>
      <c r="K160" s="288"/>
      <c r="L160" s="288"/>
      <c r="M160" s="288"/>
      <c r="N160" s="288"/>
      <c r="O160" s="288"/>
      <c r="P160" s="288"/>
      <c r="Q160" s="288"/>
      <c r="R160" s="288"/>
      <c r="S160" s="288"/>
      <c r="T160" s="288"/>
      <c r="U160" s="288"/>
      <c r="V160" s="348" t="s">
        <v>118</v>
      </c>
      <c r="W160" s="291"/>
      <c r="X160" s="5"/>
    </row>
    <row r="161" spans="1:256" ht="15.6" x14ac:dyDescent="0.3">
      <c r="A161" s="287"/>
      <c r="B161" s="288" t="s">
        <v>48</v>
      </c>
      <c r="C161" s="290"/>
      <c r="D161" s="290"/>
      <c r="E161" s="290"/>
      <c r="F161" s="290"/>
      <c r="G161" s="290"/>
      <c r="H161" s="290"/>
      <c r="I161" s="290"/>
      <c r="J161" s="290"/>
      <c r="K161" s="290"/>
      <c r="L161" s="290"/>
      <c r="M161" s="290"/>
      <c r="N161" s="290"/>
      <c r="O161" s="290"/>
      <c r="P161" s="290"/>
      <c r="Q161" s="290"/>
      <c r="R161" s="290"/>
      <c r="S161" s="290"/>
      <c r="T161" s="290"/>
      <c r="U161" s="290"/>
      <c r="V161" s="348" t="s">
        <v>118</v>
      </c>
      <c r="W161" s="291"/>
      <c r="X161" s="5"/>
    </row>
    <row r="162" spans="1:256" ht="15.6" x14ac:dyDescent="0.3">
      <c r="A162" s="287"/>
      <c r="B162" s="288" t="s">
        <v>49</v>
      </c>
      <c r="C162" s="288"/>
      <c r="D162" s="288"/>
      <c r="E162" s="288"/>
      <c r="F162" s="288"/>
      <c r="G162" s="288"/>
      <c r="H162" s="288"/>
      <c r="I162" s="288"/>
      <c r="J162" s="288"/>
      <c r="K162" s="288"/>
      <c r="L162" s="288"/>
      <c r="M162" s="288"/>
      <c r="N162" s="288"/>
      <c r="O162" s="288"/>
      <c r="P162" s="288"/>
      <c r="Q162" s="288"/>
      <c r="R162" s="288"/>
      <c r="S162" s="288"/>
      <c r="T162" s="288"/>
      <c r="U162" s="288"/>
      <c r="V162" s="348" t="s">
        <v>118</v>
      </c>
      <c r="W162" s="291"/>
      <c r="X162" s="5"/>
    </row>
    <row r="163" spans="1:256" ht="15.6" x14ac:dyDescent="0.3">
      <c r="A163" s="287"/>
      <c r="B163" s="288" t="s">
        <v>50</v>
      </c>
      <c r="C163" s="288"/>
      <c r="D163" s="288"/>
      <c r="E163" s="288"/>
      <c r="F163" s="288"/>
      <c r="G163" s="288"/>
      <c r="H163" s="288"/>
      <c r="I163" s="288"/>
      <c r="J163" s="288"/>
      <c r="K163" s="288"/>
      <c r="L163" s="288"/>
      <c r="M163" s="288"/>
      <c r="N163" s="288"/>
      <c r="O163" s="288"/>
      <c r="P163" s="288"/>
      <c r="Q163" s="288"/>
      <c r="R163" s="288"/>
      <c r="S163" s="288"/>
      <c r="T163" s="288"/>
      <c r="U163" s="288"/>
      <c r="V163" s="348" t="s">
        <v>118</v>
      </c>
      <c r="W163" s="291"/>
      <c r="X163" s="5"/>
    </row>
    <row r="164" spans="1:256" ht="15.6" x14ac:dyDescent="0.3">
      <c r="A164" s="183"/>
      <c r="B164" s="198"/>
      <c r="C164" s="198"/>
      <c r="D164" s="198"/>
      <c r="E164" s="198"/>
      <c r="F164" s="198"/>
      <c r="G164" s="198"/>
      <c r="H164" s="198"/>
      <c r="I164" s="198"/>
      <c r="J164" s="198"/>
      <c r="K164" s="198"/>
      <c r="L164" s="198"/>
      <c r="M164" s="198"/>
      <c r="N164" s="198"/>
      <c r="O164" s="198"/>
      <c r="P164" s="198"/>
      <c r="Q164" s="198"/>
      <c r="R164" s="198"/>
      <c r="S164" s="198"/>
      <c r="T164" s="198"/>
      <c r="U164" s="198"/>
      <c r="V164" s="347"/>
      <c r="W164" s="198"/>
      <c r="X164" s="5"/>
    </row>
    <row r="165" spans="1:256" ht="15.6" x14ac:dyDescent="0.3">
      <c r="A165" s="183"/>
      <c r="B165" s="208" t="s">
        <v>51</v>
      </c>
      <c r="C165" s="185"/>
      <c r="D165" s="185"/>
      <c r="E165" s="185"/>
      <c r="F165" s="185"/>
      <c r="G165" s="185"/>
      <c r="H165" s="185"/>
      <c r="I165" s="185"/>
      <c r="J165" s="185"/>
      <c r="K165" s="185"/>
      <c r="L165" s="185"/>
      <c r="M165" s="185"/>
      <c r="N165" s="185"/>
      <c r="O165" s="185"/>
      <c r="P165" s="185"/>
      <c r="Q165" s="185"/>
      <c r="R165" s="185"/>
      <c r="S165" s="185"/>
      <c r="T165" s="185"/>
      <c r="U165" s="185"/>
      <c r="V165" s="209"/>
      <c r="W165" s="185"/>
      <c r="X165" s="5"/>
    </row>
    <row r="166" spans="1:256" ht="15.6" x14ac:dyDescent="0.3">
      <c r="A166" s="287"/>
      <c r="B166" s="288" t="s">
        <v>52</v>
      </c>
      <c r="C166" s="288"/>
      <c r="D166" s="288"/>
      <c r="E166" s="288"/>
      <c r="F166" s="288"/>
      <c r="G166" s="288"/>
      <c r="H166" s="288"/>
      <c r="I166" s="288"/>
      <c r="J166" s="288"/>
      <c r="K166" s="288"/>
      <c r="L166" s="288"/>
      <c r="M166" s="288"/>
      <c r="N166" s="288"/>
      <c r="O166" s="288"/>
      <c r="P166" s="288"/>
      <c r="Q166" s="288"/>
      <c r="R166" s="288"/>
      <c r="S166" s="288"/>
      <c r="T166" s="288"/>
      <c r="U166" s="288"/>
      <c r="V166" s="338">
        <v>0</v>
      </c>
      <c r="W166" s="291"/>
      <c r="X166" s="5"/>
    </row>
    <row r="167" spans="1:256" ht="15.6" x14ac:dyDescent="0.3">
      <c r="A167" s="287"/>
      <c r="B167" s="288" t="s">
        <v>53</v>
      </c>
      <c r="C167" s="288"/>
      <c r="D167" s="288"/>
      <c r="E167" s="288"/>
      <c r="F167" s="288"/>
      <c r="G167" s="288"/>
      <c r="H167" s="288"/>
      <c r="I167" s="288"/>
      <c r="J167" s="288"/>
      <c r="K167" s="288"/>
      <c r="L167" s="288"/>
      <c r="M167" s="288"/>
      <c r="N167" s="288"/>
      <c r="O167" s="288"/>
      <c r="P167" s="288"/>
      <c r="Q167" s="288"/>
      <c r="R167" s="288"/>
      <c r="S167" s="288"/>
      <c r="T167" s="288"/>
      <c r="U167" s="288"/>
      <c r="V167" s="338">
        <v>292</v>
      </c>
      <c r="W167" s="291"/>
      <c r="X167" s="5"/>
    </row>
    <row r="168" spans="1:256" ht="15.6" x14ac:dyDescent="0.3">
      <c r="A168" s="287"/>
      <c r="B168" s="288" t="s">
        <v>54</v>
      </c>
      <c r="C168" s="288"/>
      <c r="D168" s="288"/>
      <c r="E168" s="288"/>
      <c r="F168" s="288"/>
      <c r="G168" s="288"/>
      <c r="H168" s="288"/>
      <c r="I168" s="288"/>
      <c r="J168" s="288"/>
      <c r="K168" s="288"/>
      <c r="L168" s="288"/>
      <c r="M168" s="288"/>
      <c r="N168" s="288"/>
      <c r="O168" s="288"/>
      <c r="P168" s="288"/>
      <c r="Q168" s="288"/>
      <c r="R168" s="288"/>
      <c r="S168" s="288"/>
      <c r="T168" s="288"/>
      <c r="U168" s="288"/>
      <c r="V168" s="338">
        <f>V167+V166</f>
        <v>292</v>
      </c>
      <c r="W168" s="291"/>
      <c r="X168" s="5"/>
    </row>
    <row r="169" spans="1:256" ht="15.6" x14ac:dyDescent="0.3">
      <c r="A169" s="287"/>
      <c r="B169" s="288" t="s">
        <v>315</v>
      </c>
      <c r="C169" s="288"/>
      <c r="D169" s="288"/>
      <c r="E169" s="288"/>
      <c r="F169" s="288"/>
      <c r="G169" s="288"/>
      <c r="H169" s="288"/>
      <c r="I169" s="288"/>
      <c r="J169" s="288"/>
      <c r="K169" s="288"/>
      <c r="L169" s="288"/>
      <c r="M169" s="288"/>
      <c r="N169" s="288"/>
      <c r="O169" s="288"/>
      <c r="P169" s="288"/>
      <c r="Q169" s="288"/>
      <c r="R169" s="288"/>
      <c r="S169" s="288"/>
      <c r="T169" s="288"/>
      <c r="U169" s="288"/>
      <c r="V169" s="338">
        <f>V115</f>
        <v>-292</v>
      </c>
      <c r="W169" s="291"/>
      <c r="X169" s="5"/>
    </row>
    <row r="170" spans="1:256" ht="15.6" x14ac:dyDescent="0.3">
      <c r="A170" s="287"/>
      <c r="B170" s="288" t="s">
        <v>55</v>
      </c>
      <c r="C170" s="288"/>
      <c r="D170" s="288"/>
      <c r="E170" s="288"/>
      <c r="F170" s="288"/>
      <c r="G170" s="288"/>
      <c r="H170" s="288"/>
      <c r="I170" s="288"/>
      <c r="J170" s="288"/>
      <c r="K170" s="288"/>
      <c r="L170" s="288"/>
      <c r="M170" s="288"/>
      <c r="N170" s="288"/>
      <c r="O170" s="288"/>
      <c r="P170" s="288"/>
      <c r="Q170" s="288"/>
      <c r="R170" s="288"/>
      <c r="S170" s="288"/>
      <c r="T170" s="288"/>
      <c r="U170" s="288"/>
      <c r="V170" s="338">
        <f>V168+V169</f>
        <v>0</v>
      </c>
      <c r="W170" s="291"/>
      <c r="X170" s="5"/>
    </row>
    <row r="171" spans="1:256" ht="15.6" x14ac:dyDescent="0.3">
      <c r="A171" s="287"/>
      <c r="B171" s="288" t="s">
        <v>283</v>
      </c>
      <c r="C171" s="288"/>
      <c r="D171" s="288"/>
      <c r="E171" s="288"/>
      <c r="F171" s="288"/>
      <c r="G171" s="288"/>
      <c r="H171" s="288"/>
      <c r="I171" s="288"/>
      <c r="J171" s="288"/>
      <c r="K171" s="288"/>
      <c r="L171" s="288"/>
      <c r="M171" s="288"/>
      <c r="N171" s="288"/>
      <c r="O171" s="288"/>
      <c r="P171" s="288"/>
      <c r="Q171" s="288"/>
      <c r="R171" s="288"/>
      <c r="S171" s="288"/>
      <c r="T171" s="288"/>
      <c r="U171" s="288"/>
      <c r="V171" s="338">
        <v>0</v>
      </c>
      <c r="W171" s="291"/>
      <c r="X171" s="5"/>
    </row>
    <row r="172" spans="1:256" ht="16.2" thickBot="1" x14ac:dyDescent="0.35">
      <c r="A172" s="183"/>
      <c r="B172" s="284"/>
      <c r="C172" s="284"/>
      <c r="D172" s="284"/>
      <c r="E172" s="284"/>
      <c r="F172" s="284"/>
      <c r="G172" s="284"/>
      <c r="H172" s="284"/>
      <c r="I172" s="284"/>
      <c r="J172" s="284"/>
      <c r="K172" s="284"/>
      <c r="L172" s="284"/>
      <c r="M172" s="284"/>
      <c r="N172" s="284"/>
      <c r="O172" s="284"/>
      <c r="P172" s="284"/>
      <c r="Q172" s="284"/>
      <c r="R172" s="284"/>
      <c r="S172" s="284"/>
      <c r="T172" s="284"/>
      <c r="U172" s="284"/>
      <c r="V172" s="349"/>
      <c r="W172" s="284"/>
      <c r="X172" s="5"/>
    </row>
    <row r="173" spans="1:256" ht="15.6" x14ac:dyDescent="0.3">
      <c r="A173" s="180"/>
      <c r="B173" s="247"/>
      <c r="C173" s="247"/>
      <c r="D173" s="247"/>
      <c r="E173" s="247"/>
      <c r="F173" s="247"/>
      <c r="G173" s="247"/>
      <c r="H173" s="247"/>
      <c r="I173" s="247"/>
      <c r="J173" s="247"/>
      <c r="K173" s="247"/>
      <c r="L173" s="247"/>
      <c r="M173" s="247"/>
      <c r="N173" s="247"/>
      <c r="O173" s="247"/>
      <c r="P173" s="247"/>
      <c r="Q173" s="247"/>
      <c r="R173" s="247"/>
      <c r="S173" s="247"/>
      <c r="T173" s="247"/>
      <c r="U173" s="247"/>
      <c r="V173" s="248"/>
      <c r="W173" s="247"/>
      <c r="X173" s="5"/>
    </row>
    <row r="174" spans="1:256" s="161" customFormat="1" ht="15.6" x14ac:dyDescent="0.3">
      <c r="A174" s="183"/>
      <c r="B174" s="208" t="s">
        <v>269</v>
      </c>
      <c r="C174" s="198"/>
      <c r="D174" s="198"/>
      <c r="E174" s="198"/>
      <c r="F174" s="198"/>
      <c r="G174" s="198"/>
      <c r="H174" s="198"/>
      <c r="I174" s="198"/>
      <c r="J174" s="198"/>
      <c r="K174" s="198"/>
      <c r="L174" s="198"/>
      <c r="M174" s="198"/>
      <c r="N174" s="198"/>
      <c r="O174" s="198"/>
      <c r="P174" s="198"/>
      <c r="Q174" s="198"/>
      <c r="R174" s="198"/>
      <c r="S174" s="198"/>
      <c r="T174" s="198"/>
      <c r="U174" s="198"/>
      <c r="V174" s="210"/>
      <c r="W174" s="198"/>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5.6" x14ac:dyDescent="0.3">
      <c r="A175" s="287"/>
      <c r="B175" s="288" t="s">
        <v>270</v>
      </c>
      <c r="C175" s="288"/>
      <c r="D175" s="288"/>
      <c r="E175" s="288"/>
      <c r="F175" s="288"/>
      <c r="G175" s="288"/>
      <c r="H175" s="288"/>
      <c r="I175" s="288"/>
      <c r="J175" s="288"/>
      <c r="K175" s="288"/>
      <c r="L175" s="288"/>
      <c r="M175" s="288"/>
      <c r="N175" s="288"/>
      <c r="O175" s="288"/>
      <c r="P175" s="288"/>
      <c r="Q175" s="288"/>
      <c r="R175" s="288"/>
      <c r="S175" s="288"/>
      <c r="T175" s="288"/>
      <c r="U175" s="288"/>
      <c r="V175" s="338">
        <f>+'Aug 08'!V177</f>
        <v>0</v>
      </c>
      <c r="W175" s="291"/>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3" customFormat="1" ht="15.6" x14ac:dyDescent="0.3">
      <c r="A176" s="287"/>
      <c r="B176" s="288" t="s">
        <v>273</v>
      </c>
      <c r="C176" s="288"/>
      <c r="D176" s="288"/>
      <c r="E176" s="288"/>
      <c r="F176" s="288"/>
      <c r="G176" s="288"/>
      <c r="H176" s="288"/>
      <c r="I176" s="288"/>
      <c r="J176" s="288"/>
      <c r="K176" s="288"/>
      <c r="L176" s="288"/>
      <c r="M176" s="288"/>
      <c r="N176" s="288"/>
      <c r="O176" s="288"/>
      <c r="P176" s="288"/>
      <c r="Q176" s="288"/>
      <c r="R176" s="288"/>
      <c r="S176" s="288"/>
      <c r="T176" s="288"/>
      <c r="U176" s="288"/>
      <c r="V176" s="338">
        <f>+V94</f>
        <v>0</v>
      </c>
      <c r="W176" s="291"/>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s="163" customFormat="1" ht="15.6" x14ac:dyDescent="0.3">
      <c r="A177" s="287"/>
      <c r="B177" s="288" t="s">
        <v>271</v>
      </c>
      <c r="C177" s="288"/>
      <c r="D177" s="288"/>
      <c r="E177" s="288"/>
      <c r="F177" s="288"/>
      <c r="G177" s="288"/>
      <c r="H177" s="288"/>
      <c r="I177" s="288"/>
      <c r="J177" s="288"/>
      <c r="K177" s="288"/>
      <c r="L177" s="288"/>
      <c r="M177" s="288"/>
      <c r="N177" s="288"/>
      <c r="O177" s="288"/>
      <c r="P177" s="288"/>
      <c r="Q177" s="288"/>
      <c r="R177" s="288"/>
      <c r="S177" s="288"/>
      <c r="T177" s="288"/>
      <c r="U177" s="288"/>
      <c r="V177" s="338">
        <f>+V175-V176</f>
        <v>0</v>
      </c>
      <c r="W177" s="291"/>
      <c r="X177" s="5"/>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s="166" customFormat="1" ht="16.2" thickBot="1" x14ac:dyDescent="0.35">
      <c r="A178" s="199"/>
      <c r="B178" s="198"/>
      <c r="C178" s="198"/>
      <c r="D178" s="198"/>
      <c r="E178" s="198"/>
      <c r="F178" s="198"/>
      <c r="G178" s="198"/>
      <c r="H178" s="198"/>
      <c r="I178" s="198"/>
      <c r="J178" s="198"/>
      <c r="K178" s="198"/>
      <c r="L178" s="198"/>
      <c r="M178" s="198"/>
      <c r="N178" s="198"/>
      <c r="O178" s="198"/>
      <c r="P178" s="198"/>
      <c r="Q178" s="198"/>
      <c r="R178" s="198"/>
      <c r="S178" s="198"/>
      <c r="T178" s="198"/>
      <c r="U178" s="198"/>
      <c r="V178" s="347"/>
      <c r="W178" s="198"/>
      <c r="X178" s="5"/>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s="167" customFormat="1" ht="15.6" x14ac:dyDescent="0.3">
      <c r="A179" s="180"/>
      <c r="B179" s="181"/>
      <c r="C179" s="181"/>
      <c r="D179" s="181"/>
      <c r="E179" s="181"/>
      <c r="F179" s="181"/>
      <c r="G179" s="181"/>
      <c r="H179" s="181"/>
      <c r="I179" s="181"/>
      <c r="J179" s="181"/>
      <c r="K179" s="181"/>
      <c r="L179" s="181"/>
      <c r="M179" s="181"/>
      <c r="N179" s="181"/>
      <c r="O179" s="181"/>
      <c r="P179" s="181"/>
      <c r="Q179" s="181"/>
      <c r="R179" s="181"/>
      <c r="S179" s="181"/>
      <c r="T179" s="181"/>
      <c r="U179" s="181"/>
      <c r="V179" s="200"/>
      <c r="W179" s="181"/>
      <c r="X179" s="5"/>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ht="15.6" x14ac:dyDescent="0.3">
      <c r="A180" s="183"/>
      <c r="B180" s="208" t="s">
        <v>56</v>
      </c>
      <c r="C180" s="185"/>
      <c r="D180" s="185"/>
      <c r="E180" s="185"/>
      <c r="F180" s="185"/>
      <c r="G180" s="185"/>
      <c r="H180" s="185"/>
      <c r="I180" s="185"/>
      <c r="J180" s="185"/>
      <c r="K180" s="185"/>
      <c r="L180" s="185"/>
      <c r="M180" s="185"/>
      <c r="N180" s="185"/>
      <c r="O180" s="185"/>
      <c r="P180" s="185"/>
      <c r="Q180" s="185"/>
      <c r="R180" s="185"/>
      <c r="S180" s="185"/>
      <c r="T180" s="185"/>
      <c r="U180" s="185"/>
      <c r="V180" s="201"/>
      <c r="W180" s="185"/>
      <c r="X180" s="5"/>
    </row>
    <row r="181" spans="1:256" ht="15.6" x14ac:dyDescent="0.3">
      <c r="A181" s="183"/>
      <c r="B181" s="195"/>
      <c r="C181" s="185"/>
      <c r="D181" s="185"/>
      <c r="E181" s="185"/>
      <c r="F181" s="185"/>
      <c r="G181" s="185"/>
      <c r="H181" s="185"/>
      <c r="I181" s="185"/>
      <c r="J181" s="185"/>
      <c r="K181" s="185"/>
      <c r="L181" s="185"/>
      <c r="M181" s="185"/>
      <c r="N181" s="185"/>
      <c r="O181" s="185"/>
      <c r="P181" s="185"/>
      <c r="Q181" s="185"/>
      <c r="R181" s="185"/>
      <c r="S181" s="185"/>
      <c r="T181" s="185"/>
      <c r="U181" s="185"/>
      <c r="V181" s="201"/>
      <c r="W181" s="185"/>
      <c r="X181" s="5"/>
    </row>
    <row r="182" spans="1:256" ht="15.6" x14ac:dyDescent="0.3">
      <c r="A182" s="287"/>
      <c r="B182" s="288" t="s">
        <v>57</v>
      </c>
      <c r="C182" s="288"/>
      <c r="D182" s="288"/>
      <c r="E182" s="288"/>
      <c r="F182" s="288"/>
      <c r="G182" s="288"/>
      <c r="H182" s="288"/>
      <c r="I182" s="288"/>
      <c r="J182" s="288"/>
      <c r="K182" s="288"/>
      <c r="L182" s="288"/>
      <c r="M182" s="288"/>
      <c r="N182" s="288"/>
      <c r="O182" s="288"/>
      <c r="P182" s="288"/>
      <c r="Q182" s="288"/>
      <c r="R182" s="288"/>
      <c r="S182" s="288"/>
      <c r="T182" s="288"/>
      <c r="U182" s="288"/>
      <c r="V182" s="338">
        <f>V71</f>
        <v>1025958</v>
      </c>
      <c r="W182" s="291"/>
      <c r="X182" s="5"/>
    </row>
    <row r="183" spans="1:256" ht="15.6" x14ac:dyDescent="0.3">
      <c r="A183" s="287"/>
      <c r="B183" s="288" t="s">
        <v>58</v>
      </c>
      <c r="C183" s="288"/>
      <c r="D183" s="288"/>
      <c r="E183" s="288"/>
      <c r="F183" s="288"/>
      <c r="G183" s="288"/>
      <c r="H183" s="288"/>
      <c r="I183" s="288"/>
      <c r="J183" s="288"/>
      <c r="K183" s="288"/>
      <c r="L183" s="288"/>
      <c r="M183" s="288"/>
      <c r="N183" s="288"/>
      <c r="O183" s="288"/>
      <c r="P183" s="288"/>
      <c r="Q183" s="288"/>
      <c r="R183" s="288"/>
      <c r="S183" s="288"/>
      <c r="T183" s="288"/>
      <c r="U183" s="288"/>
      <c r="V183" s="338">
        <f>V84</f>
        <v>1025958</v>
      </c>
      <c r="W183" s="291"/>
      <c r="X183" s="5"/>
    </row>
    <row r="184" spans="1:256" ht="16.2" thickBot="1" x14ac:dyDescent="0.35">
      <c r="A184" s="183"/>
      <c r="B184" s="198"/>
      <c r="C184" s="198"/>
      <c r="D184" s="198"/>
      <c r="E184" s="198"/>
      <c r="F184" s="198"/>
      <c r="G184" s="198"/>
      <c r="H184" s="198"/>
      <c r="I184" s="198"/>
      <c r="J184" s="198"/>
      <c r="K184" s="198"/>
      <c r="L184" s="198"/>
      <c r="M184" s="198"/>
      <c r="N184" s="198"/>
      <c r="O184" s="198"/>
      <c r="P184" s="198"/>
      <c r="Q184" s="198"/>
      <c r="R184" s="198"/>
      <c r="S184" s="198"/>
      <c r="T184" s="198"/>
      <c r="U184" s="198"/>
      <c r="V184" s="347"/>
      <c r="W184" s="198"/>
      <c r="X184" s="5"/>
    </row>
    <row r="185" spans="1:256" ht="15.6" x14ac:dyDescent="0.3">
      <c r="A185" s="180"/>
      <c r="B185" s="181"/>
      <c r="C185" s="181"/>
      <c r="D185" s="181"/>
      <c r="E185" s="181"/>
      <c r="F185" s="181"/>
      <c r="G185" s="181"/>
      <c r="H185" s="181"/>
      <c r="I185" s="181"/>
      <c r="J185" s="181"/>
      <c r="K185" s="181"/>
      <c r="L185" s="181"/>
      <c r="M185" s="181"/>
      <c r="N185" s="181"/>
      <c r="O185" s="181"/>
      <c r="P185" s="181"/>
      <c r="Q185" s="181"/>
      <c r="R185" s="181"/>
      <c r="S185" s="181"/>
      <c r="T185" s="181"/>
      <c r="U185" s="181"/>
      <c r="V185" s="200"/>
      <c r="W185" s="181"/>
      <c r="X185" s="5"/>
    </row>
    <row r="186" spans="1:256" ht="15.6" x14ac:dyDescent="0.3">
      <c r="A186" s="183"/>
      <c r="B186" s="208" t="s">
        <v>59</v>
      </c>
      <c r="C186" s="205"/>
      <c r="D186" s="205"/>
      <c r="E186" s="205"/>
      <c r="F186" s="205"/>
      <c r="G186" s="205"/>
      <c r="H186" s="211"/>
      <c r="I186" s="211"/>
      <c r="J186" s="211"/>
      <c r="K186" s="211"/>
      <c r="L186" s="211"/>
      <c r="M186" s="211"/>
      <c r="N186" s="211"/>
      <c r="O186" s="211"/>
      <c r="P186" s="211"/>
      <c r="Q186" s="211"/>
      <c r="R186" s="211"/>
      <c r="S186" s="211" t="s">
        <v>101</v>
      </c>
      <c r="T186" s="211" t="s">
        <v>176</v>
      </c>
      <c r="U186" s="187"/>
      <c r="V186" s="212" t="s">
        <v>114</v>
      </c>
      <c r="W186" s="213"/>
      <c r="X186" s="5"/>
    </row>
    <row r="187" spans="1:256" ht="15.6" x14ac:dyDescent="0.3">
      <c r="A187" s="287"/>
      <c r="B187" s="288" t="s">
        <v>60</v>
      </c>
      <c r="C187" s="288"/>
      <c r="D187" s="288"/>
      <c r="E187" s="288"/>
      <c r="F187" s="288"/>
      <c r="G187" s="288"/>
      <c r="H187" s="288"/>
      <c r="I187" s="288"/>
      <c r="J187" s="288"/>
      <c r="K187" s="288"/>
      <c r="L187" s="288"/>
      <c r="M187" s="288"/>
      <c r="N187" s="288"/>
      <c r="O187" s="288"/>
      <c r="P187" s="288"/>
      <c r="Q187" s="288"/>
      <c r="R187" s="288"/>
      <c r="S187" s="338">
        <f>+V34*0.16</f>
        <v>240044</v>
      </c>
      <c r="T187" s="325"/>
      <c r="U187" s="288"/>
      <c r="V187" s="338"/>
      <c r="W187" s="291"/>
      <c r="X187" s="5"/>
    </row>
    <row r="188" spans="1:256" ht="15.6" x14ac:dyDescent="0.3">
      <c r="A188" s="287"/>
      <c r="B188" s="288" t="s">
        <v>61</v>
      </c>
      <c r="C188" s="288"/>
      <c r="D188" s="288"/>
      <c r="E188" s="288"/>
      <c r="F188" s="288"/>
      <c r="G188" s="288"/>
      <c r="H188" s="288"/>
      <c r="I188" s="288"/>
      <c r="J188" s="288"/>
      <c r="K188" s="288"/>
      <c r="L188" s="288"/>
      <c r="M188" s="288"/>
      <c r="N188" s="288"/>
      <c r="O188" s="288"/>
      <c r="P188" s="288"/>
      <c r="Q188" s="288"/>
      <c r="R188" s="288"/>
      <c r="S188" s="338">
        <f>+'Nov 14'!S190</f>
        <v>25397</v>
      </c>
      <c r="T188" s="338">
        <f>+'Nov 14'!T190</f>
        <v>6016</v>
      </c>
      <c r="U188" s="288"/>
      <c r="V188" s="338">
        <f>S188+T188</f>
        <v>31413</v>
      </c>
      <c r="W188" s="291"/>
      <c r="X188" s="5"/>
    </row>
    <row r="189" spans="1:256" ht="15.6" x14ac:dyDescent="0.3">
      <c r="A189" s="287"/>
      <c r="B189" s="288" t="s">
        <v>62</v>
      </c>
      <c r="C189" s="288"/>
      <c r="D189" s="288"/>
      <c r="E189" s="288"/>
      <c r="F189" s="288"/>
      <c r="G189" s="288"/>
      <c r="H189" s="288"/>
      <c r="I189" s="288"/>
      <c r="J189" s="288"/>
      <c r="K189" s="288"/>
      <c r="L189" s="288"/>
      <c r="M189" s="288"/>
      <c r="N189" s="288"/>
      <c r="O189" s="288"/>
      <c r="P189" s="288"/>
      <c r="Q189" s="288"/>
      <c r="R189" s="288"/>
      <c r="S189" s="337">
        <f>257+132</f>
        <v>389</v>
      </c>
      <c r="T189" s="337">
        <v>0</v>
      </c>
      <c r="U189" s="288"/>
      <c r="V189" s="338">
        <f>S189+T189</f>
        <v>389</v>
      </c>
      <c r="W189" s="291"/>
      <c r="X189" s="5"/>
    </row>
    <row r="190" spans="1:256" ht="15.6" x14ac:dyDescent="0.3">
      <c r="A190" s="287"/>
      <c r="B190" s="288" t="s">
        <v>63</v>
      </c>
      <c r="C190" s="288"/>
      <c r="D190" s="288"/>
      <c r="E190" s="288"/>
      <c r="F190" s="288"/>
      <c r="G190" s="288"/>
      <c r="H190" s="288"/>
      <c r="I190" s="288"/>
      <c r="J190" s="288"/>
      <c r="K190" s="288"/>
      <c r="L190" s="288"/>
      <c r="M190" s="288"/>
      <c r="N190" s="288"/>
      <c r="O190" s="288"/>
      <c r="P190" s="288"/>
      <c r="Q190" s="288"/>
      <c r="R190" s="288"/>
      <c r="S190" s="338">
        <f>S188+S189</f>
        <v>25786</v>
      </c>
      <c r="T190" s="338">
        <f>T189+T188</f>
        <v>6016</v>
      </c>
      <c r="U190" s="288"/>
      <c r="V190" s="338">
        <f>S190+T190</f>
        <v>31802</v>
      </c>
      <c r="W190" s="291"/>
      <c r="X190" s="5"/>
    </row>
    <row r="191" spans="1:256" ht="15.6" x14ac:dyDescent="0.3">
      <c r="A191" s="287"/>
      <c r="B191" s="288" t="s">
        <v>64</v>
      </c>
      <c r="C191" s="288"/>
      <c r="D191" s="288"/>
      <c r="E191" s="288"/>
      <c r="F191" s="288"/>
      <c r="G191" s="288"/>
      <c r="H191" s="288"/>
      <c r="I191" s="288"/>
      <c r="J191" s="288"/>
      <c r="K191" s="288"/>
      <c r="L191" s="288"/>
      <c r="M191" s="288"/>
      <c r="N191" s="288"/>
      <c r="O191" s="288"/>
      <c r="P191" s="288"/>
      <c r="Q191" s="288"/>
      <c r="R191" s="288"/>
      <c r="S191" s="338">
        <f>S187-S190-T190</f>
        <v>208242</v>
      </c>
      <c r="T191" s="325"/>
      <c r="U191" s="288"/>
      <c r="V191" s="338"/>
      <c r="W191" s="291"/>
      <c r="X191" s="5"/>
    </row>
    <row r="192" spans="1:256" ht="16.2" thickBot="1" x14ac:dyDescent="0.35">
      <c r="A192" s="183"/>
      <c r="B192" s="198"/>
      <c r="C192" s="198"/>
      <c r="D192" s="198"/>
      <c r="E192" s="198"/>
      <c r="F192" s="198"/>
      <c r="G192" s="198"/>
      <c r="H192" s="198"/>
      <c r="I192" s="198"/>
      <c r="J192" s="198"/>
      <c r="K192" s="198"/>
      <c r="L192" s="198"/>
      <c r="M192" s="198"/>
      <c r="N192" s="198"/>
      <c r="O192" s="198"/>
      <c r="P192" s="198"/>
      <c r="Q192" s="198"/>
      <c r="R192" s="198"/>
      <c r="S192" s="198"/>
      <c r="T192" s="198"/>
      <c r="U192" s="198"/>
      <c r="V192" s="347"/>
      <c r="W192" s="198"/>
      <c r="X192" s="5"/>
    </row>
    <row r="193" spans="1:24" ht="15.6" x14ac:dyDescent="0.3">
      <c r="A193" s="180"/>
      <c r="B193" s="181"/>
      <c r="C193" s="181"/>
      <c r="D193" s="181"/>
      <c r="E193" s="181"/>
      <c r="F193" s="181"/>
      <c r="G193" s="181"/>
      <c r="H193" s="181"/>
      <c r="I193" s="181"/>
      <c r="J193" s="181"/>
      <c r="K193" s="181"/>
      <c r="L193" s="181"/>
      <c r="M193" s="181"/>
      <c r="N193" s="181"/>
      <c r="O193" s="181"/>
      <c r="P193" s="181"/>
      <c r="Q193" s="181"/>
      <c r="R193" s="181"/>
      <c r="S193" s="181"/>
      <c r="T193" s="181"/>
      <c r="U193" s="181"/>
      <c r="V193" s="200"/>
      <c r="W193" s="181"/>
      <c r="X193" s="5"/>
    </row>
    <row r="194" spans="1:24" ht="15.6" x14ac:dyDescent="0.3">
      <c r="A194" s="183"/>
      <c r="B194" s="208" t="s">
        <v>65</v>
      </c>
      <c r="C194" s="185"/>
      <c r="D194" s="185"/>
      <c r="E194" s="185"/>
      <c r="F194" s="185"/>
      <c r="G194" s="185"/>
      <c r="H194" s="185"/>
      <c r="I194" s="185"/>
      <c r="J194" s="185"/>
      <c r="K194" s="185"/>
      <c r="L194" s="185"/>
      <c r="M194" s="185"/>
      <c r="N194" s="185"/>
      <c r="O194" s="185"/>
      <c r="P194" s="185"/>
      <c r="Q194" s="185"/>
      <c r="R194" s="185"/>
      <c r="S194" s="185"/>
      <c r="T194" s="185"/>
      <c r="U194" s="185"/>
      <c r="V194" s="214"/>
      <c r="W194" s="185"/>
      <c r="X194" s="5"/>
    </row>
    <row r="195" spans="1:24" ht="15.6" x14ac:dyDescent="0.3">
      <c r="A195" s="287"/>
      <c r="B195" s="288" t="s">
        <v>66</v>
      </c>
      <c r="C195" s="288"/>
      <c r="D195" s="288"/>
      <c r="E195" s="288"/>
      <c r="F195" s="288"/>
      <c r="G195" s="288"/>
      <c r="H195" s="288"/>
      <c r="I195" s="288"/>
      <c r="J195" s="288"/>
      <c r="K195" s="288"/>
      <c r="L195" s="288"/>
      <c r="M195" s="288"/>
      <c r="N195" s="288"/>
      <c r="O195" s="288"/>
      <c r="P195" s="288"/>
      <c r="Q195" s="288"/>
      <c r="R195" s="288"/>
      <c r="S195" s="288"/>
      <c r="T195" s="288"/>
      <c r="U195" s="288"/>
      <c r="V195" s="348">
        <f>(V101+V103+V104+V105+V106)/-(V107+V108)</f>
        <v>3.805210918114144</v>
      </c>
      <c r="W195" s="291" t="s">
        <v>115</v>
      </c>
      <c r="X195" s="5"/>
    </row>
    <row r="196" spans="1:24" ht="15.6" x14ac:dyDescent="0.3">
      <c r="A196" s="287"/>
      <c r="B196" s="288" t="s">
        <v>67</v>
      </c>
      <c r="C196" s="288"/>
      <c r="D196" s="288"/>
      <c r="E196" s="288"/>
      <c r="F196" s="288"/>
      <c r="G196" s="288"/>
      <c r="H196" s="288"/>
      <c r="I196" s="288"/>
      <c r="J196" s="288"/>
      <c r="K196" s="288"/>
      <c r="L196" s="288"/>
      <c r="M196" s="288"/>
      <c r="N196" s="288"/>
      <c r="O196" s="288"/>
      <c r="P196" s="288"/>
      <c r="Q196" s="288"/>
      <c r="R196" s="288"/>
      <c r="S196" s="288"/>
      <c r="T196" s="288"/>
      <c r="U196" s="288"/>
      <c r="V196" s="350">
        <v>1.91</v>
      </c>
      <c r="W196" s="291" t="s">
        <v>115</v>
      </c>
      <c r="X196" s="5"/>
    </row>
    <row r="197" spans="1:24" ht="15.6" x14ac:dyDescent="0.3">
      <c r="A197" s="287"/>
      <c r="B197" s="288" t="s">
        <v>68</v>
      </c>
      <c r="C197" s="288"/>
      <c r="D197" s="288"/>
      <c r="E197" s="288"/>
      <c r="F197" s="288"/>
      <c r="G197" s="288"/>
      <c r="H197" s="288"/>
      <c r="I197" s="288"/>
      <c r="J197" s="288"/>
      <c r="K197" s="288"/>
      <c r="L197" s="288"/>
      <c r="M197" s="288"/>
      <c r="N197" s="288"/>
      <c r="O197" s="288"/>
      <c r="P197" s="288"/>
      <c r="Q197" s="288"/>
      <c r="R197" s="288"/>
      <c r="S197" s="288"/>
      <c r="T197" s="288"/>
      <c r="U197" s="288"/>
      <c r="V197" s="348">
        <f>(V101+V103+V104+V105+V106+V107+V108)/-(V110+V111)</f>
        <v>16.936329588014981</v>
      </c>
      <c r="W197" s="291" t="s">
        <v>115</v>
      </c>
      <c r="X197" s="5"/>
    </row>
    <row r="198" spans="1:24" ht="15.6" x14ac:dyDescent="0.3">
      <c r="A198" s="287"/>
      <c r="B198" s="288" t="s">
        <v>69</v>
      </c>
      <c r="C198" s="288"/>
      <c r="D198" s="288"/>
      <c r="E198" s="288"/>
      <c r="F198" s="288"/>
      <c r="G198" s="288"/>
      <c r="H198" s="288"/>
      <c r="I198" s="288"/>
      <c r="J198" s="288"/>
      <c r="K198" s="288"/>
      <c r="L198" s="288"/>
      <c r="M198" s="288"/>
      <c r="N198" s="288"/>
      <c r="O198" s="288"/>
      <c r="P198" s="288"/>
      <c r="Q198" s="288"/>
      <c r="R198" s="288"/>
      <c r="S198" s="288"/>
      <c r="T198" s="288"/>
      <c r="U198" s="288"/>
      <c r="V198" s="350">
        <v>8.4700000000000006</v>
      </c>
      <c r="W198" s="291" t="s">
        <v>115</v>
      </c>
      <c r="X198" s="5"/>
    </row>
    <row r="199" spans="1:24" ht="15.6" x14ac:dyDescent="0.3">
      <c r="A199" s="287"/>
      <c r="B199" s="288" t="s">
        <v>198</v>
      </c>
      <c r="C199" s="288"/>
      <c r="D199" s="288"/>
      <c r="E199" s="288"/>
      <c r="F199" s="288"/>
      <c r="G199" s="288"/>
      <c r="H199" s="288"/>
      <c r="I199" s="288"/>
      <c r="J199" s="288"/>
      <c r="K199" s="288"/>
      <c r="L199" s="288"/>
      <c r="M199" s="288"/>
      <c r="N199" s="288"/>
      <c r="O199" s="288"/>
      <c r="P199" s="288"/>
      <c r="Q199" s="288"/>
      <c r="R199" s="288"/>
      <c r="S199" s="288"/>
      <c r="T199" s="288"/>
      <c r="U199" s="288"/>
      <c r="V199" s="348">
        <f>(V101+V103+V104+V105+V106+V107+V108+V110+V111)/-(V112+V113)</f>
        <v>10.772151898734178</v>
      </c>
      <c r="W199" s="291" t="s">
        <v>115</v>
      </c>
      <c r="X199" s="5"/>
    </row>
    <row r="200" spans="1:24" ht="15.6" x14ac:dyDescent="0.3">
      <c r="A200" s="287"/>
      <c r="B200" s="288" t="s">
        <v>199</v>
      </c>
      <c r="C200" s="288"/>
      <c r="D200" s="288"/>
      <c r="E200" s="288"/>
      <c r="F200" s="288"/>
      <c r="G200" s="288"/>
      <c r="H200" s="288"/>
      <c r="I200" s="288"/>
      <c r="J200" s="288"/>
      <c r="K200" s="288"/>
      <c r="L200" s="288"/>
      <c r="M200" s="288"/>
      <c r="N200" s="288"/>
      <c r="O200" s="288"/>
      <c r="P200" s="288"/>
      <c r="Q200" s="288"/>
      <c r="R200" s="288"/>
      <c r="S200" s="288"/>
      <c r="T200" s="288"/>
      <c r="U200" s="288"/>
      <c r="V200" s="350">
        <v>6.55</v>
      </c>
      <c r="W200" s="291" t="s">
        <v>115</v>
      </c>
      <c r="X200" s="5"/>
    </row>
    <row r="201" spans="1:24" ht="15.6" x14ac:dyDescent="0.3">
      <c r="A201" s="287"/>
      <c r="B201" s="314"/>
      <c r="C201" s="314"/>
      <c r="D201" s="314"/>
      <c r="E201" s="314"/>
      <c r="F201" s="314"/>
      <c r="G201" s="314"/>
      <c r="H201" s="314"/>
      <c r="I201" s="314"/>
      <c r="J201" s="314"/>
      <c r="K201" s="314"/>
      <c r="L201" s="314"/>
      <c r="M201" s="314"/>
      <c r="N201" s="314"/>
      <c r="O201" s="314"/>
      <c r="P201" s="314"/>
      <c r="Q201" s="314"/>
      <c r="R201" s="314"/>
      <c r="S201" s="314"/>
      <c r="T201" s="314"/>
      <c r="U201" s="314"/>
      <c r="V201" s="314"/>
      <c r="W201" s="318"/>
      <c r="X201" s="5"/>
    </row>
    <row r="202" spans="1:24" ht="15.6" x14ac:dyDescent="0.3">
      <c r="A202" s="183"/>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5"/>
    </row>
    <row r="203" spans="1:24" ht="15.6" x14ac:dyDescent="0.3">
      <c r="A203" s="183"/>
      <c r="B203" s="185"/>
      <c r="C203" s="185"/>
      <c r="D203" s="185"/>
      <c r="E203" s="185"/>
      <c r="F203" s="185"/>
      <c r="G203" s="185"/>
      <c r="H203" s="185"/>
      <c r="I203" s="185"/>
      <c r="J203" s="185"/>
      <c r="K203" s="185"/>
      <c r="L203" s="185"/>
      <c r="M203" s="185"/>
      <c r="N203" s="185"/>
      <c r="O203" s="185"/>
      <c r="P203" s="185"/>
      <c r="Q203" s="185"/>
      <c r="R203" s="185"/>
      <c r="S203" s="185"/>
      <c r="T203" s="185"/>
      <c r="U203" s="185"/>
      <c r="V203" s="185"/>
      <c r="W203" s="185"/>
      <c r="X203" s="5"/>
    </row>
    <row r="204" spans="1:24" ht="18" thickBot="1" x14ac:dyDescent="0.35">
      <c r="A204" s="199"/>
      <c r="B204" s="237" t="str">
        <f>B138</f>
        <v>PM14 INVESTOR REPORT QUARTER ENDING FEBRUARY 2015</v>
      </c>
      <c r="C204" s="215"/>
      <c r="D204" s="215"/>
      <c r="E204" s="215"/>
      <c r="F204" s="215"/>
      <c r="G204" s="215"/>
      <c r="H204" s="215"/>
      <c r="I204" s="215"/>
      <c r="J204" s="215"/>
      <c r="K204" s="215"/>
      <c r="L204" s="215"/>
      <c r="M204" s="215"/>
      <c r="N204" s="215"/>
      <c r="O204" s="215"/>
      <c r="P204" s="215"/>
      <c r="Q204" s="215"/>
      <c r="R204" s="215"/>
      <c r="S204" s="215"/>
      <c r="T204" s="215"/>
      <c r="U204" s="215"/>
      <c r="V204" s="215"/>
      <c r="W204" s="216"/>
      <c r="X204" s="5"/>
    </row>
    <row r="205" spans="1:24" ht="15.6" x14ac:dyDescent="0.3">
      <c r="A205" s="273"/>
      <c r="B205" s="403" t="s">
        <v>70</v>
      </c>
      <c r="C205" s="404"/>
      <c r="D205" s="404"/>
      <c r="E205" s="404"/>
      <c r="F205" s="404"/>
      <c r="G205" s="405"/>
      <c r="H205" s="405"/>
      <c r="I205" s="405"/>
      <c r="J205" s="405"/>
      <c r="K205" s="405"/>
      <c r="L205" s="405"/>
      <c r="M205" s="405"/>
      <c r="N205" s="405"/>
      <c r="O205" s="405"/>
      <c r="P205" s="405"/>
      <c r="Q205" s="405"/>
      <c r="R205" s="405"/>
      <c r="S205" s="405"/>
      <c r="T205" s="405">
        <v>42062</v>
      </c>
      <c r="U205" s="274"/>
      <c r="V205" s="274"/>
      <c r="W205" s="274"/>
      <c r="X205" s="5"/>
    </row>
    <row r="206" spans="1:24" ht="15.6" x14ac:dyDescent="0.3">
      <c r="A206" s="217"/>
      <c r="B206" s="230"/>
      <c r="C206" s="249"/>
      <c r="D206" s="249"/>
      <c r="E206" s="249"/>
      <c r="F206" s="249"/>
      <c r="G206" s="229"/>
      <c r="H206" s="229"/>
      <c r="I206" s="229"/>
      <c r="J206" s="229"/>
      <c r="K206" s="229"/>
      <c r="L206" s="229"/>
      <c r="M206" s="229"/>
      <c r="N206" s="229"/>
      <c r="O206" s="229"/>
      <c r="P206" s="229"/>
      <c r="Q206" s="229"/>
      <c r="R206" s="229"/>
      <c r="S206" s="229"/>
      <c r="T206" s="229"/>
      <c r="U206" s="224"/>
      <c r="V206" s="224"/>
      <c r="W206" s="224"/>
      <c r="X206" s="5"/>
    </row>
    <row r="207" spans="1:24" ht="15.6" x14ac:dyDescent="0.3">
      <c r="A207" s="352"/>
      <c r="B207" s="288" t="s">
        <v>71</v>
      </c>
      <c r="C207" s="353"/>
      <c r="D207" s="353"/>
      <c r="E207" s="353"/>
      <c r="F207" s="353"/>
      <c r="G207" s="330"/>
      <c r="H207" s="330"/>
      <c r="I207" s="330"/>
      <c r="J207" s="330"/>
      <c r="K207" s="330"/>
      <c r="L207" s="330"/>
      <c r="M207" s="330"/>
      <c r="N207" s="330"/>
      <c r="O207" s="330"/>
      <c r="P207" s="330"/>
      <c r="Q207" s="330"/>
      <c r="R207" s="330"/>
      <c r="S207" s="330"/>
      <c r="T207" s="321">
        <v>5.2819999999999999E-2</v>
      </c>
      <c r="U207" s="288"/>
      <c r="V207" s="288"/>
      <c r="W207" s="291"/>
      <c r="X207" s="5"/>
    </row>
    <row r="208" spans="1:24" ht="15.6" x14ac:dyDescent="0.3">
      <c r="A208" s="352"/>
      <c r="B208" s="288" t="s">
        <v>151</v>
      </c>
      <c r="C208" s="353"/>
      <c r="D208" s="353"/>
      <c r="E208" s="353"/>
      <c r="F208" s="353"/>
      <c r="G208" s="330"/>
      <c r="H208" s="330"/>
      <c r="I208" s="330"/>
      <c r="J208" s="330"/>
      <c r="K208" s="330"/>
      <c r="L208" s="330"/>
      <c r="M208" s="330"/>
      <c r="N208" s="330"/>
      <c r="O208" s="330"/>
      <c r="P208" s="330"/>
      <c r="Q208" s="330"/>
      <c r="R208" s="330"/>
      <c r="S208" s="330"/>
      <c r="T208" s="321">
        <v>5.7799999999999997E-2</v>
      </c>
      <c r="U208" s="288"/>
      <c r="V208" s="288"/>
      <c r="W208" s="291"/>
      <c r="X208" s="5"/>
    </row>
    <row r="209" spans="1:24" ht="15.6" x14ac:dyDescent="0.3">
      <c r="A209" s="352"/>
      <c r="B209" s="288" t="s">
        <v>72</v>
      </c>
      <c r="C209" s="353"/>
      <c r="D209" s="353"/>
      <c r="E209" s="353"/>
      <c r="F209" s="353"/>
      <c r="G209" s="330"/>
      <c r="H209" s="330"/>
      <c r="I209" s="330"/>
      <c r="J209" s="330"/>
      <c r="K209" s="330"/>
      <c r="L209" s="330"/>
      <c r="M209" s="330"/>
      <c r="N209" s="330"/>
      <c r="O209" s="330"/>
      <c r="P209" s="330"/>
      <c r="Q209" s="330"/>
      <c r="R209" s="330"/>
      <c r="S209" s="330"/>
      <c r="T209" s="321">
        <f>T207-T208</f>
        <v>-4.9799999999999983E-3</v>
      </c>
      <c r="U209" s="288"/>
      <c r="V209" s="288"/>
      <c r="W209" s="291"/>
      <c r="X209" s="5"/>
    </row>
    <row r="210" spans="1:24" ht="15.6" x14ac:dyDescent="0.3">
      <c r="A210" s="352"/>
      <c r="B210" s="288" t="s">
        <v>73</v>
      </c>
      <c r="C210" s="353"/>
      <c r="D210" s="353"/>
      <c r="E210" s="353"/>
      <c r="F210" s="353"/>
      <c r="G210" s="330"/>
      <c r="H210" s="330"/>
      <c r="I210" s="330"/>
      <c r="J210" s="330"/>
      <c r="K210" s="330"/>
      <c r="L210" s="330"/>
      <c r="M210" s="330"/>
      <c r="N210" s="330"/>
      <c r="O210" s="330"/>
      <c r="P210" s="330"/>
      <c r="Q210" s="330"/>
      <c r="R210" s="330"/>
      <c r="S210" s="330"/>
      <c r="T210" s="321">
        <v>2.3720000000000001E-2</v>
      </c>
      <c r="U210" s="288"/>
      <c r="V210" s="288"/>
      <c r="W210" s="291"/>
      <c r="X210" s="5"/>
    </row>
    <row r="211" spans="1:24" ht="15.6" x14ac:dyDescent="0.3">
      <c r="A211" s="352"/>
      <c r="B211" s="288" t="s">
        <v>219</v>
      </c>
      <c r="C211" s="353"/>
      <c r="D211" s="353"/>
      <c r="E211" s="353"/>
      <c r="F211" s="353"/>
      <c r="G211" s="330"/>
      <c r="H211" s="330"/>
      <c r="I211" s="330"/>
      <c r="J211" s="330"/>
      <c r="K211" s="330"/>
      <c r="L211" s="330"/>
      <c r="M211" s="330"/>
      <c r="N211" s="330"/>
      <c r="O211" s="330"/>
      <c r="P211" s="330"/>
      <c r="Q211" s="330"/>
      <c r="R211" s="330"/>
      <c r="S211" s="330"/>
      <c r="T211" s="321">
        <f>V43</f>
        <v>8.8147360848997054E-3</v>
      </c>
      <c r="U211" s="288"/>
      <c r="V211" s="288"/>
      <c r="W211" s="291"/>
      <c r="X211" s="5"/>
    </row>
    <row r="212" spans="1:24" ht="15.6" x14ac:dyDescent="0.3">
      <c r="A212" s="352"/>
      <c r="B212" s="288" t="s">
        <v>74</v>
      </c>
      <c r="C212" s="353"/>
      <c r="D212" s="353"/>
      <c r="E212" s="353"/>
      <c r="F212" s="353"/>
      <c r="G212" s="330"/>
      <c r="H212" s="330"/>
      <c r="I212" s="330"/>
      <c r="J212" s="330"/>
      <c r="K212" s="330"/>
      <c r="L212" s="330"/>
      <c r="M212" s="330"/>
      <c r="N212" s="330"/>
      <c r="O212" s="330"/>
      <c r="P212" s="330"/>
      <c r="Q212" s="330"/>
      <c r="R212" s="330"/>
      <c r="S212" s="330"/>
      <c r="T212" s="321">
        <f>T210-T211</f>
        <v>1.4905263915100296E-2</v>
      </c>
      <c r="U212" s="288"/>
      <c r="V212" s="288"/>
      <c r="W212" s="291"/>
      <c r="X212" s="5"/>
    </row>
    <row r="213" spans="1:24" ht="15.6" x14ac:dyDescent="0.3">
      <c r="A213" s="352"/>
      <c r="B213" s="288" t="s">
        <v>242</v>
      </c>
      <c r="C213" s="353"/>
      <c r="D213" s="353"/>
      <c r="E213" s="353"/>
      <c r="F213" s="353"/>
      <c r="G213" s="330"/>
      <c r="H213" s="330"/>
      <c r="I213" s="330"/>
      <c r="J213" s="330"/>
      <c r="K213" s="330"/>
      <c r="L213" s="330"/>
      <c r="M213" s="330"/>
      <c r="N213" s="330"/>
      <c r="O213" s="330"/>
      <c r="P213" s="330"/>
      <c r="Q213" s="330"/>
      <c r="R213" s="330"/>
      <c r="S213" s="330"/>
      <c r="T213" s="321">
        <f>V101/N71</f>
        <v>6.2800065688424344E-3</v>
      </c>
      <c r="U213" s="288"/>
      <c r="V213" s="288"/>
      <c r="W213" s="291"/>
      <c r="X213" s="5"/>
    </row>
    <row r="214" spans="1:24" ht="15.6" x14ac:dyDescent="0.3">
      <c r="A214" s="352"/>
      <c r="B214" s="288" t="s">
        <v>208</v>
      </c>
      <c r="C214" s="353"/>
      <c r="D214" s="353"/>
      <c r="E214" s="353"/>
      <c r="F214" s="353"/>
      <c r="G214" s="330"/>
      <c r="H214" s="330"/>
      <c r="I214" s="330"/>
      <c r="J214" s="330"/>
      <c r="K214" s="330"/>
      <c r="L214" s="330"/>
      <c r="M214" s="330"/>
      <c r="N214" s="330"/>
      <c r="O214" s="330"/>
      <c r="P214" s="330"/>
      <c r="Q214" s="330"/>
      <c r="R214" s="330"/>
      <c r="S214" s="330"/>
      <c r="T214" s="354">
        <v>51014</v>
      </c>
      <c r="U214" s="288"/>
      <c r="V214" s="288"/>
      <c r="W214" s="291"/>
      <c r="X214" s="5"/>
    </row>
    <row r="215" spans="1:24" ht="15.6" x14ac:dyDescent="0.3">
      <c r="A215" s="352"/>
      <c r="B215" s="288" t="s">
        <v>209</v>
      </c>
      <c r="C215" s="353"/>
      <c r="D215" s="353"/>
      <c r="E215" s="353"/>
      <c r="F215" s="353"/>
      <c r="G215" s="330"/>
      <c r="H215" s="330"/>
      <c r="I215" s="330"/>
      <c r="J215" s="330"/>
      <c r="K215" s="330"/>
      <c r="L215" s="330"/>
      <c r="M215" s="330"/>
      <c r="N215" s="330"/>
      <c r="O215" s="330"/>
      <c r="P215" s="330"/>
      <c r="Q215" s="330"/>
      <c r="R215" s="330"/>
      <c r="S215" s="330"/>
      <c r="T215" s="354">
        <v>51014</v>
      </c>
      <c r="U215" s="288"/>
      <c r="V215" s="288"/>
      <c r="W215" s="291"/>
      <c r="X215" s="5"/>
    </row>
    <row r="216" spans="1:24" ht="15.6" x14ac:dyDescent="0.3">
      <c r="A216" s="352"/>
      <c r="B216" s="288" t="s">
        <v>210</v>
      </c>
      <c r="C216" s="353"/>
      <c r="D216" s="353"/>
      <c r="E216" s="353"/>
      <c r="F216" s="353"/>
      <c r="G216" s="330"/>
      <c r="H216" s="330"/>
      <c r="I216" s="330"/>
      <c r="J216" s="330"/>
      <c r="K216" s="330"/>
      <c r="L216" s="330"/>
      <c r="M216" s="330"/>
      <c r="N216" s="330"/>
      <c r="O216" s="330"/>
      <c r="P216" s="330"/>
      <c r="Q216" s="330"/>
      <c r="R216" s="330"/>
      <c r="S216" s="330"/>
      <c r="T216" s="354">
        <v>51014</v>
      </c>
      <c r="U216" s="288"/>
      <c r="V216" s="288"/>
      <c r="W216" s="291"/>
      <c r="X216" s="5"/>
    </row>
    <row r="217" spans="1:24" ht="15.6" x14ac:dyDescent="0.3">
      <c r="A217" s="352"/>
      <c r="B217" s="288" t="s">
        <v>75</v>
      </c>
      <c r="C217" s="353"/>
      <c r="D217" s="353"/>
      <c r="E217" s="353"/>
      <c r="F217" s="353"/>
      <c r="G217" s="330"/>
      <c r="H217" s="330"/>
      <c r="I217" s="330"/>
      <c r="J217" s="330"/>
      <c r="K217" s="330"/>
      <c r="L217" s="330"/>
      <c r="M217" s="330"/>
      <c r="N217" s="330"/>
      <c r="O217" s="330"/>
      <c r="P217" s="330"/>
      <c r="Q217" s="330"/>
      <c r="R217" s="330"/>
      <c r="S217" s="330"/>
      <c r="T217" s="327">
        <v>20.66</v>
      </c>
      <c r="U217" s="288" t="s">
        <v>110</v>
      </c>
      <c r="V217" s="288"/>
      <c r="W217" s="291"/>
      <c r="X217" s="5"/>
    </row>
    <row r="218" spans="1:24" ht="15.6" x14ac:dyDescent="0.3">
      <c r="A218" s="352"/>
      <c r="B218" s="288" t="s">
        <v>76</v>
      </c>
      <c r="C218" s="353"/>
      <c r="D218" s="353"/>
      <c r="E218" s="353"/>
      <c r="F218" s="353"/>
      <c r="G218" s="330"/>
      <c r="H218" s="330"/>
      <c r="I218" s="330"/>
      <c r="J218" s="330"/>
      <c r="K218" s="330"/>
      <c r="L218" s="330"/>
      <c r="M218" s="330"/>
      <c r="N218" s="330"/>
      <c r="O218" s="330"/>
      <c r="P218" s="330"/>
      <c r="Q218" s="330"/>
      <c r="R218" s="330"/>
      <c r="S218" s="330"/>
      <c r="T218" s="327">
        <v>13.52</v>
      </c>
      <c r="U218" s="288" t="s">
        <v>110</v>
      </c>
      <c r="V218" s="288"/>
      <c r="W218" s="291"/>
      <c r="X218" s="5"/>
    </row>
    <row r="219" spans="1:24" ht="15.6" x14ac:dyDescent="0.3">
      <c r="A219" s="352"/>
      <c r="B219" s="288" t="s">
        <v>77</v>
      </c>
      <c r="C219" s="353"/>
      <c r="D219" s="353"/>
      <c r="E219" s="353"/>
      <c r="F219" s="353"/>
      <c r="G219" s="330"/>
      <c r="H219" s="330"/>
      <c r="I219" s="330"/>
      <c r="J219" s="330"/>
      <c r="K219" s="330"/>
      <c r="L219" s="330"/>
      <c r="M219" s="330"/>
      <c r="N219" s="330"/>
      <c r="O219" s="330"/>
      <c r="P219" s="330"/>
      <c r="Q219" s="330"/>
      <c r="R219" s="330"/>
      <c r="S219" s="330"/>
      <c r="T219" s="321">
        <f>+P68/N68</f>
        <v>9.2939460388914118E-3</v>
      </c>
      <c r="U219" s="288"/>
      <c r="V219" s="288"/>
      <c r="W219" s="291"/>
      <c r="X219" s="5"/>
    </row>
    <row r="220" spans="1:24" ht="15.6" x14ac:dyDescent="0.3">
      <c r="A220" s="352"/>
      <c r="B220" s="288" t="s">
        <v>78</v>
      </c>
      <c r="C220" s="353"/>
      <c r="D220" s="353"/>
      <c r="E220" s="353"/>
      <c r="F220" s="353"/>
      <c r="G220" s="330"/>
      <c r="H220" s="330"/>
      <c r="I220" s="330"/>
      <c r="J220" s="330"/>
      <c r="K220" s="330"/>
      <c r="L220" s="330"/>
      <c r="M220" s="330"/>
      <c r="N220" s="330"/>
      <c r="O220" s="330"/>
      <c r="P220" s="330"/>
      <c r="Q220" s="330"/>
      <c r="R220" s="330"/>
      <c r="S220" s="330"/>
      <c r="T220" s="321">
        <v>4.9500000000000002E-2</v>
      </c>
      <c r="U220" s="288"/>
      <c r="V220" s="288"/>
      <c r="W220" s="291"/>
      <c r="X220" s="5"/>
    </row>
    <row r="221" spans="1:24" ht="15.6" x14ac:dyDescent="0.3">
      <c r="A221" s="217"/>
      <c r="B221" s="284"/>
      <c r="C221" s="284"/>
      <c r="D221" s="284"/>
      <c r="E221" s="284"/>
      <c r="F221" s="284"/>
      <c r="G221" s="284"/>
      <c r="H221" s="284"/>
      <c r="I221" s="284"/>
      <c r="J221" s="284"/>
      <c r="K221" s="284"/>
      <c r="L221" s="284"/>
      <c r="M221" s="284"/>
      <c r="N221" s="284"/>
      <c r="O221" s="284"/>
      <c r="P221" s="284"/>
      <c r="Q221" s="284"/>
      <c r="R221" s="284"/>
      <c r="S221" s="284"/>
      <c r="T221" s="349"/>
      <c r="U221" s="284"/>
      <c r="V221" s="351"/>
      <c r="W221" s="284"/>
      <c r="X221" s="5"/>
    </row>
    <row r="222" spans="1:24" ht="15.6" x14ac:dyDescent="0.3">
      <c r="A222" s="278"/>
      <c r="B222" s="399" t="s">
        <v>79</v>
      </c>
      <c r="C222" s="400"/>
      <c r="D222" s="400"/>
      <c r="E222" s="400"/>
      <c r="F222" s="406"/>
      <c r="G222" s="400"/>
      <c r="H222" s="400"/>
      <c r="I222" s="400"/>
      <c r="J222" s="400"/>
      <c r="K222" s="400"/>
      <c r="L222" s="400"/>
      <c r="M222" s="400"/>
      <c r="N222" s="400"/>
      <c r="O222" s="400"/>
      <c r="P222" s="400"/>
      <c r="Q222" s="400"/>
      <c r="R222" s="400"/>
      <c r="S222" s="400" t="s">
        <v>102</v>
      </c>
      <c r="T222" s="406" t="s">
        <v>108</v>
      </c>
      <c r="U222" s="263"/>
      <c r="V222" s="263"/>
      <c r="W222" s="263"/>
      <c r="X222" s="5"/>
    </row>
    <row r="223" spans="1:24" ht="15.6" x14ac:dyDescent="0.3">
      <c r="A223" s="218"/>
      <c r="B223" s="231" t="s">
        <v>80</v>
      </c>
      <c r="C223" s="234"/>
      <c r="D223" s="234"/>
      <c r="E223" s="234"/>
      <c r="F223" s="231"/>
      <c r="G223" s="231"/>
      <c r="H223" s="233"/>
      <c r="I223" s="233"/>
      <c r="J223" s="233"/>
      <c r="K223" s="233"/>
      <c r="L223" s="233"/>
      <c r="M223" s="233"/>
      <c r="N223" s="233"/>
      <c r="O223" s="233"/>
      <c r="P223" s="233"/>
      <c r="Q223" s="233"/>
      <c r="R223" s="233"/>
      <c r="S223" s="233">
        <v>0</v>
      </c>
      <c r="T223" s="251">
        <v>0</v>
      </c>
      <c r="U223" s="231"/>
      <c r="V223" s="250"/>
      <c r="W223" s="252"/>
      <c r="X223" s="5"/>
    </row>
    <row r="224" spans="1:24" ht="15.6" x14ac:dyDescent="0.3">
      <c r="A224" s="362"/>
      <c r="B224" s="288" t="s">
        <v>145</v>
      </c>
      <c r="C224" s="337"/>
      <c r="D224" s="337"/>
      <c r="E224" s="337"/>
      <c r="F224" s="288"/>
      <c r="G224" s="288"/>
      <c r="H224" s="296"/>
      <c r="I224" s="296"/>
      <c r="J224" s="296"/>
      <c r="K224" s="296"/>
      <c r="L224" s="296"/>
      <c r="M224" s="296"/>
      <c r="N224" s="296"/>
      <c r="O224" s="296"/>
      <c r="P224" s="296"/>
      <c r="Q224" s="296"/>
      <c r="R224" s="296"/>
      <c r="S224" s="363">
        <f>+R276</f>
        <v>141</v>
      </c>
      <c r="T224" s="364">
        <f>+T276</f>
        <v>20424</v>
      </c>
      <c r="U224" s="288"/>
      <c r="V224" s="365"/>
      <c r="W224" s="366"/>
      <c r="X224" s="5"/>
    </row>
    <row r="225" spans="1:24" ht="15.6" x14ac:dyDescent="0.3">
      <c r="A225" s="362"/>
      <c r="B225" s="288" t="s">
        <v>81</v>
      </c>
      <c r="C225" s="337"/>
      <c r="D225" s="337"/>
      <c r="E225" s="337"/>
      <c r="F225" s="288"/>
      <c r="G225" s="288"/>
      <c r="H225" s="296"/>
      <c r="I225" s="296"/>
      <c r="J225" s="296"/>
      <c r="K225" s="296"/>
      <c r="L225" s="296"/>
      <c r="M225" s="296"/>
      <c r="N225" s="296"/>
      <c r="O225" s="296"/>
      <c r="P225" s="296"/>
      <c r="Q225" s="296"/>
      <c r="R225" s="296"/>
      <c r="S225" s="363">
        <f>+R288</f>
        <v>1</v>
      </c>
      <c r="T225" s="364">
        <f>+T288</f>
        <v>142</v>
      </c>
      <c r="U225" s="288"/>
      <c r="V225" s="365"/>
      <c r="W225" s="366"/>
      <c r="X225" s="5"/>
    </row>
    <row r="226" spans="1:24" ht="15.6" x14ac:dyDescent="0.3">
      <c r="A226" s="362"/>
      <c r="B226" s="313" t="s">
        <v>82</v>
      </c>
      <c r="C226" s="367"/>
      <c r="D226" s="367"/>
      <c r="E226" s="367"/>
      <c r="F226" s="314"/>
      <c r="G226" s="314"/>
      <c r="H226" s="314"/>
      <c r="I226" s="314"/>
      <c r="J226" s="314"/>
      <c r="K226" s="314"/>
      <c r="L226" s="314"/>
      <c r="M226" s="314"/>
      <c r="N226" s="314"/>
      <c r="O226" s="314"/>
      <c r="P226" s="314"/>
      <c r="Q226" s="314"/>
      <c r="R226" s="314"/>
      <c r="S226" s="314"/>
      <c r="T226" s="364">
        <v>0</v>
      </c>
      <c r="U226" s="314"/>
      <c r="V226" s="369"/>
      <c r="W226" s="370"/>
      <c r="X226" s="5"/>
    </row>
    <row r="227" spans="1:24" ht="15.6" x14ac:dyDescent="0.3">
      <c r="A227" s="362"/>
      <c r="B227" s="313" t="s">
        <v>243</v>
      </c>
      <c r="C227" s="367"/>
      <c r="D227" s="367"/>
      <c r="E227" s="367"/>
      <c r="F227" s="314"/>
      <c r="G227" s="314"/>
      <c r="H227" s="314"/>
      <c r="I227" s="314"/>
      <c r="J227" s="314"/>
      <c r="K227" s="314"/>
      <c r="L227" s="314"/>
      <c r="M227" s="314"/>
      <c r="N227" s="314"/>
      <c r="O227" s="314"/>
      <c r="P227" s="314"/>
      <c r="Q227" s="314"/>
      <c r="R227" s="314"/>
      <c r="S227" s="314"/>
      <c r="T227" s="364">
        <f>+N81</f>
        <v>0</v>
      </c>
      <c r="U227" s="314"/>
      <c r="V227" s="369"/>
      <c r="W227" s="370"/>
      <c r="X227" s="5"/>
    </row>
    <row r="228" spans="1:24" ht="15.6" x14ac:dyDescent="0.3">
      <c r="A228" s="371"/>
      <c r="B228" s="313" t="s">
        <v>83</v>
      </c>
      <c r="C228" s="372"/>
      <c r="D228" s="372"/>
      <c r="E228" s="372"/>
      <c r="F228" s="372"/>
      <c r="G228" s="314"/>
      <c r="H228" s="314"/>
      <c r="I228" s="314"/>
      <c r="J228" s="314"/>
      <c r="K228" s="314"/>
      <c r="L228" s="314"/>
      <c r="M228" s="314"/>
      <c r="N228" s="314"/>
      <c r="O228" s="314"/>
      <c r="P228" s="314"/>
      <c r="Q228" s="314"/>
      <c r="R228" s="314"/>
      <c r="S228" s="314"/>
      <c r="T228" s="368"/>
      <c r="U228" s="314"/>
      <c r="V228" s="369"/>
      <c r="W228" s="373"/>
      <c r="X228" s="5"/>
    </row>
    <row r="229" spans="1:24" ht="15.6" x14ac:dyDescent="0.3">
      <c r="A229" s="371"/>
      <c r="B229" s="288" t="s">
        <v>84</v>
      </c>
      <c r="C229" s="288"/>
      <c r="D229" s="288"/>
      <c r="E229" s="288"/>
      <c r="F229" s="288"/>
      <c r="G229" s="288"/>
      <c r="H229" s="288"/>
      <c r="I229" s="288"/>
      <c r="J229" s="288"/>
      <c r="K229" s="288"/>
      <c r="L229" s="288"/>
      <c r="M229" s="288"/>
      <c r="N229" s="288"/>
      <c r="O229" s="288"/>
      <c r="P229" s="288"/>
      <c r="Q229" s="288"/>
      <c r="R229" s="288"/>
      <c r="S229" s="296"/>
      <c r="T229" s="364">
        <f>V167</f>
        <v>292</v>
      </c>
      <c r="U229" s="288"/>
      <c r="V229" s="365"/>
      <c r="W229" s="378"/>
      <c r="X229" s="5"/>
    </row>
    <row r="230" spans="1:24" ht="15.6" x14ac:dyDescent="0.3">
      <c r="A230" s="362"/>
      <c r="B230" s="288" t="s">
        <v>85</v>
      </c>
      <c r="C230" s="337"/>
      <c r="D230" s="337"/>
      <c r="E230" s="337"/>
      <c r="F230" s="337"/>
      <c r="G230" s="288"/>
      <c r="H230" s="288"/>
      <c r="I230" s="288"/>
      <c r="J230" s="288"/>
      <c r="K230" s="288"/>
      <c r="L230" s="288"/>
      <c r="M230" s="288"/>
      <c r="N230" s="288"/>
      <c r="O230" s="288"/>
      <c r="P230" s="288"/>
      <c r="Q230" s="288"/>
      <c r="R230" s="288"/>
      <c r="S230" s="296"/>
      <c r="T230" s="364">
        <f>'Nov 14'!T230+T229</f>
        <v>5973</v>
      </c>
      <c r="U230" s="288"/>
      <c r="V230" s="365"/>
      <c r="W230" s="378"/>
      <c r="X230" s="5"/>
    </row>
    <row r="231" spans="1:24" ht="15.6" x14ac:dyDescent="0.3">
      <c r="A231" s="371"/>
      <c r="B231" s="313" t="s">
        <v>295</v>
      </c>
      <c r="C231" s="372"/>
      <c r="D231" s="372"/>
      <c r="E231" s="372"/>
      <c r="F231" s="372"/>
      <c r="G231" s="314"/>
      <c r="H231" s="314"/>
      <c r="I231" s="314"/>
      <c r="J231" s="314"/>
      <c r="K231" s="314"/>
      <c r="L231" s="314"/>
      <c r="M231" s="314"/>
      <c r="N231" s="314"/>
      <c r="O231" s="314"/>
      <c r="P231" s="314"/>
      <c r="Q231" s="314"/>
      <c r="R231" s="314"/>
      <c r="S231" s="316"/>
      <c r="T231" s="368"/>
      <c r="U231" s="314"/>
      <c r="V231" s="369"/>
      <c r="W231" s="373"/>
      <c r="X231" s="5"/>
    </row>
    <row r="232" spans="1:24" ht="15.6" x14ac:dyDescent="0.3">
      <c r="A232" s="371"/>
      <c r="B232" s="288" t="s">
        <v>291</v>
      </c>
      <c r="C232" s="288"/>
      <c r="D232" s="288"/>
      <c r="E232" s="288"/>
      <c r="F232" s="288"/>
      <c r="G232" s="288"/>
      <c r="H232" s="288"/>
      <c r="I232" s="288"/>
      <c r="J232" s="288"/>
      <c r="K232" s="288"/>
      <c r="L232" s="288"/>
      <c r="M232" s="288"/>
      <c r="N232" s="288"/>
      <c r="O232" s="288"/>
      <c r="P232" s="288"/>
      <c r="Q232" s="288"/>
      <c r="R232" s="288"/>
      <c r="S232" s="296">
        <v>1</v>
      </c>
      <c r="T232" s="364">
        <v>52</v>
      </c>
      <c r="U232" s="288"/>
      <c r="V232" s="365"/>
      <c r="W232" s="378"/>
      <c r="X232" s="5"/>
    </row>
    <row r="233" spans="1:24" ht="15.6" x14ac:dyDescent="0.3">
      <c r="A233" s="362"/>
      <c r="B233" s="288" t="s">
        <v>86</v>
      </c>
      <c r="C233" s="325"/>
      <c r="D233" s="325"/>
      <c r="E233" s="325"/>
      <c r="F233" s="379"/>
      <c r="G233" s="288"/>
      <c r="H233" s="288"/>
      <c r="I233" s="288"/>
      <c r="J233" s="288"/>
      <c r="K233" s="288"/>
      <c r="L233" s="288"/>
      <c r="M233" s="288"/>
      <c r="N233" s="288"/>
      <c r="O233" s="288"/>
      <c r="P233" s="288"/>
      <c r="Q233" s="288"/>
      <c r="R233" s="288"/>
      <c r="S233" s="288"/>
      <c r="T233" s="380">
        <v>6.3</v>
      </c>
      <c r="U233" s="288"/>
      <c r="V233" s="365"/>
      <c r="W233" s="378"/>
      <c r="X233" s="5"/>
    </row>
    <row r="234" spans="1:24" ht="15.6" x14ac:dyDescent="0.3">
      <c r="A234" s="362"/>
      <c r="B234" s="288" t="s">
        <v>87</v>
      </c>
      <c r="C234" s="325"/>
      <c r="D234" s="325"/>
      <c r="E234" s="325"/>
      <c r="F234" s="379"/>
      <c r="G234" s="288"/>
      <c r="H234" s="288"/>
      <c r="I234" s="288"/>
      <c r="J234" s="288"/>
      <c r="K234" s="288"/>
      <c r="L234" s="288"/>
      <c r="M234" s="288"/>
      <c r="N234" s="288"/>
      <c r="O234" s="288"/>
      <c r="P234" s="288"/>
      <c r="Q234" s="288"/>
      <c r="R234" s="288"/>
      <c r="S234" s="288"/>
      <c r="T234" s="380">
        <v>4.7300000000000004</v>
      </c>
      <c r="U234" s="288"/>
      <c r="V234" s="365"/>
      <c r="W234" s="378"/>
      <c r="X234" s="5"/>
    </row>
    <row r="235" spans="1:24" ht="15.6" x14ac:dyDescent="0.3">
      <c r="A235" s="362"/>
      <c r="B235" s="313" t="s">
        <v>217</v>
      </c>
      <c r="C235" s="381"/>
      <c r="D235" s="381"/>
      <c r="E235" s="381"/>
      <c r="F235" s="382"/>
      <c r="G235" s="314"/>
      <c r="H235" s="314"/>
      <c r="I235" s="314"/>
      <c r="J235" s="314"/>
      <c r="K235" s="314"/>
      <c r="L235" s="314"/>
      <c r="M235" s="314"/>
      <c r="N235" s="314"/>
      <c r="O235" s="314"/>
      <c r="P235" s="314"/>
      <c r="Q235" s="314"/>
      <c r="R235" s="314"/>
      <c r="S235" s="314"/>
      <c r="T235" s="383"/>
      <c r="U235" s="314"/>
      <c r="V235" s="369"/>
      <c r="W235" s="373"/>
      <c r="X235" s="5"/>
    </row>
    <row r="236" spans="1:24" ht="15.6" x14ac:dyDescent="0.3">
      <c r="A236" s="362"/>
      <c r="B236" s="288" t="s">
        <v>291</v>
      </c>
      <c r="C236" s="381"/>
      <c r="D236" s="381"/>
      <c r="E236" s="381"/>
      <c r="F236" s="382"/>
      <c r="G236" s="314"/>
      <c r="H236" s="314"/>
      <c r="I236" s="314"/>
      <c r="J236" s="314"/>
      <c r="K236" s="314"/>
      <c r="L236" s="314"/>
      <c r="M236" s="314"/>
      <c r="N236" s="314"/>
      <c r="O236" s="314"/>
      <c r="P236" s="314"/>
      <c r="Q236" s="314"/>
      <c r="R236" s="314"/>
      <c r="S236" s="296">
        <v>5</v>
      </c>
      <c r="T236" s="364">
        <v>714</v>
      </c>
      <c r="U236" s="314"/>
      <c r="V236" s="369"/>
      <c r="W236" s="373"/>
      <c r="X236" s="5"/>
    </row>
    <row r="237" spans="1:24" ht="15.6" x14ac:dyDescent="0.3">
      <c r="A237" s="362"/>
      <c r="B237" s="288" t="s">
        <v>218</v>
      </c>
      <c r="C237" s="381"/>
      <c r="D237" s="381"/>
      <c r="E237" s="381"/>
      <c r="F237" s="382"/>
      <c r="G237" s="314"/>
      <c r="H237" s="314"/>
      <c r="I237" s="314"/>
      <c r="J237" s="314"/>
      <c r="K237" s="314"/>
      <c r="L237" s="314"/>
      <c r="M237" s="314"/>
      <c r="N237" s="314"/>
      <c r="O237" s="314"/>
      <c r="P237" s="314"/>
      <c r="Q237" s="314"/>
      <c r="R237" s="314"/>
      <c r="S237" s="288"/>
      <c r="T237" s="380">
        <v>2.52</v>
      </c>
      <c r="U237" s="314"/>
      <c r="V237" s="369"/>
      <c r="W237" s="373"/>
      <c r="X237" s="5"/>
    </row>
    <row r="238" spans="1:24" ht="15.6" x14ac:dyDescent="0.3">
      <c r="A238" s="362"/>
      <c r="B238" s="372"/>
      <c r="C238" s="381"/>
      <c r="D238" s="381"/>
      <c r="E238" s="381"/>
      <c r="F238" s="382"/>
      <c r="G238" s="314"/>
      <c r="H238" s="314"/>
      <c r="I238" s="314"/>
      <c r="J238" s="314"/>
      <c r="K238" s="314"/>
      <c r="L238" s="314"/>
      <c r="M238" s="314"/>
      <c r="N238" s="314"/>
      <c r="O238" s="314"/>
      <c r="P238" s="314"/>
      <c r="Q238" s="314"/>
      <c r="R238" s="314"/>
      <c r="S238" s="314"/>
      <c r="T238" s="383"/>
      <c r="U238" s="314"/>
      <c r="V238" s="369"/>
      <c r="W238" s="373"/>
      <c r="X238" s="5"/>
    </row>
    <row r="239" spans="1:24" ht="15.6" x14ac:dyDescent="0.3">
      <c r="A239" s="362"/>
      <c r="B239" s="372"/>
      <c r="C239" s="381"/>
      <c r="D239" s="381"/>
      <c r="E239" s="381"/>
      <c r="F239" s="382"/>
      <c r="G239" s="314"/>
      <c r="H239" s="314"/>
      <c r="I239" s="314"/>
      <c r="J239" s="314"/>
      <c r="K239" s="314"/>
      <c r="L239" s="314"/>
      <c r="M239" s="314"/>
      <c r="N239" s="314"/>
      <c r="O239" s="314"/>
      <c r="P239" s="314"/>
      <c r="Q239" s="314"/>
      <c r="R239" s="314"/>
      <c r="S239" s="314"/>
      <c r="T239" s="383"/>
      <c r="U239" s="314"/>
      <c r="V239" s="369"/>
      <c r="W239" s="373"/>
      <c r="X239" s="5"/>
    </row>
    <row r="240" spans="1:24" ht="17.399999999999999" x14ac:dyDescent="0.3">
      <c r="A240" s="362"/>
      <c r="B240" s="384" t="s">
        <v>168</v>
      </c>
      <c r="C240" s="381"/>
      <c r="D240" s="381"/>
      <c r="E240" s="381"/>
      <c r="F240" s="382"/>
      <c r="G240" s="314"/>
      <c r="H240" s="314"/>
      <c r="I240" s="314"/>
      <c r="J240" s="314"/>
      <c r="K240" s="314"/>
      <c r="L240" s="314"/>
      <c r="M240" s="314"/>
      <c r="N240" s="314"/>
      <c r="O240" s="314"/>
      <c r="P240" s="385" t="s">
        <v>167</v>
      </c>
      <c r="Q240" s="314"/>
      <c r="R240" s="314"/>
      <c r="S240" s="314"/>
      <c r="T240" s="383"/>
      <c r="U240" s="314"/>
      <c r="V240" s="369"/>
      <c r="W240" s="373"/>
      <c r="X240" s="5"/>
    </row>
    <row r="241" spans="1:25" ht="15.6" x14ac:dyDescent="0.3">
      <c r="A241" s="355"/>
      <c r="B241" s="356"/>
      <c r="C241" s="357"/>
      <c r="D241" s="357"/>
      <c r="E241" s="357"/>
      <c r="F241" s="358"/>
      <c r="G241" s="198"/>
      <c r="H241" s="198"/>
      <c r="I241" s="198"/>
      <c r="J241" s="198"/>
      <c r="K241" s="198"/>
      <c r="L241" s="198"/>
      <c r="M241" s="198"/>
      <c r="N241" s="198"/>
      <c r="O241" s="198"/>
      <c r="P241" s="198"/>
      <c r="Q241" s="198"/>
      <c r="R241" s="198"/>
      <c r="S241" s="198"/>
      <c r="T241" s="359"/>
      <c r="U241" s="198"/>
      <c r="V241" s="360"/>
      <c r="W241" s="361"/>
      <c r="X241" s="5"/>
    </row>
    <row r="242" spans="1:25" ht="15.6" x14ac:dyDescent="0.3">
      <c r="A242" s="262"/>
      <c r="B242" s="399" t="s">
        <v>308</v>
      </c>
      <c r="C242" s="400"/>
      <c r="D242" s="400"/>
      <c r="E242" s="400"/>
      <c r="F242" s="406"/>
      <c r="G242" s="400"/>
      <c r="H242" s="400"/>
      <c r="I242" s="400"/>
      <c r="J242" s="400"/>
      <c r="K242" s="400"/>
      <c r="L242" s="400"/>
      <c r="M242" s="400"/>
      <c r="N242" s="400"/>
      <c r="O242" s="400"/>
      <c r="P242" s="400"/>
      <c r="Q242" s="400"/>
      <c r="R242" s="406" t="s">
        <v>102</v>
      </c>
      <c r="S242" s="400" t="s">
        <v>103</v>
      </c>
      <c r="T242" s="406" t="s">
        <v>109</v>
      </c>
      <c r="U242" s="400" t="s">
        <v>103</v>
      </c>
      <c r="V242" s="263"/>
      <c r="W242" s="399"/>
      <c r="X242" s="5"/>
    </row>
    <row r="243" spans="1:25" ht="15.6" x14ac:dyDescent="0.3">
      <c r="A243" s="197"/>
      <c r="B243" s="234" t="s">
        <v>88</v>
      </c>
      <c r="C243" s="253"/>
      <c r="D243" s="253"/>
      <c r="E243" s="253"/>
      <c r="F243" s="231"/>
      <c r="G243" s="253"/>
      <c r="H243" s="253"/>
      <c r="I243" s="253"/>
      <c r="J243" s="253"/>
      <c r="K243" s="253"/>
      <c r="L243" s="253"/>
      <c r="M243" s="253"/>
      <c r="N243" s="253"/>
      <c r="O243" s="253"/>
      <c r="P243" s="253"/>
      <c r="Q243" s="253"/>
      <c r="R243" s="234">
        <f t="shared" ref="R243:R250" si="1">+R255+R267+R279</f>
        <v>7378</v>
      </c>
      <c r="S243" s="254">
        <f t="shared" ref="S243:S250" si="2">R243/$R$252</f>
        <v>0.99554715962758067</v>
      </c>
      <c r="T243" s="241">
        <f t="shared" ref="T243:T250" si="3">+T255+T267+T279</f>
        <v>1021010</v>
      </c>
      <c r="U243" s="254">
        <f t="shared" ref="U243:U250" si="4">T243/$T$252</f>
        <v>0.99517719048927933</v>
      </c>
      <c r="V243" s="250"/>
      <c r="W243" s="232"/>
      <c r="X243" s="5"/>
    </row>
    <row r="244" spans="1:25" ht="15.6" x14ac:dyDescent="0.3">
      <c r="A244" s="287"/>
      <c r="B244" s="337" t="s">
        <v>89</v>
      </c>
      <c r="C244" s="389"/>
      <c r="D244" s="389"/>
      <c r="E244" s="389"/>
      <c r="F244" s="288"/>
      <c r="G244" s="390"/>
      <c r="H244" s="389"/>
      <c r="I244" s="389"/>
      <c r="J244" s="389"/>
      <c r="K244" s="389"/>
      <c r="L244" s="389"/>
      <c r="M244" s="389"/>
      <c r="N244" s="389"/>
      <c r="O244" s="389"/>
      <c r="P244" s="389"/>
      <c r="Q244" s="389"/>
      <c r="R244" s="337">
        <f t="shared" si="1"/>
        <v>9</v>
      </c>
      <c r="S244" s="390">
        <f t="shared" si="2"/>
        <v>1.2144110106598299E-3</v>
      </c>
      <c r="T244" s="338">
        <f t="shared" si="3"/>
        <v>1545</v>
      </c>
      <c r="U244" s="390">
        <f t="shared" si="4"/>
        <v>1.5059095986385408E-3</v>
      </c>
      <c r="V244" s="365"/>
      <c r="W244" s="378"/>
      <c r="X244" s="5"/>
      <c r="Y244" s="109"/>
    </row>
    <row r="245" spans="1:25" ht="15.6" x14ac:dyDescent="0.3">
      <c r="A245" s="287"/>
      <c r="B245" s="337" t="s">
        <v>90</v>
      </c>
      <c r="C245" s="389"/>
      <c r="D245" s="389"/>
      <c r="E245" s="389"/>
      <c r="F245" s="288"/>
      <c r="G245" s="390"/>
      <c r="H245" s="389"/>
      <c r="I245" s="389"/>
      <c r="J245" s="389"/>
      <c r="K245" s="389"/>
      <c r="L245" s="389"/>
      <c r="M245" s="389"/>
      <c r="N245" s="389"/>
      <c r="O245" s="389"/>
      <c r="P245" s="389"/>
      <c r="Q245" s="389"/>
      <c r="R245" s="337">
        <f t="shared" si="1"/>
        <v>6</v>
      </c>
      <c r="S245" s="390">
        <f t="shared" si="2"/>
        <v>8.0960734043988662E-4</v>
      </c>
      <c r="T245" s="338">
        <f t="shared" si="3"/>
        <v>770</v>
      </c>
      <c r="U245" s="390">
        <f t="shared" si="4"/>
        <v>7.505180523959071E-4</v>
      </c>
      <c r="V245" s="365"/>
      <c r="W245" s="378"/>
      <c r="X245" s="5"/>
    </row>
    <row r="246" spans="1:25" ht="15.6" x14ac:dyDescent="0.3">
      <c r="A246" s="287"/>
      <c r="B246" s="337" t="s">
        <v>156</v>
      </c>
      <c r="C246" s="389"/>
      <c r="D246" s="389"/>
      <c r="E246" s="389"/>
      <c r="F246" s="288"/>
      <c r="G246" s="390"/>
      <c r="H246" s="389"/>
      <c r="I246" s="389"/>
      <c r="J246" s="389"/>
      <c r="K246" s="389"/>
      <c r="L246" s="389"/>
      <c r="M246" s="389"/>
      <c r="N246" s="389"/>
      <c r="O246" s="389"/>
      <c r="P246" s="389"/>
      <c r="Q246" s="389"/>
      <c r="R246" s="337">
        <f t="shared" si="1"/>
        <v>2</v>
      </c>
      <c r="S246" s="390">
        <f t="shared" si="2"/>
        <v>2.6986911347996224E-4</v>
      </c>
      <c r="T246" s="338">
        <f t="shared" si="3"/>
        <v>262</v>
      </c>
      <c r="U246" s="390">
        <f t="shared" si="4"/>
        <v>2.5537107756847747E-4</v>
      </c>
      <c r="V246" s="365"/>
      <c r="W246" s="378"/>
      <c r="X246" s="5"/>
      <c r="Y246" s="109"/>
    </row>
    <row r="247" spans="1:25" ht="15.6" x14ac:dyDescent="0.3">
      <c r="A247" s="287"/>
      <c r="B247" s="337" t="s">
        <v>157</v>
      </c>
      <c r="C247" s="389"/>
      <c r="D247" s="389"/>
      <c r="E247" s="389"/>
      <c r="F247" s="288"/>
      <c r="G247" s="390"/>
      <c r="H247" s="389"/>
      <c r="I247" s="389"/>
      <c r="J247" s="389"/>
      <c r="K247" s="389"/>
      <c r="L247" s="389"/>
      <c r="M247" s="389"/>
      <c r="N247" s="389"/>
      <c r="O247" s="389"/>
      <c r="P247" s="389"/>
      <c r="Q247" s="389"/>
      <c r="R247" s="337">
        <f t="shared" si="1"/>
        <v>0</v>
      </c>
      <c r="S247" s="390">
        <f t="shared" si="2"/>
        <v>0</v>
      </c>
      <c r="T247" s="338">
        <f t="shared" si="3"/>
        <v>0</v>
      </c>
      <c r="U247" s="390">
        <f t="shared" si="4"/>
        <v>0</v>
      </c>
      <c r="V247" s="365"/>
      <c r="W247" s="378"/>
      <c r="X247" s="5"/>
    </row>
    <row r="248" spans="1:25" ht="15.6" x14ac:dyDescent="0.3">
      <c r="A248" s="287"/>
      <c r="B248" s="337" t="s">
        <v>158</v>
      </c>
      <c r="C248" s="389"/>
      <c r="D248" s="389"/>
      <c r="E248" s="389"/>
      <c r="F248" s="288"/>
      <c r="G248" s="390"/>
      <c r="H248" s="389"/>
      <c r="I248" s="389"/>
      <c r="J248" s="389"/>
      <c r="K248" s="389"/>
      <c r="L248" s="389"/>
      <c r="M248" s="389"/>
      <c r="N248" s="389"/>
      <c r="O248" s="389"/>
      <c r="P248" s="389"/>
      <c r="Q248" s="389"/>
      <c r="R248" s="337">
        <f t="shared" si="1"/>
        <v>0</v>
      </c>
      <c r="S248" s="390">
        <f t="shared" si="2"/>
        <v>0</v>
      </c>
      <c r="T248" s="338">
        <f t="shared" si="3"/>
        <v>0</v>
      </c>
      <c r="U248" s="390">
        <f t="shared" si="4"/>
        <v>0</v>
      </c>
      <c r="V248" s="365"/>
      <c r="W248" s="378"/>
      <c r="X248" s="5"/>
      <c r="Y248" s="109"/>
    </row>
    <row r="249" spans="1:25" ht="15.6" x14ac:dyDescent="0.3">
      <c r="A249" s="287"/>
      <c r="B249" s="337" t="s">
        <v>159</v>
      </c>
      <c r="C249" s="389"/>
      <c r="D249" s="389"/>
      <c r="E249" s="389"/>
      <c r="F249" s="288"/>
      <c r="G249" s="390"/>
      <c r="H249" s="389"/>
      <c r="I249" s="389"/>
      <c r="J249" s="389"/>
      <c r="K249" s="389"/>
      <c r="L249" s="389"/>
      <c r="M249" s="389"/>
      <c r="N249" s="389"/>
      <c r="O249" s="389"/>
      <c r="P249" s="389"/>
      <c r="Q249" s="389"/>
      <c r="R249" s="337">
        <f t="shared" si="1"/>
        <v>3</v>
      </c>
      <c r="S249" s="390">
        <f t="shared" si="2"/>
        <v>4.0480367021994331E-4</v>
      </c>
      <c r="T249" s="338">
        <f t="shared" si="3"/>
        <v>417</v>
      </c>
      <c r="U249" s="390">
        <f t="shared" si="4"/>
        <v>4.0644938681700418E-4</v>
      </c>
      <c r="V249" s="365"/>
      <c r="W249" s="378"/>
      <c r="X249" s="5"/>
    </row>
    <row r="250" spans="1:25" ht="15.6" x14ac:dyDescent="0.3">
      <c r="A250" s="287"/>
      <c r="B250" s="337" t="s">
        <v>160</v>
      </c>
      <c r="C250" s="389"/>
      <c r="D250" s="389"/>
      <c r="E250" s="389"/>
      <c r="F250" s="288"/>
      <c r="G250" s="390"/>
      <c r="H250" s="389"/>
      <c r="I250" s="389"/>
      <c r="J250" s="389"/>
      <c r="K250" s="389"/>
      <c r="L250" s="389"/>
      <c r="M250" s="389"/>
      <c r="N250" s="389"/>
      <c r="O250" s="389"/>
      <c r="P250" s="389"/>
      <c r="Q250" s="389"/>
      <c r="R250" s="339">
        <f t="shared" si="1"/>
        <v>13</v>
      </c>
      <c r="S250" s="393">
        <f t="shared" si="2"/>
        <v>1.7541492376197544E-3</v>
      </c>
      <c r="T250" s="394">
        <f t="shared" si="3"/>
        <v>1954</v>
      </c>
      <c r="U250" s="393">
        <f t="shared" si="4"/>
        <v>1.9045613953007823E-3</v>
      </c>
      <c r="V250" s="365"/>
      <c r="W250" s="378"/>
      <c r="X250" s="5"/>
      <c r="Y250" s="109"/>
    </row>
    <row r="251" spans="1:25" ht="15.6" x14ac:dyDescent="0.3">
      <c r="A251" s="287"/>
      <c r="B251" s="337"/>
      <c r="C251" s="389"/>
      <c r="D251" s="389"/>
      <c r="E251" s="389"/>
      <c r="F251" s="288"/>
      <c r="G251" s="390"/>
      <c r="H251" s="389"/>
      <c r="I251" s="389"/>
      <c r="J251" s="389"/>
      <c r="K251" s="389"/>
      <c r="L251" s="389"/>
      <c r="M251" s="389"/>
      <c r="N251" s="389"/>
      <c r="O251" s="389"/>
      <c r="P251" s="389"/>
      <c r="Q251" s="389"/>
      <c r="R251" s="337"/>
      <c r="S251" s="390"/>
      <c r="T251" s="338"/>
      <c r="U251" s="390"/>
      <c r="V251" s="365"/>
      <c r="W251" s="378"/>
      <c r="X251" s="5"/>
    </row>
    <row r="252" spans="1:25" ht="15.6" x14ac:dyDescent="0.3">
      <c r="A252" s="287"/>
      <c r="B252" s="288"/>
      <c r="C252" s="288"/>
      <c r="D252" s="288"/>
      <c r="E252" s="288"/>
      <c r="F252" s="288"/>
      <c r="G252" s="288"/>
      <c r="H252" s="391"/>
      <c r="I252" s="391"/>
      <c r="J252" s="391"/>
      <c r="K252" s="391"/>
      <c r="L252" s="391"/>
      <c r="M252" s="391"/>
      <c r="N252" s="391"/>
      <c r="O252" s="391"/>
      <c r="P252" s="391"/>
      <c r="Q252" s="391"/>
      <c r="R252" s="337">
        <f>SUM(R243:R251)</f>
        <v>7411</v>
      </c>
      <c r="S252" s="390">
        <f>SUM(S243:S251)</f>
        <v>0.99999999999999989</v>
      </c>
      <c r="T252" s="338">
        <f>SUM(T243:T251)</f>
        <v>1025958</v>
      </c>
      <c r="U252" s="390">
        <f>SUM(U243:U251)</f>
        <v>1</v>
      </c>
      <c r="V252" s="288"/>
      <c r="W252" s="291"/>
      <c r="X252" s="5"/>
    </row>
    <row r="253" spans="1:25" ht="15.6" x14ac:dyDescent="0.3">
      <c r="A253" s="183"/>
      <c r="B253" s="198"/>
      <c r="C253" s="198"/>
      <c r="D253" s="198"/>
      <c r="E253" s="198"/>
      <c r="F253" s="198"/>
      <c r="G253" s="198"/>
      <c r="H253" s="386"/>
      <c r="I253" s="386"/>
      <c r="J253" s="386"/>
      <c r="K253" s="386"/>
      <c r="L253" s="386"/>
      <c r="M253" s="386"/>
      <c r="N253" s="386"/>
      <c r="O253" s="386"/>
      <c r="P253" s="386"/>
      <c r="Q253" s="386"/>
      <c r="R253" s="335"/>
      <c r="S253" s="387"/>
      <c r="T253" s="388"/>
      <c r="U253" s="387"/>
      <c r="V253" s="198"/>
      <c r="W253" s="198"/>
      <c r="X253" s="5"/>
    </row>
    <row r="254" spans="1:25" ht="15.6" x14ac:dyDescent="0.3">
      <c r="A254" s="262"/>
      <c r="B254" s="399" t="s">
        <v>162</v>
      </c>
      <c r="C254" s="400"/>
      <c r="D254" s="400"/>
      <c r="E254" s="400"/>
      <c r="F254" s="406"/>
      <c r="G254" s="400"/>
      <c r="H254" s="400"/>
      <c r="I254" s="400"/>
      <c r="J254" s="400"/>
      <c r="K254" s="400"/>
      <c r="L254" s="400"/>
      <c r="M254" s="400"/>
      <c r="N254" s="400"/>
      <c r="O254" s="400"/>
      <c r="P254" s="400"/>
      <c r="Q254" s="400"/>
      <c r="R254" s="406" t="s">
        <v>102</v>
      </c>
      <c r="S254" s="400" t="s">
        <v>103</v>
      </c>
      <c r="T254" s="406" t="s">
        <v>109</v>
      </c>
      <c r="U254" s="400" t="s">
        <v>103</v>
      </c>
      <c r="V254" s="263"/>
      <c r="W254" s="399"/>
      <c r="X254" s="5"/>
    </row>
    <row r="255" spans="1:25" ht="15.6" x14ac:dyDescent="0.3">
      <c r="A255" s="197"/>
      <c r="B255" s="234" t="s">
        <v>88</v>
      </c>
      <c r="C255" s="253"/>
      <c r="D255" s="253"/>
      <c r="E255" s="253"/>
      <c r="F255" s="231"/>
      <c r="G255" s="253"/>
      <c r="H255" s="253"/>
      <c r="I255" s="253"/>
      <c r="J255" s="253"/>
      <c r="K255" s="253"/>
      <c r="L255" s="253"/>
      <c r="M255" s="253"/>
      <c r="N255" s="253"/>
      <c r="O255" s="253"/>
      <c r="P255" s="253"/>
      <c r="Q255" s="253"/>
      <c r="R255" s="234">
        <v>7258</v>
      </c>
      <c r="S255" s="254">
        <f t="shared" ref="S255:S262" si="5">R255/$R$264</f>
        <v>0.99848672444627873</v>
      </c>
      <c r="T255" s="241">
        <v>1003638</v>
      </c>
      <c r="U255" s="254">
        <f t="shared" ref="U255:U262" si="6">T255/$T$264</f>
        <v>0.99825540684628489</v>
      </c>
      <c r="V255" s="250"/>
      <c r="W255" s="232"/>
      <c r="X255" s="5"/>
    </row>
    <row r="256" spans="1:25" ht="15.6" x14ac:dyDescent="0.3">
      <c r="A256" s="287"/>
      <c r="B256" s="337" t="s">
        <v>89</v>
      </c>
      <c r="C256" s="389"/>
      <c r="D256" s="389"/>
      <c r="E256" s="389"/>
      <c r="F256" s="288"/>
      <c r="G256" s="390"/>
      <c r="H256" s="389"/>
      <c r="I256" s="389"/>
      <c r="J256" s="389"/>
      <c r="K256" s="389"/>
      <c r="L256" s="389"/>
      <c r="M256" s="389"/>
      <c r="N256" s="389"/>
      <c r="O256" s="389"/>
      <c r="P256" s="389"/>
      <c r="Q256" s="389"/>
      <c r="R256" s="337">
        <v>7</v>
      </c>
      <c r="S256" s="390">
        <f t="shared" si="5"/>
        <v>9.6299353418627051E-4</v>
      </c>
      <c r="T256" s="338">
        <v>1378</v>
      </c>
      <c r="U256" s="390">
        <f t="shared" si="6"/>
        <v>1.3706096726450977E-3</v>
      </c>
      <c r="V256" s="365"/>
      <c r="W256" s="378"/>
      <c r="X256" s="5"/>
      <c r="Y256" s="109"/>
    </row>
    <row r="257" spans="1:25" ht="15.6" x14ac:dyDescent="0.3">
      <c r="A257" s="287"/>
      <c r="B257" s="337" t="s">
        <v>90</v>
      </c>
      <c r="C257" s="389"/>
      <c r="D257" s="389"/>
      <c r="E257" s="389"/>
      <c r="F257" s="288"/>
      <c r="G257" s="390"/>
      <c r="H257" s="389"/>
      <c r="I257" s="389"/>
      <c r="J257" s="389"/>
      <c r="K257" s="389"/>
      <c r="L257" s="389"/>
      <c r="M257" s="389"/>
      <c r="N257" s="389"/>
      <c r="O257" s="389"/>
      <c r="P257" s="389"/>
      <c r="Q257" s="389"/>
      <c r="R257" s="337">
        <v>3</v>
      </c>
      <c r="S257" s="390">
        <f t="shared" si="5"/>
        <v>4.127115146512588E-4</v>
      </c>
      <c r="T257" s="338">
        <v>324</v>
      </c>
      <c r="U257" s="390">
        <f t="shared" si="6"/>
        <v>3.2226236134761364E-4</v>
      </c>
      <c r="V257" s="365"/>
      <c r="W257" s="378"/>
      <c r="X257" s="5"/>
    </row>
    <row r="258" spans="1:25" ht="15.6" x14ac:dyDescent="0.3">
      <c r="A258" s="287"/>
      <c r="B258" s="337" t="s">
        <v>156</v>
      </c>
      <c r="C258" s="389"/>
      <c r="D258" s="389"/>
      <c r="E258" s="389"/>
      <c r="F258" s="288"/>
      <c r="G258" s="390"/>
      <c r="H258" s="389"/>
      <c r="I258" s="389"/>
      <c r="J258" s="389"/>
      <c r="K258" s="389"/>
      <c r="L258" s="389"/>
      <c r="M258" s="389"/>
      <c r="N258" s="389"/>
      <c r="O258" s="389"/>
      <c r="P258" s="389"/>
      <c r="Q258" s="389"/>
      <c r="R258" s="337">
        <v>0</v>
      </c>
      <c r="S258" s="390">
        <f t="shared" si="5"/>
        <v>0</v>
      </c>
      <c r="T258" s="338">
        <v>0</v>
      </c>
      <c r="U258" s="390">
        <f t="shared" si="6"/>
        <v>0</v>
      </c>
      <c r="V258" s="365"/>
      <c r="W258" s="378"/>
      <c r="X258" s="5"/>
      <c r="Y258" s="109"/>
    </row>
    <row r="259" spans="1:25" ht="15.6" x14ac:dyDescent="0.3">
      <c r="A259" s="287"/>
      <c r="B259" s="337" t="s">
        <v>157</v>
      </c>
      <c r="C259" s="389"/>
      <c r="D259" s="389"/>
      <c r="E259" s="389"/>
      <c r="F259" s="288"/>
      <c r="G259" s="390"/>
      <c r="H259" s="389"/>
      <c r="I259" s="389"/>
      <c r="J259" s="389"/>
      <c r="K259" s="389"/>
      <c r="L259" s="389"/>
      <c r="M259" s="389"/>
      <c r="N259" s="389"/>
      <c r="O259" s="389"/>
      <c r="P259" s="389"/>
      <c r="Q259" s="389"/>
      <c r="R259" s="337">
        <v>0</v>
      </c>
      <c r="S259" s="390">
        <f t="shared" si="5"/>
        <v>0</v>
      </c>
      <c r="T259" s="338">
        <v>0</v>
      </c>
      <c r="U259" s="390">
        <f t="shared" si="6"/>
        <v>0</v>
      </c>
      <c r="V259" s="365"/>
      <c r="W259" s="378"/>
      <c r="X259" s="5"/>
    </row>
    <row r="260" spans="1:25" ht="15.6" x14ac:dyDescent="0.3">
      <c r="A260" s="287"/>
      <c r="B260" s="337" t="s">
        <v>158</v>
      </c>
      <c r="C260" s="389"/>
      <c r="D260" s="389"/>
      <c r="E260" s="389"/>
      <c r="F260" s="288"/>
      <c r="G260" s="390"/>
      <c r="H260" s="389"/>
      <c r="I260" s="389"/>
      <c r="J260" s="389"/>
      <c r="K260" s="389"/>
      <c r="L260" s="389"/>
      <c r="M260" s="389"/>
      <c r="N260" s="389"/>
      <c r="O260" s="389"/>
      <c r="P260" s="389"/>
      <c r="Q260" s="389"/>
      <c r="R260" s="337">
        <v>0</v>
      </c>
      <c r="S260" s="390">
        <f t="shared" si="5"/>
        <v>0</v>
      </c>
      <c r="T260" s="338">
        <v>0</v>
      </c>
      <c r="U260" s="390">
        <f t="shared" si="6"/>
        <v>0</v>
      </c>
      <c r="V260" s="365"/>
      <c r="W260" s="378"/>
      <c r="X260" s="5"/>
      <c r="Y260" s="109"/>
    </row>
    <row r="261" spans="1:25" ht="15.6" x14ac:dyDescent="0.3">
      <c r="A261" s="287"/>
      <c r="B261" s="337" t="s">
        <v>159</v>
      </c>
      <c r="C261" s="389"/>
      <c r="D261" s="389"/>
      <c r="E261" s="389"/>
      <c r="F261" s="288"/>
      <c r="G261" s="390"/>
      <c r="H261" s="389"/>
      <c r="I261" s="389"/>
      <c r="J261" s="389"/>
      <c r="K261" s="389"/>
      <c r="L261" s="389"/>
      <c r="M261" s="389"/>
      <c r="N261" s="389"/>
      <c r="O261" s="389"/>
      <c r="P261" s="389"/>
      <c r="Q261" s="389"/>
      <c r="R261" s="337">
        <v>1</v>
      </c>
      <c r="S261" s="390">
        <f t="shared" si="5"/>
        <v>1.3757050488375291E-4</v>
      </c>
      <c r="T261" s="338">
        <v>52</v>
      </c>
      <c r="U261" s="390">
        <f t="shared" si="6"/>
        <v>5.1721119722456512E-5</v>
      </c>
      <c r="V261" s="365"/>
      <c r="W261" s="378"/>
      <c r="X261" s="5"/>
    </row>
    <row r="262" spans="1:25" ht="15.6" x14ac:dyDescent="0.3">
      <c r="A262" s="287"/>
      <c r="B262" s="337" t="s">
        <v>160</v>
      </c>
      <c r="C262" s="389"/>
      <c r="D262" s="389"/>
      <c r="E262" s="389"/>
      <c r="F262" s="288"/>
      <c r="G262" s="390"/>
      <c r="H262" s="389"/>
      <c r="I262" s="389"/>
      <c r="J262" s="389"/>
      <c r="K262" s="389"/>
      <c r="L262" s="389"/>
      <c r="M262" s="389"/>
      <c r="N262" s="389"/>
      <c r="O262" s="389"/>
      <c r="P262" s="389"/>
      <c r="Q262" s="389"/>
      <c r="R262" s="337">
        <v>0</v>
      </c>
      <c r="S262" s="390">
        <f t="shared" si="5"/>
        <v>0</v>
      </c>
      <c r="T262" s="338">
        <v>0</v>
      </c>
      <c r="U262" s="390">
        <f t="shared" si="6"/>
        <v>0</v>
      </c>
      <c r="V262" s="365"/>
      <c r="W262" s="378"/>
      <c r="X262" s="5"/>
      <c r="Y262" s="109"/>
    </row>
    <row r="263" spans="1:25" ht="15.6" x14ac:dyDescent="0.3">
      <c r="A263" s="287"/>
      <c r="B263" s="337"/>
      <c r="C263" s="389"/>
      <c r="D263" s="389"/>
      <c r="E263" s="389"/>
      <c r="F263" s="288"/>
      <c r="G263" s="390"/>
      <c r="H263" s="389"/>
      <c r="I263" s="389"/>
      <c r="J263" s="389"/>
      <c r="K263" s="389"/>
      <c r="L263" s="389"/>
      <c r="M263" s="389"/>
      <c r="N263" s="389"/>
      <c r="O263" s="389"/>
      <c r="P263" s="389"/>
      <c r="Q263" s="389"/>
      <c r="R263" s="337"/>
      <c r="S263" s="390"/>
      <c r="T263" s="338"/>
      <c r="U263" s="390"/>
      <c r="V263" s="365"/>
      <c r="W263" s="378"/>
      <c r="X263" s="5"/>
    </row>
    <row r="264" spans="1:25" ht="15.6" x14ac:dyDescent="0.3">
      <c r="A264" s="287"/>
      <c r="B264" s="288"/>
      <c r="C264" s="288"/>
      <c r="D264" s="288"/>
      <c r="E264" s="288"/>
      <c r="F264" s="288"/>
      <c r="G264" s="288"/>
      <c r="H264" s="391"/>
      <c r="I264" s="391"/>
      <c r="J264" s="391"/>
      <c r="K264" s="391"/>
      <c r="L264" s="391"/>
      <c r="M264" s="391"/>
      <c r="N264" s="391"/>
      <c r="O264" s="391"/>
      <c r="P264" s="391"/>
      <c r="Q264" s="391"/>
      <c r="R264" s="337">
        <f>SUM(R255:R263)</f>
        <v>7269</v>
      </c>
      <c r="S264" s="390">
        <f>SUM(S255:S263)</f>
        <v>1</v>
      </c>
      <c r="T264" s="338">
        <f>SUM(T255:T263)</f>
        <v>1005392</v>
      </c>
      <c r="U264" s="390">
        <f>SUM(U255:U263)</f>
        <v>1</v>
      </c>
      <c r="V264" s="288"/>
      <c r="W264" s="291"/>
      <c r="X264" s="5"/>
    </row>
    <row r="265" spans="1:25" ht="15.6" x14ac:dyDescent="0.3">
      <c r="A265" s="183"/>
      <c r="B265" s="198"/>
      <c r="C265" s="198"/>
      <c r="D265" s="198"/>
      <c r="E265" s="198"/>
      <c r="F265" s="198"/>
      <c r="G265" s="198"/>
      <c r="H265" s="386"/>
      <c r="I265" s="386"/>
      <c r="J265" s="386"/>
      <c r="K265" s="386"/>
      <c r="L265" s="386"/>
      <c r="M265" s="386"/>
      <c r="N265" s="386"/>
      <c r="O265" s="386"/>
      <c r="P265" s="386"/>
      <c r="Q265" s="386"/>
      <c r="R265" s="335"/>
      <c r="S265" s="387"/>
      <c r="T265" s="388"/>
      <c r="U265" s="387"/>
      <c r="V265" s="198"/>
      <c r="W265" s="198"/>
      <c r="X265" s="5"/>
    </row>
    <row r="266" spans="1:25" ht="15.6" x14ac:dyDescent="0.3">
      <c r="A266" s="280"/>
      <c r="B266" s="399" t="s">
        <v>275</v>
      </c>
      <c r="C266" s="400"/>
      <c r="D266" s="400"/>
      <c r="E266" s="400"/>
      <c r="F266" s="406"/>
      <c r="G266" s="400"/>
      <c r="H266" s="400"/>
      <c r="I266" s="400"/>
      <c r="J266" s="400"/>
      <c r="K266" s="400"/>
      <c r="L266" s="400"/>
      <c r="M266" s="400"/>
      <c r="N266" s="400"/>
      <c r="O266" s="400"/>
      <c r="P266" s="400"/>
      <c r="Q266" s="400"/>
      <c r="R266" s="406" t="s">
        <v>102</v>
      </c>
      <c r="S266" s="400" t="s">
        <v>103</v>
      </c>
      <c r="T266" s="406" t="s">
        <v>109</v>
      </c>
      <c r="U266" s="400" t="s">
        <v>103</v>
      </c>
      <c r="V266" s="281"/>
      <c r="W266" s="282"/>
      <c r="X266" s="5"/>
    </row>
    <row r="267" spans="1:25" ht="15.6" x14ac:dyDescent="0.3">
      <c r="A267" s="197"/>
      <c r="B267" s="234" t="s">
        <v>88</v>
      </c>
      <c r="C267" s="253"/>
      <c r="D267" s="253"/>
      <c r="E267" s="253"/>
      <c r="F267" s="231"/>
      <c r="G267" s="253"/>
      <c r="H267" s="253"/>
      <c r="I267" s="253"/>
      <c r="J267" s="253"/>
      <c r="K267" s="253"/>
      <c r="L267" s="253"/>
      <c r="M267" s="253"/>
      <c r="N267" s="253"/>
      <c r="O267" s="253"/>
      <c r="P267" s="253"/>
      <c r="Q267" s="253"/>
      <c r="R267" s="234">
        <v>120</v>
      </c>
      <c r="S267" s="254">
        <f t="shared" ref="S267:S274" si="7">R267/$R$276</f>
        <v>0.85106382978723405</v>
      </c>
      <c r="T267" s="241">
        <v>17372</v>
      </c>
      <c r="U267" s="254">
        <f t="shared" ref="U267:U274" si="8">T267/$T$276</f>
        <v>0.8505679592636114</v>
      </c>
      <c r="V267" s="231"/>
      <c r="W267" s="231"/>
      <c r="X267" s="5"/>
    </row>
    <row r="268" spans="1:25" ht="15.6" x14ac:dyDescent="0.3">
      <c r="A268" s="287"/>
      <c r="B268" s="337" t="s">
        <v>89</v>
      </c>
      <c r="C268" s="389"/>
      <c r="D268" s="389"/>
      <c r="E268" s="389"/>
      <c r="F268" s="288"/>
      <c r="G268" s="390"/>
      <c r="H268" s="389"/>
      <c r="I268" s="389"/>
      <c r="J268" s="389"/>
      <c r="K268" s="389"/>
      <c r="L268" s="389"/>
      <c r="M268" s="389"/>
      <c r="N268" s="389"/>
      <c r="O268" s="389"/>
      <c r="P268" s="389"/>
      <c r="Q268" s="389"/>
      <c r="R268" s="337">
        <v>2</v>
      </c>
      <c r="S268" s="390">
        <f t="shared" si="7"/>
        <v>1.4184397163120567E-2</v>
      </c>
      <c r="T268" s="338">
        <v>167</v>
      </c>
      <c r="U268" s="390">
        <f t="shared" si="8"/>
        <v>8.1766549157853505E-3</v>
      </c>
      <c r="V268" s="288"/>
      <c r="W268" s="291"/>
      <c r="X268" s="5"/>
    </row>
    <row r="269" spans="1:25" ht="15.6" x14ac:dyDescent="0.3">
      <c r="A269" s="287"/>
      <c r="B269" s="337" t="s">
        <v>90</v>
      </c>
      <c r="C269" s="389"/>
      <c r="D269" s="389"/>
      <c r="E269" s="389"/>
      <c r="F269" s="288"/>
      <c r="G269" s="390"/>
      <c r="H269" s="389"/>
      <c r="I269" s="389"/>
      <c r="J269" s="389"/>
      <c r="K269" s="389"/>
      <c r="L269" s="389"/>
      <c r="M269" s="389"/>
      <c r="N269" s="389"/>
      <c r="O269" s="389"/>
      <c r="P269" s="389"/>
      <c r="Q269" s="389"/>
      <c r="R269" s="337">
        <v>3</v>
      </c>
      <c r="S269" s="390">
        <f t="shared" si="7"/>
        <v>2.1276595744680851E-2</v>
      </c>
      <c r="T269" s="338">
        <v>446</v>
      </c>
      <c r="U269" s="390">
        <f t="shared" si="8"/>
        <v>2.1837054445750098E-2</v>
      </c>
      <c r="V269" s="288"/>
      <c r="W269" s="291"/>
      <c r="X269" s="5"/>
    </row>
    <row r="270" spans="1:25" ht="15.6" x14ac:dyDescent="0.3">
      <c r="A270" s="287"/>
      <c r="B270" s="337" t="s">
        <v>156</v>
      </c>
      <c r="C270" s="389"/>
      <c r="D270" s="389"/>
      <c r="E270" s="389"/>
      <c r="F270" s="288"/>
      <c r="G270" s="390"/>
      <c r="H270" s="389"/>
      <c r="I270" s="389"/>
      <c r="J270" s="389"/>
      <c r="K270" s="389"/>
      <c r="L270" s="389"/>
      <c r="M270" s="389"/>
      <c r="N270" s="389"/>
      <c r="O270" s="389"/>
      <c r="P270" s="389"/>
      <c r="Q270" s="389"/>
      <c r="R270" s="337">
        <v>2</v>
      </c>
      <c r="S270" s="390">
        <f t="shared" si="7"/>
        <v>1.4184397163120567E-2</v>
      </c>
      <c r="T270" s="338">
        <v>262</v>
      </c>
      <c r="U270" s="390">
        <f t="shared" si="8"/>
        <v>1.2828045436741089E-2</v>
      </c>
      <c r="V270" s="288"/>
      <c r="W270" s="291"/>
      <c r="X270" s="5"/>
    </row>
    <row r="271" spans="1:25" ht="15.6" x14ac:dyDescent="0.3">
      <c r="A271" s="287"/>
      <c r="B271" s="337" t="s">
        <v>157</v>
      </c>
      <c r="C271" s="389"/>
      <c r="D271" s="389"/>
      <c r="E271" s="389"/>
      <c r="F271" s="288"/>
      <c r="G271" s="390"/>
      <c r="H271" s="389"/>
      <c r="I271" s="389"/>
      <c r="J271" s="389"/>
      <c r="K271" s="389"/>
      <c r="L271" s="389"/>
      <c r="M271" s="389"/>
      <c r="N271" s="389"/>
      <c r="O271" s="389"/>
      <c r="P271" s="389"/>
      <c r="Q271" s="389"/>
      <c r="R271" s="337">
        <v>0</v>
      </c>
      <c r="S271" s="390">
        <f t="shared" si="7"/>
        <v>0</v>
      </c>
      <c r="T271" s="338">
        <v>0</v>
      </c>
      <c r="U271" s="390">
        <f t="shared" si="8"/>
        <v>0</v>
      </c>
      <c r="V271" s="288"/>
      <c r="W271" s="291"/>
      <c r="X271" s="5"/>
    </row>
    <row r="272" spans="1:25" ht="15.6" x14ac:dyDescent="0.3">
      <c r="A272" s="287"/>
      <c r="B272" s="337" t="s">
        <v>158</v>
      </c>
      <c r="C272" s="389"/>
      <c r="D272" s="389"/>
      <c r="E272" s="389"/>
      <c r="F272" s="288"/>
      <c r="G272" s="390"/>
      <c r="H272" s="389"/>
      <c r="I272" s="389"/>
      <c r="J272" s="389"/>
      <c r="K272" s="389"/>
      <c r="L272" s="389"/>
      <c r="M272" s="389"/>
      <c r="N272" s="389"/>
      <c r="O272" s="389"/>
      <c r="P272" s="389"/>
      <c r="Q272" s="389"/>
      <c r="R272" s="337">
        <v>0</v>
      </c>
      <c r="S272" s="390">
        <f t="shared" si="7"/>
        <v>0</v>
      </c>
      <c r="T272" s="338">
        <v>0</v>
      </c>
      <c r="U272" s="390">
        <f t="shared" si="8"/>
        <v>0</v>
      </c>
      <c r="V272" s="288"/>
      <c r="W272" s="291"/>
      <c r="X272" s="5"/>
    </row>
    <row r="273" spans="1:24" ht="15.6" x14ac:dyDescent="0.3">
      <c r="A273" s="287"/>
      <c r="B273" s="337" t="s">
        <v>159</v>
      </c>
      <c r="C273" s="389"/>
      <c r="D273" s="389"/>
      <c r="E273" s="389"/>
      <c r="F273" s="288"/>
      <c r="G273" s="390"/>
      <c r="H273" s="389"/>
      <c r="I273" s="389"/>
      <c r="J273" s="389"/>
      <c r="K273" s="389"/>
      <c r="L273" s="389"/>
      <c r="M273" s="389"/>
      <c r="N273" s="389"/>
      <c r="O273" s="389"/>
      <c r="P273" s="389"/>
      <c r="Q273" s="389"/>
      <c r="R273" s="337">
        <v>2</v>
      </c>
      <c r="S273" s="390">
        <f t="shared" si="7"/>
        <v>1.4184397163120567E-2</v>
      </c>
      <c r="T273" s="338">
        <v>365</v>
      </c>
      <c r="U273" s="390">
        <f t="shared" si="8"/>
        <v>1.7871132001566783E-2</v>
      </c>
      <c r="V273" s="288"/>
      <c r="W273" s="291"/>
      <c r="X273" s="5"/>
    </row>
    <row r="274" spans="1:24" ht="15.6" x14ac:dyDescent="0.3">
      <c r="A274" s="287"/>
      <c r="B274" s="337" t="s">
        <v>160</v>
      </c>
      <c r="C274" s="389"/>
      <c r="D274" s="389"/>
      <c r="E274" s="389"/>
      <c r="F274" s="288"/>
      <c r="G274" s="390"/>
      <c r="H274" s="389"/>
      <c r="I274" s="389"/>
      <c r="J274" s="389"/>
      <c r="K274" s="389"/>
      <c r="L274" s="389"/>
      <c r="M274" s="389"/>
      <c r="N274" s="389"/>
      <c r="O274" s="389"/>
      <c r="P274" s="389"/>
      <c r="Q274" s="389"/>
      <c r="R274" s="337">
        <v>12</v>
      </c>
      <c r="S274" s="390">
        <f t="shared" si="7"/>
        <v>8.5106382978723402E-2</v>
      </c>
      <c r="T274" s="338">
        <v>1812</v>
      </c>
      <c r="U274" s="390">
        <f t="shared" si="8"/>
        <v>8.8719153936545239E-2</v>
      </c>
      <c r="V274" s="288"/>
      <c r="W274" s="291"/>
      <c r="X274" s="5"/>
    </row>
    <row r="275" spans="1:24" ht="15.6" x14ac:dyDescent="0.3">
      <c r="A275" s="287"/>
      <c r="B275" s="337"/>
      <c r="C275" s="389"/>
      <c r="D275" s="389"/>
      <c r="E275" s="389"/>
      <c r="F275" s="288"/>
      <c r="G275" s="390"/>
      <c r="H275" s="389"/>
      <c r="I275" s="389"/>
      <c r="J275" s="389"/>
      <c r="K275" s="389"/>
      <c r="L275" s="389"/>
      <c r="M275" s="389"/>
      <c r="N275" s="389"/>
      <c r="O275" s="389"/>
      <c r="P275" s="389"/>
      <c r="Q275" s="389"/>
      <c r="R275" s="337"/>
      <c r="S275" s="390"/>
      <c r="T275" s="338"/>
      <c r="U275" s="390"/>
      <c r="V275" s="288"/>
      <c r="W275" s="291"/>
      <c r="X275" s="5"/>
    </row>
    <row r="276" spans="1:24" ht="15.6" x14ac:dyDescent="0.3">
      <c r="A276" s="287"/>
      <c r="B276" s="288"/>
      <c r="C276" s="288"/>
      <c r="D276" s="288"/>
      <c r="E276" s="288"/>
      <c r="F276" s="288"/>
      <c r="G276" s="288"/>
      <c r="H276" s="391"/>
      <c r="I276" s="391"/>
      <c r="J276" s="391"/>
      <c r="K276" s="391"/>
      <c r="L276" s="391"/>
      <c r="M276" s="391"/>
      <c r="N276" s="391"/>
      <c r="O276" s="391"/>
      <c r="P276" s="391"/>
      <c r="Q276" s="391"/>
      <c r="R276" s="337">
        <f>SUM(R267:R275)</f>
        <v>141</v>
      </c>
      <c r="S276" s="390">
        <f>SUM(S267:S275)</f>
        <v>1</v>
      </c>
      <c r="T276" s="338">
        <f>SUM(T267:T275)</f>
        <v>20424</v>
      </c>
      <c r="U276" s="390">
        <f>SUM(U267:U275)</f>
        <v>1</v>
      </c>
      <c r="V276" s="288"/>
      <c r="W276" s="291"/>
      <c r="X276" s="5"/>
    </row>
    <row r="277" spans="1:24" ht="15.6" x14ac:dyDescent="0.3">
      <c r="A277" s="183"/>
      <c r="B277" s="284"/>
      <c r="C277" s="284"/>
      <c r="D277" s="284"/>
      <c r="E277" s="284"/>
      <c r="F277" s="284"/>
      <c r="G277" s="284"/>
      <c r="H277" s="392"/>
      <c r="I277" s="392"/>
      <c r="J277" s="392"/>
      <c r="K277" s="392"/>
      <c r="L277" s="392"/>
      <c r="M277" s="392"/>
      <c r="N277" s="392"/>
      <c r="O277" s="392"/>
      <c r="P277" s="392"/>
      <c r="Q277" s="392"/>
      <c r="R277" s="339"/>
      <c r="S277" s="393"/>
      <c r="T277" s="394"/>
      <c r="U277" s="393"/>
      <c r="V277" s="284"/>
      <c r="W277" s="284"/>
      <c r="X277" s="5"/>
    </row>
    <row r="278" spans="1:24" ht="15.6" x14ac:dyDescent="0.3">
      <c r="A278" s="280"/>
      <c r="B278" s="399" t="s">
        <v>163</v>
      </c>
      <c r="C278" s="281"/>
      <c r="D278" s="281"/>
      <c r="E278" s="281"/>
      <c r="F278" s="281"/>
      <c r="G278" s="281"/>
      <c r="H278" s="283"/>
      <c r="I278" s="283"/>
      <c r="J278" s="283"/>
      <c r="K278" s="283"/>
      <c r="L278" s="283"/>
      <c r="M278" s="283"/>
      <c r="N278" s="283"/>
      <c r="O278" s="283"/>
      <c r="P278" s="283"/>
      <c r="Q278" s="283"/>
      <c r="R278" s="406" t="s">
        <v>102</v>
      </c>
      <c r="S278" s="400" t="s">
        <v>103</v>
      </c>
      <c r="T278" s="406" t="s">
        <v>109</v>
      </c>
      <c r="U278" s="400" t="s">
        <v>103</v>
      </c>
      <c r="V278" s="281"/>
      <c r="W278" s="282"/>
      <c r="X278" s="5"/>
    </row>
    <row r="279" spans="1:24" ht="15.6" x14ac:dyDescent="0.3">
      <c r="A279" s="197"/>
      <c r="B279" s="234" t="s">
        <v>88</v>
      </c>
      <c r="C279" s="231"/>
      <c r="D279" s="231"/>
      <c r="E279" s="231"/>
      <c r="F279" s="231"/>
      <c r="G279" s="231"/>
      <c r="H279" s="255"/>
      <c r="I279" s="255"/>
      <c r="J279" s="255"/>
      <c r="K279" s="255"/>
      <c r="L279" s="255"/>
      <c r="M279" s="255"/>
      <c r="N279" s="255"/>
      <c r="O279" s="255"/>
      <c r="P279" s="255"/>
      <c r="Q279" s="255"/>
      <c r="R279" s="234">
        <v>0</v>
      </c>
      <c r="S279" s="254">
        <v>0</v>
      </c>
      <c r="T279" s="241">
        <v>0</v>
      </c>
      <c r="U279" s="254">
        <v>0</v>
      </c>
      <c r="V279" s="231"/>
      <c r="W279" s="231"/>
      <c r="X279" s="5"/>
    </row>
    <row r="280" spans="1:24" ht="15.6" x14ac:dyDescent="0.3">
      <c r="A280" s="287"/>
      <c r="B280" s="337" t="s">
        <v>89</v>
      </c>
      <c r="C280" s="288"/>
      <c r="D280" s="288"/>
      <c r="E280" s="288"/>
      <c r="F280" s="288"/>
      <c r="G280" s="288"/>
      <c r="H280" s="391"/>
      <c r="I280" s="391"/>
      <c r="J280" s="391"/>
      <c r="K280" s="391"/>
      <c r="L280" s="391"/>
      <c r="M280" s="391"/>
      <c r="N280" s="391"/>
      <c r="O280" s="391"/>
      <c r="P280" s="391"/>
      <c r="Q280" s="391"/>
      <c r="R280" s="337">
        <v>0</v>
      </c>
      <c r="S280" s="390">
        <v>0</v>
      </c>
      <c r="T280" s="338">
        <v>0</v>
      </c>
      <c r="U280" s="390">
        <v>0</v>
      </c>
      <c r="V280" s="288"/>
      <c r="W280" s="291"/>
      <c r="X280" s="5"/>
    </row>
    <row r="281" spans="1:24" ht="15.6" x14ac:dyDescent="0.3">
      <c r="A281" s="287"/>
      <c r="B281" s="337" t="s">
        <v>90</v>
      </c>
      <c r="C281" s="288"/>
      <c r="D281" s="288"/>
      <c r="E281" s="288"/>
      <c r="F281" s="288"/>
      <c r="G281" s="288"/>
      <c r="H281" s="391"/>
      <c r="I281" s="391"/>
      <c r="J281" s="391"/>
      <c r="K281" s="391"/>
      <c r="L281" s="391"/>
      <c r="M281" s="391"/>
      <c r="N281" s="391"/>
      <c r="O281" s="391"/>
      <c r="P281" s="391"/>
      <c r="Q281" s="391"/>
      <c r="R281" s="337">
        <v>0</v>
      </c>
      <c r="S281" s="390">
        <v>0</v>
      </c>
      <c r="T281" s="338">
        <v>0</v>
      </c>
      <c r="U281" s="390">
        <v>0</v>
      </c>
      <c r="V281" s="288"/>
      <c r="W281" s="291"/>
      <c r="X281" s="5"/>
    </row>
    <row r="282" spans="1:24" ht="15.6" x14ac:dyDescent="0.3">
      <c r="A282" s="287"/>
      <c r="B282" s="337" t="s">
        <v>156</v>
      </c>
      <c r="C282" s="288"/>
      <c r="D282" s="288"/>
      <c r="E282" s="288"/>
      <c r="F282" s="288"/>
      <c r="G282" s="288"/>
      <c r="H282" s="391"/>
      <c r="I282" s="391"/>
      <c r="J282" s="391"/>
      <c r="K282" s="391"/>
      <c r="L282" s="391"/>
      <c r="M282" s="391"/>
      <c r="N282" s="391"/>
      <c r="O282" s="391"/>
      <c r="P282" s="391"/>
      <c r="Q282" s="391"/>
      <c r="R282" s="337">
        <v>0</v>
      </c>
      <c r="S282" s="390">
        <f>R282/R288</f>
        <v>0</v>
      </c>
      <c r="T282" s="338">
        <v>0</v>
      </c>
      <c r="U282" s="390">
        <f>T282/T288</f>
        <v>0</v>
      </c>
      <c r="V282" s="288"/>
      <c r="W282" s="291"/>
      <c r="X282" s="5"/>
    </row>
    <row r="283" spans="1:24" ht="15.6" x14ac:dyDescent="0.3">
      <c r="A283" s="287"/>
      <c r="B283" s="337" t="s">
        <v>157</v>
      </c>
      <c r="C283" s="288"/>
      <c r="D283" s="288"/>
      <c r="E283" s="288"/>
      <c r="F283" s="288"/>
      <c r="G283" s="288"/>
      <c r="H283" s="391"/>
      <c r="I283" s="391"/>
      <c r="J283" s="391"/>
      <c r="K283" s="391"/>
      <c r="L283" s="391"/>
      <c r="M283" s="391"/>
      <c r="N283" s="391"/>
      <c r="O283" s="391"/>
      <c r="P283" s="391"/>
      <c r="Q283" s="391"/>
      <c r="R283" s="337">
        <v>0</v>
      </c>
      <c r="S283" s="390">
        <v>0</v>
      </c>
      <c r="T283" s="338">
        <v>0</v>
      </c>
      <c r="U283" s="390">
        <v>0</v>
      </c>
      <c r="V283" s="288"/>
      <c r="W283" s="291"/>
      <c r="X283" s="5"/>
    </row>
    <row r="284" spans="1:24" ht="15.6" x14ac:dyDescent="0.3">
      <c r="A284" s="287"/>
      <c r="B284" s="337" t="s">
        <v>158</v>
      </c>
      <c r="C284" s="288"/>
      <c r="D284" s="288"/>
      <c r="E284" s="288"/>
      <c r="F284" s="288"/>
      <c r="G284" s="288"/>
      <c r="H284" s="391"/>
      <c r="I284" s="391"/>
      <c r="J284" s="391"/>
      <c r="K284" s="391"/>
      <c r="L284" s="391"/>
      <c r="M284" s="391"/>
      <c r="N284" s="391"/>
      <c r="O284" s="391"/>
      <c r="P284" s="391"/>
      <c r="Q284" s="391"/>
      <c r="R284" s="337">
        <v>0</v>
      </c>
      <c r="S284" s="390">
        <v>0</v>
      </c>
      <c r="T284" s="338">
        <v>0</v>
      </c>
      <c r="U284" s="390">
        <v>0</v>
      </c>
      <c r="V284" s="288"/>
      <c r="W284" s="291"/>
      <c r="X284" s="5"/>
    </row>
    <row r="285" spans="1:24" ht="15.6" x14ac:dyDescent="0.3">
      <c r="A285" s="287"/>
      <c r="B285" s="337" t="s">
        <v>159</v>
      </c>
      <c r="C285" s="288"/>
      <c r="D285" s="288"/>
      <c r="E285" s="288"/>
      <c r="F285" s="288"/>
      <c r="G285" s="288"/>
      <c r="H285" s="391"/>
      <c r="I285" s="391"/>
      <c r="J285" s="391"/>
      <c r="K285" s="391"/>
      <c r="L285" s="391"/>
      <c r="M285" s="391"/>
      <c r="N285" s="391"/>
      <c r="O285" s="391"/>
      <c r="P285" s="391"/>
      <c r="Q285" s="391"/>
      <c r="R285" s="337">
        <v>0</v>
      </c>
      <c r="S285" s="390">
        <f>R285/R288</f>
        <v>0</v>
      </c>
      <c r="T285" s="338">
        <v>0</v>
      </c>
      <c r="U285" s="390">
        <f>T285/T288</f>
        <v>0</v>
      </c>
      <c r="V285" s="288"/>
      <c r="W285" s="291"/>
      <c r="X285" s="5"/>
    </row>
    <row r="286" spans="1:24" ht="15.6" x14ac:dyDescent="0.3">
      <c r="A286" s="287"/>
      <c r="B286" s="337" t="s">
        <v>160</v>
      </c>
      <c r="C286" s="288"/>
      <c r="D286" s="288"/>
      <c r="E286" s="288"/>
      <c r="F286" s="288"/>
      <c r="G286" s="288"/>
      <c r="H286" s="391"/>
      <c r="I286" s="391"/>
      <c r="J286" s="391"/>
      <c r="K286" s="391"/>
      <c r="L286" s="391"/>
      <c r="M286" s="391"/>
      <c r="N286" s="391"/>
      <c r="O286" s="391"/>
      <c r="P286" s="391"/>
      <c r="Q286" s="391"/>
      <c r="R286" s="337">
        <v>1</v>
      </c>
      <c r="S286" s="390">
        <f>R286/R288</f>
        <v>1</v>
      </c>
      <c r="T286" s="338">
        <v>142</v>
      </c>
      <c r="U286" s="390">
        <f>T286/T288</f>
        <v>1</v>
      </c>
      <c r="V286" s="288"/>
      <c r="W286" s="291"/>
      <c r="X286" s="5"/>
    </row>
    <row r="287" spans="1:24" ht="15.6" x14ac:dyDescent="0.3">
      <c r="A287" s="287"/>
      <c r="B287" s="337"/>
      <c r="C287" s="288"/>
      <c r="D287" s="288"/>
      <c r="E287" s="288"/>
      <c r="F287" s="288"/>
      <c r="G287" s="288"/>
      <c r="H287" s="391"/>
      <c r="I287" s="391"/>
      <c r="J287" s="391"/>
      <c r="K287" s="391"/>
      <c r="L287" s="391"/>
      <c r="M287" s="391"/>
      <c r="N287" s="391"/>
      <c r="O287" s="391"/>
      <c r="P287" s="391"/>
      <c r="Q287" s="391"/>
      <c r="R287" s="337"/>
      <c r="S287" s="390"/>
      <c r="T287" s="338"/>
      <c r="U287" s="390"/>
      <c r="V287" s="288"/>
      <c r="W287" s="291"/>
      <c r="X287" s="5"/>
    </row>
    <row r="288" spans="1:24" ht="15.6" x14ac:dyDescent="0.3">
      <c r="A288" s="287"/>
      <c r="B288" s="288" t="s">
        <v>114</v>
      </c>
      <c r="C288" s="288"/>
      <c r="D288" s="288"/>
      <c r="E288" s="288"/>
      <c r="F288" s="288"/>
      <c r="G288" s="288"/>
      <c r="H288" s="391"/>
      <c r="I288" s="391"/>
      <c r="J288" s="391"/>
      <c r="K288" s="391"/>
      <c r="L288" s="391"/>
      <c r="M288" s="391"/>
      <c r="N288" s="391"/>
      <c r="O288" s="391"/>
      <c r="P288" s="391"/>
      <c r="Q288" s="391"/>
      <c r="R288" s="337">
        <f>SUM(R279:R286)</f>
        <v>1</v>
      </c>
      <c r="S288" s="390">
        <f>SUM(S279:S287)</f>
        <v>1</v>
      </c>
      <c r="T288" s="338">
        <f>SUM(T279:T286)</f>
        <v>142</v>
      </c>
      <c r="U288" s="390">
        <f>SUM(U279:U287)</f>
        <v>1</v>
      </c>
      <c r="V288" s="288"/>
      <c r="W288" s="291"/>
      <c r="X288" s="5"/>
    </row>
    <row r="289" spans="1:24" ht="15.6" x14ac:dyDescent="0.3">
      <c r="A289" s="287"/>
      <c r="B289" s="288"/>
      <c r="C289" s="288"/>
      <c r="D289" s="288"/>
      <c r="E289" s="288"/>
      <c r="F289" s="288"/>
      <c r="G289" s="288"/>
      <c r="H289" s="391"/>
      <c r="I289" s="391"/>
      <c r="J289" s="391"/>
      <c r="K289" s="391"/>
      <c r="L289" s="391"/>
      <c r="M289" s="391"/>
      <c r="N289" s="391"/>
      <c r="O289" s="391"/>
      <c r="P289" s="391"/>
      <c r="Q289" s="391"/>
      <c r="R289" s="337"/>
      <c r="S289" s="390"/>
      <c r="T289" s="338"/>
      <c r="U289" s="390"/>
      <c r="V289" s="288"/>
      <c r="W289" s="291"/>
      <c r="X289" s="5"/>
    </row>
    <row r="290" spans="1:24" ht="15.6" x14ac:dyDescent="0.3">
      <c r="A290" s="287"/>
      <c r="B290" s="295" t="s">
        <v>164</v>
      </c>
      <c r="C290" s="288"/>
      <c r="D290" s="288"/>
      <c r="E290" s="288"/>
      <c r="F290" s="288"/>
      <c r="G290" s="288"/>
      <c r="H290" s="391"/>
      <c r="I290" s="391"/>
      <c r="J290" s="391"/>
      <c r="K290" s="391"/>
      <c r="L290" s="391"/>
      <c r="M290" s="391"/>
      <c r="N290" s="391"/>
      <c r="O290" s="391"/>
      <c r="P290" s="391"/>
      <c r="Q290" s="391"/>
      <c r="R290" s="407">
        <f>R288+R276+R264</f>
        <v>7411</v>
      </c>
      <c r="S290" s="390"/>
      <c r="T290" s="396">
        <f>+T288+T276+T264</f>
        <v>1025958</v>
      </c>
      <c r="U290" s="390"/>
      <c r="V290" s="288"/>
      <c r="W290" s="291"/>
      <c r="X290" s="5"/>
    </row>
    <row r="291" spans="1:24" ht="15.6" x14ac:dyDescent="0.3">
      <c r="A291" s="183"/>
      <c r="B291" s="284"/>
      <c r="C291" s="284"/>
      <c r="D291" s="284"/>
      <c r="E291" s="284"/>
      <c r="F291" s="284"/>
      <c r="G291" s="284"/>
      <c r="H291" s="392"/>
      <c r="I291" s="392"/>
      <c r="J291" s="392"/>
      <c r="K291" s="392"/>
      <c r="L291" s="392"/>
      <c r="M291" s="392"/>
      <c r="N291" s="392"/>
      <c r="O291" s="392"/>
      <c r="P291" s="392"/>
      <c r="Q291" s="392"/>
      <c r="R291" s="392"/>
      <c r="S291" s="392"/>
      <c r="T291" s="394"/>
      <c r="U291" s="392"/>
      <c r="V291" s="284"/>
      <c r="W291" s="284"/>
      <c r="X291" s="5"/>
    </row>
    <row r="292" spans="1:24" ht="15.6" x14ac:dyDescent="0.3">
      <c r="A292" s="183"/>
      <c r="B292" s="224"/>
      <c r="C292" s="224"/>
      <c r="D292" s="224"/>
      <c r="E292" s="224"/>
      <c r="F292" s="224"/>
      <c r="G292" s="224"/>
      <c r="H292" s="256"/>
      <c r="I292" s="256"/>
      <c r="J292" s="256"/>
      <c r="K292" s="256"/>
      <c r="L292" s="256"/>
      <c r="M292" s="256"/>
      <c r="N292" s="256"/>
      <c r="O292" s="256"/>
      <c r="P292" s="256"/>
      <c r="Q292" s="256"/>
      <c r="R292" s="256"/>
      <c r="S292" s="256"/>
      <c r="T292" s="257"/>
      <c r="U292" s="256"/>
      <c r="V292" s="224"/>
      <c r="W292" s="224"/>
      <c r="X292" s="5"/>
    </row>
    <row r="293" spans="1:24" ht="15.6" x14ac:dyDescent="0.3">
      <c r="A293" s="219"/>
      <c r="B293" s="222" t="s">
        <v>91</v>
      </c>
      <c r="C293" s="224"/>
      <c r="D293" s="224"/>
      <c r="E293" s="224"/>
      <c r="F293" s="228" t="s">
        <v>97</v>
      </c>
      <c r="G293" s="224"/>
      <c r="H293" s="222" t="s">
        <v>99</v>
      </c>
      <c r="I293" s="222"/>
      <c r="J293" s="222"/>
      <c r="K293" s="258"/>
      <c r="L293" s="258"/>
      <c r="M293" s="258"/>
      <c r="N293" s="258"/>
      <c r="O293" s="258"/>
      <c r="P293" s="258"/>
      <c r="Q293" s="258"/>
      <c r="R293" s="258"/>
      <c r="S293" s="258"/>
      <c r="T293" s="258"/>
      <c r="U293" s="258"/>
      <c r="V293" s="258"/>
      <c r="W293" s="258"/>
      <c r="X293" s="5"/>
    </row>
    <row r="294" spans="1:24" ht="15.6" x14ac:dyDescent="0.3">
      <c r="A294" s="219"/>
      <c r="B294" s="258"/>
      <c r="C294" s="224"/>
      <c r="D294" s="224"/>
      <c r="E294" s="224"/>
      <c r="F294" s="224"/>
      <c r="G294" s="224"/>
      <c r="H294" s="224"/>
      <c r="I294" s="224"/>
      <c r="J294" s="224"/>
      <c r="K294" s="258"/>
      <c r="L294" s="258"/>
      <c r="M294" s="258"/>
      <c r="N294" s="258"/>
      <c r="O294" s="258"/>
      <c r="P294" s="258"/>
      <c r="Q294" s="258"/>
      <c r="R294" s="258"/>
      <c r="S294" s="258"/>
      <c r="T294" s="258"/>
      <c r="U294" s="258"/>
      <c r="V294" s="258"/>
      <c r="W294" s="258"/>
      <c r="X294" s="5"/>
    </row>
    <row r="295" spans="1:24" ht="15.6" x14ac:dyDescent="0.3">
      <c r="A295" s="219"/>
      <c r="B295" s="222" t="s">
        <v>338</v>
      </c>
      <c r="C295" s="222"/>
      <c r="D295" s="222"/>
      <c r="E295" s="222"/>
      <c r="F295" s="259" t="s">
        <v>148</v>
      </c>
      <c r="G295" s="222"/>
      <c r="H295" s="222" t="s">
        <v>152</v>
      </c>
      <c r="I295" s="222"/>
      <c r="J295" s="222"/>
      <c r="K295" s="258"/>
      <c r="L295" s="258"/>
      <c r="M295" s="258"/>
      <c r="N295" s="258"/>
      <c r="O295" s="258"/>
      <c r="P295" s="258"/>
      <c r="Q295" s="258"/>
      <c r="R295" s="258"/>
      <c r="S295" s="258"/>
      <c r="T295" s="258"/>
      <c r="U295" s="258"/>
      <c r="V295" s="258"/>
      <c r="W295" s="258"/>
      <c r="X295" s="5"/>
    </row>
    <row r="296" spans="1:24" ht="15.6" x14ac:dyDescent="0.3">
      <c r="A296" s="219"/>
      <c r="B296" s="222" t="s">
        <v>339</v>
      </c>
      <c r="C296" s="222"/>
      <c r="D296" s="222"/>
      <c r="E296" s="222"/>
      <c r="F296" s="259" t="s">
        <v>278</v>
      </c>
      <c r="G296" s="222"/>
      <c r="H296" s="222" t="s">
        <v>279</v>
      </c>
      <c r="I296" s="258"/>
      <c r="J296" s="222"/>
      <c r="K296" s="258"/>
      <c r="L296" s="258"/>
      <c r="M296" s="258"/>
      <c r="N296" s="258"/>
      <c r="O296" s="258"/>
      <c r="P296" s="258"/>
      <c r="Q296" s="258"/>
      <c r="R296" s="258"/>
      <c r="S296" s="258"/>
      <c r="T296" s="258"/>
      <c r="U296" s="258"/>
      <c r="V296" s="258"/>
      <c r="W296" s="258"/>
      <c r="X296" s="5"/>
    </row>
    <row r="297" spans="1:24" ht="15.6" x14ac:dyDescent="0.3">
      <c r="A297" s="219"/>
      <c r="B297" s="222" t="s">
        <v>340</v>
      </c>
      <c r="C297" s="222"/>
      <c r="D297" s="222"/>
      <c r="E297" s="222"/>
      <c r="F297" s="259" t="s">
        <v>147</v>
      </c>
      <c r="G297" s="222"/>
      <c r="H297" s="222" t="s">
        <v>153</v>
      </c>
      <c r="I297" s="222"/>
      <c r="J297" s="222"/>
      <c r="K297" s="258"/>
      <c r="L297" s="258"/>
      <c r="M297" s="258"/>
      <c r="N297" s="258"/>
      <c r="O297" s="258"/>
      <c r="P297" s="258"/>
      <c r="Q297" s="258"/>
      <c r="R297" s="258"/>
      <c r="S297" s="258"/>
      <c r="T297" s="258"/>
      <c r="U297" s="258"/>
      <c r="V297" s="258"/>
      <c r="W297" s="258"/>
      <c r="X297" s="5"/>
    </row>
    <row r="298" spans="1:24" ht="15.6" x14ac:dyDescent="0.3">
      <c r="A298" s="219"/>
      <c r="B298" s="222"/>
      <c r="C298" s="222"/>
      <c r="D298" s="222"/>
      <c r="E298" s="222"/>
      <c r="F298" s="222"/>
      <c r="G298" s="260"/>
      <c r="H298" s="258"/>
      <c r="I298" s="258"/>
      <c r="J298" s="258"/>
      <c r="K298" s="258"/>
      <c r="L298" s="258"/>
      <c r="M298" s="258"/>
      <c r="N298" s="258"/>
      <c r="O298" s="258"/>
      <c r="P298" s="258"/>
      <c r="Q298" s="258"/>
      <c r="R298" s="258"/>
      <c r="S298" s="258"/>
      <c r="T298" s="258"/>
      <c r="U298" s="258"/>
      <c r="V298" s="258"/>
      <c r="W298" s="258"/>
      <c r="X298" s="5"/>
    </row>
    <row r="299" spans="1:24" ht="15.6" x14ac:dyDescent="0.3">
      <c r="A299" s="219"/>
      <c r="B299" s="222"/>
      <c r="C299" s="222"/>
      <c r="D299" s="222"/>
      <c r="E299" s="222"/>
      <c r="F299" s="222"/>
      <c r="G299" s="260"/>
      <c r="H299" s="258"/>
      <c r="I299" s="258"/>
      <c r="J299" s="258"/>
      <c r="K299" s="258"/>
      <c r="L299" s="258"/>
      <c r="M299" s="258"/>
      <c r="N299" s="258"/>
      <c r="O299" s="258"/>
      <c r="P299" s="258"/>
      <c r="Q299" s="258"/>
      <c r="R299" s="258"/>
      <c r="S299" s="258"/>
      <c r="T299" s="258"/>
      <c r="U299" s="258"/>
      <c r="V299" s="258"/>
      <c r="W299" s="258"/>
      <c r="X299" s="5"/>
    </row>
    <row r="300" spans="1:24" ht="18" thickBot="1" x14ac:dyDescent="0.35">
      <c r="A300" s="219"/>
      <c r="B300" s="261" t="str">
        <f>B204</f>
        <v>PM14 INVESTOR REPORT QUARTER ENDING FEBRUARY 2015</v>
      </c>
      <c r="C300" s="222"/>
      <c r="D300" s="222"/>
      <c r="E300" s="222"/>
      <c r="F300" s="222"/>
      <c r="G300" s="260"/>
      <c r="H300" s="258"/>
      <c r="I300" s="258"/>
      <c r="J300" s="258"/>
      <c r="K300" s="258"/>
      <c r="L300" s="258"/>
      <c r="M300" s="258"/>
      <c r="N300" s="258"/>
      <c r="O300" s="258"/>
      <c r="P300" s="258"/>
      <c r="Q300" s="258"/>
      <c r="R300" s="258"/>
      <c r="S300" s="258"/>
      <c r="T300" s="258"/>
      <c r="U300" s="258"/>
      <c r="V300" s="258"/>
      <c r="W300" s="258"/>
      <c r="X300" s="5"/>
    </row>
    <row r="301" spans="1:24" x14ac:dyDescent="0.25">
      <c r="A301" s="100"/>
      <c r="B301" s="100"/>
      <c r="C301" s="100"/>
      <c r="D301" s="100"/>
      <c r="E301" s="100"/>
      <c r="F301" s="100"/>
      <c r="G301" s="100"/>
      <c r="H301" s="100"/>
      <c r="I301" s="100"/>
      <c r="J301" s="100"/>
      <c r="K301" s="100"/>
      <c r="L301" s="100"/>
      <c r="M301" s="100"/>
      <c r="N301" s="100"/>
      <c r="O301" s="100"/>
      <c r="P301" s="100"/>
      <c r="Q301" s="100"/>
      <c r="R301" s="100"/>
      <c r="S301" s="100"/>
      <c r="T301" s="100"/>
      <c r="U301" s="100"/>
      <c r="V301" s="100"/>
      <c r="W301" s="100"/>
    </row>
  </sheetData>
  <hyperlinks>
    <hyperlink ref="P240" r:id="rId1" xr:uid="{00000000-0004-0000-1E00-000000000000}"/>
    <hyperlink ref="I9" r:id="rId2" xr:uid="{00000000-0004-0000-1E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8" max="14" man="1"/>
    <brk id="204" max="14" man="1"/>
  </rowBreaks>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theme="4"/>
  </sheetPr>
  <dimension ref="A1:IV301"/>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80"/>
      <c r="B1" s="220" t="s">
        <v>244</v>
      </c>
      <c r="C1" s="181"/>
      <c r="D1" s="181"/>
      <c r="E1" s="181"/>
      <c r="F1" s="181"/>
      <c r="G1" s="181"/>
      <c r="H1" s="181"/>
      <c r="I1" s="181"/>
      <c r="J1" s="181"/>
      <c r="K1" s="181"/>
      <c r="L1" s="181"/>
      <c r="M1" s="181"/>
      <c r="N1" s="181"/>
      <c r="O1" s="181"/>
      <c r="P1" s="181"/>
      <c r="Q1" s="181"/>
      <c r="R1" s="181"/>
      <c r="S1" s="181"/>
      <c r="T1" s="181"/>
      <c r="U1" s="181"/>
      <c r="V1" s="181"/>
      <c r="W1" s="181"/>
      <c r="X1" s="5"/>
    </row>
    <row r="2" spans="1:24" ht="15.6" x14ac:dyDescent="0.3">
      <c r="A2" s="183"/>
      <c r="B2" s="184"/>
      <c r="C2" s="185"/>
      <c r="D2" s="185"/>
      <c r="E2" s="185"/>
      <c r="F2" s="185"/>
      <c r="G2" s="185"/>
      <c r="H2" s="185"/>
      <c r="I2" s="185"/>
      <c r="J2" s="185"/>
      <c r="K2" s="185"/>
      <c r="L2" s="185"/>
      <c r="M2" s="185"/>
      <c r="N2" s="185"/>
      <c r="O2" s="185"/>
      <c r="P2" s="185"/>
      <c r="Q2" s="185"/>
      <c r="R2" s="185"/>
      <c r="S2" s="185"/>
      <c r="T2" s="185"/>
      <c r="U2" s="185"/>
      <c r="V2" s="185"/>
      <c r="W2" s="185"/>
      <c r="X2" s="5"/>
    </row>
    <row r="3" spans="1:24" ht="15.6" x14ac:dyDescent="0.3">
      <c r="A3" s="186"/>
      <c r="B3" s="187" t="s">
        <v>245</v>
      </c>
      <c r="C3" s="185"/>
      <c r="D3" s="185"/>
      <c r="E3" s="185"/>
      <c r="F3" s="185"/>
      <c r="G3" s="185"/>
      <c r="H3" s="185"/>
      <c r="I3" s="185"/>
      <c r="J3" s="185"/>
      <c r="K3" s="185"/>
      <c r="L3" s="185"/>
      <c r="M3" s="185"/>
      <c r="N3" s="185"/>
      <c r="O3" s="185"/>
      <c r="P3" s="185"/>
      <c r="Q3" s="185"/>
      <c r="R3" s="185"/>
      <c r="S3" s="185"/>
      <c r="T3" s="185"/>
      <c r="U3" s="185"/>
      <c r="V3" s="185"/>
      <c r="W3" s="185"/>
      <c r="X3" s="5"/>
    </row>
    <row r="4" spans="1:24" ht="15.6" x14ac:dyDescent="0.3">
      <c r="A4" s="183"/>
      <c r="B4" s="184"/>
      <c r="C4" s="185"/>
      <c r="D4" s="185"/>
      <c r="E4" s="185"/>
      <c r="F4" s="185"/>
      <c r="G4" s="185"/>
      <c r="H4" s="185"/>
      <c r="I4" s="185"/>
      <c r="J4" s="185"/>
      <c r="K4" s="185"/>
      <c r="L4" s="185"/>
      <c r="M4" s="185"/>
      <c r="N4" s="185"/>
      <c r="O4" s="185"/>
      <c r="P4" s="185"/>
      <c r="Q4" s="185"/>
      <c r="R4" s="185"/>
      <c r="S4" s="185"/>
      <c r="T4" s="185"/>
      <c r="U4" s="185"/>
      <c r="V4" s="185"/>
      <c r="W4" s="185"/>
      <c r="X4" s="5"/>
    </row>
    <row r="5" spans="1:24" ht="15.6" x14ac:dyDescent="0.3">
      <c r="A5" s="183"/>
      <c r="B5" s="221" t="s">
        <v>137</v>
      </c>
      <c r="C5" s="185"/>
      <c r="D5" s="185"/>
      <c r="E5" s="185"/>
      <c r="F5" s="185"/>
      <c r="G5" s="185"/>
      <c r="H5" s="185"/>
      <c r="I5" s="185"/>
      <c r="J5" s="185"/>
      <c r="K5" s="185"/>
      <c r="L5" s="185"/>
      <c r="M5" s="185"/>
      <c r="N5" s="185"/>
      <c r="O5" s="185"/>
      <c r="P5" s="185"/>
      <c r="Q5" s="185"/>
      <c r="R5" s="185"/>
      <c r="S5" s="185"/>
      <c r="T5" s="185"/>
      <c r="U5" s="185"/>
      <c r="V5" s="185"/>
      <c r="W5" s="185"/>
      <c r="X5" s="5"/>
    </row>
    <row r="6" spans="1:24" ht="15.6" x14ac:dyDescent="0.3">
      <c r="A6" s="183"/>
      <c r="B6" s="221" t="s">
        <v>139</v>
      </c>
      <c r="C6" s="185"/>
      <c r="D6" s="185"/>
      <c r="E6" s="185"/>
      <c r="F6" s="185"/>
      <c r="G6" s="185"/>
      <c r="H6" s="185"/>
      <c r="I6" s="185"/>
      <c r="J6" s="185"/>
      <c r="K6" s="185"/>
      <c r="L6" s="185"/>
      <c r="M6" s="185"/>
      <c r="N6" s="185"/>
      <c r="O6" s="185"/>
      <c r="P6" s="185"/>
      <c r="Q6" s="185"/>
      <c r="R6" s="185"/>
      <c r="S6" s="185"/>
      <c r="T6" s="185"/>
      <c r="U6" s="185"/>
      <c r="V6" s="185"/>
      <c r="W6" s="185"/>
      <c r="X6" s="5"/>
    </row>
    <row r="7" spans="1:24" ht="15.6" x14ac:dyDescent="0.3">
      <c r="A7" s="183"/>
      <c r="B7" s="221" t="s">
        <v>138</v>
      </c>
      <c r="C7" s="185"/>
      <c r="D7" s="185"/>
      <c r="E7" s="185"/>
      <c r="F7" s="185"/>
      <c r="G7" s="185"/>
      <c r="H7" s="185"/>
      <c r="I7" s="185"/>
      <c r="J7" s="185"/>
      <c r="K7" s="185"/>
      <c r="L7" s="185"/>
      <c r="M7" s="185"/>
      <c r="N7" s="185"/>
      <c r="O7" s="185"/>
      <c r="P7" s="185"/>
      <c r="Q7" s="185"/>
      <c r="R7" s="185"/>
      <c r="S7" s="185"/>
      <c r="T7" s="185"/>
      <c r="U7" s="185"/>
      <c r="V7" s="185"/>
      <c r="W7" s="185"/>
      <c r="X7" s="5"/>
    </row>
    <row r="8" spans="1:24" ht="15.6" x14ac:dyDescent="0.3">
      <c r="A8" s="183"/>
      <c r="B8" s="188"/>
      <c r="C8" s="185"/>
      <c r="D8" s="185"/>
      <c r="E8" s="185"/>
      <c r="F8" s="185"/>
      <c r="G8" s="185"/>
      <c r="H8" s="185"/>
      <c r="I8" s="185"/>
      <c r="J8" s="185"/>
      <c r="K8" s="185"/>
      <c r="L8" s="185"/>
      <c r="M8" s="185"/>
      <c r="N8" s="185"/>
      <c r="O8" s="185"/>
      <c r="P8" s="185"/>
      <c r="Q8" s="185"/>
      <c r="R8" s="185"/>
      <c r="S8" s="185"/>
      <c r="T8" s="185"/>
      <c r="U8" s="185"/>
      <c r="V8" s="185"/>
      <c r="W8" s="185"/>
      <c r="X8" s="5"/>
    </row>
    <row r="9" spans="1:24" ht="17.399999999999999" x14ac:dyDescent="0.3">
      <c r="A9" s="183"/>
      <c r="B9" s="189" t="s">
        <v>166</v>
      </c>
      <c r="C9" s="185"/>
      <c r="D9" s="185"/>
      <c r="E9" s="185"/>
      <c r="F9" s="185"/>
      <c r="G9" s="185"/>
      <c r="H9" s="185"/>
      <c r="I9" s="190" t="s">
        <v>167</v>
      </c>
      <c r="J9" s="185"/>
      <c r="K9" s="185"/>
      <c r="L9" s="190"/>
      <c r="M9" s="185"/>
      <c r="N9" s="190"/>
      <c r="O9" s="185"/>
      <c r="P9" s="185"/>
      <c r="Q9" s="185"/>
      <c r="R9" s="185"/>
      <c r="S9" s="185"/>
      <c r="T9" s="185"/>
      <c r="U9" s="185"/>
      <c r="V9" s="185"/>
      <c r="W9" s="185"/>
      <c r="X9" s="5"/>
    </row>
    <row r="10" spans="1:24" ht="15.6" x14ac:dyDescent="0.3">
      <c r="A10" s="183"/>
      <c r="B10" s="188"/>
      <c r="C10" s="191"/>
      <c r="D10" s="191"/>
      <c r="E10" s="191"/>
      <c r="F10" s="185"/>
      <c r="G10" s="185"/>
      <c r="H10" s="185"/>
      <c r="I10" s="185"/>
      <c r="J10" s="185"/>
      <c r="K10" s="185"/>
      <c r="L10" s="185"/>
      <c r="M10" s="185"/>
      <c r="N10" s="185"/>
      <c r="O10" s="185"/>
      <c r="P10" s="185"/>
      <c r="Q10" s="185"/>
      <c r="R10" s="185"/>
      <c r="S10" s="185"/>
      <c r="T10" s="185"/>
      <c r="U10" s="185"/>
      <c r="V10" s="185"/>
      <c r="W10" s="185"/>
      <c r="X10" s="5"/>
    </row>
    <row r="11" spans="1:24" ht="15.6" x14ac:dyDescent="0.3">
      <c r="A11" s="183"/>
      <c r="B11" s="222" t="s">
        <v>0</v>
      </c>
      <c r="C11" s="185"/>
      <c r="D11" s="185"/>
      <c r="E11" s="185"/>
      <c r="F11" s="185"/>
      <c r="G11" s="185"/>
      <c r="H11" s="185"/>
      <c r="I11" s="185"/>
      <c r="J11" s="185"/>
      <c r="K11" s="185"/>
      <c r="L11" s="185"/>
      <c r="M11" s="185"/>
      <c r="N11" s="185"/>
      <c r="O11" s="185"/>
      <c r="P11" s="185"/>
      <c r="Q11" s="185"/>
      <c r="R11" s="185"/>
      <c r="S11" s="185"/>
      <c r="T11" s="185"/>
      <c r="U11" s="185"/>
      <c r="V11" s="185"/>
      <c r="W11" s="185"/>
      <c r="X11" s="5"/>
    </row>
    <row r="12" spans="1:24" ht="16.2" thickBot="1" x14ac:dyDescent="0.35">
      <c r="A12" s="183"/>
      <c r="B12" s="191"/>
      <c r="C12" s="185"/>
      <c r="D12" s="185"/>
      <c r="E12" s="185"/>
      <c r="F12" s="185"/>
      <c r="G12" s="185"/>
      <c r="H12" s="185"/>
      <c r="I12" s="185"/>
      <c r="J12" s="185"/>
      <c r="K12" s="185"/>
      <c r="L12" s="185"/>
      <c r="M12" s="185"/>
      <c r="N12" s="185"/>
      <c r="O12" s="185"/>
      <c r="P12" s="185"/>
      <c r="Q12" s="185"/>
      <c r="R12" s="185"/>
      <c r="S12" s="185"/>
      <c r="T12" s="185"/>
      <c r="U12" s="185"/>
      <c r="V12" s="185"/>
      <c r="W12" s="185"/>
      <c r="X12" s="5"/>
    </row>
    <row r="13" spans="1:24" ht="15.6" x14ac:dyDescent="0.3">
      <c r="A13" s="180"/>
      <c r="B13" s="181"/>
      <c r="C13" s="181"/>
      <c r="D13" s="181"/>
      <c r="E13" s="181"/>
      <c r="F13" s="181"/>
      <c r="G13" s="181"/>
      <c r="H13" s="181"/>
      <c r="I13" s="181"/>
      <c r="J13" s="181"/>
      <c r="K13" s="181"/>
      <c r="L13" s="181"/>
      <c r="M13" s="181"/>
      <c r="N13" s="181"/>
      <c r="O13" s="181"/>
      <c r="P13" s="181"/>
      <c r="Q13" s="181"/>
      <c r="R13" s="181"/>
      <c r="S13" s="181"/>
      <c r="T13" s="181"/>
      <c r="U13" s="181"/>
      <c r="V13" s="181"/>
      <c r="W13" s="181"/>
      <c r="X13" s="5"/>
    </row>
    <row r="14" spans="1:24" ht="15.6" x14ac:dyDescent="0.3">
      <c r="A14" s="183"/>
      <c r="B14" s="222" t="s">
        <v>1</v>
      </c>
      <c r="C14" s="192"/>
      <c r="D14" s="192"/>
      <c r="E14" s="192"/>
      <c r="F14" s="192"/>
      <c r="G14" s="192"/>
      <c r="H14" s="192"/>
      <c r="I14" s="192"/>
      <c r="J14" s="192"/>
      <c r="K14" s="192"/>
      <c r="L14" s="192"/>
      <c r="M14" s="192"/>
      <c r="N14" s="192"/>
      <c r="O14" s="192"/>
      <c r="P14" s="192"/>
      <c r="Q14" s="192"/>
      <c r="R14" s="224"/>
      <c r="S14" s="224"/>
      <c r="T14" s="224"/>
      <c r="U14" s="224"/>
      <c r="V14" s="225" t="s">
        <v>246</v>
      </c>
      <c r="W14" s="192"/>
      <c r="X14" s="5"/>
    </row>
    <row r="15" spans="1:24" ht="15.6" x14ac:dyDescent="0.3">
      <c r="A15" s="183"/>
      <c r="B15" s="222" t="s">
        <v>2</v>
      </c>
      <c r="C15" s="192"/>
      <c r="D15" s="192"/>
      <c r="E15" s="192"/>
      <c r="F15" s="192"/>
      <c r="G15" s="192"/>
      <c r="H15" s="193"/>
      <c r="I15" s="193"/>
      <c r="J15" s="193"/>
      <c r="K15" s="193"/>
      <c r="L15" s="193"/>
      <c r="M15" s="193"/>
      <c r="N15" s="193"/>
      <c r="O15" s="193"/>
      <c r="P15" s="193"/>
      <c r="Q15" s="193"/>
      <c r="R15" s="226" t="s">
        <v>104</v>
      </c>
      <c r="S15" s="227">
        <v>0.38300000000000001</v>
      </c>
      <c r="T15" s="228" t="s">
        <v>140</v>
      </c>
      <c r="U15" s="227">
        <v>0.61699999999999999</v>
      </c>
      <c r="V15" s="225"/>
      <c r="W15" s="192"/>
      <c r="X15" s="5"/>
    </row>
    <row r="16" spans="1:24" ht="15.6" x14ac:dyDescent="0.3">
      <c r="A16" s="183"/>
      <c r="B16" s="222" t="s">
        <v>3</v>
      </c>
      <c r="C16" s="192"/>
      <c r="D16" s="192"/>
      <c r="E16" s="192"/>
      <c r="F16" s="192"/>
      <c r="G16" s="192"/>
      <c r="H16" s="193"/>
      <c r="I16" s="193"/>
      <c r="J16" s="193"/>
      <c r="K16" s="193"/>
      <c r="L16" s="193"/>
      <c r="M16" s="193"/>
      <c r="N16" s="193"/>
      <c r="O16" s="193"/>
      <c r="P16" s="193"/>
      <c r="Q16" s="193"/>
      <c r="R16" s="226" t="s">
        <v>104</v>
      </c>
      <c r="S16" s="227">
        <v>0.4708</v>
      </c>
      <c r="T16" s="228" t="s">
        <v>140</v>
      </c>
      <c r="U16" s="227">
        <v>0.5292</v>
      </c>
      <c r="V16" s="225"/>
      <c r="W16" s="192"/>
      <c r="X16" s="5"/>
    </row>
    <row r="17" spans="1:24" ht="15.6" x14ac:dyDescent="0.3">
      <c r="A17" s="183"/>
      <c r="B17" s="222" t="s">
        <v>4</v>
      </c>
      <c r="C17" s="192"/>
      <c r="D17" s="192"/>
      <c r="E17" s="192"/>
      <c r="F17" s="192"/>
      <c r="G17" s="192"/>
      <c r="H17" s="192"/>
      <c r="I17" s="192"/>
      <c r="J17" s="192"/>
      <c r="K17" s="192"/>
      <c r="L17" s="192"/>
      <c r="M17" s="192"/>
      <c r="N17" s="192"/>
      <c r="O17" s="192"/>
      <c r="P17" s="192"/>
      <c r="Q17" s="192"/>
      <c r="R17" s="224"/>
      <c r="S17" s="224"/>
      <c r="T17" s="224"/>
      <c r="U17" s="224"/>
      <c r="V17" s="229">
        <v>39163</v>
      </c>
      <c r="W17" s="192"/>
      <c r="X17" s="5"/>
    </row>
    <row r="18" spans="1:24" ht="15.6" x14ac:dyDescent="0.3">
      <c r="A18" s="183"/>
      <c r="B18" s="222" t="s">
        <v>5</v>
      </c>
      <c r="C18" s="192"/>
      <c r="D18" s="192"/>
      <c r="E18" s="192"/>
      <c r="F18" s="192"/>
      <c r="G18" s="192"/>
      <c r="H18" s="192"/>
      <c r="I18" s="192"/>
      <c r="J18" s="192"/>
      <c r="K18" s="192"/>
      <c r="L18" s="192"/>
      <c r="M18" s="192"/>
      <c r="N18" s="192"/>
      <c r="O18" s="192"/>
      <c r="P18" s="192"/>
      <c r="Q18" s="192"/>
      <c r="R18" s="224"/>
      <c r="S18" s="224"/>
      <c r="T18" s="224"/>
      <c r="U18" s="224"/>
      <c r="V18" s="229">
        <v>42177</v>
      </c>
      <c r="W18" s="192"/>
      <c r="X18" s="5"/>
    </row>
    <row r="19" spans="1:24" ht="15.6" x14ac:dyDescent="0.3">
      <c r="A19" s="183"/>
      <c r="B19" s="185"/>
      <c r="C19" s="185"/>
      <c r="D19" s="185"/>
      <c r="E19" s="185"/>
      <c r="F19" s="185"/>
      <c r="G19" s="185"/>
      <c r="H19" s="185"/>
      <c r="I19" s="185"/>
      <c r="J19" s="185"/>
      <c r="K19" s="185"/>
      <c r="L19" s="185"/>
      <c r="M19" s="185"/>
      <c r="N19" s="185"/>
      <c r="O19" s="185"/>
      <c r="P19" s="185"/>
      <c r="Q19" s="185"/>
      <c r="R19" s="185"/>
      <c r="S19" s="185"/>
      <c r="T19" s="185"/>
      <c r="U19" s="185"/>
      <c r="V19" s="194"/>
      <c r="W19" s="185"/>
      <c r="X19" s="5"/>
    </row>
    <row r="20" spans="1:24" ht="15.6" x14ac:dyDescent="0.3">
      <c r="A20" s="183"/>
      <c r="B20" s="230" t="s">
        <v>6</v>
      </c>
      <c r="C20" s="185"/>
      <c r="D20" s="185"/>
      <c r="E20" s="185"/>
      <c r="F20" s="185"/>
      <c r="G20" s="185"/>
      <c r="H20" s="185"/>
      <c r="I20" s="185"/>
      <c r="J20" s="185"/>
      <c r="K20" s="185"/>
      <c r="L20" s="185"/>
      <c r="M20" s="185"/>
      <c r="N20" s="185"/>
      <c r="O20" s="185"/>
      <c r="P20" s="185"/>
      <c r="Q20" s="185"/>
      <c r="R20" s="185"/>
      <c r="S20" s="185"/>
      <c r="T20" s="223" t="s">
        <v>105</v>
      </c>
      <c r="U20" s="185"/>
      <c r="V20" s="182"/>
      <c r="W20" s="185"/>
      <c r="X20" s="5"/>
    </row>
    <row r="21" spans="1:24" ht="15.6" x14ac:dyDescent="0.3">
      <c r="A21" s="183"/>
      <c r="B21" s="185"/>
      <c r="C21" s="185"/>
      <c r="D21" s="185"/>
      <c r="E21" s="185"/>
      <c r="F21" s="185"/>
      <c r="G21" s="185"/>
      <c r="H21" s="185"/>
      <c r="I21" s="185"/>
      <c r="J21" s="185"/>
      <c r="K21" s="185"/>
      <c r="L21" s="185"/>
      <c r="M21" s="185"/>
      <c r="N21" s="185"/>
      <c r="O21" s="185"/>
      <c r="P21" s="185"/>
      <c r="Q21" s="185"/>
      <c r="R21" s="185"/>
      <c r="S21" s="185"/>
      <c r="T21" s="185"/>
      <c r="U21" s="185"/>
      <c r="V21" s="196"/>
      <c r="W21" s="185"/>
      <c r="X21" s="5"/>
    </row>
    <row r="22" spans="1:24" ht="15.6" x14ac:dyDescent="0.3">
      <c r="A22" s="262"/>
      <c r="B22" s="263"/>
      <c r="C22" s="264"/>
      <c r="D22" s="264" t="s">
        <v>177</v>
      </c>
      <c r="E22" s="264"/>
      <c r="F22" s="264" t="s">
        <v>178</v>
      </c>
      <c r="G22" s="264"/>
      <c r="H22" s="264" t="s">
        <v>179</v>
      </c>
      <c r="I22" s="264"/>
      <c r="J22" s="264" t="s">
        <v>220</v>
      </c>
      <c r="K22" s="264"/>
      <c r="L22" s="264" t="s">
        <v>180</v>
      </c>
      <c r="M22" s="264"/>
      <c r="N22" s="264" t="s">
        <v>181</v>
      </c>
      <c r="O22" s="264"/>
      <c r="P22" s="264" t="s">
        <v>221</v>
      </c>
      <c r="Q22" s="264"/>
      <c r="R22" s="264" t="s">
        <v>182</v>
      </c>
      <c r="S22" s="266"/>
      <c r="T22" s="266"/>
      <c r="U22" s="267"/>
      <c r="V22" s="267"/>
      <c r="W22" s="263"/>
      <c r="X22" s="5"/>
    </row>
    <row r="23" spans="1:24" ht="15.6" x14ac:dyDescent="0.3">
      <c r="A23" s="287"/>
      <c r="B23" s="288" t="s">
        <v>7</v>
      </c>
      <c r="C23" s="289"/>
      <c r="D23" s="289" t="s">
        <v>213</v>
      </c>
      <c r="E23" s="289"/>
      <c r="F23" s="289" t="s">
        <v>141</v>
      </c>
      <c r="G23" s="289"/>
      <c r="H23" s="289" t="s">
        <v>141</v>
      </c>
      <c r="I23" s="289"/>
      <c r="J23" s="289" t="s">
        <v>141</v>
      </c>
      <c r="K23" s="289"/>
      <c r="L23" s="289" t="s">
        <v>183</v>
      </c>
      <c r="M23" s="289"/>
      <c r="N23" s="289" t="s">
        <v>183</v>
      </c>
      <c r="O23" s="289"/>
      <c r="P23" s="289" t="s">
        <v>142</v>
      </c>
      <c r="Q23" s="289"/>
      <c r="R23" s="289" t="s">
        <v>142</v>
      </c>
      <c r="S23" s="289"/>
      <c r="T23" s="289"/>
      <c r="U23" s="290"/>
      <c r="V23" s="290"/>
      <c r="W23" s="291"/>
      <c r="X23" s="5"/>
    </row>
    <row r="24" spans="1:24" ht="15.6" x14ac:dyDescent="0.3">
      <c r="A24" s="287"/>
      <c r="B24" s="288" t="s">
        <v>8</v>
      </c>
      <c r="C24" s="289"/>
      <c r="D24" s="289" t="s">
        <v>214</v>
      </c>
      <c r="E24" s="289"/>
      <c r="F24" s="289" t="s">
        <v>143</v>
      </c>
      <c r="G24" s="289"/>
      <c r="H24" s="289" t="s">
        <v>143</v>
      </c>
      <c r="I24" s="289"/>
      <c r="J24" s="289" t="s">
        <v>143</v>
      </c>
      <c r="K24" s="289"/>
      <c r="L24" s="289" t="s">
        <v>165</v>
      </c>
      <c r="M24" s="289"/>
      <c r="N24" s="289" t="s">
        <v>165</v>
      </c>
      <c r="O24" s="289"/>
      <c r="P24" s="289" t="s">
        <v>144</v>
      </c>
      <c r="Q24" s="289"/>
      <c r="R24" s="289" t="s">
        <v>144</v>
      </c>
      <c r="S24" s="289"/>
      <c r="T24" s="289"/>
      <c r="U24" s="290"/>
      <c r="V24" s="290"/>
      <c r="W24" s="291"/>
      <c r="X24" s="5"/>
    </row>
    <row r="25" spans="1:24" ht="15.6" x14ac:dyDescent="0.3">
      <c r="A25" s="292"/>
      <c r="B25" s="288" t="s">
        <v>190</v>
      </c>
      <c r="C25" s="398"/>
      <c r="D25" s="289" t="s">
        <v>215</v>
      </c>
      <c r="E25" s="289"/>
      <c r="F25" s="289" t="s">
        <v>143</v>
      </c>
      <c r="G25" s="289"/>
      <c r="H25" s="289" t="s">
        <v>143</v>
      </c>
      <c r="I25" s="289"/>
      <c r="J25" s="289" t="s">
        <v>143</v>
      </c>
      <c r="K25" s="289"/>
      <c r="L25" s="289" t="s">
        <v>293</v>
      </c>
      <c r="M25" s="289"/>
      <c r="N25" s="289" t="s">
        <v>293</v>
      </c>
      <c r="O25" s="289"/>
      <c r="P25" s="289" t="s">
        <v>144</v>
      </c>
      <c r="Q25" s="289"/>
      <c r="R25" s="289" t="s">
        <v>144</v>
      </c>
      <c r="S25" s="398"/>
      <c r="T25" s="289"/>
      <c r="U25" s="290"/>
      <c r="V25" s="290"/>
      <c r="W25" s="291"/>
      <c r="X25" s="5"/>
    </row>
    <row r="26" spans="1:24" ht="15.6" x14ac:dyDescent="0.3">
      <c r="A26" s="292"/>
      <c r="B26" s="295" t="s">
        <v>9</v>
      </c>
      <c r="C26" s="398"/>
      <c r="D26" s="398" t="s">
        <v>332</v>
      </c>
      <c r="E26" s="398"/>
      <c r="F26" s="398" t="s">
        <v>333</v>
      </c>
      <c r="G26" s="398"/>
      <c r="H26" s="398" t="s">
        <v>333</v>
      </c>
      <c r="I26" s="398"/>
      <c r="J26" s="398" t="s">
        <v>333</v>
      </c>
      <c r="K26" s="398"/>
      <c r="L26" s="398" t="s">
        <v>334</v>
      </c>
      <c r="M26" s="398"/>
      <c r="N26" s="398" t="s">
        <v>334</v>
      </c>
      <c r="O26" s="398"/>
      <c r="P26" s="398" t="s">
        <v>335</v>
      </c>
      <c r="Q26" s="398"/>
      <c r="R26" s="398" t="s">
        <v>335</v>
      </c>
      <c r="S26" s="398"/>
      <c r="T26" s="289"/>
      <c r="U26" s="290"/>
      <c r="V26" s="290"/>
      <c r="W26" s="291"/>
      <c r="X26" s="5"/>
    </row>
    <row r="27" spans="1:24" ht="15.6" x14ac:dyDescent="0.3">
      <c r="A27" s="287"/>
      <c r="B27" s="295" t="s">
        <v>191</v>
      </c>
      <c r="C27" s="289"/>
      <c r="D27" s="398" t="s">
        <v>317</v>
      </c>
      <c r="E27" s="398"/>
      <c r="F27" s="398" t="s">
        <v>143</v>
      </c>
      <c r="G27" s="398"/>
      <c r="H27" s="398" t="s">
        <v>143</v>
      </c>
      <c r="I27" s="398"/>
      <c r="J27" s="398" t="s">
        <v>143</v>
      </c>
      <c r="K27" s="398"/>
      <c r="L27" s="398" t="s">
        <v>319</v>
      </c>
      <c r="M27" s="398"/>
      <c r="N27" s="398" t="s">
        <v>319</v>
      </c>
      <c r="O27" s="398"/>
      <c r="P27" s="398" t="s">
        <v>320</v>
      </c>
      <c r="Q27" s="398"/>
      <c r="R27" s="398" t="s">
        <v>320</v>
      </c>
      <c r="S27" s="289"/>
      <c r="T27" s="296"/>
      <c r="U27" s="290"/>
      <c r="V27" s="290"/>
      <c r="W27" s="291"/>
      <c r="X27" s="5"/>
    </row>
    <row r="28" spans="1:24" ht="15.6" x14ac:dyDescent="0.3">
      <c r="A28" s="287"/>
      <c r="B28" s="295" t="s">
        <v>192</v>
      </c>
      <c r="C28" s="289"/>
      <c r="D28" s="398" t="s">
        <v>350</v>
      </c>
      <c r="E28" s="398"/>
      <c r="F28" s="398" t="s">
        <v>143</v>
      </c>
      <c r="G28" s="398"/>
      <c r="H28" s="398" t="s">
        <v>143</v>
      </c>
      <c r="I28" s="398"/>
      <c r="J28" s="398" t="s">
        <v>143</v>
      </c>
      <c r="K28" s="398"/>
      <c r="L28" s="398" t="s">
        <v>293</v>
      </c>
      <c r="M28" s="398"/>
      <c r="N28" s="398" t="s">
        <v>293</v>
      </c>
      <c r="O28" s="398"/>
      <c r="P28" s="398" t="s">
        <v>337</v>
      </c>
      <c r="Q28" s="398"/>
      <c r="R28" s="398" t="s">
        <v>337</v>
      </c>
      <c r="S28" s="289"/>
      <c r="T28" s="296"/>
      <c r="U28" s="290"/>
      <c r="V28" s="290"/>
      <c r="W28" s="291"/>
      <c r="X28" s="5"/>
    </row>
    <row r="29" spans="1:24" ht="15.6" x14ac:dyDescent="0.3">
      <c r="A29" s="287"/>
      <c r="B29" s="288" t="s">
        <v>10</v>
      </c>
      <c r="C29" s="298"/>
      <c r="D29" s="289" t="s">
        <v>249</v>
      </c>
      <c r="E29" s="289"/>
      <c r="F29" s="296" t="s">
        <v>250</v>
      </c>
      <c r="G29" s="289"/>
      <c r="H29" s="289" t="s">
        <v>251</v>
      </c>
      <c r="I29" s="289"/>
      <c r="J29" s="289" t="s">
        <v>253</v>
      </c>
      <c r="K29" s="289"/>
      <c r="L29" s="289" t="s">
        <v>254</v>
      </c>
      <c r="M29" s="289"/>
      <c r="N29" s="289" t="s">
        <v>255</v>
      </c>
      <c r="O29" s="289"/>
      <c r="P29" s="289" t="s">
        <v>256</v>
      </c>
      <c r="Q29" s="289"/>
      <c r="R29" s="289" t="s">
        <v>257</v>
      </c>
      <c r="S29" s="299"/>
      <c r="T29" s="299"/>
      <c r="U29" s="300"/>
      <c r="V29" s="299"/>
      <c r="W29" s="301"/>
      <c r="X29" s="5"/>
    </row>
    <row r="30" spans="1:24" ht="15.6" x14ac:dyDescent="0.3">
      <c r="A30" s="287"/>
      <c r="B30" s="288" t="s">
        <v>10</v>
      </c>
      <c r="C30" s="298"/>
      <c r="D30" s="289" t="s">
        <v>248</v>
      </c>
      <c r="E30" s="289"/>
      <c r="F30" s="296" t="s">
        <v>118</v>
      </c>
      <c r="G30" s="289"/>
      <c r="H30" s="289" t="s">
        <v>118</v>
      </c>
      <c r="I30" s="289"/>
      <c r="J30" s="289" t="s">
        <v>252</v>
      </c>
      <c r="K30" s="289"/>
      <c r="L30" s="289" t="s">
        <v>118</v>
      </c>
      <c r="M30" s="289"/>
      <c r="N30" s="289" t="s">
        <v>118</v>
      </c>
      <c r="O30" s="289"/>
      <c r="P30" s="289" t="s">
        <v>118</v>
      </c>
      <c r="Q30" s="289"/>
      <c r="R30" s="289" t="s">
        <v>118</v>
      </c>
      <c r="S30" s="299"/>
      <c r="T30" s="299"/>
      <c r="U30" s="300"/>
      <c r="V30" s="299"/>
      <c r="W30" s="301"/>
      <c r="X30" s="5"/>
    </row>
    <row r="31" spans="1:24" ht="15.6" x14ac:dyDescent="0.3">
      <c r="A31" s="292"/>
      <c r="B31" s="288" t="s">
        <v>133</v>
      </c>
      <c r="C31" s="302"/>
      <c r="D31" s="303">
        <v>1500000</v>
      </c>
      <c r="E31" s="298"/>
      <c r="F31" s="299">
        <v>125000</v>
      </c>
      <c r="G31" s="299"/>
      <c r="H31" s="304">
        <v>246000</v>
      </c>
      <c r="I31" s="304"/>
      <c r="J31" s="303">
        <v>400000</v>
      </c>
      <c r="K31" s="299"/>
      <c r="L31" s="299">
        <v>51900</v>
      </c>
      <c r="M31" s="299"/>
      <c r="N31" s="304">
        <v>88800</v>
      </c>
      <c r="O31" s="299"/>
      <c r="P31" s="299">
        <v>20000</v>
      </c>
      <c r="Q31" s="299"/>
      <c r="R31" s="304">
        <v>135500</v>
      </c>
      <c r="S31" s="305"/>
      <c r="T31" s="305"/>
      <c r="U31" s="306"/>
      <c r="V31" s="305"/>
      <c r="W31" s="301"/>
      <c r="X31" s="5"/>
    </row>
    <row r="32" spans="1:24" ht="15.6" x14ac:dyDescent="0.3">
      <c r="A32" s="287"/>
      <c r="B32" s="288" t="s">
        <v>132</v>
      </c>
      <c r="C32" s="298"/>
      <c r="D32" s="303">
        <f>D31*D38</f>
        <v>942006.45</v>
      </c>
      <c r="E32" s="298"/>
      <c r="F32" s="299">
        <f>F31*F38</f>
        <v>78500.700000000012</v>
      </c>
      <c r="G32" s="299"/>
      <c r="H32" s="304">
        <f>H31*H38</f>
        <v>154489.37760000001</v>
      </c>
      <c r="I32" s="304"/>
      <c r="J32" s="303">
        <f>J31*J38</f>
        <v>251201.71999999997</v>
      </c>
      <c r="K32" s="299"/>
      <c r="L32" s="299">
        <f>+L31</f>
        <v>51900</v>
      </c>
      <c r="M32" s="299"/>
      <c r="N32" s="304">
        <f>+N31</f>
        <v>88800</v>
      </c>
      <c r="O32" s="299"/>
      <c r="P32" s="299">
        <f>+P31</f>
        <v>20000</v>
      </c>
      <c r="Q32" s="299"/>
      <c r="R32" s="304">
        <f>+R31</f>
        <v>135500</v>
      </c>
      <c r="S32" s="299"/>
      <c r="T32" s="299"/>
      <c r="U32" s="300"/>
      <c r="V32" s="299"/>
      <c r="W32" s="301"/>
      <c r="X32" s="5"/>
    </row>
    <row r="33" spans="1:24" ht="15.6" x14ac:dyDescent="0.3">
      <c r="A33" s="287"/>
      <c r="B33" s="295" t="s">
        <v>134</v>
      </c>
      <c r="C33" s="298"/>
      <c r="D33" s="307">
        <f>D37*D31</f>
        <v>929310.9</v>
      </c>
      <c r="E33" s="302"/>
      <c r="F33" s="305">
        <f>F37*F31</f>
        <v>77442.75</v>
      </c>
      <c r="G33" s="305"/>
      <c r="H33" s="308">
        <f>H31*H37</f>
        <v>152407.33199999999</v>
      </c>
      <c r="I33" s="308"/>
      <c r="J33" s="307">
        <f>J37*J31</f>
        <v>247816.24</v>
      </c>
      <c r="K33" s="305"/>
      <c r="L33" s="305">
        <f>L31*L37</f>
        <v>51900</v>
      </c>
      <c r="M33" s="305"/>
      <c r="N33" s="308">
        <f>N31*N37</f>
        <v>88800</v>
      </c>
      <c r="O33" s="305"/>
      <c r="P33" s="305">
        <f>P31*P37</f>
        <v>20000</v>
      </c>
      <c r="Q33" s="305"/>
      <c r="R33" s="308">
        <f>R31*R37</f>
        <v>135500</v>
      </c>
      <c r="S33" s="299"/>
      <c r="T33" s="299"/>
      <c r="U33" s="300"/>
      <c r="V33" s="299"/>
      <c r="W33" s="301"/>
      <c r="X33" s="5"/>
    </row>
    <row r="34" spans="1:24" ht="15.6" x14ac:dyDescent="0.3">
      <c r="A34" s="292"/>
      <c r="B34" s="288" t="s">
        <v>296</v>
      </c>
      <c r="C34" s="302"/>
      <c r="D34" s="299">
        <v>775194</v>
      </c>
      <c r="E34" s="298"/>
      <c r="F34" s="299">
        <v>125000</v>
      </c>
      <c r="G34" s="299"/>
      <c r="H34" s="299">
        <v>168148</v>
      </c>
      <c r="I34" s="299"/>
      <c r="J34" s="299">
        <v>206718</v>
      </c>
      <c r="K34" s="299"/>
      <c r="L34" s="299">
        <v>51900</v>
      </c>
      <c r="M34" s="299"/>
      <c r="N34" s="299">
        <v>60697</v>
      </c>
      <c r="O34" s="299"/>
      <c r="P34" s="299">
        <v>20000</v>
      </c>
      <c r="Q34" s="299"/>
      <c r="R34" s="299">
        <v>92618</v>
      </c>
      <c r="S34" s="305"/>
      <c r="T34" s="305"/>
      <c r="U34" s="306"/>
      <c r="V34" s="299">
        <f>SUM(C34:R34)</f>
        <v>1500275</v>
      </c>
      <c r="W34" s="301"/>
      <c r="X34" s="5"/>
    </row>
    <row r="35" spans="1:24" ht="15.6" x14ac:dyDescent="0.3">
      <c r="A35" s="292"/>
      <c r="B35" s="288" t="s">
        <v>297</v>
      </c>
      <c r="C35" s="302"/>
      <c r="D35" s="299">
        <f>D34*D38</f>
        <v>486825.16533419996</v>
      </c>
      <c r="E35" s="298"/>
      <c r="F35" s="299">
        <f>F34*F38</f>
        <v>78500.700000000012</v>
      </c>
      <c r="G35" s="299"/>
      <c r="H35" s="299">
        <f>H34*H38</f>
        <v>105597.88562880001</v>
      </c>
      <c r="I35" s="299"/>
      <c r="J35" s="299">
        <f>J34*J38</f>
        <v>129819.79288739999</v>
      </c>
      <c r="K35" s="299"/>
      <c r="L35" s="299">
        <f>+L34</f>
        <v>51900</v>
      </c>
      <c r="M35" s="299"/>
      <c r="N35" s="299">
        <f>+N34</f>
        <v>60697</v>
      </c>
      <c r="O35" s="299"/>
      <c r="P35" s="299">
        <f>+P34</f>
        <v>20000</v>
      </c>
      <c r="Q35" s="299"/>
      <c r="R35" s="299">
        <f>+R34</f>
        <v>92618</v>
      </c>
      <c r="S35" s="299"/>
      <c r="T35" s="299"/>
      <c r="U35" s="300"/>
      <c r="V35" s="299">
        <f>SUM(C35:R35)</f>
        <v>1025958.5438504</v>
      </c>
      <c r="W35" s="301"/>
      <c r="X35" s="5"/>
    </row>
    <row r="36" spans="1:24" ht="15.6" x14ac:dyDescent="0.3">
      <c r="A36" s="292"/>
      <c r="B36" s="295" t="s">
        <v>298</v>
      </c>
      <c r="C36" s="302"/>
      <c r="D36" s="305">
        <f>D34*D37</f>
        <v>480264.15587640001</v>
      </c>
      <c r="E36" s="302"/>
      <c r="F36" s="305">
        <f>F34*F37</f>
        <v>77442.75</v>
      </c>
      <c r="G36" s="305"/>
      <c r="H36" s="305">
        <f>H34*H37</f>
        <v>104174.74821600001</v>
      </c>
      <c r="I36" s="305"/>
      <c r="J36" s="305">
        <f>J34*J37</f>
        <v>128070.1937508</v>
      </c>
      <c r="K36" s="305"/>
      <c r="L36" s="305">
        <f>L34*L37</f>
        <v>51900</v>
      </c>
      <c r="M36" s="305"/>
      <c r="N36" s="305">
        <f>N34*N37</f>
        <v>60697</v>
      </c>
      <c r="O36" s="305"/>
      <c r="P36" s="305">
        <f>P34*P37</f>
        <v>20000</v>
      </c>
      <c r="Q36" s="305"/>
      <c r="R36" s="305">
        <f>R34*R37</f>
        <v>92618</v>
      </c>
      <c r="S36" s="328"/>
      <c r="T36" s="328"/>
      <c r="U36" s="300"/>
      <c r="V36" s="305">
        <f>SUM(C36:R36)</f>
        <v>1015166.8478432</v>
      </c>
      <c r="W36" s="301"/>
      <c r="X36" s="5"/>
    </row>
    <row r="37" spans="1:24" ht="15.6" x14ac:dyDescent="0.3">
      <c r="A37" s="287"/>
      <c r="B37" s="313" t="s">
        <v>130</v>
      </c>
      <c r="C37" s="314"/>
      <c r="D37" s="315">
        <v>0.6195406</v>
      </c>
      <c r="E37" s="315"/>
      <c r="F37" s="315">
        <v>0.61954200000000004</v>
      </c>
      <c r="G37" s="315"/>
      <c r="H37" s="315">
        <v>0.61954200000000004</v>
      </c>
      <c r="I37" s="315"/>
      <c r="J37" s="315">
        <v>0.6195406</v>
      </c>
      <c r="K37" s="315"/>
      <c r="L37" s="315">
        <v>1</v>
      </c>
      <c r="M37" s="315"/>
      <c r="N37" s="315">
        <v>1</v>
      </c>
      <c r="O37" s="315"/>
      <c r="P37" s="315">
        <v>1</v>
      </c>
      <c r="Q37" s="315"/>
      <c r="R37" s="315">
        <v>1</v>
      </c>
      <c r="S37" s="316"/>
      <c r="T37" s="316"/>
      <c r="U37" s="317"/>
      <c r="V37" s="317"/>
      <c r="W37" s="318"/>
      <c r="X37" s="5"/>
    </row>
    <row r="38" spans="1:24" ht="15.6" x14ac:dyDescent="0.3">
      <c r="A38" s="287"/>
      <c r="B38" s="313" t="s">
        <v>131</v>
      </c>
      <c r="C38" s="314"/>
      <c r="D38" s="315">
        <v>0.62800429999999996</v>
      </c>
      <c r="E38" s="315"/>
      <c r="F38" s="315">
        <v>0.62800560000000005</v>
      </c>
      <c r="G38" s="315"/>
      <c r="H38" s="315">
        <v>0.62800560000000005</v>
      </c>
      <c r="I38" s="315"/>
      <c r="J38" s="315">
        <v>0.62800429999999996</v>
      </c>
      <c r="K38" s="315"/>
      <c r="L38" s="315">
        <v>1</v>
      </c>
      <c r="M38" s="315"/>
      <c r="N38" s="315">
        <v>1</v>
      </c>
      <c r="O38" s="315"/>
      <c r="P38" s="315">
        <v>1</v>
      </c>
      <c r="Q38" s="315"/>
      <c r="R38" s="315">
        <v>1</v>
      </c>
      <c r="S38" s="319"/>
      <c r="T38" s="320"/>
      <c r="U38" s="317"/>
      <c r="V38" s="319"/>
      <c r="W38" s="318"/>
      <c r="X38" s="5"/>
    </row>
    <row r="39" spans="1:24" ht="15.6" x14ac:dyDescent="0.3">
      <c r="A39" s="287"/>
      <c r="B39" s="288" t="s">
        <v>11</v>
      </c>
      <c r="C39" s="288"/>
      <c r="D39" s="296" t="s">
        <v>321</v>
      </c>
      <c r="E39" s="288"/>
      <c r="F39" s="296" t="s">
        <v>231</v>
      </c>
      <c r="G39" s="296"/>
      <c r="H39" s="296" t="s">
        <v>231</v>
      </c>
      <c r="I39" s="296"/>
      <c r="J39" s="296" t="s">
        <v>231</v>
      </c>
      <c r="K39" s="296"/>
      <c r="L39" s="296" t="s">
        <v>265</v>
      </c>
      <c r="M39" s="296"/>
      <c r="N39" s="296" t="s">
        <v>265</v>
      </c>
      <c r="O39" s="296"/>
      <c r="P39" s="296" t="s">
        <v>266</v>
      </c>
      <c r="Q39" s="296"/>
      <c r="R39" s="296" t="s">
        <v>266</v>
      </c>
      <c r="S39" s="321"/>
      <c r="T39" s="322"/>
      <c r="U39" s="290"/>
      <c r="V39" s="290"/>
      <c r="W39" s="291"/>
      <c r="X39" s="5"/>
    </row>
    <row r="40" spans="1:24" ht="15.6" x14ac:dyDescent="0.3">
      <c r="A40" s="287"/>
      <c r="B40" s="288" t="s">
        <v>12</v>
      </c>
      <c r="C40" s="288"/>
      <c r="D40" s="322">
        <v>3.8560000000000001E-3</v>
      </c>
      <c r="E40" s="288"/>
      <c r="F40" s="322">
        <v>7.6400000000000001E-3</v>
      </c>
      <c r="G40" s="321"/>
      <c r="H40" s="322">
        <v>2.2699999999999999E-3</v>
      </c>
      <c r="I40" s="322"/>
      <c r="J40" s="322">
        <v>4.7060000000000001E-3</v>
      </c>
      <c r="K40" s="321"/>
      <c r="L40" s="322">
        <v>9.2399999999999999E-3</v>
      </c>
      <c r="M40" s="321"/>
      <c r="N40" s="322">
        <v>3.8700000000000002E-3</v>
      </c>
      <c r="O40" s="321"/>
      <c r="P40" s="322">
        <v>1.324E-2</v>
      </c>
      <c r="Q40" s="321"/>
      <c r="R40" s="322">
        <v>7.8700000000000003E-3</v>
      </c>
      <c r="S40" s="321"/>
      <c r="T40" s="322"/>
      <c r="U40" s="290"/>
      <c r="V40" s="296"/>
      <c r="W40" s="291"/>
      <c r="X40" s="5"/>
    </row>
    <row r="41" spans="1:24" ht="15.6" x14ac:dyDescent="0.3">
      <c r="A41" s="287"/>
      <c r="B41" s="288" t="s">
        <v>13</v>
      </c>
      <c r="C41" s="288"/>
      <c r="D41" s="322">
        <v>3.7299999999999998E-3</v>
      </c>
      <c r="E41" s="288"/>
      <c r="F41" s="322">
        <v>7.6024999999999999E-3</v>
      </c>
      <c r="G41" s="321"/>
      <c r="H41" s="322">
        <v>2.82E-3</v>
      </c>
      <c r="I41" s="322"/>
      <c r="J41" s="322">
        <v>4.4060000000000002E-3</v>
      </c>
      <c r="K41" s="321"/>
      <c r="L41" s="322">
        <v>9.2025000000000006E-3</v>
      </c>
      <c r="M41" s="321"/>
      <c r="N41" s="322">
        <v>4.4200000000000003E-3</v>
      </c>
      <c r="O41" s="321"/>
      <c r="P41" s="322">
        <v>1.3202500000000001E-2</v>
      </c>
      <c r="Q41" s="321"/>
      <c r="R41" s="322">
        <v>8.4200000000000004E-3</v>
      </c>
      <c r="S41" s="321"/>
      <c r="T41" s="322"/>
      <c r="U41" s="290"/>
      <c r="V41" s="321" t="s">
        <v>193</v>
      </c>
      <c r="W41" s="291"/>
      <c r="X41" s="5"/>
    </row>
    <row r="42" spans="1:24" ht="15.6" x14ac:dyDescent="0.3">
      <c r="A42" s="287"/>
      <c r="B42" s="288" t="s">
        <v>299</v>
      </c>
      <c r="C42" s="288"/>
      <c r="D42" s="296" t="s">
        <v>322</v>
      </c>
      <c r="E42" s="288"/>
      <c r="F42" s="296" t="s">
        <v>231</v>
      </c>
      <c r="G42" s="296"/>
      <c r="H42" s="296" t="s">
        <v>323</v>
      </c>
      <c r="I42" s="296"/>
      <c r="J42" s="296" t="s">
        <v>324</v>
      </c>
      <c r="K42" s="296"/>
      <c r="L42" s="296" t="s">
        <v>265</v>
      </c>
      <c r="M42" s="296"/>
      <c r="N42" s="296" t="s">
        <v>234</v>
      </c>
      <c r="O42" s="296"/>
      <c r="P42" s="296" t="s">
        <v>266</v>
      </c>
      <c r="Q42" s="296"/>
      <c r="R42" s="296" t="s">
        <v>264</v>
      </c>
      <c r="S42" s="321"/>
      <c r="T42" s="322"/>
      <c r="U42" s="290"/>
      <c r="V42" s="290"/>
      <c r="W42" s="291"/>
      <c r="X42" s="5"/>
    </row>
    <row r="43" spans="1:24" ht="15.6" x14ac:dyDescent="0.3">
      <c r="A43" s="287"/>
      <c r="B43" s="288" t="s">
        <v>300</v>
      </c>
      <c r="C43" s="323"/>
      <c r="D43" s="322">
        <v>8.0140000000000003E-3</v>
      </c>
      <c r="E43" s="322"/>
      <c r="F43" s="322">
        <f>+F40</f>
        <v>7.6400000000000001E-3</v>
      </c>
      <c r="G43" s="322"/>
      <c r="H43" s="322">
        <v>7.92E-3</v>
      </c>
      <c r="I43" s="322"/>
      <c r="J43" s="322">
        <v>8.3660000000000002E-3</v>
      </c>
      <c r="K43" s="322"/>
      <c r="L43" s="322">
        <f>+L40</f>
        <v>9.2399999999999999E-3</v>
      </c>
      <c r="M43" s="322"/>
      <c r="N43" s="322">
        <v>9.8320000000000005E-3</v>
      </c>
      <c r="O43" s="322"/>
      <c r="P43" s="322">
        <f>+P40</f>
        <v>1.324E-2</v>
      </c>
      <c r="Q43" s="321"/>
      <c r="R43" s="322">
        <v>1.4305999999999999E-2</v>
      </c>
      <c r="S43" s="296"/>
      <c r="T43" s="296"/>
      <c r="U43" s="290"/>
      <c r="V43" s="321">
        <f>SUMPRODUCT(D43:R43,D35:R35)/V35</f>
        <v>8.8597067892733257E-3</v>
      </c>
      <c r="W43" s="291"/>
      <c r="X43" s="5"/>
    </row>
    <row r="44" spans="1:24" ht="15.6" x14ac:dyDescent="0.3">
      <c r="A44" s="287"/>
      <c r="B44" s="288" t="s">
        <v>301</v>
      </c>
      <c r="C44" s="323"/>
      <c r="D44" s="322">
        <v>7.9764999999999992E-3</v>
      </c>
      <c r="E44" s="322"/>
      <c r="F44" s="322">
        <f>+F41</f>
        <v>7.6024999999999999E-3</v>
      </c>
      <c r="G44" s="322"/>
      <c r="H44" s="322">
        <v>7.8825000000000006E-3</v>
      </c>
      <c r="I44" s="322"/>
      <c r="J44" s="322">
        <v>8.3285000000000008E-3</v>
      </c>
      <c r="K44" s="322"/>
      <c r="L44" s="322">
        <f>+L41</f>
        <v>9.2025000000000006E-3</v>
      </c>
      <c r="M44" s="322"/>
      <c r="N44" s="322">
        <v>9.7944999999999994E-3</v>
      </c>
      <c r="O44" s="322"/>
      <c r="P44" s="322">
        <f>+P41</f>
        <v>1.3202500000000001E-2</v>
      </c>
      <c r="Q44" s="321"/>
      <c r="R44" s="322">
        <v>1.42685E-2</v>
      </c>
      <c r="S44" s="296"/>
      <c r="T44" s="296"/>
      <c r="U44" s="290"/>
      <c r="V44" s="290"/>
      <c r="W44" s="291"/>
      <c r="X44" s="5"/>
    </row>
    <row r="45" spans="1:24" ht="15.6" x14ac:dyDescent="0.3">
      <c r="A45" s="287"/>
      <c r="B45" s="288" t="s">
        <v>14</v>
      </c>
      <c r="C45" s="288"/>
      <c r="D45" s="323">
        <v>40617</v>
      </c>
      <c r="E45" s="323"/>
      <c r="F45" s="323">
        <v>40617</v>
      </c>
      <c r="G45" s="323"/>
      <c r="H45" s="323">
        <v>40617</v>
      </c>
      <c r="I45" s="323"/>
      <c r="J45" s="323">
        <v>40617</v>
      </c>
      <c r="K45" s="323"/>
      <c r="L45" s="323">
        <v>40617</v>
      </c>
      <c r="M45" s="323"/>
      <c r="N45" s="323">
        <v>40617</v>
      </c>
      <c r="O45" s="323"/>
      <c r="P45" s="323">
        <v>40617</v>
      </c>
      <c r="Q45" s="323"/>
      <c r="R45" s="323">
        <v>40617</v>
      </c>
      <c r="S45" s="296"/>
      <c r="T45" s="296"/>
      <c r="U45" s="290"/>
      <c r="V45" s="290"/>
      <c r="W45" s="291"/>
      <c r="X45" s="5"/>
    </row>
    <row r="46" spans="1:24" ht="15.6" x14ac:dyDescent="0.3">
      <c r="A46" s="287"/>
      <c r="B46" s="288" t="s">
        <v>15</v>
      </c>
      <c r="C46" s="288"/>
      <c r="D46" s="323">
        <v>40983</v>
      </c>
      <c r="E46" s="323"/>
      <c r="F46" s="323">
        <v>40983</v>
      </c>
      <c r="G46" s="323"/>
      <c r="H46" s="323">
        <v>40983</v>
      </c>
      <c r="I46" s="323"/>
      <c r="J46" s="323">
        <v>40983</v>
      </c>
      <c r="K46" s="296"/>
      <c r="L46" s="323">
        <v>40983</v>
      </c>
      <c r="M46" s="296"/>
      <c r="N46" s="323">
        <v>40983</v>
      </c>
      <c r="O46" s="296"/>
      <c r="P46" s="323">
        <v>40983</v>
      </c>
      <c r="Q46" s="296"/>
      <c r="R46" s="323">
        <v>40983</v>
      </c>
      <c r="S46" s="296"/>
      <c r="T46" s="296"/>
      <c r="U46" s="290"/>
      <c r="V46" s="290"/>
      <c r="W46" s="291"/>
      <c r="X46" s="5"/>
    </row>
    <row r="47" spans="1:24" ht="15.6" x14ac:dyDescent="0.3">
      <c r="A47" s="287"/>
      <c r="B47" s="288" t="s">
        <v>119</v>
      </c>
      <c r="C47" s="288"/>
      <c r="D47" s="296" t="s">
        <v>231</v>
      </c>
      <c r="E47" s="288"/>
      <c r="F47" s="296" t="s">
        <v>231</v>
      </c>
      <c r="G47" s="296"/>
      <c r="H47" s="296" t="s">
        <v>231</v>
      </c>
      <c r="I47" s="296"/>
      <c r="J47" s="296" t="s">
        <v>231</v>
      </c>
      <c r="K47" s="296"/>
      <c r="L47" s="296" t="s">
        <v>265</v>
      </c>
      <c r="M47" s="296"/>
      <c r="N47" s="296" t="s">
        <v>265</v>
      </c>
      <c r="O47" s="296"/>
      <c r="P47" s="296" t="s">
        <v>266</v>
      </c>
      <c r="Q47" s="296"/>
      <c r="R47" s="296" t="s">
        <v>266</v>
      </c>
      <c r="S47" s="325"/>
      <c r="T47" s="325"/>
      <c r="U47" s="325"/>
      <c r="V47" s="325"/>
      <c r="W47" s="291"/>
      <c r="X47" s="5"/>
    </row>
    <row r="48" spans="1:24" ht="15.6" x14ac:dyDescent="0.3">
      <c r="A48" s="287"/>
      <c r="B48" s="288" t="s">
        <v>302</v>
      </c>
      <c r="C48" s="288"/>
      <c r="D48" s="296" t="s">
        <v>325</v>
      </c>
      <c r="E48" s="288"/>
      <c r="F48" s="296" t="s">
        <v>231</v>
      </c>
      <c r="G48" s="296"/>
      <c r="H48" s="296" t="s">
        <v>262</v>
      </c>
      <c r="I48" s="296"/>
      <c r="J48" s="296" t="s">
        <v>263</v>
      </c>
      <c r="K48" s="296"/>
      <c r="L48" s="296" t="s">
        <v>265</v>
      </c>
      <c r="M48" s="296"/>
      <c r="N48" s="296" t="s">
        <v>234</v>
      </c>
      <c r="O48" s="296"/>
      <c r="P48" s="296" t="s">
        <v>266</v>
      </c>
      <c r="Q48" s="296"/>
      <c r="R48" s="296" t="s">
        <v>264</v>
      </c>
      <c r="S48" s="288"/>
      <c r="T48" s="288"/>
      <c r="U48" s="288"/>
      <c r="V48" s="321"/>
      <c r="W48" s="291"/>
      <c r="X48" s="5"/>
    </row>
    <row r="49" spans="1:25" ht="15.6" x14ac:dyDescent="0.3">
      <c r="A49" s="287"/>
      <c r="B49" s="288"/>
      <c r="C49" s="288"/>
      <c r="D49" s="296"/>
      <c r="E49" s="288"/>
      <c r="F49" s="296"/>
      <c r="G49" s="296"/>
      <c r="H49" s="296"/>
      <c r="I49" s="296"/>
      <c r="J49" s="296"/>
      <c r="K49" s="296"/>
      <c r="L49" s="296"/>
      <c r="M49" s="296"/>
      <c r="N49" s="296"/>
      <c r="O49" s="296"/>
      <c r="P49" s="296"/>
      <c r="Q49" s="296"/>
      <c r="R49" s="296"/>
      <c r="S49" s="288"/>
      <c r="T49" s="288"/>
      <c r="U49" s="288"/>
      <c r="V49" s="321" t="s">
        <v>193</v>
      </c>
      <c r="W49" s="291"/>
      <c r="X49" s="5"/>
    </row>
    <row r="50" spans="1:25" ht="15.6" x14ac:dyDescent="0.3">
      <c r="A50" s="287"/>
      <c r="B50" s="288" t="s">
        <v>169</v>
      </c>
      <c r="C50" s="288"/>
      <c r="D50" s="296"/>
      <c r="E50" s="288"/>
      <c r="F50" s="296"/>
      <c r="G50" s="296"/>
      <c r="H50" s="296"/>
      <c r="I50" s="296"/>
      <c r="J50" s="296"/>
      <c r="K50" s="296"/>
      <c r="L50" s="296"/>
      <c r="M50" s="296"/>
      <c r="N50" s="296"/>
      <c r="O50" s="296"/>
      <c r="P50" s="296"/>
      <c r="Q50" s="296"/>
      <c r="R50" s="296"/>
      <c r="S50" s="288"/>
      <c r="T50" s="288"/>
      <c r="U50" s="288"/>
      <c r="V50" s="321">
        <f>SUM(L34:R34)/SUM(D34:J34)</f>
        <v>0.17663090364375009</v>
      </c>
      <c r="W50" s="291"/>
      <c r="X50" s="5"/>
    </row>
    <row r="51" spans="1:25" ht="15.6" x14ac:dyDescent="0.3">
      <c r="A51" s="287"/>
      <c r="B51" s="288" t="s">
        <v>170</v>
      </c>
      <c r="C51" s="288"/>
      <c r="D51" s="288"/>
      <c r="E51" s="288"/>
      <c r="F51" s="326"/>
      <c r="G51" s="288"/>
      <c r="H51" s="288"/>
      <c r="I51" s="288"/>
      <c r="J51" s="288"/>
      <c r="K51" s="288"/>
      <c r="L51" s="288"/>
      <c r="M51" s="288"/>
      <c r="N51" s="288"/>
      <c r="O51" s="288"/>
      <c r="P51" s="288"/>
      <c r="Q51" s="288"/>
      <c r="R51" s="288"/>
      <c r="S51" s="288"/>
      <c r="T51" s="288"/>
      <c r="U51" s="288"/>
      <c r="V51" s="321">
        <f>SUM(L36:R36)/SUM(D36:J36)</f>
        <v>0.28509965590295527</v>
      </c>
      <c r="W51" s="291"/>
      <c r="X51" s="5"/>
    </row>
    <row r="52" spans="1:25" ht="15.6" x14ac:dyDescent="0.3">
      <c r="A52" s="287"/>
      <c r="B52" s="288" t="s">
        <v>171</v>
      </c>
      <c r="C52" s="288"/>
      <c r="D52" s="288"/>
      <c r="E52" s="288"/>
      <c r="F52" s="288"/>
      <c r="G52" s="288"/>
      <c r="H52" s="288"/>
      <c r="I52" s="288"/>
      <c r="J52" s="288"/>
      <c r="K52" s="288"/>
      <c r="L52" s="288"/>
      <c r="M52" s="288"/>
      <c r="N52" s="288"/>
      <c r="O52" s="288"/>
      <c r="P52" s="288"/>
      <c r="Q52" s="288"/>
      <c r="R52" s="288"/>
      <c r="S52" s="288"/>
      <c r="T52" s="296"/>
      <c r="U52" s="296"/>
      <c r="V52" s="299" t="s">
        <v>276</v>
      </c>
      <c r="W52" s="291"/>
      <c r="X52" s="5"/>
    </row>
    <row r="53" spans="1:25" ht="15.6" x14ac:dyDescent="0.3">
      <c r="A53" s="287"/>
      <c r="B53" s="288"/>
      <c r="C53" s="288"/>
      <c r="D53" s="288"/>
      <c r="E53" s="288"/>
      <c r="F53" s="288"/>
      <c r="G53" s="288"/>
      <c r="H53" s="288"/>
      <c r="I53" s="288"/>
      <c r="J53" s="288"/>
      <c r="K53" s="288"/>
      <c r="L53" s="288"/>
      <c r="M53" s="288"/>
      <c r="N53" s="288"/>
      <c r="O53" s="288"/>
      <c r="P53" s="288"/>
      <c r="Q53" s="288"/>
      <c r="R53" s="288"/>
      <c r="S53" s="288"/>
      <c r="T53" s="288"/>
      <c r="U53" s="288"/>
      <c r="V53" s="327"/>
      <c r="W53" s="291"/>
      <c r="X53" s="5"/>
    </row>
    <row r="54" spans="1:25" ht="15.6" x14ac:dyDescent="0.3">
      <c r="A54" s="287"/>
      <c r="B54" s="288" t="s">
        <v>202</v>
      </c>
      <c r="C54" s="288"/>
      <c r="D54" s="288"/>
      <c r="E54" s="288"/>
      <c r="F54" s="288"/>
      <c r="G54" s="288"/>
      <c r="H54" s="288"/>
      <c r="I54" s="288"/>
      <c r="J54" s="288"/>
      <c r="K54" s="288"/>
      <c r="L54" s="288"/>
      <c r="M54" s="288"/>
      <c r="N54" s="288"/>
      <c r="O54" s="288"/>
      <c r="P54" s="288"/>
      <c r="Q54" s="288"/>
      <c r="R54" s="288"/>
      <c r="S54" s="288"/>
      <c r="T54" s="288"/>
      <c r="U54" s="288"/>
      <c r="V54" s="328" t="s">
        <v>203</v>
      </c>
      <c r="W54" s="291"/>
      <c r="X54" s="5"/>
    </row>
    <row r="55" spans="1:25" ht="15.6" x14ac:dyDescent="0.3">
      <c r="A55" s="287"/>
      <c r="B55" s="288" t="s">
        <v>280</v>
      </c>
      <c r="C55" s="288"/>
      <c r="D55" s="288"/>
      <c r="E55" s="288"/>
      <c r="F55" s="288"/>
      <c r="G55" s="288"/>
      <c r="H55" s="288"/>
      <c r="I55" s="288"/>
      <c r="J55" s="288"/>
      <c r="K55" s="288"/>
      <c r="L55" s="288"/>
      <c r="M55" s="288"/>
      <c r="N55" s="288"/>
      <c r="O55" s="288"/>
      <c r="P55" s="288"/>
      <c r="Q55" s="288"/>
      <c r="R55" s="288"/>
      <c r="S55" s="288"/>
      <c r="T55" s="296"/>
      <c r="U55" s="296"/>
      <c r="V55" s="329" t="s">
        <v>111</v>
      </c>
      <c r="W55" s="291"/>
      <c r="X55" s="5"/>
    </row>
    <row r="56" spans="1:25" ht="15.6" x14ac:dyDescent="0.3">
      <c r="A56" s="287"/>
      <c r="B56" s="295" t="s">
        <v>201</v>
      </c>
      <c r="C56" s="295"/>
      <c r="D56" s="295"/>
      <c r="E56" s="295"/>
      <c r="F56" s="295"/>
      <c r="G56" s="295"/>
      <c r="H56" s="295"/>
      <c r="I56" s="295"/>
      <c r="J56" s="295"/>
      <c r="K56" s="295"/>
      <c r="L56" s="295"/>
      <c r="M56" s="295"/>
      <c r="N56" s="295"/>
      <c r="O56" s="295"/>
      <c r="P56" s="295"/>
      <c r="Q56" s="295"/>
      <c r="R56" s="295"/>
      <c r="S56" s="295"/>
      <c r="T56" s="330"/>
      <c r="U56" s="330"/>
      <c r="V56" s="331">
        <v>42170</v>
      </c>
      <c r="W56" s="291"/>
      <c r="X56" s="5"/>
    </row>
    <row r="57" spans="1:25" ht="15.6" x14ac:dyDescent="0.3">
      <c r="A57" s="287"/>
      <c r="B57" s="288" t="s">
        <v>121</v>
      </c>
      <c r="C57" s="288"/>
      <c r="D57" s="288"/>
      <c r="E57" s="288"/>
      <c r="F57" s="288"/>
      <c r="G57" s="288"/>
      <c r="H57" s="332"/>
      <c r="I57" s="332"/>
      <c r="J57" s="332"/>
      <c r="K57" s="332"/>
      <c r="L57" s="332"/>
      <c r="M57" s="332"/>
      <c r="N57" s="332"/>
      <c r="O57" s="332"/>
      <c r="P57" s="332"/>
      <c r="Q57" s="332"/>
      <c r="R57" s="288">
        <f>+V57-T57+1</f>
        <v>91</v>
      </c>
      <c r="S57" s="332"/>
      <c r="T57" s="333">
        <v>41988</v>
      </c>
      <c r="U57" s="334"/>
      <c r="V57" s="333">
        <v>42078</v>
      </c>
      <c r="W57" s="291"/>
      <c r="X57" s="5"/>
    </row>
    <row r="58" spans="1:25" ht="15.6" x14ac:dyDescent="0.3">
      <c r="A58" s="287"/>
      <c r="B58" s="288" t="s">
        <v>122</v>
      </c>
      <c r="C58" s="288"/>
      <c r="D58" s="288"/>
      <c r="E58" s="288"/>
      <c r="F58" s="288"/>
      <c r="G58" s="288"/>
      <c r="H58" s="288"/>
      <c r="I58" s="288"/>
      <c r="J58" s="288"/>
      <c r="K58" s="288"/>
      <c r="L58" s="288"/>
      <c r="M58" s="288"/>
      <c r="N58" s="288"/>
      <c r="O58" s="288"/>
      <c r="P58" s="288"/>
      <c r="Q58" s="288"/>
      <c r="R58" s="288">
        <f>+V58-T58+1</f>
        <v>91</v>
      </c>
      <c r="S58" s="288"/>
      <c r="T58" s="333">
        <v>42079</v>
      </c>
      <c r="U58" s="334"/>
      <c r="V58" s="333">
        <v>42169</v>
      </c>
      <c r="W58" s="291"/>
      <c r="X58" s="5"/>
    </row>
    <row r="59" spans="1:25" ht="15.6" x14ac:dyDescent="0.3">
      <c r="A59" s="287"/>
      <c r="B59" s="288" t="s">
        <v>229</v>
      </c>
      <c r="C59" s="288"/>
      <c r="D59" s="288"/>
      <c r="E59" s="288"/>
      <c r="F59" s="288"/>
      <c r="G59" s="288"/>
      <c r="H59" s="288"/>
      <c r="I59" s="288"/>
      <c r="J59" s="288"/>
      <c r="K59" s="288"/>
      <c r="L59" s="288"/>
      <c r="M59" s="288"/>
      <c r="N59" s="288"/>
      <c r="O59" s="288"/>
      <c r="P59" s="288"/>
      <c r="Q59" s="288"/>
      <c r="R59" s="288"/>
      <c r="S59" s="288"/>
      <c r="T59" s="333"/>
      <c r="U59" s="334"/>
      <c r="V59" s="333" t="s">
        <v>120</v>
      </c>
      <c r="W59" s="291"/>
      <c r="X59" s="5"/>
    </row>
    <row r="60" spans="1:25" ht="15.6" x14ac:dyDescent="0.3">
      <c r="A60" s="287"/>
      <c r="B60" s="288" t="s">
        <v>228</v>
      </c>
      <c r="C60" s="288"/>
      <c r="D60" s="288"/>
      <c r="E60" s="288"/>
      <c r="F60" s="288"/>
      <c r="G60" s="288"/>
      <c r="H60" s="288"/>
      <c r="I60" s="288"/>
      <c r="J60" s="288"/>
      <c r="K60" s="288"/>
      <c r="L60" s="288"/>
      <c r="M60" s="288"/>
      <c r="N60" s="288"/>
      <c r="O60" s="288"/>
      <c r="P60" s="288"/>
      <c r="Q60" s="288"/>
      <c r="R60" s="288"/>
      <c r="S60" s="288"/>
      <c r="T60" s="333"/>
      <c r="U60" s="334"/>
      <c r="V60" s="333" t="s">
        <v>154</v>
      </c>
      <c r="W60" s="291"/>
      <c r="X60" s="5"/>
      <c r="Y60" s="134"/>
    </row>
    <row r="61" spans="1:25" ht="15.6" x14ac:dyDescent="0.3">
      <c r="A61" s="287"/>
      <c r="B61" s="288" t="s">
        <v>16</v>
      </c>
      <c r="C61" s="288"/>
      <c r="D61" s="288"/>
      <c r="E61" s="288"/>
      <c r="F61" s="288"/>
      <c r="G61" s="288"/>
      <c r="H61" s="288"/>
      <c r="I61" s="288"/>
      <c r="J61" s="288"/>
      <c r="K61" s="288"/>
      <c r="L61" s="288"/>
      <c r="M61" s="288"/>
      <c r="N61" s="288"/>
      <c r="O61" s="288"/>
      <c r="P61" s="288"/>
      <c r="Q61" s="288"/>
      <c r="R61" s="288"/>
      <c r="S61" s="288"/>
      <c r="T61" s="333"/>
      <c r="U61" s="334"/>
      <c r="V61" s="333">
        <v>42156</v>
      </c>
      <c r="W61" s="291"/>
      <c r="X61" s="5"/>
    </row>
    <row r="62" spans="1:25" ht="15.6" x14ac:dyDescent="0.3">
      <c r="A62" s="183"/>
      <c r="B62" s="284"/>
      <c r="C62" s="284"/>
      <c r="D62" s="284"/>
      <c r="E62" s="284"/>
      <c r="F62" s="284"/>
      <c r="G62" s="284"/>
      <c r="H62" s="284"/>
      <c r="I62" s="284"/>
      <c r="J62" s="284"/>
      <c r="K62" s="284"/>
      <c r="L62" s="284"/>
      <c r="M62" s="284"/>
      <c r="N62" s="284"/>
      <c r="O62" s="284"/>
      <c r="P62" s="284"/>
      <c r="Q62" s="284"/>
      <c r="R62" s="284"/>
      <c r="S62" s="284"/>
      <c r="T62" s="285"/>
      <c r="U62" s="286"/>
      <c r="V62" s="285"/>
      <c r="W62" s="284"/>
      <c r="X62" s="5"/>
    </row>
    <row r="63" spans="1:25" ht="15.6" x14ac:dyDescent="0.3">
      <c r="A63" s="183"/>
      <c r="B63" s="224"/>
      <c r="C63" s="224"/>
      <c r="D63" s="224"/>
      <c r="E63" s="224"/>
      <c r="F63" s="224"/>
      <c r="G63" s="224"/>
      <c r="H63" s="224"/>
      <c r="I63" s="224"/>
      <c r="J63" s="224"/>
      <c r="K63" s="224"/>
      <c r="L63" s="224"/>
      <c r="M63" s="224"/>
      <c r="N63" s="224"/>
      <c r="O63" s="224"/>
      <c r="P63" s="224"/>
      <c r="Q63" s="224"/>
      <c r="R63" s="224"/>
      <c r="S63" s="224"/>
      <c r="T63" s="235"/>
      <c r="U63" s="236"/>
      <c r="V63" s="235"/>
      <c r="W63" s="224"/>
      <c r="X63" s="5"/>
    </row>
    <row r="64" spans="1:25" ht="18" thickBot="1" x14ac:dyDescent="0.35">
      <c r="A64" s="199"/>
      <c r="B64" s="237" t="s">
        <v>349</v>
      </c>
      <c r="C64" s="238"/>
      <c r="D64" s="238"/>
      <c r="E64" s="238"/>
      <c r="F64" s="238"/>
      <c r="G64" s="238"/>
      <c r="H64" s="238"/>
      <c r="I64" s="238"/>
      <c r="J64" s="238"/>
      <c r="K64" s="238"/>
      <c r="L64" s="238"/>
      <c r="M64" s="238"/>
      <c r="N64" s="238"/>
      <c r="O64" s="238"/>
      <c r="P64" s="238"/>
      <c r="Q64" s="238"/>
      <c r="R64" s="238"/>
      <c r="S64" s="238"/>
      <c r="T64" s="238"/>
      <c r="U64" s="238"/>
      <c r="V64" s="239"/>
      <c r="W64" s="240"/>
      <c r="X64" s="5"/>
    </row>
    <row r="65" spans="1:24" ht="15.6" x14ac:dyDescent="0.3">
      <c r="A65" s="262"/>
      <c r="B65" s="399" t="s">
        <v>17</v>
      </c>
      <c r="C65" s="263"/>
      <c r="D65" s="263"/>
      <c r="E65" s="263"/>
      <c r="F65" s="263"/>
      <c r="G65" s="263"/>
      <c r="H65" s="263"/>
      <c r="I65" s="263"/>
      <c r="J65" s="263"/>
      <c r="K65" s="263"/>
      <c r="L65" s="263"/>
      <c r="M65" s="263"/>
      <c r="N65" s="263"/>
      <c r="O65" s="263"/>
      <c r="P65" s="263"/>
      <c r="Q65" s="263"/>
      <c r="R65" s="263"/>
      <c r="S65" s="263"/>
      <c r="T65" s="263"/>
      <c r="U65" s="263"/>
      <c r="V65" s="268"/>
      <c r="W65" s="263"/>
      <c r="X65" s="5"/>
    </row>
    <row r="66" spans="1:24" ht="15.6" x14ac:dyDescent="0.3">
      <c r="A66" s="183"/>
      <c r="B66" s="191"/>
      <c r="C66" s="185"/>
      <c r="D66" s="185"/>
      <c r="E66" s="185"/>
      <c r="F66" s="185"/>
      <c r="G66" s="185"/>
      <c r="H66" s="185"/>
      <c r="I66" s="185"/>
      <c r="J66" s="185"/>
      <c r="K66" s="185"/>
      <c r="L66" s="185"/>
      <c r="M66" s="185"/>
      <c r="N66" s="185"/>
      <c r="O66" s="185"/>
      <c r="P66" s="185"/>
      <c r="Q66" s="185"/>
      <c r="R66" s="185"/>
      <c r="S66" s="185"/>
      <c r="T66" s="185"/>
      <c r="U66" s="185"/>
      <c r="V66" s="201"/>
      <c r="W66" s="185"/>
      <c r="X66" s="5"/>
    </row>
    <row r="67" spans="1:24" ht="46.8" x14ac:dyDescent="0.3">
      <c r="A67" s="183"/>
      <c r="B67" s="202" t="s">
        <v>18</v>
      </c>
      <c r="C67" s="203"/>
      <c r="D67" s="203"/>
      <c r="E67" s="203"/>
      <c r="F67" s="203"/>
      <c r="G67" s="203"/>
      <c r="H67" s="203"/>
      <c r="I67" s="203"/>
      <c r="J67" s="203"/>
      <c r="K67" s="203"/>
      <c r="L67" s="203" t="s">
        <v>94</v>
      </c>
      <c r="M67" s="203"/>
      <c r="N67" s="203" t="s">
        <v>96</v>
      </c>
      <c r="O67" s="203"/>
      <c r="P67" s="203" t="s">
        <v>98</v>
      </c>
      <c r="Q67" s="203"/>
      <c r="R67" s="203" t="s">
        <v>100</v>
      </c>
      <c r="S67" s="203"/>
      <c r="T67" s="203" t="s">
        <v>106</v>
      </c>
      <c r="U67" s="203"/>
      <c r="V67" s="204" t="s">
        <v>112</v>
      </c>
      <c r="W67" s="205"/>
      <c r="X67" s="5"/>
    </row>
    <row r="68" spans="1:24" ht="15.6" x14ac:dyDescent="0.3">
      <c r="A68" s="287"/>
      <c r="B68" s="288" t="s">
        <v>19</v>
      </c>
      <c r="C68" s="337"/>
      <c r="D68" s="337"/>
      <c r="E68" s="337"/>
      <c r="F68" s="337"/>
      <c r="G68" s="337"/>
      <c r="H68" s="337"/>
      <c r="I68" s="337"/>
      <c r="J68" s="337"/>
      <c r="K68" s="337"/>
      <c r="L68" s="337">
        <v>1158015</v>
      </c>
      <c r="M68" s="337"/>
      <c r="N68" s="338">
        <f>1025959</f>
        <v>1025959</v>
      </c>
      <c r="O68" s="337"/>
      <c r="P68" s="337">
        <f>10792+35+476</f>
        <v>11303</v>
      </c>
      <c r="Q68" s="337"/>
      <c r="R68" s="337">
        <f>35+476</f>
        <v>511</v>
      </c>
      <c r="S68" s="337"/>
      <c r="T68" s="337">
        <v>0</v>
      </c>
      <c r="U68" s="337"/>
      <c r="V68" s="338">
        <f>+N68-P68+R68-T68</f>
        <v>1015167</v>
      </c>
      <c r="W68" s="291"/>
      <c r="X68" s="5"/>
    </row>
    <row r="69" spans="1:24" ht="15.6" x14ac:dyDescent="0.3">
      <c r="A69" s="287"/>
      <c r="B69" s="288" t="s">
        <v>20</v>
      </c>
      <c r="C69" s="337"/>
      <c r="D69" s="337"/>
      <c r="E69" s="337"/>
      <c r="F69" s="337"/>
      <c r="G69" s="337"/>
      <c r="H69" s="337"/>
      <c r="I69" s="337"/>
      <c r="J69" s="337"/>
      <c r="K69" s="337"/>
      <c r="L69" s="337">
        <v>15</v>
      </c>
      <c r="M69" s="337"/>
      <c r="N69" s="338">
        <v>0</v>
      </c>
      <c r="O69" s="337"/>
      <c r="P69" s="337">
        <v>0</v>
      </c>
      <c r="Q69" s="337"/>
      <c r="R69" s="337">
        <v>0</v>
      </c>
      <c r="S69" s="337"/>
      <c r="T69" s="337">
        <v>0</v>
      </c>
      <c r="U69" s="337"/>
      <c r="V69" s="338">
        <v>0</v>
      </c>
      <c r="W69" s="291"/>
      <c r="X69" s="5"/>
    </row>
    <row r="70" spans="1:24" ht="15.6" x14ac:dyDescent="0.3">
      <c r="A70" s="287"/>
      <c r="B70" s="288"/>
      <c r="C70" s="337"/>
      <c r="D70" s="337"/>
      <c r="E70" s="337"/>
      <c r="F70" s="337"/>
      <c r="G70" s="337"/>
      <c r="H70" s="337"/>
      <c r="I70" s="337"/>
      <c r="J70" s="337"/>
      <c r="K70" s="337"/>
      <c r="L70" s="337"/>
      <c r="M70" s="337"/>
      <c r="N70" s="338"/>
      <c r="O70" s="337"/>
      <c r="P70" s="337"/>
      <c r="Q70" s="337"/>
      <c r="R70" s="337"/>
      <c r="S70" s="337"/>
      <c r="T70" s="337"/>
      <c r="U70" s="337"/>
      <c r="V70" s="338"/>
      <c r="W70" s="291"/>
      <c r="X70" s="5"/>
    </row>
    <row r="71" spans="1:24" ht="15.6" x14ac:dyDescent="0.3">
      <c r="A71" s="287"/>
      <c r="B71" s="288" t="s">
        <v>21</v>
      </c>
      <c r="C71" s="337"/>
      <c r="D71" s="337"/>
      <c r="E71" s="337"/>
      <c r="F71" s="337"/>
      <c r="G71" s="337"/>
      <c r="H71" s="337"/>
      <c r="I71" s="337"/>
      <c r="J71" s="337"/>
      <c r="K71" s="337"/>
      <c r="L71" s="337">
        <f>SUM(L68:L70)</f>
        <v>1158030</v>
      </c>
      <c r="M71" s="337"/>
      <c r="N71" s="337">
        <f>N68+N69</f>
        <v>1025959</v>
      </c>
      <c r="O71" s="337"/>
      <c r="P71" s="337">
        <f>SUM(P68:P70)</f>
        <v>11303</v>
      </c>
      <c r="Q71" s="337"/>
      <c r="R71" s="337">
        <f>SUM(R68:R70)</f>
        <v>511</v>
      </c>
      <c r="S71" s="337"/>
      <c r="T71" s="337">
        <f>SUM(T68:T70)</f>
        <v>0</v>
      </c>
      <c r="U71" s="337"/>
      <c r="V71" s="337">
        <f>SUM(V68:V70)</f>
        <v>1015167</v>
      </c>
      <c r="W71" s="291"/>
      <c r="X71" s="5"/>
    </row>
    <row r="72" spans="1:24" ht="15.6" x14ac:dyDescent="0.3">
      <c r="A72" s="183"/>
      <c r="B72" s="198"/>
      <c r="C72" s="335"/>
      <c r="D72" s="335"/>
      <c r="E72" s="335"/>
      <c r="F72" s="335"/>
      <c r="G72" s="335"/>
      <c r="H72" s="335"/>
      <c r="I72" s="335"/>
      <c r="J72" s="335"/>
      <c r="K72" s="335"/>
      <c r="L72" s="335"/>
      <c r="M72" s="335"/>
      <c r="N72" s="335"/>
      <c r="O72" s="335"/>
      <c r="P72" s="335"/>
      <c r="Q72" s="335"/>
      <c r="R72" s="335"/>
      <c r="S72" s="335"/>
      <c r="T72" s="335"/>
      <c r="U72" s="335"/>
      <c r="V72" s="336"/>
      <c r="W72" s="198"/>
      <c r="X72" s="5"/>
    </row>
    <row r="73" spans="1:24" ht="15.6" x14ac:dyDescent="0.3">
      <c r="A73" s="183"/>
      <c r="B73" s="187" t="s">
        <v>22</v>
      </c>
      <c r="C73" s="206"/>
      <c r="D73" s="206"/>
      <c r="E73" s="206"/>
      <c r="F73" s="206"/>
      <c r="G73" s="206"/>
      <c r="H73" s="206"/>
      <c r="I73" s="206"/>
      <c r="J73" s="206"/>
      <c r="K73" s="206"/>
      <c r="L73" s="206"/>
      <c r="M73" s="206"/>
      <c r="N73" s="206"/>
      <c r="O73" s="206"/>
      <c r="P73" s="206"/>
      <c r="Q73" s="206"/>
      <c r="R73" s="206"/>
      <c r="S73" s="206"/>
      <c r="T73" s="206"/>
      <c r="U73" s="206"/>
      <c r="V73" s="207"/>
      <c r="W73" s="185"/>
      <c r="X73" s="5"/>
    </row>
    <row r="74" spans="1:24" ht="15.6" x14ac:dyDescent="0.3">
      <c r="A74" s="183"/>
      <c r="B74" s="185"/>
      <c r="C74" s="206"/>
      <c r="D74" s="206"/>
      <c r="E74" s="206"/>
      <c r="F74" s="206"/>
      <c r="G74" s="206"/>
      <c r="H74" s="206"/>
      <c r="I74" s="206"/>
      <c r="J74" s="206"/>
      <c r="K74" s="206"/>
      <c r="L74" s="206"/>
      <c r="M74" s="206"/>
      <c r="N74" s="206"/>
      <c r="O74" s="206"/>
      <c r="P74" s="206"/>
      <c r="Q74" s="206"/>
      <c r="R74" s="206"/>
      <c r="S74" s="206"/>
      <c r="T74" s="206"/>
      <c r="U74" s="206"/>
      <c r="V74" s="207"/>
      <c r="W74" s="185"/>
      <c r="X74" s="5"/>
    </row>
    <row r="75" spans="1:24" ht="15.6" x14ac:dyDescent="0.3">
      <c r="A75" s="340"/>
      <c r="B75" s="288" t="s">
        <v>19</v>
      </c>
      <c r="C75" s="337"/>
      <c r="D75" s="337"/>
      <c r="E75" s="337"/>
      <c r="F75" s="337"/>
      <c r="G75" s="337"/>
      <c r="H75" s="337"/>
      <c r="I75" s="337"/>
      <c r="J75" s="337"/>
      <c r="K75" s="337"/>
      <c r="L75" s="337"/>
      <c r="M75" s="337"/>
      <c r="N75" s="337"/>
      <c r="O75" s="337"/>
      <c r="P75" s="337"/>
      <c r="Q75" s="337"/>
      <c r="R75" s="337"/>
      <c r="S75" s="337"/>
      <c r="T75" s="337"/>
      <c r="U75" s="337"/>
      <c r="V75" s="337"/>
      <c r="W75" s="291"/>
      <c r="X75" s="5"/>
    </row>
    <row r="76" spans="1:24" ht="15.6" x14ac:dyDescent="0.3">
      <c r="A76" s="340"/>
      <c r="B76" s="288" t="s">
        <v>20</v>
      </c>
      <c r="C76" s="337"/>
      <c r="D76" s="337"/>
      <c r="E76" s="337"/>
      <c r="F76" s="337"/>
      <c r="G76" s="337"/>
      <c r="H76" s="337"/>
      <c r="I76" s="337"/>
      <c r="J76" s="337"/>
      <c r="K76" s="337"/>
      <c r="L76" s="337"/>
      <c r="M76" s="337"/>
      <c r="N76" s="337"/>
      <c r="O76" s="337"/>
      <c r="P76" s="337"/>
      <c r="Q76" s="337"/>
      <c r="R76" s="337"/>
      <c r="S76" s="337"/>
      <c r="T76" s="337"/>
      <c r="U76" s="337"/>
      <c r="V76" s="337"/>
      <c r="W76" s="291"/>
      <c r="X76" s="5"/>
    </row>
    <row r="77" spans="1:24" ht="15.6" x14ac:dyDescent="0.3">
      <c r="A77" s="340"/>
      <c r="B77" s="288"/>
      <c r="C77" s="337"/>
      <c r="D77" s="337"/>
      <c r="E77" s="337"/>
      <c r="F77" s="337"/>
      <c r="G77" s="337"/>
      <c r="H77" s="337"/>
      <c r="I77" s="337"/>
      <c r="J77" s="337"/>
      <c r="K77" s="337"/>
      <c r="L77" s="337"/>
      <c r="M77" s="337"/>
      <c r="N77" s="337"/>
      <c r="O77" s="337"/>
      <c r="P77" s="337"/>
      <c r="Q77" s="337"/>
      <c r="R77" s="337"/>
      <c r="S77" s="337"/>
      <c r="T77" s="337"/>
      <c r="U77" s="337"/>
      <c r="V77" s="337"/>
      <c r="W77" s="291"/>
      <c r="X77" s="5"/>
    </row>
    <row r="78" spans="1:24" ht="15.6" x14ac:dyDescent="0.3">
      <c r="A78" s="340"/>
      <c r="B78" s="288" t="s">
        <v>21</v>
      </c>
      <c r="C78" s="337"/>
      <c r="D78" s="337"/>
      <c r="E78" s="337"/>
      <c r="F78" s="337"/>
      <c r="G78" s="337"/>
      <c r="H78" s="337"/>
      <c r="I78" s="337"/>
      <c r="J78" s="337"/>
      <c r="K78" s="337"/>
      <c r="L78" s="337"/>
      <c r="M78" s="337"/>
      <c r="N78" s="337"/>
      <c r="O78" s="337"/>
      <c r="P78" s="337"/>
      <c r="Q78" s="337"/>
      <c r="R78" s="337"/>
      <c r="S78" s="337"/>
      <c r="T78" s="337"/>
      <c r="U78" s="337"/>
      <c r="V78" s="337"/>
      <c r="W78" s="291"/>
      <c r="X78" s="5"/>
    </row>
    <row r="79" spans="1:24" ht="15.6" x14ac:dyDescent="0.3">
      <c r="A79" s="340"/>
      <c r="B79" s="288"/>
      <c r="C79" s="337"/>
      <c r="D79" s="337"/>
      <c r="E79" s="337"/>
      <c r="F79" s="337"/>
      <c r="G79" s="337"/>
      <c r="H79" s="337"/>
      <c r="I79" s="337"/>
      <c r="J79" s="337"/>
      <c r="K79" s="337"/>
      <c r="L79" s="337"/>
      <c r="M79" s="337"/>
      <c r="N79" s="337"/>
      <c r="O79" s="337"/>
      <c r="P79" s="337"/>
      <c r="Q79" s="337"/>
      <c r="R79" s="337"/>
      <c r="S79" s="337"/>
      <c r="T79" s="337"/>
      <c r="U79" s="337"/>
      <c r="V79" s="337"/>
      <c r="W79" s="291"/>
      <c r="X79" s="5"/>
    </row>
    <row r="80" spans="1:24" ht="15.6" x14ac:dyDescent="0.3">
      <c r="A80" s="340"/>
      <c r="B80" s="288" t="s">
        <v>23</v>
      </c>
      <c r="C80" s="337"/>
      <c r="D80" s="337"/>
      <c r="E80" s="337"/>
      <c r="F80" s="337"/>
      <c r="G80" s="337"/>
      <c r="H80" s="337"/>
      <c r="I80" s="337"/>
      <c r="J80" s="337"/>
      <c r="K80" s="337"/>
      <c r="L80" s="337">
        <v>0</v>
      </c>
      <c r="M80" s="337"/>
      <c r="N80" s="337">
        <v>0</v>
      </c>
      <c r="O80" s="337"/>
      <c r="P80" s="337"/>
      <c r="Q80" s="337"/>
      <c r="R80" s="337"/>
      <c r="S80" s="337"/>
      <c r="T80" s="337"/>
      <c r="U80" s="337"/>
      <c r="V80" s="338">
        <v>0</v>
      </c>
      <c r="W80" s="291"/>
      <c r="X80" s="5"/>
    </row>
    <row r="81" spans="1:24" ht="15.6" x14ac:dyDescent="0.3">
      <c r="A81" s="340"/>
      <c r="B81" s="288" t="s">
        <v>117</v>
      </c>
      <c r="C81" s="337"/>
      <c r="D81" s="337"/>
      <c r="E81" s="337"/>
      <c r="F81" s="337"/>
      <c r="G81" s="337"/>
      <c r="H81" s="337"/>
      <c r="I81" s="337"/>
      <c r="J81" s="337"/>
      <c r="K81" s="337"/>
      <c r="L81" s="337">
        <v>342245</v>
      </c>
      <c r="M81" s="337"/>
      <c r="N81" s="337">
        <v>0</v>
      </c>
      <c r="O81" s="337"/>
      <c r="P81" s="337">
        <v>0</v>
      </c>
      <c r="Q81" s="337"/>
      <c r="R81" s="337"/>
      <c r="S81" s="337"/>
      <c r="T81" s="337"/>
      <c r="U81" s="337"/>
      <c r="V81" s="337">
        <f>SUM(N81:R81)</f>
        <v>0</v>
      </c>
      <c r="W81" s="291"/>
      <c r="X81" s="5"/>
    </row>
    <row r="82" spans="1:24" ht="15.6" x14ac:dyDescent="0.3">
      <c r="A82" s="340"/>
      <c r="B82" s="288"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91"/>
      <c r="X82" s="5"/>
    </row>
    <row r="83" spans="1:24" ht="15.6" x14ac:dyDescent="0.3">
      <c r="A83" s="340"/>
      <c r="B83" s="288" t="s">
        <v>25</v>
      </c>
      <c r="C83" s="337"/>
      <c r="D83" s="337"/>
      <c r="E83" s="337"/>
      <c r="F83" s="337"/>
      <c r="G83" s="337"/>
      <c r="H83" s="337"/>
      <c r="I83" s="337"/>
      <c r="J83" s="337"/>
      <c r="K83" s="337"/>
      <c r="L83" s="337">
        <v>0</v>
      </c>
      <c r="M83" s="337"/>
      <c r="N83" s="337">
        <v>0</v>
      </c>
      <c r="O83" s="337"/>
      <c r="P83" s="337"/>
      <c r="Q83" s="337"/>
      <c r="R83" s="337"/>
      <c r="S83" s="337"/>
      <c r="T83" s="337"/>
      <c r="U83" s="337"/>
      <c r="V83" s="337">
        <v>0</v>
      </c>
      <c r="W83" s="291"/>
      <c r="X83" s="5"/>
    </row>
    <row r="84" spans="1:24" ht="15.6" x14ac:dyDescent="0.3">
      <c r="A84" s="340"/>
      <c r="B84" s="288" t="s">
        <v>26</v>
      </c>
      <c r="C84" s="337"/>
      <c r="D84" s="337"/>
      <c r="E84" s="337"/>
      <c r="F84" s="337"/>
      <c r="G84" s="337"/>
      <c r="H84" s="337"/>
      <c r="I84" s="337"/>
      <c r="J84" s="337"/>
      <c r="K84" s="337"/>
      <c r="L84" s="337">
        <f>SUM(L71:L83)</f>
        <v>1500275</v>
      </c>
      <c r="M84" s="337"/>
      <c r="N84" s="337">
        <f>SUM(N71:N83)</f>
        <v>1025959</v>
      </c>
      <c r="O84" s="337"/>
      <c r="P84" s="337"/>
      <c r="Q84" s="337"/>
      <c r="R84" s="337"/>
      <c r="S84" s="337"/>
      <c r="T84" s="337"/>
      <c r="U84" s="337"/>
      <c r="V84" s="337">
        <f>SUM(V71:V83)</f>
        <v>1015167</v>
      </c>
      <c r="W84" s="291"/>
      <c r="X84" s="5"/>
    </row>
    <row r="85" spans="1:24" ht="15.6" x14ac:dyDescent="0.3">
      <c r="A85" s="243"/>
      <c r="B85" s="284"/>
      <c r="C85" s="339"/>
      <c r="D85" s="339"/>
      <c r="E85" s="339"/>
      <c r="F85" s="339"/>
      <c r="G85" s="339"/>
      <c r="H85" s="339"/>
      <c r="I85" s="339"/>
      <c r="J85" s="339"/>
      <c r="K85" s="339"/>
      <c r="L85" s="339"/>
      <c r="M85" s="339"/>
      <c r="N85" s="339"/>
      <c r="O85" s="339"/>
      <c r="P85" s="339"/>
      <c r="Q85" s="339"/>
      <c r="R85" s="339"/>
      <c r="S85" s="339"/>
      <c r="T85" s="339"/>
      <c r="U85" s="339"/>
      <c r="V85" s="339"/>
      <c r="W85" s="284"/>
      <c r="X85" s="5"/>
    </row>
    <row r="86" spans="1:24" ht="15.6" x14ac:dyDescent="0.3">
      <c r="A86" s="243"/>
      <c r="B86" s="224"/>
      <c r="C86" s="224"/>
      <c r="D86" s="224"/>
      <c r="E86" s="224"/>
      <c r="F86" s="224"/>
      <c r="G86" s="224"/>
      <c r="H86" s="224"/>
      <c r="I86" s="224"/>
      <c r="J86" s="224"/>
      <c r="K86" s="224"/>
      <c r="L86" s="224"/>
      <c r="M86" s="224"/>
      <c r="N86" s="224"/>
      <c r="O86" s="224"/>
      <c r="P86" s="224"/>
      <c r="Q86" s="224"/>
      <c r="R86" s="224"/>
      <c r="S86" s="224"/>
      <c r="T86" s="224"/>
      <c r="U86" s="224"/>
      <c r="V86" s="224"/>
      <c r="W86" s="224"/>
      <c r="X86" s="5"/>
    </row>
    <row r="87" spans="1:24" ht="15.6" x14ac:dyDescent="0.3">
      <c r="A87" s="262"/>
      <c r="B87" s="399" t="s">
        <v>27</v>
      </c>
      <c r="C87" s="399"/>
      <c r="D87" s="399"/>
      <c r="E87" s="399"/>
      <c r="F87" s="399"/>
      <c r="G87" s="399"/>
      <c r="H87" s="400"/>
      <c r="I87" s="400"/>
      <c r="J87" s="400"/>
      <c r="K87" s="400"/>
      <c r="L87" s="401" t="s">
        <v>95</v>
      </c>
      <c r="M87" s="400"/>
      <c r="N87" s="402">
        <f>+T205</f>
        <v>42153</v>
      </c>
      <c r="O87" s="400"/>
      <c r="P87" s="400"/>
      <c r="Q87" s="400"/>
      <c r="R87" s="400"/>
      <c r="S87" s="400"/>
      <c r="T87" s="400" t="s">
        <v>107</v>
      </c>
      <c r="U87" s="400"/>
      <c r="V87" s="400" t="s">
        <v>113</v>
      </c>
      <c r="W87" s="263"/>
      <c r="X87" s="5"/>
    </row>
    <row r="88" spans="1:24" ht="15.6" x14ac:dyDescent="0.3">
      <c r="A88" s="242"/>
      <c r="B88" s="231" t="s">
        <v>28</v>
      </c>
      <c r="C88" s="231"/>
      <c r="D88" s="231"/>
      <c r="E88" s="231"/>
      <c r="F88" s="231"/>
      <c r="G88" s="231"/>
      <c r="H88" s="231"/>
      <c r="I88" s="231"/>
      <c r="J88" s="231"/>
      <c r="K88" s="231"/>
      <c r="L88" s="231"/>
      <c r="M88" s="231"/>
      <c r="N88" s="231"/>
      <c r="O88" s="231"/>
      <c r="P88" s="231"/>
      <c r="Q88" s="231"/>
      <c r="R88" s="231"/>
      <c r="S88" s="231"/>
      <c r="T88" s="234">
        <v>0</v>
      </c>
      <c r="U88" s="231"/>
      <c r="V88" s="241">
        <v>0</v>
      </c>
      <c r="W88" s="231"/>
      <c r="X88" s="5"/>
    </row>
    <row r="89" spans="1:24" ht="15.6" x14ac:dyDescent="0.3">
      <c r="A89" s="340"/>
      <c r="B89" s="288" t="s">
        <v>29</v>
      </c>
      <c r="C89" s="288"/>
      <c r="D89" s="288"/>
      <c r="E89" s="288"/>
      <c r="F89" s="288"/>
      <c r="G89" s="288"/>
      <c r="H89" s="325"/>
      <c r="I89" s="325"/>
      <c r="J89" s="325"/>
      <c r="K89" s="341"/>
      <c r="L89" s="325"/>
      <c r="M89" s="288"/>
      <c r="N89" s="342"/>
      <c r="O89" s="288"/>
      <c r="P89" s="288"/>
      <c r="Q89" s="288"/>
      <c r="R89" s="288"/>
      <c r="S89" s="288"/>
      <c r="T89" s="337">
        <f>11303-72</f>
        <v>11231</v>
      </c>
      <c r="U89" s="288"/>
      <c r="V89" s="338"/>
      <c r="W89" s="291"/>
      <c r="X89" s="5"/>
    </row>
    <row r="90" spans="1:24" ht="15.6" x14ac:dyDescent="0.3">
      <c r="A90" s="340"/>
      <c r="B90" s="288" t="s">
        <v>216</v>
      </c>
      <c r="C90" s="288"/>
      <c r="D90" s="288"/>
      <c r="E90" s="288"/>
      <c r="F90" s="288"/>
      <c r="G90" s="288"/>
      <c r="H90" s="325"/>
      <c r="I90" s="325"/>
      <c r="J90" s="325"/>
      <c r="K90" s="341"/>
      <c r="L90" s="325"/>
      <c r="M90" s="288"/>
      <c r="N90" s="342"/>
      <c r="O90" s="288"/>
      <c r="P90" s="288"/>
      <c r="Q90" s="288"/>
      <c r="R90" s="288"/>
      <c r="S90" s="288"/>
      <c r="T90" s="337"/>
      <c r="U90" s="288"/>
      <c r="V90" s="338">
        <f>3399+4208-526-937</f>
        <v>6144</v>
      </c>
      <c r="W90" s="291"/>
      <c r="X90" s="5"/>
    </row>
    <row r="91" spans="1:24" ht="15.6" x14ac:dyDescent="0.3">
      <c r="A91" s="340"/>
      <c r="B91" s="288" t="s">
        <v>211</v>
      </c>
      <c r="C91" s="288"/>
      <c r="D91" s="288"/>
      <c r="E91" s="288"/>
      <c r="F91" s="288"/>
      <c r="G91" s="288"/>
      <c r="H91" s="325"/>
      <c r="I91" s="325"/>
      <c r="J91" s="325"/>
      <c r="K91" s="341"/>
      <c r="L91" s="325"/>
      <c r="M91" s="288"/>
      <c r="N91" s="342"/>
      <c r="O91" s="288"/>
      <c r="P91" s="288"/>
      <c r="Q91" s="288"/>
      <c r="R91" s="288"/>
      <c r="S91" s="288"/>
      <c r="T91" s="337"/>
      <c r="U91" s="288"/>
      <c r="V91" s="338">
        <f>41+141</f>
        <v>182</v>
      </c>
      <c r="W91" s="291"/>
      <c r="X91" s="5"/>
    </row>
    <row r="92" spans="1:24" ht="15.6" x14ac:dyDescent="0.3">
      <c r="A92" s="340"/>
      <c r="B92" s="288" t="s">
        <v>212</v>
      </c>
      <c r="C92" s="288"/>
      <c r="D92" s="288"/>
      <c r="E92" s="288"/>
      <c r="F92" s="288"/>
      <c r="G92" s="288"/>
      <c r="H92" s="325"/>
      <c r="I92" s="325"/>
      <c r="J92" s="325"/>
      <c r="K92" s="341"/>
      <c r="L92" s="325"/>
      <c r="M92" s="288"/>
      <c r="N92" s="342"/>
      <c r="O92" s="288"/>
      <c r="P92" s="288"/>
      <c r="Q92" s="288"/>
      <c r="R92" s="288"/>
      <c r="S92" s="288"/>
      <c r="T92" s="337"/>
      <c r="U92" s="288"/>
      <c r="V92" s="338">
        <v>41</v>
      </c>
      <c r="W92" s="291"/>
      <c r="X92" s="5"/>
    </row>
    <row r="93" spans="1:24" ht="15.6" x14ac:dyDescent="0.3">
      <c r="A93" s="340"/>
      <c r="B93" s="288" t="s">
        <v>272</v>
      </c>
      <c r="C93" s="288"/>
      <c r="D93" s="288"/>
      <c r="E93" s="288"/>
      <c r="F93" s="288"/>
      <c r="G93" s="288"/>
      <c r="H93" s="325"/>
      <c r="I93" s="325"/>
      <c r="J93" s="325"/>
      <c r="K93" s="341"/>
      <c r="L93" s="325"/>
      <c r="M93" s="288"/>
      <c r="N93" s="342"/>
      <c r="O93" s="288"/>
      <c r="P93" s="288"/>
      <c r="Q93" s="288"/>
      <c r="R93" s="288"/>
      <c r="S93" s="288"/>
      <c r="T93" s="337"/>
      <c r="U93" s="288"/>
      <c r="V93" s="338">
        <v>0</v>
      </c>
      <c r="W93" s="291"/>
      <c r="X93" s="5"/>
    </row>
    <row r="94" spans="1:24" ht="15.6" x14ac:dyDescent="0.3">
      <c r="A94" s="340"/>
      <c r="B94" s="288" t="s">
        <v>274</v>
      </c>
      <c r="C94" s="288"/>
      <c r="D94" s="288"/>
      <c r="E94" s="288"/>
      <c r="F94" s="288"/>
      <c r="G94" s="288"/>
      <c r="H94" s="325"/>
      <c r="I94" s="325"/>
      <c r="J94" s="325"/>
      <c r="K94" s="341"/>
      <c r="L94" s="325"/>
      <c r="M94" s="288"/>
      <c r="N94" s="342"/>
      <c r="O94" s="288"/>
      <c r="P94" s="288"/>
      <c r="Q94" s="288"/>
      <c r="R94" s="288"/>
      <c r="S94" s="288"/>
      <c r="T94" s="337"/>
      <c r="U94" s="288"/>
      <c r="V94" s="338">
        <v>0</v>
      </c>
      <c r="W94" s="291"/>
      <c r="X94" s="5"/>
    </row>
    <row r="95" spans="1:24" ht="15.6" x14ac:dyDescent="0.3">
      <c r="A95" s="340"/>
      <c r="B95" s="288" t="s">
        <v>135</v>
      </c>
      <c r="C95" s="288"/>
      <c r="D95" s="288"/>
      <c r="E95" s="288"/>
      <c r="F95" s="288"/>
      <c r="G95" s="288"/>
      <c r="H95" s="288"/>
      <c r="I95" s="288"/>
      <c r="J95" s="288"/>
      <c r="K95" s="288"/>
      <c r="L95" s="288"/>
      <c r="M95" s="288"/>
      <c r="N95" s="288"/>
      <c r="O95" s="288"/>
      <c r="P95" s="288"/>
      <c r="Q95" s="288"/>
      <c r="R95" s="288"/>
      <c r="S95" s="288"/>
      <c r="T95" s="337"/>
      <c r="U95" s="288"/>
      <c r="V95" s="338">
        <v>0</v>
      </c>
      <c r="W95" s="291"/>
      <c r="X95" s="5"/>
    </row>
    <row r="96" spans="1:24" ht="15.6" x14ac:dyDescent="0.3">
      <c r="A96" s="340"/>
      <c r="B96" s="288" t="s">
        <v>268</v>
      </c>
      <c r="C96" s="288"/>
      <c r="D96" s="288"/>
      <c r="E96" s="288"/>
      <c r="F96" s="288"/>
      <c r="G96" s="288"/>
      <c r="H96" s="288"/>
      <c r="I96" s="288"/>
      <c r="J96" s="288"/>
      <c r="K96" s="288"/>
      <c r="L96" s="288"/>
      <c r="M96" s="288"/>
      <c r="N96" s="288"/>
      <c r="O96" s="288"/>
      <c r="P96" s="288"/>
      <c r="Q96" s="288"/>
      <c r="R96" s="288"/>
      <c r="S96" s="288"/>
      <c r="T96" s="337"/>
      <c r="U96" s="288"/>
      <c r="V96" s="338">
        <v>258</v>
      </c>
      <c r="W96" s="291"/>
      <c r="X96" s="5"/>
    </row>
    <row r="97" spans="1:25" ht="15.6" x14ac:dyDescent="0.3">
      <c r="A97" s="340"/>
      <c r="B97" s="288" t="s">
        <v>30</v>
      </c>
      <c r="C97" s="288"/>
      <c r="D97" s="288"/>
      <c r="E97" s="288"/>
      <c r="F97" s="288"/>
      <c r="G97" s="288"/>
      <c r="H97" s="288"/>
      <c r="I97" s="288"/>
      <c r="J97" s="288"/>
      <c r="K97" s="288"/>
      <c r="L97" s="288"/>
      <c r="M97" s="288"/>
      <c r="N97" s="288"/>
      <c r="O97" s="288"/>
      <c r="P97" s="288"/>
      <c r="Q97" s="288"/>
      <c r="R97" s="288"/>
      <c r="S97" s="288"/>
      <c r="T97" s="337">
        <f>SUM(T88:T96)</f>
        <v>11231</v>
      </c>
      <c r="U97" s="288"/>
      <c r="V97" s="337">
        <f>SUM(V88:V96)</f>
        <v>6625</v>
      </c>
      <c r="W97" s="291"/>
      <c r="X97" s="5"/>
    </row>
    <row r="98" spans="1:25" ht="15.6" x14ac:dyDescent="0.3">
      <c r="A98" s="340"/>
      <c r="B98" s="288" t="s">
        <v>161</v>
      </c>
      <c r="C98" s="288"/>
      <c r="D98" s="288"/>
      <c r="E98" s="288"/>
      <c r="F98" s="288"/>
      <c r="G98" s="288"/>
      <c r="H98" s="288"/>
      <c r="I98" s="288"/>
      <c r="J98" s="288"/>
      <c r="K98" s="288"/>
      <c r="L98" s="288"/>
      <c r="M98" s="288"/>
      <c r="N98" s="288"/>
      <c r="O98" s="288"/>
      <c r="P98" s="288"/>
      <c r="Q98" s="288"/>
      <c r="R98" s="288"/>
      <c r="S98" s="288"/>
      <c r="T98" s="337">
        <f>-V98</f>
        <v>0</v>
      </c>
      <c r="U98" s="288"/>
      <c r="V98" s="337">
        <v>0</v>
      </c>
      <c r="W98" s="291"/>
      <c r="X98" s="5"/>
    </row>
    <row r="99" spans="1:25" ht="15.6" x14ac:dyDescent="0.3">
      <c r="A99" s="340"/>
      <c r="B99" s="288" t="s">
        <v>31</v>
      </c>
      <c r="C99" s="288"/>
      <c r="D99" s="288"/>
      <c r="E99" s="288"/>
      <c r="F99" s="288"/>
      <c r="G99" s="288"/>
      <c r="H99" s="288"/>
      <c r="I99" s="288"/>
      <c r="J99" s="288"/>
      <c r="K99" s="288"/>
      <c r="L99" s="288"/>
      <c r="M99" s="288"/>
      <c r="N99" s="288"/>
      <c r="O99" s="288"/>
      <c r="P99" s="288"/>
      <c r="Q99" s="288"/>
      <c r="R99" s="288"/>
      <c r="S99" s="288"/>
      <c r="T99" s="337">
        <f>-V99</f>
        <v>0</v>
      </c>
      <c r="U99" s="288"/>
      <c r="V99" s="338">
        <v>0</v>
      </c>
      <c r="W99" s="291"/>
      <c r="X99" s="5"/>
    </row>
    <row r="100" spans="1:25" ht="15.6" x14ac:dyDescent="0.3">
      <c r="A100" s="340"/>
      <c r="B100" s="288" t="s">
        <v>283</v>
      </c>
      <c r="C100" s="288"/>
      <c r="D100" s="288"/>
      <c r="E100" s="288"/>
      <c r="F100" s="288"/>
      <c r="G100" s="288"/>
      <c r="H100" s="288"/>
      <c r="I100" s="288"/>
      <c r="J100" s="288"/>
      <c r="K100" s="288"/>
      <c r="L100" s="288"/>
      <c r="M100" s="288"/>
      <c r="N100" s="288"/>
      <c r="O100" s="288"/>
      <c r="P100" s="288"/>
      <c r="Q100" s="288"/>
      <c r="R100" s="288"/>
      <c r="S100" s="288"/>
      <c r="T100" s="337"/>
      <c r="U100" s="288"/>
      <c r="V100" s="338">
        <v>82</v>
      </c>
      <c r="W100" s="291"/>
      <c r="X100" s="5"/>
    </row>
    <row r="101" spans="1:25" ht="15.6" x14ac:dyDescent="0.3">
      <c r="A101" s="340"/>
      <c r="B101" s="288" t="s">
        <v>32</v>
      </c>
      <c r="C101" s="288"/>
      <c r="D101" s="288"/>
      <c r="E101" s="288"/>
      <c r="F101" s="288"/>
      <c r="G101" s="288"/>
      <c r="H101" s="288"/>
      <c r="I101" s="288"/>
      <c r="J101" s="288"/>
      <c r="K101" s="288"/>
      <c r="L101" s="288"/>
      <c r="M101" s="288"/>
      <c r="N101" s="288"/>
      <c r="O101" s="288"/>
      <c r="P101" s="288"/>
      <c r="Q101" s="288"/>
      <c r="R101" s="288"/>
      <c r="S101" s="288"/>
      <c r="T101" s="337">
        <f>T97+T99+T98</f>
        <v>11231</v>
      </c>
      <c r="U101" s="288"/>
      <c r="V101" s="337">
        <f>V97+V99+V98+V100</f>
        <v>6707</v>
      </c>
      <c r="W101" s="291"/>
      <c r="X101" s="5"/>
    </row>
    <row r="102" spans="1:25" ht="15.6" x14ac:dyDescent="0.3">
      <c r="A102" s="287"/>
      <c r="B102" s="343" t="s">
        <v>33</v>
      </c>
      <c r="C102" s="314"/>
      <c r="D102" s="314"/>
      <c r="E102" s="314"/>
      <c r="F102" s="314"/>
      <c r="G102" s="314"/>
      <c r="H102" s="314"/>
      <c r="I102" s="314"/>
      <c r="J102" s="314"/>
      <c r="K102" s="314"/>
      <c r="L102" s="314"/>
      <c r="M102" s="314"/>
      <c r="N102" s="314"/>
      <c r="O102" s="314"/>
      <c r="P102" s="314"/>
      <c r="Q102" s="314"/>
      <c r="R102" s="314"/>
      <c r="S102" s="314"/>
      <c r="T102" s="344"/>
      <c r="U102" s="314"/>
      <c r="V102" s="345"/>
      <c r="W102" s="318"/>
      <c r="X102" s="5"/>
    </row>
    <row r="103" spans="1:25" ht="15.6" x14ac:dyDescent="0.3">
      <c r="A103" s="340">
        <v>1</v>
      </c>
      <c r="B103" s="288" t="s">
        <v>34</v>
      </c>
      <c r="C103" s="288"/>
      <c r="D103" s="288"/>
      <c r="E103" s="288"/>
      <c r="F103" s="288"/>
      <c r="G103" s="288"/>
      <c r="H103" s="288"/>
      <c r="I103" s="288"/>
      <c r="J103" s="288"/>
      <c r="K103" s="288"/>
      <c r="L103" s="288"/>
      <c r="M103" s="288"/>
      <c r="N103" s="288"/>
      <c r="O103" s="288"/>
      <c r="P103" s="288"/>
      <c r="Q103" s="288"/>
      <c r="R103" s="288"/>
      <c r="S103" s="288"/>
      <c r="T103" s="288"/>
      <c r="U103" s="288"/>
      <c r="V103" s="338">
        <v>0</v>
      </c>
      <c r="W103" s="291"/>
      <c r="X103" s="5"/>
    </row>
    <row r="104" spans="1:25" ht="15.6" x14ac:dyDescent="0.3">
      <c r="A104" s="340">
        <f>+A103+1</f>
        <v>2</v>
      </c>
      <c r="B104" s="288" t="s">
        <v>330</v>
      </c>
      <c r="C104" s="288"/>
      <c r="D104" s="288"/>
      <c r="E104" s="288"/>
      <c r="F104" s="288"/>
      <c r="G104" s="288"/>
      <c r="H104" s="288"/>
      <c r="I104" s="288"/>
      <c r="J104" s="288"/>
      <c r="K104" s="288"/>
      <c r="L104" s="288"/>
      <c r="M104" s="288"/>
      <c r="N104" s="288"/>
      <c r="O104" s="288"/>
      <c r="P104" s="288"/>
      <c r="Q104" s="288"/>
      <c r="R104" s="288"/>
      <c r="S104" s="288"/>
      <c r="T104" s="288"/>
      <c r="U104" s="288"/>
      <c r="V104" s="338">
        <v>-2</v>
      </c>
      <c r="W104" s="291"/>
      <c r="X104" s="5"/>
    </row>
    <row r="105" spans="1:25" ht="15.6" x14ac:dyDescent="0.3">
      <c r="A105" s="340">
        <f>+A104+1</f>
        <v>3</v>
      </c>
      <c r="B105" s="288" t="s">
        <v>331</v>
      </c>
      <c r="C105" s="288"/>
      <c r="D105" s="288"/>
      <c r="E105" s="288"/>
      <c r="F105" s="288"/>
      <c r="G105" s="288"/>
      <c r="H105" s="288"/>
      <c r="I105" s="288"/>
      <c r="J105" s="288"/>
      <c r="K105" s="288"/>
      <c r="L105" s="288"/>
      <c r="M105" s="288"/>
      <c r="N105" s="288"/>
      <c r="O105" s="288"/>
      <c r="P105" s="288"/>
      <c r="Q105" s="288"/>
      <c r="R105" s="288"/>
      <c r="S105" s="288"/>
      <c r="T105" s="288"/>
      <c r="U105" s="288"/>
      <c r="V105" s="338">
        <f>-130-220-12</f>
        <v>-362</v>
      </c>
      <c r="W105" s="291"/>
      <c r="X105" s="5"/>
    </row>
    <row r="106" spans="1:25" ht="15.6" x14ac:dyDescent="0.3">
      <c r="A106" s="340" t="s">
        <v>127</v>
      </c>
      <c r="B106" s="288" t="s">
        <v>116</v>
      </c>
      <c r="C106" s="288"/>
      <c r="D106" s="288"/>
      <c r="E106" s="288"/>
      <c r="F106" s="288"/>
      <c r="G106" s="288"/>
      <c r="H106" s="288"/>
      <c r="I106" s="288"/>
      <c r="J106" s="288"/>
      <c r="K106" s="288"/>
      <c r="L106" s="288"/>
      <c r="M106" s="288"/>
      <c r="N106" s="288"/>
      <c r="O106" s="288"/>
      <c r="P106" s="288"/>
      <c r="Q106" s="288"/>
      <c r="R106" s="288"/>
      <c r="S106" s="288"/>
      <c r="T106" s="288"/>
      <c r="U106" s="288"/>
      <c r="V106" s="338">
        <v>0</v>
      </c>
      <c r="W106" s="291"/>
      <c r="X106" s="5"/>
    </row>
    <row r="107" spans="1:25" ht="15.6" x14ac:dyDescent="0.3">
      <c r="A107" s="340" t="s">
        <v>128</v>
      </c>
      <c r="B107" s="288" t="s">
        <v>222</v>
      </c>
      <c r="C107" s="288"/>
      <c r="D107" s="288"/>
      <c r="E107" s="288"/>
      <c r="F107" s="288"/>
      <c r="G107" s="288"/>
      <c r="H107" s="288"/>
      <c r="I107" s="288"/>
      <c r="J107" s="288"/>
      <c r="K107" s="288"/>
      <c r="L107" s="288"/>
      <c r="M107" s="288"/>
      <c r="N107" s="288"/>
      <c r="O107" s="288"/>
      <c r="P107" s="288"/>
      <c r="Q107" s="288"/>
      <c r="R107" s="288"/>
      <c r="S107" s="288"/>
      <c r="T107" s="288"/>
      <c r="U107" s="288"/>
      <c r="V107" s="338">
        <f>150-1602</f>
        <v>-1452</v>
      </c>
      <c r="W107" s="291"/>
      <c r="X107" s="5"/>
      <c r="Y107" s="109"/>
    </row>
    <row r="108" spans="1:25" ht="15.6" x14ac:dyDescent="0.3">
      <c r="A108" s="340" t="s">
        <v>150</v>
      </c>
      <c r="B108" s="288" t="s">
        <v>184</v>
      </c>
      <c r="C108" s="288"/>
      <c r="D108" s="288"/>
      <c r="E108" s="288"/>
      <c r="F108" s="288"/>
      <c r="G108" s="288"/>
      <c r="H108" s="288"/>
      <c r="I108" s="288"/>
      <c r="J108" s="288"/>
      <c r="K108" s="288"/>
      <c r="L108" s="288"/>
      <c r="M108" s="288"/>
      <c r="N108" s="288"/>
      <c r="O108" s="288"/>
      <c r="P108" s="288"/>
      <c r="Q108" s="288"/>
      <c r="R108" s="288"/>
      <c r="S108" s="288"/>
      <c r="T108" s="288"/>
      <c r="U108" s="288"/>
      <c r="V108" s="338">
        <v>-150</v>
      </c>
      <c r="W108" s="291"/>
      <c r="X108" s="5"/>
      <c r="Y108" s="109"/>
    </row>
    <row r="109" spans="1:25" ht="15.6" x14ac:dyDescent="0.3">
      <c r="A109" s="340" t="s">
        <v>236</v>
      </c>
      <c r="B109" s="288" t="s">
        <v>238</v>
      </c>
      <c r="C109" s="288"/>
      <c r="D109" s="288"/>
      <c r="E109" s="288"/>
      <c r="F109" s="288"/>
      <c r="G109" s="288"/>
      <c r="H109" s="288"/>
      <c r="I109" s="288"/>
      <c r="J109" s="288"/>
      <c r="K109" s="288"/>
      <c r="L109" s="288"/>
      <c r="M109" s="288"/>
      <c r="N109" s="288"/>
      <c r="O109" s="288"/>
      <c r="P109" s="288"/>
      <c r="Q109" s="288"/>
      <c r="R109" s="288"/>
      <c r="S109" s="288"/>
      <c r="T109" s="288"/>
      <c r="U109" s="288"/>
      <c r="V109" s="338">
        <v>0</v>
      </c>
      <c r="W109" s="291"/>
      <c r="X109" s="5"/>
    </row>
    <row r="110" spans="1:25" ht="15.6" x14ac:dyDescent="0.3">
      <c r="A110" s="340" t="s">
        <v>205</v>
      </c>
      <c r="B110" s="288" t="s">
        <v>185</v>
      </c>
      <c r="C110" s="288"/>
      <c r="D110" s="288"/>
      <c r="E110" s="288"/>
      <c r="F110" s="288"/>
      <c r="G110" s="288"/>
      <c r="H110" s="288"/>
      <c r="I110" s="288"/>
      <c r="J110" s="288"/>
      <c r="K110" s="288"/>
      <c r="L110" s="288"/>
      <c r="M110" s="288"/>
      <c r="N110" s="288"/>
      <c r="O110" s="288"/>
      <c r="P110" s="288"/>
      <c r="Q110" s="288"/>
      <c r="R110" s="288"/>
      <c r="S110" s="288"/>
      <c r="T110" s="288"/>
      <c r="U110" s="288"/>
      <c r="V110" s="338">
        <v>-149</v>
      </c>
      <c r="W110" s="291"/>
      <c r="X110" s="5"/>
      <c r="Y110" s="109"/>
    </row>
    <row r="111" spans="1:25" ht="15.6" x14ac:dyDescent="0.3">
      <c r="A111" s="340" t="s">
        <v>206</v>
      </c>
      <c r="B111" s="288" t="s">
        <v>186</v>
      </c>
      <c r="C111" s="288"/>
      <c r="D111" s="288"/>
      <c r="E111" s="288"/>
      <c r="F111" s="288"/>
      <c r="G111" s="288"/>
      <c r="H111" s="288"/>
      <c r="I111" s="288"/>
      <c r="J111" s="288"/>
      <c r="K111" s="288"/>
      <c r="L111" s="288"/>
      <c r="M111" s="288"/>
      <c r="N111" s="288"/>
      <c r="O111" s="288"/>
      <c r="P111" s="288"/>
      <c r="Q111" s="288"/>
      <c r="R111" s="288"/>
      <c r="S111" s="288"/>
      <c r="T111" s="288"/>
      <c r="U111" s="288"/>
      <c r="V111" s="338">
        <v>-120</v>
      </c>
      <c r="W111" s="291"/>
      <c r="X111" s="179"/>
      <c r="Y111" s="109"/>
    </row>
    <row r="112" spans="1:25" ht="15.6" x14ac:dyDescent="0.3">
      <c r="A112" s="340" t="s">
        <v>207</v>
      </c>
      <c r="B112" s="288" t="s">
        <v>196</v>
      </c>
      <c r="C112" s="288"/>
      <c r="D112" s="288"/>
      <c r="E112" s="288"/>
      <c r="F112" s="288"/>
      <c r="G112" s="288"/>
      <c r="H112" s="288"/>
      <c r="I112" s="288"/>
      <c r="J112" s="288"/>
      <c r="K112" s="288"/>
      <c r="L112" s="288"/>
      <c r="M112" s="288"/>
      <c r="N112" s="288"/>
      <c r="O112" s="288"/>
      <c r="P112" s="288"/>
      <c r="Q112" s="288"/>
      <c r="R112" s="288"/>
      <c r="S112" s="288"/>
      <c r="T112" s="288"/>
      <c r="U112" s="288"/>
      <c r="V112" s="338">
        <v>-330</v>
      </c>
      <c r="W112" s="291"/>
      <c r="X112" s="5"/>
      <c r="Y112" s="109"/>
    </row>
    <row r="113" spans="1:25" ht="15.6" x14ac:dyDescent="0.3">
      <c r="A113" s="340" t="s">
        <v>224</v>
      </c>
      <c r="B113" s="288" t="s">
        <v>223</v>
      </c>
      <c r="C113" s="288"/>
      <c r="D113" s="288"/>
      <c r="E113" s="288"/>
      <c r="F113" s="288"/>
      <c r="G113" s="288"/>
      <c r="H113" s="288"/>
      <c r="I113" s="288"/>
      <c r="J113" s="288"/>
      <c r="K113" s="288"/>
      <c r="L113" s="288"/>
      <c r="M113" s="288"/>
      <c r="N113" s="288"/>
      <c r="O113" s="288"/>
      <c r="P113" s="288"/>
      <c r="Q113" s="288"/>
      <c r="R113" s="288"/>
      <c r="S113" s="288"/>
      <c r="T113" s="288"/>
      <c r="U113" s="288"/>
      <c r="V113" s="338">
        <v>-66</v>
      </c>
      <c r="W113" s="291"/>
      <c r="X113" s="5"/>
      <c r="Y113" s="109"/>
    </row>
    <row r="114" spans="1:25" ht="15.6" x14ac:dyDescent="0.3">
      <c r="A114" s="340">
        <v>7</v>
      </c>
      <c r="B114" s="288" t="s">
        <v>35</v>
      </c>
      <c r="C114" s="288"/>
      <c r="D114" s="288"/>
      <c r="E114" s="288"/>
      <c r="F114" s="288"/>
      <c r="G114" s="288"/>
      <c r="H114" s="288"/>
      <c r="I114" s="288"/>
      <c r="J114" s="288"/>
      <c r="K114" s="288"/>
      <c r="L114" s="288"/>
      <c r="M114" s="288"/>
      <c r="N114" s="288"/>
      <c r="O114" s="288"/>
      <c r="P114" s="288"/>
      <c r="Q114" s="288"/>
      <c r="R114" s="288"/>
      <c r="S114" s="288"/>
      <c r="T114" s="288"/>
      <c r="U114" s="288"/>
      <c r="V114" s="338">
        <v>-8</v>
      </c>
      <c r="W114" s="291"/>
      <c r="X114" s="5"/>
    </row>
    <row r="115" spans="1:25" ht="15.6" x14ac:dyDescent="0.3">
      <c r="A115" s="340">
        <f t="shared" ref="A115:A121" si="0">+A114+1</f>
        <v>8</v>
      </c>
      <c r="B115" s="288" t="s">
        <v>45</v>
      </c>
      <c r="C115" s="288"/>
      <c r="D115" s="288"/>
      <c r="E115" s="288"/>
      <c r="F115" s="288"/>
      <c r="G115" s="288"/>
      <c r="H115" s="288"/>
      <c r="I115" s="288"/>
      <c r="J115" s="288"/>
      <c r="K115" s="288"/>
      <c r="L115" s="288"/>
      <c r="M115" s="288"/>
      <c r="N115" s="288"/>
      <c r="O115" s="288"/>
      <c r="P115" s="288"/>
      <c r="Q115" s="288"/>
      <c r="R115" s="288"/>
      <c r="S115" s="288"/>
      <c r="T115" s="337">
        <f>-V115</f>
        <v>72</v>
      </c>
      <c r="U115" s="288"/>
      <c r="V115" s="338">
        <v>-72</v>
      </c>
      <c r="W115" s="291"/>
      <c r="X115" s="5"/>
    </row>
    <row r="116" spans="1:25" ht="15.6" x14ac:dyDescent="0.3">
      <c r="A116" s="340">
        <f t="shared" si="0"/>
        <v>9</v>
      </c>
      <c r="B116" s="288" t="s">
        <v>125</v>
      </c>
      <c r="C116" s="288"/>
      <c r="D116" s="288"/>
      <c r="E116" s="288"/>
      <c r="F116" s="288"/>
      <c r="G116" s="288"/>
      <c r="H116" s="288"/>
      <c r="I116" s="288"/>
      <c r="J116" s="288"/>
      <c r="K116" s="288"/>
      <c r="L116" s="288"/>
      <c r="M116" s="288"/>
      <c r="N116" s="288"/>
      <c r="O116" s="288"/>
      <c r="P116" s="288"/>
      <c r="Q116" s="288"/>
      <c r="R116" s="288"/>
      <c r="S116" s="288"/>
      <c r="T116" s="288"/>
      <c r="U116" s="288"/>
      <c r="V116" s="338">
        <v>0</v>
      </c>
      <c r="W116" s="291"/>
      <c r="X116" s="5"/>
    </row>
    <row r="117" spans="1:25" ht="15.6" x14ac:dyDescent="0.3">
      <c r="A117" s="340">
        <f t="shared" si="0"/>
        <v>10</v>
      </c>
      <c r="B117" s="288" t="s">
        <v>240</v>
      </c>
      <c r="C117" s="288"/>
      <c r="D117" s="288"/>
      <c r="E117" s="288"/>
      <c r="F117" s="288"/>
      <c r="G117" s="288"/>
      <c r="H117" s="288"/>
      <c r="I117" s="288"/>
      <c r="J117" s="288"/>
      <c r="K117" s="288"/>
      <c r="L117" s="288"/>
      <c r="M117" s="288"/>
      <c r="N117" s="288"/>
      <c r="O117" s="288"/>
      <c r="P117" s="288"/>
      <c r="Q117" s="288"/>
      <c r="R117" s="288"/>
      <c r="S117" s="288"/>
      <c r="T117" s="288"/>
      <c r="U117" s="288"/>
      <c r="V117" s="338">
        <v>0</v>
      </c>
      <c r="W117" s="291"/>
      <c r="X117" s="5"/>
    </row>
    <row r="118" spans="1:25" ht="15.6" x14ac:dyDescent="0.3">
      <c r="A118" s="340">
        <f t="shared" si="0"/>
        <v>11</v>
      </c>
      <c r="B118" s="288" t="s">
        <v>36</v>
      </c>
      <c r="C118" s="288"/>
      <c r="D118" s="288"/>
      <c r="E118" s="288"/>
      <c r="F118" s="288"/>
      <c r="G118" s="288"/>
      <c r="H118" s="288"/>
      <c r="I118" s="288"/>
      <c r="J118" s="288"/>
      <c r="K118" s="288"/>
      <c r="L118" s="288"/>
      <c r="M118" s="288"/>
      <c r="N118" s="288"/>
      <c r="O118" s="288"/>
      <c r="P118" s="288"/>
      <c r="Q118" s="288"/>
      <c r="R118" s="288"/>
      <c r="S118" s="288"/>
      <c r="T118" s="288"/>
      <c r="U118" s="288"/>
      <c r="V118" s="338">
        <v>0</v>
      </c>
      <c r="W118" s="291"/>
      <c r="X118" s="5"/>
    </row>
    <row r="119" spans="1:25" ht="15.6" x14ac:dyDescent="0.3">
      <c r="A119" s="340">
        <f t="shared" si="0"/>
        <v>12</v>
      </c>
      <c r="B119" s="288" t="s">
        <v>239</v>
      </c>
      <c r="C119" s="288"/>
      <c r="D119" s="288"/>
      <c r="E119" s="288"/>
      <c r="F119" s="288"/>
      <c r="G119" s="288"/>
      <c r="H119" s="288"/>
      <c r="I119" s="288"/>
      <c r="J119" s="288"/>
      <c r="K119" s="288"/>
      <c r="L119" s="288"/>
      <c r="M119" s="288"/>
      <c r="N119" s="288"/>
      <c r="O119" s="288"/>
      <c r="P119" s="288"/>
      <c r="Q119" s="288"/>
      <c r="R119" s="288"/>
      <c r="S119" s="288"/>
      <c r="T119" s="288"/>
      <c r="U119" s="288"/>
      <c r="V119" s="338">
        <v>0</v>
      </c>
      <c r="W119" s="291"/>
      <c r="X119" s="5"/>
    </row>
    <row r="120" spans="1:25" ht="15.6" x14ac:dyDescent="0.3">
      <c r="A120" s="340">
        <f t="shared" si="0"/>
        <v>13</v>
      </c>
      <c r="B120" s="288" t="s">
        <v>149</v>
      </c>
      <c r="C120" s="288"/>
      <c r="D120" s="288"/>
      <c r="E120" s="288"/>
      <c r="F120" s="288"/>
      <c r="G120" s="288"/>
      <c r="H120" s="288"/>
      <c r="I120" s="288"/>
      <c r="J120" s="288"/>
      <c r="K120" s="288"/>
      <c r="L120" s="288"/>
      <c r="M120" s="288"/>
      <c r="N120" s="288"/>
      <c r="O120" s="288"/>
      <c r="P120" s="288"/>
      <c r="Q120" s="288"/>
      <c r="R120" s="288"/>
      <c r="S120" s="288"/>
      <c r="T120" s="288"/>
      <c r="U120" s="288"/>
      <c r="V120" s="338">
        <v>-652</v>
      </c>
      <c r="W120" s="291"/>
      <c r="X120" s="5"/>
    </row>
    <row r="121" spans="1:25" ht="15.6" x14ac:dyDescent="0.3">
      <c r="A121" s="340">
        <f t="shared" si="0"/>
        <v>14</v>
      </c>
      <c r="B121" s="288" t="s">
        <v>126</v>
      </c>
      <c r="C121" s="288"/>
      <c r="D121" s="288"/>
      <c r="E121" s="288"/>
      <c r="F121" s="288"/>
      <c r="G121" s="288"/>
      <c r="H121" s="288"/>
      <c r="I121" s="288"/>
      <c r="J121" s="288"/>
      <c r="K121" s="288"/>
      <c r="L121" s="288"/>
      <c r="M121" s="288"/>
      <c r="N121" s="288"/>
      <c r="O121" s="288"/>
      <c r="P121" s="288"/>
      <c r="Q121" s="288"/>
      <c r="R121" s="288"/>
      <c r="S121" s="288"/>
      <c r="T121" s="288"/>
      <c r="U121" s="288"/>
      <c r="V121" s="338">
        <f>-V101-SUM(V103:V120)</f>
        <v>-3344</v>
      </c>
      <c r="W121" s="291"/>
      <c r="X121" s="5"/>
    </row>
    <row r="122" spans="1:25" ht="15.6" x14ac:dyDescent="0.3">
      <c r="A122" s="287"/>
      <c r="B122" s="343" t="s">
        <v>37</v>
      </c>
      <c r="C122" s="314"/>
      <c r="D122" s="314"/>
      <c r="E122" s="314"/>
      <c r="F122" s="314"/>
      <c r="G122" s="314"/>
      <c r="H122" s="314"/>
      <c r="I122" s="314"/>
      <c r="J122" s="314"/>
      <c r="K122" s="314"/>
      <c r="L122" s="314"/>
      <c r="M122" s="314"/>
      <c r="N122" s="314"/>
      <c r="O122" s="314"/>
      <c r="P122" s="314"/>
      <c r="Q122" s="314"/>
      <c r="R122" s="314"/>
      <c r="S122" s="314"/>
      <c r="T122" s="314"/>
      <c r="U122" s="314"/>
      <c r="V122" s="346"/>
      <c r="W122" s="318"/>
      <c r="X122" s="5"/>
    </row>
    <row r="123" spans="1:25" ht="15.6" x14ac:dyDescent="0.3">
      <c r="A123" s="340"/>
      <c r="B123" s="288" t="s">
        <v>173</v>
      </c>
      <c r="C123" s="288"/>
      <c r="D123" s="288"/>
      <c r="E123" s="288"/>
      <c r="F123" s="288"/>
      <c r="G123" s="288"/>
      <c r="H123" s="288"/>
      <c r="I123" s="288"/>
      <c r="J123" s="288"/>
      <c r="K123" s="288"/>
      <c r="L123" s="288"/>
      <c r="M123" s="288"/>
      <c r="N123" s="288"/>
      <c r="O123" s="288"/>
      <c r="P123" s="288"/>
      <c r="Q123" s="288"/>
      <c r="R123" s="288"/>
      <c r="S123" s="288"/>
      <c r="T123" s="337">
        <f>-T189</f>
        <v>0</v>
      </c>
      <c r="U123" s="337"/>
      <c r="V123" s="338"/>
      <c r="W123" s="291"/>
      <c r="X123" s="5"/>
    </row>
    <row r="124" spans="1:25" ht="15.6" x14ac:dyDescent="0.3">
      <c r="A124" s="340"/>
      <c r="B124" s="288" t="s">
        <v>174</v>
      </c>
      <c r="C124" s="288"/>
      <c r="D124" s="288"/>
      <c r="E124" s="288"/>
      <c r="F124" s="288"/>
      <c r="G124" s="288"/>
      <c r="H124" s="288"/>
      <c r="I124" s="288"/>
      <c r="J124" s="288"/>
      <c r="K124" s="288"/>
      <c r="L124" s="288"/>
      <c r="M124" s="288"/>
      <c r="N124" s="288"/>
      <c r="O124" s="288"/>
      <c r="P124" s="288"/>
      <c r="Q124" s="288"/>
      <c r="R124" s="288"/>
      <c r="S124" s="288"/>
      <c r="T124" s="337">
        <v>0</v>
      </c>
      <c r="U124" s="337"/>
      <c r="V124" s="338"/>
      <c r="W124" s="291"/>
      <c r="X124" s="5"/>
    </row>
    <row r="125" spans="1:25" ht="15.6" x14ac:dyDescent="0.3">
      <c r="A125" s="340"/>
      <c r="B125" s="288" t="s">
        <v>38</v>
      </c>
      <c r="C125" s="288"/>
      <c r="D125" s="288"/>
      <c r="E125" s="288"/>
      <c r="F125" s="288"/>
      <c r="G125" s="288"/>
      <c r="H125" s="288"/>
      <c r="I125" s="288"/>
      <c r="J125" s="288"/>
      <c r="K125" s="288"/>
      <c r="L125" s="288"/>
      <c r="M125" s="288"/>
      <c r="N125" s="288"/>
      <c r="O125" s="288"/>
      <c r="P125" s="288"/>
      <c r="Q125" s="288"/>
      <c r="R125" s="288"/>
      <c r="S125" s="288"/>
      <c r="T125" s="337">
        <f>-S189</f>
        <v>-511</v>
      </c>
      <c r="U125" s="337"/>
      <c r="V125" s="338"/>
      <c r="W125" s="291"/>
      <c r="X125" s="5"/>
    </row>
    <row r="126" spans="1:25" ht="15.6" x14ac:dyDescent="0.3">
      <c r="A126" s="340"/>
      <c r="B126" s="288" t="s">
        <v>197</v>
      </c>
      <c r="C126" s="288"/>
      <c r="D126" s="288"/>
      <c r="E126" s="288"/>
      <c r="F126" s="288"/>
      <c r="G126" s="288"/>
      <c r="H126" s="288"/>
      <c r="I126" s="288"/>
      <c r="J126" s="288"/>
      <c r="K126" s="288"/>
      <c r="L126" s="288"/>
      <c r="M126" s="288"/>
      <c r="N126" s="288"/>
      <c r="O126" s="288"/>
      <c r="P126" s="288"/>
      <c r="Q126" s="288"/>
      <c r="R126" s="288"/>
      <c r="S126" s="288"/>
      <c r="T126" s="337">
        <v>-6561</v>
      </c>
      <c r="U126" s="337"/>
      <c r="V126" s="338"/>
      <c r="W126" s="291"/>
      <c r="X126" s="5"/>
    </row>
    <row r="127" spans="1:25" ht="15.6" x14ac:dyDescent="0.3">
      <c r="A127" s="340"/>
      <c r="B127" s="288" t="s">
        <v>195</v>
      </c>
      <c r="C127" s="288"/>
      <c r="D127" s="288"/>
      <c r="E127" s="288"/>
      <c r="F127" s="288"/>
      <c r="G127" s="288"/>
      <c r="H127" s="288"/>
      <c r="I127" s="288"/>
      <c r="J127" s="288"/>
      <c r="K127" s="288"/>
      <c r="L127" s="288"/>
      <c r="M127" s="288"/>
      <c r="N127" s="288"/>
      <c r="O127" s="288"/>
      <c r="P127" s="288"/>
      <c r="Q127" s="288"/>
      <c r="R127" s="288"/>
      <c r="S127" s="288"/>
      <c r="T127" s="337">
        <v>-1058</v>
      </c>
      <c r="U127" s="337"/>
      <c r="V127" s="338"/>
      <c r="W127" s="291"/>
      <c r="X127" s="5"/>
    </row>
    <row r="128" spans="1:25" ht="15.6" x14ac:dyDescent="0.3">
      <c r="A128" s="340"/>
      <c r="B128" s="288" t="s">
        <v>194</v>
      </c>
      <c r="C128" s="288"/>
      <c r="D128" s="288"/>
      <c r="E128" s="288"/>
      <c r="F128" s="288"/>
      <c r="G128" s="288"/>
      <c r="H128" s="288"/>
      <c r="I128" s="288"/>
      <c r="J128" s="288"/>
      <c r="K128" s="288"/>
      <c r="L128" s="288"/>
      <c r="M128" s="288"/>
      <c r="N128" s="288"/>
      <c r="O128" s="288"/>
      <c r="P128" s="288"/>
      <c r="Q128" s="288"/>
      <c r="R128" s="288"/>
      <c r="S128" s="288"/>
      <c r="T128" s="337">
        <v>-1423</v>
      </c>
      <c r="U128" s="337"/>
      <c r="V128" s="338"/>
      <c r="W128" s="291"/>
      <c r="X128" s="5"/>
    </row>
    <row r="129" spans="1:24" ht="15.6" x14ac:dyDescent="0.3">
      <c r="A129" s="340"/>
      <c r="B129" s="288" t="s">
        <v>226</v>
      </c>
      <c r="C129" s="288"/>
      <c r="D129" s="288"/>
      <c r="E129" s="288"/>
      <c r="F129" s="288"/>
      <c r="G129" s="288"/>
      <c r="H129" s="288"/>
      <c r="I129" s="288"/>
      <c r="J129" s="288"/>
      <c r="K129" s="288"/>
      <c r="L129" s="288"/>
      <c r="M129" s="288"/>
      <c r="N129" s="288"/>
      <c r="O129" s="288"/>
      <c r="P129" s="288"/>
      <c r="Q129" s="288"/>
      <c r="R129" s="288"/>
      <c r="S129" s="288"/>
      <c r="T129" s="337">
        <v>-1750</v>
      </c>
      <c r="U129" s="337"/>
      <c r="V129" s="338"/>
      <c r="W129" s="291"/>
      <c r="X129" s="5"/>
    </row>
    <row r="130" spans="1:24" ht="15.6" x14ac:dyDescent="0.3">
      <c r="A130" s="340"/>
      <c r="B130" s="288" t="s">
        <v>189</v>
      </c>
      <c r="C130" s="288"/>
      <c r="D130" s="288"/>
      <c r="E130" s="288"/>
      <c r="F130" s="288"/>
      <c r="G130" s="288"/>
      <c r="H130" s="288"/>
      <c r="I130" s="288"/>
      <c r="J130" s="288"/>
      <c r="K130" s="288"/>
      <c r="L130" s="288"/>
      <c r="M130" s="288"/>
      <c r="N130" s="288"/>
      <c r="O130" s="288"/>
      <c r="P130" s="288"/>
      <c r="Q130" s="288"/>
      <c r="R130" s="288"/>
      <c r="S130" s="288"/>
      <c r="T130" s="337">
        <v>0</v>
      </c>
      <c r="U130" s="337"/>
      <c r="V130" s="338"/>
      <c r="W130" s="291"/>
      <c r="X130" s="5"/>
    </row>
    <row r="131" spans="1:24" ht="15.6" x14ac:dyDescent="0.3">
      <c r="A131" s="340"/>
      <c r="B131" s="288" t="s">
        <v>188</v>
      </c>
      <c r="C131" s="288"/>
      <c r="D131" s="288"/>
      <c r="E131" s="288"/>
      <c r="F131" s="288"/>
      <c r="G131" s="288"/>
      <c r="H131" s="288"/>
      <c r="I131" s="288"/>
      <c r="J131" s="288"/>
      <c r="K131" s="288"/>
      <c r="L131" s="288"/>
      <c r="M131" s="288"/>
      <c r="N131" s="288"/>
      <c r="O131" s="288"/>
      <c r="P131" s="288"/>
      <c r="Q131" s="288"/>
      <c r="R131" s="288"/>
      <c r="S131" s="288"/>
      <c r="T131" s="337">
        <v>0</v>
      </c>
      <c r="U131" s="337"/>
      <c r="V131" s="338"/>
      <c r="W131" s="291"/>
      <c r="X131" s="5"/>
    </row>
    <row r="132" spans="1:24" ht="15.6" x14ac:dyDescent="0.3">
      <c r="A132" s="340"/>
      <c r="B132" s="288" t="s">
        <v>227</v>
      </c>
      <c r="C132" s="288"/>
      <c r="D132" s="288"/>
      <c r="E132" s="288"/>
      <c r="F132" s="288"/>
      <c r="G132" s="288"/>
      <c r="H132" s="288"/>
      <c r="I132" s="288"/>
      <c r="J132" s="288"/>
      <c r="K132" s="288"/>
      <c r="L132" s="288"/>
      <c r="M132" s="288"/>
      <c r="N132" s="288"/>
      <c r="O132" s="288"/>
      <c r="P132" s="288"/>
      <c r="Q132" s="288"/>
      <c r="R132" s="288"/>
      <c r="S132" s="288"/>
      <c r="T132" s="337">
        <v>0</v>
      </c>
      <c r="U132" s="337"/>
      <c r="V132" s="338"/>
      <c r="W132" s="291"/>
      <c r="X132" s="5"/>
    </row>
    <row r="133" spans="1:24" ht="15.6" x14ac:dyDescent="0.3">
      <c r="A133" s="340"/>
      <c r="B133" s="288" t="s">
        <v>187</v>
      </c>
      <c r="C133" s="288"/>
      <c r="D133" s="288"/>
      <c r="E133" s="288"/>
      <c r="F133" s="288"/>
      <c r="G133" s="288"/>
      <c r="H133" s="288"/>
      <c r="I133" s="288"/>
      <c r="J133" s="288"/>
      <c r="K133" s="288"/>
      <c r="L133" s="288"/>
      <c r="M133" s="288"/>
      <c r="N133" s="288"/>
      <c r="O133" s="288"/>
      <c r="P133" s="288"/>
      <c r="Q133" s="288"/>
      <c r="R133" s="288"/>
      <c r="S133" s="288"/>
      <c r="T133" s="337">
        <v>0</v>
      </c>
      <c r="U133" s="337"/>
      <c r="V133" s="338"/>
      <c r="W133" s="291"/>
      <c r="X133" s="5"/>
    </row>
    <row r="134" spans="1:24" ht="15.6" x14ac:dyDescent="0.3">
      <c r="A134" s="340"/>
      <c r="B134" s="288" t="s">
        <v>39</v>
      </c>
      <c r="C134" s="288"/>
      <c r="D134" s="288"/>
      <c r="E134" s="288"/>
      <c r="F134" s="288"/>
      <c r="G134" s="288"/>
      <c r="H134" s="288"/>
      <c r="I134" s="288"/>
      <c r="J134" s="288"/>
      <c r="K134" s="288"/>
      <c r="L134" s="288"/>
      <c r="M134" s="288"/>
      <c r="N134" s="288"/>
      <c r="O134" s="288"/>
      <c r="P134" s="288"/>
      <c r="Q134" s="288"/>
      <c r="R134" s="288"/>
      <c r="S134" s="288"/>
      <c r="T134" s="337">
        <f>SUM(T123:T133)</f>
        <v>-11303</v>
      </c>
      <c r="U134" s="337"/>
      <c r="V134" s="337">
        <f>SUM(V102:V131)</f>
        <v>-6707</v>
      </c>
      <c r="W134" s="291"/>
      <c r="X134" s="5"/>
    </row>
    <row r="135" spans="1:24" ht="15.6" x14ac:dyDescent="0.3">
      <c r="A135" s="340"/>
      <c r="B135" s="288" t="s">
        <v>40</v>
      </c>
      <c r="C135" s="288"/>
      <c r="D135" s="288"/>
      <c r="E135" s="288"/>
      <c r="F135" s="288"/>
      <c r="G135" s="288"/>
      <c r="H135" s="288"/>
      <c r="I135" s="288"/>
      <c r="J135" s="288"/>
      <c r="K135" s="288"/>
      <c r="L135" s="288"/>
      <c r="M135" s="288"/>
      <c r="N135" s="288"/>
      <c r="O135" s="288"/>
      <c r="P135" s="288"/>
      <c r="Q135" s="288"/>
      <c r="R135" s="288"/>
      <c r="S135" s="288"/>
      <c r="T135" s="337">
        <f>T101+T134+T115</f>
        <v>0</v>
      </c>
      <c r="U135" s="337"/>
      <c r="V135" s="337">
        <f>V101+V134</f>
        <v>0</v>
      </c>
      <c r="W135" s="291"/>
      <c r="X135" s="5"/>
    </row>
    <row r="136" spans="1:24" ht="15.6" x14ac:dyDescent="0.3">
      <c r="A136" s="243"/>
      <c r="B136" s="284"/>
      <c r="C136" s="284"/>
      <c r="D136" s="284"/>
      <c r="E136" s="284"/>
      <c r="F136" s="284"/>
      <c r="G136" s="284"/>
      <c r="H136" s="284"/>
      <c r="I136" s="284"/>
      <c r="J136" s="284"/>
      <c r="K136" s="284"/>
      <c r="L136" s="284"/>
      <c r="M136" s="284"/>
      <c r="N136" s="284"/>
      <c r="O136" s="284"/>
      <c r="P136" s="284"/>
      <c r="Q136" s="284"/>
      <c r="R136" s="284"/>
      <c r="S136" s="284"/>
      <c r="T136" s="339"/>
      <c r="U136" s="339"/>
      <c r="V136" s="339"/>
      <c r="W136" s="284"/>
      <c r="X136" s="5"/>
    </row>
    <row r="137" spans="1:24" ht="15.6" x14ac:dyDescent="0.3">
      <c r="A137" s="243"/>
      <c r="B137" s="224"/>
      <c r="C137" s="224"/>
      <c r="D137" s="224"/>
      <c r="E137" s="224"/>
      <c r="F137" s="224"/>
      <c r="G137" s="224"/>
      <c r="H137" s="224"/>
      <c r="I137" s="224"/>
      <c r="J137" s="224"/>
      <c r="K137" s="224"/>
      <c r="L137" s="224"/>
      <c r="M137" s="224"/>
      <c r="N137" s="224"/>
      <c r="O137" s="224"/>
      <c r="P137" s="224"/>
      <c r="Q137" s="224"/>
      <c r="R137" s="224"/>
      <c r="S137" s="224"/>
      <c r="T137" s="224"/>
      <c r="U137" s="224"/>
      <c r="V137" s="244"/>
      <c r="W137" s="224"/>
      <c r="X137" s="5"/>
    </row>
    <row r="138" spans="1:24" ht="18" thickBot="1" x14ac:dyDescent="0.35">
      <c r="A138" s="245"/>
      <c r="B138" s="237" t="str">
        <f>B64</f>
        <v>PM14 INVESTOR REPORT QUARTER ENDING MAY 2015</v>
      </c>
      <c r="C138" s="238"/>
      <c r="D138" s="238"/>
      <c r="E138" s="238"/>
      <c r="F138" s="238"/>
      <c r="G138" s="238"/>
      <c r="H138" s="238"/>
      <c r="I138" s="238"/>
      <c r="J138" s="238"/>
      <c r="K138" s="238"/>
      <c r="L138" s="238"/>
      <c r="M138" s="238"/>
      <c r="N138" s="238"/>
      <c r="O138" s="238"/>
      <c r="P138" s="238"/>
      <c r="Q138" s="238"/>
      <c r="R138" s="238"/>
      <c r="S138" s="238"/>
      <c r="T138" s="238"/>
      <c r="U138" s="238"/>
      <c r="V138" s="246"/>
      <c r="W138" s="240"/>
      <c r="X138" s="5"/>
    </row>
    <row r="139" spans="1:24" ht="15.6" x14ac:dyDescent="0.3">
      <c r="A139" s="273"/>
      <c r="B139" s="403" t="s">
        <v>41</v>
      </c>
      <c r="C139" s="274"/>
      <c r="D139" s="274"/>
      <c r="E139" s="274"/>
      <c r="F139" s="274"/>
      <c r="G139" s="274"/>
      <c r="H139" s="274"/>
      <c r="I139" s="274"/>
      <c r="J139" s="274"/>
      <c r="K139" s="274"/>
      <c r="L139" s="274"/>
      <c r="M139" s="274"/>
      <c r="N139" s="274"/>
      <c r="O139" s="274"/>
      <c r="P139" s="274"/>
      <c r="Q139" s="274"/>
      <c r="R139" s="274"/>
      <c r="S139" s="274"/>
      <c r="T139" s="274"/>
      <c r="U139" s="274"/>
      <c r="V139" s="275"/>
      <c r="W139" s="274"/>
      <c r="X139" s="5"/>
    </row>
    <row r="140" spans="1:24" ht="15.6" x14ac:dyDescent="0.3">
      <c r="A140" s="183"/>
      <c r="B140" s="195"/>
      <c r="C140" s="185"/>
      <c r="D140" s="185"/>
      <c r="E140" s="185"/>
      <c r="F140" s="185"/>
      <c r="G140" s="185"/>
      <c r="H140" s="185"/>
      <c r="I140" s="185"/>
      <c r="J140" s="185"/>
      <c r="K140" s="185"/>
      <c r="L140" s="185"/>
      <c r="M140" s="185"/>
      <c r="N140" s="185"/>
      <c r="O140" s="185"/>
      <c r="P140" s="185"/>
      <c r="Q140" s="185"/>
      <c r="R140" s="185"/>
      <c r="S140" s="185"/>
      <c r="T140" s="185"/>
      <c r="U140" s="185"/>
      <c r="V140" s="201"/>
      <c r="W140" s="185"/>
      <c r="X140" s="5"/>
    </row>
    <row r="141" spans="1:24" ht="15.6" x14ac:dyDescent="0.3">
      <c r="A141" s="183"/>
      <c r="B141" s="208" t="s">
        <v>42</v>
      </c>
      <c r="C141" s="185"/>
      <c r="D141" s="185"/>
      <c r="E141" s="185"/>
      <c r="F141" s="185"/>
      <c r="G141" s="185"/>
      <c r="H141" s="185"/>
      <c r="I141" s="185"/>
      <c r="J141" s="185"/>
      <c r="K141" s="185"/>
      <c r="L141" s="185"/>
      <c r="M141" s="185"/>
      <c r="N141" s="185"/>
      <c r="O141" s="185"/>
      <c r="P141" s="185"/>
      <c r="Q141" s="185"/>
      <c r="R141" s="185"/>
      <c r="S141" s="185"/>
      <c r="T141" s="185"/>
      <c r="U141" s="185"/>
      <c r="V141" s="201"/>
      <c r="W141" s="185"/>
      <c r="X141" s="5"/>
    </row>
    <row r="142" spans="1:24" ht="15.6" x14ac:dyDescent="0.3">
      <c r="A142" s="287"/>
      <c r="B142" s="288" t="s">
        <v>43</v>
      </c>
      <c r="C142" s="288"/>
      <c r="D142" s="288"/>
      <c r="E142" s="288"/>
      <c r="F142" s="288"/>
      <c r="G142" s="288"/>
      <c r="H142" s="288"/>
      <c r="I142" s="288"/>
      <c r="J142" s="288"/>
      <c r="K142" s="288"/>
      <c r="L142" s="288"/>
      <c r="M142" s="288"/>
      <c r="N142" s="288"/>
      <c r="O142" s="288"/>
      <c r="P142" s="288"/>
      <c r="Q142" s="288"/>
      <c r="R142" s="288"/>
      <c r="S142" s="288"/>
      <c r="T142" s="288"/>
      <c r="U142" s="288"/>
      <c r="V142" s="338">
        <f>+V34*0.019</f>
        <v>28505.224999999999</v>
      </c>
      <c r="W142" s="291"/>
      <c r="X142" s="5"/>
    </row>
    <row r="143" spans="1:24" ht="15.6" x14ac:dyDescent="0.3">
      <c r="A143" s="287"/>
      <c r="B143" s="288" t="s">
        <v>44</v>
      </c>
      <c r="C143" s="288"/>
      <c r="D143" s="288"/>
      <c r="E143" s="288"/>
      <c r="F143" s="288"/>
      <c r="G143" s="288"/>
      <c r="H143" s="288"/>
      <c r="I143" s="288"/>
      <c r="J143" s="288"/>
      <c r="K143" s="288"/>
      <c r="L143" s="288"/>
      <c r="M143" s="288"/>
      <c r="N143" s="288"/>
      <c r="O143" s="288"/>
      <c r="P143" s="288"/>
      <c r="Q143" s="288"/>
      <c r="R143" s="288"/>
      <c r="S143" s="288"/>
      <c r="T143" s="288"/>
      <c r="U143" s="288"/>
      <c r="V143" s="338">
        <v>28505</v>
      </c>
      <c r="W143" s="291"/>
      <c r="X143" s="5"/>
    </row>
    <row r="144" spans="1:24" ht="15.6" x14ac:dyDescent="0.3">
      <c r="A144" s="287"/>
      <c r="B144" s="288" t="s">
        <v>136</v>
      </c>
      <c r="C144" s="288"/>
      <c r="D144" s="288"/>
      <c r="E144" s="288"/>
      <c r="F144" s="288"/>
      <c r="G144" s="288"/>
      <c r="H144" s="288"/>
      <c r="I144" s="288"/>
      <c r="J144" s="288"/>
      <c r="K144" s="288"/>
      <c r="L144" s="288"/>
      <c r="M144" s="288"/>
      <c r="N144" s="288"/>
      <c r="O144" s="288"/>
      <c r="P144" s="288"/>
      <c r="Q144" s="288"/>
      <c r="R144" s="288"/>
      <c r="S144" s="288"/>
      <c r="T144" s="288"/>
      <c r="U144" s="288"/>
      <c r="V144" s="338"/>
      <c r="W144" s="291"/>
      <c r="X144" s="5"/>
    </row>
    <row r="145" spans="1:25" ht="15.6" x14ac:dyDescent="0.3">
      <c r="A145" s="287"/>
      <c r="B145" s="288" t="s">
        <v>123</v>
      </c>
      <c r="C145" s="288"/>
      <c r="D145" s="288"/>
      <c r="E145" s="288"/>
      <c r="F145" s="288"/>
      <c r="G145" s="288"/>
      <c r="H145" s="288"/>
      <c r="I145" s="288"/>
      <c r="J145" s="288"/>
      <c r="K145" s="288"/>
      <c r="L145" s="288"/>
      <c r="M145" s="288"/>
      <c r="N145" s="288"/>
      <c r="O145" s="288"/>
      <c r="P145" s="288"/>
      <c r="Q145" s="288"/>
      <c r="R145" s="288"/>
      <c r="S145" s="288"/>
      <c r="T145" s="288"/>
      <c r="U145" s="288"/>
      <c r="V145" s="338">
        <v>0</v>
      </c>
      <c r="W145" s="291"/>
      <c r="X145" s="5"/>
    </row>
    <row r="146" spans="1:25" ht="15.6" x14ac:dyDescent="0.3">
      <c r="A146" s="287"/>
      <c r="B146" s="288" t="s">
        <v>124</v>
      </c>
      <c r="C146" s="288"/>
      <c r="D146" s="288"/>
      <c r="E146" s="288"/>
      <c r="F146" s="288"/>
      <c r="G146" s="288"/>
      <c r="H146" s="288"/>
      <c r="I146" s="288"/>
      <c r="J146" s="288"/>
      <c r="K146" s="288"/>
      <c r="L146" s="288"/>
      <c r="M146" s="288"/>
      <c r="N146" s="288"/>
      <c r="O146" s="288"/>
      <c r="P146" s="288"/>
      <c r="Q146" s="288"/>
      <c r="R146" s="288"/>
      <c r="S146" s="288"/>
      <c r="T146" s="288"/>
      <c r="U146" s="288"/>
      <c r="V146" s="338">
        <v>0</v>
      </c>
      <c r="W146" s="291"/>
      <c r="X146" s="5"/>
    </row>
    <row r="147" spans="1:25" ht="15.6" x14ac:dyDescent="0.3">
      <c r="A147" s="287"/>
      <c r="B147" s="288" t="s">
        <v>175</v>
      </c>
      <c r="C147" s="288"/>
      <c r="D147" s="288"/>
      <c r="E147" s="288"/>
      <c r="F147" s="288"/>
      <c r="G147" s="288"/>
      <c r="H147" s="288"/>
      <c r="I147" s="288"/>
      <c r="J147" s="288"/>
      <c r="K147" s="288"/>
      <c r="L147" s="288"/>
      <c r="M147" s="288"/>
      <c r="N147" s="288"/>
      <c r="O147" s="288"/>
      <c r="P147" s="288"/>
      <c r="Q147" s="288"/>
      <c r="R147" s="288"/>
      <c r="S147" s="288"/>
      <c r="T147" s="288"/>
      <c r="U147" s="288"/>
      <c r="V147" s="338">
        <v>0</v>
      </c>
      <c r="W147" s="291"/>
      <c r="X147" s="5"/>
    </row>
    <row r="148" spans="1:25" ht="15.6" x14ac:dyDescent="0.3">
      <c r="A148" s="287"/>
      <c r="B148" s="288" t="s">
        <v>45</v>
      </c>
      <c r="C148" s="288"/>
      <c r="D148" s="288"/>
      <c r="E148" s="288"/>
      <c r="F148" s="288"/>
      <c r="G148" s="288"/>
      <c r="H148" s="288"/>
      <c r="I148" s="288"/>
      <c r="J148" s="288"/>
      <c r="K148" s="288"/>
      <c r="L148" s="288"/>
      <c r="M148" s="288"/>
      <c r="N148" s="288"/>
      <c r="O148" s="288"/>
      <c r="P148" s="288"/>
      <c r="Q148" s="288"/>
      <c r="R148" s="288"/>
      <c r="S148" s="288"/>
      <c r="T148" s="288"/>
      <c r="U148" s="288"/>
      <c r="V148" s="338">
        <v>0</v>
      </c>
      <c r="W148" s="291"/>
      <c r="X148" s="5"/>
    </row>
    <row r="149" spans="1:25" ht="15.6" x14ac:dyDescent="0.3">
      <c r="A149" s="287"/>
      <c r="B149" s="288" t="s">
        <v>129</v>
      </c>
      <c r="C149" s="288"/>
      <c r="D149" s="288"/>
      <c r="E149" s="288"/>
      <c r="F149" s="288"/>
      <c r="G149" s="288"/>
      <c r="H149" s="288"/>
      <c r="I149" s="288"/>
      <c r="J149" s="288"/>
      <c r="K149" s="288"/>
      <c r="L149" s="288"/>
      <c r="M149" s="288"/>
      <c r="N149" s="288"/>
      <c r="O149" s="288"/>
      <c r="P149" s="288"/>
      <c r="Q149" s="288"/>
      <c r="R149" s="288"/>
      <c r="S149" s="288"/>
      <c r="T149" s="288"/>
      <c r="U149" s="288"/>
      <c r="V149" s="338">
        <v>0</v>
      </c>
      <c r="W149" s="291"/>
      <c r="X149" s="5"/>
    </row>
    <row r="150" spans="1:25" ht="15.6" x14ac:dyDescent="0.3">
      <c r="A150" s="287"/>
      <c r="B150" s="288" t="s">
        <v>267</v>
      </c>
      <c r="C150" s="288"/>
      <c r="D150" s="288"/>
      <c r="E150" s="288"/>
      <c r="F150" s="288"/>
      <c r="G150" s="288"/>
      <c r="H150" s="288"/>
      <c r="I150" s="288"/>
      <c r="J150" s="288"/>
      <c r="K150" s="288"/>
      <c r="L150" s="288"/>
      <c r="M150" s="288"/>
      <c r="N150" s="288"/>
      <c r="O150" s="288"/>
      <c r="P150" s="288"/>
      <c r="Q150" s="288"/>
      <c r="R150" s="288"/>
      <c r="S150" s="288"/>
      <c r="T150" s="288"/>
      <c r="U150" s="288"/>
      <c r="V150" s="338">
        <v>0</v>
      </c>
      <c r="W150" s="291"/>
      <c r="X150" s="5"/>
      <c r="Y150" s="109"/>
    </row>
    <row r="151" spans="1:25" ht="15.6" x14ac:dyDescent="0.3">
      <c r="A151" s="287"/>
      <c r="B151" s="288" t="s">
        <v>46</v>
      </c>
      <c r="C151" s="288"/>
      <c r="D151" s="288"/>
      <c r="E151" s="288"/>
      <c r="F151" s="288"/>
      <c r="G151" s="288"/>
      <c r="H151" s="288"/>
      <c r="I151" s="288"/>
      <c r="J151" s="288"/>
      <c r="K151" s="288"/>
      <c r="L151" s="288"/>
      <c r="M151" s="288"/>
      <c r="N151" s="288"/>
      <c r="O151" s="288"/>
      <c r="P151" s="288"/>
      <c r="Q151" s="288"/>
      <c r="R151" s="288"/>
      <c r="S151" s="288"/>
      <c r="T151" s="288"/>
      <c r="U151" s="288"/>
      <c r="V151" s="338">
        <f>SUM(V143:V150)</f>
        <v>28505</v>
      </c>
      <c r="W151" s="291"/>
      <c r="X151" s="5"/>
    </row>
    <row r="152" spans="1:25" ht="15.6" x14ac:dyDescent="0.3">
      <c r="A152" s="287"/>
      <c r="B152" s="314"/>
      <c r="C152" s="314"/>
      <c r="D152" s="314"/>
      <c r="E152" s="314"/>
      <c r="F152" s="314"/>
      <c r="G152" s="314"/>
      <c r="H152" s="314"/>
      <c r="I152" s="314"/>
      <c r="J152" s="314"/>
      <c r="K152" s="314"/>
      <c r="L152" s="314"/>
      <c r="M152" s="314"/>
      <c r="N152" s="314"/>
      <c r="O152" s="314"/>
      <c r="P152" s="314"/>
      <c r="Q152" s="314"/>
      <c r="R152" s="314"/>
      <c r="S152" s="314"/>
      <c r="T152" s="314"/>
      <c r="U152" s="314"/>
      <c r="V152" s="345"/>
      <c r="W152" s="318"/>
      <c r="X152" s="5"/>
    </row>
    <row r="153" spans="1:25" ht="15.6" x14ac:dyDescent="0.3">
      <c r="A153" s="287"/>
      <c r="B153" s="343" t="s">
        <v>237</v>
      </c>
      <c r="C153" s="314"/>
      <c r="D153" s="314"/>
      <c r="E153" s="314"/>
      <c r="F153" s="314"/>
      <c r="G153" s="314"/>
      <c r="H153" s="314"/>
      <c r="I153" s="314"/>
      <c r="J153" s="314"/>
      <c r="K153" s="314"/>
      <c r="L153" s="314"/>
      <c r="M153" s="314"/>
      <c r="N153" s="314"/>
      <c r="O153" s="314"/>
      <c r="P153" s="314"/>
      <c r="Q153" s="314"/>
      <c r="R153" s="314"/>
      <c r="S153" s="314"/>
      <c r="T153" s="314"/>
      <c r="U153" s="314"/>
      <c r="V153" s="345"/>
      <c r="W153" s="318"/>
      <c r="X153" s="5"/>
    </row>
    <row r="154" spans="1:25" ht="15.6" x14ac:dyDescent="0.3">
      <c r="A154" s="287"/>
      <c r="B154" s="288" t="s">
        <v>155</v>
      </c>
      <c r="C154" s="288"/>
      <c r="D154" s="288"/>
      <c r="E154" s="288"/>
      <c r="F154" s="288"/>
      <c r="G154" s="288"/>
      <c r="H154" s="288"/>
      <c r="I154" s="288"/>
      <c r="J154" s="288"/>
      <c r="K154" s="288"/>
      <c r="L154" s="288"/>
      <c r="M154" s="288"/>
      <c r="N154" s="288"/>
      <c r="O154" s="288"/>
      <c r="P154" s="288"/>
      <c r="Q154" s="288"/>
      <c r="R154" s="288"/>
      <c r="S154" s="288"/>
      <c r="T154" s="288"/>
      <c r="U154" s="288"/>
      <c r="V154" s="338">
        <v>7500</v>
      </c>
      <c r="W154" s="291"/>
      <c r="X154" s="5"/>
    </row>
    <row r="155" spans="1:25" ht="15.6" x14ac:dyDescent="0.3">
      <c r="A155" s="287"/>
      <c r="B155" s="288" t="s">
        <v>172</v>
      </c>
      <c r="C155" s="288"/>
      <c r="D155" s="288"/>
      <c r="E155" s="288"/>
      <c r="F155" s="288"/>
      <c r="G155" s="288"/>
      <c r="H155" s="288"/>
      <c r="I155" s="288"/>
      <c r="J155" s="288"/>
      <c r="K155" s="288"/>
      <c r="L155" s="288"/>
      <c r="M155" s="288"/>
      <c r="N155" s="288"/>
      <c r="O155" s="288"/>
      <c r="P155" s="288"/>
      <c r="Q155" s="288"/>
      <c r="R155" s="288"/>
      <c r="S155" s="288"/>
      <c r="T155" s="288"/>
      <c r="U155" s="288"/>
      <c r="V155" s="338">
        <v>0</v>
      </c>
      <c r="W155" s="291"/>
      <c r="X155" s="5"/>
    </row>
    <row r="156" spans="1:25" ht="15.6" x14ac:dyDescent="0.3">
      <c r="A156" s="287"/>
      <c r="B156" s="288" t="s">
        <v>344</v>
      </c>
      <c r="C156" s="288"/>
      <c r="D156" s="288"/>
      <c r="E156" s="288"/>
      <c r="F156" s="288"/>
      <c r="G156" s="288"/>
      <c r="H156" s="288"/>
      <c r="I156" s="288"/>
      <c r="J156" s="288"/>
      <c r="K156" s="288"/>
      <c r="L156" s="288"/>
      <c r="M156" s="288"/>
      <c r="N156" s="288"/>
      <c r="O156" s="288"/>
      <c r="P156" s="288"/>
      <c r="Q156" s="288"/>
      <c r="R156" s="288"/>
      <c r="S156" s="288"/>
      <c r="T156" s="288"/>
      <c r="U156" s="288"/>
      <c r="V156" s="338">
        <v>0</v>
      </c>
      <c r="W156" s="291"/>
      <c r="X156" s="5"/>
    </row>
    <row r="157" spans="1:25" ht="15.6" x14ac:dyDescent="0.3">
      <c r="A157" s="287"/>
      <c r="B157" s="288"/>
      <c r="C157" s="288"/>
      <c r="D157" s="288"/>
      <c r="E157" s="288"/>
      <c r="F157" s="288"/>
      <c r="G157" s="288"/>
      <c r="H157" s="288"/>
      <c r="I157" s="288"/>
      <c r="J157" s="288"/>
      <c r="K157" s="288"/>
      <c r="L157" s="288"/>
      <c r="M157" s="288"/>
      <c r="N157" s="288"/>
      <c r="O157" s="288"/>
      <c r="P157" s="288"/>
      <c r="Q157" s="288"/>
      <c r="R157" s="288"/>
      <c r="S157" s="288"/>
      <c r="T157" s="288"/>
      <c r="U157" s="288"/>
      <c r="V157" s="338"/>
      <c r="W157" s="291"/>
      <c r="X157" s="5"/>
    </row>
    <row r="158" spans="1:25" ht="15.6" x14ac:dyDescent="0.3">
      <c r="A158" s="183"/>
      <c r="B158" s="198"/>
      <c r="C158" s="198"/>
      <c r="D158" s="198"/>
      <c r="E158" s="198"/>
      <c r="F158" s="198"/>
      <c r="G158" s="198"/>
      <c r="H158" s="198"/>
      <c r="I158" s="198"/>
      <c r="J158" s="198"/>
      <c r="K158" s="198"/>
      <c r="L158" s="198"/>
      <c r="M158" s="198"/>
      <c r="N158" s="198"/>
      <c r="O158" s="198"/>
      <c r="P158" s="198"/>
      <c r="Q158" s="198"/>
      <c r="R158" s="198"/>
      <c r="S158" s="198"/>
      <c r="T158" s="198"/>
      <c r="U158" s="198"/>
      <c r="V158" s="347"/>
      <c r="W158" s="198"/>
      <c r="X158" s="5"/>
    </row>
    <row r="159" spans="1:25" ht="15.6" x14ac:dyDescent="0.3">
      <c r="A159" s="183"/>
      <c r="B159" s="208" t="s">
        <v>24</v>
      </c>
      <c r="C159" s="185"/>
      <c r="D159" s="185"/>
      <c r="E159" s="185"/>
      <c r="F159" s="185"/>
      <c r="G159" s="185"/>
      <c r="H159" s="185"/>
      <c r="I159" s="185"/>
      <c r="J159" s="185"/>
      <c r="K159" s="185"/>
      <c r="L159" s="185"/>
      <c r="M159" s="185"/>
      <c r="N159" s="185"/>
      <c r="O159" s="185"/>
      <c r="P159" s="185"/>
      <c r="Q159" s="185"/>
      <c r="R159" s="185"/>
      <c r="S159" s="185"/>
      <c r="T159" s="185"/>
      <c r="U159" s="185"/>
      <c r="V159" s="201"/>
      <c r="W159" s="185"/>
      <c r="X159" s="5"/>
    </row>
    <row r="160" spans="1:25" ht="15.6" x14ac:dyDescent="0.3">
      <c r="A160" s="287"/>
      <c r="B160" s="288" t="s">
        <v>47</v>
      </c>
      <c r="C160" s="288"/>
      <c r="D160" s="288"/>
      <c r="E160" s="288"/>
      <c r="F160" s="288"/>
      <c r="G160" s="288"/>
      <c r="H160" s="288"/>
      <c r="I160" s="288"/>
      <c r="J160" s="288"/>
      <c r="K160" s="288"/>
      <c r="L160" s="288"/>
      <c r="M160" s="288"/>
      <c r="N160" s="288"/>
      <c r="O160" s="288"/>
      <c r="P160" s="288"/>
      <c r="Q160" s="288"/>
      <c r="R160" s="288"/>
      <c r="S160" s="288"/>
      <c r="T160" s="288"/>
      <c r="U160" s="288"/>
      <c r="V160" s="348" t="s">
        <v>118</v>
      </c>
      <c r="W160" s="291"/>
      <c r="X160" s="5"/>
    </row>
    <row r="161" spans="1:256" ht="15.6" x14ac:dyDescent="0.3">
      <c r="A161" s="287"/>
      <c r="B161" s="288" t="s">
        <v>48</v>
      </c>
      <c r="C161" s="290"/>
      <c r="D161" s="290"/>
      <c r="E161" s="290"/>
      <c r="F161" s="290"/>
      <c r="G161" s="290"/>
      <c r="H161" s="290"/>
      <c r="I161" s="290"/>
      <c r="J161" s="290"/>
      <c r="K161" s="290"/>
      <c r="L161" s="290"/>
      <c r="M161" s="290"/>
      <c r="N161" s="290"/>
      <c r="O161" s="290"/>
      <c r="P161" s="290"/>
      <c r="Q161" s="290"/>
      <c r="R161" s="290"/>
      <c r="S161" s="290"/>
      <c r="T161" s="290"/>
      <c r="U161" s="290"/>
      <c r="V161" s="348" t="s">
        <v>118</v>
      </c>
      <c r="W161" s="291"/>
      <c r="X161" s="5"/>
    </row>
    <row r="162" spans="1:256" ht="15.6" x14ac:dyDescent="0.3">
      <c r="A162" s="287"/>
      <c r="B162" s="288" t="s">
        <v>49</v>
      </c>
      <c r="C162" s="288"/>
      <c r="D162" s="288"/>
      <c r="E162" s="288"/>
      <c r="F162" s="288"/>
      <c r="G162" s="288"/>
      <c r="H162" s="288"/>
      <c r="I162" s="288"/>
      <c r="J162" s="288"/>
      <c r="K162" s="288"/>
      <c r="L162" s="288"/>
      <c r="M162" s="288"/>
      <c r="N162" s="288"/>
      <c r="O162" s="288"/>
      <c r="P162" s="288"/>
      <c r="Q162" s="288"/>
      <c r="R162" s="288"/>
      <c r="S162" s="288"/>
      <c r="T162" s="288"/>
      <c r="U162" s="288"/>
      <c r="V162" s="348" t="s">
        <v>118</v>
      </c>
      <c r="W162" s="291"/>
      <c r="X162" s="5"/>
    </row>
    <row r="163" spans="1:256" ht="15.6" x14ac:dyDescent="0.3">
      <c r="A163" s="287"/>
      <c r="B163" s="288" t="s">
        <v>50</v>
      </c>
      <c r="C163" s="288"/>
      <c r="D163" s="288"/>
      <c r="E163" s="288"/>
      <c r="F163" s="288"/>
      <c r="G163" s="288"/>
      <c r="H163" s="288"/>
      <c r="I163" s="288"/>
      <c r="J163" s="288"/>
      <c r="K163" s="288"/>
      <c r="L163" s="288"/>
      <c r="M163" s="288"/>
      <c r="N163" s="288"/>
      <c r="O163" s="288"/>
      <c r="P163" s="288"/>
      <c r="Q163" s="288"/>
      <c r="R163" s="288"/>
      <c r="S163" s="288"/>
      <c r="T163" s="288"/>
      <c r="U163" s="288"/>
      <c r="V163" s="348" t="s">
        <v>118</v>
      </c>
      <c r="W163" s="291"/>
      <c r="X163" s="5"/>
    </row>
    <row r="164" spans="1:256" ht="15.6" x14ac:dyDescent="0.3">
      <c r="A164" s="183"/>
      <c r="B164" s="198"/>
      <c r="C164" s="198"/>
      <c r="D164" s="198"/>
      <c r="E164" s="198"/>
      <c r="F164" s="198"/>
      <c r="G164" s="198"/>
      <c r="H164" s="198"/>
      <c r="I164" s="198"/>
      <c r="J164" s="198"/>
      <c r="K164" s="198"/>
      <c r="L164" s="198"/>
      <c r="M164" s="198"/>
      <c r="N164" s="198"/>
      <c r="O164" s="198"/>
      <c r="P164" s="198"/>
      <c r="Q164" s="198"/>
      <c r="R164" s="198"/>
      <c r="S164" s="198"/>
      <c r="T164" s="198"/>
      <c r="U164" s="198"/>
      <c r="V164" s="347"/>
      <c r="W164" s="198"/>
      <c r="X164" s="5"/>
    </row>
    <row r="165" spans="1:256" ht="15.6" x14ac:dyDescent="0.3">
      <c r="A165" s="183"/>
      <c r="B165" s="208" t="s">
        <v>51</v>
      </c>
      <c r="C165" s="185"/>
      <c r="D165" s="185"/>
      <c r="E165" s="185"/>
      <c r="F165" s="185"/>
      <c r="G165" s="185"/>
      <c r="H165" s="185"/>
      <c r="I165" s="185"/>
      <c r="J165" s="185"/>
      <c r="K165" s="185"/>
      <c r="L165" s="185"/>
      <c r="M165" s="185"/>
      <c r="N165" s="185"/>
      <c r="O165" s="185"/>
      <c r="P165" s="185"/>
      <c r="Q165" s="185"/>
      <c r="R165" s="185"/>
      <c r="S165" s="185"/>
      <c r="T165" s="185"/>
      <c r="U165" s="185"/>
      <c r="V165" s="209"/>
      <c r="W165" s="185"/>
      <c r="X165" s="5"/>
    </row>
    <row r="166" spans="1:256" ht="15.6" x14ac:dyDescent="0.3">
      <c r="A166" s="287"/>
      <c r="B166" s="288" t="s">
        <v>52</v>
      </c>
      <c r="C166" s="288"/>
      <c r="D166" s="288"/>
      <c r="E166" s="288"/>
      <c r="F166" s="288"/>
      <c r="G166" s="288"/>
      <c r="H166" s="288"/>
      <c r="I166" s="288"/>
      <c r="J166" s="288"/>
      <c r="K166" s="288"/>
      <c r="L166" s="288"/>
      <c r="M166" s="288"/>
      <c r="N166" s="288"/>
      <c r="O166" s="288"/>
      <c r="P166" s="288"/>
      <c r="Q166" s="288"/>
      <c r="R166" s="288"/>
      <c r="S166" s="288"/>
      <c r="T166" s="288"/>
      <c r="U166" s="288"/>
      <c r="V166" s="338">
        <v>0</v>
      </c>
      <c r="W166" s="291"/>
      <c r="X166" s="5"/>
    </row>
    <row r="167" spans="1:256" ht="15.6" x14ac:dyDescent="0.3">
      <c r="A167" s="287"/>
      <c r="B167" s="288" t="s">
        <v>53</v>
      </c>
      <c r="C167" s="288"/>
      <c r="D167" s="288"/>
      <c r="E167" s="288"/>
      <c r="F167" s="288"/>
      <c r="G167" s="288"/>
      <c r="H167" s="288"/>
      <c r="I167" s="288"/>
      <c r="J167" s="288"/>
      <c r="K167" s="288"/>
      <c r="L167" s="288"/>
      <c r="M167" s="288"/>
      <c r="N167" s="288"/>
      <c r="O167" s="288"/>
      <c r="P167" s="288"/>
      <c r="Q167" s="288"/>
      <c r="R167" s="288"/>
      <c r="S167" s="288"/>
      <c r="T167" s="288"/>
      <c r="U167" s="288"/>
      <c r="V167" s="338">
        <v>72</v>
      </c>
      <c r="W167" s="291"/>
      <c r="X167" s="5"/>
    </row>
    <row r="168" spans="1:256" ht="15.6" x14ac:dyDescent="0.3">
      <c r="A168" s="287"/>
      <c r="B168" s="288" t="s">
        <v>54</v>
      </c>
      <c r="C168" s="288"/>
      <c r="D168" s="288"/>
      <c r="E168" s="288"/>
      <c r="F168" s="288"/>
      <c r="G168" s="288"/>
      <c r="H168" s="288"/>
      <c r="I168" s="288"/>
      <c r="J168" s="288"/>
      <c r="K168" s="288"/>
      <c r="L168" s="288"/>
      <c r="M168" s="288"/>
      <c r="N168" s="288"/>
      <c r="O168" s="288"/>
      <c r="P168" s="288"/>
      <c r="Q168" s="288"/>
      <c r="R168" s="288"/>
      <c r="S168" s="288"/>
      <c r="T168" s="288"/>
      <c r="U168" s="288"/>
      <c r="V168" s="338">
        <f>V167+V166</f>
        <v>72</v>
      </c>
      <c r="W168" s="291"/>
      <c r="X168" s="5"/>
    </row>
    <row r="169" spans="1:256" ht="15.6" x14ac:dyDescent="0.3">
      <c r="A169" s="287"/>
      <c r="B169" s="288" t="s">
        <v>315</v>
      </c>
      <c r="C169" s="288"/>
      <c r="D169" s="288"/>
      <c r="E169" s="288"/>
      <c r="F169" s="288"/>
      <c r="G169" s="288"/>
      <c r="H169" s="288"/>
      <c r="I169" s="288"/>
      <c r="J169" s="288"/>
      <c r="K169" s="288"/>
      <c r="L169" s="288"/>
      <c r="M169" s="288"/>
      <c r="N169" s="288"/>
      <c r="O169" s="288"/>
      <c r="P169" s="288"/>
      <c r="Q169" s="288"/>
      <c r="R169" s="288"/>
      <c r="S169" s="288"/>
      <c r="T169" s="288"/>
      <c r="U169" s="288"/>
      <c r="V169" s="338">
        <f>V115</f>
        <v>-72</v>
      </c>
      <c r="W169" s="291"/>
      <c r="X169" s="5"/>
    </row>
    <row r="170" spans="1:256" ht="15.6" x14ac:dyDescent="0.3">
      <c r="A170" s="287"/>
      <c r="B170" s="288" t="s">
        <v>55</v>
      </c>
      <c r="C170" s="288"/>
      <c r="D170" s="288"/>
      <c r="E170" s="288"/>
      <c r="F170" s="288"/>
      <c r="G170" s="288"/>
      <c r="H170" s="288"/>
      <c r="I170" s="288"/>
      <c r="J170" s="288"/>
      <c r="K170" s="288"/>
      <c r="L170" s="288"/>
      <c r="M170" s="288"/>
      <c r="N170" s="288"/>
      <c r="O170" s="288"/>
      <c r="P170" s="288"/>
      <c r="Q170" s="288"/>
      <c r="R170" s="288"/>
      <c r="S170" s="288"/>
      <c r="T170" s="288"/>
      <c r="U170" s="288"/>
      <c r="V170" s="338">
        <f>V168+V169</f>
        <v>0</v>
      </c>
      <c r="W170" s="291"/>
      <c r="X170" s="5"/>
    </row>
    <row r="171" spans="1:256" ht="15.6" x14ac:dyDescent="0.3">
      <c r="A171" s="287"/>
      <c r="B171" s="288" t="s">
        <v>283</v>
      </c>
      <c r="C171" s="288"/>
      <c r="D171" s="288"/>
      <c r="E171" s="288"/>
      <c r="F171" s="288"/>
      <c r="G171" s="288"/>
      <c r="H171" s="288"/>
      <c r="I171" s="288"/>
      <c r="J171" s="288"/>
      <c r="K171" s="288"/>
      <c r="L171" s="288"/>
      <c r="M171" s="288"/>
      <c r="N171" s="288"/>
      <c r="O171" s="288"/>
      <c r="P171" s="288"/>
      <c r="Q171" s="288"/>
      <c r="R171" s="288"/>
      <c r="S171" s="288"/>
      <c r="T171" s="288"/>
      <c r="U171" s="288"/>
      <c r="V171" s="338">
        <v>0</v>
      </c>
      <c r="W171" s="291"/>
      <c r="X171" s="5"/>
    </row>
    <row r="172" spans="1:256" ht="16.2" thickBot="1" x14ac:dyDescent="0.35">
      <c r="A172" s="183"/>
      <c r="B172" s="284"/>
      <c r="C172" s="284"/>
      <c r="D172" s="284"/>
      <c r="E172" s="284"/>
      <c r="F172" s="284"/>
      <c r="G172" s="284"/>
      <c r="H172" s="284"/>
      <c r="I172" s="284"/>
      <c r="J172" s="284"/>
      <c r="K172" s="284"/>
      <c r="L172" s="284"/>
      <c r="M172" s="284"/>
      <c r="N172" s="284"/>
      <c r="O172" s="284"/>
      <c r="P172" s="284"/>
      <c r="Q172" s="284"/>
      <c r="R172" s="284"/>
      <c r="S172" s="284"/>
      <c r="T172" s="284"/>
      <c r="U172" s="284"/>
      <c r="V172" s="349"/>
      <c r="W172" s="284"/>
      <c r="X172" s="5"/>
    </row>
    <row r="173" spans="1:256" ht="15.6" x14ac:dyDescent="0.3">
      <c r="A173" s="180"/>
      <c r="B173" s="247"/>
      <c r="C173" s="247"/>
      <c r="D173" s="247"/>
      <c r="E173" s="247"/>
      <c r="F173" s="247"/>
      <c r="G173" s="247"/>
      <c r="H173" s="247"/>
      <c r="I173" s="247"/>
      <c r="J173" s="247"/>
      <c r="K173" s="247"/>
      <c r="L173" s="247"/>
      <c r="M173" s="247"/>
      <c r="N173" s="247"/>
      <c r="O173" s="247"/>
      <c r="P173" s="247"/>
      <c r="Q173" s="247"/>
      <c r="R173" s="247"/>
      <c r="S173" s="247"/>
      <c r="T173" s="247"/>
      <c r="U173" s="247"/>
      <c r="V173" s="248"/>
      <c r="W173" s="247"/>
      <c r="X173" s="5"/>
    </row>
    <row r="174" spans="1:256" s="161" customFormat="1" ht="15.6" x14ac:dyDescent="0.3">
      <c r="A174" s="183"/>
      <c r="B174" s="208" t="s">
        <v>269</v>
      </c>
      <c r="C174" s="198"/>
      <c r="D174" s="198"/>
      <c r="E174" s="198"/>
      <c r="F174" s="198"/>
      <c r="G174" s="198"/>
      <c r="H174" s="198"/>
      <c r="I174" s="198"/>
      <c r="J174" s="198"/>
      <c r="K174" s="198"/>
      <c r="L174" s="198"/>
      <c r="M174" s="198"/>
      <c r="N174" s="198"/>
      <c r="O174" s="198"/>
      <c r="P174" s="198"/>
      <c r="Q174" s="198"/>
      <c r="R174" s="198"/>
      <c r="S174" s="198"/>
      <c r="T174" s="198"/>
      <c r="U174" s="198"/>
      <c r="V174" s="210"/>
      <c r="W174" s="198"/>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5.6" x14ac:dyDescent="0.3">
      <c r="A175" s="287"/>
      <c r="B175" s="288" t="s">
        <v>270</v>
      </c>
      <c r="C175" s="288"/>
      <c r="D175" s="288"/>
      <c r="E175" s="288"/>
      <c r="F175" s="288"/>
      <c r="G175" s="288"/>
      <c r="H175" s="288"/>
      <c r="I175" s="288"/>
      <c r="J175" s="288"/>
      <c r="K175" s="288"/>
      <c r="L175" s="288"/>
      <c r="M175" s="288"/>
      <c r="N175" s="288"/>
      <c r="O175" s="288"/>
      <c r="P175" s="288"/>
      <c r="Q175" s="288"/>
      <c r="R175" s="288"/>
      <c r="S175" s="288"/>
      <c r="T175" s="288"/>
      <c r="U175" s="288"/>
      <c r="V175" s="338">
        <f>+'Aug 08'!V177</f>
        <v>0</v>
      </c>
      <c r="W175" s="291"/>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3" customFormat="1" ht="15.6" x14ac:dyDescent="0.3">
      <c r="A176" s="287"/>
      <c r="B176" s="288" t="s">
        <v>273</v>
      </c>
      <c r="C176" s="288"/>
      <c r="D176" s="288"/>
      <c r="E176" s="288"/>
      <c r="F176" s="288"/>
      <c r="G176" s="288"/>
      <c r="H176" s="288"/>
      <c r="I176" s="288"/>
      <c r="J176" s="288"/>
      <c r="K176" s="288"/>
      <c r="L176" s="288"/>
      <c r="M176" s="288"/>
      <c r="N176" s="288"/>
      <c r="O176" s="288"/>
      <c r="P176" s="288"/>
      <c r="Q176" s="288"/>
      <c r="R176" s="288"/>
      <c r="S176" s="288"/>
      <c r="T176" s="288"/>
      <c r="U176" s="288"/>
      <c r="V176" s="338">
        <f>+V94</f>
        <v>0</v>
      </c>
      <c r="W176" s="291"/>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s="163" customFormat="1" ht="15.6" x14ac:dyDescent="0.3">
      <c r="A177" s="287"/>
      <c r="B177" s="288" t="s">
        <v>271</v>
      </c>
      <c r="C177" s="288"/>
      <c r="D177" s="288"/>
      <c r="E177" s="288"/>
      <c r="F177" s="288"/>
      <c r="G177" s="288"/>
      <c r="H177" s="288"/>
      <c r="I177" s="288"/>
      <c r="J177" s="288"/>
      <c r="K177" s="288"/>
      <c r="L177" s="288"/>
      <c r="M177" s="288"/>
      <c r="N177" s="288"/>
      <c r="O177" s="288"/>
      <c r="P177" s="288"/>
      <c r="Q177" s="288"/>
      <c r="R177" s="288"/>
      <c r="S177" s="288"/>
      <c r="T177" s="288"/>
      <c r="U177" s="288"/>
      <c r="V177" s="338">
        <f>+V175-V176</f>
        <v>0</v>
      </c>
      <c r="W177" s="291"/>
      <c r="X177" s="5"/>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s="166" customFormat="1" ht="16.2" thickBot="1" x14ac:dyDescent="0.35">
      <c r="A178" s="199"/>
      <c r="B178" s="198"/>
      <c r="C178" s="198"/>
      <c r="D178" s="198"/>
      <c r="E178" s="198"/>
      <c r="F178" s="198"/>
      <c r="G178" s="198"/>
      <c r="H178" s="198"/>
      <c r="I178" s="198"/>
      <c r="J178" s="198"/>
      <c r="K178" s="198"/>
      <c r="L178" s="198"/>
      <c r="M178" s="198"/>
      <c r="N178" s="198"/>
      <c r="O178" s="198"/>
      <c r="P178" s="198"/>
      <c r="Q178" s="198"/>
      <c r="R178" s="198"/>
      <c r="S178" s="198"/>
      <c r="T178" s="198"/>
      <c r="U178" s="198"/>
      <c r="V178" s="347"/>
      <c r="W178" s="198"/>
      <c r="X178" s="5"/>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s="167" customFormat="1" ht="15.6" x14ac:dyDescent="0.3">
      <c r="A179" s="180"/>
      <c r="B179" s="181"/>
      <c r="C179" s="181"/>
      <c r="D179" s="181"/>
      <c r="E179" s="181"/>
      <c r="F179" s="181"/>
      <c r="G179" s="181"/>
      <c r="H179" s="181"/>
      <c r="I179" s="181"/>
      <c r="J179" s="181"/>
      <c r="K179" s="181"/>
      <c r="L179" s="181"/>
      <c r="M179" s="181"/>
      <c r="N179" s="181"/>
      <c r="O179" s="181"/>
      <c r="P179" s="181"/>
      <c r="Q179" s="181"/>
      <c r="R179" s="181"/>
      <c r="S179" s="181"/>
      <c r="T179" s="181"/>
      <c r="U179" s="181"/>
      <c r="V179" s="200"/>
      <c r="W179" s="181"/>
      <c r="X179" s="5"/>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ht="15.6" x14ac:dyDescent="0.3">
      <c r="A180" s="183"/>
      <c r="B180" s="208" t="s">
        <v>56</v>
      </c>
      <c r="C180" s="185"/>
      <c r="D180" s="185"/>
      <c r="E180" s="185"/>
      <c r="F180" s="185"/>
      <c r="G180" s="185"/>
      <c r="H180" s="185"/>
      <c r="I180" s="185"/>
      <c r="J180" s="185"/>
      <c r="K180" s="185"/>
      <c r="L180" s="185"/>
      <c r="M180" s="185"/>
      <c r="N180" s="185"/>
      <c r="O180" s="185"/>
      <c r="P180" s="185"/>
      <c r="Q180" s="185"/>
      <c r="R180" s="185"/>
      <c r="S180" s="185"/>
      <c r="T180" s="185"/>
      <c r="U180" s="185"/>
      <c r="V180" s="201"/>
      <c r="W180" s="185"/>
      <c r="X180" s="5"/>
    </row>
    <row r="181" spans="1:256" ht="15.6" x14ac:dyDescent="0.3">
      <c r="A181" s="183"/>
      <c r="B181" s="195"/>
      <c r="C181" s="185"/>
      <c r="D181" s="185"/>
      <c r="E181" s="185"/>
      <c r="F181" s="185"/>
      <c r="G181" s="185"/>
      <c r="H181" s="185"/>
      <c r="I181" s="185"/>
      <c r="J181" s="185"/>
      <c r="K181" s="185"/>
      <c r="L181" s="185"/>
      <c r="M181" s="185"/>
      <c r="N181" s="185"/>
      <c r="O181" s="185"/>
      <c r="P181" s="185"/>
      <c r="Q181" s="185"/>
      <c r="R181" s="185"/>
      <c r="S181" s="185"/>
      <c r="T181" s="185"/>
      <c r="U181" s="185"/>
      <c r="V181" s="201"/>
      <c r="W181" s="185"/>
      <c r="X181" s="5"/>
    </row>
    <row r="182" spans="1:256" ht="15.6" x14ac:dyDescent="0.3">
      <c r="A182" s="287"/>
      <c r="B182" s="288" t="s">
        <v>57</v>
      </c>
      <c r="C182" s="288"/>
      <c r="D182" s="288"/>
      <c r="E182" s="288"/>
      <c r="F182" s="288"/>
      <c r="G182" s="288"/>
      <c r="H182" s="288"/>
      <c r="I182" s="288"/>
      <c r="J182" s="288"/>
      <c r="K182" s="288"/>
      <c r="L182" s="288"/>
      <c r="M182" s="288"/>
      <c r="N182" s="288"/>
      <c r="O182" s="288"/>
      <c r="P182" s="288"/>
      <c r="Q182" s="288"/>
      <c r="R182" s="288"/>
      <c r="S182" s="288"/>
      <c r="T182" s="288"/>
      <c r="U182" s="288"/>
      <c r="V182" s="338">
        <f>V71</f>
        <v>1015167</v>
      </c>
      <c r="W182" s="291"/>
      <c r="X182" s="5"/>
    </row>
    <row r="183" spans="1:256" ht="15.6" x14ac:dyDescent="0.3">
      <c r="A183" s="287"/>
      <c r="B183" s="288" t="s">
        <v>58</v>
      </c>
      <c r="C183" s="288"/>
      <c r="D183" s="288"/>
      <c r="E183" s="288"/>
      <c r="F183" s="288"/>
      <c r="G183" s="288"/>
      <c r="H183" s="288"/>
      <c r="I183" s="288"/>
      <c r="J183" s="288"/>
      <c r="K183" s="288"/>
      <c r="L183" s="288"/>
      <c r="M183" s="288"/>
      <c r="N183" s="288"/>
      <c r="O183" s="288"/>
      <c r="P183" s="288"/>
      <c r="Q183" s="288"/>
      <c r="R183" s="288"/>
      <c r="S183" s="288"/>
      <c r="T183" s="288"/>
      <c r="U183" s="288"/>
      <c r="V183" s="338">
        <f>V84</f>
        <v>1015167</v>
      </c>
      <c r="W183" s="291"/>
      <c r="X183" s="5"/>
    </row>
    <row r="184" spans="1:256" ht="16.2" thickBot="1" x14ac:dyDescent="0.35">
      <c r="A184" s="183"/>
      <c r="B184" s="198"/>
      <c r="C184" s="198"/>
      <c r="D184" s="198"/>
      <c r="E184" s="198"/>
      <c r="F184" s="198"/>
      <c r="G184" s="198"/>
      <c r="H184" s="198"/>
      <c r="I184" s="198"/>
      <c r="J184" s="198"/>
      <c r="K184" s="198"/>
      <c r="L184" s="198"/>
      <c r="M184" s="198"/>
      <c r="N184" s="198"/>
      <c r="O184" s="198"/>
      <c r="P184" s="198"/>
      <c r="Q184" s="198"/>
      <c r="R184" s="198"/>
      <c r="S184" s="198"/>
      <c r="T184" s="198"/>
      <c r="U184" s="198"/>
      <c r="V184" s="347"/>
      <c r="W184" s="198"/>
      <c r="X184" s="5"/>
    </row>
    <row r="185" spans="1:256" ht="15.6" x14ac:dyDescent="0.3">
      <c r="A185" s="180"/>
      <c r="B185" s="181"/>
      <c r="C185" s="181"/>
      <c r="D185" s="181"/>
      <c r="E185" s="181"/>
      <c r="F185" s="181"/>
      <c r="G185" s="181"/>
      <c r="H185" s="181"/>
      <c r="I185" s="181"/>
      <c r="J185" s="181"/>
      <c r="K185" s="181"/>
      <c r="L185" s="181"/>
      <c r="M185" s="181"/>
      <c r="N185" s="181"/>
      <c r="O185" s="181"/>
      <c r="P185" s="181"/>
      <c r="Q185" s="181"/>
      <c r="R185" s="181"/>
      <c r="S185" s="181"/>
      <c r="T185" s="181"/>
      <c r="U185" s="181"/>
      <c r="V185" s="200"/>
      <c r="W185" s="181"/>
      <c r="X185" s="5"/>
    </row>
    <row r="186" spans="1:256" ht="15.6" x14ac:dyDescent="0.3">
      <c r="A186" s="183"/>
      <c r="B186" s="208" t="s">
        <v>59</v>
      </c>
      <c r="C186" s="205"/>
      <c r="D186" s="205"/>
      <c r="E186" s="205"/>
      <c r="F186" s="205"/>
      <c r="G186" s="205"/>
      <c r="H186" s="211"/>
      <c r="I186" s="211"/>
      <c r="J186" s="211"/>
      <c r="K186" s="211"/>
      <c r="L186" s="211"/>
      <c r="M186" s="211"/>
      <c r="N186" s="211"/>
      <c r="O186" s="211"/>
      <c r="P186" s="211"/>
      <c r="Q186" s="211"/>
      <c r="R186" s="211"/>
      <c r="S186" s="211" t="s">
        <v>101</v>
      </c>
      <c r="T186" s="211" t="s">
        <v>176</v>
      </c>
      <c r="U186" s="187"/>
      <c r="V186" s="212" t="s">
        <v>114</v>
      </c>
      <c r="W186" s="213"/>
      <c r="X186" s="5"/>
    </row>
    <row r="187" spans="1:256" ht="15.6" x14ac:dyDescent="0.3">
      <c r="A187" s="287"/>
      <c r="B187" s="288" t="s">
        <v>60</v>
      </c>
      <c r="C187" s="288"/>
      <c r="D187" s="288"/>
      <c r="E187" s="288"/>
      <c r="F187" s="288"/>
      <c r="G187" s="288"/>
      <c r="H187" s="288"/>
      <c r="I187" s="288"/>
      <c r="J187" s="288"/>
      <c r="K187" s="288"/>
      <c r="L187" s="288"/>
      <c r="M187" s="288"/>
      <c r="N187" s="288"/>
      <c r="O187" s="288"/>
      <c r="P187" s="288"/>
      <c r="Q187" s="288"/>
      <c r="R187" s="288"/>
      <c r="S187" s="338">
        <f>+V34*0.16</f>
        <v>240044</v>
      </c>
      <c r="T187" s="325"/>
      <c r="U187" s="288"/>
      <c r="V187" s="338"/>
      <c r="W187" s="291"/>
      <c r="X187" s="5"/>
    </row>
    <row r="188" spans="1:256" ht="15.6" x14ac:dyDescent="0.3">
      <c r="A188" s="287"/>
      <c r="B188" s="288" t="s">
        <v>61</v>
      </c>
      <c r="C188" s="288"/>
      <c r="D188" s="288"/>
      <c r="E188" s="288"/>
      <c r="F188" s="288"/>
      <c r="G188" s="288"/>
      <c r="H188" s="288"/>
      <c r="I188" s="288"/>
      <c r="J188" s="288"/>
      <c r="K188" s="288"/>
      <c r="L188" s="288"/>
      <c r="M188" s="288"/>
      <c r="N188" s="288"/>
      <c r="O188" s="288"/>
      <c r="P188" s="288"/>
      <c r="Q188" s="288"/>
      <c r="R188" s="288"/>
      <c r="S188" s="338">
        <f>+'Feb 15'!S190</f>
        <v>25786</v>
      </c>
      <c r="T188" s="338">
        <f>+'Feb 15'!T190</f>
        <v>6016</v>
      </c>
      <c r="U188" s="288"/>
      <c r="V188" s="338">
        <f>S188+T188</f>
        <v>31802</v>
      </c>
      <c r="W188" s="291"/>
      <c r="X188" s="5"/>
    </row>
    <row r="189" spans="1:256" ht="15.6" x14ac:dyDescent="0.3">
      <c r="A189" s="287"/>
      <c r="B189" s="288" t="s">
        <v>62</v>
      </c>
      <c r="C189" s="288"/>
      <c r="D189" s="288"/>
      <c r="E189" s="288"/>
      <c r="F189" s="288"/>
      <c r="G189" s="288"/>
      <c r="H189" s="288"/>
      <c r="I189" s="288"/>
      <c r="J189" s="288"/>
      <c r="K189" s="288"/>
      <c r="L189" s="288"/>
      <c r="M189" s="288"/>
      <c r="N189" s="288"/>
      <c r="O189" s="288"/>
      <c r="P189" s="288"/>
      <c r="Q189" s="288"/>
      <c r="R189" s="288"/>
      <c r="S189" s="337">
        <f>476+35</f>
        <v>511</v>
      </c>
      <c r="T189" s="337">
        <v>0</v>
      </c>
      <c r="U189" s="288"/>
      <c r="V189" s="338">
        <f>S189+T189</f>
        <v>511</v>
      </c>
      <c r="W189" s="291"/>
      <c r="X189" s="5"/>
    </row>
    <row r="190" spans="1:256" ht="15.6" x14ac:dyDescent="0.3">
      <c r="A190" s="287"/>
      <c r="B190" s="288" t="s">
        <v>63</v>
      </c>
      <c r="C190" s="288"/>
      <c r="D190" s="288"/>
      <c r="E190" s="288"/>
      <c r="F190" s="288"/>
      <c r="G190" s="288"/>
      <c r="H190" s="288"/>
      <c r="I190" s="288"/>
      <c r="J190" s="288"/>
      <c r="K190" s="288"/>
      <c r="L190" s="288"/>
      <c r="M190" s="288"/>
      <c r="N190" s="288"/>
      <c r="O190" s="288"/>
      <c r="P190" s="288"/>
      <c r="Q190" s="288"/>
      <c r="R190" s="288"/>
      <c r="S190" s="338">
        <f>S188+S189</f>
        <v>26297</v>
      </c>
      <c r="T190" s="338">
        <f>T189+T188</f>
        <v>6016</v>
      </c>
      <c r="U190" s="288"/>
      <c r="V190" s="338">
        <f>S190+T190</f>
        <v>32313</v>
      </c>
      <c r="W190" s="291"/>
      <c r="X190" s="5"/>
    </row>
    <row r="191" spans="1:256" ht="15.6" x14ac:dyDescent="0.3">
      <c r="A191" s="287"/>
      <c r="B191" s="288" t="s">
        <v>64</v>
      </c>
      <c r="C191" s="288"/>
      <c r="D191" s="288"/>
      <c r="E191" s="288"/>
      <c r="F191" s="288"/>
      <c r="G191" s="288"/>
      <c r="H191" s="288"/>
      <c r="I191" s="288"/>
      <c r="J191" s="288"/>
      <c r="K191" s="288"/>
      <c r="L191" s="288"/>
      <c r="M191" s="288"/>
      <c r="N191" s="288"/>
      <c r="O191" s="288"/>
      <c r="P191" s="288"/>
      <c r="Q191" s="288"/>
      <c r="R191" s="288"/>
      <c r="S191" s="338">
        <f>S187-S190-T190</f>
        <v>207731</v>
      </c>
      <c r="T191" s="325"/>
      <c r="U191" s="288"/>
      <c r="V191" s="338"/>
      <c r="W191" s="291"/>
      <c r="X191" s="5"/>
    </row>
    <row r="192" spans="1:256" ht="16.2" thickBot="1" x14ac:dyDescent="0.35">
      <c r="A192" s="183"/>
      <c r="B192" s="198"/>
      <c r="C192" s="198"/>
      <c r="D192" s="198"/>
      <c r="E192" s="198"/>
      <c r="F192" s="198"/>
      <c r="G192" s="198"/>
      <c r="H192" s="198"/>
      <c r="I192" s="198"/>
      <c r="J192" s="198"/>
      <c r="K192" s="198"/>
      <c r="L192" s="198"/>
      <c r="M192" s="198"/>
      <c r="N192" s="198"/>
      <c r="O192" s="198"/>
      <c r="P192" s="198"/>
      <c r="Q192" s="198"/>
      <c r="R192" s="198"/>
      <c r="S192" s="198"/>
      <c r="T192" s="198"/>
      <c r="U192" s="198"/>
      <c r="V192" s="347"/>
      <c r="W192" s="198"/>
      <c r="X192" s="5"/>
    </row>
    <row r="193" spans="1:24" ht="15.6" x14ac:dyDescent="0.3">
      <c r="A193" s="180"/>
      <c r="B193" s="181"/>
      <c r="C193" s="181"/>
      <c r="D193" s="181"/>
      <c r="E193" s="181"/>
      <c r="F193" s="181"/>
      <c r="G193" s="181"/>
      <c r="H193" s="181"/>
      <c r="I193" s="181"/>
      <c r="J193" s="181"/>
      <c r="K193" s="181"/>
      <c r="L193" s="181"/>
      <c r="M193" s="181"/>
      <c r="N193" s="181"/>
      <c r="O193" s="181"/>
      <c r="P193" s="181"/>
      <c r="Q193" s="181"/>
      <c r="R193" s="181"/>
      <c r="S193" s="181"/>
      <c r="T193" s="181"/>
      <c r="U193" s="181"/>
      <c r="V193" s="200"/>
      <c r="W193" s="181"/>
      <c r="X193" s="5"/>
    </row>
    <row r="194" spans="1:24" ht="15.6" x14ac:dyDescent="0.3">
      <c r="A194" s="183"/>
      <c r="B194" s="208" t="s">
        <v>65</v>
      </c>
      <c r="C194" s="185"/>
      <c r="D194" s="185"/>
      <c r="E194" s="185"/>
      <c r="F194" s="185"/>
      <c r="G194" s="185"/>
      <c r="H194" s="185"/>
      <c r="I194" s="185"/>
      <c r="J194" s="185"/>
      <c r="K194" s="185"/>
      <c r="L194" s="185"/>
      <c r="M194" s="185"/>
      <c r="N194" s="185"/>
      <c r="O194" s="185"/>
      <c r="P194" s="185"/>
      <c r="Q194" s="185"/>
      <c r="R194" s="185"/>
      <c r="S194" s="185"/>
      <c r="T194" s="185"/>
      <c r="U194" s="185"/>
      <c r="V194" s="214"/>
      <c r="W194" s="185"/>
      <c r="X194" s="5"/>
    </row>
    <row r="195" spans="1:24" ht="15.6" x14ac:dyDescent="0.3">
      <c r="A195" s="287"/>
      <c r="B195" s="288" t="s">
        <v>66</v>
      </c>
      <c r="C195" s="288"/>
      <c r="D195" s="288"/>
      <c r="E195" s="288"/>
      <c r="F195" s="288"/>
      <c r="G195" s="288"/>
      <c r="H195" s="288"/>
      <c r="I195" s="288"/>
      <c r="J195" s="288"/>
      <c r="K195" s="288"/>
      <c r="L195" s="288"/>
      <c r="M195" s="288"/>
      <c r="N195" s="288"/>
      <c r="O195" s="288"/>
      <c r="P195" s="288"/>
      <c r="Q195" s="288"/>
      <c r="R195" s="288"/>
      <c r="S195" s="288"/>
      <c r="T195" s="288"/>
      <c r="U195" s="288"/>
      <c r="V195" s="348">
        <f>(V101+V103+V104+V105+V106)/-(V107+V108)</f>
        <v>3.9594257178526839</v>
      </c>
      <c r="W195" s="291" t="s">
        <v>115</v>
      </c>
      <c r="X195" s="5"/>
    </row>
    <row r="196" spans="1:24" ht="15.6" x14ac:dyDescent="0.3">
      <c r="A196" s="287"/>
      <c r="B196" s="288" t="s">
        <v>67</v>
      </c>
      <c r="C196" s="288"/>
      <c r="D196" s="288"/>
      <c r="E196" s="288"/>
      <c r="F196" s="288"/>
      <c r="G196" s="288"/>
      <c r="H196" s="288"/>
      <c r="I196" s="288"/>
      <c r="J196" s="288"/>
      <c r="K196" s="288"/>
      <c r="L196" s="288"/>
      <c r="M196" s="288"/>
      <c r="N196" s="288"/>
      <c r="O196" s="288"/>
      <c r="P196" s="288"/>
      <c r="Q196" s="288"/>
      <c r="R196" s="288"/>
      <c r="S196" s="288"/>
      <c r="T196" s="288"/>
      <c r="U196" s="288"/>
      <c r="V196" s="350">
        <v>1.93</v>
      </c>
      <c r="W196" s="291" t="s">
        <v>115</v>
      </c>
      <c r="X196" s="5"/>
    </row>
    <row r="197" spans="1:24" ht="15.6" x14ac:dyDescent="0.3">
      <c r="A197" s="287"/>
      <c r="B197" s="288" t="s">
        <v>68</v>
      </c>
      <c r="C197" s="288"/>
      <c r="D197" s="288"/>
      <c r="E197" s="288"/>
      <c r="F197" s="288"/>
      <c r="G197" s="288"/>
      <c r="H197" s="288"/>
      <c r="I197" s="288"/>
      <c r="J197" s="288"/>
      <c r="K197" s="288"/>
      <c r="L197" s="288"/>
      <c r="M197" s="288"/>
      <c r="N197" s="288"/>
      <c r="O197" s="288"/>
      <c r="P197" s="288"/>
      <c r="Q197" s="288"/>
      <c r="R197" s="288"/>
      <c r="S197" s="288"/>
      <c r="T197" s="288"/>
      <c r="U197" s="288"/>
      <c r="V197" s="348">
        <f>(V101+V103+V104+V105+V106+V107+V108)/-(V110+V111)</f>
        <v>17.624535315985131</v>
      </c>
      <c r="W197" s="291" t="s">
        <v>115</v>
      </c>
      <c r="X197" s="5"/>
    </row>
    <row r="198" spans="1:24" ht="15.6" x14ac:dyDescent="0.3">
      <c r="A198" s="287"/>
      <c r="B198" s="288" t="s">
        <v>69</v>
      </c>
      <c r="C198" s="288"/>
      <c r="D198" s="288"/>
      <c r="E198" s="288"/>
      <c r="F198" s="288"/>
      <c r="G198" s="288"/>
      <c r="H198" s="288"/>
      <c r="I198" s="288"/>
      <c r="J198" s="288"/>
      <c r="K198" s="288"/>
      <c r="L198" s="288"/>
      <c r="M198" s="288"/>
      <c r="N198" s="288"/>
      <c r="O198" s="288"/>
      <c r="P198" s="288"/>
      <c r="Q198" s="288"/>
      <c r="R198" s="288"/>
      <c r="S198" s="288"/>
      <c r="T198" s="288"/>
      <c r="U198" s="288"/>
      <c r="V198" s="350">
        <v>8.59</v>
      </c>
      <c r="W198" s="291" t="s">
        <v>115</v>
      </c>
      <c r="X198" s="5"/>
    </row>
    <row r="199" spans="1:24" ht="15.6" x14ac:dyDescent="0.3">
      <c r="A199" s="287"/>
      <c r="B199" s="288" t="s">
        <v>198</v>
      </c>
      <c r="C199" s="288"/>
      <c r="D199" s="288"/>
      <c r="E199" s="288"/>
      <c r="F199" s="288"/>
      <c r="G199" s="288"/>
      <c r="H199" s="288"/>
      <c r="I199" s="288"/>
      <c r="J199" s="288"/>
      <c r="K199" s="288"/>
      <c r="L199" s="288"/>
      <c r="M199" s="288"/>
      <c r="N199" s="288"/>
      <c r="O199" s="288"/>
      <c r="P199" s="288"/>
      <c r="Q199" s="288"/>
      <c r="R199" s="288"/>
      <c r="S199" s="288"/>
      <c r="T199" s="288"/>
      <c r="U199" s="288"/>
      <c r="V199" s="348">
        <f>(V101+V103+V104+V105+V106+V107+V108+V110+V111)/-(V112+V113)</f>
        <v>11.292929292929292</v>
      </c>
      <c r="W199" s="291" t="s">
        <v>115</v>
      </c>
      <c r="X199" s="5"/>
    </row>
    <row r="200" spans="1:24" ht="15.6" x14ac:dyDescent="0.3">
      <c r="A200" s="287"/>
      <c r="B200" s="288" t="s">
        <v>199</v>
      </c>
      <c r="C200" s="288"/>
      <c r="D200" s="288"/>
      <c r="E200" s="288"/>
      <c r="F200" s="288"/>
      <c r="G200" s="288"/>
      <c r="H200" s="288"/>
      <c r="I200" s="288"/>
      <c r="J200" s="288"/>
      <c r="K200" s="288"/>
      <c r="L200" s="288"/>
      <c r="M200" s="288"/>
      <c r="N200" s="288"/>
      <c r="O200" s="288"/>
      <c r="P200" s="288"/>
      <c r="Q200" s="288"/>
      <c r="R200" s="288"/>
      <c r="S200" s="288"/>
      <c r="T200" s="288"/>
      <c r="U200" s="288"/>
      <c r="V200" s="350">
        <v>6.63</v>
      </c>
      <c r="W200" s="291" t="s">
        <v>115</v>
      </c>
      <c r="X200" s="5"/>
    </row>
    <row r="201" spans="1:24" ht="15.6" x14ac:dyDescent="0.3">
      <c r="A201" s="287"/>
      <c r="B201" s="314"/>
      <c r="C201" s="314"/>
      <c r="D201" s="314"/>
      <c r="E201" s="314"/>
      <c r="F201" s="314"/>
      <c r="G201" s="314"/>
      <c r="H201" s="314"/>
      <c r="I201" s="314"/>
      <c r="J201" s="314"/>
      <c r="K201" s="314"/>
      <c r="L201" s="314"/>
      <c r="M201" s="314"/>
      <c r="N201" s="314"/>
      <c r="O201" s="314"/>
      <c r="P201" s="314"/>
      <c r="Q201" s="314"/>
      <c r="R201" s="314"/>
      <c r="S201" s="314"/>
      <c r="T201" s="314"/>
      <c r="U201" s="314"/>
      <c r="V201" s="314"/>
      <c r="W201" s="318"/>
      <c r="X201" s="5"/>
    </row>
    <row r="202" spans="1:24" ht="15.6" x14ac:dyDescent="0.3">
      <c r="A202" s="183"/>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5"/>
    </row>
    <row r="203" spans="1:24" ht="15.6" x14ac:dyDescent="0.3">
      <c r="A203" s="183"/>
      <c r="B203" s="185"/>
      <c r="C203" s="185"/>
      <c r="D203" s="185"/>
      <c r="E203" s="185"/>
      <c r="F203" s="185"/>
      <c r="G203" s="185"/>
      <c r="H203" s="185"/>
      <c r="I203" s="185"/>
      <c r="J203" s="185"/>
      <c r="K203" s="185"/>
      <c r="L203" s="185"/>
      <c r="M203" s="185"/>
      <c r="N203" s="185"/>
      <c r="O203" s="185"/>
      <c r="P203" s="185"/>
      <c r="Q203" s="185"/>
      <c r="R203" s="185"/>
      <c r="S203" s="185"/>
      <c r="T203" s="185"/>
      <c r="U203" s="185"/>
      <c r="V203" s="185"/>
      <c r="W203" s="185"/>
      <c r="X203" s="5"/>
    </row>
    <row r="204" spans="1:24" ht="18" thickBot="1" x14ac:dyDescent="0.35">
      <c r="A204" s="199"/>
      <c r="B204" s="237" t="str">
        <f>B138</f>
        <v>PM14 INVESTOR REPORT QUARTER ENDING MAY 2015</v>
      </c>
      <c r="C204" s="215"/>
      <c r="D204" s="215"/>
      <c r="E204" s="215"/>
      <c r="F204" s="215"/>
      <c r="G204" s="215"/>
      <c r="H204" s="215"/>
      <c r="I204" s="215"/>
      <c r="J204" s="215"/>
      <c r="K204" s="215"/>
      <c r="L204" s="215"/>
      <c r="M204" s="215"/>
      <c r="N204" s="215"/>
      <c r="O204" s="215"/>
      <c r="P204" s="215"/>
      <c r="Q204" s="215"/>
      <c r="R204" s="215"/>
      <c r="S204" s="215"/>
      <c r="T204" s="215"/>
      <c r="U204" s="215"/>
      <c r="V204" s="215"/>
      <c r="W204" s="216"/>
      <c r="X204" s="5"/>
    </row>
    <row r="205" spans="1:24" ht="15.6" x14ac:dyDescent="0.3">
      <c r="A205" s="273"/>
      <c r="B205" s="403" t="s">
        <v>70</v>
      </c>
      <c r="C205" s="404"/>
      <c r="D205" s="404"/>
      <c r="E205" s="404"/>
      <c r="F205" s="404"/>
      <c r="G205" s="405"/>
      <c r="H205" s="405"/>
      <c r="I205" s="405"/>
      <c r="J205" s="405"/>
      <c r="K205" s="405"/>
      <c r="L205" s="405"/>
      <c r="M205" s="405"/>
      <c r="N205" s="405"/>
      <c r="O205" s="405"/>
      <c r="P205" s="405"/>
      <c r="Q205" s="405"/>
      <c r="R205" s="405"/>
      <c r="S205" s="405"/>
      <c r="T205" s="405">
        <v>42153</v>
      </c>
      <c r="U205" s="274"/>
      <c r="V205" s="274"/>
      <c r="W205" s="274"/>
      <c r="X205" s="5"/>
    </row>
    <row r="206" spans="1:24" ht="15.6" x14ac:dyDescent="0.3">
      <c r="A206" s="217"/>
      <c r="B206" s="230"/>
      <c r="C206" s="249"/>
      <c r="D206" s="249"/>
      <c r="E206" s="249"/>
      <c r="F206" s="249"/>
      <c r="G206" s="229"/>
      <c r="H206" s="229"/>
      <c r="I206" s="229"/>
      <c r="J206" s="229"/>
      <c r="K206" s="229"/>
      <c r="L206" s="229"/>
      <c r="M206" s="229"/>
      <c r="N206" s="229"/>
      <c r="O206" s="229"/>
      <c r="P206" s="229"/>
      <c r="Q206" s="229"/>
      <c r="R206" s="229"/>
      <c r="S206" s="229"/>
      <c r="T206" s="229"/>
      <c r="U206" s="224"/>
      <c r="V206" s="224"/>
      <c r="W206" s="224"/>
      <c r="X206" s="5"/>
    </row>
    <row r="207" spans="1:24" ht="15.6" x14ac:dyDescent="0.3">
      <c r="A207" s="352"/>
      <c r="B207" s="288" t="s">
        <v>71</v>
      </c>
      <c r="C207" s="353"/>
      <c r="D207" s="353"/>
      <c r="E207" s="353"/>
      <c r="F207" s="353"/>
      <c r="G207" s="330"/>
      <c r="H207" s="330"/>
      <c r="I207" s="330"/>
      <c r="J207" s="330"/>
      <c r="K207" s="330"/>
      <c r="L207" s="330"/>
      <c r="M207" s="330"/>
      <c r="N207" s="330"/>
      <c r="O207" s="330"/>
      <c r="P207" s="330"/>
      <c r="Q207" s="330"/>
      <c r="R207" s="330"/>
      <c r="S207" s="330"/>
      <c r="T207" s="321">
        <v>5.2819999999999999E-2</v>
      </c>
      <c r="U207" s="288"/>
      <c r="V207" s="288"/>
      <c r="W207" s="291"/>
      <c r="X207" s="5"/>
    </row>
    <row r="208" spans="1:24" ht="15.6" x14ac:dyDescent="0.3">
      <c r="A208" s="352"/>
      <c r="B208" s="288" t="s">
        <v>151</v>
      </c>
      <c r="C208" s="353"/>
      <c r="D208" s="353"/>
      <c r="E208" s="353"/>
      <c r="F208" s="353"/>
      <c r="G208" s="330"/>
      <c r="H208" s="330"/>
      <c r="I208" s="330"/>
      <c r="J208" s="330"/>
      <c r="K208" s="330"/>
      <c r="L208" s="330"/>
      <c r="M208" s="330"/>
      <c r="N208" s="330"/>
      <c r="O208" s="330"/>
      <c r="P208" s="330"/>
      <c r="Q208" s="330"/>
      <c r="R208" s="330"/>
      <c r="S208" s="330"/>
      <c r="T208" s="321">
        <v>5.7799999999999997E-2</v>
      </c>
      <c r="U208" s="288"/>
      <c r="V208" s="288"/>
      <c r="W208" s="291"/>
      <c r="X208" s="5"/>
    </row>
    <row r="209" spans="1:24" ht="15.6" x14ac:dyDescent="0.3">
      <c r="A209" s="352"/>
      <c r="B209" s="288" t="s">
        <v>72</v>
      </c>
      <c r="C209" s="353"/>
      <c r="D209" s="353"/>
      <c r="E209" s="353"/>
      <c r="F209" s="353"/>
      <c r="G209" s="330"/>
      <c r="H209" s="330"/>
      <c r="I209" s="330"/>
      <c r="J209" s="330"/>
      <c r="K209" s="330"/>
      <c r="L209" s="330"/>
      <c r="M209" s="330"/>
      <c r="N209" s="330"/>
      <c r="O209" s="330"/>
      <c r="P209" s="330"/>
      <c r="Q209" s="330"/>
      <c r="R209" s="330"/>
      <c r="S209" s="330"/>
      <c r="T209" s="321">
        <f>T207-T208</f>
        <v>-4.9799999999999983E-3</v>
      </c>
      <c r="U209" s="288"/>
      <c r="V209" s="288"/>
      <c r="W209" s="291"/>
      <c r="X209" s="5"/>
    </row>
    <row r="210" spans="1:24" ht="15.6" x14ac:dyDescent="0.3">
      <c r="A210" s="352"/>
      <c r="B210" s="288" t="s">
        <v>73</v>
      </c>
      <c r="C210" s="353"/>
      <c r="D210" s="353"/>
      <c r="E210" s="353"/>
      <c r="F210" s="353"/>
      <c r="G210" s="330"/>
      <c r="H210" s="330"/>
      <c r="I210" s="330"/>
      <c r="J210" s="330"/>
      <c r="K210" s="330"/>
      <c r="L210" s="330"/>
      <c r="M210" s="330"/>
      <c r="N210" s="330"/>
      <c r="O210" s="330"/>
      <c r="P210" s="330"/>
      <c r="Q210" s="330"/>
      <c r="R210" s="330"/>
      <c r="S210" s="330"/>
      <c r="T210" s="321">
        <v>2.3779999999999999E-2</v>
      </c>
      <c r="U210" s="288"/>
      <c r="V210" s="288"/>
      <c r="W210" s="291"/>
      <c r="X210" s="5"/>
    </row>
    <row r="211" spans="1:24" ht="15.6" x14ac:dyDescent="0.3">
      <c r="A211" s="352"/>
      <c r="B211" s="288" t="s">
        <v>219</v>
      </c>
      <c r="C211" s="353"/>
      <c r="D211" s="353"/>
      <c r="E211" s="353"/>
      <c r="F211" s="353"/>
      <c r="G211" s="330"/>
      <c r="H211" s="330"/>
      <c r="I211" s="330"/>
      <c r="J211" s="330"/>
      <c r="K211" s="330"/>
      <c r="L211" s="330"/>
      <c r="M211" s="330"/>
      <c r="N211" s="330"/>
      <c r="O211" s="330"/>
      <c r="P211" s="330"/>
      <c r="Q211" s="330"/>
      <c r="R211" s="330"/>
      <c r="S211" s="330"/>
      <c r="T211" s="321">
        <f>V43</f>
        <v>8.8597067892733257E-3</v>
      </c>
      <c r="U211" s="288"/>
      <c r="V211" s="288"/>
      <c r="W211" s="291"/>
      <c r="X211" s="5"/>
    </row>
    <row r="212" spans="1:24" ht="15.6" x14ac:dyDescent="0.3">
      <c r="A212" s="352"/>
      <c r="B212" s="288" t="s">
        <v>74</v>
      </c>
      <c r="C212" s="353"/>
      <c r="D212" s="353"/>
      <c r="E212" s="353"/>
      <c r="F212" s="353"/>
      <c r="G212" s="330"/>
      <c r="H212" s="330"/>
      <c r="I212" s="330"/>
      <c r="J212" s="330"/>
      <c r="K212" s="330"/>
      <c r="L212" s="330"/>
      <c r="M212" s="330"/>
      <c r="N212" s="330"/>
      <c r="O212" s="330"/>
      <c r="P212" s="330"/>
      <c r="Q212" s="330"/>
      <c r="R212" s="330"/>
      <c r="S212" s="330"/>
      <c r="T212" s="321">
        <f>T210-T211</f>
        <v>1.4920293210726673E-2</v>
      </c>
      <c r="U212" s="288"/>
      <c r="V212" s="288"/>
      <c r="W212" s="291"/>
      <c r="X212" s="5"/>
    </row>
    <row r="213" spans="1:24" ht="15.6" x14ac:dyDescent="0.3">
      <c r="A213" s="352"/>
      <c r="B213" s="288" t="s">
        <v>242</v>
      </c>
      <c r="C213" s="353"/>
      <c r="D213" s="353"/>
      <c r="E213" s="353"/>
      <c r="F213" s="353"/>
      <c r="G213" s="330"/>
      <c r="H213" s="330"/>
      <c r="I213" s="330"/>
      <c r="J213" s="330"/>
      <c r="K213" s="330"/>
      <c r="L213" s="330"/>
      <c r="M213" s="330"/>
      <c r="N213" s="330"/>
      <c r="O213" s="330"/>
      <c r="P213" s="330"/>
      <c r="Q213" s="330"/>
      <c r="R213" s="330"/>
      <c r="S213" s="330"/>
      <c r="T213" s="321">
        <f>V101/N71</f>
        <v>6.5372982741025718E-3</v>
      </c>
      <c r="U213" s="288"/>
      <c r="V213" s="288"/>
      <c r="W213" s="291"/>
      <c r="X213" s="5"/>
    </row>
    <row r="214" spans="1:24" ht="15.6" x14ac:dyDescent="0.3">
      <c r="A214" s="352"/>
      <c r="B214" s="288" t="s">
        <v>208</v>
      </c>
      <c r="C214" s="353"/>
      <c r="D214" s="353"/>
      <c r="E214" s="353"/>
      <c r="F214" s="353"/>
      <c r="G214" s="330"/>
      <c r="H214" s="330"/>
      <c r="I214" s="330"/>
      <c r="J214" s="330"/>
      <c r="K214" s="330"/>
      <c r="L214" s="330"/>
      <c r="M214" s="330"/>
      <c r="N214" s="330"/>
      <c r="O214" s="330"/>
      <c r="P214" s="330"/>
      <c r="Q214" s="330"/>
      <c r="R214" s="330"/>
      <c r="S214" s="330"/>
      <c r="T214" s="354">
        <v>51014</v>
      </c>
      <c r="U214" s="288"/>
      <c r="V214" s="288"/>
      <c r="W214" s="291"/>
      <c r="X214" s="5"/>
    </row>
    <row r="215" spans="1:24" ht="15.6" x14ac:dyDescent="0.3">
      <c r="A215" s="352"/>
      <c r="B215" s="288" t="s">
        <v>209</v>
      </c>
      <c r="C215" s="353"/>
      <c r="D215" s="353"/>
      <c r="E215" s="353"/>
      <c r="F215" s="353"/>
      <c r="G215" s="330"/>
      <c r="H215" s="330"/>
      <c r="I215" s="330"/>
      <c r="J215" s="330"/>
      <c r="K215" s="330"/>
      <c r="L215" s="330"/>
      <c r="M215" s="330"/>
      <c r="N215" s="330"/>
      <c r="O215" s="330"/>
      <c r="P215" s="330"/>
      <c r="Q215" s="330"/>
      <c r="R215" s="330"/>
      <c r="S215" s="330"/>
      <c r="T215" s="354">
        <v>51014</v>
      </c>
      <c r="U215" s="288"/>
      <c r="V215" s="288"/>
      <c r="W215" s="291"/>
      <c r="X215" s="5"/>
    </row>
    <row r="216" spans="1:24" ht="15.6" x14ac:dyDescent="0.3">
      <c r="A216" s="352"/>
      <c r="B216" s="288" t="s">
        <v>210</v>
      </c>
      <c r="C216" s="353"/>
      <c r="D216" s="353"/>
      <c r="E216" s="353"/>
      <c r="F216" s="353"/>
      <c r="G216" s="330"/>
      <c r="H216" s="330"/>
      <c r="I216" s="330"/>
      <c r="J216" s="330"/>
      <c r="K216" s="330"/>
      <c r="L216" s="330"/>
      <c r="M216" s="330"/>
      <c r="N216" s="330"/>
      <c r="O216" s="330"/>
      <c r="P216" s="330"/>
      <c r="Q216" s="330"/>
      <c r="R216" s="330"/>
      <c r="S216" s="330"/>
      <c r="T216" s="354">
        <v>51014</v>
      </c>
      <c r="U216" s="288"/>
      <c r="V216" s="288"/>
      <c r="W216" s="291"/>
      <c r="X216" s="5"/>
    </row>
    <row r="217" spans="1:24" ht="15.6" x14ac:dyDescent="0.3">
      <c r="A217" s="352"/>
      <c r="B217" s="288" t="s">
        <v>75</v>
      </c>
      <c r="C217" s="353"/>
      <c r="D217" s="353"/>
      <c r="E217" s="353"/>
      <c r="F217" s="353"/>
      <c r="G217" s="330"/>
      <c r="H217" s="330"/>
      <c r="I217" s="330"/>
      <c r="J217" s="330"/>
      <c r="K217" s="330"/>
      <c r="L217" s="330"/>
      <c r="M217" s="330"/>
      <c r="N217" s="330"/>
      <c r="O217" s="330"/>
      <c r="P217" s="330"/>
      <c r="Q217" s="330"/>
      <c r="R217" s="330"/>
      <c r="S217" s="330"/>
      <c r="T217" s="327">
        <v>20.66</v>
      </c>
      <c r="U217" s="288" t="s">
        <v>110</v>
      </c>
      <c r="V217" s="288"/>
      <c r="W217" s="291"/>
      <c r="X217" s="5"/>
    </row>
    <row r="218" spans="1:24" ht="15.6" x14ac:dyDescent="0.3">
      <c r="A218" s="352"/>
      <c r="B218" s="288" t="s">
        <v>76</v>
      </c>
      <c r="C218" s="353"/>
      <c r="D218" s="353"/>
      <c r="E218" s="353"/>
      <c r="F218" s="353"/>
      <c r="G218" s="330"/>
      <c r="H218" s="330"/>
      <c r="I218" s="330"/>
      <c r="J218" s="330"/>
      <c r="K218" s="330"/>
      <c r="L218" s="330"/>
      <c r="M218" s="330"/>
      <c r="N218" s="330"/>
      <c r="O218" s="330"/>
      <c r="P218" s="330"/>
      <c r="Q218" s="330"/>
      <c r="R218" s="330"/>
      <c r="S218" s="330"/>
      <c r="T218" s="327">
        <v>13.28</v>
      </c>
      <c r="U218" s="288" t="s">
        <v>110</v>
      </c>
      <c r="V218" s="288"/>
      <c r="W218" s="291"/>
      <c r="X218" s="5"/>
    </row>
    <row r="219" spans="1:24" ht="15.6" x14ac:dyDescent="0.3">
      <c r="A219" s="352"/>
      <c r="B219" s="288" t="s">
        <v>77</v>
      </c>
      <c r="C219" s="353"/>
      <c r="D219" s="353"/>
      <c r="E219" s="353"/>
      <c r="F219" s="353"/>
      <c r="G219" s="330"/>
      <c r="H219" s="330"/>
      <c r="I219" s="330"/>
      <c r="J219" s="330"/>
      <c r="K219" s="330"/>
      <c r="L219" s="330"/>
      <c r="M219" s="330"/>
      <c r="N219" s="330"/>
      <c r="O219" s="330"/>
      <c r="P219" s="330"/>
      <c r="Q219" s="330"/>
      <c r="R219" s="330"/>
      <c r="S219" s="330"/>
      <c r="T219" s="321">
        <f>+P68/N68</f>
        <v>1.1017009451644754E-2</v>
      </c>
      <c r="U219" s="288"/>
      <c r="V219" s="288"/>
      <c r="W219" s="291"/>
      <c r="X219" s="5"/>
    </row>
    <row r="220" spans="1:24" ht="15.6" x14ac:dyDescent="0.3">
      <c r="A220" s="352"/>
      <c r="B220" s="288" t="s">
        <v>78</v>
      </c>
      <c r="C220" s="353"/>
      <c r="D220" s="353"/>
      <c r="E220" s="353"/>
      <c r="F220" s="353"/>
      <c r="G220" s="330"/>
      <c r="H220" s="330"/>
      <c r="I220" s="330"/>
      <c r="J220" s="330"/>
      <c r="K220" s="330"/>
      <c r="L220" s="330"/>
      <c r="M220" s="330"/>
      <c r="N220" s="330"/>
      <c r="O220" s="330"/>
      <c r="P220" s="330"/>
      <c r="Q220" s="330"/>
      <c r="R220" s="330"/>
      <c r="S220" s="330"/>
      <c r="T220" s="321">
        <v>4.9299999999999997E-2</v>
      </c>
      <c r="U220" s="288"/>
      <c r="V220" s="288"/>
      <c r="W220" s="291"/>
      <c r="X220" s="5"/>
    </row>
    <row r="221" spans="1:24" ht="15.6" x14ac:dyDescent="0.3">
      <c r="A221" s="217"/>
      <c r="B221" s="284"/>
      <c r="C221" s="284"/>
      <c r="D221" s="284"/>
      <c r="E221" s="284"/>
      <c r="F221" s="284"/>
      <c r="G221" s="284"/>
      <c r="H221" s="284"/>
      <c r="I221" s="284"/>
      <c r="J221" s="284"/>
      <c r="K221" s="284"/>
      <c r="L221" s="284"/>
      <c r="M221" s="284"/>
      <c r="N221" s="284"/>
      <c r="O221" s="284"/>
      <c r="P221" s="284"/>
      <c r="Q221" s="284"/>
      <c r="R221" s="284"/>
      <c r="S221" s="284"/>
      <c r="T221" s="349"/>
      <c r="U221" s="284"/>
      <c r="V221" s="351"/>
      <c r="W221" s="284"/>
      <c r="X221" s="5"/>
    </row>
    <row r="222" spans="1:24" ht="15.6" x14ac:dyDescent="0.3">
      <c r="A222" s="278"/>
      <c r="B222" s="399" t="s">
        <v>79</v>
      </c>
      <c r="C222" s="400"/>
      <c r="D222" s="400"/>
      <c r="E222" s="400"/>
      <c r="F222" s="406"/>
      <c r="G222" s="400"/>
      <c r="H222" s="400"/>
      <c r="I222" s="400"/>
      <c r="J222" s="400"/>
      <c r="K222" s="400"/>
      <c r="L222" s="400"/>
      <c r="M222" s="400"/>
      <c r="N222" s="400"/>
      <c r="O222" s="400"/>
      <c r="P222" s="400"/>
      <c r="Q222" s="400"/>
      <c r="R222" s="400"/>
      <c r="S222" s="400" t="s">
        <v>102</v>
      </c>
      <c r="T222" s="406" t="s">
        <v>108</v>
      </c>
      <c r="U222" s="263"/>
      <c r="V222" s="263"/>
      <c r="W222" s="263"/>
      <c r="X222" s="5"/>
    </row>
    <row r="223" spans="1:24" ht="15.6" x14ac:dyDescent="0.3">
      <c r="A223" s="218"/>
      <c r="B223" s="231" t="s">
        <v>80</v>
      </c>
      <c r="C223" s="234"/>
      <c r="D223" s="234"/>
      <c r="E223" s="234"/>
      <c r="F223" s="231"/>
      <c r="G223" s="231"/>
      <c r="H223" s="233"/>
      <c r="I223" s="233"/>
      <c r="J223" s="233"/>
      <c r="K223" s="233"/>
      <c r="L223" s="233"/>
      <c r="M223" s="233"/>
      <c r="N223" s="233"/>
      <c r="O223" s="233"/>
      <c r="P223" s="233"/>
      <c r="Q223" s="233"/>
      <c r="R223" s="233"/>
      <c r="S223" s="233">
        <v>1</v>
      </c>
      <c r="T223" s="251">
        <v>126</v>
      </c>
      <c r="U223" s="231"/>
      <c r="V223" s="250"/>
      <c r="W223" s="252"/>
      <c r="X223" s="5"/>
    </row>
    <row r="224" spans="1:24" ht="15.6" x14ac:dyDescent="0.3">
      <c r="A224" s="362"/>
      <c r="B224" s="288" t="s">
        <v>145</v>
      </c>
      <c r="C224" s="337"/>
      <c r="D224" s="337"/>
      <c r="E224" s="337"/>
      <c r="F224" s="288"/>
      <c r="G224" s="288"/>
      <c r="H224" s="296"/>
      <c r="I224" s="296"/>
      <c r="J224" s="296"/>
      <c r="K224" s="296"/>
      <c r="L224" s="296"/>
      <c r="M224" s="296"/>
      <c r="N224" s="296"/>
      <c r="O224" s="296"/>
      <c r="P224" s="296"/>
      <c r="Q224" s="296"/>
      <c r="R224" s="296"/>
      <c r="S224" s="363">
        <f>+R276</f>
        <v>152</v>
      </c>
      <c r="T224" s="364">
        <f>+T276</f>
        <v>22999</v>
      </c>
      <c r="U224" s="288"/>
      <c r="V224" s="365"/>
      <c r="W224" s="366"/>
      <c r="X224" s="5"/>
    </row>
    <row r="225" spans="1:24" ht="15.6" x14ac:dyDescent="0.3">
      <c r="A225" s="362"/>
      <c r="B225" s="288" t="s">
        <v>81</v>
      </c>
      <c r="C225" s="337"/>
      <c r="D225" s="337"/>
      <c r="E225" s="337"/>
      <c r="F225" s="288"/>
      <c r="G225" s="288"/>
      <c r="H225" s="296"/>
      <c r="I225" s="296"/>
      <c r="J225" s="296"/>
      <c r="K225" s="296"/>
      <c r="L225" s="296"/>
      <c r="M225" s="296"/>
      <c r="N225" s="296"/>
      <c r="O225" s="296"/>
      <c r="P225" s="296"/>
      <c r="Q225" s="296"/>
      <c r="R225" s="296"/>
      <c r="S225" s="363">
        <f>+R288</f>
        <v>1</v>
      </c>
      <c r="T225" s="364">
        <f>+T288</f>
        <v>142</v>
      </c>
      <c r="U225" s="288"/>
      <c r="V225" s="365"/>
      <c r="W225" s="366"/>
      <c r="X225" s="5"/>
    </row>
    <row r="226" spans="1:24" ht="15.6" x14ac:dyDescent="0.3">
      <c r="A226" s="362"/>
      <c r="B226" s="313" t="s">
        <v>82</v>
      </c>
      <c r="C226" s="367"/>
      <c r="D226" s="367"/>
      <c r="E226" s="367"/>
      <c r="F226" s="314"/>
      <c r="G226" s="314"/>
      <c r="H226" s="314"/>
      <c r="I226" s="314"/>
      <c r="J226" s="314"/>
      <c r="K226" s="314"/>
      <c r="L226" s="314"/>
      <c r="M226" s="314"/>
      <c r="N226" s="314"/>
      <c r="O226" s="314"/>
      <c r="P226" s="314"/>
      <c r="Q226" s="314"/>
      <c r="R226" s="314"/>
      <c r="S226" s="314"/>
      <c r="T226" s="364">
        <v>0</v>
      </c>
      <c r="U226" s="314"/>
      <c r="V226" s="369"/>
      <c r="W226" s="370"/>
      <c r="X226" s="5"/>
    </row>
    <row r="227" spans="1:24" ht="15.6" x14ac:dyDescent="0.3">
      <c r="A227" s="362"/>
      <c r="B227" s="313" t="s">
        <v>243</v>
      </c>
      <c r="C227" s="367"/>
      <c r="D227" s="367"/>
      <c r="E227" s="367"/>
      <c r="F227" s="314"/>
      <c r="G227" s="314"/>
      <c r="H227" s="314"/>
      <c r="I227" s="314"/>
      <c r="J227" s="314"/>
      <c r="K227" s="314"/>
      <c r="L227" s="314"/>
      <c r="M227" s="314"/>
      <c r="N227" s="314"/>
      <c r="O227" s="314"/>
      <c r="P227" s="314"/>
      <c r="Q227" s="314"/>
      <c r="R227" s="314"/>
      <c r="S227" s="314"/>
      <c r="T227" s="364">
        <f>+N81</f>
        <v>0</v>
      </c>
      <c r="U227" s="314"/>
      <c r="V227" s="369"/>
      <c r="W227" s="370"/>
      <c r="X227" s="5"/>
    </row>
    <row r="228" spans="1:24" ht="15.6" x14ac:dyDescent="0.3">
      <c r="A228" s="371"/>
      <c r="B228" s="313" t="s">
        <v>83</v>
      </c>
      <c r="C228" s="372"/>
      <c r="D228" s="372"/>
      <c r="E228" s="372"/>
      <c r="F228" s="372"/>
      <c r="G228" s="314"/>
      <c r="H228" s="314"/>
      <c r="I228" s="314"/>
      <c r="J228" s="314"/>
      <c r="K228" s="314"/>
      <c r="L228" s="314"/>
      <c r="M228" s="314"/>
      <c r="N228" s="314"/>
      <c r="O228" s="314"/>
      <c r="P228" s="314"/>
      <c r="Q228" s="314"/>
      <c r="R228" s="314"/>
      <c r="S228" s="314"/>
      <c r="T228" s="368"/>
      <c r="U228" s="314"/>
      <c r="V228" s="369"/>
      <c r="W228" s="373"/>
      <c r="X228" s="5"/>
    </row>
    <row r="229" spans="1:24" ht="15.6" x14ac:dyDescent="0.3">
      <c r="A229" s="371"/>
      <c r="B229" s="288" t="s">
        <v>84</v>
      </c>
      <c r="C229" s="288"/>
      <c r="D229" s="288"/>
      <c r="E229" s="288"/>
      <c r="F229" s="288"/>
      <c r="G229" s="288"/>
      <c r="H229" s="288"/>
      <c r="I229" s="288"/>
      <c r="J229" s="288"/>
      <c r="K229" s="288"/>
      <c r="L229" s="288"/>
      <c r="M229" s="288"/>
      <c r="N229" s="288"/>
      <c r="O229" s="288"/>
      <c r="P229" s="288"/>
      <c r="Q229" s="288"/>
      <c r="R229" s="288"/>
      <c r="S229" s="296"/>
      <c r="T229" s="364">
        <f>V167</f>
        <v>72</v>
      </c>
      <c r="U229" s="288"/>
      <c r="V229" s="365"/>
      <c r="W229" s="378"/>
      <c r="X229" s="5"/>
    </row>
    <row r="230" spans="1:24" ht="15.6" x14ac:dyDescent="0.3">
      <c r="A230" s="362"/>
      <c r="B230" s="288" t="s">
        <v>85</v>
      </c>
      <c r="C230" s="337"/>
      <c r="D230" s="337"/>
      <c r="E230" s="337"/>
      <c r="F230" s="337"/>
      <c r="G230" s="288"/>
      <c r="H230" s="288"/>
      <c r="I230" s="288"/>
      <c r="J230" s="288"/>
      <c r="K230" s="288"/>
      <c r="L230" s="288"/>
      <c r="M230" s="288"/>
      <c r="N230" s="288"/>
      <c r="O230" s="288"/>
      <c r="P230" s="288"/>
      <c r="Q230" s="288"/>
      <c r="R230" s="288"/>
      <c r="S230" s="296"/>
      <c r="T230" s="364">
        <f>'Feb 15'!T230+T229</f>
        <v>6045</v>
      </c>
      <c r="U230" s="288"/>
      <c r="V230" s="365"/>
      <c r="W230" s="378"/>
      <c r="X230" s="5"/>
    </row>
    <row r="231" spans="1:24" ht="15.6" x14ac:dyDescent="0.3">
      <c r="A231" s="371"/>
      <c r="B231" s="313" t="s">
        <v>295</v>
      </c>
      <c r="C231" s="372"/>
      <c r="D231" s="372"/>
      <c r="E231" s="372"/>
      <c r="F231" s="372"/>
      <c r="G231" s="314"/>
      <c r="H231" s="314"/>
      <c r="I231" s="314"/>
      <c r="J231" s="314"/>
      <c r="K231" s="314"/>
      <c r="L231" s="314"/>
      <c r="M231" s="314"/>
      <c r="N231" s="314"/>
      <c r="O231" s="314"/>
      <c r="P231" s="314"/>
      <c r="Q231" s="314"/>
      <c r="R231" s="314"/>
      <c r="S231" s="316"/>
      <c r="T231" s="368"/>
      <c r="U231" s="314"/>
      <c r="V231" s="369"/>
      <c r="W231" s="373"/>
      <c r="X231" s="5"/>
    </row>
    <row r="232" spans="1:24" ht="15.6" x14ac:dyDescent="0.3">
      <c r="A232" s="371"/>
      <c r="B232" s="288" t="s">
        <v>291</v>
      </c>
      <c r="C232" s="288"/>
      <c r="D232" s="288"/>
      <c r="E232" s="288"/>
      <c r="F232" s="288"/>
      <c r="G232" s="288"/>
      <c r="H232" s="288"/>
      <c r="I232" s="288"/>
      <c r="J232" s="288"/>
      <c r="K232" s="288"/>
      <c r="L232" s="288"/>
      <c r="M232" s="288"/>
      <c r="N232" s="288"/>
      <c r="O232" s="288"/>
      <c r="P232" s="288"/>
      <c r="Q232" s="288"/>
      <c r="R232" s="288"/>
      <c r="S232" s="296">
        <v>0</v>
      </c>
      <c r="T232" s="364">
        <v>0</v>
      </c>
      <c r="U232" s="288"/>
      <c r="V232" s="365"/>
      <c r="W232" s="378"/>
      <c r="X232" s="5"/>
    </row>
    <row r="233" spans="1:24" ht="15.6" x14ac:dyDescent="0.3">
      <c r="A233" s="362"/>
      <c r="B233" s="288" t="s">
        <v>86</v>
      </c>
      <c r="C233" s="325"/>
      <c r="D233" s="325"/>
      <c r="E233" s="325"/>
      <c r="F233" s="379"/>
      <c r="G233" s="288"/>
      <c r="H233" s="288"/>
      <c r="I233" s="288"/>
      <c r="J233" s="288"/>
      <c r="K233" s="288"/>
      <c r="L233" s="288"/>
      <c r="M233" s="288"/>
      <c r="N233" s="288"/>
      <c r="O233" s="288"/>
      <c r="P233" s="288"/>
      <c r="Q233" s="288"/>
      <c r="R233" s="288"/>
      <c r="S233" s="288"/>
      <c r="T233" s="380">
        <v>0</v>
      </c>
      <c r="U233" s="288"/>
      <c r="V233" s="365"/>
      <c r="W233" s="378"/>
      <c r="X233" s="5"/>
    </row>
    <row r="234" spans="1:24" ht="15.6" x14ac:dyDescent="0.3">
      <c r="A234" s="362"/>
      <c r="B234" s="288" t="s">
        <v>87</v>
      </c>
      <c r="C234" s="325"/>
      <c r="D234" s="325"/>
      <c r="E234" s="325"/>
      <c r="F234" s="379"/>
      <c r="G234" s="288"/>
      <c r="H234" s="288"/>
      <c r="I234" s="288"/>
      <c r="J234" s="288"/>
      <c r="K234" s="288"/>
      <c r="L234" s="288"/>
      <c r="M234" s="288"/>
      <c r="N234" s="288"/>
      <c r="O234" s="288"/>
      <c r="P234" s="288"/>
      <c r="Q234" s="288"/>
      <c r="R234" s="288"/>
      <c r="S234" s="288"/>
      <c r="T234" s="380">
        <v>0</v>
      </c>
      <c r="U234" s="288"/>
      <c r="V234" s="365"/>
      <c r="W234" s="378"/>
      <c r="X234" s="5"/>
    </row>
    <row r="235" spans="1:24" ht="15.6" x14ac:dyDescent="0.3">
      <c r="A235" s="362"/>
      <c r="B235" s="313" t="s">
        <v>217</v>
      </c>
      <c r="C235" s="381"/>
      <c r="D235" s="381"/>
      <c r="E235" s="381"/>
      <c r="F235" s="382"/>
      <c r="G235" s="314"/>
      <c r="H235" s="314"/>
      <c r="I235" s="314"/>
      <c r="J235" s="314"/>
      <c r="K235" s="314"/>
      <c r="L235" s="314"/>
      <c r="M235" s="314"/>
      <c r="N235" s="314"/>
      <c r="O235" s="314"/>
      <c r="P235" s="314"/>
      <c r="Q235" s="314"/>
      <c r="R235" s="314"/>
      <c r="S235" s="314"/>
      <c r="T235" s="383"/>
      <c r="U235" s="314"/>
      <c r="V235" s="369"/>
      <c r="W235" s="373"/>
      <c r="X235" s="5"/>
    </row>
    <row r="236" spans="1:24" ht="15.6" x14ac:dyDescent="0.3">
      <c r="A236" s="362"/>
      <c r="B236" s="288" t="s">
        <v>291</v>
      </c>
      <c r="C236" s="381"/>
      <c r="D236" s="381"/>
      <c r="E236" s="381"/>
      <c r="F236" s="382"/>
      <c r="G236" s="314"/>
      <c r="H236" s="314"/>
      <c r="I236" s="314"/>
      <c r="J236" s="314"/>
      <c r="K236" s="314"/>
      <c r="L236" s="314"/>
      <c r="M236" s="314"/>
      <c r="N236" s="314"/>
      <c r="O236" s="314"/>
      <c r="P236" s="314"/>
      <c r="Q236" s="314"/>
      <c r="R236" s="314"/>
      <c r="S236" s="296">
        <v>8</v>
      </c>
      <c r="T236" s="364">
        <v>1175</v>
      </c>
      <c r="U236" s="314"/>
      <c r="V236" s="369"/>
      <c r="W236" s="373"/>
      <c r="X236" s="5"/>
    </row>
    <row r="237" spans="1:24" ht="15.6" x14ac:dyDescent="0.3">
      <c r="A237" s="362"/>
      <c r="B237" s="288" t="s">
        <v>218</v>
      </c>
      <c r="C237" s="381"/>
      <c r="D237" s="381"/>
      <c r="E237" s="381"/>
      <c r="F237" s="382"/>
      <c r="G237" s="314"/>
      <c r="H237" s="314"/>
      <c r="I237" s="314"/>
      <c r="J237" s="314"/>
      <c r="K237" s="314"/>
      <c r="L237" s="314"/>
      <c r="M237" s="314"/>
      <c r="N237" s="314"/>
      <c r="O237" s="314"/>
      <c r="P237" s="314"/>
      <c r="Q237" s="314"/>
      <c r="R237" s="314"/>
      <c r="S237" s="288"/>
      <c r="T237" s="380">
        <v>0</v>
      </c>
      <c r="U237" s="314"/>
      <c r="V237" s="369"/>
      <c r="W237" s="373"/>
      <c r="X237" s="5"/>
    </row>
    <row r="238" spans="1:24" ht="15.6" x14ac:dyDescent="0.3">
      <c r="A238" s="362"/>
      <c r="B238" s="372"/>
      <c r="C238" s="381"/>
      <c r="D238" s="381"/>
      <c r="E238" s="381"/>
      <c r="F238" s="382"/>
      <c r="G238" s="314"/>
      <c r="H238" s="314"/>
      <c r="I238" s="314"/>
      <c r="J238" s="314"/>
      <c r="K238" s="314"/>
      <c r="L238" s="314"/>
      <c r="M238" s="314"/>
      <c r="N238" s="314"/>
      <c r="O238" s="314"/>
      <c r="P238" s="314"/>
      <c r="Q238" s="314"/>
      <c r="R238" s="314"/>
      <c r="S238" s="314"/>
      <c r="T238" s="383"/>
      <c r="U238" s="314"/>
      <c r="V238" s="369"/>
      <c r="W238" s="373"/>
      <c r="X238" s="5"/>
    </row>
    <row r="239" spans="1:24" ht="15.6" x14ac:dyDescent="0.3">
      <c r="A239" s="362"/>
      <c r="B239" s="372"/>
      <c r="C239" s="381"/>
      <c r="D239" s="381"/>
      <c r="E239" s="381"/>
      <c r="F239" s="382"/>
      <c r="G239" s="314"/>
      <c r="H239" s="314"/>
      <c r="I239" s="314"/>
      <c r="J239" s="314"/>
      <c r="K239" s="314"/>
      <c r="L239" s="314"/>
      <c r="M239" s="314"/>
      <c r="N239" s="314"/>
      <c r="O239" s="314"/>
      <c r="P239" s="314"/>
      <c r="Q239" s="314"/>
      <c r="R239" s="314"/>
      <c r="S239" s="314"/>
      <c r="T239" s="383"/>
      <c r="U239" s="314"/>
      <c r="V239" s="369"/>
      <c r="W239" s="373"/>
      <c r="X239" s="5"/>
    </row>
    <row r="240" spans="1:24" ht="17.399999999999999" x14ac:dyDescent="0.3">
      <c r="A240" s="362"/>
      <c r="B240" s="384" t="s">
        <v>168</v>
      </c>
      <c r="C240" s="381"/>
      <c r="D240" s="381"/>
      <c r="E240" s="381"/>
      <c r="F240" s="382"/>
      <c r="G240" s="314"/>
      <c r="H240" s="314"/>
      <c r="I240" s="314"/>
      <c r="J240" s="314"/>
      <c r="K240" s="314"/>
      <c r="L240" s="314"/>
      <c r="M240" s="314"/>
      <c r="N240" s="314"/>
      <c r="O240" s="314"/>
      <c r="P240" s="385" t="s">
        <v>167</v>
      </c>
      <c r="Q240" s="314"/>
      <c r="R240" s="314"/>
      <c r="S240" s="314"/>
      <c r="T240" s="383"/>
      <c r="U240" s="314"/>
      <c r="V240" s="369"/>
      <c r="W240" s="373"/>
      <c r="X240" s="5"/>
    </row>
    <row r="241" spans="1:25" ht="15.6" x14ac:dyDescent="0.3">
      <c r="A241" s="355"/>
      <c r="B241" s="356"/>
      <c r="C241" s="357"/>
      <c r="D241" s="357"/>
      <c r="E241" s="357"/>
      <c r="F241" s="358"/>
      <c r="G241" s="198"/>
      <c r="H241" s="198"/>
      <c r="I241" s="198"/>
      <c r="J241" s="198"/>
      <c r="K241" s="198"/>
      <c r="L241" s="198"/>
      <c r="M241" s="198"/>
      <c r="N241" s="198"/>
      <c r="O241" s="198"/>
      <c r="P241" s="198"/>
      <c r="Q241" s="198"/>
      <c r="R241" s="198"/>
      <c r="S241" s="198"/>
      <c r="T241" s="359"/>
      <c r="U241" s="198"/>
      <c r="V241" s="360"/>
      <c r="W241" s="361"/>
      <c r="X241" s="5"/>
    </row>
    <row r="242" spans="1:25" ht="15.6" x14ac:dyDescent="0.3">
      <c r="A242" s="262"/>
      <c r="B242" s="399" t="s">
        <v>308</v>
      </c>
      <c r="C242" s="400"/>
      <c r="D242" s="400"/>
      <c r="E242" s="400"/>
      <c r="F242" s="406"/>
      <c r="G242" s="400"/>
      <c r="H242" s="400"/>
      <c r="I242" s="400"/>
      <c r="J242" s="400"/>
      <c r="K242" s="400"/>
      <c r="L242" s="400"/>
      <c r="M242" s="400"/>
      <c r="N242" s="400"/>
      <c r="O242" s="400"/>
      <c r="P242" s="400"/>
      <c r="Q242" s="400"/>
      <c r="R242" s="406" t="s">
        <v>102</v>
      </c>
      <c r="S242" s="400" t="s">
        <v>103</v>
      </c>
      <c r="T242" s="406" t="s">
        <v>109</v>
      </c>
      <c r="U242" s="400" t="s">
        <v>103</v>
      </c>
      <c r="V242" s="263"/>
      <c r="W242" s="399"/>
      <c r="X242" s="5"/>
    </row>
    <row r="243" spans="1:25" ht="15.6" x14ac:dyDescent="0.3">
      <c r="A243" s="197"/>
      <c r="B243" s="234" t="s">
        <v>88</v>
      </c>
      <c r="C243" s="253"/>
      <c r="D243" s="253"/>
      <c r="E243" s="253"/>
      <c r="F243" s="231"/>
      <c r="G243" s="253"/>
      <c r="H243" s="253"/>
      <c r="I243" s="253"/>
      <c r="J243" s="253"/>
      <c r="K243" s="253"/>
      <c r="L243" s="253"/>
      <c r="M243" s="253"/>
      <c r="N243" s="253"/>
      <c r="O243" s="253"/>
      <c r="P243" s="253"/>
      <c r="Q243" s="253"/>
      <c r="R243" s="234">
        <f t="shared" ref="R243:R250" si="1">+R255+R267+R279</f>
        <v>7302</v>
      </c>
      <c r="S243" s="254">
        <f t="shared" ref="S243:S250" si="2">R243/$R$252</f>
        <v>0.99455189321710702</v>
      </c>
      <c r="T243" s="241">
        <f t="shared" ref="T243:T250" si="3">+T255+T267+T279</f>
        <v>1008752</v>
      </c>
      <c r="U243" s="254">
        <f t="shared" ref="U243:U250" si="4">T243/$T$252</f>
        <v>0.99368084265938506</v>
      </c>
      <c r="V243" s="250"/>
      <c r="W243" s="232"/>
      <c r="X243" s="5"/>
    </row>
    <row r="244" spans="1:25" ht="15.6" x14ac:dyDescent="0.3">
      <c r="A244" s="287"/>
      <c r="B244" s="337" t="s">
        <v>89</v>
      </c>
      <c r="C244" s="389"/>
      <c r="D244" s="389"/>
      <c r="E244" s="389"/>
      <c r="F244" s="288"/>
      <c r="G244" s="390"/>
      <c r="H244" s="389"/>
      <c r="I244" s="389"/>
      <c r="J244" s="389"/>
      <c r="K244" s="389"/>
      <c r="L244" s="389"/>
      <c r="M244" s="389"/>
      <c r="N244" s="389"/>
      <c r="O244" s="389"/>
      <c r="P244" s="389"/>
      <c r="Q244" s="389"/>
      <c r="R244" s="337">
        <f t="shared" si="1"/>
        <v>17</v>
      </c>
      <c r="S244" s="390">
        <f t="shared" si="2"/>
        <v>2.3154453827295015E-3</v>
      </c>
      <c r="T244" s="338">
        <f t="shared" si="3"/>
        <v>3096</v>
      </c>
      <c r="U244" s="390">
        <f t="shared" si="4"/>
        <v>3.0497445247924726E-3</v>
      </c>
      <c r="V244" s="365"/>
      <c r="W244" s="378"/>
      <c r="X244" s="5"/>
      <c r="Y244" s="109"/>
    </row>
    <row r="245" spans="1:25" ht="15.6" x14ac:dyDescent="0.3">
      <c r="A245" s="287"/>
      <c r="B245" s="337" t="s">
        <v>90</v>
      </c>
      <c r="C245" s="389"/>
      <c r="D245" s="389"/>
      <c r="E245" s="389"/>
      <c r="F245" s="288"/>
      <c r="G245" s="390"/>
      <c r="H245" s="389"/>
      <c r="I245" s="389"/>
      <c r="J245" s="389"/>
      <c r="K245" s="389"/>
      <c r="L245" s="389"/>
      <c r="M245" s="389"/>
      <c r="N245" s="389"/>
      <c r="O245" s="389"/>
      <c r="P245" s="389"/>
      <c r="Q245" s="389"/>
      <c r="R245" s="337">
        <f t="shared" si="1"/>
        <v>4</v>
      </c>
      <c r="S245" s="390">
        <f t="shared" si="2"/>
        <v>5.4481067828929448E-4</v>
      </c>
      <c r="T245" s="338">
        <f t="shared" si="3"/>
        <v>660</v>
      </c>
      <c r="U245" s="390">
        <f t="shared" si="4"/>
        <v>6.501393366805659E-4</v>
      </c>
      <c r="V245" s="365"/>
      <c r="W245" s="378"/>
      <c r="X245" s="5"/>
    </row>
    <row r="246" spans="1:25" ht="15.6" x14ac:dyDescent="0.3">
      <c r="A246" s="287"/>
      <c r="B246" s="337" t="s">
        <v>156</v>
      </c>
      <c r="C246" s="389"/>
      <c r="D246" s="389"/>
      <c r="E246" s="389"/>
      <c r="F246" s="288"/>
      <c r="G246" s="390"/>
      <c r="H246" s="389"/>
      <c r="I246" s="389"/>
      <c r="J246" s="389"/>
      <c r="K246" s="389"/>
      <c r="L246" s="389"/>
      <c r="M246" s="389"/>
      <c r="N246" s="389"/>
      <c r="O246" s="389"/>
      <c r="P246" s="389"/>
      <c r="Q246" s="389"/>
      <c r="R246" s="337">
        <f t="shared" si="1"/>
        <v>1</v>
      </c>
      <c r="S246" s="390">
        <f t="shared" si="2"/>
        <v>1.3620266957232362E-4</v>
      </c>
      <c r="T246" s="338">
        <f t="shared" si="3"/>
        <v>126</v>
      </c>
      <c r="U246" s="390">
        <f t="shared" si="4"/>
        <v>1.2411750972992621E-4</v>
      </c>
      <c r="V246" s="365"/>
      <c r="W246" s="378"/>
      <c r="X246" s="5"/>
      <c r="Y246" s="109"/>
    </row>
    <row r="247" spans="1:25" ht="15.6" x14ac:dyDescent="0.3">
      <c r="A247" s="287"/>
      <c r="B247" s="337" t="s">
        <v>157</v>
      </c>
      <c r="C247" s="389"/>
      <c r="D247" s="389"/>
      <c r="E247" s="389"/>
      <c r="F247" s="288"/>
      <c r="G247" s="390"/>
      <c r="H247" s="389"/>
      <c r="I247" s="389"/>
      <c r="J247" s="389"/>
      <c r="K247" s="389"/>
      <c r="L247" s="389"/>
      <c r="M247" s="389"/>
      <c r="N247" s="389"/>
      <c r="O247" s="389"/>
      <c r="P247" s="389"/>
      <c r="Q247" s="389"/>
      <c r="R247" s="337">
        <f t="shared" si="1"/>
        <v>1</v>
      </c>
      <c r="S247" s="390">
        <f t="shared" si="2"/>
        <v>1.3620266957232362E-4</v>
      </c>
      <c r="T247" s="338">
        <f t="shared" si="3"/>
        <v>71</v>
      </c>
      <c r="U247" s="390">
        <f t="shared" si="4"/>
        <v>6.9939231673212389E-5</v>
      </c>
      <c r="V247" s="365"/>
      <c r="W247" s="378"/>
      <c r="X247" s="5"/>
    </row>
    <row r="248" spans="1:25" ht="15.6" x14ac:dyDescent="0.3">
      <c r="A248" s="287"/>
      <c r="B248" s="337" t="s">
        <v>158</v>
      </c>
      <c r="C248" s="389"/>
      <c r="D248" s="389"/>
      <c r="E248" s="389"/>
      <c r="F248" s="288"/>
      <c r="G248" s="390"/>
      <c r="H248" s="389"/>
      <c r="I248" s="389"/>
      <c r="J248" s="389"/>
      <c r="K248" s="389"/>
      <c r="L248" s="389"/>
      <c r="M248" s="389"/>
      <c r="N248" s="389"/>
      <c r="O248" s="389"/>
      <c r="P248" s="389"/>
      <c r="Q248" s="389"/>
      <c r="R248" s="337">
        <f t="shared" si="1"/>
        <v>0</v>
      </c>
      <c r="S248" s="390">
        <f t="shared" si="2"/>
        <v>0</v>
      </c>
      <c r="T248" s="338">
        <f t="shared" si="3"/>
        <v>0</v>
      </c>
      <c r="U248" s="390">
        <f t="shared" si="4"/>
        <v>0</v>
      </c>
      <c r="V248" s="365"/>
      <c r="W248" s="378"/>
      <c r="X248" s="5"/>
      <c r="Y248" s="109"/>
    </row>
    <row r="249" spans="1:25" ht="15.6" x14ac:dyDescent="0.3">
      <c r="A249" s="287"/>
      <c r="B249" s="337" t="s">
        <v>159</v>
      </c>
      <c r="C249" s="389"/>
      <c r="D249" s="389"/>
      <c r="E249" s="389"/>
      <c r="F249" s="288"/>
      <c r="G249" s="390"/>
      <c r="H249" s="389"/>
      <c r="I249" s="389"/>
      <c r="J249" s="389"/>
      <c r="K249" s="389"/>
      <c r="L249" s="389"/>
      <c r="M249" s="389"/>
      <c r="N249" s="389"/>
      <c r="O249" s="389"/>
      <c r="P249" s="389"/>
      <c r="Q249" s="389"/>
      <c r="R249" s="337">
        <f t="shared" si="1"/>
        <v>3</v>
      </c>
      <c r="S249" s="390">
        <f t="shared" si="2"/>
        <v>4.0860800871697086E-4</v>
      </c>
      <c r="T249" s="338">
        <f t="shared" si="3"/>
        <v>456</v>
      </c>
      <c r="U249" s="390">
        <f t="shared" si="4"/>
        <v>4.4918717807020911E-4</v>
      </c>
      <c r="V249" s="365"/>
      <c r="W249" s="378"/>
      <c r="X249" s="5"/>
    </row>
    <row r="250" spans="1:25" ht="15.6" x14ac:dyDescent="0.3">
      <c r="A250" s="287"/>
      <c r="B250" s="337" t="s">
        <v>160</v>
      </c>
      <c r="C250" s="389"/>
      <c r="D250" s="389"/>
      <c r="E250" s="389"/>
      <c r="F250" s="288"/>
      <c r="G250" s="390"/>
      <c r="H250" s="389"/>
      <c r="I250" s="389"/>
      <c r="J250" s="389"/>
      <c r="K250" s="389"/>
      <c r="L250" s="389"/>
      <c r="M250" s="389"/>
      <c r="N250" s="389"/>
      <c r="O250" s="389"/>
      <c r="P250" s="389"/>
      <c r="Q250" s="389"/>
      <c r="R250" s="339">
        <f t="shared" si="1"/>
        <v>14</v>
      </c>
      <c r="S250" s="393">
        <f t="shared" si="2"/>
        <v>1.9068373740125306E-3</v>
      </c>
      <c r="T250" s="394">
        <f t="shared" si="3"/>
        <v>2006</v>
      </c>
      <c r="U250" s="393">
        <f t="shared" si="4"/>
        <v>1.976029559668508E-3</v>
      </c>
      <c r="V250" s="365"/>
      <c r="W250" s="378"/>
      <c r="X250" s="5"/>
      <c r="Y250" s="109"/>
    </row>
    <row r="251" spans="1:25" ht="15.6" x14ac:dyDescent="0.3">
      <c r="A251" s="287"/>
      <c r="B251" s="337"/>
      <c r="C251" s="389"/>
      <c r="D251" s="389"/>
      <c r="E251" s="389"/>
      <c r="F251" s="288"/>
      <c r="G251" s="390"/>
      <c r="H251" s="389"/>
      <c r="I251" s="389"/>
      <c r="J251" s="389"/>
      <c r="K251" s="389"/>
      <c r="L251" s="389"/>
      <c r="M251" s="389"/>
      <c r="N251" s="389"/>
      <c r="O251" s="389"/>
      <c r="P251" s="389"/>
      <c r="Q251" s="389"/>
      <c r="R251" s="337"/>
      <c r="S251" s="390"/>
      <c r="T251" s="338"/>
      <c r="U251" s="390"/>
      <c r="V251" s="365"/>
      <c r="W251" s="378"/>
      <c r="X251" s="5"/>
    </row>
    <row r="252" spans="1:25" ht="15.6" x14ac:dyDescent="0.3">
      <c r="A252" s="287"/>
      <c r="B252" s="288"/>
      <c r="C252" s="288"/>
      <c r="D252" s="288"/>
      <c r="E252" s="288"/>
      <c r="F252" s="288"/>
      <c r="G252" s="288"/>
      <c r="H252" s="391"/>
      <c r="I252" s="391"/>
      <c r="J252" s="391"/>
      <c r="K252" s="391"/>
      <c r="L252" s="391"/>
      <c r="M252" s="391"/>
      <c r="N252" s="391"/>
      <c r="O252" s="391"/>
      <c r="P252" s="391"/>
      <c r="Q252" s="391"/>
      <c r="R252" s="337">
        <f>SUM(R243:R251)</f>
        <v>7342</v>
      </c>
      <c r="S252" s="390">
        <f>SUM(S243:S251)</f>
        <v>1</v>
      </c>
      <c r="T252" s="338">
        <f>SUM(T243:T251)</f>
        <v>1015167</v>
      </c>
      <c r="U252" s="390">
        <f>SUM(U243:U251)</f>
        <v>0.99999999999999989</v>
      </c>
      <c r="V252" s="288"/>
      <c r="W252" s="291"/>
      <c r="X252" s="5"/>
    </row>
    <row r="253" spans="1:25" ht="15.6" x14ac:dyDescent="0.3">
      <c r="A253" s="183"/>
      <c r="B253" s="198"/>
      <c r="C253" s="198"/>
      <c r="D253" s="198"/>
      <c r="E253" s="198"/>
      <c r="F253" s="198"/>
      <c r="G253" s="198"/>
      <c r="H253" s="386"/>
      <c r="I253" s="386"/>
      <c r="J253" s="386"/>
      <c r="K253" s="386"/>
      <c r="L253" s="386"/>
      <c r="M253" s="386"/>
      <c r="N253" s="386"/>
      <c r="O253" s="386"/>
      <c r="P253" s="386"/>
      <c r="Q253" s="386"/>
      <c r="R253" s="335"/>
      <c r="S253" s="387"/>
      <c r="T253" s="388"/>
      <c r="U253" s="387"/>
      <c r="V253" s="198"/>
      <c r="W253" s="198"/>
      <c r="X253" s="5"/>
    </row>
    <row r="254" spans="1:25" ht="15.6" x14ac:dyDescent="0.3">
      <c r="A254" s="262"/>
      <c r="B254" s="399" t="s">
        <v>162</v>
      </c>
      <c r="C254" s="400"/>
      <c r="D254" s="400"/>
      <c r="E254" s="400"/>
      <c r="F254" s="406"/>
      <c r="G254" s="400"/>
      <c r="H254" s="400"/>
      <c r="I254" s="400"/>
      <c r="J254" s="400"/>
      <c r="K254" s="400"/>
      <c r="L254" s="400"/>
      <c r="M254" s="400"/>
      <c r="N254" s="400"/>
      <c r="O254" s="400"/>
      <c r="P254" s="400"/>
      <c r="Q254" s="400"/>
      <c r="R254" s="406" t="s">
        <v>102</v>
      </c>
      <c r="S254" s="400" t="s">
        <v>103</v>
      </c>
      <c r="T254" s="406" t="s">
        <v>109</v>
      </c>
      <c r="U254" s="400" t="s">
        <v>103</v>
      </c>
      <c r="V254" s="263"/>
      <c r="W254" s="399"/>
      <c r="X254" s="5"/>
    </row>
    <row r="255" spans="1:25" ht="15.6" x14ac:dyDescent="0.3">
      <c r="A255" s="197"/>
      <c r="B255" s="234" t="s">
        <v>88</v>
      </c>
      <c r="C255" s="253"/>
      <c r="D255" s="253"/>
      <c r="E255" s="253"/>
      <c r="F255" s="231"/>
      <c r="G255" s="253"/>
      <c r="H255" s="253"/>
      <c r="I255" s="253"/>
      <c r="J255" s="253"/>
      <c r="K255" s="253"/>
      <c r="L255" s="253"/>
      <c r="M255" s="253"/>
      <c r="N255" s="253"/>
      <c r="O255" s="253"/>
      <c r="P255" s="253"/>
      <c r="Q255" s="253"/>
      <c r="R255" s="234">
        <v>7174</v>
      </c>
      <c r="S255" s="254">
        <f t="shared" ref="S255:S262" si="5">R255/$R$264</f>
        <v>0.99791347892613713</v>
      </c>
      <c r="T255" s="241">
        <v>989657</v>
      </c>
      <c r="U255" s="254">
        <f t="shared" ref="U255:U262" si="6">T255/$T$264</f>
        <v>0.99761195775110734</v>
      </c>
      <c r="V255" s="250"/>
      <c r="W255" s="232"/>
      <c r="X255" s="5"/>
    </row>
    <row r="256" spans="1:25" ht="15.6" x14ac:dyDescent="0.3">
      <c r="A256" s="287"/>
      <c r="B256" s="337" t="s">
        <v>89</v>
      </c>
      <c r="C256" s="389"/>
      <c r="D256" s="389"/>
      <c r="E256" s="389"/>
      <c r="F256" s="288"/>
      <c r="G256" s="390"/>
      <c r="H256" s="389"/>
      <c r="I256" s="389"/>
      <c r="J256" s="389"/>
      <c r="K256" s="389"/>
      <c r="L256" s="389"/>
      <c r="M256" s="389"/>
      <c r="N256" s="389"/>
      <c r="O256" s="389"/>
      <c r="P256" s="389"/>
      <c r="Q256" s="389"/>
      <c r="R256" s="337">
        <v>13</v>
      </c>
      <c r="S256" s="390">
        <f t="shared" si="5"/>
        <v>1.8083182640144665E-3</v>
      </c>
      <c r="T256" s="338">
        <v>2216</v>
      </c>
      <c r="U256" s="390">
        <f t="shared" si="6"/>
        <v>2.2338124202389855E-3</v>
      </c>
      <c r="V256" s="365"/>
      <c r="W256" s="378"/>
      <c r="X256" s="5"/>
      <c r="Y256" s="109"/>
    </row>
    <row r="257" spans="1:25" ht="15.6" x14ac:dyDescent="0.3">
      <c r="A257" s="287"/>
      <c r="B257" s="337" t="s">
        <v>90</v>
      </c>
      <c r="C257" s="389"/>
      <c r="D257" s="389"/>
      <c r="E257" s="389"/>
      <c r="F257" s="288"/>
      <c r="G257" s="390"/>
      <c r="H257" s="389"/>
      <c r="I257" s="389"/>
      <c r="J257" s="389"/>
      <c r="K257" s="389"/>
      <c r="L257" s="389"/>
      <c r="M257" s="389"/>
      <c r="N257" s="389"/>
      <c r="O257" s="389"/>
      <c r="P257" s="389"/>
      <c r="Q257" s="389"/>
      <c r="R257" s="337">
        <v>1</v>
      </c>
      <c r="S257" s="390">
        <f t="shared" si="5"/>
        <v>1.3910140492418973E-4</v>
      </c>
      <c r="T257" s="338">
        <v>101</v>
      </c>
      <c r="U257" s="390">
        <f t="shared" si="6"/>
        <v>1.0181184767334728E-4</v>
      </c>
      <c r="V257" s="365"/>
      <c r="W257" s="378"/>
      <c r="X257" s="5"/>
    </row>
    <row r="258" spans="1:25" ht="15.6" x14ac:dyDescent="0.3">
      <c r="A258" s="287"/>
      <c r="B258" s="337" t="s">
        <v>156</v>
      </c>
      <c r="C258" s="389"/>
      <c r="D258" s="389"/>
      <c r="E258" s="389"/>
      <c r="F258" s="288"/>
      <c r="G258" s="390"/>
      <c r="H258" s="389"/>
      <c r="I258" s="389"/>
      <c r="J258" s="389"/>
      <c r="K258" s="389"/>
      <c r="L258" s="389"/>
      <c r="M258" s="389"/>
      <c r="N258" s="389"/>
      <c r="O258" s="389"/>
      <c r="P258" s="389"/>
      <c r="Q258" s="389"/>
      <c r="R258" s="337">
        <v>0</v>
      </c>
      <c r="S258" s="390">
        <f t="shared" si="5"/>
        <v>0</v>
      </c>
      <c r="T258" s="338">
        <v>0</v>
      </c>
      <c r="U258" s="390">
        <f t="shared" si="6"/>
        <v>0</v>
      </c>
      <c r="V258" s="365"/>
      <c r="W258" s="378"/>
      <c r="X258" s="5"/>
      <c r="Y258" s="109"/>
    </row>
    <row r="259" spans="1:25" ht="15.6" x14ac:dyDescent="0.3">
      <c r="A259" s="287"/>
      <c r="B259" s="337" t="s">
        <v>157</v>
      </c>
      <c r="C259" s="389"/>
      <c r="D259" s="389"/>
      <c r="E259" s="389"/>
      <c r="F259" s="288"/>
      <c r="G259" s="390"/>
      <c r="H259" s="389"/>
      <c r="I259" s="389"/>
      <c r="J259" s="389"/>
      <c r="K259" s="389"/>
      <c r="L259" s="389"/>
      <c r="M259" s="389"/>
      <c r="N259" s="389"/>
      <c r="O259" s="389"/>
      <c r="P259" s="389"/>
      <c r="Q259" s="389"/>
      <c r="R259" s="337">
        <v>0</v>
      </c>
      <c r="S259" s="390">
        <f t="shared" si="5"/>
        <v>0</v>
      </c>
      <c r="T259" s="338">
        <v>0</v>
      </c>
      <c r="U259" s="390">
        <f t="shared" si="6"/>
        <v>0</v>
      </c>
      <c r="V259" s="365"/>
      <c r="W259" s="378"/>
      <c r="X259" s="5"/>
    </row>
    <row r="260" spans="1:25" ht="15.6" x14ac:dyDescent="0.3">
      <c r="A260" s="287"/>
      <c r="B260" s="337" t="s">
        <v>158</v>
      </c>
      <c r="C260" s="389"/>
      <c r="D260" s="389"/>
      <c r="E260" s="389"/>
      <c r="F260" s="288"/>
      <c r="G260" s="390"/>
      <c r="H260" s="389"/>
      <c r="I260" s="389"/>
      <c r="J260" s="389"/>
      <c r="K260" s="389"/>
      <c r="L260" s="389"/>
      <c r="M260" s="389"/>
      <c r="N260" s="389"/>
      <c r="O260" s="389"/>
      <c r="P260" s="389"/>
      <c r="Q260" s="389"/>
      <c r="R260" s="337">
        <v>0</v>
      </c>
      <c r="S260" s="390">
        <f t="shared" si="5"/>
        <v>0</v>
      </c>
      <c r="T260" s="338">
        <v>0</v>
      </c>
      <c r="U260" s="390">
        <f t="shared" si="6"/>
        <v>0</v>
      </c>
      <c r="V260" s="365"/>
      <c r="W260" s="378"/>
      <c r="X260" s="5"/>
      <c r="Y260" s="109"/>
    </row>
    <row r="261" spans="1:25" ht="15.6" x14ac:dyDescent="0.3">
      <c r="A261" s="287"/>
      <c r="B261" s="337" t="s">
        <v>159</v>
      </c>
      <c r="C261" s="389"/>
      <c r="D261" s="389"/>
      <c r="E261" s="389"/>
      <c r="F261" s="288"/>
      <c r="G261" s="390"/>
      <c r="H261" s="389"/>
      <c r="I261" s="389"/>
      <c r="J261" s="389"/>
      <c r="K261" s="389"/>
      <c r="L261" s="389"/>
      <c r="M261" s="389"/>
      <c r="N261" s="389"/>
      <c r="O261" s="389"/>
      <c r="P261" s="389"/>
      <c r="Q261" s="389"/>
      <c r="R261" s="337">
        <v>0</v>
      </c>
      <c r="S261" s="390">
        <f t="shared" si="5"/>
        <v>0</v>
      </c>
      <c r="T261" s="338">
        <v>0</v>
      </c>
      <c r="U261" s="390">
        <f t="shared" si="6"/>
        <v>0</v>
      </c>
      <c r="V261" s="365"/>
      <c r="W261" s="378"/>
      <c r="X261" s="5"/>
    </row>
    <row r="262" spans="1:25" ht="15.6" x14ac:dyDescent="0.3">
      <c r="A262" s="287"/>
      <c r="B262" s="337" t="s">
        <v>160</v>
      </c>
      <c r="C262" s="389"/>
      <c r="D262" s="389"/>
      <c r="E262" s="389"/>
      <c r="F262" s="288"/>
      <c r="G262" s="390"/>
      <c r="H262" s="389"/>
      <c r="I262" s="389"/>
      <c r="J262" s="389"/>
      <c r="K262" s="389"/>
      <c r="L262" s="389"/>
      <c r="M262" s="389"/>
      <c r="N262" s="389"/>
      <c r="O262" s="389"/>
      <c r="P262" s="389"/>
      <c r="Q262" s="389"/>
      <c r="R262" s="337">
        <v>1</v>
      </c>
      <c r="S262" s="390">
        <f t="shared" si="5"/>
        <v>1.3910140492418973E-4</v>
      </c>
      <c r="T262" s="338">
        <v>52</v>
      </c>
      <c r="U262" s="390">
        <f t="shared" si="6"/>
        <v>5.2417980980337207E-5</v>
      </c>
      <c r="V262" s="365"/>
      <c r="W262" s="378"/>
      <c r="X262" s="5"/>
      <c r="Y262" s="109"/>
    </row>
    <row r="263" spans="1:25" ht="15.6" x14ac:dyDescent="0.3">
      <c r="A263" s="287"/>
      <c r="B263" s="337"/>
      <c r="C263" s="389"/>
      <c r="D263" s="389"/>
      <c r="E263" s="389"/>
      <c r="F263" s="288"/>
      <c r="G263" s="390"/>
      <c r="H263" s="389"/>
      <c r="I263" s="389"/>
      <c r="J263" s="389"/>
      <c r="K263" s="389"/>
      <c r="L263" s="389"/>
      <c r="M263" s="389"/>
      <c r="N263" s="389"/>
      <c r="O263" s="389"/>
      <c r="P263" s="389"/>
      <c r="Q263" s="389"/>
      <c r="R263" s="337"/>
      <c r="S263" s="390"/>
      <c r="T263" s="338"/>
      <c r="U263" s="390"/>
      <c r="V263" s="365"/>
      <c r="W263" s="378"/>
      <c r="X263" s="5"/>
    </row>
    <row r="264" spans="1:25" ht="15.6" x14ac:dyDescent="0.3">
      <c r="A264" s="287"/>
      <c r="B264" s="288"/>
      <c r="C264" s="288"/>
      <c r="D264" s="288"/>
      <c r="E264" s="288"/>
      <c r="F264" s="288"/>
      <c r="G264" s="288"/>
      <c r="H264" s="391"/>
      <c r="I264" s="391"/>
      <c r="J264" s="391"/>
      <c r="K264" s="391"/>
      <c r="L264" s="391"/>
      <c r="M264" s="391"/>
      <c r="N264" s="391"/>
      <c r="O264" s="391"/>
      <c r="P264" s="391"/>
      <c r="Q264" s="391"/>
      <c r="R264" s="337">
        <f>SUM(R255:R263)</f>
        <v>7189</v>
      </c>
      <c r="S264" s="390">
        <f>SUM(S255:S263)</f>
        <v>1</v>
      </c>
      <c r="T264" s="338">
        <f>SUM(T255:T263)</f>
        <v>992026</v>
      </c>
      <c r="U264" s="390">
        <f>SUM(U255:U263)</f>
        <v>1</v>
      </c>
      <c r="V264" s="288"/>
      <c r="W264" s="291"/>
      <c r="X264" s="5"/>
    </row>
    <row r="265" spans="1:25" ht="15.6" x14ac:dyDescent="0.3">
      <c r="A265" s="183"/>
      <c r="B265" s="198"/>
      <c r="C265" s="198"/>
      <c r="D265" s="198"/>
      <c r="E265" s="198"/>
      <c r="F265" s="198"/>
      <c r="G265" s="198"/>
      <c r="H265" s="386"/>
      <c r="I265" s="386"/>
      <c r="J265" s="386"/>
      <c r="K265" s="386"/>
      <c r="L265" s="386"/>
      <c r="M265" s="386"/>
      <c r="N265" s="386"/>
      <c r="O265" s="386"/>
      <c r="P265" s="386"/>
      <c r="Q265" s="386"/>
      <c r="R265" s="335"/>
      <c r="S265" s="387"/>
      <c r="T265" s="388"/>
      <c r="U265" s="387"/>
      <c r="V265" s="198"/>
      <c r="W265" s="198"/>
      <c r="X265" s="5"/>
    </row>
    <row r="266" spans="1:25" ht="15.6" x14ac:dyDescent="0.3">
      <c r="A266" s="280"/>
      <c r="B266" s="399" t="s">
        <v>275</v>
      </c>
      <c r="C266" s="400"/>
      <c r="D266" s="400"/>
      <c r="E266" s="400"/>
      <c r="F266" s="406"/>
      <c r="G266" s="400"/>
      <c r="H266" s="400"/>
      <c r="I266" s="400"/>
      <c r="J266" s="400"/>
      <c r="K266" s="400"/>
      <c r="L266" s="400"/>
      <c r="M266" s="400"/>
      <c r="N266" s="400"/>
      <c r="O266" s="400"/>
      <c r="P266" s="400"/>
      <c r="Q266" s="400"/>
      <c r="R266" s="406" t="s">
        <v>102</v>
      </c>
      <c r="S266" s="400" t="s">
        <v>103</v>
      </c>
      <c r="T266" s="406" t="s">
        <v>109</v>
      </c>
      <c r="U266" s="400" t="s">
        <v>103</v>
      </c>
      <c r="V266" s="281"/>
      <c r="W266" s="282"/>
      <c r="X266" s="5"/>
    </row>
    <row r="267" spans="1:25" ht="15.6" x14ac:dyDescent="0.3">
      <c r="A267" s="197"/>
      <c r="B267" s="234" t="s">
        <v>88</v>
      </c>
      <c r="C267" s="253"/>
      <c r="D267" s="253"/>
      <c r="E267" s="253"/>
      <c r="F267" s="231"/>
      <c r="G267" s="253"/>
      <c r="H267" s="253"/>
      <c r="I267" s="253"/>
      <c r="J267" s="253"/>
      <c r="K267" s="253"/>
      <c r="L267" s="253"/>
      <c r="M267" s="253"/>
      <c r="N267" s="253"/>
      <c r="O267" s="253"/>
      <c r="P267" s="253"/>
      <c r="Q267" s="253"/>
      <c r="R267" s="234">
        <v>128</v>
      </c>
      <c r="S267" s="254">
        <f t="shared" ref="S267:S274" si="7">R267/$R$276</f>
        <v>0.84210526315789469</v>
      </c>
      <c r="T267" s="241">
        <v>19095</v>
      </c>
      <c r="U267" s="254">
        <f t="shared" ref="U267:U274" si="8">T267/$T$276</f>
        <v>0.83025348928214271</v>
      </c>
      <c r="V267" s="231"/>
      <c r="W267" s="231"/>
      <c r="X267" s="5"/>
    </row>
    <row r="268" spans="1:25" ht="15.6" x14ac:dyDescent="0.3">
      <c r="A268" s="287"/>
      <c r="B268" s="337" t="s">
        <v>89</v>
      </c>
      <c r="C268" s="389"/>
      <c r="D268" s="389"/>
      <c r="E268" s="389"/>
      <c r="F268" s="288"/>
      <c r="G268" s="390"/>
      <c r="H268" s="389"/>
      <c r="I268" s="389"/>
      <c r="J268" s="389"/>
      <c r="K268" s="389"/>
      <c r="L268" s="389"/>
      <c r="M268" s="389"/>
      <c r="N268" s="389"/>
      <c r="O268" s="389"/>
      <c r="P268" s="389"/>
      <c r="Q268" s="389"/>
      <c r="R268" s="337">
        <v>4</v>
      </c>
      <c r="S268" s="390">
        <f t="shared" si="7"/>
        <v>2.6315789473684209E-2</v>
      </c>
      <c r="T268" s="338">
        <v>880</v>
      </c>
      <c r="U268" s="390">
        <f t="shared" si="8"/>
        <v>3.8262533153615372E-2</v>
      </c>
      <c r="V268" s="288"/>
      <c r="W268" s="291"/>
      <c r="X268" s="5"/>
    </row>
    <row r="269" spans="1:25" ht="15.6" x14ac:dyDescent="0.3">
      <c r="A269" s="287"/>
      <c r="B269" s="337" t="s">
        <v>90</v>
      </c>
      <c r="C269" s="389"/>
      <c r="D269" s="389"/>
      <c r="E269" s="389"/>
      <c r="F269" s="288"/>
      <c r="G269" s="390"/>
      <c r="H269" s="389"/>
      <c r="I269" s="389"/>
      <c r="J269" s="389"/>
      <c r="K269" s="389"/>
      <c r="L269" s="389"/>
      <c r="M269" s="389"/>
      <c r="N269" s="389"/>
      <c r="O269" s="389"/>
      <c r="P269" s="389"/>
      <c r="Q269" s="389"/>
      <c r="R269" s="337">
        <v>3</v>
      </c>
      <c r="S269" s="390">
        <f t="shared" si="7"/>
        <v>1.9736842105263157E-2</v>
      </c>
      <c r="T269" s="338">
        <v>559</v>
      </c>
      <c r="U269" s="390">
        <f t="shared" si="8"/>
        <v>2.4305404582807947E-2</v>
      </c>
      <c r="V269" s="288"/>
      <c r="W269" s="291"/>
      <c r="X269" s="5"/>
    </row>
    <row r="270" spans="1:25" ht="15.6" x14ac:dyDescent="0.3">
      <c r="A270" s="287"/>
      <c r="B270" s="337" t="s">
        <v>156</v>
      </c>
      <c r="C270" s="389"/>
      <c r="D270" s="389"/>
      <c r="E270" s="389"/>
      <c r="F270" s="288"/>
      <c r="G270" s="390"/>
      <c r="H270" s="389"/>
      <c r="I270" s="389"/>
      <c r="J270" s="389"/>
      <c r="K270" s="389"/>
      <c r="L270" s="389"/>
      <c r="M270" s="389"/>
      <c r="N270" s="389"/>
      <c r="O270" s="389"/>
      <c r="P270" s="389"/>
      <c r="Q270" s="389"/>
      <c r="R270" s="337">
        <v>1</v>
      </c>
      <c r="S270" s="390">
        <f t="shared" si="7"/>
        <v>6.5789473684210523E-3</v>
      </c>
      <c r="T270" s="338">
        <v>126</v>
      </c>
      <c r="U270" s="390">
        <f t="shared" si="8"/>
        <v>5.4784990651767472E-3</v>
      </c>
      <c r="V270" s="288"/>
      <c r="W270" s="291"/>
      <c r="X270" s="5"/>
    </row>
    <row r="271" spans="1:25" ht="15.6" x14ac:dyDescent="0.3">
      <c r="A271" s="287"/>
      <c r="B271" s="337" t="s">
        <v>157</v>
      </c>
      <c r="C271" s="389"/>
      <c r="D271" s="389"/>
      <c r="E271" s="389"/>
      <c r="F271" s="288"/>
      <c r="G271" s="390"/>
      <c r="H271" s="389"/>
      <c r="I271" s="389"/>
      <c r="J271" s="389"/>
      <c r="K271" s="389"/>
      <c r="L271" s="389"/>
      <c r="M271" s="389"/>
      <c r="N271" s="389"/>
      <c r="O271" s="389"/>
      <c r="P271" s="389"/>
      <c r="Q271" s="389"/>
      <c r="R271" s="337">
        <v>1</v>
      </c>
      <c r="S271" s="390">
        <f t="shared" si="7"/>
        <v>6.5789473684210523E-3</v>
      </c>
      <c r="T271" s="338">
        <v>71</v>
      </c>
      <c r="U271" s="390">
        <f t="shared" si="8"/>
        <v>3.087090743075786E-3</v>
      </c>
      <c r="V271" s="288"/>
      <c r="W271" s="291"/>
      <c r="X271" s="5"/>
    </row>
    <row r="272" spans="1:25" ht="15.6" x14ac:dyDescent="0.3">
      <c r="A272" s="287"/>
      <c r="B272" s="337" t="s">
        <v>158</v>
      </c>
      <c r="C272" s="389"/>
      <c r="D272" s="389"/>
      <c r="E272" s="389"/>
      <c r="F272" s="288"/>
      <c r="G272" s="390"/>
      <c r="H272" s="389"/>
      <c r="I272" s="389"/>
      <c r="J272" s="389"/>
      <c r="K272" s="389"/>
      <c r="L272" s="389"/>
      <c r="M272" s="389"/>
      <c r="N272" s="389"/>
      <c r="O272" s="389"/>
      <c r="P272" s="389"/>
      <c r="Q272" s="389"/>
      <c r="R272" s="337">
        <v>0</v>
      </c>
      <c r="S272" s="390">
        <f t="shared" si="7"/>
        <v>0</v>
      </c>
      <c r="T272" s="338">
        <v>0</v>
      </c>
      <c r="U272" s="390">
        <f t="shared" si="8"/>
        <v>0</v>
      </c>
      <c r="V272" s="288"/>
      <c r="W272" s="291"/>
      <c r="X272" s="5"/>
    </row>
    <row r="273" spans="1:24" ht="15.6" x14ac:dyDescent="0.3">
      <c r="A273" s="287"/>
      <c r="B273" s="337" t="s">
        <v>159</v>
      </c>
      <c r="C273" s="389"/>
      <c r="D273" s="389"/>
      <c r="E273" s="389"/>
      <c r="F273" s="288"/>
      <c r="G273" s="390"/>
      <c r="H273" s="389"/>
      <c r="I273" s="389"/>
      <c r="J273" s="389"/>
      <c r="K273" s="389"/>
      <c r="L273" s="389"/>
      <c r="M273" s="389"/>
      <c r="N273" s="389"/>
      <c r="O273" s="389"/>
      <c r="P273" s="389"/>
      <c r="Q273" s="389"/>
      <c r="R273" s="337">
        <v>3</v>
      </c>
      <c r="S273" s="390">
        <f t="shared" si="7"/>
        <v>1.9736842105263157E-2</v>
      </c>
      <c r="T273" s="338">
        <v>456</v>
      </c>
      <c r="U273" s="390">
        <f t="shared" si="8"/>
        <v>1.9826948997782513E-2</v>
      </c>
      <c r="V273" s="288"/>
      <c r="W273" s="291"/>
      <c r="X273" s="5"/>
    </row>
    <row r="274" spans="1:24" ht="15.6" x14ac:dyDescent="0.3">
      <c r="A274" s="287"/>
      <c r="B274" s="337" t="s">
        <v>160</v>
      </c>
      <c r="C274" s="389"/>
      <c r="D274" s="389"/>
      <c r="E274" s="389"/>
      <c r="F274" s="288"/>
      <c r="G274" s="390"/>
      <c r="H274" s="389"/>
      <c r="I274" s="389"/>
      <c r="J274" s="389"/>
      <c r="K274" s="389"/>
      <c r="L274" s="389"/>
      <c r="M274" s="389"/>
      <c r="N274" s="389"/>
      <c r="O274" s="389"/>
      <c r="P274" s="389"/>
      <c r="Q274" s="389"/>
      <c r="R274" s="337">
        <v>12</v>
      </c>
      <c r="S274" s="390">
        <f t="shared" si="7"/>
        <v>7.8947368421052627E-2</v>
      </c>
      <c r="T274" s="338">
        <v>1812</v>
      </c>
      <c r="U274" s="390">
        <f t="shared" si="8"/>
        <v>7.8786034175398936E-2</v>
      </c>
      <c r="V274" s="288"/>
      <c r="W274" s="291"/>
      <c r="X274" s="5"/>
    </row>
    <row r="275" spans="1:24" ht="15.6" x14ac:dyDescent="0.3">
      <c r="A275" s="287"/>
      <c r="B275" s="337"/>
      <c r="C275" s="389"/>
      <c r="D275" s="389"/>
      <c r="E275" s="389"/>
      <c r="F275" s="288"/>
      <c r="G275" s="390"/>
      <c r="H275" s="389"/>
      <c r="I275" s="389"/>
      <c r="J275" s="389"/>
      <c r="K275" s="389"/>
      <c r="L275" s="389"/>
      <c r="M275" s="389"/>
      <c r="N275" s="389"/>
      <c r="O275" s="389"/>
      <c r="P275" s="389"/>
      <c r="Q275" s="389"/>
      <c r="R275" s="337"/>
      <c r="S275" s="390"/>
      <c r="T275" s="338"/>
      <c r="U275" s="390"/>
      <c r="V275" s="288"/>
      <c r="W275" s="291"/>
      <c r="X275" s="5"/>
    </row>
    <row r="276" spans="1:24" ht="15.6" x14ac:dyDescent="0.3">
      <c r="A276" s="287"/>
      <c r="B276" s="288"/>
      <c r="C276" s="288"/>
      <c r="D276" s="288"/>
      <c r="E276" s="288"/>
      <c r="F276" s="288"/>
      <c r="G276" s="288"/>
      <c r="H276" s="391"/>
      <c r="I276" s="391"/>
      <c r="J276" s="391"/>
      <c r="K276" s="391"/>
      <c r="L276" s="391"/>
      <c r="M276" s="391"/>
      <c r="N276" s="391"/>
      <c r="O276" s="391"/>
      <c r="P276" s="391"/>
      <c r="Q276" s="391"/>
      <c r="R276" s="337">
        <f>SUM(R267:R275)</f>
        <v>152</v>
      </c>
      <c r="S276" s="390">
        <f>SUM(S267:S275)</f>
        <v>0.99999999999999989</v>
      </c>
      <c r="T276" s="338">
        <f>SUM(T267:T275)</f>
        <v>22999</v>
      </c>
      <c r="U276" s="390">
        <f>SUM(U267:U275)</f>
        <v>1</v>
      </c>
      <c r="V276" s="288"/>
      <c r="W276" s="291"/>
      <c r="X276" s="5"/>
    </row>
    <row r="277" spans="1:24" ht="15.6" x14ac:dyDescent="0.3">
      <c r="A277" s="183"/>
      <c r="B277" s="284"/>
      <c r="C277" s="284"/>
      <c r="D277" s="284"/>
      <c r="E277" s="284"/>
      <c r="F277" s="284"/>
      <c r="G277" s="284"/>
      <c r="H277" s="392"/>
      <c r="I277" s="392"/>
      <c r="J277" s="392"/>
      <c r="K277" s="392"/>
      <c r="L277" s="392"/>
      <c r="M277" s="392"/>
      <c r="N277" s="392"/>
      <c r="O277" s="392"/>
      <c r="P277" s="392"/>
      <c r="Q277" s="392"/>
      <c r="R277" s="339"/>
      <c r="S277" s="393"/>
      <c r="T277" s="394"/>
      <c r="U277" s="393"/>
      <c r="V277" s="284"/>
      <c r="W277" s="284"/>
      <c r="X277" s="5"/>
    </row>
    <row r="278" spans="1:24" ht="15.6" x14ac:dyDescent="0.3">
      <c r="A278" s="280"/>
      <c r="B278" s="399" t="s">
        <v>163</v>
      </c>
      <c r="C278" s="281"/>
      <c r="D278" s="281"/>
      <c r="E278" s="281"/>
      <c r="F278" s="281"/>
      <c r="G278" s="281"/>
      <c r="H278" s="283"/>
      <c r="I278" s="283"/>
      <c r="J278" s="283"/>
      <c r="K278" s="283"/>
      <c r="L278" s="283"/>
      <c r="M278" s="283"/>
      <c r="N278" s="283"/>
      <c r="O278" s="283"/>
      <c r="P278" s="283"/>
      <c r="Q278" s="283"/>
      <c r="R278" s="406" t="s">
        <v>102</v>
      </c>
      <c r="S278" s="400" t="s">
        <v>103</v>
      </c>
      <c r="T278" s="406" t="s">
        <v>109</v>
      </c>
      <c r="U278" s="400" t="s">
        <v>103</v>
      </c>
      <c r="V278" s="281"/>
      <c r="W278" s="282"/>
      <c r="X278" s="5"/>
    </row>
    <row r="279" spans="1:24" ht="15.6" x14ac:dyDescent="0.3">
      <c r="A279" s="197"/>
      <c r="B279" s="234" t="s">
        <v>88</v>
      </c>
      <c r="C279" s="231"/>
      <c r="D279" s="231"/>
      <c r="E279" s="231"/>
      <c r="F279" s="231"/>
      <c r="G279" s="231"/>
      <c r="H279" s="255"/>
      <c r="I279" s="255"/>
      <c r="J279" s="255"/>
      <c r="K279" s="255"/>
      <c r="L279" s="255"/>
      <c r="M279" s="255"/>
      <c r="N279" s="255"/>
      <c r="O279" s="255"/>
      <c r="P279" s="255"/>
      <c r="Q279" s="255"/>
      <c r="R279" s="234">
        <v>0</v>
      </c>
      <c r="S279" s="254">
        <v>0</v>
      </c>
      <c r="T279" s="241">
        <v>0</v>
      </c>
      <c r="U279" s="254">
        <v>0</v>
      </c>
      <c r="V279" s="231"/>
      <c r="W279" s="231"/>
      <c r="X279" s="5"/>
    </row>
    <row r="280" spans="1:24" ht="15.6" x14ac:dyDescent="0.3">
      <c r="A280" s="287"/>
      <c r="B280" s="337" t="s">
        <v>89</v>
      </c>
      <c r="C280" s="288"/>
      <c r="D280" s="288"/>
      <c r="E280" s="288"/>
      <c r="F280" s="288"/>
      <c r="G280" s="288"/>
      <c r="H280" s="391"/>
      <c r="I280" s="391"/>
      <c r="J280" s="391"/>
      <c r="K280" s="391"/>
      <c r="L280" s="391"/>
      <c r="M280" s="391"/>
      <c r="N280" s="391"/>
      <c r="O280" s="391"/>
      <c r="P280" s="391"/>
      <c r="Q280" s="391"/>
      <c r="R280" s="337">
        <v>0</v>
      </c>
      <c r="S280" s="390">
        <v>0</v>
      </c>
      <c r="T280" s="338">
        <v>0</v>
      </c>
      <c r="U280" s="390">
        <v>0</v>
      </c>
      <c r="V280" s="288"/>
      <c r="W280" s="291"/>
      <c r="X280" s="5"/>
    </row>
    <row r="281" spans="1:24" ht="15.6" x14ac:dyDescent="0.3">
      <c r="A281" s="287"/>
      <c r="B281" s="337" t="s">
        <v>90</v>
      </c>
      <c r="C281" s="288"/>
      <c r="D281" s="288"/>
      <c r="E281" s="288"/>
      <c r="F281" s="288"/>
      <c r="G281" s="288"/>
      <c r="H281" s="391"/>
      <c r="I281" s="391"/>
      <c r="J281" s="391"/>
      <c r="K281" s="391"/>
      <c r="L281" s="391"/>
      <c r="M281" s="391"/>
      <c r="N281" s="391"/>
      <c r="O281" s="391"/>
      <c r="P281" s="391"/>
      <c r="Q281" s="391"/>
      <c r="R281" s="337">
        <v>0</v>
      </c>
      <c r="S281" s="390">
        <v>0</v>
      </c>
      <c r="T281" s="338">
        <v>0</v>
      </c>
      <c r="U281" s="390">
        <v>0</v>
      </c>
      <c r="V281" s="288"/>
      <c r="W281" s="291"/>
      <c r="X281" s="5"/>
    </row>
    <row r="282" spans="1:24" ht="15.6" x14ac:dyDescent="0.3">
      <c r="A282" s="287"/>
      <c r="B282" s="337" t="s">
        <v>156</v>
      </c>
      <c r="C282" s="288"/>
      <c r="D282" s="288"/>
      <c r="E282" s="288"/>
      <c r="F282" s="288"/>
      <c r="G282" s="288"/>
      <c r="H282" s="391"/>
      <c r="I282" s="391"/>
      <c r="J282" s="391"/>
      <c r="K282" s="391"/>
      <c r="L282" s="391"/>
      <c r="M282" s="391"/>
      <c r="N282" s="391"/>
      <c r="O282" s="391"/>
      <c r="P282" s="391"/>
      <c r="Q282" s="391"/>
      <c r="R282" s="337">
        <v>0</v>
      </c>
      <c r="S282" s="390">
        <f>R282/R288</f>
        <v>0</v>
      </c>
      <c r="T282" s="338">
        <v>0</v>
      </c>
      <c r="U282" s="390">
        <f>T282/T288</f>
        <v>0</v>
      </c>
      <c r="V282" s="288"/>
      <c r="W282" s="291"/>
      <c r="X282" s="5"/>
    </row>
    <row r="283" spans="1:24" ht="15.6" x14ac:dyDescent="0.3">
      <c r="A283" s="287"/>
      <c r="B283" s="337" t="s">
        <v>157</v>
      </c>
      <c r="C283" s="288"/>
      <c r="D283" s="288"/>
      <c r="E283" s="288"/>
      <c r="F283" s="288"/>
      <c r="G283" s="288"/>
      <c r="H283" s="391"/>
      <c r="I283" s="391"/>
      <c r="J283" s="391"/>
      <c r="K283" s="391"/>
      <c r="L283" s="391"/>
      <c r="M283" s="391"/>
      <c r="N283" s="391"/>
      <c r="O283" s="391"/>
      <c r="P283" s="391"/>
      <c r="Q283" s="391"/>
      <c r="R283" s="337">
        <v>0</v>
      </c>
      <c r="S283" s="390">
        <v>0</v>
      </c>
      <c r="T283" s="338">
        <v>0</v>
      </c>
      <c r="U283" s="390">
        <v>0</v>
      </c>
      <c r="V283" s="288"/>
      <c r="W283" s="291"/>
      <c r="X283" s="5"/>
    </row>
    <row r="284" spans="1:24" ht="15.6" x14ac:dyDescent="0.3">
      <c r="A284" s="287"/>
      <c r="B284" s="337" t="s">
        <v>158</v>
      </c>
      <c r="C284" s="288"/>
      <c r="D284" s="288"/>
      <c r="E284" s="288"/>
      <c r="F284" s="288"/>
      <c r="G284" s="288"/>
      <c r="H284" s="391"/>
      <c r="I284" s="391"/>
      <c r="J284" s="391"/>
      <c r="K284" s="391"/>
      <c r="L284" s="391"/>
      <c r="M284" s="391"/>
      <c r="N284" s="391"/>
      <c r="O284" s="391"/>
      <c r="P284" s="391"/>
      <c r="Q284" s="391"/>
      <c r="R284" s="337">
        <v>0</v>
      </c>
      <c r="S284" s="390">
        <v>0</v>
      </c>
      <c r="T284" s="338">
        <v>0</v>
      </c>
      <c r="U284" s="390">
        <v>0</v>
      </c>
      <c r="V284" s="288"/>
      <c r="W284" s="291"/>
      <c r="X284" s="5"/>
    </row>
    <row r="285" spans="1:24" ht="15.6" x14ac:dyDescent="0.3">
      <c r="A285" s="287"/>
      <c r="B285" s="337" t="s">
        <v>159</v>
      </c>
      <c r="C285" s="288"/>
      <c r="D285" s="288"/>
      <c r="E285" s="288"/>
      <c r="F285" s="288"/>
      <c r="G285" s="288"/>
      <c r="H285" s="391"/>
      <c r="I285" s="391"/>
      <c r="J285" s="391"/>
      <c r="K285" s="391"/>
      <c r="L285" s="391"/>
      <c r="M285" s="391"/>
      <c r="N285" s="391"/>
      <c r="O285" s="391"/>
      <c r="P285" s="391"/>
      <c r="Q285" s="391"/>
      <c r="R285" s="337">
        <v>0</v>
      </c>
      <c r="S285" s="390">
        <f>R285/R288</f>
        <v>0</v>
      </c>
      <c r="T285" s="338">
        <v>0</v>
      </c>
      <c r="U285" s="390">
        <f>T285/T288</f>
        <v>0</v>
      </c>
      <c r="V285" s="288"/>
      <c r="W285" s="291"/>
      <c r="X285" s="5"/>
    </row>
    <row r="286" spans="1:24" ht="15.6" x14ac:dyDescent="0.3">
      <c r="A286" s="287"/>
      <c r="B286" s="337" t="s">
        <v>160</v>
      </c>
      <c r="C286" s="288"/>
      <c r="D286" s="288"/>
      <c r="E286" s="288"/>
      <c r="F286" s="288"/>
      <c r="G286" s="288"/>
      <c r="H286" s="391"/>
      <c r="I286" s="391"/>
      <c r="J286" s="391"/>
      <c r="K286" s="391"/>
      <c r="L286" s="391"/>
      <c r="M286" s="391"/>
      <c r="N286" s="391"/>
      <c r="O286" s="391"/>
      <c r="P286" s="391"/>
      <c r="Q286" s="391"/>
      <c r="R286" s="337">
        <v>1</v>
      </c>
      <c r="S286" s="390">
        <f>R286/R288</f>
        <v>1</v>
      </c>
      <c r="T286" s="338">
        <v>142</v>
      </c>
      <c r="U286" s="390">
        <f>T286/T288</f>
        <v>1</v>
      </c>
      <c r="V286" s="288"/>
      <c r="W286" s="291"/>
      <c r="X286" s="5"/>
    </row>
    <row r="287" spans="1:24" ht="15.6" x14ac:dyDescent="0.3">
      <c r="A287" s="287"/>
      <c r="B287" s="337"/>
      <c r="C287" s="288"/>
      <c r="D287" s="288"/>
      <c r="E287" s="288"/>
      <c r="F287" s="288"/>
      <c r="G287" s="288"/>
      <c r="H287" s="391"/>
      <c r="I287" s="391"/>
      <c r="J287" s="391"/>
      <c r="K287" s="391"/>
      <c r="L287" s="391"/>
      <c r="M287" s="391"/>
      <c r="N287" s="391"/>
      <c r="O287" s="391"/>
      <c r="P287" s="391"/>
      <c r="Q287" s="391"/>
      <c r="R287" s="337"/>
      <c r="S287" s="390"/>
      <c r="T287" s="338"/>
      <c r="U287" s="390"/>
      <c r="V287" s="288"/>
      <c r="W287" s="291"/>
      <c r="X287" s="5"/>
    </row>
    <row r="288" spans="1:24" ht="15.6" x14ac:dyDescent="0.3">
      <c r="A288" s="287"/>
      <c r="B288" s="288" t="s">
        <v>114</v>
      </c>
      <c r="C288" s="288"/>
      <c r="D288" s="288"/>
      <c r="E288" s="288"/>
      <c r="F288" s="288"/>
      <c r="G288" s="288"/>
      <c r="H288" s="391"/>
      <c r="I288" s="391"/>
      <c r="J288" s="391"/>
      <c r="K288" s="391"/>
      <c r="L288" s="391"/>
      <c r="M288" s="391"/>
      <c r="N288" s="391"/>
      <c r="O288" s="391"/>
      <c r="P288" s="391"/>
      <c r="Q288" s="391"/>
      <c r="R288" s="337">
        <f>SUM(R279:R286)</f>
        <v>1</v>
      </c>
      <c r="S288" s="390">
        <f>SUM(S279:S287)</f>
        <v>1</v>
      </c>
      <c r="T288" s="338">
        <f>SUM(T279:T286)</f>
        <v>142</v>
      </c>
      <c r="U288" s="390">
        <f>SUM(U279:U287)</f>
        <v>1</v>
      </c>
      <c r="V288" s="288"/>
      <c r="W288" s="291"/>
      <c r="X288" s="5"/>
    </row>
    <row r="289" spans="1:24" ht="15.6" x14ac:dyDescent="0.3">
      <c r="A289" s="287"/>
      <c r="B289" s="288"/>
      <c r="C289" s="288"/>
      <c r="D289" s="288"/>
      <c r="E289" s="288"/>
      <c r="F289" s="288"/>
      <c r="G289" s="288"/>
      <c r="H289" s="391"/>
      <c r="I289" s="391"/>
      <c r="J289" s="391"/>
      <c r="K289" s="391"/>
      <c r="L289" s="391"/>
      <c r="M289" s="391"/>
      <c r="N289" s="391"/>
      <c r="O289" s="391"/>
      <c r="P289" s="391"/>
      <c r="Q289" s="391"/>
      <c r="R289" s="337"/>
      <c r="S289" s="390"/>
      <c r="T289" s="338"/>
      <c r="U289" s="390"/>
      <c r="V289" s="288"/>
      <c r="W289" s="291"/>
      <c r="X289" s="5"/>
    </row>
    <row r="290" spans="1:24" ht="15.6" x14ac:dyDescent="0.3">
      <c r="A290" s="287"/>
      <c r="B290" s="295" t="s">
        <v>164</v>
      </c>
      <c r="C290" s="288"/>
      <c r="D290" s="288"/>
      <c r="E290" s="288"/>
      <c r="F290" s="288"/>
      <c r="G290" s="288"/>
      <c r="H290" s="391"/>
      <c r="I290" s="391"/>
      <c r="J290" s="391"/>
      <c r="K290" s="391"/>
      <c r="L290" s="391"/>
      <c r="M290" s="391"/>
      <c r="N290" s="391"/>
      <c r="O290" s="391"/>
      <c r="P290" s="391"/>
      <c r="Q290" s="391"/>
      <c r="R290" s="407">
        <f>R288+R276+R264</f>
        <v>7342</v>
      </c>
      <c r="S290" s="390"/>
      <c r="T290" s="396">
        <f>+T288+T276+T264</f>
        <v>1015167</v>
      </c>
      <c r="U290" s="390"/>
      <c r="V290" s="288"/>
      <c r="W290" s="291"/>
      <c r="X290" s="5"/>
    </row>
    <row r="291" spans="1:24" ht="15.6" x14ac:dyDescent="0.3">
      <c r="A291" s="183"/>
      <c r="B291" s="284"/>
      <c r="C291" s="284"/>
      <c r="D291" s="284"/>
      <c r="E291" s="284"/>
      <c r="F291" s="284"/>
      <c r="G291" s="284"/>
      <c r="H291" s="392"/>
      <c r="I291" s="392"/>
      <c r="J291" s="392"/>
      <c r="K291" s="392"/>
      <c r="L291" s="392"/>
      <c r="M291" s="392"/>
      <c r="N291" s="392"/>
      <c r="O291" s="392"/>
      <c r="P291" s="392"/>
      <c r="Q291" s="392"/>
      <c r="R291" s="392"/>
      <c r="S291" s="392"/>
      <c r="T291" s="394"/>
      <c r="U291" s="392"/>
      <c r="V291" s="284"/>
      <c r="W291" s="284"/>
      <c r="X291" s="5"/>
    </row>
    <row r="292" spans="1:24" ht="15.6" x14ac:dyDescent="0.3">
      <c r="A292" s="183"/>
      <c r="B292" s="224"/>
      <c r="C292" s="224"/>
      <c r="D292" s="224"/>
      <c r="E292" s="224"/>
      <c r="F292" s="224"/>
      <c r="G292" s="224"/>
      <c r="H292" s="256"/>
      <c r="I292" s="256"/>
      <c r="J292" s="256"/>
      <c r="K292" s="256"/>
      <c r="L292" s="256"/>
      <c r="M292" s="256"/>
      <c r="N292" s="256"/>
      <c r="O292" s="256"/>
      <c r="P292" s="256"/>
      <c r="Q292" s="256"/>
      <c r="R292" s="256"/>
      <c r="S292" s="256"/>
      <c r="T292" s="257"/>
      <c r="U292" s="256"/>
      <c r="V292" s="224"/>
      <c r="W292" s="224"/>
      <c r="X292" s="5"/>
    </row>
    <row r="293" spans="1:24" ht="15.6" x14ac:dyDescent="0.3">
      <c r="A293" s="219"/>
      <c r="B293" s="222" t="s">
        <v>91</v>
      </c>
      <c r="C293" s="224"/>
      <c r="D293" s="224"/>
      <c r="E293" s="224"/>
      <c r="F293" s="228" t="s">
        <v>97</v>
      </c>
      <c r="G293" s="224"/>
      <c r="H293" s="222" t="s">
        <v>99</v>
      </c>
      <c r="I293" s="222"/>
      <c r="J293" s="222"/>
      <c r="K293" s="258"/>
      <c r="L293" s="258"/>
      <c r="M293" s="258"/>
      <c r="N293" s="258"/>
      <c r="O293" s="258"/>
      <c r="P293" s="258"/>
      <c r="Q293" s="258"/>
      <c r="R293" s="258"/>
      <c r="S293" s="258"/>
      <c r="T293" s="258"/>
      <c r="U293" s="258"/>
      <c r="V293" s="258"/>
      <c r="W293" s="258"/>
      <c r="X293" s="5"/>
    </row>
    <row r="294" spans="1:24" ht="15.6" x14ac:dyDescent="0.3">
      <c r="A294" s="219"/>
      <c r="B294" s="258"/>
      <c r="C294" s="224"/>
      <c r="D294" s="224"/>
      <c r="E294" s="224"/>
      <c r="F294" s="224"/>
      <c r="G294" s="224"/>
      <c r="H294" s="224"/>
      <c r="I294" s="224"/>
      <c r="J294" s="224"/>
      <c r="K294" s="258"/>
      <c r="L294" s="258"/>
      <c r="M294" s="258"/>
      <c r="N294" s="258"/>
      <c r="O294" s="258"/>
      <c r="P294" s="258"/>
      <c r="Q294" s="258"/>
      <c r="R294" s="258"/>
      <c r="S294" s="258"/>
      <c r="T294" s="258"/>
      <c r="U294" s="258"/>
      <c r="V294" s="258"/>
      <c r="W294" s="258"/>
      <c r="X294" s="5"/>
    </row>
    <row r="295" spans="1:24" ht="15.6" x14ac:dyDescent="0.3">
      <c r="A295" s="219"/>
      <c r="B295" s="222" t="s">
        <v>338</v>
      </c>
      <c r="C295" s="222"/>
      <c r="D295" s="222"/>
      <c r="E295" s="222"/>
      <c r="F295" s="259" t="s">
        <v>148</v>
      </c>
      <c r="G295" s="222"/>
      <c r="H295" s="222" t="s">
        <v>152</v>
      </c>
      <c r="I295" s="222"/>
      <c r="J295" s="222"/>
      <c r="K295" s="258"/>
      <c r="L295" s="258"/>
      <c r="M295" s="258"/>
      <c r="N295" s="258"/>
      <c r="O295" s="258"/>
      <c r="P295" s="258"/>
      <c r="Q295" s="258"/>
      <c r="R295" s="258"/>
      <c r="S295" s="258"/>
      <c r="T295" s="258"/>
      <c r="U295" s="258"/>
      <c r="V295" s="258"/>
      <c r="W295" s="258"/>
      <c r="X295" s="5"/>
    </row>
    <row r="296" spans="1:24" ht="15.6" x14ac:dyDescent="0.3">
      <c r="A296" s="219"/>
      <c r="B296" s="222" t="s">
        <v>339</v>
      </c>
      <c r="C296" s="222"/>
      <c r="D296" s="222"/>
      <c r="E296" s="222"/>
      <c r="F296" s="259" t="s">
        <v>278</v>
      </c>
      <c r="G296" s="222"/>
      <c r="H296" s="222" t="s">
        <v>279</v>
      </c>
      <c r="I296" s="258"/>
      <c r="J296" s="222"/>
      <c r="K296" s="258"/>
      <c r="L296" s="258"/>
      <c r="M296" s="258"/>
      <c r="N296" s="258"/>
      <c r="O296" s="258"/>
      <c r="P296" s="258"/>
      <c r="Q296" s="258"/>
      <c r="R296" s="258"/>
      <c r="S296" s="258"/>
      <c r="T296" s="258"/>
      <c r="U296" s="258"/>
      <c r="V296" s="258"/>
      <c r="W296" s="258"/>
      <c r="X296" s="5"/>
    </row>
    <row r="297" spans="1:24" ht="15.6" x14ac:dyDescent="0.3">
      <c r="A297" s="219"/>
      <c r="B297" s="222" t="s">
        <v>340</v>
      </c>
      <c r="C297" s="222"/>
      <c r="D297" s="222"/>
      <c r="E297" s="222"/>
      <c r="F297" s="259" t="s">
        <v>147</v>
      </c>
      <c r="G297" s="222"/>
      <c r="H297" s="222" t="s">
        <v>153</v>
      </c>
      <c r="I297" s="222"/>
      <c r="J297" s="222"/>
      <c r="K297" s="258"/>
      <c r="L297" s="258"/>
      <c r="M297" s="258"/>
      <c r="N297" s="258"/>
      <c r="O297" s="258"/>
      <c r="P297" s="258"/>
      <c r="Q297" s="258"/>
      <c r="R297" s="258"/>
      <c r="S297" s="258"/>
      <c r="T297" s="258"/>
      <c r="U297" s="258"/>
      <c r="V297" s="258"/>
      <c r="W297" s="258"/>
      <c r="X297" s="5"/>
    </row>
    <row r="298" spans="1:24" ht="15.6" x14ac:dyDescent="0.3">
      <c r="A298" s="219"/>
      <c r="B298" s="222"/>
      <c r="C298" s="222"/>
      <c r="D298" s="222"/>
      <c r="E298" s="222"/>
      <c r="F298" s="222"/>
      <c r="G298" s="260"/>
      <c r="H298" s="258"/>
      <c r="I298" s="258"/>
      <c r="J298" s="258"/>
      <c r="K298" s="258"/>
      <c r="L298" s="258"/>
      <c r="M298" s="258"/>
      <c r="N298" s="258"/>
      <c r="O298" s="258"/>
      <c r="P298" s="258"/>
      <c r="Q298" s="258"/>
      <c r="R298" s="258"/>
      <c r="S298" s="258"/>
      <c r="T298" s="258"/>
      <c r="U298" s="258"/>
      <c r="V298" s="258"/>
      <c r="W298" s="258"/>
      <c r="X298" s="5"/>
    </row>
    <row r="299" spans="1:24" ht="15.6" x14ac:dyDescent="0.3">
      <c r="A299" s="219"/>
      <c r="B299" s="222"/>
      <c r="C299" s="222"/>
      <c r="D299" s="222"/>
      <c r="E299" s="222"/>
      <c r="F299" s="222"/>
      <c r="G299" s="260"/>
      <c r="H299" s="258"/>
      <c r="I299" s="258"/>
      <c r="J299" s="258"/>
      <c r="K299" s="258"/>
      <c r="L299" s="258"/>
      <c r="M299" s="258"/>
      <c r="N299" s="258"/>
      <c r="O299" s="258"/>
      <c r="P299" s="258"/>
      <c r="Q299" s="258"/>
      <c r="R299" s="258"/>
      <c r="S299" s="258"/>
      <c r="T299" s="258"/>
      <c r="U299" s="258"/>
      <c r="V299" s="258"/>
      <c r="W299" s="258"/>
      <c r="X299" s="5"/>
    </row>
    <row r="300" spans="1:24" ht="18" thickBot="1" x14ac:dyDescent="0.35">
      <c r="A300" s="219"/>
      <c r="B300" s="261" t="str">
        <f>B204</f>
        <v>PM14 INVESTOR REPORT QUARTER ENDING MAY 2015</v>
      </c>
      <c r="C300" s="222"/>
      <c r="D300" s="222"/>
      <c r="E300" s="222"/>
      <c r="F300" s="222"/>
      <c r="G300" s="260"/>
      <c r="H300" s="258"/>
      <c r="I300" s="258"/>
      <c r="J300" s="258"/>
      <c r="K300" s="258"/>
      <c r="L300" s="258"/>
      <c r="M300" s="258"/>
      <c r="N300" s="258"/>
      <c r="O300" s="258"/>
      <c r="P300" s="258"/>
      <c r="Q300" s="258"/>
      <c r="R300" s="258"/>
      <c r="S300" s="258"/>
      <c r="T300" s="258"/>
      <c r="U300" s="258"/>
      <c r="V300" s="258"/>
      <c r="W300" s="258"/>
      <c r="X300" s="5"/>
    </row>
    <row r="301" spans="1:24" x14ac:dyDescent="0.25">
      <c r="A301" s="100"/>
      <c r="B301" s="100"/>
      <c r="C301" s="100"/>
      <c r="D301" s="100"/>
      <c r="E301" s="100"/>
      <c r="F301" s="100"/>
      <c r="G301" s="100"/>
      <c r="H301" s="100"/>
      <c r="I301" s="100"/>
      <c r="J301" s="100"/>
      <c r="K301" s="100"/>
      <c r="L301" s="100"/>
      <c r="M301" s="100"/>
      <c r="N301" s="100"/>
      <c r="O301" s="100"/>
      <c r="P301" s="100"/>
      <c r="Q301" s="100"/>
      <c r="R301" s="100"/>
      <c r="S301" s="100"/>
      <c r="T301" s="100"/>
      <c r="U301" s="100"/>
      <c r="V301" s="100"/>
      <c r="W301" s="100"/>
    </row>
  </sheetData>
  <hyperlinks>
    <hyperlink ref="P240" r:id="rId1" xr:uid="{00000000-0004-0000-1F00-000000000000}"/>
    <hyperlink ref="I9" r:id="rId2" xr:uid="{00000000-0004-0000-1F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8" max="14" man="1"/>
    <brk id="204" max="14" man="1"/>
  </rowBreaks>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theme="6"/>
  </sheetPr>
  <dimension ref="A1:IV301"/>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80"/>
      <c r="B1" s="220" t="s">
        <v>244</v>
      </c>
      <c r="C1" s="181"/>
      <c r="D1" s="181"/>
      <c r="E1" s="181"/>
      <c r="F1" s="181"/>
      <c r="G1" s="181"/>
      <c r="H1" s="181"/>
      <c r="I1" s="181"/>
      <c r="J1" s="181"/>
      <c r="K1" s="181"/>
      <c r="L1" s="181"/>
      <c r="M1" s="181"/>
      <c r="N1" s="181"/>
      <c r="O1" s="181"/>
      <c r="P1" s="181"/>
      <c r="Q1" s="181"/>
      <c r="R1" s="181"/>
      <c r="S1" s="181"/>
      <c r="T1" s="181"/>
      <c r="U1" s="181"/>
      <c r="V1" s="181"/>
      <c r="W1" s="181"/>
      <c r="X1" s="5"/>
    </row>
    <row r="2" spans="1:24" ht="15.6" x14ac:dyDescent="0.3">
      <c r="A2" s="183"/>
      <c r="B2" s="184"/>
      <c r="C2" s="185"/>
      <c r="D2" s="185"/>
      <c r="E2" s="185"/>
      <c r="F2" s="185"/>
      <c r="G2" s="185"/>
      <c r="H2" s="185"/>
      <c r="I2" s="185"/>
      <c r="J2" s="185"/>
      <c r="K2" s="185"/>
      <c r="L2" s="185"/>
      <c r="M2" s="185"/>
      <c r="N2" s="185"/>
      <c r="O2" s="185"/>
      <c r="P2" s="185"/>
      <c r="Q2" s="185"/>
      <c r="R2" s="185"/>
      <c r="S2" s="185"/>
      <c r="T2" s="185"/>
      <c r="U2" s="185"/>
      <c r="V2" s="185"/>
      <c r="W2" s="185"/>
      <c r="X2" s="5"/>
    </row>
    <row r="3" spans="1:24" ht="15.6" x14ac:dyDescent="0.3">
      <c r="A3" s="186"/>
      <c r="B3" s="187" t="s">
        <v>245</v>
      </c>
      <c r="C3" s="185"/>
      <c r="D3" s="185"/>
      <c r="E3" s="185"/>
      <c r="F3" s="185"/>
      <c r="G3" s="185"/>
      <c r="H3" s="185"/>
      <c r="I3" s="185"/>
      <c r="J3" s="185"/>
      <c r="K3" s="185"/>
      <c r="L3" s="185"/>
      <c r="M3" s="185"/>
      <c r="N3" s="185"/>
      <c r="O3" s="185"/>
      <c r="P3" s="185"/>
      <c r="Q3" s="185"/>
      <c r="R3" s="185"/>
      <c r="S3" s="185"/>
      <c r="T3" s="185"/>
      <c r="U3" s="185"/>
      <c r="V3" s="185"/>
      <c r="W3" s="185"/>
      <c r="X3" s="5"/>
    </row>
    <row r="4" spans="1:24" ht="15.6" x14ac:dyDescent="0.3">
      <c r="A4" s="183"/>
      <c r="B4" s="184"/>
      <c r="C4" s="185"/>
      <c r="D4" s="185"/>
      <c r="E4" s="185"/>
      <c r="F4" s="185"/>
      <c r="G4" s="185"/>
      <c r="H4" s="185"/>
      <c r="I4" s="185"/>
      <c r="J4" s="185"/>
      <c r="K4" s="185"/>
      <c r="L4" s="185"/>
      <c r="M4" s="185"/>
      <c r="N4" s="185"/>
      <c r="O4" s="185"/>
      <c r="P4" s="185"/>
      <c r="Q4" s="185"/>
      <c r="R4" s="185"/>
      <c r="S4" s="185"/>
      <c r="T4" s="185"/>
      <c r="U4" s="185"/>
      <c r="V4" s="185"/>
      <c r="W4" s="185"/>
      <c r="X4" s="5"/>
    </row>
    <row r="5" spans="1:24" ht="15.6" x14ac:dyDescent="0.3">
      <c r="A5" s="183"/>
      <c r="B5" s="221" t="s">
        <v>137</v>
      </c>
      <c r="C5" s="185"/>
      <c r="D5" s="185"/>
      <c r="E5" s="185"/>
      <c r="F5" s="185"/>
      <c r="G5" s="185"/>
      <c r="H5" s="185"/>
      <c r="I5" s="185"/>
      <c r="J5" s="185"/>
      <c r="K5" s="185"/>
      <c r="L5" s="185"/>
      <c r="M5" s="185"/>
      <c r="N5" s="185"/>
      <c r="O5" s="185"/>
      <c r="P5" s="185"/>
      <c r="Q5" s="185"/>
      <c r="R5" s="185"/>
      <c r="S5" s="185"/>
      <c r="T5" s="185"/>
      <c r="U5" s="185"/>
      <c r="V5" s="185"/>
      <c r="W5" s="185"/>
      <c r="X5" s="5"/>
    </row>
    <row r="6" spans="1:24" ht="15.6" x14ac:dyDescent="0.3">
      <c r="A6" s="183"/>
      <c r="B6" s="221" t="s">
        <v>139</v>
      </c>
      <c r="C6" s="185"/>
      <c r="D6" s="185"/>
      <c r="E6" s="185"/>
      <c r="F6" s="185"/>
      <c r="G6" s="185"/>
      <c r="H6" s="185"/>
      <c r="I6" s="185"/>
      <c r="J6" s="185"/>
      <c r="K6" s="185"/>
      <c r="L6" s="185"/>
      <c r="M6" s="185"/>
      <c r="N6" s="185"/>
      <c r="O6" s="185"/>
      <c r="P6" s="185"/>
      <c r="Q6" s="185"/>
      <c r="R6" s="185"/>
      <c r="S6" s="185"/>
      <c r="T6" s="185"/>
      <c r="U6" s="185"/>
      <c r="V6" s="185"/>
      <c r="W6" s="185"/>
      <c r="X6" s="5"/>
    </row>
    <row r="7" spans="1:24" ht="15.6" x14ac:dyDescent="0.3">
      <c r="A7" s="183"/>
      <c r="B7" s="221" t="s">
        <v>138</v>
      </c>
      <c r="C7" s="185"/>
      <c r="D7" s="185"/>
      <c r="E7" s="185"/>
      <c r="F7" s="185"/>
      <c r="G7" s="185"/>
      <c r="H7" s="185"/>
      <c r="I7" s="185"/>
      <c r="J7" s="185"/>
      <c r="K7" s="185"/>
      <c r="L7" s="185"/>
      <c r="M7" s="185"/>
      <c r="N7" s="185"/>
      <c r="O7" s="185"/>
      <c r="P7" s="185"/>
      <c r="Q7" s="185"/>
      <c r="R7" s="185"/>
      <c r="S7" s="185"/>
      <c r="T7" s="185"/>
      <c r="U7" s="185"/>
      <c r="V7" s="185"/>
      <c r="W7" s="185"/>
      <c r="X7" s="5"/>
    </row>
    <row r="8" spans="1:24" ht="15.6" x14ac:dyDescent="0.3">
      <c r="A8" s="183"/>
      <c r="B8" s="188"/>
      <c r="C8" s="185"/>
      <c r="D8" s="185"/>
      <c r="E8" s="185"/>
      <c r="F8" s="185"/>
      <c r="G8" s="185"/>
      <c r="H8" s="185"/>
      <c r="I8" s="185"/>
      <c r="J8" s="185"/>
      <c r="K8" s="185"/>
      <c r="L8" s="185"/>
      <c r="M8" s="185"/>
      <c r="N8" s="185"/>
      <c r="O8" s="185"/>
      <c r="P8" s="185"/>
      <c r="Q8" s="185"/>
      <c r="R8" s="185"/>
      <c r="S8" s="185"/>
      <c r="T8" s="185"/>
      <c r="U8" s="185"/>
      <c r="V8" s="185"/>
      <c r="W8" s="185"/>
      <c r="X8" s="5"/>
    </row>
    <row r="9" spans="1:24" ht="17.399999999999999" x14ac:dyDescent="0.3">
      <c r="A9" s="183"/>
      <c r="B9" s="189" t="s">
        <v>166</v>
      </c>
      <c r="C9" s="185"/>
      <c r="D9" s="185"/>
      <c r="E9" s="185"/>
      <c r="F9" s="185"/>
      <c r="G9" s="185"/>
      <c r="H9" s="185"/>
      <c r="I9" s="190" t="s">
        <v>167</v>
      </c>
      <c r="J9" s="185"/>
      <c r="K9" s="185"/>
      <c r="L9" s="190"/>
      <c r="M9" s="185"/>
      <c r="N9" s="190"/>
      <c r="O9" s="185"/>
      <c r="P9" s="185"/>
      <c r="Q9" s="185"/>
      <c r="R9" s="185"/>
      <c r="S9" s="185"/>
      <c r="T9" s="185"/>
      <c r="U9" s="185"/>
      <c r="V9" s="185"/>
      <c r="W9" s="185"/>
      <c r="X9" s="5"/>
    </row>
    <row r="10" spans="1:24" ht="15.6" x14ac:dyDescent="0.3">
      <c r="A10" s="183"/>
      <c r="B10" s="188"/>
      <c r="C10" s="191"/>
      <c r="D10" s="191"/>
      <c r="E10" s="191"/>
      <c r="F10" s="185"/>
      <c r="G10" s="185"/>
      <c r="H10" s="185"/>
      <c r="I10" s="185"/>
      <c r="J10" s="185"/>
      <c r="K10" s="185"/>
      <c r="L10" s="185"/>
      <c r="M10" s="185"/>
      <c r="N10" s="185"/>
      <c r="O10" s="185"/>
      <c r="P10" s="185"/>
      <c r="Q10" s="185"/>
      <c r="R10" s="185"/>
      <c r="S10" s="185"/>
      <c r="T10" s="185"/>
      <c r="U10" s="185"/>
      <c r="V10" s="185"/>
      <c r="W10" s="185"/>
      <c r="X10" s="5"/>
    </row>
    <row r="11" spans="1:24" ht="15.6" x14ac:dyDescent="0.3">
      <c r="A11" s="183"/>
      <c r="B11" s="222" t="s">
        <v>0</v>
      </c>
      <c r="C11" s="185"/>
      <c r="D11" s="185"/>
      <c r="E11" s="185"/>
      <c r="F11" s="185"/>
      <c r="G11" s="185"/>
      <c r="H11" s="185"/>
      <c r="I11" s="185"/>
      <c r="J11" s="185"/>
      <c r="K11" s="185"/>
      <c r="L11" s="185"/>
      <c r="M11" s="185"/>
      <c r="N11" s="185"/>
      <c r="O11" s="185"/>
      <c r="P11" s="185"/>
      <c r="Q11" s="185"/>
      <c r="R11" s="185"/>
      <c r="S11" s="185"/>
      <c r="T11" s="185"/>
      <c r="U11" s="185"/>
      <c r="V11" s="185"/>
      <c r="W11" s="185"/>
      <c r="X11" s="5"/>
    </row>
    <row r="12" spans="1:24" ht="16.2" thickBot="1" x14ac:dyDescent="0.35">
      <c r="A12" s="183"/>
      <c r="B12" s="191"/>
      <c r="C12" s="185"/>
      <c r="D12" s="185"/>
      <c r="E12" s="185"/>
      <c r="F12" s="185"/>
      <c r="G12" s="185"/>
      <c r="H12" s="185"/>
      <c r="I12" s="185"/>
      <c r="J12" s="185"/>
      <c r="K12" s="185"/>
      <c r="L12" s="185"/>
      <c r="M12" s="185"/>
      <c r="N12" s="185"/>
      <c r="O12" s="185"/>
      <c r="P12" s="185"/>
      <c r="Q12" s="185"/>
      <c r="R12" s="185"/>
      <c r="S12" s="185"/>
      <c r="T12" s="185"/>
      <c r="U12" s="185"/>
      <c r="V12" s="185"/>
      <c r="W12" s="185"/>
      <c r="X12" s="5"/>
    </row>
    <row r="13" spans="1:24" ht="15.6" x14ac:dyDescent="0.3">
      <c r="A13" s="180"/>
      <c r="B13" s="181"/>
      <c r="C13" s="181"/>
      <c r="D13" s="181"/>
      <c r="E13" s="181"/>
      <c r="F13" s="181"/>
      <c r="G13" s="181"/>
      <c r="H13" s="181"/>
      <c r="I13" s="181"/>
      <c r="J13" s="181"/>
      <c r="K13" s="181"/>
      <c r="L13" s="181"/>
      <c r="M13" s="181"/>
      <c r="N13" s="181"/>
      <c r="O13" s="181"/>
      <c r="P13" s="181"/>
      <c r="Q13" s="181"/>
      <c r="R13" s="181"/>
      <c r="S13" s="181"/>
      <c r="T13" s="181"/>
      <c r="U13" s="181"/>
      <c r="V13" s="181"/>
      <c r="W13" s="181"/>
      <c r="X13" s="5"/>
    </row>
    <row r="14" spans="1:24" ht="15.6" x14ac:dyDescent="0.3">
      <c r="A14" s="183"/>
      <c r="B14" s="222" t="s">
        <v>1</v>
      </c>
      <c r="C14" s="192"/>
      <c r="D14" s="192"/>
      <c r="E14" s="192"/>
      <c r="F14" s="192"/>
      <c r="G14" s="192"/>
      <c r="H14" s="192"/>
      <c r="I14" s="192"/>
      <c r="J14" s="192"/>
      <c r="K14" s="192"/>
      <c r="L14" s="192"/>
      <c r="M14" s="192"/>
      <c r="N14" s="192"/>
      <c r="O14" s="192"/>
      <c r="P14" s="192"/>
      <c r="Q14" s="192"/>
      <c r="R14" s="224"/>
      <c r="S14" s="224"/>
      <c r="T14" s="224"/>
      <c r="U14" s="224"/>
      <c r="V14" s="225" t="s">
        <v>246</v>
      </c>
      <c r="W14" s="192"/>
      <c r="X14" s="5"/>
    </row>
    <row r="15" spans="1:24" ht="15.6" x14ac:dyDescent="0.3">
      <c r="A15" s="183"/>
      <c r="B15" s="222" t="s">
        <v>2</v>
      </c>
      <c r="C15" s="192"/>
      <c r="D15" s="192"/>
      <c r="E15" s="192"/>
      <c r="F15" s="192"/>
      <c r="G15" s="192"/>
      <c r="H15" s="193"/>
      <c r="I15" s="193"/>
      <c r="J15" s="193"/>
      <c r="K15" s="193"/>
      <c r="L15" s="193"/>
      <c r="M15" s="193"/>
      <c r="N15" s="193"/>
      <c r="O15" s="193"/>
      <c r="P15" s="193"/>
      <c r="Q15" s="193"/>
      <c r="R15" s="226" t="s">
        <v>104</v>
      </c>
      <c r="S15" s="227">
        <v>0.38300000000000001</v>
      </c>
      <c r="T15" s="228" t="s">
        <v>140</v>
      </c>
      <c r="U15" s="227">
        <v>0.61699999999999999</v>
      </c>
      <c r="V15" s="225"/>
      <c r="W15" s="192"/>
      <c r="X15" s="5"/>
    </row>
    <row r="16" spans="1:24" ht="15.6" x14ac:dyDescent="0.3">
      <c r="A16" s="183"/>
      <c r="B16" s="222" t="s">
        <v>3</v>
      </c>
      <c r="C16" s="192"/>
      <c r="D16" s="192"/>
      <c r="E16" s="192"/>
      <c r="F16" s="192"/>
      <c r="G16" s="192"/>
      <c r="H16" s="193"/>
      <c r="I16" s="193"/>
      <c r="J16" s="193"/>
      <c r="K16" s="193"/>
      <c r="L16" s="193"/>
      <c r="M16" s="193"/>
      <c r="N16" s="193"/>
      <c r="O16" s="193"/>
      <c r="P16" s="193"/>
      <c r="Q16" s="193"/>
      <c r="R16" s="226" t="s">
        <v>104</v>
      </c>
      <c r="S16" s="227">
        <v>0.47239999999999999</v>
      </c>
      <c r="T16" s="228" t="s">
        <v>140</v>
      </c>
      <c r="U16" s="227">
        <v>0.52759999999999996</v>
      </c>
      <c r="V16" s="225"/>
      <c r="W16" s="192"/>
      <c r="X16" s="5"/>
    </row>
    <row r="17" spans="1:24" ht="15.6" x14ac:dyDescent="0.3">
      <c r="A17" s="183"/>
      <c r="B17" s="222" t="s">
        <v>4</v>
      </c>
      <c r="C17" s="192"/>
      <c r="D17" s="192"/>
      <c r="E17" s="192"/>
      <c r="F17" s="192"/>
      <c r="G17" s="192"/>
      <c r="H17" s="192"/>
      <c r="I17" s="192"/>
      <c r="J17" s="192"/>
      <c r="K17" s="192"/>
      <c r="L17" s="192"/>
      <c r="M17" s="192"/>
      <c r="N17" s="192"/>
      <c r="O17" s="192"/>
      <c r="P17" s="192"/>
      <c r="Q17" s="192"/>
      <c r="R17" s="224"/>
      <c r="S17" s="224"/>
      <c r="T17" s="224"/>
      <c r="U17" s="224"/>
      <c r="V17" s="229">
        <v>39163</v>
      </c>
      <c r="W17" s="192"/>
      <c r="X17" s="5"/>
    </row>
    <row r="18" spans="1:24" ht="15.6" x14ac:dyDescent="0.3">
      <c r="A18" s="183"/>
      <c r="B18" s="222" t="s">
        <v>5</v>
      </c>
      <c r="C18" s="192"/>
      <c r="D18" s="192"/>
      <c r="E18" s="192"/>
      <c r="F18" s="192"/>
      <c r="G18" s="192"/>
      <c r="H18" s="192"/>
      <c r="I18" s="192"/>
      <c r="J18" s="192"/>
      <c r="K18" s="192"/>
      <c r="L18" s="192"/>
      <c r="M18" s="192"/>
      <c r="N18" s="192"/>
      <c r="O18" s="192"/>
      <c r="P18" s="192"/>
      <c r="Q18" s="192"/>
      <c r="R18" s="224"/>
      <c r="S18" s="224"/>
      <c r="T18" s="224"/>
      <c r="U18" s="224"/>
      <c r="V18" s="229">
        <v>42269</v>
      </c>
      <c r="W18" s="192"/>
      <c r="X18" s="5"/>
    </row>
    <row r="19" spans="1:24" ht="15.6" x14ac:dyDescent="0.3">
      <c r="A19" s="183"/>
      <c r="B19" s="185"/>
      <c r="C19" s="185"/>
      <c r="D19" s="185"/>
      <c r="E19" s="185"/>
      <c r="F19" s="185"/>
      <c r="G19" s="185"/>
      <c r="H19" s="185"/>
      <c r="I19" s="185"/>
      <c r="J19" s="185"/>
      <c r="K19" s="185"/>
      <c r="L19" s="185"/>
      <c r="M19" s="185"/>
      <c r="N19" s="185"/>
      <c r="O19" s="185"/>
      <c r="P19" s="185"/>
      <c r="Q19" s="185"/>
      <c r="R19" s="185"/>
      <c r="S19" s="185"/>
      <c r="T19" s="185"/>
      <c r="U19" s="185"/>
      <c r="V19" s="194"/>
      <c r="W19" s="185"/>
      <c r="X19" s="5"/>
    </row>
    <row r="20" spans="1:24" ht="15.6" x14ac:dyDescent="0.3">
      <c r="A20" s="183"/>
      <c r="B20" s="230" t="s">
        <v>6</v>
      </c>
      <c r="C20" s="185"/>
      <c r="D20" s="185"/>
      <c r="E20" s="185"/>
      <c r="F20" s="185"/>
      <c r="G20" s="185"/>
      <c r="H20" s="185"/>
      <c r="I20" s="185"/>
      <c r="J20" s="185"/>
      <c r="K20" s="185"/>
      <c r="L20" s="185"/>
      <c r="M20" s="185"/>
      <c r="N20" s="185"/>
      <c r="O20" s="185"/>
      <c r="P20" s="185"/>
      <c r="Q20" s="185"/>
      <c r="R20" s="185"/>
      <c r="S20" s="185"/>
      <c r="T20" s="223" t="s">
        <v>105</v>
      </c>
      <c r="U20" s="185"/>
      <c r="V20" s="182"/>
      <c r="W20" s="185"/>
      <c r="X20" s="5"/>
    </row>
    <row r="21" spans="1:24" ht="15.6" x14ac:dyDescent="0.3">
      <c r="A21" s="183"/>
      <c r="B21" s="185"/>
      <c r="C21" s="185"/>
      <c r="D21" s="185"/>
      <c r="E21" s="185"/>
      <c r="F21" s="185"/>
      <c r="G21" s="185"/>
      <c r="H21" s="185"/>
      <c r="I21" s="185"/>
      <c r="J21" s="185"/>
      <c r="K21" s="185"/>
      <c r="L21" s="185"/>
      <c r="M21" s="185"/>
      <c r="N21" s="185"/>
      <c r="O21" s="185"/>
      <c r="P21" s="185"/>
      <c r="Q21" s="185"/>
      <c r="R21" s="185"/>
      <c r="S21" s="185"/>
      <c r="T21" s="185"/>
      <c r="U21" s="185"/>
      <c r="V21" s="196"/>
      <c r="W21" s="185"/>
      <c r="X21" s="5"/>
    </row>
    <row r="22" spans="1:24" ht="15.6" x14ac:dyDescent="0.3">
      <c r="A22" s="262"/>
      <c r="B22" s="263"/>
      <c r="C22" s="264"/>
      <c r="D22" s="264" t="s">
        <v>177</v>
      </c>
      <c r="E22" s="264"/>
      <c r="F22" s="264" t="s">
        <v>178</v>
      </c>
      <c r="G22" s="264"/>
      <c r="H22" s="264" t="s">
        <v>179</v>
      </c>
      <c r="I22" s="264"/>
      <c r="J22" s="264" t="s">
        <v>220</v>
      </c>
      <c r="K22" s="264"/>
      <c r="L22" s="264" t="s">
        <v>180</v>
      </c>
      <c r="M22" s="264"/>
      <c r="N22" s="264" t="s">
        <v>181</v>
      </c>
      <c r="O22" s="264"/>
      <c r="P22" s="264" t="s">
        <v>221</v>
      </c>
      <c r="Q22" s="264"/>
      <c r="R22" s="264" t="s">
        <v>182</v>
      </c>
      <c r="S22" s="266"/>
      <c r="T22" s="266"/>
      <c r="U22" s="267"/>
      <c r="V22" s="267"/>
      <c r="W22" s="263"/>
      <c r="X22" s="5"/>
    </row>
    <row r="23" spans="1:24" ht="15.6" x14ac:dyDescent="0.3">
      <c r="A23" s="287"/>
      <c r="B23" s="288" t="s">
        <v>7</v>
      </c>
      <c r="C23" s="289"/>
      <c r="D23" s="289" t="s">
        <v>213</v>
      </c>
      <c r="E23" s="289"/>
      <c r="F23" s="289" t="s">
        <v>141</v>
      </c>
      <c r="G23" s="289"/>
      <c r="H23" s="289" t="s">
        <v>141</v>
      </c>
      <c r="I23" s="289"/>
      <c r="J23" s="289" t="s">
        <v>141</v>
      </c>
      <c r="K23" s="289"/>
      <c r="L23" s="289" t="s">
        <v>183</v>
      </c>
      <c r="M23" s="289"/>
      <c r="N23" s="289" t="s">
        <v>183</v>
      </c>
      <c r="O23" s="289"/>
      <c r="P23" s="289" t="s">
        <v>142</v>
      </c>
      <c r="Q23" s="289"/>
      <c r="R23" s="289" t="s">
        <v>142</v>
      </c>
      <c r="S23" s="289"/>
      <c r="T23" s="289"/>
      <c r="U23" s="290"/>
      <c r="V23" s="290"/>
      <c r="W23" s="291"/>
      <c r="X23" s="5"/>
    </row>
    <row r="24" spans="1:24" ht="15.6" x14ac:dyDescent="0.3">
      <c r="A24" s="287"/>
      <c r="B24" s="288" t="s">
        <v>8</v>
      </c>
      <c r="C24" s="289"/>
      <c r="D24" s="289" t="s">
        <v>214</v>
      </c>
      <c r="E24" s="289"/>
      <c r="F24" s="289" t="s">
        <v>143</v>
      </c>
      <c r="G24" s="289"/>
      <c r="H24" s="289" t="s">
        <v>143</v>
      </c>
      <c r="I24" s="289"/>
      <c r="J24" s="289" t="s">
        <v>143</v>
      </c>
      <c r="K24" s="289"/>
      <c r="L24" s="289" t="s">
        <v>165</v>
      </c>
      <c r="M24" s="289"/>
      <c r="N24" s="289" t="s">
        <v>165</v>
      </c>
      <c r="O24" s="289"/>
      <c r="P24" s="289" t="s">
        <v>144</v>
      </c>
      <c r="Q24" s="289"/>
      <c r="R24" s="289" t="s">
        <v>144</v>
      </c>
      <c r="S24" s="289"/>
      <c r="T24" s="289"/>
      <c r="U24" s="290"/>
      <c r="V24" s="290"/>
      <c r="W24" s="291"/>
      <c r="X24" s="5"/>
    </row>
    <row r="25" spans="1:24" ht="15.6" x14ac:dyDescent="0.3">
      <c r="A25" s="292"/>
      <c r="B25" s="288" t="s">
        <v>190</v>
      </c>
      <c r="C25" s="398"/>
      <c r="D25" s="289" t="s">
        <v>215</v>
      </c>
      <c r="E25" s="289"/>
      <c r="F25" s="289" t="s">
        <v>143</v>
      </c>
      <c r="G25" s="289"/>
      <c r="H25" s="289" t="s">
        <v>143</v>
      </c>
      <c r="I25" s="289"/>
      <c r="J25" s="289" t="s">
        <v>143</v>
      </c>
      <c r="K25" s="289"/>
      <c r="L25" s="289" t="s">
        <v>293</v>
      </c>
      <c r="M25" s="289"/>
      <c r="N25" s="289" t="s">
        <v>293</v>
      </c>
      <c r="O25" s="289"/>
      <c r="P25" s="289" t="s">
        <v>144</v>
      </c>
      <c r="Q25" s="289"/>
      <c r="R25" s="289" t="s">
        <v>144</v>
      </c>
      <c r="S25" s="398"/>
      <c r="T25" s="289"/>
      <c r="U25" s="290"/>
      <c r="V25" s="290"/>
      <c r="W25" s="291"/>
      <c r="X25" s="5"/>
    </row>
    <row r="26" spans="1:24" ht="15.6" x14ac:dyDescent="0.3">
      <c r="A26" s="292"/>
      <c r="B26" s="295" t="s">
        <v>9</v>
      </c>
      <c r="C26" s="398"/>
      <c r="D26" s="398" t="s">
        <v>332</v>
      </c>
      <c r="E26" s="398"/>
      <c r="F26" s="398" t="s">
        <v>333</v>
      </c>
      <c r="G26" s="398"/>
      <c r="H26" s="398" t="s">
        <v>333</v>
      </c>
      <c r="I26" s="398"/>
      <c r="J26" s="398" t="s">
        <v>333</v>
      </c>
      <c r="K26" s="398"/>
      <c r="L26" s="398" t="s">
        <v>334</v>
      </c>
      <c r="M26" s="398"/>
      <c r="N26" s="398" t="s">
        <v>334</v>
      </c>
      <c r="O26" s="398"/>
      <c r="P26" s="398" t="s">
        <v>335</v>
      </c>
      <c r="Q26" s="398"/>
      <c r="R26" s="398" t="s">
        <v>335</v>
      </c>
      <c r="S26" s="398"/>
      <c r="T26" s="289"/>
      <c r="U26" s="290"/>
      <c r="V26" s="290"/>
      <c r="W26" s="291"/>
      <c r="X26" s="5"/>
    </row>
    <row r="27" spans="1:24" ht="15.6" x14ac:dyDescent="0.3">
      <c r="A27" s="287"/>
      <c r="B27" s="295" t="s">
        <v>191</v>
      </c>
      <c r="C27" s="289"/>
      <c r="D27" s="398" t="s">
        <v>352</v>
      </c>
      <c r="E27" s="398"/>
      <c r="F27" s="398" t="s">
        <v>143</v>
      </c>
      <c r="G27" s="398"/>
      <c r="H27" s="398" t="s">
        <v>143</v>
      </c>
      <c r="I27" s="398"/>
      <c r="J27" s="398" t="s">
        <v>143</v>
      </c>
      <c r="K27" s="398"/>
      <c r="L27" s="398" t="s">
        <v>319</v>
      </c>
      <c r="M27" s="398"/>
      <c r="N27" s="398" t="s">
        <v>319</v>
      </c>
      <c r="O27" s="398"/>
      <c r="P27" s="398" t="s">
        <v>320</v>
      </c>
      <c r="Q27" s="398"/>
      <c r="R27" s="398" t="s">
        <v>320</v>
      </c>
      <c r="S27" s="289"/>
      <c r="T27" s="296"/>
      <c r="U27" s="290"/>
      <c r="V27" s="290"/>
      <c r="W27" s="291"/>
      <c r="X27" s="5"/>
    </row>
    <row r="28" spans="1:24" ht="15.6" x14ac:dyDescent="0.3">
      <c r="A28" s="287"/>
      <c r="B28" s="295" t="s">
        <v>192</v>
      </c>
      <c r="C28" s="289"/>
      <c r="D28" s="398" t="s">
        <v>350</v>
      </c>
      <c r="E28" s="398"/>
      <c r="F28" s="398" t="s">
        <v>143</v>
      </c>
      <c r="G28" s="398"/>
      <c r="H28" s="398" t="s">
        <v>143</v>
      </c>
      <c r="I28" s="398"/>
      <c r="J28" s="398" t="s">
        <v>143</v>
      </c>
      <c r="K28" s="398"/>
      <c r="L28" s="398" t="s">
        <v>293</v>
      </c>
      <c r="M28" s="398"/>
      <c r="N28" s="398" t="s">
        <v>293</v>
      </c>
      <c r="O28" s="398"/>
      <c r="P28" s="398" t="s">
        <v>337</v>
      </c>
      <c r="Q28" s="398"/>
      <c r="R28" s="398" t="s">
        <v>337</v>
      </c>
      <c r="S28" s="289"/>
      <c r="T28" s="296"/>
      <c r="U28" s="290"/>
      <c r="V28" s="290"/>
      <c r="W28" s="291"/>
      <c r="X28" s="5"/>
    </row>
    <row r="29" spans="1:24" ht="15.6" x14ac:dyDescent="0.3">
      <c r="A29" s="287"/>
      <c r="B29" s="288" t="s">
        <v>10</v>
      </c>
      <c r="C29" s="298"/>
      <c r="D29" s="289" t="s">
        <v>249</v>
      </c>
      <c r="E29" s="289"/>
      <c r="F29" s="296" t="s">
        <v>250</v>
      </c>
      <c r="G29" s="289"/>
      <c r="H29" s="289" t="s">
        <v>251</v>
      </c>
      <c r="I29" s="289"/>
      <c r="J29" s="289" t="s">
        <v>253</v>
      </c>
      <c r="K29" s="289"/>
      <c r="L29" s="289" t="s">
        <v>254</v>
      </c>
      <c r="M29" s="289"/>
      <c r="N29" s="289" t="s">
        <v>255</v>
      </c>
      <c r="O29" s="289"/>
      <c r="P29" s="289" t="s">
        <v>256</v>
      </c>
      <c r="Q29" s="289"/>
      <c r="R29" s="289" t="s">
        <v>257</v>
      </c>
      <c r="S29" s="299"/>
      <c r="T29" s="299"/>
      <c r="U29" s="300"/>
      <c r="V29" s="299"/>
      <c r="W29" s="301"/>
      <c r="X29" s="5"/>
    </row>
    <row r="30" spans="1:24" ht="15.6" x14ac:dyDescent="0.3">
      <c r="A30" s="287"/>
      <c r="B30" s="288" t="s">
        <v>10</v>
      </c>
      <c r="C30" s="298"/>
      <c r="D30" s="289" t="s">
        <v>248</v>
      </c>
      <c r="E30" s="289"/>
      <c r="F30" s="296" t="s">
        <v>118</v>
      </c>
      <c r="G30" s="289"/>
      <c r="H30" s="289" t="s">
        <v>118</v>
      </c>
      <c r="I30" s="289"/>
      <c r="J30" s="289" t="s">
        <v>252</v>
      </c>
      <c r="K30" s="289"/>
      <c r="L30" s="289" t="s">
        <v>118</v>
      </c>
      <c r="M30" s="289"/>
      <c r="N30" s="289" t="s">
        <v>118</v>
      </c>
      <c r="O30" s="289"/>
      <c r="P30" s="289" t="s">
        <v>118</v>
      </c>
      <c r="Q30" s="289"/>
      <c r="R30" s="289" t="s">
        <v>118</v>
      </c>
      <c r="S30" s="299"/>
      <c r="T30" s="299"/>
      <c r="U30" s="300"/>
      <c r="V30" s="299"/>
      <c r="W30" s="301"/>
      <c r="X30" s="5"/>
    </row>
    <row r="31" spans="1:24" ht="15.6" x14ac:dyDescent="0.3">
      <c r="A31" s="292"/>
      <c r="B31" s="288" t="s">
        <v>133</v>
      </c>
      <c r="C31" s="302"/>
      <c r="D31" s="303">
        <v>1500000</v>
      </c>
      <c r="E31" s="298"/>
      <c r="F31" s="299">
        <v>125000</v>
      </c>
      <c r="G31" s="299"/>
      <c r="H31" s="304">
        <v>246000</v>
      </c>
      <c r="I31" s="304"/>
      <c r="J31" s="303">
        <v>400000</v>
      </c>
      <c r="K31" s="299"/>
      <c r="L31" s="299">
        <v>51900</v>
      </c>
      <c r="M31" s="299"/>
      <c r="N31" s="304">
        <v>88800</v>
      </c>
      <c r="O31" s="299"/>
      <c r="P31" s="299">
        <v>20000</v>
      </c>
      <c r="Q31" s="299"/>
      <c r="R31" s="304">
        <v>135500</v>
      </c>
      <c r="S31" s="305"/>
      <c r="T31" s="305"/>
      <c r="U31" s="306"/>
      <c r="V31" s="305"/>
      <c r="W31" s="301"/>
      <c r="X31" s="5"/>
    </row>
    <row r="32" spans="1:24" ht="15.6" x14ac:dyDescent="0.3">
      <c r="A32" s="287"/>
      <c r="B32" s="288" t="s">
        <v>132</v>
      </c>
      <c r="C32" s="298"/>
      <c r="D32" s="303">
        <f>D31*D38</f>
        <v>929310.9</v>
      </c>
      <c r="E32" s="298"/>
      <c r="F32" s="299">
        <f>F31*F38</f>
        <v>77442.75</v>
      </c>
      <c r="G32" s="299"/>
      <c r="H32" s="304">
        <f>H31*H38</f>
        <v>152407.33199999999</v>
      </c>
      <c r="I32" s="304"/>
      <c r="J32" s="303">
        <f>J31*J38</f>
        <v>247816.24</v>
      </c>
      <c r="K32" s="299"/>
      <c r="L32" s="299">
        <f>+L31</f>
        <v>51900</v>
      </c>
      <c r="M32" s="299"/>
      <c r="N32" s="304">
        <f>+N31</f>
        <v>88800</v>
      </c>
      <c r="O32" s="299"/>
      <c r="P32" s="299">
        <f>+P31</f>
        <v>20000</v>
      </c>
      <c r="Q32" s="299"/>
      <c r="R32" s="304">
        <f>+R31</f>
        <v>135500</v>
      </c>
      <c r="S32" s="299"/>
      <c r="T32" s="299"/>
      <c r="U32" s="300"/>
      <c r="V32" s="299"/>
      <c r="W32" s="301"/>
      <c r="X32" s="5"/>
    </row>
    <row r="33" spans="1:24" ht="15.6" x14ac:dyDescent="0.3">
      <c r="A33" s="287"/>
      <c r="B33" s="295" t="s">
        <v>134</v>
      </c>
      <c r="C33" s="298"/>
      <c r="D33" s="307">
        <f>D37*D31</f>
        <v>913015.35</v>
      </c>
      <c r="E33" s="302"/>
      <c r="F33" s="305">
        <f>F37*F31</f>
        <v>76084.799999999988</v>
      </c>
      <c r="G33" s="305"/>
      <c r="H33" s="308">
        <f>H31*H37</f>
        <v>149734.88639999999</v>
      </c>
      <c r="I33" s="308"/>
      <c r="J33" s="307">
        <f>J37*J31</f>
        <v>243470.75999999998</v>
      </c>
      <c r="K33" s="305"/>
      <c r="L33" s="305">
        <f>L31*L37</f>
        <v>51900</v>
      </c>
      <c r="M33" s="305"/>
      <c r="N33" s="308">
        <f>N31*N37</f>
        <v>88800</v>
      </c>
      <c r="O33" s="305"/>
      <c r="P33" s="305">
        <f>P31*P37</f>
        <v>20000</v>
      </c>
      <c r="Q33" s="305"/>
      <c r="R33" s="308">
        <f>R31*R37</f>
        <v>135500</v>
      </c>
      <c r="S33" s="299"/>
      <c r="T33" s="299"/>
      <c r="U33" s="300"/>
      <c r="V33" s="299"/>
      <c r="W33" s="301"/>
      <c r="X33" s="5"/>
    </row>
    <row r="34" spans="1:24" ht="15.6" x14ac:dyDescent="0.3">
      <c r="A34" s="292"/>
      <c r="B34" s="288" t="s">
        <v>296</v>
      </c>
      <c r="C34" s="302"/>
      <c r="D34" s="299">
        <v>775194</v>
      </c>
      <c r="E34" s="298"/>
      <c r="F34" s="299">
        <v>125000</v>
      </c>
      <c r="G34" s="299"/>
      <c r="H34" s="299">
        <v>168148</v>
      </c>
      <c r="I34" s="299"/>
      <c r="J34" s="299">
        <v>206718</v>
      </c>
      <c r="K34" s="299"/>
      <c r="L34" s="299">
        <v>51900</v>
      </c>
      <c r="M34" s="299"/>
      <c r="N34" s="299">
        <v>60697</v>
      </c>
      <c r="O34" s="299"/>
      <c r="P34" s="299">
        <v>20000</v>
      </c>
      <c r="Q34" s="299"/>
      <c r="R34" s="299">
        <v>92618</v>
      </c>
      <c r="S34" s="305"/>
      <c r="T34" s="305"/>
      <c r="U34" s="306"/>
      <c r="V34" s="299">
        <f>SUM(C34:R34)</f>
        <v>1500275</v>
      </c>
      <c r="W34" s="301"/>
      <c r="X34" s="5"/>
    </row>
    <row r="35" spans="1:24" ht="15.6" x14ac:dyDescent="0.3">
      <c r="A35" s="292"/>
      <c r="B35" s="288" t="s">
        <v>297</v>
      </c>
      <c r="C35" s="302"/>
      <c r="D35" s="299">
        <f>D34*D38</f>
        <v>480264.15587640001</v>
      </c>
      <c r="E35" s="298"/>
      <c r="F35" s="299">
        <f>F34*F38</f>
        <v>77442.75</v>
      </c>
      <c r="G35" s="299"/>
      <c r="H35" s="299">
        <f>H34*H38</f>
        <v>104174.74821600001</v>
      </c>
      <c r="I35" s="299"/>
      <c r="J35" s="299">
        <f>J34*J38</f>
        <v>128070.1937508</v>
      </c>
      <c r="K35" s="299"/>
      <c r="L35" s="299">
        <f>+L34</f>
        <v>51900</v>
      </c>
      <c r="M35" s="299"/>
      <c r="N35" s="299">
        <f>+N34</f>
        <v>60697</v>
      </c>
      <c r="O35" s="299"/>
      <c r="P35" s="299">
        <f>+P34</f>
        <v>20000</v>
      </c>
      <c r="Q35" s="299"/>
      <c r="R35" s="299">
        <f>+R34</f>
        <v>92618</v>
      </c>
      <c r="S35" s="299"/>
      <c r="T35" s="299"/>
      <c r="U35" s="300"/>
      <c r="V35" s="299">
        <f>SUM(C35:R35)</f>
        <v>1015166.8478432</v>
      </c>
      <c r="W35" s="301"/>
      <c r="X35" s="5"/>
    </row>
    <row r="36" spans="1:24" ht="15.6" x14ac:dyDescent="0.3">
      <c r="A36" s="292"/>
      <c r="B36" s="295" t="s">
        <v>298</v>
      </c>
      <c r="C36" s="302"/>
      <c r="D36" s="305">
        <f>D34*D37</f>
        <v>471842.6808186</v>
      </c>
      <c r="E36" s="302"/>
      <c r="F36" s="305">
        <f>F34*F37</f>
        <v>76084.799999999988</v>
      </c>
      <c r="G36" s="305"/>
      <c r="H36" s="305">
        <f>H34*H37</f>
        <v>102348.05560319999</v>
      </c>
      <c r="I36" s="305"/>
      <c r="J36" s="305">
        <f>J34*J37</f>
        <v>125824.47141419999</v>
      </c>
      <c r="K36" s="305"/>
      <c r="L36" s="305">
        <f>L34*L37</f>
        <v>51900</v>
      </c>
      <c r="M36" s="305"/>
      <c r="N36" s="305">
        <f>N34*N37</f>
        <v>60697</v>
      </c>
      <c r="O36" s="305"/>
      <c r="P36" s="305">
        <f>P34*P37</f>
        <v>20000</v>
      </c>
      <c r="Q36" s="305"/>
      <c r="R36" s="305">
        <f>R34*R37</f>
        <v>92618</v>
      </c>
      <c r="S36" s="328"/>
      <c r="T36" s="328"/>
      <c r="U36" s="300"/>
      <c r="V36" s="305">
        <f>SUM(C36:R36)</f>
        <v>1001315.0078359999</v>
      </c>
      <c r="W36" s="301"/>
      <c r="X36" s="5"/>
    </row>
    <row r="37" spans="1:24" ht="15.6" x14ac:dyDescent="0.3">
      <c r="A37" s="287"/>
      <c r="B37" s="313" t="s">
        <v>130</v>
      </c>
      <c r="C37" s="314"/>
      <c r="D37" s="315">
        <v>0.60867689999999997</v>
      </c>
      <c r="E37" s="315"/>
      <c r="F37" s="315">
        <v>0.60867839999999995</v>
      </c>
      <c r="G37" s="315"/>
      <c r="H37" s="315">
        <v>0.60867839999999995</v>
      </c>
      <c r="I37" s="315"/>
      <c r="J37" s="315">
        <v>0.60867689999999997</v>
      </c>
      <c r="K37" s="315"/>
      <c r="L37" s="315">
        <v>1</v>
      </c>
      <c r="M37" s="315"/>
      <c r="N37" s="315">
        <v>1</v>
      </c>
      <c r="O37" s="315"/>
      <c r="P37" s="315">
        <v>1</v>
      </c>
      <c r="Q37" s="315"/>
      <c r="R37" s="315">
        <v>1</v>
      </c>
      <c r="S37" s="316"/>
      <c r="T37" s="316"/>
      <c r="U37" s="317"/>
      <c r="V37" s="317"/>
      <c r="W37" s="318"/>
      <c r="X37" s="5"/>
    </row>
    <row r="38" spans="1:24" ht="15.6" x14ac:dyDescent="0.3">
      <c r="A38" s="287"/>
      <c r="B38" s="313" t="s">
        <v>131</v>
      </c>
      <c r="C38" s="314"/>
      <c r="D38" s="315">
        <v>0.6195406</v>
      </c>
      <c r="E38" s="315"/>
      <c r="F38" s="315">
        <v>0.61954200000000004</v>
      </c>
      <c r="G38" s="315"/>
      <c r="H38" s="315">
        <v>0.61954200000000004</v>
      </c>
      <c r="I38" s="315"/>
      <c r="J38" s="315">
        <v>0.6195406</v>
      </c>
      <c r="K38" s="315"/>
      <c r="L38" s="315">
        <v>1</v>
      </c>
      <c r="M38" s="315"/>
      <c r="N38" s="315">
        <v>1</v>
      </c>
      <c r="O38" s="315"/>
      <c r="P38" s="315">
        <v>1</v>
      </c>
      <c r="Q38" s="315"/>
      <c r="R38" s="315">
        <v>1</v>
      </c>
      <c r="S38" s="319"/>
      <c r="T38" s="320"/>
      <c r="U38" s="317"/>
      <c r="V38" s="319"/>
      <c r="W38" s="318"/>
      <c r="X38" s="5"/>
    </row>
    <row r="39" spans="1:24" ht="15.6" x14ac:dyDescent="0.3">
      <c r="A39" s="287"/>
      <c r="B39" s="288" t="s">
        <v>11</v>
      </c>
      <c r="C39" s="288"/>
      <c r="D39" s="296" t="s">
        <v>321</v>
      </c>
      <c r="E39" s="288"/>
      <c r="F39" s="296" t="s">
        <v>231</v>
      </c>
      <c r="G39" s="296"/>
      <c r="H39" s="296" t="s">
        <v>231</v>
      </c>
      <c r="I39" s="296"/>
      <c r="J39" s="296" t="s">
        <v>231</v>
      </c>
      <c r="K39" s="296"/>
      <c r="L39" s="296" t="s">
        <v>265</v>
      </c>
      <c r="M39" s="296"/>
      <c r="N39" s="296" t="s">
        <v>265</v>
      </c>
      <c r="O39" s="296"/>
      <c r="P39" s="296" t="s">
        <v>266</v>
      </c>
      <c r="Q39" s="296"/>
      <c r="R39" s="296" t="s">
        <v>266</v>
      </c>
      <c r="S39" s="321"/>
      <c r="T39" s="322"/>
      <c r="U39" s="290"/>
      <c r="V39" s="290"/>
      <c r="W39" s="291"/>
      <c r="X39" s="5"/>
    </row>
    <row r="40" spans="1:24" ht="15.6" x14ac:dyDescent="0.3">
      <c r="A40" s="287"/>
      <c r="B40" s="288" t="s">
        <v>12</v>
      </c>
      <c r="C40" s="288"/>
      <c r="D40" s="322">
        <v>3.9760000000000004E-3</v>
      </c>
      <c r="E40" s="288"/>
      <c r="F40" s="322">
        <v>7.7124999999999997E-3</v>
      </c>
      <c r="G40" s="321"/>
      <c r="H40" s="322">
        <v>1.8600000000000001E-3</v>
      </c>
      <c r="I40" s="322"/>
      <c r="J40" s="322">
        <v>4.8585E-3</v>
      </c>
      <c r="K40" s="321"/>
      <c r="L40" s="322">
        <v>9.3124999999999996E-3</v>
      </c>
      <c r="M40" s="321"/>
      <c r="N40" s="322">
        <v>3.46E-3</v>
      </c>
      <c r="O40" s="321"/>
      <c r="P40" s="322">
        <v>1.33125E-2</v>
      </c>
      <c r="Q40" s="321"/>
      <c r="R40" s="322">
        <v>7.4599999999999996E-3</v>
      </c>
      <c r="S40" s="321"/>
      <c r="T40" s="322"/>
      <c r="U40" s="290"/>
      <c r="V40" s="296"/>
      <c r="W40" s="291"/>
      <c r="X40" s="5"/>
    </row>
    <row r="41" spans="1:24" ht="15.6" x14ac:dyDescent="0.3">
      <c r="A41" s="287"/>
      <c r="B41" s="288" t="s">
        <v>13</v>
      </c>
      <c r="C41" s="288"/>
      <c r="D41" s="322">
        <v>3.8560000000000001E-3</v>
      </c>
      <c r="E41" s="288"/>
      <c r="F41" s="322">
        <v>7.6400000000000001E-3</v>
      </c>
      <c r="G41" s="321"/>
      <c r="H41" s="322">
        <v>2.2699999999999999E-3</v>
      </c>
      <c r="I41" s="322"/>
      <c r="J41" s="322">
        <v>4.7060000000000001E-3</v>
      </c>
      <c r="K41" s="321"/>
      <c r="L41" s="322">
        <v>9.2399999999999999E-3</v>
      </c>
      <c r="M41" s="321"/>
      <c r="N41" s="322">
        <v>3.8700000000000002E-3</v>
      </c>
      <c r="O41" s="321"/>
      <c r="P41" s="322">
        <v>1.324E-2</v>
      </c>
      <c r="Q41" s="321"/>
      <c r="R41" s="322">
        <v>7.8700000000000003E-3</v>
      </c>
      <c r="S41" s="321"/>
      <c r="T41" s="322"/>
      <c r="U41" s="290"/>
      <c r="V41" s="321" t="s">
        <v>193</v>
      </c>
      <c r="W41" s="291"/>
      <c r="X41" s="5"/>
    </row>
    <row r="42" spans="1:24" ht="15.6" x14ac:dyDescent="0.3">
      <c r="A42" s="287"/>
      <c r="B42" s="288" t="s">
        <v>299</v>
      </c>
      <c r="C42" s="288"/>
      <c r="D42" s="296" t="s">
        <v>322</v>
      </c>
      <c r="E42" s="288"/>
      <c r="F42" s="296" t="s">
        <v>231</v>
      </c>
      <c r="G42" s="296"/>
      <c r="H42" s="296" t="s">
        <v>323</v>
      </c>
      <c r="I42" s="296"/>
      <c r="J42" s="296" t="s">
        <v>324</v>
      </c>
      <c r="K42" s="296"/>
      <c r="L42" s="296" t="s">
        <v>265</v>
      </c>
      <c r="M42" s="296"/>
      <c r="N42" s="296" t="s">
        <v>234</v>
      </c>
      <c r="O42" s="296"/>
      <c r="P42" s="296" t="s">
        <v>266</v>
      </c>
      <c r="Q42" s="296"/>
      <c r="R42" s="296" t="s">
        <v>264</v>
      </c>
      <c r="S42" s="321"/>
      <c r="T42" s="322"/>
      <c r="U42" s="290"/>
      <c r="V42" s="290"/>
      <c r="W42" s="291"/>
      <c r="X42" s="5"/>
    </row>
    <row r="43" spans="1:24" ht="15.6" x14ac:dyDescent="0.3">
      <c r="A43" s="287"/>
      <c r="B43" s="288" t="s">
        <v>300</v>
      </c>
      <c r="C43" s="323"/>
      <c r="D43" s="322">
        <v>8.0864999999999999E-3</v>
      </c>
      <c r="E43" s="322"/>
      <c r="F43" s="322">
        <f>+F40</f>
        <v>7.7124999999999997E-3</v>
      </c>
      <c r="G43" s="322"/>
      <c r="H43" s="322">
        <v>7.9924999999999996E-3</v>
      </c>
      <c r="I43" s="322"/>
      <c r="J43" s="322">
        <v>8.4384999999999998E-3</v>
      </c>
      <c r="K43" s="322"/>
      <c r="L43" s="322">
        <f>+L40</f>
        <v>9.3124999999999996E-3</v>
      </c>
      <c r="M43" s="322"/>
      <c r="N43" s="322">
        <v>9.9045000000000001E-3</v>
      </c>
      <c r="O43" s="322"/>
      <c r="P43" s="322">
        <f>+P40</f>
        <v>1.33125E-2</v>
      </c>
      <c r="Q43" s="321"/>
      <c r="R43" s="322">
        <v>1.4378500000000001E-2</v>
      </c>
      <c r="S43" s="296"/>
      <c r="T43" s="296"/>
      <c r="U43" s="290"/>
      <c r="V43" s="321">
        <f>SUMPRODUCT(D43:R43,D35:R35)/V35</f>
        <v>8.9411119263165511E-3</v>
      </c>
      <c r="W43" s="291"/>
      <c r="X43" s="5"/>
    </row>
    <row r="44" spans="1:24" ht="15.6" x14ac:dyDescent="0.3">
      <c r="A44" s="287"/>
      <c r="B44" s="288" t="s">
        <v>301</v>
      </c>
      <c r="C44" s="323"/>
      <c r="D44" s="322">
        <v>8.0140000000000003E-3</v>
      </c>
      <c r="E44" s="322"/>
      <c r="F44" s="322">
        <f>+F41</f>
        <v>7.6400000000000001E-3</v>
      </c>
      <c r="G44" s="322"/>
      <c r="H44" s="322">
        <v>7.92E-3</v>
      </c>
      <c r="I44" s="322"/>
      <c r="J44" s="322">
        <v>8.3660000000000002E-3</v>
      </c>
      <c r="K44" s="322"/>
      <c r="L44" s="322">
        <f>+L41</f>
        <v>9.2399999999999999E-3</v>
      </c>
      <c r="M44" s="322"/>
      <c r="N44" s="322">
        <v>9.8320000000000005E-3</v>
      </c>
      <c r="O44" s="322"/>
      <c r="P44" s="322">
        <f>+P41</f>
        <v>1.324E-2</v>
      </c>
      <c r="Q44" s="321"/>
      <c r="R44" s="322">
        <v>1.4305999999999999E-2</v>
      </c>
      <c r="S44" s="296"/>
      <c r="T44" s="296"/>
      <c r="U44" s="290"/>
      <c r="V44" s="290"/>
      <c r="W44" s="291"/>
      <c r="X44" s="5"/>
    </row>
    <row r="45" spans="1:24" ht="15.6" x14ac:dyDescent="0.3">
      <c r="A45" s="287"/>
      <c r="B45" s="288" t="s">
        <v>14</v>
      </c>
      <c r="C45" s="288"/>
      <c r="D45" s="323">
        <v>40617</v>
      </c>
      <c r="E45" s="323"/>
      <c r="F45" s="323">
        <v>40617</v>
      </c>
      <c r="G45" s="323"/>
      <c r="H45" s="323">
        <v>40617</v>
      </c>
      <c r="I45" s="323"/>
      <c r="J45" s="323">
        <v>40617</v>
      </c>
      <c r="K45" s="323"/>
      <c r="L45" s="323">
        <v>40617</v>
      </c>
      <c r="M45" s="323"/>
      <c r="N45" s="323">
        <v>40617</v>
      </c>
      <c r="O45" s="323"/>
      <c r="P45" s="323">
        <v>40617</v>
      </c>
      <c r="Q45" s="323"/>
      <c r="R45" s="323">
        <v>40617</v>
      </c>
      <c r="S45" s="296"/>
      <c r="T45" s="296"/>
      <c r="U45" s="290"/>
      <c r="V45" s="290"/>
      <c r="W45" s="291"/>
      <c r="X45" s="5"/>
    </row>
    <row r="46" spans="1:24" ht="15.6" x14ac:dyDescent="0.3">
      <c r="A46" s="287"/>
      <c r="B46" s="288" t="s">
        <v>15</v>
      </c>
      <c r="C46" s="288"/>
      <c r="D46" s="323">
        <v>40983</v>
      </c>
      <c r="E46" s="323"/>
      <c r="F46" s="323">
        <v>40983</v>
      </c>
      <c r="G46" s="323"/>
      <c r="H46" s="323">
        <v>40983</v>
      </c>
      <c r="I46" s="323"/>
      <c r="J46" s="323">
        <v>40983</v>
      </c>
      <c r="K46" s="296"/>
      <c r="L46" s="323">
        <v>40983</v>
      </c>
      <c r="M46" s="296"/>
      <c r="N46" s="323">
        <v>40983</v>
      </c>
      <c r="O46" s="296"/>
      <c r="P46" s="323">
        <v>40983</v>
      </c>
      <c r="Q46" s="296"/>
      <c r="R46" s="323">
        <v>40983</v>
      </c>
      <c r="S46" s="296"/>
      <c r="T46" s="296"/>
      <c r="U46" s="290"/>
      <c r="V46" s="290"/>
      <c r="W46" s="291"/>
      <c r="X46" s="5"/>
    </row>
    <row r="47" spans="1:24" ht="15.6" x14ac:dyDescent="0.3">
      <c r="A47" s="287"/>
      <c r="B47" s="288" t="s">
        <v>119</v>
      </c>
      <c r="C47" s="288"/>
      <c r="D47" s="296" t="s">
        <v>231</v>
      </c>
      <c r="E47" s="288"/>
      <c r="F47" s="296" t="s">
        <v>231</v>
      </c>
      <c r="G47" s="296"/>
      <c r="H47" s="296" t="s">
        <v>231</v>
      </c>
      <c r="I47" s="296"/>
      <c r="J47" s="296" t="s">
        <v>231</v>
      </c>
      <c r="K47" s="296"/>
      <c r="L47" s="296" t="s">
        <v>265</v>
      </c>
      <c r="M47" s="296"/>
      <c r="N47" s="296" t="s">
        <v>265</v>
      </c>
      <c r="O47" s="296"/>
      <c r="P47" s="296" t="s">
        <v>266</v>
      </c>
      <c r="Q47" s="296"/>
      <c r="R47" s="296" t="s">
        <v>266</v>
      </c>
      <c r="S47" s="325"/>
      <c r="T47" s="325"/>
      <c r="U47" s="325"/>
      <c r="V47" s="325"/>
      <c r="W47" s="291"/>
      <c r="X47" s="5"/>
    </row>
    <row r="48" spans="1:24" ht="15.6" x14ac:dyDescent="0.3">
      <c r="A48" s="287"/>
      <c r="B48" s="288" t="s">
        <v>302</v>
      </c>
      <c r="C48" s="288"/>
      <c r="D48" s="296" t="s">
        <v>325</v>
      </c>
      <c r="E48" s="288"/>
      <c r="F48" s="296" t="s">
        <v>231</v>
      </c>
      <c r="G48" s="296"/>
      <c r="H48" s="296" t="s">
        <v>262</v>
      </c>
      <c r="I48" s="296"/>
      <c r="J48" s="296" t="s">
        <v>263</v>
      </c>
      <c r="K48" s="296"/>
      <c r="L48" s="296" t="s">
        <v>265</v>
      </c>
      <c r="M48" s="296"/>
      <c r="N48" s="296" t="s">
        <v>234</v>
      </c>
      <c r="O48" s="296"/>
      <c r="P48" s="296" t="s">
        <v>266</v>
      </c>
      <c r="Q48" s="296"/>
      <c r="R48" s="296" t="s">
        <v>264</v>
      </c>
      <c r="S48" s="288"/>
      <c r="T48" s="288"/>
      <c r="U48" s="288"/>
      <c r="V48" s="321"/>
      <c r="W48" s="291"/>
      <c r="X48" s="5"/>
    </row>
    <row r="49" spans="1:25" ht="15.6" x14ac:dyDescent="0.3">
      <c r="A49" s="287"/>
      <c r="B49" s="288"/>
      <c r="C49" s="288"/>
      <c r="D49" s="296"/>
      <c r="E49" s="288"/>
      <c r="F49" s="296"/>
      <c r="G49" s="296"/>
      <c r="H49" s="296"/>
      <c r="I49" s="296"/>
      <c r="J49" s="296"/>
      <c r="K49" s="296"/>
      <c r="L49" s="296"/>
      <c r="M49" s="296"/>
      <c r="N49" s="296"/>
      <c r="O49" s="296"/>
      <c r="P49" s="296"/>
      <c r="Q49" s="296"/>
      <c r="R49" s="296"/>
      <c r="S49" s="288"/>
      <c r="T49" s="288"/>
      <c r="U49" s="288"/>
      <c r="V49" s="321" t="s">
        <v>193</v>
      </c>
      <c r="W49" s="291"/>
      <c r="X49" s="5"/>
    </row>
    <row r="50" spans="1:25" ht="15.6" x14ac:dyDescent="0.3">
      <c r="A50" s="287"/>
      <c r="B50" s="288" t="s">
        <v>169</v>
      </c>
      <c r="C50" s="288"/>
      <c r="D50" s="296"/>
      <c r="E50" s="288"/>
      <c r="F50" s="296"/>
      <c r="G50" s="296"/>
      <c r="H50" s="296"/>
      <c r="I50" s="296"/>
      <c r="J50" s="296"/>
      <c r="K50" s="296"/>
      <c r="L50" s="296"/>
      <c r="M50" s="296"/>
      <c r="N50" s="296"/>
      <c r="O50" s="296"/>
      <c r="P50" s="296"/>
      <c r="Q50" s="296"/>
      <c r="R50" s="296"/>
      <c r="S50" s="288"/>
      <c r="T50" s="288"/>
      <c r="U50" s="288"/>
      <c r="V50" s="321">
        <f>SUM(L34:R34)/SUM(D34:J34)</f>
        <v>0.17663090364375009</v>
      </c>
      <c r="W50" s="291"/>
      <c r="X50" s="5"/>
    </row>
    <row r="51" spans="1:25" ht="15.6" x14ac:dyDescent="0.3">
      <c r="A51" s="287"/>
      <c r="B51" s="288" t="s">
        <v>170</v>
      </c>
      <c r="C51" s="288"/>
      <c r="D51" s="288"/>
      <c r="E51" s="288"/>
      <c r="F51" s="326"/>
      <c r="G51" s="288"/>
      <c r="H51" s="288"/>
      <c r="I51" s="288"/>
      <c r="J51" s="288"/>
      <c r="K51" s="288"/>
      <c r="L51" s="288"/>
      <c r="M51" s="288"/>
      <c r="N51" s="288"/>
      <c r="O51" s="288"/>
      <c r="P51" s="288"/>
      <c r="Q51" s="288"/>
      <c r="R51" s="288"/>
      <c r="S51" s="288"/>
      <c r="T51" s="288"/>
      <c r="U51" s="288"/>
      <c r="V51" s="321">
        <f>SUM(L36:R36)/SUM(D36:J36)</f>
        <v>0.29018811715769349</v>
      </c>
      <c r="W51" s="291"/>
      <c r="X51" s="5"/>
    </row>
    <row r="52" spans="1:25" ht="15.6" x14ac:dyDescent="0.3">
      <c r="A52" s="287"/>
      <c r="B52" s="288" t="s">
        <v>171</v>
      </c>
      <c r="C52" s="288"/>
      <c r="D52" s="288"/>
      <c r="E52" s="288"/>
      <c r="F52" s="288"/>
      <c r="G52" s="288"/>
      <c r="H52" s="288"/>
      <c r="I52" s="288"/>
      <c r="J52" s="288"/>
      <c r="K52" s="288"/>
      <c r="L52" s="288"/>
      <c r="M52" s="288"/>
      <c r="N52" s="288"/>
      <c r="O52" s="288"/>
      <c r="P52" s="288"/>
      <c r="Q52" s="288"/>
      <c r="R52" s="288"/>
      <c r="S52" s="288"/>
      <c r="T52" s="296"/>
      <c r="U52" s="296"/>
      <c r="V52" s="299" t="s">
        <v>276</v>
      </c>
      <c r="W52" s="291"/>
      <c r="X52" s="5"/>
    </row>
    <row r="53" spans="1:25" ht="15.6" x14ac:dyDescent="0.3">
      <c r="A53" s="287"/>
      <c r="B53" s="288"/>
      <c r="C53" s="288"/>
      <c r="D53" s="288"/>
      <c r="E53" s="288"/>
      <c r="F53" s="288"/>
      <c r="G53" s="288"/>
      <c r="H53" s="288"/>
      <c r="I53" s="288"/>
      <c r="J53" s="288"/>
      <c r="K53" s="288"/>
      <c r="L53" s="288"/>
      <c r="M53" s="288"/>
      <c r="N53" s="288"/>
      <c r="O53" s="288"/>
      <c r="P53" s="288"/>
      <c r="Q53" s="288"/>
      <c r="R53" s="288"/>
      <c r="S53" s="288"/>
      <c r="T53" s="288"/>
      <c r="U53" s="288"/>
      <c r="V53" s="327"/>
      <c r="W53" s="291"/>
      <c r="X53" s="5"/>
    </row>
    <row r="54" spans="1:25" ht="15.6" x14ac:dyDescent="0.3">
      <c r="A54" s="287"/>
      <c r="B54" s="288" t="s">
        <v>202</v>
      </c>
      <c r="C54" s="288"/>
      <c r="D54" s="288"/>
      <c r="E54" s="288"/>
      <c r="F54" s="288"/>
      <c r="G54" s="288"/>
      <c r="H54" s="288"/>
      <c r="I54" s="288"/>
      <c r="J54" s="288"/>
      <c r="K54" s="288"/>
      <c r="L54" s="288"/>
      <c r="M54" s="288"/>
      <c r="N54" s="288"/>
      <c r="O54" s="288"/>
      <c r="P54" s="288"/>
      <c r="Q54" s="288"/>
      <c r="R54" s="288"/>
      <c r="S54" s="288"/>
      <c r="T54" s="288"/>
      <c r="U54" s="288"/>
      <c r="V54" s="328" t="s">
        <v>203</v>
      </c>
      <c r="W54" s="291"/>
      <c r="X54" s="5"/>
    </row>
    <row r="55" spans="1:25" ht="15.6" x14ac:dyDescent="0.3">
      <c r="A55" s="287"/>
      <c r="B55" s="288" t="s">
        <v>280</v>
      </c>
      <c r="C55" s="288"/>
      <c r="D55" s="288"/>
      <c r="E55" s="288"/>
      <c r="F55" s="288"/>
      <c r="G55" s="288"/>
      <c r="H55" s="288"/>
      <c r="I55" s="288"/>
      <c r="J55" s="288"/>
      <c r="K55" s="288"/>
      <c r="L55" s="288"/>
      <c r="M55" s="288"/>
      <c r="N55" s="288"/>
      <c r="O55" s="288"/>
      <c r="P55" s="288"/>
      <c r="Q55" s="288"/>
      <c r="R55" s="288"/>
      <c r="S55" s="288"/>
      <c r="T55" s="296"/>
      <c r="U55" s="296"/>
      <c r="V55" s="329" t="s">
        <v>111</v>
      </c>
      <c r="W55" s="291"/>
      <c r="X55" s="5"/>
    </row>
    <row r="56" spans="1:25" ht="15.6" x14ac:dyDescent="0.3">
      <c r="A56" s="287"/>
      <c r="B56" s="295" t="s">
        <v>201</v>
      </c>
      <c r="C56" s="295"/>
      <c r="D56" s="295"/>
      <c r="E56" s="295"/>
      <c r="F56" s="295"/>
      <c r="G56" s="295"/>
      <c r="H56" s="295"/>
      <c r="I56" s="295"/>
      <c r="J56" s="295"/>
      <c r="K56" s="295"/>
      <c r="L56" s="295"/>
      <c r="M56" s="295"/>
      <c r="N56" s="295"/>
      <c r="O56" s="295"/>
      <c r="P56" s="295"/>
      <c r="Q56" s="295"/>
      <c r="R56" s="295"/>
      <c r="S56" s="295"/>
      <c r="T56" s="330"/>
      <c r="U56" s="330"/>
      <c r="V56" s="331">
        <v>42262</v>
      </c>
      <c r="W56" s="291"/>
      <c r="X56" s="5"/>
    </row>
    <row r="57" spans="1:25" ht="15.6" x14ac:dyDescent="0.3">
      <c r="A57" s="287"/>
      <c r="B57" s="288" t="s">
        <v>121</v>
      </c>
      <c r="C57" s="288"/>
      <c r="D57" s="288"/>
      <c r="E57" s="288"/>
      <c r="F57" s="288"/>
      <c r="G57" s="288"/>
      <c r="H57" s="332"/>
      <c r="I57" s="332"/>
      <c r="J57" s="332"/>
      <c r="K57" s="332"/>
      <c r="L57" s="332"/>
      <c r="M57" s="332"/>
      <c r="N57" s="332"/>
      <c r="O57" s="332"/>
      <c r="P57" s="332"/>
      <c r="Q57" s="332"/>
      <c r="R57" s="288">
        <f>+V57-T57+1</f>
        <v>91</v>
      </c>
      <c r="S57" s="332"/>
      <c r="T57" s="333">
        <v>42079</v>
      </c>
      <c r="U57" s="334"/>
      <c r="V57" s="333">
        <v>42169</v>
      </c>
      <c r="W57" s="291"/>
      <c r="X57" s="5"/>
    </row>
    <row r="58" spans="1:25" ht="15.6" x14ac:dyDescent="0.3">
      <c r="A58" s="287"/>
      <c r="B58" s="288" t="s">
        <v>122</v>
      </c>
      <c r="C58" s="288"/>
      <c r="D58" s="288"/>
      <c r="E58" s="288"/>
      <c r="F58" s="288"/>
      <c r="G58" s="288"/>
      <c r="H58" s="288"/>
      <c r="I58" s="288"/>
      <c r="J58" s="288"/>
      <c r="K58" s="288"/>
      <c r="L58" s="288"/>
      <c r="M58" s="288"/>
      <c r="N58" s="288"/>
      <c r="O58" s="288"/>
      <c r="P58" s="288"/>
      <c r="Q58" s="288"/>
      <c r="R58" s="288">
        <f>+V58-T58+1</f>
        <v>92</v>
      </c>
      <c r="S58" s="288"/>
      <c r="T58" s="333">
        <v>42170</v>
      </c>
      <c r="U58" s="334"/>
      <c r="V58" s="333">
        <v>42261</v>
      </c>
      <c r="W58" s="291"/>
      <c r="X58" s="5"/>
    </row>
    <row r="59" spans="1:25" ht="15.6" x14ac:dyDescent="0.3">
      <c r="A59" s="287"/>
      <c r="B59" s="288" t="s">
        <v>229</v>
      </c>
      <c r="C59" s="288"/>
      <c r="D59" s="288"/>
      <c r="E59" s="288"/>
      <c r="F59" s="288"/>
      <c r="G59" s="288"/>
      <c r="H59" s="288"/>
      <c r="I59" s="288"/>
      <c r="J59" s="288"/>
      <c r="K59" s="288"/>
      <c r="L59" s="288"/>
      <c r="M59" s="288"/>
      <c r="N59" s="288"/>
      <c r="O59" s="288"/>
      <c r="P59" s="288"/>
      <c r="Q59" s="288"/>
      <c r="R59" s="288"/>
      <c r="S59" s="288"/>
      <c r="T59" s="333"/>
      <c r="U59" s="334"/>
      <c r="V59" s="333" t="s">
        <v>120</v>
      </c>
      <c r="W59" s="291"/>
      <c r="X59" s="5"/>
    </row>
    <row r="60" spans="1:25" ht="15.6" x14ac:dyDescent="0.3">
      <c r="A60" s="287"/>
      <c r="B60" s="288" t="s">
        <v>228</v>
      </c>
      <c r="C60" s="288"/>
      <c r="D60" s="288"/>
      <c r="E60" s="288"/>
      <c r="F60" s="288"/>
      <c r="G60" s="288"/>
      <c r="H60" s="288"/>
      <c r="I60" s="288"/>
      <c r="J60" s="288"/>
      <c r="K60" s="288"/>
      <c r="L60" s="288"/>
      <c r="M60" s="288"/>
      <c r="N60" s="288"/>
      <c r="O60" s="288"/>
      <c r="P60" s="288"/>
      <c r="Q60" s="288"/>
      <c r="R60" s="288"/>
      <c r="S60" s="288"/>
      <c r="T60" s="333"/>
      <c r="U60" s="334"/>
      <c r="V60" s="333" t="s">
        <v>154</v>
      </c>
      <c r="W60" s="291"/>
      <c r="X60" s="5"/>
      <c r="Y60" s="134"/>
    </row>
    <row r="61" spans="1:25" ht="15.6" x14ac:dyDescent="0.3">
      <c r="A61" s="287"/>
      <c r="B61" s="288" t="s">
        <v>16</v>
      </c>
      <c r="C61" s="288"/>
      <c r="D61" s="288"/>
      <c r="E61" s="288"/>
      <c r="F61" s="288"/>
      <c r="G61" s="288"/>
      <c r="H61" s="288"/>
      <c r="I61" s="288"/>
      <c r="J61" s="288"/>
      <c r="K61" s="288"/>
      <c r="L61" s="288"/>
      <c r="M61" s="288"/>
      <c r="N61" s="288"/>
      <c r="O61" s="288"/>
      <c r="P61" s="288"/>
      <c r="Q61" s="288"/>
      <c r="R61" s="288"/>
      <c r="S61" s="288"/>
      <c r="T61" s="333"/>
      <c r="U61" s="334"/>
      <c r="V61" s="333">
        <v>42248</v>
      </c>
      <c r="W61" s="291"/>
      <c r="X61" s="5"/>
    </row>
    <row r="62" spans="1:25" ht="15.6" x14ac:dyDescent="0.3">
      <c r="A62" s="183"/>
      <c r="B62" s="284"/>
      <c r="C62" s="284"/>
      <c r="D62" s="284"/>
      <c r="E62" s="284"/>
      <c r="F62" s="284"/>
      <c r="G62" s="284"/>
      <c r="H62" s="284"/>
      <c r="I62" s="284"/>
      <c r="J62" s="284"/>
      <c r="K62" s="284"/>
      <c r="L62" s="284"/>
      <c r="M62" s="284"/>
      <c r="N62" s="284"/>
      <c r="O62" s="284"/>
      <c r="P62" s="284"/>
      <c r="Q62" s="284"/>
      <c r="R62" s="284"/>
      <c r="S62" s="284"/>
      <c r="T62" s="285"/>
      <c r="U62" s="286"/>
      <c r="V62" s="285"/>
      <c r="W62" s="284"/>
      <c r="X62" s="5"/>
    </row>
    <row r="63" spans="1:25" ht="15.6" x14ac:dyDescent="0.3">
      <c r="A63" s="183"/>
      <c r="B63" s="224"/>
      <c r="C63" s="224"/>
      <c r="D63" s="224"/>
      <c r="E63" s="224"/>
      <c r="F63" s="224"/>
      <c r="G63" s="224"/>
      <c r="H63" s="224"/>
      <c r="I63" s="224"/>
      <c r="J63" s="224"/>
      <c r="K63" s="224"/>
      <c r="L63" s="224"/>
      <c r="M63" s="224"/>
      <c r="N63" s="224"/>
      <c r="O63" s="224"/>
      <c r="P63" s="224"/>
      <c r="Q63" s="224"/>
      <c r="R63" s="224"/>
      <c r="S63" s="224"/>
      <c r="T63" s="235"/>
      <c r="U63" s="236"/>
      <c r="V63" s="235"/>
      <c r="W63" s="224"/>
      <c r="X63" s="5"/>
    </row>
    <row r="64" spans="1:25" ht="18" thickBot="1" x14ac:dyDescent="0.35">
      <c r="A64" s="199"/>
      <c r="B64" s="237" t="s">
        <v>351</v>
      </c>
      <c r="C64" s="238"/>
      <c r="D64" s="238"/>
      <c r="E64" s="238"/>
      <c r="F64" s="238"/>
      <c r="G64" s="238"/>
      <c r="H64" s="238"/>
      <c r="I64" s="238"/>
      <c r="J64" s="238"/>
      <c r="K64" s="238"/>
      <c r="L64" s="238"/>
      <c r="M64" s="238"/>
      <c r="N64" s="238"/>
      <c r="O64" s="238"/>
      <c r="P64" s="238"/>
      <c r="Q64" s="238"/>
      <c r="R64" s="238"/>
      <c r="S64" s="238"/>
      <c r="T64" s="238"/>
      <c r="U64" s="238"/>
      <c r="V64" s="239"/>
      <c r="W64" s="240"/>
      <c r="X64" s="5"/>
    </row>
    <row r="65" spans="1:24" ht="15.6" x14ac:dyDescent="0.3">
      <c r="A65" s="262"/>
      <c r="B65" s="399" t="s">
        <v>17</v>
      </c>
      <c r="C65" s="263"/>
      <c r="D65" s="263"/>
      <c r="E65" s="263"/>
      <c r="F65" s="263"/>
      <c r="G65" s="263"/>
      <c r="H65" s="263"/>
      <c r="I65" s="263"/>
      <c r="J65" s="263"/>
      <c r="K65" s="263"/>
      <c r="L65" s="263"/>
      <c r="M65" s="263"/>
      <c r="N65" s="263"/>
      <c r="O65" s="263"/>
      <c r="P65" s="263"/>
      <c r="Q65" s="263"/>
      <c r="R65" s="263"/>
      <c r="S65" s="263"/>
      <c r="T65" s="263"/>
      <c r="U65" s="263"/>
      <c r="V65" s="268"/>
      <c r="W65" s="263"/>
      <c r="X65" s="5"/>
    </row>
    <row r="66" spans="1:24" ht="15.6" x14ac:dyDescent="0.3">
      <c r="A66" s="183"/>
      <c r="B66" s="191"/>
      <c r="C66" s="185"/>
      <c r="D66" s="185"/>
      <c r="E66" s="185"/>
      <c r="F66" s="185"/>
      <c r="G66" s="185"/>
      <c r="H66" s="185"/>
      <c r="I66" s="185"/>
      <c r="J66" s="185"/>
      <c r="K66" s="185"/>
      <c r="L66" s="185"/>
      <c r="M66" s="185"/>
      <c r="N66" s="185"/>
      <c r="O66" s="185"/>
      <c r="P66" s="185"/>
      <c r="Q66" s="185"/>
      <c r="R66" s="185"/>
      <c r="S66" s="185"/>
      <c r="T66" s="185"/>
      <c r="U66" s="185"/>
      <c r="V66" s="201"/>
      <c r="W66" s="185"/>
      <c r="X66" s="5"/>
    </row>
    <row r="67" spans="1:24" ht="46.8" x14ac:dyDescent="0.3">
      <c r="A67" s="183"/>
      <c r="B67" s="202" t="s">
        <v>18</v>
      </c>
      <c r="C67" s="203"/>
      <c r="D67" s="203"/>
      <c r="E67" s="203"/>
      <c r="F67" s="203"/>
      <c r="G67" s="203"/>
      <c r="H67" s="203"/>
      <c r="I67" s="203"/>
      <c r="J67" s="203"/>
      <c r="K67" s="203"/>
      <c r="L67" s="203" t="s">
        <v>94</v>
      </c>
      <c r="M67" s="203"/>
      <c r="N67" s="203" t="s">
        <v>96</v>
      </c>
      <c r="O67" s="203"/>
      <c r="P67" s="203" t="s">
        <v>98</v>
      </c>
      <c r="Q67" s="203"/>
      <c r="R67" s="203" t="s">
        <v>100</v>
      </c>
      <c r="S67" s="203"/>
      <c r="T67" s="203" t="s">
        <v>106</v>
      </c>
      <c r="U67" s="203"/>
      <c r="V67" s="204" t="s">
        <v>112</v>
      </c>
      <c r="W67" s="205"/>
      <c r="X67" s="5"/>
    </row>
    <row r="68" spans="1:24" ht="15.6" x14ac:dyDescent="0.3">
      <c r="A68" s="287"/>
      <c r="B68" s="288" t="s">
        <v>19</v>
      </c>
      <c r="C68" s="337"/>
      <c r="D68" s="337"/>
      <c r="E68" s="337"/>
      <c r="F68" s="337"/>
      <c r="G68" s="337"/>
      <c r="H68" s="337"/>
      <c r="I68" s="337"/>
      <c r="J68" s="337"/>
      <c r="K68" s="337"/>
      <c r="L68" s="337">
        <v>1158015</v>
      </c>
      <c r="M68" s="337"/>
      <c r="N68" s="338">
        <v>1015167</v>
      </c>
      <c r="O68" s="337"/>
      <c r="P68" s="337">
        <f>13852+80+231</f>
        <v>14163</v>
      </c>
      <c r="Q68" s="337"/>
      <c r="R68" s="337">
        <f>80+231</f>
        <v>311</v>
      </c>
      <c r="S68" s="337"/>
      <c r="T68" s="337">
        <v>0</v>
      </c>
      <c r="U68" s="337"/>
      <c r="V68" s="338">
        <f>+N68-P68+R68-T68</f>
        <v>1001315</v>
      </c>
      <c r="W68" s="291"/>
      <c r="X68" s="5"/>
    </row>
    <row r="69" spans="1:24" ht="15.6" x14ac:dyDescent="0.3">
      <c r="A69" s="287"/>
      <c r="B69" s="288" t="s">
        <v>20</v>
      </c>
      <c r="C69" s="337"/>
      <c r="D69" s="337"/>
      <c r="E69" s="337"/>
      <c r="F69" s="337"/>
      <c r="G69" s="337"/>
      <c r="H69" s="337"/>
      <c r="I69" s="337"/>
      <c r="J69" s="337"/>
      <c r="K69" s="337"/>
      <c r="L69" s="337">
        <v>15</v>
      </c>
      <c r="M69" s="337"/>
      <c r="N69" s="338">
        <v>0</v>
      </c>
      <c r="O69" s="337"/>
      <c r="P69" s="337">
        <v>0</v>
      </c>
      <c r="Q69" s="337"/>
      <c r="R69" s="337">
        <v>0</v>
      </c>
      <c r="S69" s="337"/>
      <c r="T69" s="337">
        <v>0</v>
      </c>
      <c r="U69" s="337"/>
      <c r="V69" s="338">
        <v>0</v>
      </c>
      <c r="W69" s="291"/>
      <c r="X69" s="5"/>
    </row>
    <row r="70" spans="1:24" ht="15.6" x14ac:dyDescent="0.3">
      <c r="A70" s="287"/>
      <c r="B70" s="288"/>
      <c r="C70" s="337"/>
      <c r="D70" s="337"/>
      <c r="E70" s="337"/>
      <c r="F70" s="337"/>
      <c r="G70" s="337"/>
      <c r="H70" s="337"/>
      <c r="I70" s="337"/>
      <c r="J70" s="337"/>
      <c r="K70" s="337"/>
      <c r="L70" s="337"/>
      <c r="M70" s="337"/>
      <c r="N70" s="338"/>
      <c r="O70" s="337"/>
      <c r="P70" s="337"/>
      <c r="Q70" s="337"/>
      <c r="R70" s="337"/>
      <c r="S70" s="337"/>
      <c r="T70" s="337"/>
      <c r="U70" s="337"/>
      <c r="V70" s="338"/>
      <c r="W70" s="291"/>
      <c r="X70" s="5"/>
    </row>
    <row r="71" spans="1:24" ht="15.6" x14ac:dyDescent="0.3">
      <c r="A71" s="287"/>
      <c r="B71" s="288" t="s">
        <v>21</v>
      </c>
      <c r="C71" s="337"/>
      <c r="D71" s="337"/>
      <c r="E71" s="337"/>
      <c r="F71" s="337"/>
      <c r="G71" s="337"/>
      <c r="H71" s="337"/>
      <c r="I71" s="337"/>
      <c r="J71" s="337"/>
      <c r="K71" s="337"/>
      <c r="L71" s="337">
        <f>SUM(L68:L70)</f>
        <v>1158030</v>
      </c>
      <c r="M71" s="337"/>
      <c r="N71" s="337">
        <f>N68+N69</f>
        <v>1015167</v>
      </c>
      <c r="O71" s="337"/>
      <c r="P71" s="337">
        <f>SUM(P68:P70)</f>
        <v>14163</v>
      </c>
      <c r="Q71" s="337"/>
      <c r="R71" s="337">
        <f>SUM(R68:R70)</f>
        <v>311</v>
      </c>
      <c r="S71" s="337"/>
      <c r="T71" s="337">
        <f>SUM(T68:T70)</f>
        <v>0</v>
      </c>
      <c r="U71" s="337"/>
      <c r="V71" s="337">
        <f>SUM(V68:V70)</f>
        <v>1001315</v>
      </c>
      <c r="W71" s="291"/>
      <c r="X71" s="5"/>
    </row>
    <row r="72" spans="1:24" ht="15.6" x14ac:dyDescent="0.3">
      <c r="A72" s="183"/>
      <c r="B72" s="198"/>
      <c r="C72" s="335"/>
      <c r="D72" s="335"/>
      <c r="E72" s="335"/>
      <c r="F72" s="335"/>
      <c r="G72" s="335"/>
      <c r="H72" s="335"/>
      <c r="I72" s="335"/>
      <c r="J72" s="335"/>
      <c r="K72" s="335"/>
      <c r="L72" s="335"/>
      <c r="M72" s="335"/>
      <c r="N72" s="335"/>
      <c r="O72" s="335"/>
      <c r="P72" s="335"/>
      <c r="Q72" s="335"/>
      <c r="R72" s="335"/>
      <c r="S72" s="335"/>
      <c r="T72" s="335"/>
      <c r="U72" s="335"/>
      <c r="V72" s="336"/>
      <c r="W72" s="198"/>
      <c r="X72" s="5"/>
    </row>
    <row r="73" spans="1:24" ht="15.6" x14ac:dyDescent="0.3">
      <c r="A73" s="183"/>
      <c r="B73" s="187" t="s">
        <v>22</v>
      </c>
      <c r="C73" s="206"/>
      <c r="D73" s="206"/>
      <c r="E73" s="206"/>
      <c r="F73" s="206"/>
      <c r="G73" s="206"/>
      <c r="H73" s="206"/>
      <c r="I73" s="206"/>
      <c r="J73" s="206"/>
      <c r="K73" s="206"/>
      <c r="L73" s="206"/>
      <c r="M73" s="206"/>
      <c r="N73" s="206"/>
      <c r="O73" s="206"/>
      <c r="P73" s="206"/>
      <c r="Q73" s="206"/>
      <c r="R73" s="206"/>
      <c r="S73" s="206"/>
      <c r="T73" s="206"/>
      <c r="U73" s="206"/>
      <c r="V73" s="207"/>
      <c r="W73" s="185"/>
      <c r="X73" s="5"/>
    </row>
    <row r="74" spans="1:24" ht="15.6" x14ac:dyDescent="0.3">
      <c r="A74" s="183"/>
      <c r="B74" s="185"/>
      <c r="C74" s="206"/>
      <c r="D74" s="206"/>
      <c r="E74" s="206"/>
      <c r="F74" s="206"/>
      <c r="G74" s="206"/>
      <c r="H74" s="206"/>
      <c r="I74" s="206"/>
      <c r="J74" s="206"/>
      <c r="K74" s="206"/>
      <c r="L74" s="206"/>
      <c r="M74" s="206"/>
      <c r="N74" s="206"/>
      <c r="O74" s="206"/>
      <c r="P74" s="206"/>
      <c r="Q74" s="206"/>
      <c r="R74" s="206"/>
      <c r="S74" s="206"/>
      <c r="T74" s="206"/>
      <c r="U74" s="206"/>
      <c r="V74" s="207"/>
      <c r="W74" s="185"/>
      <c r="X74" s="5"/>
    </row>
    <row r="75" spans="1:24" ht="15.6" x14ac:dyDescent="0.3">
      <c r="A75" s="340"/>
      <c r="B75" s="288" t="s">
        <v>19</v>
      </c>
      <c r="C75" s="337"/>
      <c r="D75" s="337"/>
      <c r="E75" s="337"/>
      <c r="F75" s="337"/>
      <c r="G75" s="337"/>
      <c r="H75" s="337"/>
      <c r="I75" s="337"/>
      <c r="J75" s="337"/>
      <c r="K75" s="337"/>
      <c r="L75" s="337"/>
      <c r="M75" s="337"/>
      <c r="N75" s="337"/>
      <c r="O75" s="337"/>
      <c r="P75" s="337"/>
      <c r="Q75" s="337"/>
      <c r="R75" s="337"/>
      <c r="S75" s="337"/>
      <c r="T75" s="337"/>
      <c r="U75" s="337"/>
      <c r="V75" s="337"/>
      <c r="W75" s="291"/>
      <c r="X75" s="5"/>
    </row>
    <row r="76" spans="1:24" ht="15.6" x14ac:dyDescent="0.3">
      <c r="A76" s="340"/>
      <c r="B76" s="288" t="s">
        <v>20</v>
      </c>
      <c r="C76" s="337"/>
      <c r="D76" s="337"/>
      <c r="E76" s="337"/>
      <c r="F76" s="337"/>
      <c r="G76" s="337"/>
      <c r="H76" s="337"/>
      <c r="I76" s="337"/>
      <c r="J76" s="337"/>
      <c r="K76" s="337"/>
      <c r="L76" s="337"/>
      <c r="M76" s="337"/>
      <c r="N76" s="337"/>
      <c r="O76" s="337"/>
      <c r="P76" s="337"/>
      <c r="Q76" s="337"/>
      <c r="R76" s="337"/>
      <c r="S76" s="337"/>
      <c r="T76" s="337"/>
      <c r="U76" s="337"/>
      <c r="V76" s="337"/>
      <c r="W76" s="291"/>
      <c r="X76" s="5"/>
    </row>
    <row r="77" spans="1:24" ht="15.6" x14ac:dyDescent="0.3">
      <c r="A77" s="340"/>
      <c r="B77" s="288"/>
      <c r="C77" s="337"/>
      <c r="D77" s="337"/>
      <c r="E77" s="337"/>
      <c r="F77" s="337"/>
      <c r="G77" s="337"/>
      <c r="H77" s="337"/>
      <c r="I77" s="337"/>
      <c r="J77" s="337"/>
      <c r="K77" s="337"/>
      <c r="L77" s="337"/>
      <c r="M77" s="337"/>
      <c r="N77" s="337"/>
      <c r="O77" s="337"/>
      <c r="P77" s="337"/>
      <c r="Q77" s="337"/>
      <c r="R77" s="337"/>
      <c r="S77" s="337"/>
      <c r="T77" s="337"/>
      <c r="U77" s="337"/>
      <c r="V77" s="337"/>
      <c r="W77" s="291"/>
      <c r="X77" s="5"/>
    </row>
    <row r="78" spans="1:24" ht="15.6" x14ac:dyDescent="0.3">
      <c r="A78" s="340"/>
      <c r="B78" s="288" t="s">
        <v>21</v>
      </c>
      <c r="C78" s="337"/>
      <c r="D78" s="337"/>
      <c r="E78" s="337"/>
      <c r="F78" s="337"/>
      <c r="G78" s="337"/>
      <c r="H78" s="337"/>
      <c r="I78" s="337"/>
      <c r="J78" s="337"/>
      <c r="K78" s="337"/>
      <c r="L78" s="337"/>
      <c r="M78" s="337"/>
      <c r="N78" s="337"/>
      <c r="O78" s="337"/>
      <c r="P78" s="337"/>
      <c r="Q78" s="337"/>
      <c r="R78" s="337"/>
      <c r="S78" s="337"/>
      <c r="T78" s="337"/>
      <c r="U78" s="337"/>
      <c r="V78" s="337"/>
      <c r="W78" s="291"/>
      <c r="X78" s="5"/>
    </row>
    <row r="79" spans="1:24" ht="15.6" x14ac:dyDescent="0.3">
      <c r="A79" s="340"/>
      <c r="B79" s="288"/>
      <c r="C79" s="337"/>
      <c r="D79" s="337"/>
      <c r="E79" s="337"/>
      <c r="F79" s="337"/>
      <c r="G79" s="337"/>
      <c r="H79" s="337"/>
      <c r="I79" s="337"/>
      <c r="J79" s="337"/>
      <c r="K79" s="337"/>
      <c r="L79" s="337"/>
      <c r="M79" s="337"/>
      <c r="N79" s="337"/>
      <c r="O79" s="337"/>
      <c r="P79" s="337"/>
      <c r="Q79" s="337"/>
      <c r="R79" s="337"/>
      <c r="S79" s="337"/>
      <c r="T79" s="337"/>
      <c r="U79" s="337"/>
      <c r="V79" s="337"/>
      <c r="W79" s="291"/>
      <c r="X79" s="5"/>
    </row>
    <row r="80" spans="1:24" ht="15.6" x14ac:dyDescent="0.3">
      <c r="A80" s="340"/>
      <c r="B80" s="288" t="s">
        <v>23</v>
      </c>
      <c r="C80" s="337"/>
      <c r="D80" s="337"/>
      <c r="E80" s="337"/>
      <c r="F80" s="337"/>
      <c r="G80" s="337"/>
      <c r="H80" s="337"/>
      <c r="I80" s="337"/>
      <c r="J80" s="337"/>
      <c r="K80" s="337"/>
      <c r="L80" s="337">
        <v>0</v>
      </c>
      <c r="M80" s="337"/>
      <c r="N80" s="337">
        <v>0</v>
      </c>
      <c r="O80" s="337"/>
      <c r="P80" s="337"/>
      <c r="Q80" s="337"/>
      <c r="R80" s="337"/>
      <c r="S80" s="337"/>
      <c r="T80" s="337"/>
      <c r="U80" s="337"/>
      <c r="V80" s="338">
        <v>0</v>
      </c>
      <c r="W80" s="291"/>
      <c r="X80" s="5"/>
    </row>
    <row r="81" spans="1:24" ht="15.6" x14ac:dyDescent="0.3">
      <c r="A81" s="340"/>
      <c r="B81" s="288" t="s">
        <v>117</v>
      </c>
      <c r="C81" s="337"/>
      <c r="D81" s="337"/>
      <c r="E81" s="337"/>
      <c r="F81" s="337"/>
      <c r="G81" s="337"/>
      <c r="H81" s="337"/>
      <c r="I81" s="337"/>
      <c r="J81" s="337"/>
      <c r="K81" s="337"/>
      <c r="L81" s="337">
        <v>342245</v>
      </c>
      <c r="M81" s="337"/>
      <c r="N81" s="337">
        <v>0</v>
      </c>
      <c r="O81" s="337"/>
      <c r="P81" s="337">
        <v>0</v>
      </c>
      <c r="Q81" s="337"/>
      <c r="R81" s="337"/>
      <c r="S81" s="337"/>
      <c r="T81" s="337"/>
      <c r="U81" s="337"/>
      <c r="V81" s="337">
        <f>SUM(N81:R81)</f>
        <v>0</v>
      </c>
      <c r="W81" s="291"/>
      <c r="X81" s="5"/>
    </row>
    <row r="82" spans="1:24" ht="15.6" x14ac:dyDescent="0.3">
      <c r="A82" s="340"/>
      <c r="B82" s="288"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91"/>
      <c r="X82" s="5"/>
    </row>
    <row r="83" spans="1:24" ht="15.6" x14ac:dyDescent="0.3">
      <c r="A83" s="340"/>
      <c r="B83" s="288" t="s">
        <v>25</v>
      </c>
      <c r="C83" s="337"/>
      <c r="D83" s="337"/>
      <c r="E83" s="337"/>
      <c r="F83" s="337"/>
      <c r="G83" s="337"/>
      <c r="H83" s="337"/>
      <c r="I83" s="337"/>
      <c r="J83" s="337"/>
      <c r="K83" s="337"/>
      <c r="L83" s="337">
        <v>0</v>
      </c>
      <c r="M83" s="337"/>
      <c r="N83" s="337">
        <v>0</v>
      </c>
      <c r="O83" s="337"/>
      <c r="P83" s="337"/>
      <c r="Q83" s="337"/>
      <c r="R83" s="337"/>
      <c r="S83" s="337"/>
      <c r="T83" s="337"/>
      <c r="U83" s="337"/>
      <c r="V83" s="337">
        <v>0</v>
      </c>
      <c r="W83" s="291"/>
      <c r="X83" s="5"/>
    </row>
    <row r="84" spans="1:24" ht="15.6" x14ac:dyDescent="0.3">
      <c r="A84" s="340"/>
      <c r="B84" s="288" t="s">
        <v>26</v>
      </c>
      <c r="C84" s="337"/>
      <c r="D84" s="337"/>
      <c r="E84" s="337"/>
      <c r="F84" s="337"/>
      <c r="G84" s="337"/>
      <c r="H84" s="337"/>
      <c r="I84" s="337"/>
      <c r="J84" s="337"/>
      <c r="K84" s="337"/>
      <c r="L84" s="337">
        <f>SUM(L71:L83)</f>
        <v>1500275</v>
      </c>
      <c r="M84" s="337"/>
      <c r="N84" s="337">
        <f>SUM(N71:N83)</f>
        <v>1015167</v>
      </c>
      <c r="O84" s="337"/>
      <c r="P84" s="337"/>
      <c r="Q84" s="337"/>
      <c r="R84" s="337"/>
      <c r="S84" s="337"/>
      <c r="T84" s="337"/>
      <c r="U84" s="337"/>
      <c r="V84" s="337">
        <f>SUM(V71:V83)</f>
        <v>1001315</v>
      </c>
      <c r="W84" s="291"/>
      <c r="X84" s="5"/>
    </row>
    <row r="85" spans="1:24" ht="15.6" x14ac:dyDescent="0.3">
      <c r="A85" s="243"/>
      <c r="B85" s="284"/>
      <c r="C85" s="339"/>
      <c r="D85" s="339"/>
      <c r="E85" s="339"/>
      <c r="F85" s="339"/>
      <c r="G85" s="339"/>
      <c r="H85" s="339"/>
      <c r="I85" s="339"/>
      <c r="J85" s="339"/>
      <c r="K85" s="339"/>
      <c r="L85" s="339"/>
      <c r="M85" s="339"/>
      <c r="N85" s="339"/>
      <c r="O85" s="339"/>
      <c r="P85" s="339"/>
      <c r="Q85" s="339"/>
      <c r="R85" s="339"/>
      <c r="S85" s="339"/>
      <c r="T85" s="339"/>
      <c r="U85" s="339"/>
      <c r="V85" s="339"/>
      <c r="W85" s="284"/>
      <c r="X85" s="5"/>
    </row>
    <row r="86" spans="1:24" ht="15.6" x14ac:dyDescent="0.3">
      <c r="A86" s="243"/>
      <c r="B86" s="224"/>
      <c r="C86" s="224"/>
      <c r="D86" s="224"/>
      <c r="E86" s="224"/>
      <c r="F86" s="224"/>
      <c r="G86" s="224"/>
      <c r="H86" s="224"/>
      <c r="I86" s="224"/>
      <c r="J86" s="224"/>
      <c r="K86" s="224"/>
      <c r="L86" s="224"/>
      <c r="M86" s="224"/>
      <c r="N86" s="224"/>
      <c r="O86" s="224"/>
      <c r="P86" s="224"/>
      <c r="Q86" s="224"/>
      <c r="R86" s="224"/>
      <c r="S86" s="224"/>
      <c r="T86" s="224"/>
      <c r="U86" s="224"/>
      <c r="V86" s="224"/>
      <c r="W86" s="224"/>
      <c r="X86" s="5"/>
    </row>
    <row r="87" spans="1:24" ht="15.6" x14ac:dyDescent="0.3">
      <c r="A87" s="262"/>
      <c r="B87" s="399" t="s">
        <v>27</v>
      </c>
      <c r="C87" s="399"/>
      <c r="D87" s="399"/>
      <c r="E87" s="399"/>
      <c r="F87" s="399"/>
      <c r="G87" s="399"/>
      <c r="H87" s="400"/>
      <c r="I87" s="400"/>
      <c r="J87" s="400"/>
      <c r="K87" s="400"/>
      <c r="L87" s="401" t="s">
        <v>95</v>
      </c>
      <c r="M87" s="400"/>
      <c r="N87" s="402">
        <f>+T205</f>
        <v>42244</v>
      </c>
      <c r="O87" s="400"/>
      <c r="P87" s="400"/>
      <c r="Q87" s="400"/>
      <c r="R87" s="400"/>
      <c r="S87" s="400"/>
      <c r="T87" s="400" t="s">
        <v>107</v>
      </c>
      <c r="U87" s="400"/>
      <c r="V87" s="400" t="s">
        <v>113</v>
      </c>
      <c r="W87" s="263"/>
      <c r="X87" s="5"/>
    </row>
    <row r="88" spans="1:24" ht="15.6" x14ac:dyDescent="0.3">
      <c r="A88" s="242"/>
      <c r="B88" s="231" t="s">
        <v>28</v>
      </c>
      <c r="C88" s="231"/>
      <c r="D88" s="231"/>
      <c r="E88" s="231"/>
      <c r="F88" s="231"/>
      <c r="G88" s="231"/>
      <c r="H88" s="231"/>
      <c r="I88" s="231"/>
      <c r="J88" s="231"/>
      <c r="K88" s="231"/>
      <c r="L88" s="231"/>
      <c r="M88" s="231"/>
      <c r="N88" s="231"/>
      <c r="O88" s="231"/>
      <c r="P88" s="231"/>
      <c r="Q88" s="231"/>
      <c r="R88" s="231"/>
      <c r="S88" s="231"/>
      <c r="T88" s="234">
        <v>0</v>
      </c>
      <c r="U88" s="231"/>
      <c r="V88" s="241">
        <v>0</v>
      </c>
      <c r="W88" s="231"/>
      <c r="X88" s="5"/>
    </row>
    <row r="89" spans="1:24" ht="15.6" x14ac:dyDescent="0.3">
      <c r="A89" s="340"/>
      <c r="B89" s="288" t="s">
        <v>29</v>
      </c>
      <c r="C89" s="288"/>
      <c r="D89" s="288"/>
      <c r="E89" s="288"/>
      <c r="F89" s="288"/>
      <c r="G89" s="288"/>
      <c r="H89" s="325"/>
      <c r="I89" s="325"/>
      <c r="J89" s="325"/>
      <c r="K89" s="341"/>
      <c r="L89" s="325"/>
      <c r="M89" s="288"/>
      <c r="N89" s="342"/>
      <c r="O89" s="288"/>
      <c r="P89" s="288"/>
      <c r="Q89" s="288"/>
      <c r="R89" s="288"/>
      <c r="S89" s="288"/>
      <c r="T89" s="337">
        <f>14163-177</f>
        <v>13986</v>
      </c>
      <c r="U89" s="288"/>
      <c r="V89" s="338"/>
      <c r="W89" s="291"/>
      <c r="X89" s="5"/>
    </row>
    <row r="90" spans="1:24" ht="15.6" x14ac:dyDescent="0.3">
      <c r="A90" s="340"/>
      <c r="B90" s="288" t="s">
        <v>216</v>
      </c>
      <c r="C90" s="288"/>
      <c r="D90" s="288"/>
      <c r="E90" s="288"/>
      <c r="F90" s="288"/>
      <c r="G90" s="288"/>
      <c r="H90" s="325"/>
      <c r="I90" s="325"/>
      <c r="J90" s="325"/>
      <c r="K90" s="341"/>
      <c r="L90" s="325"/>
      <c r="M90" s="288"/>
      <c r="N90" s="342"/>
      <c r="O90" s="288"/>
      <c r="P90" s="288"/>
      <c r="Q90" s="288"/>
      <c r="R90" s="288"/>
      <c r="S90" s="288"/>
      <c r="T90" s="337"/>
      <c r="U90" s="288"/>
      <c r="V90" s="338">
        <f>3242+4323-433-1077</f>
        <v>6055</v>
      </c>
      <c r="W90" s="291"/>
      <c r="X90" s="5"/>
    </row>
    <row r="91" spans="1:24" ht="15.6" x14ac:dyDescent="0.3">
      <c r="A91" s="340"/>
      <c r="B91" s="288" t="s">
        <v>211</v>
      </c>
      <c r="C91" s="288"/>
      <c r="D91" s="288"/>
      <c r="E91" s="288"/>
      <c r="F91" s="288"/>
      <c r="G91" s="288"/>
      <c r="H91" s="325"/>
      <c r="I91" s="325"/>
      <c r="J91" s="325"/>
      <c r="K91" s="341"/>
      <c r="L91" s="325"/>
      <c r="M91" s="288"/>
      <c r="N91" s="342"/>
      <c r="O91" s="288"/>
      <c r="P91" s="288"/>
      <c r="Q91" s="288"/>
      <c r="R91" s="288"/>
      <c r="S91" s="288"/>
      <c r="T91" s="337"/>
      <c r="U91" s="288"/>
      <c r="V91" s="338">
        <f>93+214</f>
        <v>307</v>
      </c>
      <c r="W91" s="291"/>
      <c r="X91" s="5"/>
    </row>
    <row r="92" spans="1:24" ht="15.6" x14ac:dyDescent="0.3">
      <c r="A92" s="340"/>
      <c r="B92" s="288" t="s">
        <v>212</v>
      </c>
      <c r="C92" s="288"/>
      <c r="D92" s="288"/>
      <c r="E92" s="288"/>
      <c r="F92" s="288"/>
      <c r="G92" s="288"/>
      <c r="H92" s="325"/>
      <c r="I92" s="325"/>
      <c r="J92" s="325"/>
      <c r="K92" s="341"/>
      <c r="L92" s="325"/>
      <c r="M92" s="288"/>
      <c r="N92" s="342"/>
      <c r="O92" s="288"/>
      <c r="P92" s="288"/>
      <c r="Q92" s="288"/>
      <c r="R92" s="288"/>
      <c r="S92" s="288"/>
      <c r="T92" s="337"/>
      <c r="U92" s="288"/>
      <c r="V92" s="338">
        <v>44</v>
      </c>
      <c r="W92" s="291"/>
      <c r="X92" s="5"/>
    </row>
    <row r="93" spans="1:24" ht="15.6" x14ac:dyDescent="0.3">
      <c r="A93" s="340"/>
      <c r="B93" s="288" t="s">
        <v>272</v>
      </c>
      <c r="C93" s="288"/>
      <c r="D93" s="288"/>
      <c r="E93" s="288"/>
      <c r="F93" s="288"/>
      <c r="G93" s="288"/>
      <c r="H93" s="325"/>
      <c r="I93" s="325"/>
      <c r="J93" s="325"/>
      <c r="K93" s="341"/>
      <c r="L93" s="325"/>
      <c r="M93" s="288"/>
      <c r="N93" s="342"/>
      <c r="O93" s="288"/>
      <c r="P93" s="288"/>
      <c r="Q93" s="288"/>
      <c r="R93" s="288"/>
      <c r="S93" s="288"/>
      <c r="T93" s="337"/>
      <c r="U93" s="288"/>
      <c r="V93" s="338">
        <v>0</v>
      </c>
      <c r="W93" s="291"/>
      <c r="X93" s="5"/>
    </row>
    <row r="94" spans="1:24" ht="15.6" x14ac:dyDescent="0.3">
      <c r="A94" s="340"/>
      <c r="B94" s="288" t="s">
        <v>274</v>
      </c>
      <c r="C94" s="288"/>
      <c r="D94" s="288"/>
      <c r="E94" s="288"/>
      <c r="F94" s="288"/>
      <c r="G94" s="288"/>
      <c r="H94" s="325"/>
      <c r="I94" s="325"/>
      <c r="J94" s="325"/>
      <c r="K94" s="341"/>
      <c r="L94" s="325"/>
      <c r="M94" s="288"/>
      <c r="N94" s="342"/>
      <c r="O94" s="288"/>
      <c r="P94" s="288"/>
      <c r="Q94" s="288"/>
      <c r="R94" s="288"/>
      <c r="S94" s="288"/>
      <c r="T94" s="337"/>
      <c r="U94" s="288"/>
      <c r="V94" s="338">
        <v>0</v>
      </c>
      <c r="W94" s="291"/>
      <c r="X94" s="5"/>
    </row>
    <row r="95" spans="1:24" ht="15.6" x14ac:dyDescent="0.3">
      <c r="A95" s="340"/>
      <c r="B95" s="288" t="s">
        <v>135</v>
      </c>
      <c r="C95" s="288"/>
      <c r="D95" s="288"/>
      <c r="E95" s="288"/>
      <c r="F95" s="288"/>
      <c r="G95" s="288"/>
      <c r="H95" s="288"/>
      <c r="I95" s="288"/>
      <c r="J95" s="288"/>
      <c r="K95" s="288"/>
      <c r="L95" s="288"/>
      <c r="M95" s="288"/>
      <c r="N95" s="288"/>
      <c r="O95" s="288"/>
      <c r="P95" s="288"/>
      <c r="Q95" s="288"/>
      <c r="R95" s="288"/>
      <c r="S95" s="288"/>
      <c r="T95" s="337"/>
      <c r="U95" s="288"/>
      <c r="V95" s="338">
        <v>0</v>
      </c>
      <c r="W95" s="291"/>
      <c r="X95" s="5"/>
    </row>
    <row r="96" spans="1:24" ht="15.6" x14ac:dyDescent="0.3">
      <c r="A96" s="340"/>
      <c r="B96" s="288" t="s">
        <v>268</v>
      </c>
      <c r="C96" s="288"/>
      <c r="D96" s="288"/>
      <c r="E96" s="288"/>
      <c r="F96" s="288"/>
      <c r="G96" s="288"/>
      <c r="H96" s="288"/>
      <c r="I96" s="288"/>
      <c r="J96" s="288"/>
      <c r="K96" s="288"/>
      <c r="L96" s="288"/>
      <c r="M96" s="288"/>
      <c r="N96" s="288"/>
      <c r="O96" s="288"/>
      <c r="P96" s="288"/>
      <c r="Q96" s="288"/>
      <c r="R96" s="288"/>
      <c r="S96" s="288"/>
      <c r="T96" s="337"/>
      <c r="U96" s="288"/>
      <c r="V96" s="338">
        <v>134</v>
      </c>
      <c r="W96" s="291"/>
      <c r="X96" s="5"/>
    </row>
    <row r="97" spans="1:25" ht="15.6" x14ac:dyDescent="0.3">
      <c r="A97" s="340"/>
      <c r="B97" s="288" t="s">
        <v>30</v>
      </c>
      <c r="C97" s="288"/>
      <c r="D97" s="288"/>
      <c r="E97" s="288"/>
      <c r="F97" s="288"/>
      <c r="G97" s="288"/>
      <c r="H97" s="288"/>
      <c r="I97" s="288"/>
      <c r="J97" s="288"/>
      <c r="K97" s="288"/>
      <c r="L97" s="288"/>
      <c r="M97" s="288"/>
      <c r="N97" s="288"/>
      <c r="O97" s="288"/>
      <c r="P97" s="288"/>
      <c r="Q97" s="288"/>
      <c r="R97" s="288"/>
      <c r="S97" s="288"/>
      <c r="T97" s="337">
        <f>SUM(T88:T96)</f>
        <v>13986</v>
      </c>
      <c r="U97" s="288"/>
      <c r="V97" s="337">
        <f>SUM(V88:V96)</f>
        <v>6540</v>
      </c>
      <c r="W97" s="291"/>
      <c r="X97" s="5"/>
    </row>
    <row r="98" spans="1:25" ht="15.6" x14ac:dyDescent="0.3">
      <c r="A98" s="340"/>
      <c r="B98" s="288" t="s">
        <v>161</v>
      </c>
      <c r="C98" s="288"/>
      <c r="D98" s="288"/>
      <c r="E98" s="288"/>
      <c r="F98" s="288"/>
      <c r="G98" s="288"/>
      <c r="H98" s="288"/>
      <c r="I98" s="288"/>
      <c r="J98" s="288"/>
      <c r="K98" s="288"/>
      <c r="L98" s="288"/>
      <c r="M98" s="288"/>
      <c r="N98" s="288"/>
      <c r="O98" s="288"/>
      <c r="P98" s="288"/>
      <c r="Q98" s="288"/>
      <c r="R98" s="288"/>
      <c r="S98" s="288"/>
      <c r="T98" s="337">
        <f>-V98</f>
        <v>0</v>
      </c>
      <c r="U98" s="288"/>
      <c r="V98" s="337">
        <v>0</v>
      </c>
      <c r="W98" s="291"/>
      <c r="X98" s="5"/>
    </row>
    <row r="99" spans="1:25" ht="15.6" x14ac:dyDescent="0.3">
      <c r="A99" s="340"/>
      <c r="B99" s="288" t="s">
        <v>31</v>
      </c>
      <c r="C99" s="288"/>
      <c r="D99" s="288"/>
      <c r="E99" s="288"/>
      <c r="F99" s="288"/>
      <c r="G99" s="288"/>
      <c r="H99" s="288"/>
      <c r="I99" s="288"/>
      <c r="J99" s="288"/>
      <c r="K99" s="288"/>
      <c r="L99" s="288"/>
      <c r="M99" s="288"/>
      <c r="N99" s="288"/>
      <c r="O99" s="288"/>
      <c r="P99" s="288"/>
      <c r="Q99" s="288"/>
      <c r="R99" s="288"/>
      <c r="S99" s="288"/>
      <c r="T99" s="337">
        <f>-V99</f>
        <v>0</v>
      </c>
      <c r="U99" s="288"/>
      <c r="V99" s="338">
        <v>0</v>
      </c>
      <c r="W99" s="291"/>
      <c r="X99" s="5"/>
    </row>
    <row r="100" spans="1:25" ht="15.6" x14ac:dyDescent="0.3">
      <c r="A100" s="340"/>
      <c r="B100" s="288" t="s">
        <v>283</v>
      </c>
      <c r="C100" s="288"/>
      <c r="D100" s="288"/>
      <c r="E100" s="288"/>
      <c r="F100" s="288"/>
      <c r="G100" s="288"/>
      <c r="H100" s="288"/>
      <c r="I100" s="288"/>
      <c r="J100" s="288"/>
      <c r="K100" s="288"/>
      <c r="L100" s="288"/>
      <c r="M100" s="288"/>
      <c r="N100" s="288"/>
      <c r="O100" s="288"/>
      <c r="P100" s="288"/>
      <c r="Q100" s="288"/>
      <c r="R100" s="288"/>
      <c r="S100" s="288"/>
      <c r="T100" s="337"/>
      <c r="U100" s="288"/>
      <c r="V100" s="338">
        <v>-77</v>
      </c>
      <c r="W100" s="291"/>
      <c r="X100" s="5"/>
    </row>
    <row r="101" spans="1:25" ht="15.6" x14ac:dyDescent="0.3">
      <c r="A101" s="340"/>
      <c r="B101" s="288" t="s">
        <v>32</v>
      </c>
      <c r="C101" s="288"/>
      <c r="D101" s="288"/>
      <c r="E101" s="288"/>
      <c r="F101" s="288"/>
      <c r="G101" s="288"/>
      <c r="H101" s="288"/>
      <c r="I101" s="288"/>
      <c r="J101" s="288"/>
      <c r="K101" s="288"/>
      <c r="L101" s="288"/>
      <c r="M101" s="288"/>
      <c r="N101" s="288"/>
      <c r="O101" s="288"/>
      <c r="P101" s="288"/>
      <c r="Q101" s="288"/>
      <c r="R101" s="288"/>
      <c r="S101" s="288"/>
      <c r="T101" s="337">
        <f>T97+T99+T98</f>
        <v>13986</v>
      </c>
      <c r="U101" s="288"/>
      <c r="V101" s="337">
        <f>V97+V99+V98+V100</f>
        <v>6463</v>
      </c>
      <c r="W101" s="291"/>
      <c r="X101" s="5"/>
    </row>
    <row r="102" spans="1:25" ht="15.6" x14ac:dyDescent="0.3">
      <c r="A102" s="287"/>
      <c r="B102" s="343" t="s">
        <v>33</v>
      </c>
      <c r="C102" s="314"/>
      <c r="D102" s="314"/>
      <c r="E102" s="314"/>
      <c r="F102" s="314"/>
      <c r="G102" s="314"/>
      <c r="H102" s="314"/>
      <c r="I102" s="314"/>
      <c r="J102" s="314"/>
      <c r="K102" s="314"/>
      <c r="L102" s="314"/>
      <c r="M102" s="314"/>
      <c r="N102" s="314"/>
      <c r="O102" s="314"/>
      <c r="P102" s="314"/>
      <c r="Q102" s="314"/>
      <c r="R102" s="314"/>
      <c r="S102" s="314"/>
      <c r="T102" s="344"/>
      <c r="U102" s="314"/>
      <c r="V102" s="345"/>
      <c r="W102" s="318"/>
      <c r="X102" s="5"/>
    </row>
    <row r="103" spans="1:25" ht="15.6" x14ac:dyDescent="0.3">
      <c r="A103" s="340">
        <v>1</v>
      </c>
      <c r="B103" s="288" t="s">
        <v>34</v>
      </c>
      <c r="C103" s="288"/>
      <c r="D103" s="288"/>
      <c r="E103" s="288"/>
      <c r="F103" s="288"/>
      <c r="G103" s="288"/>
      <c r="H103" s="288"/>
      <c r="I103" s="288"/>
      <c r="J103" s="288"/>
      <c r="K103" s="288"/>
      <c r="L103" s="288"/>
      <c r="M103" s="288"/>
      <c r="N103" s="288"/>
      <c r="O103" s="288"/>
      <c r="P103" s="288"/>
      <c r="Q103" s="288"/>
      <c r="R103" s="288"/>
      <c r="S103" s="288"/>
      <c r="T103" s="288"/>
      <c r="U103" s="288"/>
      <c r="V103" s="338">
        <v>0</v>
      </c>
      <c r="W103" s="291"/>
      <c r="X103" s="5"/>
    </row>
    <row r="104" spans="1:25" ht="15.6" x14ac:dyDescent="0.3">
      <c r="A104" s="340">
        <f>+A103+1</f>
        <v>2</v>
      </c>
      <c r="B104" s="288" t="s">
        <v>330</v>
      </c>
      <c r="C104" s="288"/>
      <c r="D104" s="288"/>
      <c r="E104" s="288"/>
      <c r="F104" s="288"/>
      <c r="G104" s="288"/>
      <c r="H104" s="288"/>
      <c r="I104" s="288"/>
      <c r="J104" s="288"/>
      <c r="K104" s="288"/>
      <c r="L104" s="288"/>
      <c r="M104" s="288"/>
      <c r="N104" s="288"/>
      <c r="O104" s="288"/>
      <c r="P104" s="288"/>
      <c r="Q104" s="288"/>
      <c r="R104" s="288"/>
      <c r="S104" s="288"/>
      <c r="T104" s="288"/>
      <c r="U104" s="288"/>
      <c r="V104" s="338">
        <v>-2</v>
      </c>
      <c r="W104" s="291"/>
      <c r="X104" s="5"/>
    </row>
    <row r="105" spans="1:25" ht="15.6" x14ac:dyDescent="0.3">
      <c r="A105" s="340">
        <f>+A104+1</f>
        <v>3</v>
      </c>
      <c r="B105" s="288" t="s">
        <v>331</v>
      </c>
      <c r="C105" s="288"/>
      <c r="D105" s="288"/>
      <c r="E105" s="288"/>
      <c r="F105" s="288"/>
      <c r="G105" s="288"/>
      <c r="H105" s="288"/>
      <c r="I105" s="288"/>
      <c r="J105" s="288"/>
      <c r="K105" s="288"/>
      <c r="L105" s="288"/>
      <c r="M105" s="288"/>
      <c r="N105" s="288"/>
      <c r="O105" s="288"/>
      <c r="P105" s="288"/>
      <c r="Q105" s="288"/>
      <c r="R105" s="288"/>
      <c r="S105" s="288"/>
      <c r="T105" s="288"/>
      <c r="U105" s="288"/>
      <c r="V105" s="338">
        <f>-129-183-12</f>
        <v>-324</v>
      </c>
      <c r="W105" s="291"/>
      <c r="X105" s="5"/>
    </row>
    <row r="106" spans="1:25" ht="15.6" x14ac:dyDescent="0.3">
      <c r="A106" s="340" t="s">
        <v>127</v>
      </c>
      <c r="B106" s="288" t="s">
        <v>116</v>
      </c>
      <c r="C106" s="288"/>
      <c r="D106" s="288"/>
      <c r="E106" s="288"/>
      <c r="F106" s="288"/>
      <c r="G106" s="288"/>
      <c r="H106" s="288"/>
      <c r="I106" s="288"/>
      <c r="J106" s="288"/>
      <c r="K106" s="288"/>
      <c r="L106" s="288"/>
      <c r="M106" s="288"/>
      <c r="N106" s="288"/>
      <c r="O106" s="288"/>
      <c r="P106" s="288"/>
      <c r="Q106" s="288"/>
      <c r="R106" s="288"/>
      <c r="S106" s="288"/>
      <c r="T106" s="288"/>
      <c r="U106" s="288"/>
      <c r="V106" s="338">
        <v>0</v>
      </c>
      <c r="W106" s="291"/>
      <c r="X106" s="5"/>
    </row>
    <row r="107" spans="1:25" ht="15.6" x14ac:dyDescent="0.3">
      <c r="A107" s="340" t="s">
        <v>128</v>
      </c>
      <c r="B107" s="288" t="s">
        <v>222</v>
      </c>
      <c r="C107" s="288"/>
      <c r="D107" s="288"/>
      <c r="E107" s="288"/>
      <c r="F107" s="288"/>
      <c r="G107" s="288"/>
      <c r="H107" s="288"/>
      <c r="I107" s="288"/>
      <c r="J107" s="288"/>
      <c r="K107" s="288"/>
      <c r="L107" s="288"/>
      <c r="M107" s="288"/>
      <c r="N107" s="288"/>
      <c r="O107" s="288"/>
      <c r="P107" s="288"/>
      <c r="Q107" s="288"/>
      <c r="R107" s="288"/>
      <c r="S107" s="288"/>
      <c r="T107" s="288"/>
      <c r="U107" s="288"/>
      <c r="V107" s="338">
        <f>-1611+151</f>
        <v>-1460</v>
      </c>
      <c r="W107" s="291"/>
      <c r="X107" s="5"/>
      <c r="Y107" s="109"/>
    </row>
    <row r="108" spans="1:25" ht="15.6" x14ac:dyDescent="0.3">
      <c r="A108" s="340" t="s">
        <v>150</v>
      </c>
      <c r="B108" s="288" t="s">
        <v>184</v>
      </c>
      <c r="C108" s="288"/>
      <c r="D108" s="288"/>
      <c r="E108" s="288"/>
      <c r="F108" s="288"/>
      <c r="G108" s="288"/>
      <c r="H108" s="288"/>
      <c r="I108" s="288"/>
      <c r="J108" s="288"/>
      <c r="K108" s="288"/>
      <c r="L108" s="288"/>
      <c r="M108" s="288"/>
      <c r="N108" s="288"/>
      <c r="O108" s="288"/>
      <c r="P108" s="288"/>
      <c r="Q108" s="288"/>
      <c r="R108" s="288"/>
      <c r="S108" s="288"/>
      <c r="T108" s="288"/>
      <c r="U108" s="288"/>
      <c r="V108" s="338">
        <v>-151</v>
      </c>
      <c r="W108" s="291"/>
      <c r="X108" s="5"/>
      <c r="Y108" s="109"/>
    </row>
    <row r="109" spans="1:25" ht="15.6" x14ac:dyDescent="0.3">
      <c r="A109" s="340" t="s">
        <v>236</v>
      </c>
      <c r="B109" s="288" t="s">
        <v>238</v>
      </c>
      <c r="C109" s="288"/>
      <c r="D109" s="288"/>
      <c r="E109" s="288"/>
      <c r="F109" s="288"/>
      <c r="G109" s="288"/>
      <c r="H109" s="288"/>
      <c r="I109" s="288"/>
      <c r="J109" s="288"/>
      <c r="K109" s="288"/>
      <c r="L109" s="288"/>
      <c r="M109" s="288"/>
      <c r="N109" s="288"/>
      <c r="O109" s="288"/>
      <c r="P109" s="288"/>
      <c r="Q109" s="288"/>
      <c r="R109" s="288"/>
      <c r="S109" s="288"/>
      <c r="T109" s="288"/>
      <c r="U109" s="288"/>
      <c r="V109" s="338">
        <v>0</v>
      </c>
      <c r="W109" s="291"/>
      <c r="X109" s="5"/>
    </row>
    <row r="110" spans="1:25" ht="15.6" x14ac:dyDescent="0.3">
      <c r="A110" s="340" t="s">
        <v>205</v>
      </c>
      <c r="B110" s="288" t="s">
        <v>185</v>
      </c>
      <c r="C110" s="288"/>
      <c r="D110" s="288"/>
      <c r="E110" s="288"/>
      <c r="F110" s="288"/>
      <c r="G110" s="288"/>
      <c r="H110" s="288"/>
      <c r="I110" s="288"/>
      <c r="J110" s="288"/>
      <c r="K110" s="288"/>
      <c r="L110" s="288"/>
      <c r="M110" s="288"/>
      <c r="N110" s="288"/>
      <c r="O110" s="288"/>
      <c r="P110" s="288"/>
      <c r="Q110" s="288"/>
      <c r="R110" s="288"/>
      <c r="S110" s="288"/>
      <c r="T110" s="288"/>
      <c r="U110" s="288"/>
      <c r="V110" s="338">
        <v>-152</v>
      </c>
      <c r="W110" s="291"/>
      <c r="X110" s="5"/>
      <c r="Y110" s="109"/>
    </row>
    <row r="111" spans="1:25" ht="15.6" x14ac:dyDescent="0.3">
      <c r="A111" s="340" t="s">
        <v>206</v>
      </c>
      <c r="B111" s="288" t="s">
        <v>186</v>
      </c>
      <c r="C111" s="288"/>
      <c r="D111" s="288"/>
      <c r="E111" s="288"/>
      <c r="F111" s="288"/>
      <c r="G111" s="288"/>
      <c r="H111" s="288"/>
      <c r="I111" s="288"/>
      <c r="J111" s="288"/>
      <c r="K111" s="288"/>
      <c r="L111" s="288"/>
      <c r="M111" s="288"/>
      <c r="N111" s="288"/>
      <c r="O111" s="288"/>
      <c r="P111" s="288"/>
      <c r="Q111" s="288"/>
      <c r="R111" s="288"/>
      <c r="S111" s="288"/>
      <c r="T111" s="288"/>
      <c r="U111" s="288"/>
      <c r="V111" s="338">
        <v>-121</v>
      </c>
      <c r="W111" s="291"/>
      <c r="X111" s="179"/>
      <c r="Y111" s="109"/>
    </row>
    <row r="112" spans="1:25" ht="15.6" x14ac:dyDescent="0.3">
      <c r="A112" s="340" t="s">
        <v>207</v>
      </c>
      <c r="B112" s="288" t="s">
        <v>196</v>
      </c>
      <c r="C112" s="288"/>
      <c r="D112" s="288"/>
      <c r="E112" s="288"/>
      <c r="F112" s="288"/>
      <c r="G112" s="288"/>
      <c r="H112" s="288"/>
      <c r="I112" s="288"/>
      <c r="J112" s="288"/>
      <c r="K112" s="288"/>
      <c r="L112" s="288"/>
      <c r="M112" s="288"/>
      <c r="N112" s="288"/>
      <c r="O112" s="288"/>
      <c r="P112" s="288"/>
      <c r="Q112" s="288"/>
      <c r="R112" s="288"/>
      <c r="S112" s="288"/>
      <c r="T112" s="288"/>
      <c r="U112" s="288"/>
      <c r="V112" s="338">
        <v>-336</v>
      </c>
      <c r="W112" s="291"/>
      <c r="X112" s="5"/>
      <c r="Y112" s="109"/>
    </row>
    <row r="113" spans="1:25" ht="15.6" x14ac:dyDescent="0.3">
      <c r="A113" s="340" t="s">
        <v>224</v>
      </c>
      <c r="B113" s="288" t="s">
        <v>223</v>
      </c>
      <c r="C113" s="288"/>
      <c r="D113" s="288"/>
      <c r="E113" s="288"/>
      <c r="F113" s="288"/>
      <c r="G113" s="288"/>
      <c r="H113" s="288"/>
      <c r="I113" s="288"/>
      <c r="J113" s="288"/>
      <c r="K113" s="288"/>
      <c r="L113" s="288"/>
      <c r="M113" s="288"/>
      <c r="N113" s="288"/>
      <c r="O113" s="288"/>
      <c r="P113" s="288"/>
      <c r="Q113" s="288"/>
      <c r="R113" s="288"/>
      <c r="S113" s="288"/>
      <c r="T113" s="288"/>
      <c r="U113" s="288"/>
      <c r="V113" s="338">
        <v>-67</v>
      </c>
      <c r="W113" s="291"/>
      <c r="X113" s="5"/>
      <c r="Y113" s="109"/>
    </row>
    <row r="114" spans="1:25" ht="15.6" x14ac:dyDescent="0.3">
      <c r="A114" s="340">
        <v>7</v>
      </c>
      <c r="B114" s="288" t="s">
        <v>35</v>
      </c>
      <c r="C114" s="288"/>
      <c r="D114" s="288"/>
      <c r="E114" s="288"/>
      <c r="F114" s="288"/>
      <c r="G114" s="288"/>
      <c r="H114" s="288"/>
      <c r="I114" s="288"/>
      <c r="J114" s="288"/>
      <c r="K114" s="288"/>
      <c r="L114" s="288"/>
      <c r="M114" s="288"/>
      <c r="N114" s="288"/>
      <c r="O114" s="288"/>
      <c r="P114" s="288"/>
      <c r="Q114" s="288"/>
      <c r="R114" s="288"/>
      <c r="S114" s="288"/>
      <c r="T114" s="288"/>
      <c r="U114" s="288"/>
      <c r="V114" s="338">
        <v>-8</v>
      </c>
      <c r="W114" s="291"/>
      <c r="X114" s="5"/>
    </row>
    <row r="115" spans="1:25" ht="15.6" x14ac:dyDescent="0.3">
      <c r="A115" s="340">
        <f t="shared" ref="A115:A121" si="0">+A114+1</f>
        <v>8</v>
      </c>
      <c r="B115" s="288" t="s">
        <v>45</v>
      </c>
      <c r="C115" s="288"/>
      <c r="D115" s="288"/>
      <c r="E115" s="288"/>
      <c r="F115" s="288"/>
      <c r="G115" s="288"/>
      <c r="H115" s="288"/>
      <c r="I115" s="288"/>
      <c r="J115" s="288"/>
      <c r="K115" s="288"/>
      <c r="L115" s="288"/>
      <c r="M115" s="288"/>
      <c r="N115" s="288"/>
      <c r="O115" s="288"/>
      <c r="P115" s="288"/>
      <c r="Q115" s="288"/>
      <c r="R115" s="288"/>
      <c r="S115" s="288"/>
      <c r="T115" s="337">
        <f>-V115</f>
        <v>177</v>
      </c>
      <c r="U115" s="288"/>
      <c r="V115" s="338">
        <v>-177</v>
      </c>
      <c r="W115" s="291"/>
      <c r="X115" s="5"/>
    </row>
    <row r="116" spans="1:25" ht="15.6" x14ac:dyDescent="0.3">
      <c r="A116" s="340">
        <f t="shared" si="0"/>
        <v>9</v>
      </c>
      <c r="B116" s="288" t="s">
        <v>125</v>
      </c>
      <c r="C116" s="288"/>
      <c r="D116" s="288"/>
      <c r="E116" s="288"/>
      <c r="F116" s="288"/>
      <c r="G116" s="288"/>
      <c r="H116" s="288"/>
      <c r="I116" s="288"/>
      <c r="J116" s="288"/>
      <c r="K116" s="288"/>
      <c r="L116" s="288"/>
      <c r="M116" s="288"/>
      <c r="N116" s="288"/>
      <c r="O116" s="288"/>
      <c r="P116" s="288"/>
      <c r="Q116" s="288"/>
      <c r="R116" s="288"/>
      <c r="S116" s="288"/>
      <c r="T116" s="288"/>
      <c r="U116" s="288"/>
      <c r="V116" s="338">
        <v>0</v>
      </c>
      <c r="W116" s="291"/>
      <c r="X116" s="5"/>
    </row>
    <row r="117" spans="1:25" ht="15.6" x14ac:dyDescent="0.3">
      <c r="A117" s="340">
        <f t="shared" si="0"/>
        <v>10</v>
      </c>
      <c r="B117" s="288" t="s">
        <v>240</v>
      </c>
      <c r="C117" s="288"/>
      <c r="D117" s="288"/>
      <c r="E117" s="288"/>
      <c r="F117" s="288"/>
      <c r="G117" s="288"/>
      <c r="H117" s="288"/>
      <c r="I117" s="288"/>
      <c r="J117" s="288"/>
      <c r="K117" s="288"/>
      <c r="L117" s="288"/>
      <c r="M117" s="288"/>
      <c r="N117" s="288"/>
      <c r="O117" s="288"/>
      <c r="P117" s="288"/>
      <c r="Q117" s="288"/>
      <c r="R117" s="288"/>
      <c r="S117" s="288"/>
      <c r="T117" s="288"/>
      <c r="U117" s="288"/>
      <c r="V117" s="338">
        <v>0</v>
      </c>
      <c r="W117" s="291"/>
      <c r="X117" s="5"/>
    </row>
    <row r="118" spans="1:25" ht="15.6" x14ac:dyDescent="0.3">
      <c r="A118" s="340">
        <f t="shared" si="0"/>
        <v>11</v>
      </c>
      <c r="B118" s="288" t="s">
        <v>36</v>
      </c>
      <c r="C118" s="288"/>
      <c r="D118" s="288"/>
      <c r="E118" s="288"/>
      <c r="F118" s="288"/>
      <c r="G118" s="288"/>
      <c r="H118" s="288"/>
      <c r="I118" s="288"/>
      <c r="J118" s="288"/>
      <c r="K118" s="288"/>
      <c r="L118" s="288"/>
      <c r="M118" s="288"/>
      <c r="N118" s="288"/>
      <c r="O118" s="288"/>
      <c r="P118" s="288"/>
      <c r="Q118" s="288"/>
      <c r="R118" s="288"/>
      <c r="S118" s="288"/>
      <c r="T118" s="288"/>
      <c r="U118" s="288"/>
      <c r="V118" s="338">
        <v>0</v>
      </c>
      <c r="W118" s="291"/>
      <c r="X118" s="5"/>
    </row>
    <row r="119" spans="1:25" ht="15.6" x14ac:dyDescent="0.3">
      <c r="A119" s="340">
        <f t="shared" si="0"/>
        <v>12</v>
      </c>
      <c r="B119" s="288" t="s">
        <v>239</v>
      </c>
      <c r="C119" s="288"/>
      <c r="D119" s="288"/>
      <c r="E119" s="288"/>
      <c r="F119" s="288"/>
      <c r="G119" s="288"/>
      <c r="H119" s="288"/>
      <c r="I119" s="288"/>
      <c r="J119" s="288"/>
      <c r="K119" s="288"/>
      <c r="L119" s="288"/>
      <c r="M119" s="288"/>
      <c r="N119" s="288"/>
      <c r="O119" s="288"/>
      <c r="P119" s="288"/>
      <c r="Q119" s="288"/>
      <c r="R119" s="288"/>
      <c r="S119" s="288"/>
      <c r="T119" s="288"/>
      <c r="U119" s="288"/>
      <c r="V119" s="338">
        <v>0</v>
      </c>
      <c r="W119" s="291"/>
      <c r="X119" s="5"/>
    </row>
    <row r="120" spans="1:25" ht="15.6" x14ac:dyDescent="0.3">
      <c r="A120" s="340">
        <f t="shared" si="0"/>
        <v>13</v>
      </c>
      <c r="B120" s="288" t="s">
        <v>149</v>
      </c>
      <c r="C120" s="288"/>
      <c r="D120" s="288"/>
      <c r="E120" s="288"/>
      <c r="F120" s="288"/>
      <c r="G120" s="288"/>
      <c r="H120" s="288"/>
      <c r="I120" s="288"/>
      <c r="J120" s="288"/>
      <c r="K120" s="288"/>
      <c r="L120" s="288"/>
      <c r="M120" s="288"/>
      <c r="N120" s="288"/>
      <c r="O120" s="288"/>
      <c r="P120" s="288"/>
      <c r="Q120" s="288"/>
      <c r="R120" s="288"/>
      <c r="S120" s="288"/>
      <c r="T120" s="288"/>
      <c r="U120" s="288"/>
      <c r="V120" s="338">
        <v>-645</v>
      </c>
      <c r="W120" s="291"/>
      <c r="X120" s="5"/>
    </row>
    <row r="121" spans="1:25" ht="15.6" x14ac:dyDescent="0.3">
      <c r="A121" s="340">
        <f t="shared" si="0"/>
        <v>14</v>
      </c>
      <c r="B121" s="288" t="s">
        <v>126</v>
      </c>
      <c r="C121" s="288"/>
      <c r="D121" s="288"/>
      <c r="E121" s="288"/>
      <c r="F121" s="288"/>
      <c r="G121" s="288"/>
      <c r="H121" s="288"/>
      <c r="I121" s="288"/>
      <c r="J121" s="288"/>
      <c r="K121" s="288"/>
      <c r="L121" s="288"/>
      <c r="M121" s="288"/>
      <c r="N121" s="288"/>
      <c r="O121" s="288"/>
      <c r="P121" s="288"/>
      <c r="Q121" s="288"/>
      <c r="R121" s="288"/>
      <c r="S121" s="288"/>
      <c r="T121" s="288"/>
      <c r="U121" s="288"/>
      <c r="V121" s="338">
        <f>-V101-SUM(V103:V120)</f>
        <v>-3020</v>
      </c>
      <c r="W121" s="291"/>
      <c r="X121" s="5"/>
    </row>
    <row r="122" spans="1:25" ht="15.6" x14ac:dyDescent="0.3">
      <c r="A122" s="287"/>
      <c r="B122" s="343" t="s">
        <v>37</v>
      </c>
      <c r="C122" s="314"/>
      <c r="D122" s="314"/>
      <c r="E122" s="314"/>
      <c r="F122" s="314"/>
      <c r="G122" s="314"/>
      <c r="H122" s="314"/>
      <c r="I122" s="314"/>
      <c r="J122" s="314"/>
      <c r="K122" s="314"/>
      <c r="L122" s="314"/>
      <c r="M122" s="314"/>
      <c r="N122" s="314"/>
      <c r="O122" s="314"/>
      <c r="P122" s="314"/>
      <c r="Q122" s="314"/>
      <c r="R122" s="314"/>
      <c r="S122" s="314"/>
      <c r="T122" s="314"/>
      <c r="U122" s="314"/>
      <c r="V122" s="346"/>
      <c r="W122" s="318"/>
      <c r="X122" s="5"/>
    </row>
    <row r="123" spans="1:25" ht="15.6" x14ac:dyDescent="0.3">
      <c r="A123" s="340"/>
      <c r="B123" s="288" t="s">
        <v>173</v>
      </c>
      <c r="C123" s="288"/>
      <c r="D123" s="288"/>
      <c r="E123" s="288"/>
      <c r="F123" s="288"/>
      <c r="G123" s="288"/>
      <c r="H123" s="288"/>
      <c r="I123" s="288"/>
      <c r="J123" s="288"/>
      <c r="K123" s="288"/>
      <c r="L123" s="288"/>
      <c r="M123" s="288"/>
      <c r="N123" s="288"/>
      <c r="O123" s="288"/>
      <c r="P123" s="288"/>
      <c r="Q123" s="288"/>
      <c r="R123" s="288"/>
      <c r="S123" s="288"/>
      <c r="T123" s="337">
        <f>-T189</f>
        <v>0</v>
      </c>
      <c r="U123" s="337"/>
      <c r="V123" s="338"/>
      <c r="W123" s="291"/>
      <c r="X123" s="5"/>
    </row>
    <row r="124" spans="1:25" ht="15.6" x14ac:dyDescent="0.3">
      <c r="A124" s="340"/>
      <c r="B124" s="288" t="s">
        <v>174</v>
      </c>
      <c r="C124" s="288"/>
      <c r="D124" s="288"/>
      <c r="E124" s="288"/>
      <c r="F124" s="288"/>
      <c r="G124" s="288"/>
      <c r="H124" s="288"/>
      <c r="I124" s="288"/>
      <c r="J124" s="288"/>
      <c r="K124" s="288"/>
      <c r="L124" s="288"/>
      <c r="M124" s="288"/>
      <c r="N124" s="288"/>
      <c r="O124" s="288"/>
      <c r="P124" s="288"/>
      <c r="Q124" s="288"/>
      <c r="R124" s="288"/>
      <c r="S124" s="288"/>
      <c r="T124" s="337">
        <v>0</v>
      </c>
      <c r="U124" s="337"/>
      <c r="V124" s="338"/>
      <c r="W124" s="291"/>
      <c r="X124" s="5"/>
    </row>
    <row r="125" spans="1:25" ht="15.6" x14ac:dyDescent="0.3">
      <c r="A125" s="340"/>
      <c r="B125" s="288" t="s">
        <v>38</v>
      </c>
      <c r="C125" s="288"/>
      <c r="D125" s="288"/>
      <c r="E125" s="288"/>
      <c r="F125" s="288"/>
      <c r="G125" s="288"/>
      <c r="H125" s="288"/>
      <c r="I125" s="288"/>
      <c r="J125" s="288"/>
      <c r="K125" s="288"/>
      <c r="L125" s="288"/>
      <c r="M125" s="288"/>
      <c r="N125" s="288"/>
      <c r="O125" s="288"/>
      <c r="P125" s="288"/>
      <c r="Q125" s="288"/>
      <c r="R125" s="288"/>
      <c r="S125" s="288"/>
      <c r="T125" s="337">
        <f>-S189</f>
        <v>-311</v>
      </c>
      <c r="U125" s="337"/>
      <c r="V125" s="338"/>
      <c r="W125" s="291"/>
      <c r="X125" s="5"/>
    </row>
    <row r="126" spans="1:25" ht="15.6" x14ac:dyDescent="0.3">
      <c r="A126" s="340"/>
      <c r="B126" s="288" t="s">
        <v>197</v>
      </c>
      <c r="C126" s="288"/>
      <c r="D126" s="288"/>
      <c r="E126" s="288"/>
      <c r="F126" s="288"/>
      <c r="G126" s="288"/>
      <c r="H126" s="288"/>
      <c r="I126" s="288"/>
      <c r="J126" s="288"/>
      <c r="K126" s="288"/>
      <c r="L126" s="288"/>
      <c r="M126" s="288"/>
      <c r="N126" s="288"/>
      <c r="O126" s="288"/>
      <c r="P126" s="288"/>
      <c r="Q126" s="288"/>
      <c r="R126" s="288"/>
      <c r="S126" s="288"/>
      <c r="T126" s="337">
        <v>-8421</v>
      </c>
      <c r="U126" s="337"/>
      <c r="V126" s="338"/>
      <c r="W126" s="291"/>
      <c r="X126" s="5"/>
    </row>
    <row r="127" spans="1:25" ht="15.6" x14ac:dyDescent="0.3">
      <c r="A127" s="340"/>
      <c r="B127" s="288" t="s">
        <v>195</v>
      </c>
      <c r="C127" s="288"/>
      <c r="D127" s="288"/>
      <c r="E127" s="288"/>
      <c r="F127" s="288"/>
      <c r="G127" s="288"/>
      <c r="H127" s="288"/>
      <c r="I127" s="288"/>
      <c r="J127" s="288"/>
      <c r="K127" s="288"/>
      <c r="L127" s="288"/>
      <c r="M127" s="288"/>
      <c r="N127" s="288"/>
      <c r="O127" s="288"/>
      <c r="P127" s="288"/>
      <c r="Q127" s="288"/>
      <c r="R127" s="288"/>
      <c r="S127" s="288"/>
      <c r="T127" s="337">
        <v>-1358</v>
      </c>
      <c r="U127" s="337"/>
      <c r="V127" s="338"/>
      <c r="W127" s="291"/>
      <c r="X127" s="5"/>
    </row>
    <row r="128" spans="1:25" ht="15.6" x14ac:dyDescent="0.3">
      <c r="A128" s="340"/>
      <c r="B128" s="288" t="s">
        <v>194</v>
      </c>
      <c r="C128" s="288"/>
      <c r="D128" s="288"/>
      <c r="E128" s="288"/>
      <c r="F128" s="288"/>
      <c r="G128" s="288"/>
      <c r="H128" s="288"/>
      <c r="I128" s="288"/>
      <c r="J128" s="288"/>
      <c r="K128" s="288"/>
      <c r="L128" s="288"/>
      <c r="M128" s="288"/>
      <c r="N128" s="288"/>
      <c r="O128" s="288"/>
      <c r="P128" s="288"/>
      <c r="Q128" s="288"/>
      <c r="R128" s="288"/>
      <c r="S128" s="288"/>
      <c r="T128" s="337">
        <v>-1827</v>
      </c>
      <c r="U128" s="337"/>
      <c r="V128" s="338"/>
      <c r="W128" s="291"/>
      <c r="X128" s="5"/>
    </row>
    <row r="129" spans="1:24" ht="15.6" x14ac:dyDescent="0.3">
      <c r="A129" s="340"/>
      <c r="B129" s="288" t="s">
        <v>226</v>
      </c>
      <c r="C129" s="288"/>
      <c r="D129" s="288"/>
      <c r="E129" s="288"/>
      <c r="F129" s="288"/>
      <c r="G129" s="288"/>
      <c r="H129" s="288"/>
      <c r="I129" s="288"/>
      <c r="J129" s="288"/>
      <c r="K129" s="288"/>
      <c r="L129" s="288"/>
      <c r="M129" s="288"/>
      <c r="N129" s="288"/>
      <c r="O129" s="288"/>
      <c r="P129" s="288"/>
      <c r="Q129" s="288"/>
      <c r="R129" s="288"/>
      <c r="S129" s="288"/>
      <c r="T129" s="337">
        <v>-2246</v>
      </c>
      <c r="U129" s="337"/>
      <c r="V129" s="338"/>
      <c r="W129" s="291"/>
      <c r="X129" s="5"/>
    </row>
    <row r="130" spans="1:24" ht="15.6" x14ac:dyDescent="0.3">
      <c r="A130" s="340"/>
      <c r="B130" s="288" t="s">
        <v>189</v>
      </c>
      <c r="C130" s="288"/>
      <c r="D130" s="288"/>
      <c r="E130" s="288"/>
      <c r="F130" s="288"/>
      <c r="G130" s="288"/>
      <c r="H130" s="288"/>
      <c r="I130" s="288"/>
      <c r="J130" s="288"/>
      <c r="K130" s="288"/>
      <c r="L130" s="288"/>
      <c r="M130" s="288"/>
      <c r="N130" s="288"/>
      <c r="O130" s="288"/>
      <c r="P130" s="288"/>
      <c r="Q130" s="288"/>
      <c r="R130" s="288"/>
      <c r="S130" s="288"/>
      <c r="T130" s="337">
        <v>0</v>
      </c>
      <c r="U130" s="337"/>
      <c r="V130" s="338"/>
      <c r="W130" s="291"/>
      <c r="X130" s="5"/>
    </row>
    <row r="131" spans="1:24" ht="15.6" x14ac:dyDescent="0.3">
      <c r="A131" s="340"/>
      <c r="B131" s="288" t="s">
        <v>188</v>
      </c>
      <c r="C131" s="288"/>
      <c r="D131" s="288"/>
      <c r="E131" s="288"/>
      <c r="F131" s="288"/>
      <c r="G131" s="288"/>
      <c r="H131" s="288"/>
      <c r="I131" s="288"/>
      <c r="J131" s="288"/>
      <c r="K131" s="288"/>
      <c r="L131" s="288"/>
      <c r="M131" s="288"/>
      <c r="N131" s="288"/>
      <c r="O131" s="288"/>
      <c r="P131" s="288"/>
      <c r="Q131" s="288"/>
      <c r="R131" s="288"/>
      <c r="S131" s="288"/>
      <c r="T131" s="337">
        <v>0</v>
      </c>
      <c r="U131" s="337"/>
      <c r="V131" s="338"/>
      <c r="W131" s="291"/>
      <c r="X131" s="5"/>
    </row>
    <row r="132" spans="1:24" ht="15.6" x14ac:dyDescent="0.3">
      <c r="A132" s="340"/>
      <c r="B132" s="288" t="s">
        <v>227</v>
      </c>
      <c r="C132" s="288"/>
      <c r="D132" s="288"/>
      <c r="E132" s="288"/>
      <c r="F132" s="288"/>
      <c r="G132" s="288"/>
      <c r="H132" s="288"/>
      <c r="I132" s="288"/>
      <c r="J132" s="288"/>
      <c r="K132" s="288"/>
      <c r="L132" s="288"/>
      <c r="M132" s="288"/>
      <c r="N132" s="288"/>
      <c r="O132" s="288"/>
      <c r="P132" s="288"/>
      <c r="Q132" s="288"/>
      <c r="R132" s="288"/>
      <c r="S132" s="288"/>
      <c r="T132" s="337">
        <v>0</v>
      </c>
      <c r="U132" s="337"/>
      <c r="V132" s="338"/>
      <c r="W132" s="291"/>
      <c r="X132" s="5"/>
    </row>
    <row r="133" spans="1:24" ht="15.6" x14ac:dyDescent="0.3">
      <c r="A133" s="340"/>
      <c r="B133" s="288" t="s">
        <v>187</v>
      </c>
      <c r="C133" s="288"/>
      <c r="D133" s="288"/>
      <c r="E133" s="288"/>
      <c r="F133" s="288"/>
      <c r="G133" s="288"/>
      <c r="H133" s="288"/>
      <c r="I133" s="288"/>
      <c r="J133" s="288"/>
      <c r="K133" s="288"/>
      <c r="L133" s="288"/>
      <c r="M133" s="288"/>
      <c r="N133" s="288"/>
      <c r="O133" s="288"/>
      <c r="P133" s="288"/>
      <c r="Q133" s="288"/>
      <c r="R133" s="288"/>
      <c r="S133" s="288"/>
      <c r="T133" s="337">
        <v>0</v>
      </c>
      <c r="U133" s="337"/>
      <c r="V133" s="338"/>
      <c r="W133" s="291"/>
      <c r="X133" s="5"/>
    </row>
    <row r="134" spans="1:24" ht="15.6" x14ac:dyDescent="0.3">
      <c r="A134" s="340"/>
      <c r="B134" s="288" t="s">
        <v>39</v>
      </c>
      <c r="C134" s="288"/>
      <c r="D134" s="288"/>
      <c r="E134" s="288"/>
      <c r="F134" s="288"/>
      <c r="G134" s="288"/>
      <c r="H134" s="288"/>
      <c r="I134" s="288"/>
      <c r="J134" s="288"/>
      <c r="K134" s="288"/>
      <c r="L134" s="288"/>
      <c r="M134" s="288"/>
      <c r="N134" s="288"/>
      <c r="O134" s="288"/>
      <c r="P134" s="288"/>
      <c r="Q134" s="288"/>
      <c r="R134" s="288"/>
      <c r="S134" s="288"/>
      <c r="T134" s="337">
        <f>SUM(T123:T133)</f>
        <v>-14163</v>
      </c>
      <c r="U134" s="337"/>
      <c r="V134" s="337">
        <f>SUM(V102:V131)</f>
        <v>-6463</v>
      </c>
      <c r="W134" s="291"/>
      <c r="X134" s="5"/>
    </row>
    <row r="135" spans="1:24" ht="15.6" x14ac:dyDescent="0.3">
      <c r="A135" s="340"/>
      <c r="B135" s="288" t="s">
        <v>40</v>
      </c>
      <c r="C135" s="288"/>
      <c r="D135" s="288"/>
      <c r="E135" s="288"/>
      <c r="F135" s="288"/>
      <c r="G135" s="288"/>
      <c r="H135" s="288"/>
      <c r="I135" s="288"/>
      <c r="J135" s="288"/>
      <c r="K135" s="288"/>
      <c r="L135" s="288"/>
      <c r="M135" s="288"/>
      <c r="N135" s="288"/>
      <c r="O135" s="288"/>
      <c r="P135" s="288"/>
      <c r="Q135" s="288"/>
      <c r="R135" s="288"/>
      <c r="S135" s="288"/>
      <c r="T135" s="337">
        <f>T101+T134+T115</f>
        <v>0</v>
      </c>
      <c r="U135" s="337"/>
      <c r="V135" s="337">
        <f>V101+V134</f>
        <v>0</v>
      </c>
      <c r="W135" s="291"/>
      <c r="X135" s="5"/>
    </row>
    <row r="136" spans="1:24" ht="15.6" x14ac:dyDescent="0.3">
      <c r="A136" s="243"/>
      <c r="B136" s="284"/>
      <c r="C136" s="284"/>
      <c r="D136" s="284"/>
      <c r="E136" s="284"/>
      <c r="F136" s="284"/>
      <c r="G136" s="284"/>
      <c r="H136" s="284"/>
      <c r="I136" s="284"/>
      <c r="J136" s="284"/>
      <c r="K136" s="284"/>
      <c r="L136" s="284"/>
      <c r="M136" s="284"/>
      <c r="N136" s="284"/>
      <c r="O136" s="284"/>
      <c r="P136" s="284"/>
      <c r="Q136" s="284"/>
      <c r="R136" s="284"/>
      <c r="S136" s="284"/>
      <c r="T136" s="339"/>
      <c r="U136" s="339"/>
      <c r="V136" s="339"/>
      <c r="W136" s="284"/>
      <c r="X136" s="5"/>
    </row>
    <row r="137" spans="1:24" ht="15.6" x14ac:dyDescent="0.3">
      <c r="A137" s="243"/>
      <c r="B137" s="224"/>
      <c r="C137" s="224"/>
      <c r="D137" s="224"/>
      <c r="E137" s="224"/>
      <c r="F137" s="224"/>
      <c r="G137" s="224"/>
      <c r="H137" s="224"/>
      <c r="I137" s="224"/>
      <c r="J137" s="224"/>
      <c r="K137" s="224"/>
      <c r="L137" s="224"/>
      <c r="M137" s="224"/>
      <c r="N137" s="224"/>
      <c r="O137" s="224"/>
      <c r="P137" s="224"/>
      <c r="Q137" s="224"/>
      <c r="R137" s="224"/>
      <c r="S137" s="224"/>
      <c r="T137" s="224"/>
      <c r="U137" s="224"/>
      <c r="V137" s="244"/>
      <c r="W137" s="224"/>
      <c r="X137" s="5"/>
    </row>
    <row r="138" spans="1:24" ht="18" thickBot="1" x14ac:dyDescent="0.35">
      <c r="A138" s="245"/>
      <c r="B138" s="237" t="str">
        <f>B64</f>
        <v>PM14 INVESTOR REPORT QUARTER ENDING AUGUST 2015</v>
      </c>
      <c r="C138" s="238"/>
      <c r="D138" s="238"/>
      <c r="E138" s="238"/>
      <c r="F138" s="238"/>
      <c r="G138" s="238"/>
      <c r="H138" s="238"/>
      <c r="I138" s="238"/>
      <c r="J138" s="238"/>
      <c r="K138" s="238"/>
      <c r="L138" s="238"/>
      <c r="M138" s="238"/>
      <c r="N138" s="238"/>
      <c r="O138" s="238"/>
      <c r="P138" s="238"/>
      <c r="Q138" s="238"/>
      <c r="R138" s="238"/>
      <c r="S138" s="238"/>
      <c r="T138" s="238"/>
      <c r="U138" s="238"/>
      <c r="V138" s="246"/>
      <c r="W138" s="240"/>
      <c r="X138" s="5"/>
    </row>
    <row r="139" spans="1:24" ht="15.6" x14ac:dyDescent="0.3">
      <c r="A139" s="273"/>
      <c r="B139" s="403" t="s">
        <v>41</v>
      </c>
      <c r="C139" s="274"/>
      <c r="D139" s="274"/>
      <c r="E139" s="274"/>
      <c r="F139" s="274"/>
      <c r="G139" s="274"/>
      <c r="H139" s="274"/>
      <c r="I139" s="274"/>
      <c r="J139" s="274"/>
      <c r="K139" s="274"/>
      <c r="L139" s="274"/>
      <c r="M139" s="274"/>
      <c r="N139" s="274"/>
      <c r="O139" s="274"/>
      <c r="P139" s="274"/>
      <c r="Q139" s="274"/>
      <c r="R139" s="274"/>
      <c r="S139" s="274"/>
      <c r="T139" s="274"/>
      <c r="U139" s="274"/>
      <c r="V139" s="275"/>
      <c r="W139" s="274"/>
      <c r="X139" s="5"/>
    </row>
    <row r="140" spans="1:24" ht="15.6" x14ac:dyDescent="0.3">
      <c r="A140" s="183"/>
      <c r="B140" s="195"/>
      <c r="C140" s="185"/>
      <c r="D140" s="185"/>
      <c r="E140" s="185"/>
      <c r="F140" s="185"/>
      <c r="G140" s="185"/>
      <c r="H140" s="185"/>
      <c r="I140" s="185"/>
      <c r="J140" s="185"/>
      <c r="K140" s="185"/>
      <c r="L140" s="185"/>
      <c r="M140" s="185"/>
      <c r="N140" s="185"/>
      <c r="O140" s="185"/>
      <c r="P140" s="185"/>
      <c r="Q140" s="185"/>
      <c r="R140" s="185"/>
      <c r="S140" s="185"/>
      <c r="T140" s="185"/>
      <c r="U140" s="185"/>
      <c r="V140" s="201"/>
      <c r="W140" s="185"/>
      <c r="X140" s="5"/>
    </row>
    <row r="141" spans="1:24" ht="15.6" x14ac:dyDescent="0.3">
      <c r="A141" s="183"/>
      <c r="B141" s="208" t="s">
        <v>42</v>
      </c>
      <c r="C141" s="185"/>
      <c r="D141" s="185"/>
      <c r="E141" s="185"/>
      <c r="F141" s="185"/>
      <c r="G141" s="185"/>
      <c r="H141" s="185"/>
      <c r="I141" s="185"/>
      <c r="J141" s="185"/>
      <c r="K141" s="185"/>
      <c r="L141" s="185"/>
      <c r="M141" s="185"/>
      <c r="N141" s="185"/>
      <c r="O141" s="185"/>
      <c r="P141" s="185"/>
      <c r="Q141" s="185"/>
      <c r="R141" s="185"/>
      <c r="S141" s="185"/>
      <c r="T141" s="185"/>
      <c r="U141" s="185"/>
      <c r="V141" s="201"/>
      <c r="W141" s="185"/>
      <c r="X141" s="5"/>
    </row>
    <row r="142" spans="1:24" ht="15.6" x14ac:dyDescent="0.3">
      <c r="A142" s="287"/>
      <c r="B142" s="288" t="s">
        <v>43</v>
      </c>
      <c r="C142" s="288"/>
      <c r="D142" s="288"/>
      <c r="E142" s="288"/>
      <c r="F142" s="288"/>
      <c r="G142" s="288"/>
      <c r="H142" s="288"/>
      <c r="I142" s="288"/>
      <c r="J142" s="288"/>
      <c r="K142" s="288"/>
      <c r="L142" s="288"/>
      <c r="M142" s="288"/>
      <c r="N142" s="288"/>
      <c r="O142" s="288"/>
      <c r="P142" s="288"/>
      <c r="Q142" s="288"/>
      <c r="R142" s="288"/>
      <c r="S142" s="288"/>
      <c r="T142" s="288"/>
      <c r="U142" s="288"/>
      <c r="V142" s="338">
        <f>+V34*0.019</f>
        <v>28505.224999999999</v>
      </c>
      <c r="W142" s="291"/>
      <c r="X142" s="5"/>
    </row>
    <row r="143" spans="1:24" ht="15.6" x14ac:dyDescent="0.3">
      <c r="A143" s="287"/>
      <c r="B143" s="288" t="s">
        <v>44</v>
      </c>
      <c r="C143" s="288"/>
      <c r="D143" s="288"/>
      <c r="E143" s="288"/>
      <c r="F143" s="288"/>
      <c r="G143" s="288"/>
      <c r="H143" s="288"/>
      <c r="I143" s="288"/>
      <c r="J143" s="288"/>
      <c r="K143" s="288"/>
      <c r="L143" s="288"/>
      <c r="M143" s="288"/>
      <c r="N143" s="288"/>
      <c r="O143" s="288"/>
      <c r="P143" s="288"/>
      <c r="Q143" s="288"/>
      <c r="R143" s="288"/>
      <c r="S143" s="288"/>
      <c r="T143" s="288"/>
      <c r="U143" s="288"/>
      <c r="V143" s="338">
        <v>28505</v>
      </c>
      <c r="W143" s="291"/>
      <c r="X143" s="5"/>
    </row>
    <row r="144" spans="1:24" ht="15.6" x14ac:dyDescent="0.3">
      <c r="A144" s="287"/>
      <c r="B144" s="288" t="s">
        <v>136</v>
      </c>
      <c r="C144" s="288"/>
      <c r="D144" s="288"/>
      <c r="E144" s="288"/>
      <c r="F144" s="288"/>
      <c r="G144" s="288"/>
      <c r="H144" s="288"/>
      <c r="I144" s="288"/>
      <c r="J144" s="288"/>
      <c r="K144" s="288"/>
      <c r="L144" s="288"/>
      <c r="M144" s="288"/>
      <c r="N144" s="288"/>
      <c r="O144" s="288"/>
      <c r="P144" s="288"/>
      <c r="Q144" s="288"/>
      <c r="R144" s="288"/>
      <c r="S144" s="288"/>
      <c r="T144" s="288"/>
      <c r="U144" s="288"/>
      <c r="V144" s="338"/>
      <c r="W144" s="291"/>
      <c r="X144" s="5"/>
    </row>
    <row r="145" spans="1:25" ht="15.6" x14ac:dyDescent="0.3">
      <c r="A145" s="287"/>
      <c r="B145" s="288" t="s">
        <v>123</v>
      </c>
      <c r="C145" s="288"/>
      <c r="D145" s="288"/>
      <c r="E145" s="288"/>
      <c r="F145" s="288"/>
      <c r="G145" s="288"/>
      <c r="H145" s="288"/>
      <c r="I145" s="288"/>
      <c r="J145" s="288"/>
      <c r="K145" s="288"/>
      <c r="L145" s="288"/>
      <c r="M145" s="288"/>
      <c r="N145" s="288"/>
      <c r="O145" s="288"/>
      <c r="P145" s="288"/>
      <c r="Q145" s="288"/>
      <c r="R145" s="288"/>
      <c r="S145" s="288"/>
      <c r="T145" s="288"/>
      <c r="U145" s="288"/>
      <c r="V145" s="338">
        <v>0</v>
      </c>
      <c r="W145" s="291"/>
      <c r="X145" s="5"/>
    </row>
    <row r="146" spans="1:25" ht="15.6" x14ac:dyDescent="0.3">
      <c r="A146" s="287"/>
      <c r="B146" s="288" t="s">
        <v>124</v>
      </c>
      <c r="C146" s="288"/>
      <c r="D146" s="288"/>
      <c r="E146" s="288"/>
      <c r="F146" s="288"/>
      <c r="G146" s="288"/>
      <c r="H146" s="288"/>
      <c r="I146" s="288"/>
      <c r="J146" s="288"/>
      <c r="K146" s="288"/>
      <c r="L146" s="288"/>
      <c r="M146" s="288"/>
      <c r="N146" s="288"/>
      <c r="O146" s="288"/>
      <c r="P146" s="288"/>
      <c r="Q146" s="288"/>
      <c r="R146" s="288"/>
      <c r="S146" s="288"/>
      <c r="T146" s="288"/>
      <c r="U146" s="288"/>
      <c r="V146" s="338">
        <v>0</v>
      </c>
      <c r="W146" s="291"/>
      <c r="X146" s="5"/>
    </row>
    <row r="147" spans="1:25" ht="15.6" x14ac:dyDescent="0.3">
      <c r="A147" s="287"/>
      <c r="B147" s="288" t="s">
        <v>175</v>
      </c>
      <c r="C147" s="288"/>
      <c r="D147" s="288"/>
      <c r="E147" s="288"/>
      <c r="F147" s="288"/>
      <c r="G147" s="288"/>
      <c r="H147" s="288"/>
      <c r="I147" s="288"/>
      <c r="J147" s="288"/>
      <c r="K147" s="288"/>
      <c r="L147" s="288"/>
      <c r="M147" s="288"/>
      <c r="N147" s="288"/>
      <c r="O147" s="288"/>
      <c r="P147" s="288"/>
      <c r="Q147" s="288"/>
      <c r="R147" s="288"/>
      <c r="S147" s="288"/>
      <c r="T147" s="288"/>
      <c r="U147" s="288"/>
      <c r="V147" s="338">
        <v>0</v>
      </c>
      <c r="W147" s="291"/>
      <c r="X147" s="5"/>
    </row>
    <row r="148" spans="1:25" ht="15.6" x14ac:dyDescent="0.3">
      <c r="A148" s="287"/>
      <c r="B148" s="288" t="s">
        <v>45</v>
      </c>
      <c r="C148" s="288"/>
      <c r="D148" s="288"/>
      <c r="E148" s="288"/>
      <c r="F148" s="288"/>
      <c r="G148" s="288"/>
      <c r="H148" s="288"/>
      <c r="I148" s="288"/>
      <c r="J148" s="288"/>
      <c r="K148" s="288"/>
      <c r="L148" s="288"/>
      <c r="M148" s="288"/>
      <c r="N148" s="288"/>
      <c r="O148" s="288"/>
      <c r="P148" s="288"/>
      <c r="Q148" s="288"/>
      <c r="R148" s="288"/>
      <c r="S148" s="288"/>
      <c r="T148" s="288"/>
      <c r="U148" s="288"/>
      <c r="V148" s="338">
        <v>0</v>
      </c>
      <c r="W148" s="291"/>
      <c r="X148" s="5"/>
    </row>
    <row r="149" spans="1:25" ht="15.6" x14ac:dyDescent="0.3">
      <c r="A149" s="287"/>
      <c r="B149" s="288" t="s">
        <v>129</v>
      </c>
      <c r="C149" s="288"/>
      <c r="D149" s="288"/>
      <c r="E149" s="288"/>
      <c r="F149" s="288"/>
      <c r="G149" s="288"/>
      <c r="H149" s="288"/>
      <c r="I149" s="288"/>
      <c r="J149" s="288"/>
      <c r="K149" s="288"/>
      <c r="L149" s="288"/>
      <c r="M149" s="288"/>
      <c r="N149" s="288"/>
      <c r="O149" s="288"/>
      <c r="P149" s="288"/>
      <c r="Q149" s="288"/>
      <c r="R149" s="288"/>
      <c r="S149" s="288"/>
      <c r="T149" s="288"/>
      <c r="U149" s="288"/>
      <c r="V149" s="338">
        <v>0</v>
      </c>
      <c r="W149" s="291"/>
      <c r="X149" s="5"/>
    </row>
    <row r="150" spans="1:25" ht="15.6" x14ac:dyDescent="0.3">
      <c r="A150" s="287"/>
      <c r="B150" s="288" t="s">
        <v>267</v>
      </c>
      <c r="C150" s="288"/>
      <c r="D150" s="288"/>
      <c r="E150" s="288"/>
      <c r="F150" s="288"/>
      <c r="G150" s="288"/>
      <c r="H150" s="288"/>
      <c r="I150" s="288"/>
      <c r="J150" s="288"/>
      <c r="K150" s="288"/>
      <c r="L150" s="288"/>
      <c r="M150" s="288"/>
      <c r="N150" s="288"/>
      <c r="O150" s="288"/>
      <c r="P150" s="288"/>
      <c r="Q150" s="288"/>
      <c r="R150" s="288"/>
      <c r="S150" s="288"/>
      <c r="T150" s="288"/>
      <c r="U150" s="288"/>
      <c r="V150" s="338">
        <v>0</v>
      </c>
      <c r="W150" s="291"/>
      <c r="X150" s="5"/>
      <c r="Y150" s="109"/>
    </row>
    <row r="151" spans="1:25" ht="15.6" x14ac:dyDescent="0.3">
      <c r="A151" s="287"/>
      <c r="B151" s="288" t="s">
        <v>46</v>
      </c>
      <c r="C151" s="288"/>
      <c r="D151" s="288"/>
      <c r="E151" s="288"/>
      <c r="F151" s="288"/>
      <c r="G151" s="288"/>
      <c r="H151" s="288"/>
      <c r="I151" s="288"/>
      <c r="J151" s="288"/>
      <c r="K151" s="288"/>
      <c r="L151" s="288"/>
      <c r="M151" s="288"/>
      <c r="N151" s="288"/>
      <c r="O151" s="288"/>
      <c r="P151" s="288"/>
      <c r="Q151" s="288"/>
      <c r="R151" s="288"/>
      <c r="S151" s="288"/>
      <c r="T151" s="288"/>
      <c r="U151" s="288"/>
      <c r="V151" s="338">
        <f>SUM(V143:V150)</f>
        <v>28505</v>
      </c>
      <c r="W151" s="291"/>
      <c r="X151" s="5"/>
    </row>
    <row r="152" spans="1:25" ht="15.6" x14ac:dyDescent="0.3">
      <c r="A152" s="287"/>
      <c r="B152" s="314"/>
      <c r="C152" s="314"/>
      <c r="D152" s="314"/>
      <c r="E152" s="314"/>
      <c r="F152" s="314"/>
      <c r="G152" s="314"/>
      <c r="H152" s="314"/>
      <c r="I152" s="314"/>
      <c r="J152" s="314"/>
      <c r="K152" s="314"/>
      <c r="L152" s="314"/>
      <c r="M152" s="314"/>
      <c r="N152" s="314"/>
      <c r="O152" s="314"/>
      <c r="P152" s="314"/>
      <c r="Q152" s="314"/>
      <c r="R152" s="314"/>
      <c r="S152" s="314"/>
      <c r="T152" s="314"/>
      <c r="U152" s="314"/>
      <c r="V152" s="345"/>
      <c r="W152" s="318"/>
      <c r="X152" s="5"/>
    </row>
    <row r="153" spans="1:25" ht="15.6" x14ac:dyDescent="0.3">
      <c r="A153" s="287"/>
      <c r="B153" s="343" t="s">
        <v>237</v>
      </c>
      <c r="C153" s="314"/>
      <c r="D153" s="314"/>
      <c r="E153" s="314"/>
      <c r="F153" s="314"/>
      <c r="G153" s="314"/>
      <c r="H153" s="314"/>
      <c r="I153" s="314"/>
      <c r="J153" s="314"/>
      <c r="K153" s="314"/>
      <c r="L153" s="314"/>
      <c r="M153" s="314"/>
      <c r="N153" s="314"/>
      <c r="O153" s="314"/>
      <c r="P153" s="314"/>
      <c r="Q153" s="314"/>
      <c r="R153" s="314"/>
      <c r="S153" s="314"/>
      <c r="T153" s="314"/>
      <c r="U153" s="314"/>
      <c r="V153" s="345"/>
      <c r="W153" s="318"/>
      <c r="X153" s="5"/>
    </row>
    <row r="154" spans="1:25" ht="15.6" x14ac:dyDescent="0.3">
      <c r="A154" s="287"/>
      <c r="B154" s="288" t="s">
        <v>155</v>
      </c>
      <c r="C154" s="288"/>
      <c r="D154" s="288"/>
      <c r="E154" s="288"/>
      <c r="F154" s="288"/>
      <c r="G154" s="288"/>
      <c r="H154" s="288"/>
      <c r="I154" s="288"/>
      <c r="J154" s="288"/>
      <c r="K154" s="288"/>
      <c r="L154" s="288"/>
      <c r="M154" s="288"/>
      <c r="N154" s="288"/>
      <c r="O154" s="288"/>
      <c r="P154" s="288"/>
      <c r="Q154" s="288"/>
      <c r="R154" s="288"/>
      <c r="S154" s="288"/>
      <c r="T154" s="288"/>
      <c r="U154" s="288"/>
      <c r="V154" s="338">
        <v>7500</v>
      </c>
      <c r="W154" s="291"/>
      <c r="X154" s="5"/>
    </row>
    <row r="155" spans="1:25" ht="15.6" x14ac:dyDescent="0.3">
      <c r="A155" s="287"/>
      <c r="B155" s="288" t="s">
        <v>172</v>
      </c>
      <c r="C155" s="288"/>
      <c r="D155" s="288"/>
      <c r="E155" s="288"/>
      <c r="F155" s="288"/>
      <c r="G155" s="288"/>
      <c r="H155" s="288"/>
      <c r="I155" s="288"/>
      <c r="J155" s="288"/>
      <c r="K155" s="288"/>
      <c r="L155" s="288"/>
      <c r="M155" s="288"/>
      <c r="N155" s="288"/>
      <c r="O155" s="288"/>
      <c r="P155" s="288"/>
      <c r="Q155" s="288"/>
      <c r="R155" s="288"/>
      <c r="S155" s="288"/>
      <c r="T155" s="288"/>
      <c r="U155" s="288"/>
      <c r="V155" s="338">
        <v>0</v>
      </c>
      <c r="W155" s="291"/>
      <c r="X155" s="5"/>
    </row>
    <row r="156" spans="1:25" ht="15.6" x14ac:dyDescent="0.3">
      <c r="A156" s="287"/>
      <c r="B156" s="288" t="s">
        <v>344</v>
      </c>
      <c r="C156" s="288"/>
      <c r="D156" s="288"/>
      <c r="E156" s="288"/>
      <c r="F156" s="288"/>
      <c r="G156" s="288"/>
      <c r="H156" s="288"/>
      <c r="I156" s="288"/>
      <c r="J156" s="288"/>
      <c r="K156" s="288"/>
      <c r="L156" s="288"/>
      <c r="M156" s="288"/>
      <c r="N156" s="288"/>
      <c r="O156" s="288"/>
      <c r="P156" s="288"/>
      <c r="Q156" s="288"/>
      <c r="R156" s="288"/>
      <c r="S156" s="288"/>
      <c r="T156" s="288"/>
      <c r="U156" s="288"/>
      <c r="V156" s="338">
        <v>0</v>
      </c>
      <c r="W156" s="291"/>
      <c r="X156" s="5"/>
    </row>
    <row r="157" spans="1:25" ht="15.6" x14ac:dyDescent="0.3">
      <c r="A157" s="287"/>
      <c r="B157" s="288"/>
      <c r="C157" s="288"/>
      <c r="D157" s="288"/>
      <c r="E157" s="288"/>
      <c r="F157" s="288"/>
      <c r="G157" s="288"/>
      <c r="H157" s="288"/>
      <c r="I157" s="288"/>
      <c r="J157" s="288"/>
      <c r="K157" s="288"/>
      <c r="L157" s="288"/>
      <c r="M157" s="288"/>
      <c r="N157" s="288"/>
      <c r="O157" s="288"/>
      <c r="P157" s="288"/>
      <c r="Q157" s="288"/>
      <c r="R157" s="288"/>
      <c r="S157" s="288"/>
      <c r="T157" s="288"/>
      <c r="U157" s="288"/>
      <c r="V157" s="338"/>
      <c r="W157" s="291"/>
      <c r="X157" s="5"/>
    </row>
    <row r="158" spans="1:25" ht="15.6" x14ac:dyDescent="0.3">
      <c r="A158" s="183"/>
      <c r="B158" s="198"/>
      <c r="C158" s="198"/>
      <c r="D158" s="198"/>
      <c r="E158" s="198"/>
      <c r="F158" s="198"/>
      <c r="G158" s="198"/>
      <c r="H158" s="198"/>
      <c r="I158" s="198"/>
      <c r="J158" s="198"/>
      <c r="K158" s="198"/>
      <c r="L158" s="198"/>
      <c r="M158" s="198"/>
      <c r="N158" s="198"/>
      <c r="O158" s="198"/>
      <c r="P158" s="198"/>
      <c r="Q158" s="198"/>
      <c r="R158" s="198"/>
      <c r="S158" s="198"/>
      <c r="T158" s="198"/>
      <c r="U158" s="198"/>
      <c r="V158" s="347"/>
      <c r="W158" s="198"/>
      <c r="X158" s="5"/>
    </row>
    <row r="159" spans="1:25" ht="15.6" x14ac:dyDescent="0.3">
      <c r="A159" s="183"/>
      <c r="B159" s="208" t="s">
        <v>24</v>
      </c>
      <c r="C159" s="185"/>
      <c r="D159" s="185"/>
      <c r="E159" s="185"/>
      <c r="F159" s="185"/>
      <c r="G159" s="185"/>
      <c r="H159" s="185"/>
      <c r="I159" s="185"/>
      <c r="J159" s="185"/>
      <c r="K159" s="185"/>
      <c r="L159" s="185"/>
      <c r="M159" s="185"/>
      <c r="N159" s="185"/>
      <c r="O159" s="185"/>
      <c r="P159" s="185"/>
      <c r="Q159" s="185"/>
      <c r="R159" s="185"/>
      <c r="S159" s="185"/>
      <c r="T159" s="185"/>
      <c r="U159" s="185"/>
      <c r="V159" s="201"/>
      <c r="W159" s="185"/>
      <c r="X159" s="5"/>
    </row>
    <row r="160" spans="1:25" ht="15.6" x14ac:dyDescent="0.3">
      <c r="A160" s="287"/>
      <c r="B160" s="288" t="s">
        <v>47</v>
      </c>
      <c r="C160" s="288"/>
      <c r="D160" s="288"/>
      <c r="E160" s="288"/>
      <c r="F160" s="288"/>
      <c r="G160" s="288"/>
      <c r="H160" s="288"/>
      <c r="I160" s="288"/>
      <c r="J160" s="288"/>
      <c r="K160" s="288"/>
      <c r="L160" s="288"/>
      <c r="M160" s="288"/>
      <c r="N160" s="288"/>
      <c r="O160" s="288"/>
      <c r="P160" s="288"/>
      <c r="Q160" s="288"/>
      <c r="R160" s="288"/>
      <c r="S160" s="288"/>
      <c r="T160" s="288"/>
      <c r="U160" s="288"/>
      <c r="V160" s="348" t="s">
        <v>118</v>
      </c>
      <c r="W160" s="291"/>
      <c r="X160" s="5"/>
    </row>
    <row r="161" spans="1:256" ht="15.6" x14ac:dyDescent="0.3">
      <c r="A161" s="287"/>
      <c r="B161" s="288" t="s">
        <v>48</v>
      </c>
      <c r="C161" s="290"/>
      <c r="D161" s="290"/>
      <c r="E161" s="290"/>
      <c r="F161" s="290"/>
      <c r="G161" s="290"/>
      <c r="H161" s="290"/>
      <c r="I161" s="290"/>
      <c r="J161" s="290"/>
      <c r="K161" s="290"/>
      <c r="L161" s="290"/>
      <c r="M161" s="290"/>
      <c r="N161" s="290"/>
      <c r="O161" s="290"/>
      <c r="P161" s="290"/>
      <c r="Q161" s="290"/>
      <c r="R161" s="290"/>
      <c r="S161" s="290"/>
      <c r="T161" s="290"/>
      <c r="U161" s="290"/>
      <c r="V161" s="348" t="s">
        <v>118</v>
      </c>
      <c r="W161" s="291"/>
      <c r="X161" s="5"/>
    </row>
    <row r="162" spans="1:256" ht="15.6" x14ac:dyDescent="0.3">
      <c r="A162" s="287"/>
      <c r="B162" s="288" t="s">
        <v>49</v>
      </c>
      <c r="C162" s="288"/>
      <c r="D162" s="288"/>
      <c r="E162" s="288"/>
      <c r="F162" s="288"/>
      <c r="G162" s="288"/>
      <c r="H162" s="288"/>
      <c r="I162" s="288"/>
      <c r="J162" s="288"/>
      <c r="K162" s="288"/>
      <c r="L162" s="288"/>
      <c r="M162" s="288"/>
      <c r="N162" s="288"/>
      <c r="O162" s="288"/>
      <c r="P162" s="288"/>
      <c r="Q162" s="288"/>
      <c r="R162" s="288"/>
      <c r="S162" s="288"/>
      <c r="T162" s="288"/>
      <c r="U162" s="288"/>
      <c r="V162" s="348" t="s">
        <v>118</v>
      </c>
      <c r="W162" s="291"/>
      <c r="X162" s="5"/>
    </row>
    <row r="163" spans="1:256" ht="15.6" x14ac:dyDescent="0.3">
      <c r="A163" s="287"/>
      <c r="B163" s="288" t="s">
        <v>50</v>
      </c>
      <c r="C163" s="288"/>
      <c r="D163" s="288"/>
      <c r="E163" s="288"/>
      <c r="F163" s="288"/>
      <c r="G163" s="288"/>
      <c r="H163" s="288"/>
      <c r="I163" s="288"/>
      <c r="J163" s="288"/>
      <c r="K163" s="288"/>
      <c r="L163" s="288"/>
      <c r="M163" s="288"/>
      <c r="N163" s="288"/>
      <c r="O163" s="288"/>
      <c r="P163" s="288"/>
      <c r="Q163" s="288"/>
      <c r="R163" s="288"/>
      <c r="S163" s="288"/>
      <c r="T163" s="288"/>
      <c r="U163" s="288"/>
      <c r="V163" s="348" t="s">
        <v>118</v>
      </c>
      <c r="W163" s="291"/>
      <c r="X163" s="5"/>
    </row>
    <row r="164" spans="1:256" ht="15.6" x14ac:dyDescent="0.3">
      <c r="A164" s="183"/>
      <c r="B164" s="198"/>
      <c r="C164" s="198"/>
      <c r="D164" s="198"/>
      <c r="E164" s="198"/>
      <c r="F164" s="198"/>
      <c r="G164" s="198"/>
      <c r="H164" s="198"/>
      <c r="I164" s="198"/>
      <c r="J164" s="198"/>
      <c r="K164" s="198"/>
      <c r="L164" s="198"/>
      <c r="M164" s="198"/>
      <c r="N164" s="198"/>
      <c r="O164" s="198"/>
      <c r="P164" s="198"/>
      <c r="Q164" s="198"/>
      <c r="R164" s="198"/>
      <c r="S164" s="198"/>
      <c r="T164" s="198"/>
      <c r="U164" s="198"/>
      <c r="V164" s="347"/>
      <c r="W164" s="198"/>
      <c r="X164" s="5"/>
    </row>
    <row r="165" spans="1:256" ht="15.6" x14ac:dyDescent="0.3">
      <c r="A165" s="183"/>
      <c r="B165" s="208" t="s">
        <v>51</v>
      </c>
      <c r="C165" s="185"/>
      <c r="D165" s="185"/>
      <c r="E165" s="185"/>
      <c r="F165" s="185"/>
      <c r="G165" s="185"/>
      <c r="H165" s="185"/>
      <c r="I165" s="185"/>
      <c r="J165" s="185"/>
      <c r="K165" s="185"/>
      <c r="L165" s="185"/>
      <c r="M165" s="185"/>
      <c r="N165" s="185"/>
      <c r="O165" s="185"/>
      <c r="P165" s="185"/>
      <c r="Q165" s="185"/>
      <c r="R165" s="185"/>
      <c r="S165" s="185"/>
      <c r="T165" s="185"/>
      <c r="U165" s="185"/>
      <c r="V165" s="209"/>
      <c r="W165" s="185"/>
      <c r="X165" s="5"/>
    </row>
    <row r="166" spans="1:256" ht="15.6" x14ac:dyDescent="0.3">
      <c r="A166" s="287"/>
      <c r="B166" s="288" t="s">
        <v>52</v>
      </c>
      <c r="C166" s="288"/>
      <c r="D166" s="288"/>
      <c r="E166" s="288"/>
      <c r="F166" s="288"/>
      <c r="G166" s="288"/>
      <c r="H166" s="288"/>
      <c r="I166" s="288"/>
      <c r="J166" s="288"/>
      <c r="K166" s="288"/>
      <c r="L166" s="288"/>
      <c r="M166" s="288"/>
      <c r="N166" s="288"/>
      <c r="O166" s="288"/>
      <c r="P166" s="288"/>
      <c r="Q166" s="288"/>
      <c r="R166" s="288"/>
      <c r="S166" s="288"/>
      <c r="T166" s="288"/>
      <c r="U166" s="288"/>
      <c r="V166" s="338">
        <v>0</v>
      </c>
      <c r="W166" s="291"/>
      <c r="X166" s="5"/>
    </row>
    <row r="167" spans="1:256" ht="15.6" x14ac:dyDescent="0.3">
      <c r="A167" s="287"/>
      <c r="B167" s="288" t="s">
        <v>53</v>
      </c>
      <c r="C167" s="288"/>
      <c r="D167" s="288"/>
      <c r="E167" s="288"/>
      <c r="F167" s="288"/>
      <c r="G167" s="288"/>
      <c r="H167" s="288"/>
      <c r="I167" s="288"/>
      <c r="J167" s="288"/>
      <c r="K167" s="288"/>
      <c r="L167" s="288"/>
      <c r="M167" s="288"/>
      <c r="N167" s="288"/>
      <c r="O167" s="288"/>
      <c r="P167" s="288"/>
      <c r="Q167" s="288"/>
      <c r="R167" s="288"/>
      <c r="S167" s="288"/>
      <c r="T167" s="288"/>
      <c r="U167" s="288"/>
      <c r="V167" s="338">
        <v>177</v>
      </c>
      <c r="W167" s="291"/>
      <c r="X167" s="5"/>
    </row>
    <row r="168" spans="1:256" ht="15.6" x14ac:dyDescent="0.3">
      <c r="A168" s="287"/>
      <c r="B168" s="288" t="s">
        <v>54</v>
      </c>
      <c r="C168" s="288"/>
      <c r="D168" s="288"/>
      <c r="E168" s="288"/>
      <c r="F168" s="288"/>
      <c r="G168" s="288"/>
      <c r="H168" s="288"/>
      <c r="I168" s="288"/>
      <c r="J168" s="288"/>
      <c r="K168" s="288"/>
      <c r="L168" s="288"/>
      <c r="M168" s="288"/>
      <c r="N168" s="288"/>
      <c r="O168" s="288"/>
      <c r="P168" s="288"/>
      <c r="Q168" s="288"/>
      <c r="R168" s="288"/>
      <c r="S168" s="288"/>
      <c r="T168" s="288"/>
      <c r="U168" s="288"/>
      <c r="V168" s="338">
        <f>V167+V166</f>
        <v>177</v>
      </c>
      <c r="W168" s="291"/>
      <c r="X168" s="5"/>
    </row>
    <row r="169" spans="1:256" ht="15.6" x14ac:dyDescent="0.3">
      <c r="A169" s="287"/>
      <c r="B169" s="288" t="s">
        <v>315</v>
      </c>
      <c r="C169" s="288"/>
      <c r="D169" s="288"/>
      <c r="E169" s="288"/>
      <c r="F169" s="288"/>
      <c r="G169" s="288"/>
      <c r="H169" s="288"/>
      <c r="I169" s="288"/>
      <c r="J169" s="288"/>
      <c r="K169" s="288"/>
      <c r="L169" s="288"/>
      <c r="M169" s="288"/>
      <c r="N169" s="288"/>
      <c r="O169" s="288"/>
      <c r="P169" s="288"/>
      <c r="Q169" s="288"/>
      <c r="R169" s="288"/>
      <c r="S169" s="288"/>
      <c r="T169" s="288"/>
      <c r="U169" s="288"/>
      <c r="V169" s="338">
        <f>V115</f>
        <v>-177</v>
      </c>
      <c r="W169" s="291"/>
      <c r="X169" s="5"/>
    </row>
    <row r="170" spans="1:256" ht="15.6" x14ac:dyDescent="0.3">
      <c r="A170" s="287"/>
      <c r="B170" s="288" t="s">
        <v>55</v>
      </c>
      <c r="C170" s="288"/>
      <c r="D170" s="288"/>
      <c r="E170" s="288"/>
      <c r="F170" s="288"/>
      <c r="G170" s="288"/>
      <c r="H170" s="288"/>
      <c r="I170" s="288"/>
      <c r="J170" s="288"/>
      <c r="K170" s="288"/>
      <c r="L170" s="288"/>
      <c r="M170" s="288"/>
      <c r="N170" s="288"/>
      <c r="O170" s="288"/>
      <c r="P170" s="288"/>
      <c r="Q170" s="288"/>
      <c r="R170" s="288"/>
      <c r="S170" s="288"/>
      <c r="T170" s="288"/>
      <c r="U170" s="288"/>
      <c r="V170" s="338">
        <f>V168+V169</f>
        <v>0</v>
      </c>
      <c r="W170" s="291"/>
      <c r="X170" s="5"/>
    </row>
    <row r="171" spans="1:256" ht="15.6" x14ac:dyDescent="0.3">
      <c r="A171" s="287"/>
      <c r="B171" s="288" t="s">
        <v>283</v>
      </c>
      <c r="C171" s="288"/>
      <c r="D171" s="288"/>
      <c r="E171" s="288"/>
      <c r="F171" s="288"/>
      <c r="G171" s="288"/>
      <c r="H171" s="288"/>
      <c r="I171" s="288"/>
      <c r="J171" s="288"/>
      <c r="K171" s="288"/>
      <c r="L171" s="288"/>
      <c r="M171" s="288"/>
      <c r="N171" s="288"/>
      <c r="O171" s="288"/>
      <c r="P171" s="288"/>
      <c r="Q171" s="288"/>
      <c r="R171" s="288"/>
      <c r="S171" s="288"/>
      <c r="T171" s="288"/>
      <c r="U171" s="288"/>
      <c r="V171" s="338">
        <f>-V100</f>
        <v>77</v>
      </c>
      <c r="W171" s="291"/>
      <c r="X171" s="5"/>
    </row>
    <row r="172" spans="1:256" ht="16.2" thickBot="1" x14ac:dyDescent="0.35">
      <c r="A172" s="183"/>
      <c r="B172" s="284"/>
      <c r="C172" s="284"/>
      <c r="D172" s="284"/>
      <c r="E172" s="284"/>
      <c r="F172" s="284"/>
      <c r="G172" s="284"/>
      <c r="H172" s="284"/>
      <c r="I172" s="284"/>
      <c r="J172" s="284"/>
      <c r="K172" s="284"/>
      <c r="L172" s="284"/>
      <c r="M172" s="284"/>
      <c r="N172" s="284"/>
      <c r="O172" s="284"/>
      <c r="P172" s="284"/>
      <c r="Q172" s="284"/>
      <c r="R172" s="284"/>
      <c r="S172" s="284"/>
      <c r="T172" s="284"/>
      <c r="U172" s="284"/>
      <c r="V172" s="349"/>
      <c r="W172" s="284"/>
      <c r="X172" s="5"/>
    </row>
    <row r="173" spans="1:256" ht="15.6" x14ac:dyDescent="0.3">
      <c r="A173" s="180"/>
      <c r="B173" s="247"/>
      <c r="C173" s="247"/>
      <c r="D173" s="247"/>
      <c r="E173" s="247"/>
      <c r="F173" s="247"/>
      <c r="G173" s="247"/>
      <c r="H173" s="247"/>
      <c r="I173" s="247"/>
      <c r="J173" s="247"/>
      <c r="K173" s="247"/>
      <c r="L173" s="247"/>
      <c r="M173" s="247"/>
      <c r="N173" s="247"/>
      <c r="O173" s="247"/>
      <c r="P173" s="247"/>
      <c r="Q173" s="247"/>
      <c r="R173" s="247"/>
      <c r="S173" s="247"/>
      <c r="T173" s="247"/>
      <c r="U173" s="247"/>
      <c r="V173" s="248"/>
      <c r="W173" s="247"/>
      <c r="X173" s="5"/>
    </row>
    <row r="174" spans="1:256" s="161" customFormat="1" ht="15.6" x14ac:dyDescent="0.3">
      <c r="A174" s="183"/>
      <c r="B174" s="208" t="s">
        <v>269</v>
      </c>
      <c r="C174" s="198"/>
      <c r="D174" s="198"/>
      <c r="E174" s="198"/>
      <c r="F174" s="198"/>
      <c r="G174" s="198"/>
      <c r="H174" s="198"/>
      <c r="I174" s="198"/>
      <c r="J174" s="198"/>
      <c r="K174" s="198"/>
      <c r="L174" s="198"/>
      <c r="M174" s="198"/>
      <c r="N174" s="198"/>
      <c r="O174" s="198"/>
      <c r="P174" s="198"/>
      <c r="Q174" s="198"/>
      <c r="R174" s="198"/>
      <c r="S174" s="198"/>
      <c r="T174" s="198"/>
      <c r="U174" s="198"/>
      <c r="V174" s="210"/>
      <c r="W174" s="198"/>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5.6" x14ac:dyDescent="0.3">
      <c r="A175" s="287"/>
      <c r="B175" s="288" t="s">
        <v>270</v>
      </c>
      <c r="C175" s="288"/>
      <c r="D175" s="288"/>
      <c r="E175" s="288"/>
      <c r="F175" s="288"/>
      <c r="G175" s="288"/>
      <c r="H175" s="288"/>
      <c r="I175" s="288"/>
      <c r="J175" s="288"/>
      <c r="K175" s="288"/>
      <c r="L175" s="288"/>
      <c r="M175" s="288"/>
      <c r="N175" s="288"/>
      <c r="O175" s="288"/>
      <c r="P175" s="288"/>
      <c r="Q175" s="288"/>
      <c r="R175" s="288"/>
      <c r="S175" s="288"/>
      <c r="T175" s="288"/>
      <c r="U175" s="288"/>
      <c r="V175" s="338">
        <f>+'Aug 08'!V177</f>
        <v>0</v>
      </c>
      <c r="W175" s="291"/>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3" customFormat="1" ht="15.6" x14ac:dyDescent="0.3">
      <c r="A176" s="287"/>
      <c r="B176" s="288" t="s">
        <v>273</v>
      </c>
      <c r="C176" s="288"/>
      <c r="D176" s="288"/>
      <c r="E176" s="288"/>
      <c r="F176" s="288"/>
      <c r="G176" s="288"/>
      <c r="H176" s="288"/>
      <c r="I176" s="288"/>
      <c r="J176" s="288"/>
      <c r="K176" s="288"/>
      <c r="L176" s="288"/>
      <c r="M176" s="288"/>
      <c r="N176" s="288"/>
      <c r="O176" s="288"/>
      <c r="P176" s="288"/>
      <c r="Q176" s="288"/>
      <c r="R176" s="288"/>
      <c r="S176" s="288"/>
      <c r="T176" s="288"/>
      <c r="U176" s="288"/>
      <c r="V176" s="338">
        <f>+V94</f>
        <v>0</v>
      </c>
      <c r="W176" s="291"/>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s="163" customFormat="1" ht="15.6" x14ac:dyDescent="0.3">
      <c r="A177" s="287"/>
      <c r="B177" s="288" t="s">
        <v>271</v>
      </c>
      <c r="C177" s="288"/>
      <c r="D177" s="288"/>
      <c r="E177" s="288"/>
      <c r="F177" s="288"/>
      <c r="G177" s="288"/>
      <c r="H177" s="288"/>
      <c r="I177" s="288"/>
      <c r="J177" s="288"/>
      <c r="K177" s="288"/>
      <c r="L177" s="288"/>
      <c r="M177" s="288"/>
      <c r="N177" s="288"/>
      <c r="O177" s="288"/>
      <c r="P177" s="288"/>
      <c r="Q177" s="288"/>
      <c r="R177" s="288"/>
      <c r="S177" s="288"/>
      <c r="T177" s="288"/>
      <c r="U177" s="288"/>
      <c r="V177" s="338">
        <f>+V175-V176</f>
        <v>0</v>
      </c>
      <c r="W177" s="291"/>
      <c r="X177" s="5"/>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s="166" customFormat="1" ht="16.2" thickBot="1" x14ac:dyDescent="0.35">
      <c r="A178" s="199"/>
      <c r="B178" s="198"/>
      <c r="C178" s="198"/>
      <c r="D178" s="198"/>
      <c r="E178" s="198"/>
      <c r="F178" s="198"/>
      <c r="G178" s="198"/>
      <c r="H178" s="198"/>
      <c r="I178" s="198"/>
      <c r="J178" s="198"/>
      <c r="K178" s="198"/>
      <c r="L178" s="198"/>
      <c r="M178" s="198"/>
      <c r="N178" s="198"/>
      <c r="O178" s="198"/>
      <c r="P178" s="198"/>
      <c r="Q178" s="198"/>
      <c r="R178" s="198"/>
      <c r="S178" s="198"/>
      <c r="T178" s="198"/>
      <c r="U178" s="198"/>
      <c r="V178" s="347"/>
      <c r="W178" s="198"/>
      <c r="X178" s="5"/>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s="167" customFormat="1" ht="15.6" x14ac:dyDescent="0.3">
      <c r="A179" s="180"/>
      <c r="B179" s="181"/>
      <c r="C179" s="181"/>
      <c r="D179" s="181"/>
      <c r="E179" s="181"/>
      <c r="F179" s="181"/>
      <c r="G179" s="181"/>
      <c r="H179" s="181"/>
      <c r="I179" s="181"/>
      <c r="J179" s="181"/>
      <c r="K179" s="181"/>
      <c r="L179" s="181"/>
      <c r="M179" s="181"/>
      <c r="N179" s="181"/>
      <c r="O179" s="181"/>
      <c r="P179" s="181"/>
      <c r="Q179" s="181"/>
      <c r="R179" s="181"/>
      <c r="S179" s="181"/>
      <c r="T179" s="181"/>
      <c r="U179" s="181"/>
      <c r="V179" s="200"/>
      <c r="W179" s="181"/>
      <c r="X179" s="5"/>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ht="15.6" x14ac:dyDescent="0.3">
      <c r="A180" s="183"/>
      <c r="B180" s="208" t="s">
        <v>56</v>
      </c>
      <c r="C180" s="185"/>
      <c r="D180" s="185"/>
      <c r="E180" s="185"/>
      <c r="F180" s="185"/>
      <c r="G180" s="185"/>
      <c r="H180" s="185"/>
      <c r="I180" s="185"/>
      <c r="J180" s="185"/>
      <c r="K180" s="185"/>
      <c r="L180" s="185"/>
      <c r="M180" s="185"/>
      <c r="N180" s="185"/>
      <c r="O180" s="185"/>
      <c r="P180" s="185"/>
      <c r="Q180" s="185"/>
      <c r="R180" s="185"/>
      <c r="S180" s="185"/>
      <c r="T180" s="185"/>
      <c r="U180" s="185"/>
      <c r="V180" s="201"/>
      <c r="W180" s="185"/>
      <c r="X180" s="5"/>
    </row>
    <row r="181" spans="1:256" ht="15.6" x14ac:dyDescent="0.3">
      <c r="A181" s="183"/>
      <c r="B181" s="195"/>
      <c r="C181" s="185"/>
      <c r="D181" s="185"/>
      <c r="E181" s="185"/>
      <c r="F181" s="185"/>
      <c r="G181" s="185"/>
      <c r="H181" s="185"/>
      <c r="I181" s="185"/>
      <c r="J181" s="185"/>
      <c r="K181" s="185"/>
      <c r="L181" s="185"/>
      <c r="M181" s="185"/>
      <c r="N181" s="185"/>
      <c r="O181" s="185"/>
      <c r="P181" s="185"/>
      <c r="Q181" s="185"/>
      <c r="R181" s="185"/>
      <c r="S181" s="185"/>
      <c r="T181" s="185"/>
      <c r="U181" s="185"/>
      <c r="V181" s="201"/>
      <c r="W181" s="185"/>
      <c r="X181" s="5"/>
    </row>
    <row r="182" spans="1:256" ht="15.6" x14ac:dyDescent="0.3">
      <c r="A182" s="287"/>
      <c r="B182" s="288" t="s">
        <v>57</v>
      </c>
      <c r="C182" s="288"/>
      <c r="D182" s="288"/>
      <c r="E182" s="288"/>
      <c r="F182" s="288"/>
      <c r="G182" s="288"/>
      <c r="H182" s="288"/>
      <c r="I182" s="288"/>
      <c r="J182" s="288"/>
      <c r="K182" s="288"/>
      <c r="L182" s="288"/>
      <c r="M182" s="288"/>
      <c r="N182" s="288"/>
      <c r="O182" s="288"/>
      <c r="P182" s="288"/>
      <c r="Q182" s="288"/>
      <c r="R182" s="288"/>
      <c r="S182" s="288"/>
      <c r="T182" s="288"/>
      <c r="U182" s="288"/>
      <c r="V182" s="338">
        <f>V71</f>
        <v>1001315</v>
      </c>
      <c r="W182" s="291"/>
      <c r="X182" s="5"/>
    </row>
    <row r="183" spans="1:256" ht="15.6" x14ac:dyDescent="0.3">
      <c r="A183" s="287"/>
      <c r="B183" s="288" t="s">
        <v>58</v>
      </c>
      <c r="C183" s="288"/>
      <c r="D183" s="288"/>
      <c r="E183" s="288"/>
      <c r="F183" s="288"/>
      <c r="G183" s="288"/>
      <c r="H183" s="288"/>
      <c r="I183" s="288"/>
      <c r="J183" s="288"/>
      <c r="K183" s="288"/>
      <c r="L183" s="288"/>
      <c r="M183" s="288"/>
      <c r="N183" s="288"/>
      <c r="O183" s="288"/>
      <c r="P183" s="288"/>
      <c r="Q183" s="288"/>
      <c r="R183" s="288"/>
      <c r="S183" s="288"/>
      <c r="T183" s="288"/>
      <c r="U183" s="288"/>
      <c r="V183" s="338">
        <f>V84</f>
        <v>1001315</v>
      </c>
      <c r="W183" s="291"/>
      <c r="X183" s="5"/>
    </row>
    <row r="184" spans="1:256" ht="16.2" thickBot="1" x14ac:dyDescent="0.35">
      <c r="A184" s="183"/>
      <c r="B184" s="198"/>
      <c r="C184" s="198"/>
      <c r="D184" s="198"/>
      <c r="E184" s="198"/>
      <c r="F184" s="198"/>
      <c r="G184" s="198"/>
      <c r="H184" s="198"/>
      <c r="I184" s="198"/>
      <c r="J184" s="198"/>
      <c r="K184" s="198"/>
      <c r="L184" s="198"/>
      <c r="M184" s="198"/>
      <c r="N184" s="198"/>
      <c r="O184" s="198"/>
      <c r="P184" s="198"/>
      <c r="Q184" s="198"/>
      <c r="R184" s="198"/>
      <c r="S184" s="198"/>
      <c r="T184" s="198"/>
      <c r="U184" s="198"/>
      <c r="V184" s="347"/>
      <c r="W184" s="198"/>
      <c r="X184" s="5"/>
    </row>
    <row r="185" spans="1:256" ht="15.6" x14ac:dyDescent="0.3">
      <c r="A185" s="180"/>
      <c r="B185" s="181"/>
      <c r="C185" s="181"/>
      <c r="D185" s="181"/>
      <c r="E185" s="181"/>
      <c r="F185" s="181"/>
      <c r="G185" s="181"/>
      <c r="H185" s="181"/>
      <c r="I185" s="181"/>
      <c r="J185" s="181"/>
      <c r="K185" s="181"/>
      <c r="L185" s="181"/>
      <c r="M185" s="181"/>
      <c r="N185" s="181"/>
      <c r="O185" s="181"/>
      <c r="P185" s="181"/>
      <c r="Q185" s="181"/>
      <c r="R185" s="181"/>
      <c r="S185" s="181"/>
      <c r="T185" s="181"/>
      <c r="U185" s="181"/>
      <c r="V185" s="200"/>
      <c r="W185" s="181"/>
      <c r="X185" s="5"/>
    </row>
    <row r="186" spans="1:256" ht="15.6" x14ac:dyDescent="0.3">
      <c r="A186" s="183"/>
      <c r="B186" s="208" t="s">
        <v>59</v>
      </c>
      <c r="C186" s="205"/>
      <c r="D186" s="205"/>
      <c r="E186" s="205"/>
      <c r="F186" s="205"/>
      <c r="G186" s="205"/>
      <c r="H186" s="211"/>
      <c r="I186" s="211"/>
      <c r="J186" s="211"/>
      <c r="K186" s="211"/>
      <c r="L186" s="211"/>
      <c r="M186" s="211"/>
      <c r="N186" s="211"/>
      <c r="O186" s="211"/>
      <c r="P186" s="211"/>
      <c r="Q186" s="211"/>
      <c r="R186" s="211"/>
      <c r="S186" s="211" t="s">
        <v>101</v>
      </c>
      <c r="T186" s="211" t="s">
        <v>176</v>
      </c>
      <c r="U186" s="187"/>
      <c r="V186" s="212" t="s">
        <v>114</v>
      </c>
      <c r="W186" s="213"/>
      <c r="X186" s="5"/>
    </row>
    <row r="187" spans="1:256" ht="15.6" x14ac:dyDescent="0.3">
      <c r="A187" s="287"/>
      <c r="B187" s="288" t="s">
        <v>60</v>
      </c>
      <c r="C187" s="288"/>
      <c r="D187" s="288"/>
      <c r="E187" s="288"/>
      <c r="F187" s="288"/>
      <c r="G187" s="288"/>
      <c r="H187" s="288"/>
      <c r="I187" s="288"/>
      <c r="J187" s="288"/>
      <c r="K187" s="288"/>
      <c r="L187" s="288"/>
      <c r="M187" s="288"/>
      <c r="N187" s="288"/>
      <c r="O187" s="288"/>
      <c r="P187" s="288"/>
      <c r="Q187" s="288"/>
      <c r="R187" s="288"/>
      <c r="S187" s="338">
        <f>+V34*0.16</f>
        <v>240044</v>
      </c>
      <c r="T187" s="325"/>
      <c r="U187" s="288"/>
      <c r="V187" s="338"/>
      <c r="W187" s="291"/>
      <c r="X187" s="5"/>
    </row>
    <row r="188" spans="1:256" ht="15.6" x14ac:dyDescent="0.3">
      <c r="A188" s="287"/>
      <c r="B188" s="288" t="s">
        <v>61</v>
      </c>
      <c r="C188" s="288"/>
      <c r="D188" s="288"/>
      <c r="E188" s="288"/>
      <c r="F188" s="288"/>
      <c r="G188" s="288"/>
      <c r="H188" s="288"/>
      <c r="I188" s="288"/>
      <c r="J188" s="288"/>
      <c r="K188" s="288"/>
      <c r="L188" s="288"/>
      <c r="M188" s="288"/>
      <c r="N188" s="288"/>
      <c r="O188" s="288"/>
      <c r="P188" s="288"/>
      <c r="Q188" s="288"/>
      <c r="R188" s="288"/>
      <c r="S188" s="338">
        <f>+'May 15'!S190</f>
        <v>26297</v>
      </c>
      <c r="T188" s="338">
        <f>+'May 15'!T190</f>
        <v>6016</v>
      </c>
      <c r="U188" s="288"/>
      <c r="V188" s="338">
        <f>S188+T188</f>
        <v>32313</v>
      </c>
      <c r="W188" s="291"/>
      <c r="X188" s="5"/>
    </row>
    <row r="189" spans="1:256" ht="15.6" x14ac:dyDescent="0.3">
      <c r="A189" s="287"/>
      <c r="B189" s="288" t="s">
        <v>62</v>
      </c>
      <c r="C189" s="288"/>
      <c r="D189" s="288"/>
      <c r="E189" s="288"/>
      <c r="F189" s="288"/>
      <c r="G189" s="288"/>
      <c r="H189" s="288"/>
      <c r="I189" s="288"/>
      <c r="J189" s="288"/>
      <c r="K189" s="288"/>
      <c r="L189" s="288"/>
      <c r="M189" s="288"/>
      <c r="N189" s="288"/>
      <c r="O189" s="288"/>
      <c r="P189" s="288"/>
      <c r="Q189" s="288"/>
      <c r="R189" s="288"/>
      <c r="S189" s="337">
        <f>231+80</f>
        <v>311</v>
      </c>
      <c r="T189" s="337">
        <v>0</v>
      </c>
      <c r="U189" s="288"/>
      <c r="V189" s="338">
        <f>S189+T189</f>
        <v>311</v>
      </c>
      <c r="W189" s="291"/>
      <c r="X189" s="5"/>
    </row>
    <row r="190" spans="1:256" ht="15.6" x14ac:dyDescent="0.3">
      <c r="A190" s="287"/>
      <c r="B190" s="288" t="s">
        <v>63</v>
      </c>
      <c r="C190" s="288"/>
      <c r="D190" s="288"/>
      <c r="E190" s="288"/>
      <c r="F190" s="288"/>
      <c r="G190" s="288"/>
      <c r="H190" s="288"/>
      <c r="I190" s="288"/>
      <c r="J190" s="288"/>
      <c r="K190" s="288"/>
      <c r="L190" s="288"/>
      <c r="M190" s="288"/>
      <c r="N190" s="288"/>
      <c r="O190" s="288"/>
      <c r="P190" s="288"/>
      <c r="Q190" s="288"/>
      <c r="R190" s="288"/>
      <c r="S190" s="338">
        <f>S188+S189</f>
        <v>26608</v>
      </c>
      <c r="T190" s="338">
        <f>T189+T188</f>
        <v>6016</v>
      </c>
      <c r="U190" s="288"/>
      <c r="V190" s="338">
        <f>S190+T190</f>
        <v>32624</v>
      </c>
      <c r="W190" s="291"/>
      <c r="X190" s="5"/>
    </row>
    <row r="191" spans="1:256" ht="15.6" x14ac:dyDescent="0.3">
      <c r="A191" s="287"/>
      <c r="B191" s="288" t="s">
        <v>64</v>
      </c>
      <c r="C191" s="288"/>
      <c r="D191" s="288"/>
      <c r="E191" s="288"/>
      <c r="F191" s="288"/>
      <c r="G191" s="288"/>
      <c r="H191" s="288"/>
      <c r="I191" s="288"/>
      <c r="J191" s="288"/>
      <c r="K191" s="288"/>
      <c r="L191" s="288"/>
      <c r="M191" s="288"/>
      <c r="N191" s="288"/>
      <c r="O191" s="288"/>
      <c r="P191" s="288"/>
      <c r="Q191" s="288"/>
      <c r="R191" s="288"/>
      <c r="S191" s="338">
        <f>S187-S190-T190</f>
        <v>207420</v>
      </c>
      <c r="T191" s="325"/>
      <c r="U191" s="288"/>
      <c r="V191" s="338"/>
      <c r="W191" s="291"/>
      <c r="X191" s="5"/>
    </row>
    <row r="192" spans="1:256" ht="16.2" thickBot="1" x14ac:dyDescent="0.35">
      <c r="A192" s="183"/>
      <c r="B192" s="198"/>
      <c r="C192" s="198"/>
      <c r="D192" s="198"/>
      <c r="E192" s="198"/>
      <c r="F192" s="198"/>
      <c r="G192" s="198"/>
      <c r="H192" s="198"/>
      <c r="I192" s="198"/>
      <c r="J192" s="198"/>
      <c r="K192" s="198"/>
      <c r="L192" s="198"/>
      <c r="M192" s="198"/>
      <c r="N192" s="198"/>
      <c r="O192" s="198"/>
      <c r="P192" s="198"/>
      <c r="Q192" s="198"/>
      <c r="R192" s="198"/>
      <c r="S192" s="198"/>
      <c r="T192" s="198"/>
      <c r="U192" s="198"/>
      <c r="V192" s="347"/>
      <c r="W192" s="198"/>
      <c r="X192" s="5"/>
    </row>
    <row r="193" spans="1:24" ht="15.6" x14ac:dyDescent="0.3">
      <c r="A193" s="180"/>
      <c r="B193" s="181"/>
      <c r="C193" s="181"/>
      <c r="D193" s="181"/>
      <c r="E193" s="181"/>
      <c r="F193" s="181"/>
      <c r="G193" s="181"/>
      <c r="H193" s="181"/>
      <c r="I193" s="181"/>
      <c r="J193" s="181"/>
      <c r="K193" s="181"/>
      <c r="L193" s="181"/>
      <c r="M193" s="181"/>
      <c r="N193" s="181"/>
      <c r="O193" s="181"/>
      <c r="P193" s="181"/>
      <c r="Q193" s="181"/>
      <c r="R193" s="181"/>
      <c r="S193" s="181"/>
      <c r="T193" s="181"/>
      <c r="U193" s="181"/>
      <c r="V193" s="200"/>
      <c r="W193" s="181"/>
      <c r="X193" s="5"/>
    </row>
    <row r="194" spans="1:24" ht="15.6" x14ac:dyDescent="0.3">
      <c r="A194" s="183"/>
      <c r="B194" s="208" t="s">
        <v>65</v>
      </c>
      <c r="C194" s="185"/>
      <c r="D194" s="185"/>
      <c r="E194" s="185"/>
      <c r="F194" s="185"/>
      <c r="G194" s="185"/>
      <c r="H194" s="185"/>
      <c r="I194" s="185"/>
      <c r="J194" s="185"/>
      <c r="K194" s="185"/>
      <c r="L194" s="185"/>
      <c r="M194" s="185"/>
      <c r="N194" s="185"/>
      <c r="O194" s="185"/>
      <c r="P194" s="185"/>
      <c r="Q194" s="185"/>
      <c r="R194" s="185"/>
      <c r="S194" s="185"/>
      <c r="T194" s="185"/>
      <c r="U194" s="185"/>
      <c r="V194" s="214"/>
      <c r="W194" s="185"/>
      <c r="X194" s="5"/>
    </row>
    <row r="195" spans="1:24" ht="15.6" x14ac:dyDescent="0.3">
      <c r="A195" s="287"/>
      <c r="B195" s="288" t="s">
        <v>66</v>
      </c>
      <c r="C195" s="288"/>
      <c r="D195" s="288"/>
      <c r="E195" s="288"/>
      <c r="F195" s="288"/>
      <c r="G195" s="288"/>
      <c r="H195" s="288"/>
      <c r="I195" s="288"/>
      <c r="J195" s="288"/>
      <c r="K195" s="288"/>
      <c r="L195" s="288"/>
      <c r="M195" s="288"/>
      <c r="N195" s="288"/>
      <c r="O195" s="288"/>
      <c r="P195" s="288"/>
      <c r="Q195" s="288"/>
      <c r="R195" s="288"/>
      <c r="S195" s="288"/>
      <c r="T195" s="288"/>
      <c r="U195" s="288"/>
      <c r="V195" s="348">
        <f>(V101+V103+V104+V105+V106)/-(V107+V108)</f>
        <v>3.8094351334574799</v>
      </c>
      <c r="W195" s="291" t="s">
        <v>115</v>
      </c>
      <c r="X195" s="5"/>
    </row>
    <row r="196" spans="1:24" ht="15.6" x14ac:dyDescent="0.3">
      <c r="A196" s="287"/>
      <c r="B196" s="288" t="s">
        <v>67</v>
      </c>
      <c r="C196" s="288"/>
      <c r="D196" s="288"/>
      <c r="E196" s="288"/>
      <c r="F196" s="288"/>
      <c r="G196" s="288"/>
      <c r="H196" s="288"/>
      <c r="I196" s="288"/>
      <c r="J196" s="288"/>
      <c r="K196" s="288"/>
      <c r="L196" s="288"/>
      <c r="M196" s="288"/>
      <c r="N196" s="288"/>
      <c r="O196" s="288"/>
      <c r="P196" s="288"/>
      <c r="Q196" s="288"/>
      <c r="R196" s="288"/>
      <c r="S196" s="288"/>
      <c r="T196" s="288"/>
      <c r="U196" s="288"/>
      <c r="V196" s="350">
        <v>1.94</v>
      </c>
      <c r="W196" s="291" t="s">
        <v>115</v>
      </c>
      <c r="X196" s="5"/>
    </row>
    <row r="197" spans="1:24" ht="15.6" x14ac:dyDescent="0.3">
      <c r="A197" s="287"/>
      <c r="B197" s="288" t="s">
        <v>68</v>
      </c>
      <c r="C197" s="288"/>
      <c r="D197" s="288"/>
      <c r="E197" s="288"/>
      <c r="F197" s="288"/>
      <c r="G197" s="288"/>
      <c r="H197" s="288"/>
      <c r="I197" s="288"/>
      <c r="J197" s="288"/>
      <c r="K197" s="288"/>
      <c r="L197" s="288"/>
      <c r="M197" s="288"/>
      <c r="N197" s="288"/>
      <c r="O197" s="288"/>
      <c r="P197" s="288"/>
      <c r="Q197" s="288"/>
      <c r="R197" s="288"/>
      <c r="S197" s="288"/>
      <c r="T197" s="288"/>
      <c r="U197" s="288"/>
      <c r="V197" s="348">
        <f>(V101+V103+V104+V105+V106+V107+V108)/-(V110+V111)</f>
        <v>16.57875457875458</v>
      </c>
      <c r="W197" s="291" t="s">
        <v>115</v>
      </c>
      <c r="X197" s="5"/>
    </row>
    <row r="198" spans="1:24" ht="15.6" x14ac:dyDescent="0.3">
      <c r="A198" s="287"/>
      <c r="B198" s="288" t="s">
        <v>69</v>
      </c>
      <c r="C198" s="288"/>
      <c r="D198" s="288"/>
      <c r="E198" s="288"/>
      <c r="F198" s="288"/>
      <c r="G198" s="288"/>
      <c r="H198" s="288"/>
      <c r="I198" s="288"/>
      <c r="J198" s="288"/>
      <c r="K198" s="288"/>
      <c r="L198" s="288"/>
      <c r="M198" s="288"/>
      <c r="N198" s="288"/>
      <c r="O198" s="288"/>
      <c r="P198" s="288"/>
      <c r="Q198" s="288"/>
      <c r="R198" s="288"/>
      <c r="S198" s="288"/>
      <c r="T198" s="288"/>
      <c r="U198" s="288"/>
      <c r="V198" s="350">
        <v>8.69</v>
      </c>
      <c r="W198" s="291" t="s">
        <v>115</v>
      </c>
      <c r="X198" s="5"/>
    </row>
    <row r="199" spans="1:24" ht="15.6" x14ac:dyDescent="0.3">
      <c r="A199" s="287"/>
      <c r="B199" s="288" t="s">
        <v>198</v>
      </c>
      <c r="C199" s="288"/>
      <c r="D199" s="288"/>
      <c r="E199" s="288"/>
      <c r="F199" s="288"/>
      <c r="G199" s="288"/>
      <c r="H199" s="288"/>
      <c r="I199" s="288"/>
      <c r="J199" s="288"/>
      <c r="K199" s="288"/>
      <c r="L199" s="288"/>
      <c r="M199" s="288"/>
      <c r="N199" s="288"/>
      <c r="O199" s="288"/>
      <c r="P199" s="288"/>
      <c r="Q199" s="288"/>
      <c r="R199" s="288"/>
      <c r="S199" s="288"/>
      <c r="T199" s="288"/>
      <c r="U199" s="288"/>
      <c r="V199" s="348">
        <f>(V101+V103+V104+V105+V106+V107+V108+V110+V111)/-(V112+V113)</f>
        <v>10.553349875930522</v>
      </c>
      <c r="W199" s="291" t="s">
        <v>115</v>
      </c>
      <c r="X199" s="5"/>
    </row>
    <row r="200" spans="1:24" ht="15.6" x14ac:dyDescent="0.3">
      <c r="A200" s="287"/>
      <c r="B200" s="288" t="s">
        <v>199</v>
      </c>
      <c r="C200" s="288"/>
      <c r="D200" s="288"/>
      <c r="E200" s="288"/>
      <c r="F200" s="288"/>
      <c r="G200" s="288"/>
      <c r="H200" s="288"/>
      <c r="I200" s="288"/>
      <c r="J200" s="288"/>
      <c r="K200" s="288"/>
      <c r="L200" s="288"/>
      <c r="M200" s="288"/>
      <c r="N200" s="288"/>
      <c r="O200" s="288"/>
      <c r="P200" s="288"/>
      <c r="Q200" s="288"/>
      <c r="R200" s="288"/>
      <c r="S200" s="288"/>
      <c r="T200" s="288"/>
      <c r="U200" s="288"/>
      <c r="V200" s="350">
        <v>6.7</v>
      </c>
      <c r="W200" s="291" t="s">
        <v>115</v>
      </c>
      <c r="X200" s="5"/>
    </row>
    <row r="201" spans="1:24" ht="15.6" x14ac:dyDescent="0.3">
      <c r="A201" s="287"/>
      <c r="B201" s="314"/>
      <c r="C201" s="314"/>
      <c r="D201" s="314"/>
      <c r="E201" s="314"/>
      <c r="F201" s="314"/>
      <c r="G201" s="314"/>
      <c r="H201" s="314"/>
      <c r="I201" s="314"/>
      <c r="J201" s="314"/>
      <c r="K201" s="314"/>
      <c r="L201" s="314"/>
      <c r="M201" s="314"/>
      <c r="N201" s="314"/>
      <c r="O201" s="314"/>
      <c r="P201" s="314"/>
      <c r="Q201" s="314"/>
      <c r="R201" s="314"/>
      <c r="S201" s="314"/>
      <c r="T201" s="314"/>
      <c r="U201" s="314"/>
      <c r="V201" s="314"/>
      <c r="W201" s="318"/>
      <c r="X201" s="5"/>
    </row>
    <row r="202" spans="1:24" ht="15.6" x14ac:dyDescent="0.3">
      <c r="A202" s="183"/>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5"/>
    </row>
    <row r="203" spans="1:24" ht="15.6" x14ac:dyDescent="0.3">
      <c r="A203" s="183"/>
      <c r="B203" s="185"/>
      <c r="C203" s="185"/>
      <c r="D203" s="185"/>
      <c r="E203" s="185"/>
      <c r="F203" s="185"/>
      <c r="G203" s="185"/>
      <c r="H203" s="185"/>
      <c r="I203" s="185"/>
      <c r="J203" s="185"/>
      <c r="K203" s="185"/>
      <c r="L203" s="185"/>
      <c r="M203" s="185"/>
      <c r="N203" s="185"/>
      <c r="O203" s="185"/>
      <c r="P203" s="185"/>
      <c r="Q203" s="185"/>
      <c r="R203" s="185"/>
      <c r="S203" s="185"/>
      <c r="T203" s="185"/>
      <c r="U203" s="185"/>
      <c r="V203" s="185"/>
      <c r="W203" s="185"/>
      <c r="X203" s="5"/>
    </row>
    <row r="204" spans="1:24" ht="18" thickBot="1" x14ac:dyDescent="0.35">
      <c r="A204" s="199"/>
      <c r="B204" s="237" t="str">
        <f>B138</f>
        <v>PM14 INVESTOR REPORT QUARTER ENDING AUGUST 2015</v>
      </c>
      <c r="C204" s="215"/>
      <c r="D204" s="215"/>
      <c r="E204" s="215"/>
      <c r="F204" s="215"/>
      <c r="G204" s="215"/>
      <c r="H204" s="215"/>
      <c r="I204" s="215"/>
      <c r="J204" s="215"/>
      <c r="K204" s="215"/>
      <c r="L204" s="215"/>
      <c r="M204" s="215"/>
      <c r="N204" s="215"/>
      <c r="O204" s="215"/>
      <c r="P204" s="215"/>
      <c r="Q204" s="215"/>
      <c r="R204" s="215"/>
      <c r="S204" s="215"/>
      <c r="T204" s="215"/>
      <c r="U204" s="215"/>
      <c r="V204" s="215"/>
      <c r="W204" s="216"/>
      <c r="X204" s="5"/>
    </row>
    <row r="205" spans="1:24" ht="15.6" x14ac:dyDescent="0.3">
      <c r="A205" s="273"/>
      <c r="B205" s="403" t="s">
        <v>70</v>
      </c>
      <c r="C205" s="404"/>
      <c r="D205" s="404"/>
      <c r="E205" s="404"/>
      <c r="F205" s="404"/>
      <c r="G205" s="405"/>
      <c r="H205" s="405"/>
      <c r="I205" s="405"/>
      <c r="J205" s="405"/>
      <c r="K205" s="405"/>
      <c r="L205" s="405"/>
      <c r="M205" s="405"/>
      <c r="N205" s="405"/>
      <c r="O205" s="405"/>
      <c r="P205" s="405"/>
      <c r="Q205" s="405"/>
      <c r="R205" s="405"/>
      <c r="S205" s="405"/>
      <c r="T205" s="405">
        <v>42244</v>
      </c>
      <c r="U205" s="274"/>
      <c r="V205" s="274"/>
      <c r="W205" s="274"/>
      <c r="X205" s="5"/>
    </row>
    <row r="206" spans="1:24" ht="15.6" x14ac:dyDescent="0.3">
      <c r="A206" s="217"/>
      <c r="B206" s="230"/>
      <c r="C206" s="249"/>
      <c r="D206" s="249"/>
      <c r="E206" s="249"/>
      <c r="F206" s="249"/>
      <c r="G206" s="229"/>
      <c r="H206" s="229"/>
      <c r="I206" s="229"/>
      <c r="J206" s="229"/>
      <c r="K206" s="229"/>
      <c r="L206" s="229"/>
      <c r="M206" s="229"/>
      <c r="N206" s="229"/>
      <c r="O206" s="229"/>
      <c r="P206" s="229"/>
      <c r="Q206" s="229"/>
      <c r="R206" s="229"/>
      <c r="S206" s="229"/>
      <c r="T206" s="229"/>
      <c r="U206" s="224"/>
      <c r="V206" s="224"/>
      <c r="W206" s="224"/>
      <c r="X206" s="5"/>
    </row>
    <row r="207" spans="1:24" ht="15.6" x14ac:dyDescent="0.3">
      <c r="A207" s="352"/>
      <c r="B207" s="288" t="s">
        <v>71</v>
      </c>
      <c r="C207" s="353"/>
      <c r="D207" s="353"/>
      <c r="E207" s="353"/>
      <c r="F207" s="353"/>
      <c r="G207" s="330"/>
      <c r="H207" s="330"/>
      <c r="I207" s="330"/>
      <c r="J207" s="330"/>
      <c r="K207" s="330"/>
      <c r="L207" s="330"/>
      <c r="M207" s="330"/>
      <c r="N207" s="330"/>
      <c r="O207" s="330"/>
      <c r="P207" s="330"/>
      <c r="Q207" s="330"/>
      <c r="R207" s="330"/>
      <c r="S207" s="330"/>
      <c r="T207" s="321">
        <v>5.2819999999999999E-2</v>
      </c>
      <c r="U207" s="288"/>
      <c r="V207" s="288"/>
      <c r="W207" s="291"/>
      <c r="X207" s="5"/>
    </row>
    <row r="208" spans="1:24" ht="15.6" x14ac:dyDescent="0.3">
      <c r="A208" s="352"/>
      <c r="B208" s="288" t="s">
        <v>151</v>
      </c>
      <c r="C208" s="353"/>
      <c r="D208" s="353"/>
      <c r="E208" s="353"/>
      <c r="F208" s="353"/>
      <c r="G208" s="330"/>
      <c r="H208" s="330"/>
      <c r="I208" s="330"/>
      <c r="J208" s="330"/>
      <c r="K208" s="330"/>
      <c r="L208" s="330"/>
      <c r="M208" s="330"/>
      <c r="N208" s="330"/>
      <c r="O208" s="330"/>
      <c r="P208" s="330"/>
      <c r="Q208" s="330"/>
      <c r="R208" s="330"/>
      <c r="S208" s="330"/>
      <c r="T208" s="321">
        <v>5.7799999999999997E-2</v>
      </c>
      <c r="U208" s="288"/>
      <c r="V208" s="288"/>
      <c r="W208" s="291"/>
      <c r="X208" s="5"/>
    </row>
    <row r="209" spans="1:24" ht="15.6" x14ac:dyDescent="0.3">
      <c r="A209" s="352"/>
      <c r="B209" s="288" t="s">
        <v>72</v>
      </c>
      <c r="C209" s="353"/>
      <c r="D209" s="353"/>
      <c r="E209" s="353"/>
      <c r="F209" s="353"/>
      <c r="G209" s="330"/>
      <c r="H209" s="330"/>
      <c r="I209" s="330"/>
      <c r="J209" s="330"/>
      <c r="K209" s="330"/>
      <c r="L209" s="330"/>
      <c r="M209" s="330"/>
      <c r="N209" s="330"/>
      <c r="O209" s="330"/>
      <c r="P209" s="330"/>
      <c r="Q209" s="330"/>
      <c r="R209" s="330"/>
      <c r="S209" s="330"/>
      <c r="T209" s="321">
        <f>T207-T208</f>
        <v>-4.9799999999999983E-3</v>
      </c>
      <c r="U209" s="288"/>
      <c r="V209" s="288"/>
      <c r="W209" s="291"/>
      <c r="X209" s="5"/>
    </row>
    <row r="210" spans="1:24" ht="15.6" x14ac:dyDescent="0.3">
      <c r="A210" s="352"/>
      <c r="B210" s="288" t="s">
        <v>73</v>
      </c>
      <c r="C210" s="353"/>
      <c r="D210" s="353"/>
      <c r="E210" s="353"/>
      <c r="F210" s="353"/>
      <c r="G210" s="330"/>
      <c r="H210" s="330"/>
      <c r="I210" s="330"/>
      <c r="J210" s="330"/>
      <c r="K210" s="330"/>
      <c r="L210" s="330"/>
      <c r="M210" s="330"/>
      <c r="N210" s="330"/>
      <c r="O210" s="330"/>
      <c r="P210" s="330"/>
      <c r="Q210" s="330"/>
      <c r="R210" s="330"/>
      <c r="S210" s="330"/>
      <c r="T210" s="321">
        <v>2.3810000000000001E-2</v>
      </c>
      <c r="U210" s="288"/>
      <c r="V210" s="288"/>
      <c r="W210" s="291"/>
      <c r="X210" s="5"/>
    </row>
    <row r="211" spans="1:24" ht="15.6" x14ac:dyDescent="0.3">
      <c r="A211" s="352"/>
      <c r="B211" s="288" t="s">
        <v>219</v>
      </c>
      <c r="C211" s="353"/>
      <c r="D211" s="353"/>
      <c r="E211" s="353"/>
      <c r="F211" s="353"/>
      <c r="G211" s="330"/>
      <c r="H211" s="330"/>
      <c r="I211" s="330"/>
      <c r="J211" s="330"/>
      <c r="K211" s="330"/>
      <c r="L211" s="330"/>
      <c r="M211" s="330"/>
      <c r="N211" s="330"/>
      <c r="O211" s="330"/>
      <c r="P211" s="330"/>
      <c r="Q211" s="330"/>
      <c r="R211" s="330"/>
      <c r="S211" s="330"/>
      <c r="T211" s="321">
        <f>V43</f>
        <v>8.9411119263165511E-3</v>
      </c>
      <c r="U211" s="288"/>
      <c r="V211" s="288"/>
      <c r="W211" s="291"/>
      <c r="X211" s="5"/>
    </row>
    <row r="212" spans="1:24" ht="15.6" x14ac:dyDescent="0.3">
      <c r="A212" s="352"/>
      <c r="B212" s="288" t="s">
        <v>74</v>
      </c>
      <c r="C212" s="353"/>
      <c r="D212" s="353"/>
      <c r="E212" s="353"/>
      <c r="F212" s="353"/>
      <c r="G212" s="330"/>
      <c r="H212" s="330"/>
      <c r="I212" s="330"/>
      <c r="J212" s="330"/>
      <c r="K212" s="330"/>
      <c r="L212" s="330"/>
      <c r="M212" s="330"/>
      <c r="N212" s="330"/>
      <c r="O212" s="330"/>
      <c r="P212" s="330"/>
      <c r="Q212" s="330"/>
      <c r="R212" s="330"/>
      <c r="S212" s="330"/>
      <c r="T212" s="321">
        <f>T210-T211</f>
        <v>1.486888807368345E-2</v>
      </c>
      <c r="U212" s="288"/>
      <c r="V212" s="288"/>
      <c r="W212" s="291"/>
      <c r="X212" s="5"/>
    </row>
    <row r="213" spans="1:24" ht="15.6" x14ac:dyDescent="0.3">
      <c r="A213" s="352"/>
      <c r="B213" s="288" t="s">
        <v>242</v>
      </c>
      <c r="C213" s="353"/>
      <c r="D213" s="353"/>
      <c r="E213" s="353"/>
      <c r="F213" s="353"/>
      <c r="G213" s="330"/>
      <c r="H213" s="330"/>
      <c r="I213" s="330"/>
      <c r="J213" s="330"/>
      <c r="K213" s="330"/>
      <c r="L213" s="330"/>
      <c r="M213" s="330"/>
      <c r="N213" s="330"/>
      <c r="O213" s="330"/>
      <c r="P213" s="330"/>
      <c r="Q213" s="330"/>
      <c r="R213" s="330"/>
      <c r="S213" s="330"/>
      <c r="T213" s="321">
        <f>V101/N71</f>
        <v>6.3664402014643896E-3</v>
      </c>
      <c r="U213" s="288"/>
      <c r="V213" s="288"/>
      <c r="W213" s="291"/>
      <c r="X213" s="5"/>
    </row>
    <row r="214" spans="1:24" ht="15.6" x14ac:dyDescent="0.3">
      <c r="A214" s="352"/>
      <c r="B214" s="288" t="s">
        <v>208</v>
      </c>
      <c r="C214" s="353"/>
      <c r="D214" s="353"/>
      <c r="E214" s="353"/>
      <c r="F214" s="353"/>
      <c r="G214" s="330"/>
      <c r="H214" s="330"/>
      <c r="I214" s="330"/>
      <c r="J214" s="330"/>
      <c r="K214" s="330"/>
      <c r="L214" s="330"/>
      <c r="M214" s="330"/>
      <c r="N214" s="330"/>
      <c r="O214" s="330"/>
      <c r="P214" s="330"/>
      <c r="Q214" s="330"/>
      <c r="R214" s="330"/>
      <c r="S214" s="330"/>
      <c r="T214" s="354">
        <v>51014</v>
      </c>
      <c r="U214" s="288"/>
      <c r="V214" s="288"/>
      <c r="W214" s="291"/>
      <c r="X214" s="5"/>
    </row>
    <row r="215" spans="1:24" ht="15.6" x14ac:dyDescent="0.3">
      <c r="A215" s="352"/>
      <c r="B215" s="288" t="s">
        <v>209</v>
      </c>
      <c r="C215" s="353"/>
      <c r="D215" s="353"/>
      <c r="E215" s="353"/>
      <c r="F215" s="353"/>
      <c r="G215" s="330"/>
      <c r="H215" s="330"/>
      <c r="I215" s="330"/>
      <c r="J215" s="330"/>
      <c r="K215" s="330"/>
      <c r="L215" s="330"/>
      <c r="M215" s="330"/>
      <c r="N215" s="330"/>
      <c r="O215" s="330"/>
      <c r="P215" s="330"/>
      <c r="Q215" s="330"/>
      <c r="R215" s="330"/>
      <c r="S215" s="330"/>
      <c r="T215" s="354">
        <v>51014</v>
      </c>
      <c r="U215" s="288"/>
      <c r="V215" s="288"/>
      <c r="W215" s="291"/>
      <c r="X215" s="5"/>
    </row>
    <row r="216" spans="1:24" ht="15.6" x14ac:dyDescent="0.3">
      <c r="A216" s="352"/>
      <c r="B216" s="288" t="s">
        <v>210</v>
      </c>
      <c r="C216" s="353"/>
      <c r="D216" s="353"/>
      <c r="E216" s="353"/>
      <c r="F216" s="353"/>
      <c r="G216" s="330"/>
      <c r="H216" s="330"/>
      <c r="I216" s="330"/>
      <c r="J216" s="330"/>
      <c r="K216" s="330"/>
      <c r="L216" s="330"/>
      <c r="M216" s="330"/>
      <c r="N216" s="330"/>
      <c r="O216" s="330"/>
      <c r="P216" s="330"/>
      <c r="Q216" s="330"/>
      <c r="R216" s="330"/>
      <c r="S216" s="330"/>
      <c r="T216" s="354">
        <v>51014</v>
      </c>
      <c r="U216" s="288"/>
      <c r="V216" s="288"/>
      <c r="W216" s="291"/>
      <c r="X216" s="5"/>
    </row>
    <row r="217" spans="1:24" ht="15.6" x14ac:dyDescent="0.3">
      <c r="A217" s="352"/>
      <c r="B217" s="288" t="s">
        <v>75</v>
      </c>
      <c r="C217" s="353"/>
      <c r="D217" s="353"/>
      <c r="E217" s="353"/>
      <c r="F217" s="353"/>
      <c r="G217" s="330"/>
      <c r="H217" s="330"/>
      <c r="I217" s="330"/>
      <c r="J217" s="330"/>
      <c r="K217" s="330"/>
      <c r="L217" s="330"/>
      <c r="M217" s="330"/>
      <c r="N217" s="330"/>
      <c r="O217" s="330"/>
      <c r="P217" s="330"/>
      <c r="Q217" s="330"/>
      <c r="R217" s="330"/>
      <c r="S217" s="330"/>
      <c r="T217" s="327">
        <v>20.66</v>
      </c>
      <c r="U217" s="288" t="s">
        <v>110</v>
      </c>
      <c r="V217" s="288"/>
      <c r="W217" s="291"/>
      <c r="X217" s="5"/>
    </row>
    <row r="218" spans="1:24" ht="15.6" x14ac:dyDescent="0.3">
      <c r="A218" s="352"/>
      <c r="B218" s="288" t="s">
        <v>76</v>
      </c>
      <c r="C218" s="353"/>
      <c r="D218" s="353"/>
      <c r="E218" s="353"/>
      <c r="F218" s="353"/>
      <c r="G218" s="330"/>
      <c r="H218" s="330"/>
      <c r="I218" s="330"/>
      <c r="J218" s="330"/>
      <c r="K218" s="330"/>
      <c r="L218" s="330"/>
      <c r="M218" s="330"/>
      <c r="N218" s="330"/>
      <c r="O218" s="330"/>
      <c r="P218" s="330"/>
      <c r="Q218" s="330"/>
      <c r="R218" s="330"/>
      <c r="S218" s="330"/>
      <c r="T218" s="327">
        <v>13.05</v>
      </c>
      <c r="U218" s="288" t="s">
        <v>110</v>
      </c>
      <c r="V218" s="288"/>
      <c r="W218" s="291"/>
      <c r="X218" s="5"/>
    </row>
    <row r="219" spans="1:24" ht="15.6" x14ac:dyDescent="0.3">
      <c r="A219" s="352"/>
      <c r="B219" s="288" t="s">
        <v>77</v>
      </c>
      <c r="C219" s="353"/>
      <c r="D219" s="353"/>
      <c r="E219" s="353"/>
      <c r="F219" s="353"/>
      <c r="G219" s="330"/>
      <c r="H219" s="330"/>
      <c r="I219" s="330"/>
      <c r="J219" s="330"/>
      <c r="K219" s="330"/>
      <c r="L219" s="330"/>
      <c r="M219" s="330"/>
      <c r="N219" s="330"/>
      <c r="O219" s="330"/>
      <c r="P219" s="330"/>
      <c r="Q219" s="330"/>
      <c r="R219" s="330"/>
      <c r="S219" s="330"/>
      <c r="T219" s="321">
        <f>+P68/N68</f>
        <v>1.3951399129404324E-2</v>
      </c>
      <c r="U219" s="288"/>
      <c r="V219" s="288"/>
      <c r="W219" s="291"/>
      <c r="X219" s="5"/>
    </row>
    <row r="220" spans="1:24" ht="15.6" x14ac:dyDescent="0.3">
      <c r="A220" s="352"/>
      <c r="B220" s="288" t="s">
        <v>78</v>
      </c>
      <c r="C220" s="353"/>
      <c r="D220" s="353"/>
      <c r="E220" s="353"/>
      <c r="F220" s="353"/>
      <c r="G220" s="330"/>
      <c r="H220" s="330"/>
      <c r="I220" s="330"/>
      <c r="J220" s="330"/>
      <c r="K220" s="330"/>
      <c r="L220" s="330"/>
      <c r="M220" s="330"/>
      <c r="N220" s="330"/>
      <c r="O220" s="330"/>
      <c r="P220" s="330"/>
      <c r="Q220" s="330"/>
      <c r="R220" s="330"/>
      <c r="S220" s="330"/>
      <c r="T220" s="321">
        <v>4.9500000000000002E-2</v>
      </c>
      <c r="U220" s="288"/>
      <c r="V220" s="288"/>
      <c r="W220" s="291"/>
      <c r="X220" s="5"/>
    </row>
    <row r="221" spans="1:24" ht="15.6" x14ac:dyDescent="0.3">
      <c r="A221" s="217"/>
      <c r="B221" s="284"/>
      <c r="C221" s="284"/>
      <c r="D221" s="284"/>
      <c r="E221" s="284"/>
      <c r="F221" s="284"/>
      <c r="G221" s="284"/>
      <c r="H221" s="284"/>
      <c r="I221" s="284"/>
      <c r="J221" s="284"/>
      <c r="K221" s="284"/>
      <c r="L221" s="284"/>
      <c r="M221" s="284"/>
      <c r="N221" s="284"/>
      <c r="O221" s="284"/>
      <c r="P221" s="284"/>
      <c r="Q221" s="284"/>
      <c r="R221" s="284"/>
      <c r="S221" s="284"/>
      <c r="T221" s="349"/>
      <c r="U221" s="284"/>
      <c r="V221" s="351"/>
      <c r="W221" s="284"/>
      <c r="X221" s="5"/>
    </row>
    <row r="222" spans="1:24" ht="15.6" x14ac:dyDescent="0.3">
      <c r="A222" s="278"/>
      <c r="B222" s="399" t="s">
        <v>79</v>
      </c>
      <c r="C222" s="400"/>
      <c r="D222" s="400"/>
      <c r="E222" s="400"/>
      <c r="F222" s="406"/>
      <c r="G222" s="400"/>
      <c r="H222" s="400"/>
      <c r="I222" s="400"/>
      <c r="J222" s="400"/>
      <c r="K222" s="400"/>
      <c r="L222" s="400"/>
      <c r="M222" s="400"/>
      <c r="N222" s="400"/>
      <c r="O222" s="400"/>
      <c r="P222" s="400"/>
      <c r="Q222" s="400"/>
      <c r="R222" s="400"/>
      <c r="S222" s="400" t="s">
        <v>102</v>
      </c>
      <c r="T222" s="406" t="s">
        <v>108</v>
      </c>
      <c r="U222" s="263"/>
      <c r="V222" s="263"/>
      <c r="W222" s="263"/>
      <c r="X222" s="5"/>
    </row>
    <row r="223" spans="1:24" ht="15.6" x14ac:dyDescent="0.3">
      <c r="A223" s="218"/>
      <c r="B223" s="231" t="s">
        <v>80</v>
      </c>
      <c r="C223" s="234"/>
      <c r="D223" s="234"/>
      <c r="E223" s="234"/>
      <c r="F223" s="231"/>
      <c r="G223" s="231"/>
      <c r="H223" s="233"/>
      <c r="I223" s="233"/>
      <c r="J223" s="233"/>
      <c r="K223" s="233"/>
      <c r="L223" s="233"/>
      <c r="M223" s="233"/>
      <c r="N223" s="233"/>
      <c r="O223" s="233"/>
      <c r="P223" s="233"/>
      <c r="Q223" s="233"/>
      <c r="R223" s="233"/>
      <c r="S223" s="233">
        <v>3</v>
      </c>
      <c r="T223" s="251">
        <v>292</v>
      </c>
      <c r="U223" s="231"/>
      <c r="V223" s="250"/>
      <c r="W223" s="252"/>
      <c r="X223" s="5"/>
    </row>
    <row r="224" spans="1:24" ht="15.6" x14ac:dyDescent="0.3">
      <c r="A224" s="362"/>
      <c r="B224" s="288" t="s">
        <v>145</v>
      </c>
      <c r="C224" s="337"/>
      <c r="D224" s="337"/>
      <c r="E224" s="337"/>
      <c r="F224" s="288"/>
      <c r="G224" s="288"/>
      <c r="H224" s="296"/>
      <c r="I224" s="296"/>
      <c r="J224" s="296"/>
      <c r="K224" s="296"/>
      <c r="L224" s="296"/>
      <c r="M224" s="296"/>
      <c r="N224" s="296"/>
      <c r="O224" s="296"/>
      <c r="P224" s="296"/>
      <c r="Q224" s="296"/>
      <c r="R224" s="296"/>
      <c r="S224" s="363">
        <f>+R276</f>
        <v>142</v>
      </c>
      <c r="T224" s="364">
        <f>+T276</f>
        <v>21941</v>
      </c>
      <c r="U224" s="288"/>
      <c r="V224" s="365"/>
      <c r="W224" s="366"/>
      <c r="X224" s="5"/>
    </row>
    <row r="225" spans="1:24" ht="15.6" x14ac:dyDescent="0.3">
      <c r="A225" s="362"/>
      <c r="B225" s="288" t="s">
        <v>81</v>
      </c>
      <c r="C225" s="337"/>
      <c r="D225" s="337"/>
      <c r="E225" s="337"/>
      <c r="F225" s="288"/>
      <c r="G225" s="288"/>
      <c r="H225" s="296"/>
      <c r="I225" s="296"/>
      <c r="J225" s="296"/>
      <c r="K225" s="296"/>
      <c r="L225" s="296"/>
      <c r="M225" s="296"/>
      <c r="N225" s="296"/>
      <c r="O225" s="296"/>
      <c r="P225" s="296"/>
      <c r="Q225" s="296"/>
      <c r="R225" s="296"/>
      <c r="S225" s="363">
        <f>+R288</f>
        <v>0</v>
      </c>
      <c r="T225" s="364">
        <f>+T288</f>
        <v>0</v>
      </c>
      <c r="U225" s="288"/>
      <c r="V225" s="365"/>
      <c r="W225" s="366"/>
      <c r="X225" s="5"/>
    </row>
    <row r="226" spans="1:24" ht="15.6" x14ac:dyDescent="0.3">
      <c r="A226" s="362"/>
      <c r="B226" s="313" t="s">
        <v>82</v>
      </c>
      <c r="C226" s="367"/>
      <c r="D226" s="367"/>
      <c r="E226" s="367"/>
      <c r="F226" s="314"/>
      <c r="G226" s="314"/>
      <c r="H226" s="314"/>
      <c r="I226" s="314"/>
      <c r="J226" s="314"/>
      <c r="K226" s="314"/>
      <c r="L226" s="314"/>
      <c r="M226" s="314"/>
      <c r="N226" s="314"/>
      <c r="O226" s="314"/>
      <c r="P226" s="314"/>
      <c r="Q226" s="314"/>
      <c r="R226" s="314"/>
      <c r="S226" s="314"/>
      <c r="T226" s="364">
        <v>0</v>
      </c>
      <c r="U226" s="314"/>
      <c r="V226" s="369"/>
      <c r="W226" s="370"/>
      <c r="X226" s="5"/>
    </row>
    <row r="227" spans="1:24" ht="15.6" x14ac:dyDescent="0.3">
      <c r="A227" s="362"/>
      <c r="B227" s="313" t="s">
        <v>243</v>
      </c>
      <c r="C227" s="367"/>
      <c r="D227" s="367"/>
      <c r="E227" s="367"/>
      <c r="F227" s="314"/>
      <c r="G227" s="314"/>
      <c r="H227" s="314"/>
      <c r="I227" s="314"/>
      <c r="J227" s="314"/>
      <c r="K227" s="314"/>
      <c r="L227" s="314"/>
      <c r="M227" s="314"/>
      <c r="N227" s="314"/>
      <c r="O227" s="314"/>
      <c r="P227" s="314"/>
      <c r="Q227" s="314"/>
      <c r="R227" s="314"/>
      <c r="S227" s="314"/>
      <c r="T227" s="364">
        <f>+N81</f>
        <v>0</v>
      </c>
      <c r="U227" s="314"/>
      <c r="V227" s="369"/>
      <c r="W227" s="370"/>
      <c r="X227" s="5"/>
    </row>
    <row r="228" spans="1:24" ht="15.6" x14ac:dyDescent="0.3">
      <c r="A228" s="371"/>
      <c r="B228" s="313" t="s">
        <v>83</v>
      </c>
      <c r="C228" s="372"/>
      <c r="D228" s="372"/>
      <c r="E228" s="372"/>
      <c r="F228" s="372"/>
      <c r="G228" s="314"/>
      <c r="H228" s="314"/>
      <c r="I228" s="314"/>
      <c r="J228" s="314"/>
      <c r="K228" s="314"/>
      <c r="L228" s="314"/>
      <c r="M228" s="314"/>
      <c r="N228" s="314"/>
      <c r="O228" s="314"/>
      <c r="P228" s="314"/>
      <c r="Q228" s="314"/>
      <c r="R228" s="314"/>
      <c r="S228" s="314"/>
      <c r="T228" s="368"/>
      <c r="U228" s="314"/>
      <c r="V228" s="369"/>
      <c r="W228" s="373"/>
      <c r="X228" s="5"/>
    </row>
    <row r="229" spans="1:24" ht="15.6" x14ac:dyDescent="0.3">
      <c r="A229" s="371"/>
      <c r="B229" s="288" t="s">
        <v>84</v>
      </c>
      <c r="C229" s="288"/>
      <c r="D229" s="288"/>
      <c r="E229" s="288"/>
      <c r="F229" s="288"/>
      <c r="G229" s="288"/>
      <c r="H229" s="288"/>
      <c r="I229" s="288"/>
      <c r="J229" s="288"/>
      <c r="K229" s="288"/>
      <c r="L229" s="288"/>
      <c r="M229" s="288"/>
      <c r="N229" s="288"/>
      <c r="O229" s="288"/>
      <c r="P229" s="288"/>
      <c r="Q229" s="288"/>
      <c r="R229" s="288"/>
      <c r="S229" s="296"/>
      <c r="T229" s="364">
        <f>V167</f>
        <v>177</v>
      </c>
      <c r="U229" s="288"/>
      <c r="V229" s="365"/>
      <c r="W229" s="378"/>
      <c r="X229" s="5"/>
    </row>
    <row r="230" spans="1:24" ht="15.6" x14ac:dyDescent="0.3">
      <c r="A230" s="362"/>
      <c r="B230" s="288" t="s">
        <v>85</v>
      </c>
      <c r="C230" s="337"/>
      <c r="D230" s="337"/>
      <c r="E230" s="337"/>
      <c r="F230" s="337"/>
      <c r="G230" s="288"/>
      <c r="H230" s="288"/>
      <c r="I230" s="288"/>
      <c r="J230" s="288"/>
      <c r="K230" s="288"/>
      <c r="L230" s="288"/>
      <c r="M230" s="288"/>
      <c r="N230" s="288"/>
      <c r="O230" s="288"/>
      <c r="P230" s="288"/>
      <c r="Q230" s="288"/>
      <c r="R230" s="288"/>
      <c r="S230" s="296"/>
      <c r="T230" s="364">
        <f>'May 15'!T230+T229</f>
        <v>6222</v>
      </c>
      <c r="U230" s="288"/>
      <c r="V230" s="365"/>
      <c r="W230" s="378"/>
      <c r="X230" s="5"/>
    </row>
    <row r="231" spans="1:24" ht="15.6" x14ac:dyDescent="0.3">
      <c r="A231" s="371"/>
      <c r="B231" s="313" t="s">
        <v>295</v>
      </c>
      <c r="C231" s="372"/>
      <c r="D231" s="372"/>
      <c r="E231" s="372"/>
      <c r="F231" s="372"/>
      <c r="G231" s="314"/>
      <c r="H231" s="314"/>
      <c r="I231" s="314"/>
      <c r="J231" s="314"/>
      <c r="K231" s="314"/>
      <c r="L231" s="314"/>
      <c r="M231" s="314"/>
      <c r="N231" s="314"/>
      <c r="O231" s="314"/>
      <c r="P231" s="314"/>
      <c r="Q231" s="314"/>
      <c r="R231" s="314"/>
      <c r="S231" s="316"/>
      <c r="T231" s="368"/>
      <c r="U231" s="314"/>
      <c r="V231" s="369"/>
      <c r="W231" s="373"/>
      <c r="X231" s="5"/>
    </row>
    <row r="232" spans="1:24" ht="15.6" x14ac:dyDescent="0.3">
      <c r="A232" s="371"/>
      <c r="B232" s="288" t="s">
        <v>291</v>
      </c>
      <c r="C232" s="288"/>
      <c r="D232" s="288"/>
      <c r="E232" s="288"/>
      <c r="F232" s="288"/>
      <c r="G232" s="288"/>
      <c r="H232" s="288"/>
      <c r="I232" s="288"/>
      <c r="J232" s="288"/>
      <c r="K232" s="288"/>
      <c r="L232" s="288"/>
      <c r="M232" s="288"/>
      <c r="N232" s="288"/>
      <c r="O232" s="288"/>
      <c r="P232" s="288"/>
      <c r="Q232" s="288"/>
      <c r="R232" s="288"/>
      <c r="S232" s="296">
        <v>1</v>
      </c>
      <c r="T232" s="364">
        <v>142</v>
      </c>
      <c r="U232" s="288"/>
      <c r="V232" s="365"/>
      <c r="W232" s="378"/>
      <c r="X232" s="5"/>
    </row>
    <row r="233" spans="1:24" ht="15.6" x14ac:dyDescent="0.3">
      <c r="A233" s="362"/>
      <c r="B233" s="288" t="s">
        <v>86</v>
      </c>
      <c r="C233" s="325"/>
      <c r="D233" s="325"/>
      <c r="E233" s="325"/>
      <c r="F233" s="379"/>
      <c r="G233" s="288"/>
      <c r="H233" s="288"/>
      <c r="I233" s="288"/>
      <c r="J233" s="288"/>
      <c r="K233" s="288"/>
      <c r="L233" s="288"/>
      <c r="M233" s="288"/>
      <c r="N233" s="288"/>
      <c r="O233" s="288"/>
      <c r="P233" s="288"/>
      <c r="Q233" s="288"/>
      <c r="R233" s="288"/>
      <c r="S233" s="288"/>
      <c r="T233" s="380">
        <v>46.06</v>
      </c>
      <c r="U233" s="288"/>
      <c r="V233" s="365"/>
      <c r="W233" s="378"/>
      <c r="X233" s="5"/>
    </row>
    <row r="234" spans="1:24" ht="15.6" x14ac:dyDescent="0.3">
      <c r="A234" s="362"/>
      <c r="B234" s="288" t="s">
        <v>87</v>
      </c>
      <c r="C234" s="325"/>
      <c r="D234" s="325"/>
      <c r="E234" s="325"/>
      <c r="F234" s="379"/>
      <c r="G234" s="288"/>
      <c r="H234" s="288"/>
      <c r="I234" s="288"/>
      <c r="J234" s="288"/>
      <c r="K234" s="288"/>
      <c r="L234" s="288"/>
      <c r="M234" s="288"/>
      <c r="N234" s="288"/>
      <c r="O234" s="288"/>
      <c r="P234" s="288"/>
      <c r="Q234" s="288"/>
      <c r="R234" s="288"/>
      <c r="S234" s="288"/>
      <c r="T234" s="380">
        <v>7.46</v>
      </c>
      <c r="U234" s="288"/>
      <c r="V234" s="365"/>
      <c r="W234" s="378"/>
      <c r="X234" s="5"/>
    </row>
    <row r="235" spans="1:24" ht="15.6" x14ac:dyDescent="0.3">
      <c r="A235" s="362"/>
      <c r="B235" s="313" t="s">
        <v>217</v>
      </c>
      <c r="C235" s="381"/>
      <c r="D235" s="381"/>
      <c r="E235" s="381"/>
      <c r="F235" s="382"/>
      <c r="G235" s="314"/>
      <c r="H235" s="314"/>
      <c r="I235" s="314"/>
      <c r="J235" s="314"/>
      <c r="K235" s="314"/>
      <c r="L235" s="314"/>
      <c r="M235" s="314"/>
      <c r="N235" s="314"/>
      <c r="O235" s="314"/>
      <c r="P235" s="314"/>
      <c r="Q235" s="314"/>
      <c r="R235" s="314"/>
      <c r="S235" s="314"/>
      <c r="T235" s="383"/>
      <c r="U235" s="314"/>
      <c r="V235" s="369"/>
      <c r="W235" s="373"/>
      <c r="X235" s="5"/>
    </row>
    <row r="236" spans="1:24" ht="15.6" x14ac:dyDescent="0.3">
      <c r="A236" s="362"/>
      <c r="B236" s="288" t="s">
        <v>291</v>
      </c>
      <c r="C236" s="381"/>
      <c r="D236" s="381"/>
      <c r="E236" s="381"/>
      <c r="F236" s="382"/>
      <c r="G236" s="314"/>
      <c r="H236" s="314"/>
      <c r="I236" s="314"/>
      <c r="J236" s="314"/>
      <c r="K236" s="314"/>
      <c r="L236" s="314"/>
      <c r="M236" s="314"/>
      <c r="N236" s="314"/>
      <c r="O236" s="314"/>
      <c r="P236" s="314"/>
      <c r="Q236" s="314"/>
      <c r="R236" s="314"/>
      <c r="S236" s="296">
        <v>8</v>
      </c>
      <c r="T236" s="364">
        <v>1202</v>
      </c>
      <c r="U236" s="314"/>
      <c r="V236" s="369"/>
      <c r="W236" s="373"/>
      <c r="X236" s="5"/>
    </row>
    <row r="237" spans="1:24" ht="15.6" x14ac:dyDescent="0.3">
      <c r="A237" s="362"/>
      <c r="B237" s="288" t="s">
        <v>218</v>
      </c>
      <c r="C237" s="381"/>
      <c r="D237" s="381"/>
      <c r="E237" s="381"/>
      <c r="F237" s="382"/>
      <c r="G237" s="314"/>
      <c r="H237" s="314"/>
      <c r="I237" s="314"/>
      <c r="J237" s="314"/>
      <c r="K237" s="314"/>
      <c r="L237" s="314"/>
      <c r="M237" s="314"/>
      <c r="N237" s="314"/>
      <c r="O237" s="314"/>
      <c r="P237" s="314"/>
      <c r="Q237" s="314"/>
      <c r="R237" s="314"/>
      <c r="S237" s="288"/>
      <c r="T237" s="380">
        <v>2.0499999999999998</v>
      </c>
      <c r="U237" s="314"/>
      <c r="V237" s="369"/>
      <c r="W237" s="373"/>
      <c r="X237" s="5"/>
    </row>
    <row r="238" spans="1:24" ht="15.6" x14ac:dyDescent="0.3">
      <c r="A238" s="362"/>
      <c r="B238" s="372"/>
      <c r="C238" s="381"/>
      <c r="D238" s="381"/>
      <c r="E238" s="381"/>
      <c r="F238" s="382"/>
      <c r="G238" s="314"/>
      <c r="H238" s="314"/>
      <c r="I238" s="314"/>
      <c r="J238" s="314"/>
      <c r="K238" s="314"/>
      <c r="L238" s="314"/>
      <c r="M238" s="314"/>
      <c r="N238" s="314"/>
      <c r="O238" s="314"/>
      <c r="P238" s="314"/>
      <c r="Q238" s="314"/>
      <c r="R238" s="314"/>
      <c r="S238" s="314"/>
      <c r="T238" s="383"/>
      <c r="U238" s="314"/>
      <c r="V238" s="369"/>
      <c r="W238" s="373"/>
      <c r="X238" s="5"/>
    </row>
    <row r="239" spans="1:24" ht="15.6" x14ac:dyDescent="0.3">
      <c r="A239" s="362"/>
      <c r="B239" s="372"/>
      <c r="C239" s="381"/>
      <c r="D239" s="381"/>
      <c r="E239" s="381"/>
      <c r="F239" s="382"/>
      <c r="G239" s="314"/>
      <c r="H239" s="314"/>
      <c r="I239" s="314"/>
      <c r="J239" s="314"/>
      <c r="K239" s="314"/>
      <c r="L239" s="314"/>
      <c r="M239" s="314"/>
      <c r="N239" s="314"/>
      <c r="O239" s="314"/>
      <c r="P239" s="314"/>
      <c r="Q239" s="314"/>
      <c r="R239" s="314"/>
      <c r="S239" s="314"/>
      <c r="T239" s="383"/>
      <c r="U239" s="314"/>
      <c r="V239" s="369"/>
      <c r="W239" s="373"/>
      <c r="X239" s="5"/>
    </row>
    <row r="240" spans="1:24" ht="17.399999999999999" x14ac:dyDescent="0.3">
      <c r="A240" s="362"/>
      <c r="B240" s="384" t="s">
        <v>168</v>
      </c>
      <c r="C240" s="381"/>
      <c r="D240" s="381"/>
      <c r="E240" s="381"/>
      <c r="F240" s="382"/>
      <c r="G240" s="314"/>
      <c r="H240" s="314"/>
      <c r="I240" s="314"/>
      <c r="J240" s="314"/>
      <c r="K240" s="314"/>
      <c r="L240" s="314"/>
      <c r="M240" s="314"/>
      <c r="N240" s="314"/>
      <c r="O240" s="314"/>
      <c r="P240" s="385" t="s">
        <v>167</v>
      </c>
      <c r="Q240" s="314"/>
      <c r="R240" s="314"/>
      <c r="S240" s="314"/>
      <c r="T240" s="383"/>
      <c r="U240" s="314"/>
      <c r="V240" s="369"/>
      <c r="W240" s="373"/>
      <c r="X240" s="5"/>
    </row>
    <row r="241" spans="1:25" ht="15.6" x14ac:dyDescent="0.3">
      <c r="A241" s="355"/>
      <c r="B241" s="356"/>
      <c r="C241" s="357"/>
      <c r="D241" s="357"/>
      <c r="E241" s="357"/>
      <c r="F241" s="358"/>
      <c r="G241" s="198"/>
      <c r="H241" s="198"/>
      <c r="I241" s="198"/>
      <c r="J241" s="198"/>
      <c r="K241" s="198"/>
      <c r="L241" s="198"/>
      <c r="M241" s="198"/>
      <c r="N241" s="198"/>
      <c r="O241" s="198"/>
      <c r="P241" s="198"/>
      <c r="Q241" s="198"/>
      <c r="R241" s="198"/>
      <c r="S241" s="198"/>
      <c r="T241" s="359"/>
      <c r="U241" s="198"/>
      <c r="V241" s="360"/>
      <c r="W241" s="361"/>
      <c r="X241" s="5"/>
    </row>
    <row r="242" spans="1:25" ht="15.6" x14ac:dyDescent="0.3">
      <c r="A242" s="262"/>
      <c r="B242" s="399" t="s">
        <v>308</v>
      </c>
      <c r="C242" s="400"/>
      <c r="D242" s="400"/>
      <c r="E242" s="400"/>
      <c r="F242" s="406"/>
      <c r="G242" s="400"/>
      <c r="H242" s="400"/>
      <c r="I242" s="400"/>
      <c r="J242" s="400"/>
      <c r="K242" s="400"/>
      <c r="L242" s="400"/>
      <c r="M242" s="400"/>
      <c r="N242" s="400"/>
      <c r="O242" s="400"/>
      <c r="P242" s="400"/>
      <c r="Q242" s="400"/>
      <c r="R242" s="406" t="s">
        <v>102</v>
      </c>
      <c r="S242" s="400" t="s">
        <v>103</v>
      </c>
      <c r="T242" s="406" t="s">
        <v>109</v>
      </c>
      <c r="U242" s="400" t="s">
        <v>103</v>
      </c>
      <c r="V242" s="263"/>
      <c r="W242" s="399"/>
      <c r="X242" s="5"/>
    </row>
    <row r="243" spans="1:25" ht="15.6" x14ac:dyDescent="0.3">
      <c r="A243" s="197"/>
      <c r="B243" s="234" t="s">
        <v>88</v>
      </c>
      <c r="C243" s="253"/>
      <c r="D243" s="253"/>
      <c r="E243" s="253"/>
      <c r="F243" s="231"/>
      <c r="G243" s="253"/>
      <c r="H243" s="253"/>
      <c r="I243" s="253"/>
      <c r="J243" s="253"/>
      <c r="K243" s="253"/>
      <c r="L243" s="253"/>
      <c r="M243" s="253"/>
      <c r="N243" s="253"/>
      <c r="O243" s="253"/>
      <c r="P243" s="253"/>
      <c r="Q243" s="253"/>
      <c r="R243" s="234">
        <f t="shared" ref="R243:R250" si="1">+R255+R267+R279</f>
        <v>7211</v>
      </c>
      <c r="S243" s="254">
        <f t="shared" ref="S243:S250" si="2">R243/$R$252</f>
        <v>0.99516974882693898</v>
      </c>
      <c r="T243" s="241">
        <f t="shared" ref="T243:T250" si="3">+T255+T267+T279</f>
        <v>995532</v>
      </c>
      <c r="U243" s="254">
        <f t="shared" ref="U243:U250" si="4">T243/$T$252</f>
        <v>0.99422459465802471</v>
      </c>
      <c r="V243" s="250"/>
      <c r="W243" s="232"/>
      <c r="X243" s="5"/>
    </row>
    <row r="244" spans="1:25" ht="15.6" x14ac:dyDescent="0.3">
      <c r="A244" s="287"/>
      <c r="B244" s="337" t="s">
        <v>89</v>
      </c>
      <c r="C244" s="389"/>
      <c r="D244" s="389"/>
      <c r="E244" s="389"/>
      <c r="F244" s="288"/>
      <c r="G244" s="390"/>
      <c r="H244" s="389"/>
      <c r="I244" s="389"/>
      <c r="J244" s="389"/>
      <c r="K244" s="389"/>
      <c r="L244" s="389"/>
      <c r="M244" s="389"/>
      <c r="N244" s="389"/>
      <c r="O244" s="389"/>
      <c r="P244" s="389"/>
      <c r="Q244" s="389"/>
      <c r="R244" s="337">
        <f t="shared" si="1"/>
        <v>15</v>
      </c>
      <c r="S244" s="390">
        <f t="shared" si="2"/>
        <v>2.0701076455975709E-3</v>
      </c>
      <c r="T244" s="338">
        <f t="shared" si="3"/>
        <v>2521</v>
      </c>
      <c r="U244" s="390">
        <f t="shared" si="4"/>
        <v>2.5176892386511735E-3</v>
      </c>
      <c r="V244" s="365"/>
      <c r="W244" s="378"/>
      <c r="X244" s="5"/>
      <c r="Y244" s="109"/>
    </row>
    <row r="245" spans="1:25" ht="15.6" x14ac:dyDescent="0.3">
      <c r="A245" s="287"/>
      <c r="B245" s="337" t="s">
        <v>90</v>
      </c>
      <c r="C245" s="389"/>
      <c r="D245" s="389"/>
      <c r="E245" s="389"/>
      <c r="F245" s="288"/>
      <c r="G245" s="390"/>
      <c r="H245" s="389"/>
      <c r="I245" s="389"/>
      <c r="J245" s="389"/>
      <c r="K245" s="389"/>
      <c r="L245" s="389"/>
      <c r="M245" s="389"/>
      <c r="N245" s="389"/>
      <c r="O245" s="389"/>
      <c r="P245" s="389"/>
      <c r="Q245" s="389"/>
      <c r="R245" s="337">
        <f t="shared" si="1"/>
        <v>2</v>
      </c>
      <c r="S245" s="390">
        <f t="shared" si="2"/>
        <v>2.7601435274634281E-4</v>
      </c>
      <c r="T245" s="338">
        <f t="shared" si="3"/>
        <v>314</v>
      </c>
      <c r="U245" s="390">
        <f t="shared" si="4"/>
        <v>3.1358763226357341E-4</v>
      </c>
      <c r="V245" s="365"/>
      <c r="W245" s="378"/>
      <c r="X245" s="5"/>
    </row>
    <row r="246" spans="1:25" ht="15.6" x14ac:dyDescent="0.3">
      <c r="A246" s="287"/>
      <c r="B246" s="337" t="s">
        <v>156</v>
      </c>
      <c r="C246" s="389"/>
      <c r="D246" s="389"/>
      <c r="E246" s="389"/>
      <c r="F246" s="288"/>
      <c r="G246" s="390"/>
      <c r="H246" s="389"/>
      <c r="I246" s="389"/>
      <c r="J246" s="389"/>
      <c r="K246" s="389"/>
      <c r="L246" s="389"/>
      <c r="M246" s="389"/>
      <c r="N246" s="389"/>
      <c r="O246" s="389"/>
      <c r="P246" s="389"/>
      <c r="Q246" s="389"/>
      <c r="R246" s="337">
        <f t="shared" si="1"/>
        <v>1</v>
      </c>
      <c r="S246" s="390">
        <f t="shared" si="2"/>
        <v>1.3800717637317141E-4</v>
      </c>
      <c r="T246" s="338">
        <f t="shared" si="3"/>
        <v>393</v>
      </c>
      <c r="U246" s="390">
        <f t="shared" si="4"/>
        <v>3.924838836929438E-4</v>
      </c>
      <c r="V246" s="365"/>
      <c r="W246" s="378"/>
      <c r="X246" s="5"/>
      <c r="Y246" s="109"/>
    </row>
    <row r="247" spans="1:25" ht="15.6" x14ac:dyDescent="0.3">
      <c r="A247" s="287"/>
      <c r="B247" s="337" t="s">
        <v>157</v>
      </c>
      <c r="C247" s="389"/>
      <c r="D247" s="389"/>
      <c r="E247" s="389"/>
      <c r="F247" s="288"/>
      <c r="G247" s="390"/>
      <c r="H247" s="389"/>
      <c r="I247" s="389"/>
      <c r="J247" s="389"/>
      <c r="K247" s="389"/>
      <c r="L247" s="389"/>
      <c r="M247" s="389"/>
      <c r="N247" s="389"/>
      <c r="O247" s="389"/>
      <c r="P247" s="389"/>
      <c r="Q247" s="389"/>
      <c r="R247" s="337">
        <f t="shared" si="1"/>
        <v>0</v>
      </c>
      <c r="S247" s="390">
        <f t="shared" si="2"/>
        <v>0</v>
      </c>
      <c r="T247" s="338">
        <f t="shared" si="3"/>
        <v>0</v>
      </c>
      <c r="U247" s="390">
        <f t="shared" si="4"/>
        <v>0</v>
      </c>
      <c r="V247" s="365"/>
      <c r="W247" s="378"/>
      <c r="X247" s="5"/>
    </row>
    <row r="248" spans="1:25" ht="15.6" x14ac:dyDescent="0.3">
      <c r="A248" s="287"/>
      <c r="B248" s="337" t="s">
        <v>158</v>
      </c>
      <c r="C248" s="389"/>
      <c r="D248" s="389"/>
      <c r="E248" s="389"/>
      <c r="F248" s="288"/>
      <c r="G248" s="390"/>
      <c r="H248" s="389"/>
      <c r="I248" s="389"/>
      <c r="J248" s="389"/>
      <c r="K248" s="389"/>
      <c r="L248" s="389"/>
      <c r="M248" s="389"/>
      <c r="N248" s="389"/>
      <c r="O248" s="389"/>
      <c r="P248" s="389"/>
      <c r="Q248" s="389"/>
      <c r="R248" s="337">
        <f t="shared" si="1"/>
        <v>3</v>
      </c>
      <c r="S248" s="390">
        <f t="shared" si="2"/>
        <v>4.1402152911951419E-4</v>
      </c>
      <c r="T248" s="338">
        <f t="shared" si="3"/>
        <v>496</v>
      </c>
      <c r="U248" s="390">
        <f t="shared" si="4"/>
        <v>4.9534861656921154E-4</v>
      </c>
      <c r="V248" s="365"/>
      <c r="W248" s="378"/>
      <c r="X248" s="5"/>
      <c r="Y248" s="109"/>
    </row>
    <row r="249" spans="1:25" ht="15.6" x14ac:dyDescent="0.3">
      <c r="A249" s="287"/>
      <c r="B249" s="337" t="s">
        <v>159</v>
      </c>
      <c r="C249" s="389"/>
      <c r="D249" s="389"/>
      <c r="E249" s="389"/>
      <c r="F249" s="288"/>
      <c r="G249" s="390"/>
      <c r="H249" s="389"/>
      <c r="I249" s="389"/>
      <c r="J249" s="389"/>
      <c r="K249" s="389"/>
      <c r="L249" s="389"/>
      <c r="M249" s="389"/>
      <c r="N249" s="389"/>
      <c r="O249" s="389"/>
      <c r="P249" s="389"/>
      <c r="Q249" s="389"/>
      <c r="R249" s="337">
        <f t="shared" si="1"/>
        <v>4</v>
      </c>
      <c r="S249" s="390">
        <f t="shared" si="2"/>
        <v>5.5202870549268563E-4</v>
      </c>
      <c r="T249" s="338">
        <f t="shared" si="3"/>
        <v>552</v>
      </c>
      <c r="U249" s="390">
        <f t="shared" si="4"/>
        <v>5.5127507327863863E-4</v>
      </c>
      <c r="V249" s="365"/>
      <c r="W249" s="378"/>
      <c r="X249" s="5"/>
    </row>
    <row r="250" spans="1:25" ht="15.6" x14ac:dyDescent="0.3">
      <c r="A250" s="287"/>
      <c r="B250" s="337" t="s">
        <v>160</v>
      </c>
      <c r="C250" s="389"/>
      <c r="D250" s="389"/>
      <c r="E250" s="389"/>
      <c r="F250" s="288"/>
      <c r="G250" s="390"/>
      <c r="H250" s="389"/>
      <c r="I250" s="389"/>
      <c r="J250" s="389"/>
      <c r="K250" s="389"/>
      <c r="L250" s="389"/>
      <c r="M250" s="389"/>
      <c r="N250" s="389"/>
      <c r="O250" s="389"/>
      <c r="P250" s="389"/>
      <c r="Q250" s="389"/>
      <c r="R250" s="339">
        <f t="shared" si="1"/>
        <v>10</v>
      </c>
      <c r="S250" s="393">
        <f t="shared" si="2"/>
        <v>1.380071763731714E-3</v>
      </c>
      <c r="T250" s="394">
        <f t="shared" si="3"/>
        <v>1507</v>
      </c>
      <c r="U250" s="393">
        <f t="shared" si="4"/>
        <v>1.5050208975197616E-3</v>
      </c>
      <c r="V250" s="365"/>
      <c r="W250" s="378"/>
      <c r="X250" s="5"/>
      <c r="Y250" s="109"/>
    </row>
    <row r="251" spans="1:25" ht="15.6" x14ac:dyDescent="0.3">
      <c r="A251" s="287"/>
      <c r="B251" s="337"/>
      <c r="C251" s="389"/>
      <c r="D251" s="389"/>
      <c r="E251" s="389"/>
      <c r="F251" s="288"/>
      <c r="G251" s="390"/>
      <c r="H251" s="389"/>
      <c r="I251" s="389"/>
      <c r="J251" s="389"/>
      <c r="K251" s="389"/>
      <c r="L251" s="389"/>
      <c r="M251" s="389"/>
      <c r="N251" s="389"/>
      <c r="O251" s="389"/>
      <c r="P251" s="389"/>
      <c r="Q251" s="389"/>
      <c r="R251" s="337"/>
      <c r="S251" s="390"/>
      <c r="T251" s="338"/>
      <c r="U251" s="390"/>
      <c r="V251" s="365"/>
      <c r="W251" s="378"/>
      <c r="X251" s="5"/>
    </row>
    <row r="252" spans="1:25" ht="15.6" x14ac:dyDescent="0.3">
      <c r="A252" s="287"/>
      <c r="B252" s="288"/>
      <c r="C252" s="288"/>
      <c r="D252" s="288"/>
      <c r="E252" s="288"/>
      <c r="F252" s="288"/>
      <c r="G252" s="288"/>
      <c r="H252" s="391"/>
      <c r="I252" s="391"/>
      <c r="J252" s="391"/>
      <c r="K252" s="391"/>
      <c r="L252" s="391"/>
      <c r="M252" s="391"/>
      <c r="N252" s="391"/>
      <c r="O252" s="391"/>
      <c r="P252" s="391"/>
      <c r="Q252" s="391"/>
      <c r="R252" s="337">
        <f>SUM(R243:R251)</f>
        <v>7246</v>
      </c>
      <c r="S252" s="390">
        <f>SUM(S243:S251)</f>
        <v>0.99999999999999989</v>
      </c>
      <c r="T252" s="338">
        <f>SUM(T243:T251)</f>
        <v>1001315</v>
      </c>
      <c r="U252" s="390">
        <f>SUM(U243:U251)</f>
        <v>1</v>
      </c>
      <c r="V252" s="288"/>
      <c r="W252" s="291"/>
      <c r="X252" s="5"/>
    </row>
    <row r="253" spans="1:25" ht="15.6" x14ac:dyDescent="0.3">
      <c r="A253" s="183"/>
      <c r="B253" s="198"/>
      <c r="C253" s="198"/>
      <c r="D253" s="198"/>
      <c r="E253" s="198"/>
      <c r="F253" s="198"/>
      <c r="G253" s="198"/>
      <c r="H253" s="386"/>
      <c r="I253" s="386"/>
      <c r="J253" s="386"/>
      <c r="K253" s="386"/>
      <c r="L253" s="386"/>
      <c r="M253" s="386"/>
      <c r="N253" s="386"/>
      <c r="O253" s="386"/>
      <c r="P253" s="386"/>
      <c r="Q253" s="386"/>
      <c r="R253" s="335"/>
      <c r="S253" s="387"/>
      <c r="T253" s="388"/>
      <c r="U253" s="387"/>
      <c r="V253" s="198"/>
      <c r="W253" s="198"/>
      <c r="X253" s="5"/>
    </row>
    <row r="254" spans="1:25" ht="15.6" x14ac:dyDescent="0.3">
      <c r="A254" s="262"/>
      <c r="B254" s="399" t="s">
        <v>162</v>
      </c>
      <c r="C254" s="400"/>
      <c r="D254" s="400"/>
      <c r="E254" s="400"/>
      <c r="F254" s="406"/>
      <c r="G254" s="400"/>
      <c r="H254" s="400"/>
      <c r="I254" s="400"/>
      <c r="J254" s="400"/>
      <c r="K254" s="400"/>
      <c r="L254" s="400"/>
      <c r="M254" s="400"/>
      <c r="N254" s="400"/>
      <c r="O254" s="400"/>
      <c r="P254" s="400"/>
      <c r="Q254" s="400"/>
      <c r="R254" s="406" t="s">
        <v>102</v>
      </c>
      <c r="S254" s="400" t="s">
        <v>103</v>
      </c>
      <c r="T254" s="406" t="s">
        <v>109</v>
      </c>
      <c r="U254" s="400" t="s">
        <v>103</v>
      </c>
      <c r="V254" s="263"/>
      <c r="W254" s="399"/>
      <c r="X254" s="5"/>
    </row>
    <row r="255" spans="1:25" ht="15.6" x14ac:dyDescent="0.3">
      <c r="A255" s="197"/>
      <c r="B255" s="234" t="s">
        <v>88</v>
      </c>
      <c r="C255" s="253"/>
      <c r="D255" s="253"/>
      <c r="E255" s="253"/>
      <c r="F255" s="231"/>
      <c r="G255" s="253"/>
      <c r="H255" s="253"/>
      <c r="I255" s="253"/>
      <c r="J255" s="253"/>
      <c r="K255" s="253"/>
      <c r="L255" s="253"/>
      <c r="M255" s="253"/>
      <c r="N255" s="253"/>
      <c r="O255" s="253"/>
      <c r="P255" s="253"/>
      <c r="Q255" s="253"/>
      <c r="R255" s="234">
        <v>7087</v>
      </c>
      <c r="S255" s="254">
        <f t="shared" ref="S255:S262" si="5">R255/$R$264</f>
        <v>0.99760698198198194</v>
      </c>
      <c r="T255" s="241">
        <v>976576</v>
      </c>
      <c r="U255" s="254">
        <f t="shared" ref="U255:U262" si="6">T255/$T$264</f>
        <v>0.99714307302419714</v>
      </c>
      <c r="V255" s="250"/>
      <c r="W255" s="232"/>
      <c r="X255" s="5"/>
    </row>
    <row r="256" spans="1:25" ht="15.6" x14ac:dyDescent="0.3">
      <c r="A256" s="287"/>
      <c r="B256" s="337" t="s">
        <v>89</v>
      </c>
      <c r="C256" s="389"/>
      <c r="D256" s="389"/>
      <c r="E256" s="389"/>
      <c r="F256" s="288"/>
      <c r="G256" s="390"/>
      <c r="H256" s="389"/>
      <c r="I256" s="389"/>
      <c r="J256" s="389"/>
      <c r="K256" s="389"/>
      <c r="L256" s="389"/>
      <c r="M256" s="389"/>
      <c r="N256" s="389"/>
      <c r="O256" s="389"/>
      <c r="P256" s="389"/>
      <c r="Q256" s="389"/>
      <c r="R256" s="337">
        <v>14</v>
      </c>
      <c r="S256" s="390">
        <f t="shared" si="5"/>
        <v>1.9707207207207205E-3</v>
      </c>
      <c r="T256" s="338">
        <v>2430</v>
      </c>
      <c r="U256" s="390">
        <f t="shared" si="6"/>
        <v>2.4811767516801551E-3</v>
      </c>
      <c r="V256" s="365"/>
      <c r="W256" s="378"/>
      <c r="X256" s="5"/>
      <c r="Y256" s="109"/>
    </row>
    <row r="257" spans="1:25" ht="15.6" x14ac:dyDescent="0.3">
      <c r="A257" s="287"/>
      <c r="B257" s="337" t="s">
        <v>90</v>
      </c>
      <c r="C257" s="389"/>
      <c r="D257" s="389"/>
      <c r="E257" s="389"/>
      <c r="F257" s="288"/>
      <c r="G257" s="390"/>
      <c r="H257" s="389"/>
      <c r="I257" s="389"/>
      <c r="J257" s="389"/>
      <c r="K257" s="389"/>
      <c r="L257" s="389"/>
      <c r="M257" s="389"/>
      <c r="N257" s="389"/>
      <c r="O257" s="389"/>
      <c r="P257" s="389"/>
      <c r="Q257" s="389"/>
      <c r="R257" s="337">
        <v>1</v>
      </c>
      <c r="S257" s="390">
        <f t="shared" si="5"/>
        <v>1.4076576576576576E-4</v>
      </c>
      <c r="T257" s="338">
        <v>189</v>
      </c>
      <c r="U257" s="390">
        <f t="shared" si="6"/>
        <v>1.9298041401956761E-4</v>
      </c>
      <c r="V257" s="365"/>
      <c r="W257" s="378"/>
      <c r="X257" s="5"/>
    </row>
    <row r="258" spans="1:25" ht="15.6" x14ac:dyDescent="0.3">
      <c r="A258" s="287"/>
      <c r="B258" s="337" t="s">
        <v>156</v>
      </c>
      <c r="C258" s="389"/>
      <c r="D258" s="389"/>
      <c r="E258" s="389"/>
      <c r="F258" s="288"/>
      <c r="G258" s="390"/>
      <c r="H258" s="389"/>
      <c r="I258" s="389"/>
      <c r="J258" s="389"/>
      <c r="K258" s="389"/>
      <c r="L258" s="389"/>
      <c r="M258" s="389"/>
      <c r="N258" s="389"/>
      <c r="O258" s="389"/>
      <c r="P258" s="389"/>
      <c r="Q258" s="389"/>
      <c r="R258" s="337">
        <v>0</v>
      </c>
      <c r="S258" s="390">
        <f t="shared" si="5"/>
        <v>0</v>
      </c>
      <c r="T258" s="338">
        <v>0</v>
      </c>
      <c r="U258" s="390">
        <f t="shared" si="6"/>
        <v>0</v>
      </c>
      <c r="V258" s="365"/>
      <c r="W258" s="378"/>
      <c r="X258" s="5"/>
      <c r="Y258" s="109"/>
    </row>
    <row r="259" spans="1:25" ht="15.6" x14ac:dyDescent="0.3">
      <c r="A259" s="287"/>
      <c r="B259" s="337" t="s">
        <v>157</v>
      </c>
      <c r="C259" s="389"/>
      <c r="D259" s="389"/>
      <c r="E259" s="389"/>
      <c r="F259" s="288"/>
      <c r="G259" s="390"/>
      <c r="H259" s="389"/>
      <c r="I259" s="389"/>
      <c r="J259" s="389"/>
      <c r="K259" s="389"/>
      <c r="L259" s="389"/>
      <c r="M259" s="389"/>
      <c r="N259" s="389"/>
      <c r="O259" s="389"/>
      <c r="P259" s="389"/>
      <c r="Q259" s="389"/>
      <c r="R259" s="337">
        <v>0</v>
      </c>
      <c r="S259" s="390">
        <f t="shared" si="5"/>
        <v>0</v>
      </c>
      <c r="T259" s="338">
        <v>0</v>
      </c>
      <c r="U259" s="390">
        <f t="shared" si="6"/>
        <v>0</v>
      </c>
      <c r="V259" s="365"/>
      <c r="W259" s="378"/>
      <c r="X259" s="5"/>
    </row>
    <row r="260" spans="1:25" ht="15.6" x14ac:dyDescent="0.3">
      <c r="A260" s="287"/>
      <c r="B260" s="337" t="s">
        <v>158</v>
      </c>
      <c r="C260" s="389"/>
      <c r="D260" s="389"/>
      <c r="E260" s="389"/>
      <c r="F260" s="288"/>
      <c r="G260" s="390"/>
      <c r="H260" s="389"/>
      <c r="I260" s="389"/>
      <c r="J260" s="389"/>
      <c r="K260" s="389"/>
      <c r="L260" s="389"/>
      <c r="M260" s="389"/>
      <c r="N260" s="389"/>
      <c r="O260" s="389"/>
      <c r="P260" s="389"/>
      <c r="Q260" s="389"/>
      <c r="R260" s="337">
        <v>1</v>
      </c>
      <c r="S260" s="390">
        <f t="shared" si="5"/>
        <v>1.4076576576576576E-4</v>
      </c>
      <c r="T260" s="338">
        <v>127</v>
      </c>
      <c r="U260" s="390">
        <f t="shared" si="6"/>
        <v>1.2967466973801633E-4</v>
      </c>
      <c r="V260" s="365"/>
      <c r="W260" s="378"/>
      <c r="X260" s="5"/>
      <c r="Y260" s="109"/>
    </row>
    <row r="261" spans="1:25" ht="15.6" x14ac:dyDescent="0.3">
      <c r="A261" s="287"/>
      <c r="B261" s="337" t="s">
        <v>159</v>
      </c>
      <c r="C261" s="389"/>
      <c r="D261" s="389"/>
      <c r="E261" s="389"/>
      <c r="F261" s="288"/>
      <c r="G261" s="390"/>
      <c r="H261" s="389"/>
      <c r="I261" s="389"/>
      <c r="J261" s="389"/>
      <c r="K261" s="389"/>
      <c r="L261" s="389"/>
      <c r="M261" s="389"/>
      <c r="N261" s="389"/>
      <c r="O261" s="389"/>
      <c r="P261" s="389"/>
      <c r="Q261" s="389"/>
      <c r="R261" s="337">
        <v>0</v>
      </c>
      <c r="S261" s="390">
        <f t="shared" si="5"/>
        <v>0</v>
      </c>
      <c r="T261" s="338">
        <v>0</v>
      </c>
      <c r="U261" s="390">
        <f t="shared" si="6"/>
        <v>0</v>
      </c>
      <c r="V261" s="365"/>
      <c r="W261" s="378"/>
      <c r="X261" s="5"/>
    </row>
    <row r="262" spans="1:25" ht="15.6" x14ac:dyDescent="0.3">
      <c r="A262" s="287"/>
      <c r="B262" s="337" t="s">
        <v>160</v>
      </c>
      <c r="C262" s="389"/>
      <c r="D262" s="389"/>
      <c r="E262" s="389"/>
      <c r="F262" s="288"/>
      <c r="G262" s="390"/>
      <c r="H262" s="389"/>
      <c r="I262" s="389"/>
      <c r="J262" s="389"/>
      <c r="K262" s="389"/>
      <c r="L262" s="389"/>
      <c r="M262" s="389"/>
      <c r="N262" s="389"/>
      <c r="O262" s="389"/>
      <c r="P262" s="389"/>
      <c r="Q262" s="389"/>
      <c r="R262" s="337">
        <v>1</v>
      </c>
      <c r="S262" s="390">
        <f t="shared" si="5"/>
        <v>1.4076576576576576E-4</v>
      </c>
      <c r="T262" s="338">
        <v>52</v>
      </c>
      <c r="U262" s="390">
        <f t="shared" si="6"/>
        <v>5.309514036517204E-5</v>
      </c>
      <c r="V262" s="365"/>
      <c r="W262" s="378"/>
      <c r="X262" s="5"/>
      <c r="Y262" s="109"/>
    </row>
    <row r="263" spans="1:25" ht="15.6" x14ac:dyDescent="0.3">
      <c r="A263" s="287"/>
      <c r="B263" s="337"/>
      <c r="C263" s="389"/>
      <c r="D263" s="389"/>
      <c r="E263" s="389"/>
      <c r="F263" s="288"/>
      <c r="G263" s="390"/>
      <c r="H263" s="389"/>
      <c r="I263" s="389"/>
      <c r="J263" s="389"/>
      <c r="K263" s="389"/>
      <c r="L263" s="389"/>
      <c r="M263" s="389"/>
      <c r="N263" s="389"/>
      <c r="O263" s="389"/>
      <c r="P263" s="389"/>
      <c r="Q263" s="389"/>
      <c r="R263" s="337"/>
      <c r="S263" s="390"/>
      <c r="T263" s="338"/>
      <c r="U263" s="390"/>
      <c r="V263" s="365"/>
      <c r="W263" s="378"/>
      <c r="X263" s="5"/>
    </row>
    <row r="264" spans="1:25" ht="15.6" x14ac:dyDescent="0.3">
      <c r="A264" s="287"/>
      <c r="B264" s="288"/>
      <c r="C264" s="288"/>
      <c r="D264" s="288"/>
      <c r="E264" s="288"/>
      <c r="F264" s="288"/>
      <c r="G264" s="288"/>
      <c r="H264" s="391"/>
      <c r="I264" s="391"/>
      <c r="J264" s="391"/>
      <c r="K264" s="391"/>
      <c r="L264" s="391"/>
      <c r="M264" s="391"/>
      <c r="N264" s="391"/>
      <c r="O264" s="391"/>
      <c r="P264" s="391"/>
      <c r="Q264" s="391"/>
      <c r="R264" s="337">
        <f>SUM(R255:R263)</f>
        <v>7104</v>
      </c>
      <c r="S264" s="390">
        <f>SUM(S255:S263)</f>
        <v>0.99999999999999978</v>
      </c>
      <c r="T264" s="338">
        <f>SUM(T255:T263)</f>
        <v>979374</v>
      </c>
      <c r="U264" s="390">
        <f>SUM(U255:U263)</f>
        <v>1</v>
      </c>
      <c r="V264" s="288"/>
      <c r="W264" s="291"/>
      <c r="X264" s="5"/>
    </row>
    <row r="265" spans="1:25" ht="15.6" x14ac:dyDescent="0.3">
      <c r="A265" s="183"/>
      <c r="B265" s="198"/>
      <c r="C265" s="198"/>
      <c r="D265" s="198"/>
      <c r="E265" s="198"/>
      <c r="F265" s="198"/>
      <c r="G265" s="198"/>
      <c r="H265" s="386"/>
      <c r="I265" s="386"/>
      <c r="J265" s="386"/>
      <c r="K265" s="386"/>
      <c r="L265" s="386"/>
      <c r="M265" s="386"/>
      <c r="N265" s="386"/>
      <c r="O265" s="386"/>
      <c r="P265" s="386"/>
      <c r="Q265" s="386"/>
      <c r="R265" s="335"/>
      <c r="S265" s="387"/>
      <c r="T265" s="388"/>
      <c r="U265" s="387"/>
      <c r="V265" s="198"/>
      <c r="W265" s="198"/>
      <c r="X265" s="5"/>
    </row>
    <row r="266" spans="1:25" ht="15.6" x14ac:dyDescent="0.3">
      <c r="A266" s="280"/>
      <c r="B266" s="399" t="s">
        <v>275</v>
      </c>
      <c r="C266" s="400"/>
      <c r="D266" s="400"/>
      <c r="E266" s="400"/>
      <c r="F266" s="406"/>
      <c r="G266" s="400"/>
      <c r="H266" s="400"/>
      <c r="I266" s="400"/>
      <c r="J266" s="400"/>
      <c r="K266" s="400"/>
      <c r="L266" s="400"/>
      <c r="M266" s="400"/>
      <c r="N266" s="400"/>
      <c r="O266" s="400"/>
      <c r="P266" s="400"/>
      <c r="Q266" s="400"/>
      <c r="R266" s="406" t="s">
        <v>102</v>
      </c>
      <c r="S266" s="400" t="s">
        <v>103</v>
      </c>
      <c r="T266" s="406" t="s">
        <v>109</v>
      </c>
      <c r="U266" s="400" t="s">
        <v>103</v>
      </c>
      <c r="V266" s="281"/>
      <c r="W266" s="282"/>
      <c r="X266" s="5"/>
    </row>
    <row r="267" spans="1:25" ht="15.6" x14ac:dyDescent="0.3">
      <c r="A267" s="197"/>
      <c r="B267" s="234" t="s">
        <v>88</v>
      </c>
      <c r="C267" s="253"/>
      <c r="D267" s="253"/>
      <c r="E267" s="253"/>
      <c r="F267" s="231"/>
      <c r="G267" s="253"/>
      <c r="H267" s="253"/>
      <c r="I267" s="253"/>
      <c r="J267" s="253"/>
      <c r="K267" s="253"/>
      <c r="L267" s="253"/>
      <c r="M267" s="253"/>
      <c r="N267" s="253"/>
      <c r="O267" s="253"/>
      <c r="P267" s="253"/>
      <c r="Q267" s="253"/>
      <c r="R267" s="234">
        <v>124</v>
      </c>
      <c r="S267" s="254">
        <f t="shared" ref="S267:S274" si="7">R267/$R$276</f>
        <v>0.87323943661971826</v>
      </c>
      <c r="T267" s="241">
        <v>18956</v>
      </c>
      <c r="U267" s="254">
        <f t="shared" ref="U267:U274" si="8">T267/$T$276</f>
        <v>0.86395332938334624</v>
      </c>
      <c r="V267" s="231"/>
      <c r="W267" s="231"/>
      <c r="X267" s="5"/>
    </row>
    <row r="268" spans="1:25" ht="15.6" x14ac:dyDescent="0.3">
      <c r="A268" s="287"/>
      <c r="B268" s="337" t="s">
        <v>89</v>
      </c>
      <c r="C268" s="389"/>
      <c r="D268" s="389"/>
      <c r="E268" s="389"/>
      <c r="F268" s="288"/>
      <c r="G268" s="390"/>
      <c r="H268" s="389"/>
      <c r="I268" s="389"/>
      <c r="J268" s="389"/>
      <c r="K268" s="389"/>
      <c r="L268" s="389"/>
      <c r="M268" s="389"/>
      <c r="N268" s="389"/>
      <c r="O268" s="389"/>
      <c r="P268" s="389"/>
      <c r="Q268" s="389"/>
      <c r="R268" s="337">
        <v>1</v>
      </c>
      <c r="S268" s="390">
        <f t="shared" si="7"/>
        <v>7.0422535211267607E-3</v>
      </c>
      <c r="T268" s="338">
        <v>91</v>
      </c>
      <c r="U268" s="390">
        <f t="shared" si="8"/>
        <v>4.1474864409097121E-3</v>
      </c>
      <c r="V268" s="288"/>
      <c r="W268" s="291"/>
      <c r="X268" s="5"/>
    </row>
    <row r="269" spans="1:25" ht="15.6" x14ac:dyDescent="0.3">
      <c r="A269" s="287"/>
      <c r="B269" s="337" t="s">
        <v>90</v>
      </c>
      <c r="C269" s="389"/>
      <c r="D269" s="389"/>
      <c r="E269" s="389"/>
      <c r="F269" s="288"/>
      <c r="G269" s="390"/>
      <c r="H269" s="389"/>
      <c r="I269" s="389"/>
      <c r="J269" s="389"/>
      <c r="K269" s="389"/>
      <c r="L269" s="389"/>
      <c r="M269" s="389"/>
      <c r="N269" s="389"/>
      <c r="O269" s="389"/>
      <c r="P269" s="389"/>
      <c r="Q269" s="389"/>
      <c r="R269" s="337">
        <v>1</v>
      </c>
      <c r="S269" s="390">
        <f t="shared" si="7"/>
        <v>7.0422535211267607E-3</v>
      </c>
      <c r="T269" s="338">
        <v>125</v>
      </c>
      <c r="U269" s="390">
        <f t="shared" si="8"/>
        <v>5.6970967594913635E-3</v>
      </c>
      <c r="V269" s="288"/>
      <c r="W269" s="291"/>
      <c r="X269" s="5"/>
    </row>
    <row r="270" spans="1:25" ht="15.6" x14ac:dyDescent="0.3">
      <c r="A270" s="287"/>
      <c r="B270" s="337" t="s">
        <v>156</v>
      </c>
      <c r="C270" s="389"/>
      <c r="D270" s="389"/>
      <c r="E270" s="389"/>
      <c r="F270" s="288"/>
      <c r="G270" s="390"/>
      <c r="H270" s="389"/>
      <c r="I270" s="389"/>
      <c r="J270" s="389"/>
      <c r="K270" s="389"/>
      <c r="L270" s="389"/>
      <c r="M270" s="389"/>
      <c r="N270" s="389"/>
      <c r="O270" s="389"/>
      <c r="P270" s="389"/>
      <c r="Q270" s="389"/>
      <c r="R270" s="337">
        <v>1</v>
      </c>
      <c r="S270" s="390">
        <f t="shared" si="7"/>
        <v>7.0422535211267607E-3</v>
      </c>
      <c r="T270" s="338">
        <v>393</v>
      </c>
      <c r="U270" s="390">
        <f t="shared" si="8"/>
        <v>1.7911672211840847E-2</v>
      </c>
      <c r="V270" s="288"/>
      <c r="W270" s="291"/>
      <c r="X270" s="5"/>
    </row>
    <row r="271" spans="1:25" ht="15.6" x14ac:dyDescent="0.3">
      <c r="A271" s="287"/>
      <c r="B271" s="337" t="s">
        <v>157</v>
      </c>
      <c r="C271" s="389"/>
      <c r="D271" s="389"/>
      <c r="E271" s="389"/>
      <c r="F271" s="288"/>
      <c r="G271" s="390"/>
      <c r="H271" s="389"/>
      <c r="I271" s="389"/>
      <c r="J271" s="389"/>
      <c r="K271" s="389"/>
      <c r="L271" s="389"/>
      <c r="M271" s="389"/>
      <c r="N271" s="389"/>
      <c r="O271" s="389"/>
      <c r="P271" s="389"/>
      <c r="Q271" s="389"/>
      <c r="R271" s="337">
        <v>0</v>
      </c>
      <c r="S271" s="390">
        <f t="shared" si="7"/>
        <v>0</v>
      </c>
      <c r="T271" s="338">
        <v>0</v>
      </c>
      <c r="U271" s="390">
        <f t="shared" si="8"/>
        <v>0</v>
      </c>
      <c r="V271" s="288"/>
      <c r="W271" s="291"/>
      <c r="X271" s="5"/>
    </row>
    <row r="272" spans="1:25" ht="15.6" x14ac:dyDescent="0.3">
      <c r="A272" s="287"/>
      <c r="B272" s="337" t="s">
        <v>158</v>
      </c>
      <c r="C272" s="389"/>
      <c r="D272" s="389"/>
      <c r="E272" s="389"/>
      <c r="F272" s="288"/>
      <c r="G272" s="390"/>
      <c r="H272" s="389"/>
      <c r="I272" s="389"/>
      <c r="J272" s="389"/>
      <c r="K272" s="389"/>
      <c r="L272" s="389"/>
      <c r="M272" s="389"/>
      <c r="N272" s="389"/>
      <c r="O272" s="389"/>
      <c r="P272" s="389"/>
      <c r="Q272" s="389"/>
      <c r="R272" s="337">
        <v>2</v>
      </c>
      <c r="S272" s="390">
        <f t="shared" si="7"/>
        <v>1.4084507042253521E-2</v>
      </c>
      <c r="T272" s="338">
        <v>369</v>
      </c>
      <c r="U272" s="390">
        <f t="shared" si="8"/>
        <v>1.6817829634018504E-2</v>
      </c>
      <c r="V272" s="288"/>
      <c r="W272" s="291"/>
      <c r="X272" s="5"/>
    </row>
    <row r="273" spans="1:24" ht="15.6" x14ac:dyDescent="0.3">
      <c r="A273" s="287"/>
      <c r="B273" s="337" t="s">
        <v>159</v>
      </c>
      <c r="C273" s="389"/>
      <c r="D273" s="389"/>
      <c r="E273" s="389"/>
      <c r="F273" s="288"/>
      <c r="G273" s="390"/>
      <c r="H273" s="389"/>
      <c r="I273" s="389"/>
      <c r="J273" s="389"/>
      <c r="K273" s="389"/>
      <c r="L273" s="389"/>
      <c r="M273" s="389"/>
      <c r="N273" s="389"/>
      <c r="O273" s="389"/>
      <c r="P273" s="389"/>
      <c r="Q273" s="389"/>
      <c r="R273" s="337">
        <v>4</v>
      </c>
      <c r="S273" s="390">
        <f t="shared" si="7"/>
        <v>2.8169014084507043E-2</v>
      </c>
      <c r="T273" s="338">
        <v>552</v>
      </c>
      <c r="U273" s="390">
        <f t="shared" si="8"/>
        <v>2.5158379289913858E-2</v>
      </c>
      <c r="V273" s="288"/>
      <c r="W273" s="291"/>
      <c r="X273" s="5"/>
    </row>
    <row r="274" spans="1:24" ht="15.6" x14ac:dyDescent="0.3">
      <c r="A274" s="287"/>
      <c r="B274" s="337" t="s">
        <v>160</v>
      </c>
      <c r="C274" s="389"/>
      <c r="D274" s="389"/>
      <c r="E274" s="389"/>
      <c r="F274" s="288"/>
      <c r="G274" s="390"/>
      <c r="H274" s="389"/>
      <c r="I274" s="389"/>
      <c r="J274" s="389"/>
      <c r="K274" s="389"/>
      <c r="L274" s="389"/>
      <c r="M274" s="389"/>
      <c r="N274" s="389"/>
      <c r="O274" s="389"/>
      <c r="P274" s="389"/>
      <c r="Q274" s="389"/>
      <c r="R274" s="337">
        <v>9</v>
      </c>
      <c r="S274" s="390">
        <f t="shared" si="7"/>
        <v>6.3380281690140844E-2</v>
      </c>
      <c r="T274" s="338">
        <v>1455</v>
      </c>
      <c r="U274" s="390">
        <f t="shared" si="8"/>
        <v>6.6314206280479474E-2</v>
      </c>
      <c r="V274" s="288"/>
      <c r="W274" s="291"/>
      <c r="X274" s="5"/>
    </row>
    <row r="275" spans="1:24" ht="15.6" x14ac:dyDescent="0.3">
      <c r="A275" s="287"/>
      <c r="B275" s="337"/>
      <c r="C275" s="389"/>
      <c r="D275" s="389"/>
      <c r="E275" s="389"/>
      <c r="F275" s="288"/>
      <c r="G275" s="390"/>
      <c r="H275" s="389"/>
      <c r="I275" s="389"/>
      <c r="J275" s="389"/>
      <c r="K275" s="389"/>
      <c r="L275" s="389"/>
      <c r="M275" s="389"/>
      <c r="N275" s="389"/>
      <c r="O275" s="389"/>
      <c r="P275" s="389"/>
      <c r="Q275" s="389"/>
      <c r="R275" s="337"/>
      <c r="S275" s="390"/>
      <c r="T275" s="338"/>
      <c r="U275" s="390"/>
      <c r="V275" s="288"/>
      <c r="W275" s="291"/>
      <c r="X275" s="5"/>
    </row>
    <row r="276" spans="1:24" ht="15.6" x14ac:dyDescent="0.3">
      <c r="A276" s="287"/>
      <c r="B276" s="288"/>
      <c r="C276" s="288"/>
      <c r="D276" s="288"/>
      <c r="E276" s="288"/>
      <c r="F276" s="288"/>
      <c r="G276" s="288"/>
      <c r="H276" s="391"/>
      <c r="I276" s="391"/>
      <c r="J276" s="391"/>
      <c r="K276" s="391"/>
      <c r="L276" s="391"/>
      <c r="M276" s="391"/>
      <c r="N276" s="391"/>
      <c r="O276" s="391"/>
      <c r="P276" s="391"/>
      <c r="Q276" s="391"/>
      <c r="R276" s="337">
        <f>SUM(R267:R275)</f>
        <v>142</v>
      </c>
      <c r="S276" s="390">
        <f>SUM(S267:S275)</f>
        <v>0.99999999999999989</v>
      </c>
      <c r="T276" s="338">
        <f>SUM(T267:T275)</f>
        <v>21941</v>
      </c>
      <c r="U276" s="390">
        <f>SUM(U267:U275)</f>
        <v>0.99999999999999989</v>
      </c>
      <c r="V276" s="288"/>
      <c r="W276" s="291"/>
      <c r="X276" s="5"/>
    </row>
    <row r="277" spans="1:24" ht="15.6" x14ac:dyDescent="0.3">
      <c r="A277" s="183"/>
      <c r="B277" s="284"/>
      <c r="C277" s="284"/>
      <c r="D277" s="284"/>
      <c r="E277" s="284"/>
      <c r="F277" s="284"/>
      <c r="G277" s="284"/>
      <c r="H277" s="392"/>
      <c r="I277" s="392"/>
      <c r="J277" s="392"/>
      <c r="K277" s="392"/>
      <c r="L277" s="392"/>
      <c r="M277" s="392"/>
      <c r="N277" s="392"/>
      <c r="O277" s="392"/>
      <c r="P277" s="392"/>
      <c r="Q277" s="392"/>
      <c r="R277" s="339"/>
      <c r="S277" s="393"/>
      <c r="T277" s="394"/>
      <c r="U277" s="393"/>
      <c r="V277" s="284"/>
      <c r="W277" s="284"/>
      <c r="X277" s="5"/>
    </row>
    <row r="278" spans="1:24" ht="15.6" x14ac:dyDescent="0.3">
      <c r="A278" s="280"/>
      <c r="B278" s="399" t="s">
        <v>163</v>
      </c>
      <c r="C278" s="281"/>
      <c r="D278" s="281"/>
      <c r="E278" s="281"/>
      <c r="F278" s="281"/>
      <c r="G278" s="281"/>
      <c r="H278" s="283"/>
      <c r="I278" s="283"/>
      <c r="J278" s="283"/>
      <c r="K278" s="283"/>
      <c r="L278" s="283"/>
      <c r="M278" s="283"/>
      <c r="N278" s="283"/>
      <c r="O278" s="283"/>
      <c r="P278" s="283"/>
      <c r="Q278" s="283"/>
      <c r="R278" s="406" t="s">
        <v>102</v>
      </c>
      <c r="S278" s="400" t="s">
        <v>103</v>
      </c>
      <c r="T278" s="406" t="s">
        <v>109</v>
      </c>
      <c r="U278" s="400" t="s">
        <v>103</v>
      </c>
      <c r="V278" s="281"/>
      <c r="W278" s="282"/>
      <c r="X278" s="5"/>
    </row>
    <row r="279" spans="1:24" ht="15.6" x14ac:dyDescent="0.3">
      <c r="A279" s="197"/>
      <c r="B279" s="234" t="s">
        <v>88</v>
      </c>
      <c r="C279" s="231"/>
      <c r="D279" s="231"/>
      <c r="E279" s="231"/>
      <c r="F279" s="231"/>
      <c r="G279" s="231"/>
      <c r="H279" s="255"/>
      <c r="I279" s="255"/>
      <c r="J279" s="255"/>
      <c r="K279" s="255"/>
      <c r="L279" s="255"/>
      <c r="M279" s="255"/>
      <c r="N279" s="255"/>
      <c r="O279" s="255"/>
      <c r="P279" s="255"/>
      <c r="Q279" s="255"/>
      <c r="R279" s="234">
        <v>0</v>
      </c>
      <c r="S279" s="254">
        <v>0</v>
      </c>
      <c r="T279" s="241">
        <v>0</v>
      </c>
      <c r="U279" s="254">
        <v>0</v>
      </c>
      <c r="V279" s="231"/>
      <c r="W279" s="231"/>
      <c r="X279" s="5"/>
    </row>
    <row r="280" spans="1:24" ht="15.6" x14ac:dyDescent="0.3">
      <c r="A280" s="287"/>
      <c r="B280" s="337" t="s">
        <v>89</v>
      </c>
      <c r="C280" s="288"/>
      <c r="D280" s="288"/>
      <c r="E280" s="288"/>
      <c r="F280" s="288"/>
      <c r="G280" s="288"/>
      <c r="H280" s="391"/>
      <c r="I280" s="391"/>
      <c r="J280" s="391"/>
      <c r="K280" s="391"/>
      <c r="L280" s="391"/>
      <c r="M280" s="391"/>
      <c r="N280" s="391"/>
      <c r="O280" s="391"/>
      <c r="P280" s="391"/>
      <c r="Q280" s="391"/>
      <c r="R280" s="337">
        <v>0</v>
      </c>
      <c r="S280" s="390">
        <v>0</v>
      </c>
      <c r="T280" s="338">
        <v>0</v>
      </c>
      <c r="U280" s="390">
        <v>0</v>
      </c>
      <c r="V280" s="288"/>
      <c r="W280" s="291"/>
      <c r="X280" s="5"/>
    </row>
    <row r="281" spans="1:24" ht="15.6" x14ac:dyDescent="0.3">
      <c r="A281" s="287"/>
      <c r="B281" s="337" t="s">
        <v>90</v>
      </c>
      <c r="C281" s="288"/>
      <c r="D281" s="288"/>
      <c r="E281" s="288"/>
      <c r="F281" s="288"/>
      <c r="G281" s="288"/>
      <c r="H281" s="391"/>
      <c r="I281" s="391"/>
      <c r="J281" s="391"/>
      <c r="K281" s="391"/>
      <c r="L281" s="391"/>
      <c r="M281" s="391"/>
      <c r="N281" s="391"/>
      <c r="O281" s="391"/>
      <c r="P281" s="391"/>
      <c r="Q281" s="391"/>
      <c r="R281" s="337">
        <v>0</v>
      </c>
      <c r="S281" s="390">
        <v>0</v>
      </c>
      <c r="T281" s="338">
        <v>0</v>
      </c>
      <c r="U281" s="390">
        <v>0</v>
      </c>
      <c r="V281" s="288"/>
      <c r="W281" s="291"/>
      <c r="X281" s="5"/>
    </row>
    <row r="282" spans="1:24" ht="15.6" x14ac:dyDescent="0.3">
      <c r="A282" s="287"/>
      <c r="B282" s="337" t="s">
        <v>156</v>
      </c>
      <c r="C282" s="288"/>
      <c r="D282" s="288"/>
      <c r="E282" s="288"/>
      <c r="F282" s="288"/>
      <c r="G282" s="288"/>
      <c r="H282" s="391"/>
      <c r="I282" s="391"/>
      <c r="J282" s="391"/>
      <c r="K282" s="391"/>
      <c r="L282" s="391"/>
      <c r="M282" s="391"/>
      <c r="N282" s="391"/>
      <c r="O282" s="391"/>
      <c r="P282" s="391"/>
      <c r="Q282" s="391"/>
      <c r="R282" s="337">
        <v>0</v>
      </c>
      <c r="S282" s="390">
        <v>0</v>
      </c>
      <c r="T282" s="338">
        <v>0</v>
      </c>
      <c r="U282" s="390">
        <v>0</v>
      </c>
      <c r="V282" s="288"/>
      <c r="W282" s="291"/>
      <c r="X282" s="5"/>
    </row>
    <row r="283" spans="1:24" ht="15.6" x14ac:dyDescent="0.3">
      <c r="A283" s="287"/>
      <c r="B283" s="337" t="s">
        <v>157</v>
      </c>
      <c r="C283" s="288"/>
      <c r="D283" s="288"/>
      <c r="E283" s="288"/>
      <c r="F283" s="288"/>
      <c r="G283" s="288"/>
      <c r="H283" s="391"/>
      <c r="I283" s="391"/>
      <c r="J283" s="391"/>
      <c r="K283" s="391"/>
      <c r="L283" s="391"/>
      <c r="M283" s="391"/>
      <c r="N283" s="391"/>
      <c r="O283" s="391"/>
      <c r="P283" s="391"/>
      <c r="Q283" s="391"/>
      <c r="R283" s="337">
        <v>0</v>
      </c>
      <c r="S283" s="390">
        <v>0</v>
      </c>
      <c r="T283" s="338">
        <v>0</v>
      </c>
      <c r="U283" s="390">
        <v>0</v>
      </c>
      <c r="V283" s="288"/>
      <c r="W283" s="291"/>
      <c r="X283" s="5"/>
    </row>
    <row r="284" spans="1:24" ht="15.6" x14ac:dyDescent="0.3">
      <c r="A284" s="287"/>
      <c r="B284" s="337" t="s">
        <v>158</v>
      </c>
      <c r="C284" s="288"/>
      <c r="D284" s="288"/>
      <c r="E284" s="288"/>
      <c r="F284" s="288"/>
      <c r="G284" s="288"/>
      <c r="H284" s="391"/>
      <c r="I284" s="391"/>
      <c r="J284" s="391"/>
      <c r="K284" s="391"/>
      <c r="L284" s="391"/>
      <c r="M284" s="391"/>
      <c r="N284" s="391"/>
      <c r="O284" s="391"/>
      <c r="P284" s="391"/>
      <c r="Q284" s="391"/>
      <c r="R284" s="337">
        <v>0</v>
      </c>
      <c r="S284" s="390">
        <v>0</v>
      </c>
      <c r="T284" s="338">
        <v>0</v>
      </c>
      <c r="U284" s="390">
        <v>0</v>
      </c>
      <c r="V284" s="288"/>
      <c r="W284" s="291"/>
      <c r="X284" s="5"/>
    </row>
    <row r="285" spans="1:24" ht="15.6" x14ac:dyDescent="0.3">
      <c r="A285" s="287"/>
      <c r="B285" s="337" t="s">
        <v>159</v>
      </c>
      <c r="C285" s="288"/>
      <c r="D285" s="288"/>
      <c r="E285" s="288"/>
      <c r="F285" s="288"/>
      <c r="G285" s="288"/>
      <c r="H285" s="391"/>
      <c r="I285" s="391"/>
      <c r="J285" s="391"/>
      <c r="K285" s="391"/>
      <c r="L285" s="391"/>
      <c r="M285" s="391"/>
      <c r="N285" s="391"/>
      <c r="O285" s="391"/>
      <c r="P285" s="391"/>
      <c r="Q285" s="391"/>
      <c r="R285" s="337">
        <v>0</v>
      </c>
      <c r="S285" s="390">
        <v>0</v>
      </c>
      <c r="T285" s="338">
        <v>0</v>
      </c>
      <c r="U285" s="390">
        <v>0</v>
      </c>
      <c r="V285" s="288"/>
      <c r="W285" s="291"/>
      <c r="X285" s="5"/>
    </row>
    <row r="286" spans="1:24" ht="15.6" x14ac:dyDescent="0.3">
      <c r="A286" s="287"/>
      <c r="B286" s="337" t="s">
        <v>160</v>
      </c>
      <c r="C286" s="288"/>
      <c r="D286" s="288"/>
      <c r="E286" s="288"/>
      <c r="F286" s="288"/>
      <c r="G286" s="288"/>
      <c r="H286" s="391"/>
      <c r="I286" s="391"/>
      <c r="J286" s="391"/>
      <c r="K286" s="391"/>
      <c r="L286" s="391"/>
      <c r="M286" s="391"/>
      <c r="N286" s="391"/>
      <c r="O286" s="391"/>
      <c r="P286" s="391"/>
      <c r="Q286" s="391"/>
      <c r="R286" s="337">
        <v>0</v>
      </c>
      <c r="S286" s="390">
        <v>0</v>
      </c>
      <c r="T286" s="338">
        <v>0</v>
      </c>
      <c r="U286" s="390">
        <v>0</v>
      </c>
      <c r="V286" s="288"/>
      <c r="W286" s="291"/>
      <c r="X286" s="5"/>
    </row>
    <row r="287" spans="1:24" ht="15.6" x14ac:dyDescent="0.3">
      <c r="A287" s="287"/>
      <c r="B287" s="337"/>
      <c r="C287" s="288"/>
      <c r="D287" s="288"/>
      <c r="E287" s="288"/>
      <c r="F287" s="288"/>
      <c r="G287" s="288"/>
      <c r="H287" s="391"/>
      <c r="I287" s="391"/>
      <c r="J287" s="391"/>
      <c r="K287" s="391"/>
      <c r="L287" s="391"/>
      <c r="M287" s="391"/>
      <c r="N287" s="391"/>
      <c r="O287" s="391"/>
      <c r="P287" s="391"/>
      <c r="Q287" s="391"/>
      <c r="R287" s="337"/>
      <c r="S287" s="390"/>
      <c r="T287" s="338"/>
      <c r="U287" s="390"/>
      <c r="V287" s="288"/>
      <c r="W287" s="291"/>
      <c r="X287" s="5"/>
    </row>
    <row r="288" spans="1:24" ht="15.6" x14ac:dyDescent="0.3">
      <c r="A288" s="287"/>
      <c r="B288" s="288" t="s">
        <v>114</v>
      </c>
      <c r="C288" s="288"/>
      <c r="D288" s="288"/>
      <c r="E288" s="288"/>
      <c r="F288" s="288"/>
      <c r="G288" s="288"/>
      <c r="H288" s="391"/>
      <c r="I288" s="391"/>
      <c r="J288" s="391"/>
      <c r="K288" s="391"/>
      <c r="L288" s="391"/>
      <c r="M288" s="391"/>
      <c r="N288" s="391"/>
      <c r="O288" s="391"/>
      <c r="P288" s="391"/>
      <c r="Q288" s="391"/>
      <c r="R288" s="337">
        <f>SUM(R279:R286)</f>
        <v>0</v>
      </c>
      <c r="S288" s="390">
        <f>SUM(S279:S287)</f>
        <v>0</v>
      </c>
      <c r="T288" s="338">
        <f>SUM(T279:T286)</f>
        <v>0</v>
      </c>
      <c r="U288" s="390">
        <f>SUM(U279:U287)</f>
        <v>0</v>
      </c>
      <c r="V288" s="288"/>
      <c r="W288" s="291"/>
      <c r="X288" s="5"/>
    </row>
    <row r="289" spans="1:24" ht="15.6" x14ac:dyDescent="0.3">
      <c r="A289" s="287"/>
      <c r="B289" s="288"/>
      <c r="C289" s="288"/>
      <c r="D289" s="288"/>
      <c r="E289" s="288"/>
      <c r="F289" s="288"/>
      <c r="G289" s="288"/>
      <c r="H289" s="391"/>
      <c r="I289" s="391"/>
      <c r="J289" s="391"/>
      <c r="K289" s="391"/>
      <c r="L289" s="391"/>
      <c r="M289" s="391"/>
      <c r="N289" s="391"/>
      <c r="O289" s="391"/>
      <c r="P289" s="391"/>
      <c r="Q289" s="391"/>
      <c r="R289" s="337"/>
      <c r="S289" s="390"/>
      <c r="T289" s="338"/>
      <c r="U289" s="390"/>
      <c r="V289" s="288"/>
      <c r="W289" s="291"/>
      <c r="X289" s="5"/>
    </row>
    <row r="290" spans="1:24" ht="15.6" x14ac:dyDescent="0.3">
      <c r="A290" s="287"/>
      <c r="B290" s="295" t="s">
        <v>164</v>
      </c>
      <c r="C290" s="288"/>
      <c r="D290" s="288"/>
      <c r="E290" s="288"/>
      <c r="F290" s="288"/>
      <c r="G290" s="288"/>
      <c r="H290" s="391"/>
      <c r="I290" s="391"/>
      <c r="J290" s="391"/>
      <c r="K290" s="391"/>
      <c r="L290" s="391"/>
      <c r="M290" s="391"/>
      <c r="N290" s="391"/>
      <c r="O290" s="391"/>
      <c r="P290" s="391"/>
      <c r="Q290" s="391"/>
      <c r="R290" s="407">
        <f>R288+R276+R264</f>
        <v>7246</v>
      </c>
      <c r="S290" s="390"/>
      <c r="T290" s="396">
        <f>+T288+T276+T264</f>
        <v>1001315</v>
      </c>
      <c r="U290" s="390"/>
      <c r="V290" s="288"/>
      <c r="W290" s="291"/>
      <c r="X290" s="5"/>
    </row>
    <row r="291" spans="1:24" ht="15.6" x14ac:dyDescent="0.3">
      <c r="A291" s="183"/>
      <c r="B291" s="284"/>
      <c r="C291" s="284"/>
      <c r="D291" s="284"/>
      <c r="E291" s="284"/>
      <c r="F291" s="284"/>
      <c r="G291" s="284"/>
      <c r="H291" s="392"/>
      <c r="I291" s="392"/>
      <c r="J291" s="392"/>
      <c r="K291" s="392"/>
      <c r="L291" s="392"/>
      <c r="M291" s="392"/>
      <c r="N291" s="392"/>
      <c r="O291" s="392"/>
      <c r="P291" s="392"/>
      <c r="Q291" s="392"/>
      <c r="R291" s="392"/>
      <c r="S291" s="392"/>
      <c r="T291" s="394"/>
      <c r="U291" s="392"/>
      <c r="V291" s="284"/>
      <c r="W291" s="284"/>
      <c r="X291" s="5"/>
    </row>
    <row r="292" spans="1:24" ht="15.6" x14ac:dyDescent="0.3">
      <c r="A292" s="183"/>
      <c r="B292" s="224"/>
      <c r="C292" s="224"/>
      <c r="D292" s="224"/>
      <c r="E292" s="224"/>
      <c r="F292" s="224"/>
      <c r="G292" s="224"/>
      <c r="H292" s="256"/>
      <c r="I292" s="256"/>
      <c r="J292" s="256"/>
      <c r="K292" s="256"/>
      <c r="L292" s="256"/>
      <c r="M292" s="256"/>
      <c r="N292" s="256"/>
      <c r="O292" s="256"/>
      <c r="P292" s="256"/>
      <c r="Q292" s="256"/>
      <c r="R292" s="256"/>
      <c r="S292" s="256"/>
      <c r="T292" s="257"/>
      <c r="U292" s="256"/>
      <c r="V292" s="224"/>
      <c r="W292" s="224"/>
      <c r="X292" s="5"/>
    </row>
    <row r="293" spans="1:24" ht="15.6" x14ac:dyDescent="0.3">
      <c r="A293" s="219"/>
      <c r="B293" s="222" t="s">
        <v>91</v>
      </c>
      <c r="C293" s="224"/>
      <c r="D293" s="224"/>
      <c r="E293" s="224"/>
      <c r="F293" s="228" t="s">
        <v>97</v>
      </c>
      <c r="G293" s="224"/>
      <c r="H293" s="222" t="s">
        <v>99</v>
      </c>
      <c r="I293" s="222"/>
      <c r="J293" s="222"/>
      <c r="K293" s="258"/>
      <c r="L293" s="258"/>
      <c r="M293" s="258"/>
      <c r="N293" s="258"/>
      <c r="O293" s="258"/>
      <c r="P293" s="258"/>
      <c r="Q293" s="258"/>
      <c r="R293" s="258"/>
      <c r="S293" s="258"/>
      <c r="T293" s="258"/>
      <c r="U293" s="258"/>
      <c r="V293" s="258"/>
      <c r="W293" s="258"/>
      <c r="X293" s="5"/>
    </row>
    <row r="294" spans="1:24" ht="15.6" x14ac:dyDescent="0.3">
      <c r="A294" s="219"/>
      <c r="B294" s="258"/>
      <c r="C294" s="224"/>
      <c r="D294" s="224"/>
      <c r="E294" s="224"/>
      <c r="F294" s="224"/>
      <c r="G294" s="224"/>
      <c r="H294" s="224"/>
      <c r="I294" s="224"/>
      <c r="J294" s="224"/>
      <c r="K294" s="258"/>
      <c r="L294" s="258"/>
      <c r="M294" s="258"/>
      <c r="N294" s="258"/>
      <c r="O294" s="258"/>
      <c r="P294" s="258"/>
      <c r="Q294" s="258"/>
      <c r="R294" s="258"/>
      <c r="S294" s="258"/>
      <c r="T294" s="258"/>
      <c r="U294" s="258"/>
      <c r="V294" s="258"/>
      <c r="W294" s="258"/>
      <c r="X294" s="5"/>
    </row>
    <row r="295" spans="1:24" ht="15.6" x14ac:dyDescent="0.3">
      <c r="A295" s="219"/>
      <c r="B295" s="222" t="s">
        <v>338</v>
      </c>
      <c r="C295" s="222"/>
      <c r="D295" s="222"/>
      <c r="E295" s="222"/>
      <c r="F295" s="259" t="s">
        <v>148</v>
      </c>
      <c r="G295" s="222"/>
      <c r="H295" s="222" t="s">
        <v>152</v>
      </c>
      <c r="I295" s="222"/>
      <c r="J295" s="222"/>
      <c r="K295" s="258"/>
      <c r="L295" s="258"/>
      <c r="M295" s="258"/>
      <c r="N295" s="258"/>
      <c r="O295" s="258"/>
      <c r="P295" s="258"/>
      <c r="Q295" s="258"/>
      <c r="R295" s="258"/>
      <c r="S295" s="258"/>
      <c r="T295" s="258"/>
      <c r="U295" s="258"/>
      <c r="V295" s="258"/>
      <c r="W295" s="258"/>
      <c r="X295" s="5"/>
    </row>
    <row r="296" spans="1:24" ht="15.6" x14ac:dyDescent="0.3">
      <c r="A296" s="219"/>
      <c r="B296" s="222" t="s">
        <v>339</v>
      </c>
      <c r="C296" s="222"/>
      <c r="D296" s="222"/>
      <c r="E296" s="222"/>
      <c r="F296" s="259" t="s">
        <v>278</v>
      </c>
      <c r="G296" s="222"/>
      <c r="H296" s="222" t="s">
        <v>279</v>
      </c>
      <c r="I296" s="258"/>
      <c r="J296" s="222"/>
      <c r="K296" s="258"/>
      <c r="L296" s="258"/>
      <c r="M296" s="258"/>
      <c r="N296" s="258"/>
      <c r="O296" s="258"/>
      <c r="P296" s="258"/>
      <c r="Q296" s="258"/>
      <c r="R296" s="258"/>
      <c r="S296" s="258"/>
      <c r="T296" s="258"/>
      <c r="U296" s="258"/>
      <c r="V296" s="258"/>
      <c r="W296" s="258"/>
      <c r="X296" s="5"/>
    </row>
    <row r="297" spans="1:24" ht="15.6" x14ac:dyDescent="0.3">
      <c r="A297" s="219"/>
      <c r="B297" s="222" t="s">
        <v>340</v>
      </c>
      <c r="C297" s="222"/>
      <c r="D297" s="222"/>
      <c r="E297" s="222"/>
      <c r="F297" s="259" t="s">
        <v>147</v>
      </c>
      <c r="G297" s="222"/>
      <c r="H297" s="222" t="s">
        <v>153</v>
      </c>
      <c r="I297" s="222"/>
      <c r="J297" s="222"/>
      <c r="K297" s="258"/>
      <c r="L297" s="258"/>
      <c r="M297" s="258"/>
      <c r="N297" s="258"/>
      <c r="O297" s="258"/>
      <c r="P297" s="258"/>
      <c r="Q297" s="258"/>
      <c r="R297" s="258"/>
      <c r="S297" s="258"/>
      <c r="T297" s="258"/>
      <c r="U297" s="258"/>
      <c r="V297" s="258"/>
      <c r="W297" s="258"/>
      <c r="X297" s="5"/>
    </row>
    <row r="298" spans="1:24" ht="15.6" x14ac:dyDescent="0.3">
      <c r="A298" s="219"/>
      <c r="B298" s="222"/>
      <c r="C298" s="222"/>
      <c r="D298" s="222"/>
      <c r="E298" s="222"/>
      <c r="F298" s="222"/>
      <c r="G298" s="260"/>
      <c r="H298" s="258"/>
      <c r="I298" s="258"/>
      <c r="J298" s="258"/>
      <c r="K298" s="258"/>
      <c r="L298" s="258"/>
      <c r="M298" s="258"/>
      <c r="N298" s="258"/>
      <c r="O298" s="258"/>
      <c r="P298" s="258"/>
      <c r="Q298" s="258"/>
      <c r="R298" s="258"/>
      <c r="S298" s="258"/>
      <c r="T298" s="258"/>
      <c r="U298" s="258"/>
      <c r="V298" s="258"/>
      <c r="W298" s="258"/>
      <c r="X298" s="5"/>
    </row>
    <row r="299" spans="1:24" ht="15.6" x14ac:dyDescent="0.3">
      <c r="A299" s="219"/>
      <c r="B299" s="222"/>
      <c r="C299" s="222"/>
      <c r="D299" s="222"/>
      <c r="E299" s="222"/>
      <c r="F299" s="222"/>
      <c r="G299" s="260"/>
      <c r="H299" s="258"/>
      <c r="I299" s="258"/>
      <c r="J299" s="258"/>
      <c r="K299" s="258"/>
      <c r="L299" s="258"/>
      <c r="M299" s="258"/>
      <c r="N299" s="258"/>
      <c r="O299" s="258"/>
      <c r="P299" s="258"/>
      <c r="Q299" s="258"/>
      <c r="R299" s="258"/>
      <c r="S299" s="258"/>
      <c r="T299" s="258"/>
      <c r="U299" s="258"/>
      <c r="V299" s="258"/>
      <c r="W299" s="258"/>
      <c r="X299" s="5"/>
    </row>
    <row r="300" spans="1:24" ht="18" thickBot="1" x14ac:dyDescent="0.35">
      <c r="A300" s="219"/>
      <c r="B300" s="261" t="str">
        <f>B204</f>
        <v>PM14 INVESTOR REPORT QUARTER ENDING AUGUST 2015</v>
      </c>
      <c r="C300" s="222"/>
      <c r="D300" s="222"/>
      <c r="E300" s="222"/>
      <c r="F300" s="222"/>
      <c r="G300" s="260"/>
      <c r="H300" s="258"/>
      <c r="I300" s="258"/>
      <c r="J300" s="258"/>
      <c r="K300" s="258"/>
      <c r="L300" s="258"/>
      <c r="M300" s="258"/>
      <c r="N300" s="258"/>
      <c r="O300" s="258"/>
      <c r="P300" s="258"/>
      <c r="Q300" s="258"/>
      <c r="R300" s="258"/>
      <c r="S300" s="258"/>
      <c r="T300" s="258"/>
      <c r="U300" s="258"/>
      <c r="V300" s="258"/>
      <c r="W300" s="258"/>
      <c r="X300" s="5"/>
    </row>
    <row r="301" spans="1:24" x14ac:dyDescent="0.25">
      <c r="A301" s="100"/>
      <c r="B301" s="100"/>
      <c r="C301" s="100"/>
      <c r="D301" s="100"/>
      <c r="E301" s="100"/>
      <c r="F301" s="100"/>
      <c r="G301" s="100"/>
      <c r="H301" s="100"/>
      <c r="I301" s="100"/>
      <c r="J301" s="100"/>
      <c r="K301" s="100"/>
      <c r="L301" s="100"/>
      <c r="M301" s="100"/>
      <c r="N301" s="100"/>
      <c r="O301" s="100"/>
      <c r="P301" s="100"/>
      <c r="Q301" s="100"/>
      <c r="R301" s="100"/>
      <c r="S301" s="100"/>
      <c r="T301" s="100"/>
      <c r="U301" s="100"/>
      <c r="V301" s="100"/>
      <c r="W301" s="100"/>
    </row>
  </sheetData>
  <hyperlinks>
    <hyperlink ref="P240" r:id="rId1" xr:uid="{00000000-0004-0000-2000-000000000000}"/>
    <hyperlink ref="I9" r:id="rId2" xr:uid="{00000000-0004-0000-20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8" max="14" man="1"/>
    <brk id="204" max="14" man="1"/>
  </rowBreaks>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4"/>
  </sheetPr>
  <dimension ref="A1:IV301"/>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80"/>
      <c r="B1" s="220" t="s">
        <v>244</v>
      </c>
      <c r="C1" s="181"/>
      <c r="D1" s="181"/>
      <c r="E1" s="181"/>
      <c r="F1" s="181"/>
      <c r="G1" s="181"/>
      <c r="H1" s="181"/>
      <c r="I1" s="181"/>
      <c r="J1" s="181"/>
      <c r="K1" s="181"/>
      <c r="L1" s="181"/>
      <c r="M1" s="181"/>
      <c r="N1" s="181"/>
      <c r="O1" s="181"/>
      <c r="P1" s="181"/>
      <c r="Q1" s="181"/>
      <c r="R1" s="181"/>
      <c r="S1" s="181"/>
      <c r="T1" s="181"/>
      <c r="U1" s="181"/>
      <c r="V1" s="181"/>
      <c r="W1" s="181"/>
      <c r="X1" s="5"/>
    </row>
    <row r="2" spans="1:24" ht="15.6" x14ac:dyDescent="0.3">
      <c r="A2" s="183"/>
      <c r="B2" s="184"/>
      <c r="C2" s="185"/>
      <c r="D2" s="185"/>
      <c r="E2" s="185"/>
      <c r="F2" s="185"/>
      <c r="G2" s="185"/>
      <c r="H2" s="185"/>
      <c r="I2" s="185"/>
      <c r="J2" s="185"/>
      <c r="K2" s="185"/>
      <c r="L2" s="185"/>
      <c r="M2" s="185"/>
      <c r="N2" s="185"/>
      <c r="O2" s="185"/>
      <c r="P2" s="185"/>
      <c r="Q2" s="185"/>
      <c r="R2" s="185"/>
      <c r="S2" s="185"/>
      <c r="T2" s="185"/>
      <c r="U2" s="185"/>
      <c r="V2" s="185"/>
      <c r="W2" s="185"/>
      <c r="X2" s="5"/>
    </row>
    <row r="3" spans="1:24" ht="15.6" x14ac:dyDescent="0.3">
      <c r="A3" s="186"/>
      <c r="B3" s="187" t="s">
        <v>245</v>
      </c>
      <c r="C3" s="185"/>
      <c r="D3" s="185"/>
      <c r="E3" s="185"/>
      <c r="F3" s="185"/>
      <c r="G3" s="185"/>
      <c r="H3" s="185"/>
      <c r="I3" s="185"/>
      <c r="J3" s="185"/>
      <c r="K3" s="185"/>
      <c r="L3" s="185"/>
      <c r="M3" s="185"/>
      <c r="N3" s="185"/>
      <c r="O3" s="185"/>
      <c r="P3" s="185"/>
      <c r="Q3" s="185"/>
      <c r="R3" s="185"/>
      <c r="S3" s="185"/>
      <c r="T3" s="185"/>
      <c r="U3" s="185"/>
      <c r="V3" s="185"/>
      <c r="W3" s="185"/>
      <c r="X3" s="5"/>
    </row>
    <row r="4" spans="1:24" ht="15.6" x14ac:dyDescent="0.3">
      <c r="A4" s="183"/>
      <c r="B4" s="184"/>
      <c r="C4" s="185"/>
      <c r="D4" s="185"/>
      <c r="E4" s="185"/>
      <c r="F4" s="185"/>
      <c r="G4" s="185"/>
      <c r="H4" s="185"/>
      <c r="I4" s="185"/>
      <c r="J4" s="185"/>
      <c r="K4" s="185"/>
      <c r="L4" s="185"/>
      <c r="M4" s="185"/>
      <c r="N4" s="185"/>
      <c r="O4" s="185"/>
      <c r="P4" s="185"/>
      <c r="Q4" s="185"/>
      <c r="R4" s="185"/>
      <c r="S4" s="185"/>
      <c r="T4" s="185"/>
      <c r="U4" s="185"/>
      <c r="V4" s="185"/>
      <c r="W4" s="185"/>
      <c r="X4" s="5"/>
    </row>
    <row r="5" spans="1:24" ht="15.6" x14ac:dyDescent="0.3">
      <c r="A5" s="183"/>
      <c r="B5" s="221" t="s">
        <v>137</v>
      </c>
      <c r="C5" s="185"/>
      <c r="D5" s="185"/>
      <c r="E5" s="185"/>
      <c r="F5" s="185"/>
      <c r="G5" s="185"/>
      <c r="H5" s="185"/>
      <c r="I5" s="185"/>
      <c r="J5" s="185"/>
      <c r="K5" s="185"/>
      <c r="L5" s="185"/>
      <c r="M5" s="185"/>
      <c r="N5" s="185"/>
      <c r="O5" s="185"/>
      <c r="P5" s="185"/>
      <c r="Q5" s="185"/>
      <c r="R5" s="185"/>
      <c r="S5" s="185"/>
      <c r="T5" s="185"/>
      <c r="U5" s="185"/>
      <c r="V5" s="185"/>
      <c r="W5" s="185"/>
      <c r="X5" s="5"/>
    </row>
    <row r="6" spans="1:24" ht="15.6" x14ac:dyDescent="0.3">
      <c r="A6" s="183"/>
      <c r="B6" s="221" t="s">
        <v>139</v>
      </c>
      <c r="C6" s="185"/>
      <c r="D6" s="185"/>
      <c r="E6" s="185"/>
      <c r="F6" s="185"/>
      <c r="G6" s="185"/>
      <c r="H6" s="185"/>
      <c r="I6" s="185"/>
      <c r="J6" s="185"/>
      <c r="K6" s="185"/>
      <c r="L6" s="185"/>
      <c r="M6" s="185"/>
      <c r="N6" s="185"/>
      <c r="O6" s="185"/>
      <c r="P6" s="185"/>
      <c r="Q6" s="185"/>
      <c r="R6" s="185"/>
      <c r="S6" s="185"/>
      <c r="T6" s="185"/>
      <c r="U6" s="185"/>
      <c r="V6" s="185"/>
      <c r="W6" s="185"/>
      <c r="X6" s="5"/>
    </row>
    <row r="7" spans="1:24" ht="15.6" x14ac:dyDescent="0.3">
      <c r="A7" s="183"/>
      <c r="B7" s="221" t="s">
        <v>138</v>
      </c>
      <c r="C7" s="185"/>
      <c r="D7" s="185"/>
      <c r="E7" s="185"/>
      <c r="F7" s="185"/>
      <c r="G7" s="185"/>
      <c r="H7" s="185"/>
      <c r="I7" s="185"/>
      <c r="J7" s="185"/>
      <c r="K7" s="185"/>
      <c r="L7" s="185"/>
      <c r="M7" s="185"/>
      <c r="N7" s="185"/>
      <c r="O7" s="185"/>
      <c r="P7" s="185"/>
      <c r="Q7" s="185"/>
      <c r="R7" s="185"/>
      <c r="S7" s="185"/>
      <c r="T7" s="185"/>
      <c r="U7" s="185"/>
      <c r="V7" s="185"/>
      <c r="W7" s="185"/>
      <c r="X7" s="5"/>
    </row>
    <row r="8" spans="1:24" ht="15.6" x14ac:dyDescent="0.3">
      <c r="A8" s="183"/>
      <c r="B8" s="188"/>
      <c r="C8" s="185"/>
      <c r="D8" s="185"/>
      <c r="E8" s="185"/>
      <c r="F8" s="185"/>
      <c r="G8" s="185"/>
      <c r="H8" s="185"/>
      <c r="I8" s="185"/>
      <c r="J8" s="185"/>
      <c r="K8" s="185"/>
      <c r="L8" s="185"/>
      <c r="M8" s="185"/>
      <c r="N8" s="185"/>
      <c r="O8" s="185"/>
      <c r="P8" s="185"/>
      <c r="Q8" s="185"/>
      <c r="R8" s="185"/>
      <c r="S8" s="185"/>
      <c r="T8" s="185"/>
      <c r="U8" s="185"/>
      <c r="V8" s="185"/>
      <c r="W8" s="185"/>
      <c r="X8" s="5"/>
    </row>
    <row r="9" spans="1:24" ht="17.399999999999999" x14ac:dyDescent="0.3">
      <c r="A9" s="183"/>
      <c r="B9" s="189" t="s">
        <v>166</v>
      </c>
      <c r="C9" s="185"/>
      <c r="D9" s="185"/>
      <c r="E9" s="185"/>
      <c r="F9" s="185"/>
      <c r="G9" s="185"/>
      <c r="H9" s="185"/>
      <c r="I9" s="190" t="s">
        <v>167</v>
      </c>
      <c r="J9" s="185"/>
      <c r="K9" s="185"/>
      <c r="L9" s="190"/>
      <c r="M9" s="185"/>
      <c r="N9" s="190"/>
      <c r="O9" s="185"/>
      <c r="P9" s="185"/>
      <c r="Q9" s="185"/>
      <c r="R9" s="185"/>
      <c r="S9" s="185"/>
      <c r="T9" s="185"/>
      <c r="U9" s="185"/>
      <c r="V9" s="185"/>
      <c r="W9" s="185"/>
      <c r="X9" s="5"/>
    </row>
    <row r="10" spans="1:24" ht="15.6" x14ac:dyDescent="0.3">
      <c r="A10" s="183"/>
      <c r="B10" s="188"/>
      <c r="C10" s="191"/>
      <c r="D10" s="191"/>
      <c r="E10" s="191"/>
      <c r="F10" s="185"/>
      <c r="G10" s="185"/>
      <c r="H10" s="185"/>
      <c r="I10" s="185"/>
      <c r="J10" s="185"/>
      <c r="K10" s="185"/>
      <c r="L10" s="185"/>
      <c r="M10" s="185"/>
      <c r="N10" s="185"/>
      <c r="O10" s="185"/>
      <c r="P10" s="185"/>
      <c r="Q10" s="185"/>
      <c r="R10" s="185"/>
      <c r="S10" s="185"/>
      <c r="T10" s="185"/>
      <c r="U10" s="185"/>
      <c r="V10" s="185"/>
      <c r="W10" s="185"/>
      <c r="X10" s="5"/>
    </row>
    <row r="11" spans="1:24" ht="15.6" x14ac:dyDescent="0.3">
      <c r="A11" s="183"/>
      <c r="B11" s="222" t="s">
        <v>0</v>
      </c>
      <c r="C11" s="185"/>
      <c r="D11" s="185"/>
      <c r="E11" s="185"/>
      <c r="F11" s="185"/>
      <c r="G11" s="185"/>
      <c r="H11" s="185"/>
      <c r="I11" s="185"/>
      <c r="J11" s="185"/>
      <c r="K11" s="185"/>
      <c r="L11" s="185"/>
      <c r="M11" s="185"/>
      <c r="N11" s="185"/>
      <c r="O11" s="185"/>
      <c r="P11" s="185"/>
      <c r="Q11" s="185"/>
      <c r="R11" s="185"/>
      <c r="S11" s="185"/>
      <c r="T11" s="185"/>
      <c r="U11" s="185"/>
      <c r="V11" s="185"/>
      <c r="W11" s="185"/>
      <c r="X11" s="5"/>
    </row>
    <row r="12" spans="1:24" ht="16.2" thickBot="1" x14ac:dyDescent="0.35">
      <c r="A12" s="183"/>
      <c r="B12" s="191"/>
      <c r="C12" s="185"/>
      <c r="D12" s="185"/>
      <c r="E12" s="185"/>
      <c r="F12" s="185"/>
      <c r="G12" s="185"/>
      <c r="H12" s="185"/>
      <c r="I12" s="185"/>
      <c r="J12" s="185"/>
      <c r="K12" s="185"/>
      <c r="L12" s="185"/>
      <c r="M12" s="185"/>
      <c r="N12" s="185"/>
      <c r="O12" s="185"/>
      <c r="P12" s="185"/>
      <c r="Q12" s="185"/>
      <c r="R12" s="185"/>
      <c r="S12" s="185"/>
      <c r="T12" s="185"/>
      <c r="U12" s="185"/>
      <c r="V12" s="185"/>
      <c r="W12" s="185"/>
      <c r="X12" s="5"/>
    </row>
    <row r="13" spans="1:24" ht="15.6" x14ac:dyDescent="0.3">
      <c r="A13" s="180"/>
      <c r="B13" s="181"/>
      <c r="C13" s="181"/>
      <c r="D13" s="181"/>
      <c r="E13" s="181"/>
      <c r="F13" s="181"/>
      <c r="G13" s="181"/>
      <c r="H13" s="181"/>
      <c r="I13" s="181"/>
      <c r="J13" s="181"/>
      <c r="K13" s="181"/>
      <c r="L13" s="181"/>
      <c r="M13" s="181"/>
      <c r="N13" s="181"/>
      <c r="O13" s="181"/>
      <c r="P13" s="181"/>
      <c r="Q13" s="181"/>
      <c r="R13" s="181"/>
      <c r="S13" s="181"/>
      <c r="T13" s="181"/>
      <c r="U13" s="181"/>
      <c r="V13" s="181"/>
      <c r="W13" s="181"/>
      <c r="X13" s="5"/>
    </row>
    <row r="14" spans="1:24" ht="15.6" x14ac:dyDescent="0.3">
      <c r="A14" s="183"/>
      <c r="B14" s="222" t="s">
        <v>1</v>
      </c>
      <c r="C14" s="192"/>
      <c r="D14" s="192"/>
      <c r="E14" s="192"/>
      <c r="F14" s="192"/>
      <c r="G14" s="192"/>
      <c r="H14" s="192"/>
      <c r="I14" s="192"/>
      <c r="J14" s="192"/>
      <c r="K14" s="192"/>
      <c r="L14" s="192"/>
      <c r="M14" s="192"/>
      <c r="N14" s="192"/>
      <c r="O14" s="192"/>
      <c r="P14" s="192"/>
      <c r="Q14" s="192"/>
      <c r="R14" s="224"/>
      <c r="S14" s="224"/>
      <c r="T14" s="224"/>
      <c r="U14" s="224"/>
      <c r="V14" s="225" t="s">
        <v>246</v>
      </c>
      <c r="W14" s="192"/>
      <c r="X14" s="5"/>
    </row>
    <row r="15" spans="1:24" ht="15.6" x14ac:dyDescent="0.3">
      <c r="A15" s="183"/>
      <c r="B15" s="222" t="s">
        <v>2</v>
      </c>
      <c r="C15" s="192"/>
      <c r="D15" s="192"/>
      <c r="E15" s="192"/>
      <c r="F15" s="192"/>
      <c r="G15" s="192"/>
      <c r="H15" s="193"/>
      <c r="I15" s="193"/>
      <c r="J15" s="193"/>
      <c r="K15" s="193"/>
      <c r="L15" s="193"/>
      <c r="M15" s="193"/>
      <c r="N15" s="193"/>
      <c r="O15" s="193"/>
      <c r="P15" s="193"/>
      <c r="Q15" s="193"/>
      <c r="R15" s="226" t="s">
        <v>104</v>
      </c>
      <c r="S15" s="227">
        <v>0.38300000000000001</v>
      </c>
      <c r="T15" s="228" t="s">
        <v>140</v>
      </c>
      <c r="U15" s="227">
        <v>0.61699999999999999</v>
      </c>
      <c r="V15" s="225"/>
      <c r="W15" s="192"/>
      <c r="X15" s="5"/>
    </row>
    <row r="16" spans="1:24" ht="15.6" x14ac:dyDescent="0.3">
      <c r="A16" s="183"/>
      <c r="B16" s="222" t="s">
        <v>3</v>
      </c>
      <c r="C16" s="192"/>
      <c r="D16" s="192"/>
      <c r="E16" s="192"/>
      <c r="F16" s="192"/>
      <c r="G16" s="192"/>
      <c r="H16" s="193"/>
      <c r="I16" s="193"/>
      <c r="J16" s="193"/>
      <c r="K16" s="193"/>
      <c r="L16" s="193"/>
      <c r="M16" s="193"/>
      <c r="N16" s="193"/>
      <c r="O16" s="193"/>
      <c r="P16" s="193"/>
      <c r="Q16" s="193"/>
      <c r="R16" s="226" t="s">
        <v>104</v>
      </c>
      <c r="S16" s="227">
        <v>0.47320000000000001</v>
      </c>
      <c r="T16" s="228" t="s">
        <v>140</v>
      </c>
      <c r="U16" s="227">
        <v>0.52680000000000005</v>
      </c>
      <c r="V16" s="225"/>
      <c r="W16" s="192"/>
      <c r="X16" s="5"/>
    </row>
    <row r="17" spans="1:24" ht="15.6" x14ac:dyDescent="0.3">
      <c r="A17" s="183"/>
      <c r="B17" s="222" t="s">
        <v>4</v>
      </c>
      <c r="C17" s="192"/>
      <c r="D17" s="192"/>
      <c r="E17" s="192"/>
      <c r="F17" s="192"/>
      <c r="G17" s="192"/>
      <c r="H17" s="192"/>
      <c r="I17" s="192"/>
      <c r="J17" s="192"/>
      <c r="K17" s="192"/>
      <c r="L17" s="192"/>
      <c r="M17" s="192"/>
      <c r="N17" s="192"/>
      <c r="O17" s="192"/>
      <c r="P17" s="192"/>
      <c r="Q17" s="192"/>
      <c r="R17" s="224"/>
      <c r="S17" s="224"/>
      <c r="T17" s="224"/>
      <c r="U17" s="224"/>
      <c r="V17" s="229">
        <v>39163</v>
      </c>
      <c r="W17" s="192"/>
      <c r="X17" s="5"/>
    </row>
    <row r="18" spans="1:24" ht="15.6" x14ac:dyDescent="0.3">
      <c r="A18" s="183"/>
      <c r="B18" s="222" t="s">
        <v>5</v>
      </c>
      <c r="C18" s="192"/>
      <c r="D18" s="192"/>
      <c r="E18" s="192"/>
      <c r="F18" s="192"/>
      <c r="G18" s="192"/>
      <c r="H18" s="192"/>
      <c r="I18" s="192"/>
      <c r="J18" s="192"/>
      <c r="K18" s="192"/>
      <c r="L18" s="192"/>
      <c r="M18" s="192"/>
      <c r="N18" s="192"/>
      <c r="O18" s="192"/>
      <c r="P18" s="192"/>
      <c r="Q18" s="192"/>
      <c r="R18" s="224"/>
      <c r="S18" s="224"/>
      <c r="T18" s="224"/>
      <c r="U18" s="224"/>
      <c r="V18" s="229">
        <v>42360</v>
      </c>
      <c r="W18" s="192"/>
      <c r="X18" s="5"/>
    </row>
    <row r="19" spans="1:24" ht="15.6" x14ac:dyDescent="0.3">
      <c r="A19" s="183"/>
      <c r="B19" s="185"/>
      <c r="C19" s="185"/>
      <c r="D19" s="185"/>
      <c r="E19" s="185"/>
      <c r="F19" s="185"/>
      <c r="G19" s="185"/>
      <c r="H19" s="185"/>
      <c r="I19" s="185"/>
      <c r="J19" s="185"/>
      <c r="K19" s="185"/>
      <c r="L19" s="185"/>
      <c r="M19" s="185"/>
      <c r="N19" s="185"/>
      <c r="O19" s="185"/>
      <c r="P19" s="185"/>
      <c r="Q19" s="185"/>
      <c r="R19" s="185"/>
      <c r="S19" s="185"/>
      <c r="T19" s="185"/>
      <c r="U19" s="185"/>
      <c r="V19" s="194"/>
      <c r="W19" s="185"/>
      <c r="X19" s="5"/>
    </row>
    <row r="20" spans="1:24" ht="15.6" x14ac:dyDescent="0.3">
      <c r="A20" s="183"/>
      <c r="B20" s="230" t="s">
        <v>6</v>
      </c>
      <c r="C20" s="185"/>
      <c r="D20" s="185"/>
      <c r="E20" s="185"/>
      <c r="F20" s="185"/>
      <c r="G20" s="185"/>
      <c r="H20" s="185"/>
      <c r="I20" s="185"/>
      <c r="J20" s="185"/>
      <c r="K20" s="185"/>
      <c r="L20" s="185"/>
      <c r="M20" s="185"/>
      <c r="N20" s="185"/>
      <c r="O20" s="185"/>
      <c r="P20" s="185"/>
      <c r="Q20" s="185"/>
      <c r="R20" s="185"/>
      <c r="S20" s="185"/>
      <c r="T20" s="223" t="s">
        <v>105</v>
      </c>
      <c r="U20" s="185"/>
      <c r="V20" s="182"/>
      <c r="W20" s="185"/>
      <c r="X20" s="5"/>
    </row>
    <row r="21" spans="1:24" ht="15.6" x14ac:dyDescent="0.3">
      <c r="A21" s="183"/>
      <c r="B21" s="185"/>
      <c r="C21" s="185"/>
      <c r="D21" s="185"/>
      <c r="E21" s="185"/>
      <c r="F21" s="185"/>
      <c r="G21" s="185"/>
      <c r="H21" s="185"/>
      <c r="I21" s="185"/>
      <c r="J21" s="185"/>
      <c r="K21" s="185"/>
      <c r="L21" s="185"/>
      <c r="M21" s="185"/>
      <c r="N21" s="185"/>
      <c r="O21" s="185"/>
      <c r="P21" s="185"/>
      <c r="Q21" s="185"/>
      <c r="R21" s="185"/>
      <c r="S21" s="185"/>
      <c r="T21" s="185"/>
      <c r="U21" s="185"/>
      <c r="V21" s="196"/>
      <c r="W21" s="185"/>
      <c r="X21" s="5"/>
    </row>
    <row r="22" spans="1:24" ht="15.6" x14ac:dyDescent="0.3">
      <c r="A22" s="262"/>
      <c r="B22" s="263"/>
      <c r="C22" s="264"/>
      <c r="D22" s="264" t="s">
        <v>177</v>
      </c>
      <c r="E22" s="264"/>
      <c r="F22" s="264" t="s">
        <v>178</v>
      </c>
      <c r="G22" s="264"/>
      <c r="H22" s="264" t="s">
        <v>179</v>
      </c>
      <c r="I22" s="264"/>
      <c r="J22" s="264" t="s">
        <v>220</v>
      </c>
      <c r="K22" s="264"/>
      <c r="L22" s="264" t="s">
        <v>180</v>
      </c>
      <c r="M22" s="264"/>
      <c r="N22" s="264" t="s">
        <v>181</v>
      </c>
      <c r="O22" s="264"/>
      <c r="P22" s="264" t="s">
        <v>221</v>
      </c>
      <c r="Q22" s="264"/>
      <c r="R22" s="264" t="s">
        <v>182</v>
      </c>
      <c r="S22" s="266"/>
      <c r="T22" s="266"/>
      <c r="U22" s="267"/>
      <c r="V22" s="267"/>
      <c r="W22" s="263"/>
      <c r="X22" s="5"/>
    </row>
    <row r="23" spans="1:24" ht="15.6" x14ac:dyDescent="0.3">
      <c r="A23" s="287"/>
      <c r="B23" s="288" t="s">
        <v>7</v>
      </c>
      <c r="C23" s="289"/>
      <c r="D23" s="289" t="s">
        <v>213</v>
      </c>
      <c r="E23" s="289"/>
      <c r="F23" s="289" t="s">
        <v>141</v>
      </c>
      <c r="G23" s="289"/>
      <c r="H23" s="289" t="s">
        <v>141</v>
      </c>
      <c r="I23" s="289"/>
      <c r="J23" s="289" t="s">
        <v>141</v>
      </c>
      <c r="K23" s="289"/>
      <c r="L23" s="289" t="s">
        <v>183</v>
      </c>
      <c r="M23" s="289"/>
      <c r="N23" s="289" t="s">
        <v>183</v>
      </c>
      <c r="O23" s="289"/>
      <c r="P23" s="289" t="s">
        <v>142</v>
      </c>
      <c r="Q23" s="289"/>
      <c r="R23" s="289" t="s">
        <v>142</v>
      </c>
      <c r="S23" s="289"/>
      <c r="T23" s="289"/>
      <c r="U23" s="290"/>
      <c r="V23" s="290"/>
      <c r="W23" s="291"/>
      <c r="X23" s="5"/>
    </row>
    <row r="24" spans="1:24" ht="15.6" x14ac:dyDescent="0.3">
      <c r="A24" s="287"/>
      <c r="B24" s="288" t="s">
        <v>8</v>
      </c>
      <c r="C24" s="289"/>
      <c r="D24" s="289" t="s">
        <v>214</v>
      </c>
      <c r="E24" s="289"/>
      <c r="F24" s="289" t="s">
        <v>143</v>
      </c>
      <c r="G24" s="289"/>
      <c r="H24" s="289" t="s">
        <v>143</v>
      </c>
      <c r="I24" s="289"/>
      <c r="J24" s="289" t="s">
        <v>143</v>
      </c>
      <c r="K24" s="289"/>
      <c r="L24" s="289" t="s">
        <v>165</v>
      </c>
      <c r="M24" s="289"/>
      <c r="N24" s="289" t="s">
        <v>165</v>
      </c>
      <c r="O24" s="289"/>
      <c r="P24" s="289" t="s">
        <v>144</v>
      </c>
      <c r="Q24" s="289"/>
      <c r="R24" s="289" t="s">
        <v>144</v>
      </c>
      <c r="S24" s="289"/>
      <c r="T24" s="289"/>
      <c r="U24" s="290"/>
      <c r="V24" s="290"/>
      <c r="W24" s="291"/>
      <c r="X24" s="5"/>
    </row>
    <row r="25" spans="1:24" ht="15.6" x14ac:dyDescent="0.3">
      <c r="A25" s="292"/>
      <c r="B25" s="288" t="s">
        <v>190</v>
      </c>
      <c r="C25" s="398"/>
      <c r="D25" s="289" t="s">
        <v>215</v>
      </c>
      <c r="E25" s="289"/>
      <c r="F25" s="289" t="s">
        <v>143</v>
      </c>
      <c r="G25" s="289"/>
      <c r="H25" s="289" t="s">
        <v>143</v>
      </c>
      <c r="I25" s="289"/>
      <c r="J25" s="289" t="s">
        <v>143</v>
      </c>
      <c r="K25" s="289"/>
      <c r="L25" s="289" t="s">
        <v>293</v>
      </c>
      <c r="M25" s="289"/>
      <c r="N25" s="289" t="s">
        <v>293</v>
      </c>
      <c r="O25" s="289"/>
      <c r="P25" s="289" t="s">
        <v>144</v>
      </c>
      <c r="Q25" s="289"/>
      <c r="R25" s="289" t="s">
        <v>144</v>
      </c>
      <c r="S25" s="398"/>
      <c r="T25" s="289"/>
      <c r="U25" s="290"/>
      <c r="V25" s="290"/>
      <c r="W25" s="291"/>
      <c r="X25" s="5"/>
    </row>
    <row r="26" spans="1:24" ht="15.6" x14ac:dyDescent="0.3">
      <c r="A26" s="292"/>
      <c r="B26" s="295" t="s">
        <v>9</v>
      </c>
      <c r="C26" s="398"/>
      <c r="D26" s="398" t="s">
        <v>332</v>
      </c>
      <c r="E26" s="398"/>
      <c r="F26" s="398" t="s">
        <v>333</v>
      </c>
      <c r="G26" s="398"/>
      <c r="H26" s="398" t="s">
        <v>333</v>
      </c>
      <c r="I26" s="398"/>
      <c r="J26" s="398" t="s">
        <v>333</v>
      </c>
      <c r="K26" s="398"/>
      <c r="L26" s="398" t="s">
        <v>333</v>
      </c>
      <c r="M26" s="398"/>
      <c r="N26" s="398" t="s">
        <v>333</v>
      </c>
      <c r="O26" s="398"/>
      <c r="P26" s="398" t="s">
        <v>334</v>
      </c>
      <c r="Q26" s="398"/>
      <c r="R26" s="398" t="s">
        <v>334</v>
      </c>
      <c r="S26" s="398"/>
      <c r="T26" s="289"/>
      <c r="U26" s="290"/>
      <c r="V26" s="290"/>
      <c r="W26" s="291"/>
      <c r="X26" s="5"/>
    </row>
    <row r="27" spans="1:24" ht="15.6" x14ac:dyDescent="0.3">
      <c r="A27" s="287"/>
      <c r="B27" s="295" t="s">
        <v>191</v>
      </c>
      <c r="C27" s="289"/>
      <c r="D27" s="398" t="s">
        <v>352</v>
      </c>
      <c r="E27" s="398"/>
      <c r="F27" s="398" t="s">
        <v>143</v>
      </c>
      <c r="G27" s="398"/>
      <c r="H27" s="398" t="s">
        <v>143</v>
      </c>
      <c r="I27" s="398"/>
      <c r="J27" s="398" t="s">
        <v>143</v>
      </c>
      <c r="K27" s="398"/>
      <c r="L27" s="398" t="s">
        <v>319</v>
      </c>
      <c r="M27" s="398"/>
      <c r="N27" s="398" t="s">
        <v>319</v>
      </c>
      <c r="O27" s="398"/>
      <c r="P27" s="398" t="s">
        <v>320</v>
      </c>
      <c r="Q27" s="398"/>
      <c r="R27" s="398" t="s">
        <v>320</v>
      </c>
      <c r="S27" s="289"/>
      <c r="T27" s="296"/>
      <c r="U27" s="290"/>
      <c r="V27" s="290"/>
      <c r="W27" s="291"/>
      <c r="X27" s="5"/>
    </row>
    <row r="28" spans="1:24" ht="15.6" x14ac:dyDescent="0.3">
      <c r="A28" s="287"/>
      <c r="B28" s="295" t="s">
        <v>192</v>
      </c>
      <c r="C28" s="289"/>
      <c r="D28" s="398" t="s">
        <v>350</v>
      </c>
      <c r="E28" s="398"/>
      <c r="F28" s="398" t="s">
        <v>143</v>
      </c>
      <c r="G28" s="398"/>
      <c r="H28" s="398" t="s">
        <v>143</v>
      </c>
      <c r="I28" s="398"/>
      <c r="J28" s="398" t="s">
        <v>143</v>
      </c>
      <c r="K28" s="398"/>
      <c r="L28" s="398" t="s">
        <v>293</v>
      </c>
      <c r="M28" s="398"/>
      <c r="N28" s="398" t="s">
        <v>293</v>
      </c>
      <c r="O28" s="398"/>
      <c r="P28" s="398" t="s">
        <v>337</v>
      </c>
      <c r="Q28" s="398"/>
      <c r="R28" s="398" t="s">
        <v>337</v>
      </c>
      <c r="S28" s="289"/>
      <c r="T28" s="296"/>
      <c r="U28" s="290"/>
      <c r="V28" s="290"/>
      <c r="W28" s="291"/>
      <c r="X28" s="5"/>
    </row>
    <row r="29" spans="1:24" ht="15.6" x14ac:dyDescent="0.3">
      <c r="A29" s="287"/>
      <c r="B29" s="288" t="s">
        <v>10</v>
      </c>
      <c r="C29" s="298"/>
      <c r="D29" s="289" t="s">
        <v>249</v>
      </c>
      <c r="E29" s="289"/>
      <c r="F29" s="296" t="s">
        <v>250</v>
      </c>
      <c r="G29" s="289"/>
      <c r="H29" s="289" t="s">
        <v>251</v>
      </c>
      <c r="I29" s="289"/>
      <c r="J29" s="289" t="s">
        <v>253</v>
      </c>
      <c r="K29" s="289"/>
      <c r="L29" s="289" t="s">
        <v>254</v>
      </c>
      <c r="M29" s="289"/>
      <c r="N29" s="289" t="s">
        <v>255</v>
      </c>
      <c r="O29" s="289"/>
      <c r="P29" s="289" t="s">
        <v>256</v>
      </c>
      <c r="Q29" s="289"/>
      <c r="R29" s="289" t="s">
        <v>257</v>
      </c>
      <c r="S29" s="299"/>
      <c r="T29" s="299"/>
      <c r="U29" s="300"/>
      <c r="V29" s="299"/>
      <c r="W29" s="301"/>
      <c r="X29" s="5"/>
    </row>
    <row r="30" spans="1:24" ht="15.6" x14ac:dyDescent="0.3">
      <c r="A30" s="287"/>
      <c r="B30" s="288" t="s">
        <v>10</v>
      </c>
      <c r="C30" s="298"/>
      <c r="D30" s="289" t="s">
        <v>248</v>
      </c>
      <c r="E30" s="289"/>
      <c r="F30" s="296" t="s">
        <v>118</v>
      </c>
      <c r="G30" s="289"/>
      <c r="H30" s="289" t="s">
        <v>118</v>
      </c>
      <c r="I30" s="289"/>
      <c r="J30" s="289" t="s">
        <v>252</v>
      </c>
      <c r="K30" s="289"/>
      <c r="L30" s="289" t="s">
        <v>118</v>
      </c>
      <c r="M30" s="289"/>
      <c r="N30" s="289" t="s">
        <v>118</v>
      </c>
      <c r="O30" s="289"/>
      <c r="P30" s="289" t="s">
        <v>118</v>
      </c>
      <c r="Q30" s="289"/>
      <c r="R30" s="289" t="s">
        <v>118</v>
      </c>
      <c r="S30" s="299"/>
      <c r="T30" s="299"/>
      <c r="U30" s="300"/>
      <c r="V30" s="299"/>
      <c r="W30" s="301"/>
      <c r="X30" s="5"/>
    </row>
    <row r="31" spans="1:24" ht="15.6" x14ac:dyDescent="0.3">
      <c r="A31" s="292"/>
      <c r="B31" s="288" t="s">
        <v>133</v>
      </c>
      <c r="C31" s="302"/>
      <c r="D31" s="303">
        <v>1500000</v>
      </c>
      <c r="E31" s="298"/>
      <c r="F31" s="299">
        <v>125000</v>
      </c>
      <c r="G31" s="299"/>
      <c r="H31" s="304">
        <v>246000</v>
      </c>
      <c r="I31" s="304"/>
      <c r="J31" s="303">
        <v>400000</v>
      </c>
      <c r="K31" s="299"/>
      <c r="L31" s="299">
        <v>51900</v>
      </c>
      <c r="M31" s="299"/>
      <c r="N31" s="304">
        <v>88800</v>
      </c>
      <c r="O31" s="299"/>
      <c r="P31" s="299">
        <v>20000</v>
      </c>
      <c r="Q31" s="299"/>
      <c r="R31" s="304">
        <v>135500</v>
      </c>
      <c r="S31" s="305"/>
      <c r="T31" s="305"/>
      <c r="U31" s="306"/>
      <c r="V31" s="305"/>
      <c r="W31" s="301"/>
      <c r="X31" s="5"/>
    </row>
    <row r="32" spans="1:24" ht="15.6" x14ac:dyDescent="0.3">
      <c r="A32" s="287"/>
      <c r="B32" s="288" t="s">
        <v>132</v>
      </c>
      <c r="C32" s="298"/>
      <c r="D32" s="303">
        <f>D31*D38</f>
        <v>913015.35</v>
      </c>
      <c r="E32" s="298"/>
      <c r="F32" s="299">
        <f>F31*F38</f>
        <v>76084.799999999988</v>
      </c>
      <c r="G32" s="299"/>
      <c r="H32" s="304">
        <f>H31*H38</f>
        <v>149734.88639999999</v>
      </c>
      <c r="I32" s="304"/>
      <c r="J32" s="303">
        <f>J31*J38</f>
        <v>243470.75999999998</v>
      </c>
      <c r="K32" s="299"/>
      <c r="L32" s="299">
        <f>+L31</f>
        <v>51900</v>
      </c>
      <c r="M32" s="299"/>
      <c r="N32" s="304">
        <f>+N31</f>
        <v>88800</v>
      </c>
      <c r="O32" s="299"/>
      <c r="P32" s="299">
        <f>+P31</f>
        <v>20000</v>
      </c>
      <c r="Q32" s="299"/>
      <c r="R32" s="304">
        <f>+R31</f>
        <v>135500</v>
      </c>
      <c r="S32" s="299"/>
      <c r="T32" s="299"/>
      <c r="U32" s="300"/>
      <c r="V32" s="299"/>
      <c r="W32" s="301"/>
      <c r="X32" s="5"/>
    </row>
    <row r="33" spans="1:24" ht="15.6" x14ac:dyDescent="0.3">
      <c r="A33" s="287"/>
      <c r="B33" s="295" t="s">
        <v>134</v>
      </c>
      <c r="C33" s="298"/>
      <c r="D33" s="307">
        <f>D37*D31</f>
        <v>897729.15</v>
      </c>
      <c r="E33" s="302"/>
      <c r="F33" s="305">
        <f>F37*F31</f>
        <v>74810.95</v>
      </c>
      <c r="G33" s="305"/>
      <c r="H33" s="308">
        <f>H31*H37</f>
        <v>147227.94959999999</v>
      </c>
      <c r="I33" s="308"/>
      <c r="J33" s="307">
        <f>J37*J31</f>
        <v>239394.44</v>
      </c>
      <c r="K33" s="305"/>
      <c r="L33" s="305">
        <f>L31*L37</f>
        <v>51900</v>
      </c>
      <c r="M33" s="305"/>
      <c r="N33" s="308">
        <f>N31*N37</f>
        <v>88800</v>
      </c>
      <c r="O33" s="305"/>
      <c r="P33" s="305">
        <f>P31*P37</f>
        <v>20000</v>
      </c>
      <c r="Q33" s="305"/>
      <c r="R33" s="308">
        <f>R31*R37</f>
        <v>135500</v>
      </c>
      <c r="S33" s="299"/>
      <c r="T33" s="299"/>
      <c r="U33" s="300"/>
      <c r="V33" s="299"/>
      <c r="W33" s="301"/>
      <c r="X33" s="5"/>
    </row>
    <row r="34" spans="1:24" ht="15.6" x14ac:dyDescent="0.3">
      <c r="A34" s="292"/>
      <c r="B34" s="288" t="s">
        <v>296</v>
      </c>
      <c r="C34" s="302"/>
      <c r="D34" s="299">
        <v>775194</v>
      </c>
      <c r="E34" s="298"/>
      <c r="F34" s="299">
        <v>125000</v>
      </c>
      <c r="G34" s="299"/>
      <c r="H34" s="299">
        <v>168148</v>
      </c>
      <c r="I34" s="299"/>
      <c r="J34" s="299">
        <v>206718</v>
      </c>
      <c r="K34" s="299"/>
      <c r="L34" s="299">
        <v>51900</v>
      </c>
      <c r="M34" s="299"/>
      <c r="N34" s="299">
        <v>60697</v>
      </c>
      <c r="O34" s="299"/>
      <c r="P34" s="299">
        <v>20000</v>
      </c>
      <c r="Q34" s="299"/>
      <c r="R34" s="299">
        <v>92618</v>
      </c>
      <c r="S34" s="305"/>
      <c r="T34" s="305"/>
      <c r="U34" s="306"/>
      <c r="V34" s="299">
        <f>SUM(C34:R34)</f>
        <v>1500275</v>
      </c>
      <c r="W34" s="301"/>
      <c r="X34" s="5"/>
    </row>
    <row r="35" spans="1:24" ht="15.6" x14ac:dyDescent="0.3">
      <c r="A35" s="292"/>
      <c r="B35" s="288" t="s">
        <v>297</v>
      </c>
      <c r="C35" s="302"/>
      <c r="D35" s="299">
        <f>D34*D38</f>
        <v>471842.6808186</v>
      </c>
      <c r="E35" s="298"/>
      <c r="F35" s="299">
        <f>F34*F38</f>
        <v>76084.799999999988</v>
      </c>
      <c r="G35" s="299"/>
      <c r="H35" s="299">
        <f>H34*H38</f>
        <v>102348.05560319999</v>
      </c>
      <c r="I35" s="299"/>
      <c r="J35" s="299">
        <f>J34*J38</f>
        <v>125824.47141419999</v>
      </c>
      <c r="K35" s="299"/>
      <c r="L35" s="299">
        <f>+L34</f>
        <v>51900</v>
      </c>
      <c r="M35" s="299"/>
      <c r="N35" s="299">
        <f>+N34</f>
        <v>60697</v>
      </c>
      <c r="O35" s="299"/>
      <c r="P35" s="299">
        <f>+P34</f>
        <v>20000</v>
      </c>
      <c r="Q35" s="299"/>
      <c r="R35" s="299">
        <f>+R34</f>
        <v>92618</v>
      </c>
      <c r="S35" s="299"/>
      <c r="T35" s="299"/>
      <c r="U35" s="300"/>
      <c r="V35" s="299">
        <f>SUM(C35:R35)</f>
        <v>1001315.0078359999</v>
      </c>
      <c r="W35" s="301"/>
      <c r="X35" s="5"/>
    </row>
    <row r="36" spans="1:24" ht="15.6" x14ac:dyDescent="0.3">
      <c r="A36" s="292"/>
      <c r="B36" s="295" t="s">
        <v>298</v>
      </c>
      <c r="C36" s="302"/>
      <c r="D36" s="305">
        <f>D34*D37</f>
        <v>463942.83380339999</v>
      </c>
      <c r="E36" s="302"/>
      <c r="F36" s="305">
        <f>F34*F37</f>
        <v>74810.95</v>
      </c>
      <c r="G36" s="305"/>
      <c r="H36" s="305">
        <f>H34*H37</f>
        <v>100634.4929648</v>
      </c>
      <c r="I36" s="305"/>
      <c r="J36" s="305">
        <f>J34*J37</f>
        <v>123717.84961980001</v>
      </c>
      <c r="K36" s="305"/>
      <c r="L36" s="305">
        <f>L34*L37</f>
        <v>51900</v>
      </c>
      <c r="M36" s="305"/>
      <c r="N36" s="305">
        <f>N34*N37</f>
        <v>60697</v>
      </c>
      <c r="O36" s="305"/>
      <c r="P36" s="305">
        <f>P34*P37</f>
        <v>20000</v>
      </c>
      <c r="Q36" s="305"/>
      <c r="R36" s="305">
        <f>R34*R37</f>
        <v>92618</v>
      </c>
      <c r="S36" s="328"/>
      <c r="T36" s="328"/>
      <c r="U36" s="300"/>
      <c r="V36" s="305">
        <f>SUM(C36:R36)</f>
        <v>988321.12638799998</v>
      </c>
      <c r="W36" s="301"/>
      <c r="X36" s="5"/>
    </row>
    <row r="37" spans="1:24" ht="15.6" x14ac:dyDescent="0.3">
      <c r="A37" s="287"/>
      <c r="B37" s="313" t="s">
        <v>130</v>
      </c>
      <c r="C37" s="314"/>
      <c r="D37" s="315">
        <v>0.59848610000000002</v>
      </c>
      <c r="E37" s="315"/>
      <c r="F37" s="315">
        <v>0.59848760000000001</v>
      </c>
      <c r="G37" s="315"/>
      <c r="H37" s="315">
        <v>0.59848760000000001</v>
      </c>
      <c r="I37" s="315"/>
      <c r="J37" s="315">
        <v>0.59848610000000002</v>
      </c>
      <c r="K37" s="315"/>
      <c r="L37" s="315">
        <v>1</v>
      </c>
      <c r="M37" s="315"/>
      <c r="N37" s="315">
        <v>1</v>
      </c>
      <c r="O37" s="315"/>
      <c r="P37" s="315">
        <v>1</v>
      </c>
      <c r="Q37" s="315"/>
      <c r="R37" s="315">
        <v>1</v>
      </c>
      <c r="S37" s="316"/>
      <c r="T37" s="316"/>
      <c r="U37" s="317"/>
      <c r="V37" s="317"/>
      <c r="W37" s="318"/>
      <c r="X37" s="5"/>
    </row>
    <row r="38" spans="1:24" ht="15.6" x14ac:dyDescent="0.3">
      <c r="A38" s="287"/>
      <c r="B38" s="313" t="s">
        <v>131</v>
      </c>
      <c r="C38" s="314"/>
      <c r="D38" s="315">
        <v>0.60867689999999997</v>
      </c>
      <c r="E38" s="315"/>
      <c r="F38" s="315">
        <v>0.60867839999999995</v>
      </c>
      <c r="G38" s="315"/>
      <c r="H38" s="315">
        <v>0.60867839999999995</v>
      </c>
      <c r="I38" s="315"/>
      <c r="J38" s="315">
        <v>0.60867689999999997</v>
      </c>
      <c r="K38" s="315"/>
      <c r="L38" s="315">
        <v>1</v>
      </c>
      <c r="M38" s="315"/>
      <c r="N38" s="315">
        <v>1</v>
      </c>
      <c r="O38" s="315"/>
      <c r="P38" s="315">
        <v>1</v>
      </c>
      <c r="Q38" s="315"/>
      <c r="R38" s="315">
        <v>1</v>
      </c>
      <c r="S38" s="319"/>
      <c r="T38" s="320"/>
      <c r="U38" s="317"/>
      <c r="V38" s="319"/>
      <c r="W38" s="318"/>
      <c r="X38" s="5"/>
    </row>
    <row r="39" spans="1:24" ht="15.6" x14ac:dyDescent="0.3">
      <c r="A39" s="287"/>
      <c r="B39" s="288" t="s">
        <v>11</v>
      </c>
      <c r="C39" s="288"/>
      <c r="D39" s="296" t="s">
        <v>321</v>
      </c>
      <c r="E39" s="288"/>
      <c r="F39" s="296" t="s">
        <v>231</v>
      </c>
      <c r="G39" s="296"/>
      <c r="H39" s="296" t="s">
        <v>231</v>
      </c>
      <c r="I39" s="296"/>
      <c r="J39" s="296" t="s">
        <v>231</v>
      </c>
      <c r="K39" s="296"/>
      <c r="L39" s="296" t="s">
        <v>265</v>
      </c>
      <c r="M39" s="296"/>
      <c r="N39" s="296" t="s">
        <v>265</v>
      </c>
      <c r="O39" s="296"/>
      <c r="P39" s="296" t="s">
        <v>266</v>
      </c>
      <c r="Q39" s="296"/>
      <c r="R39" s="296" t="s">
        <v>266</v>
      </c>
      <c r="S39" s="321"/>
      <c r="T39" s="322"/>
      <c r="U39" s="290"/>
      <c r="V39" s="290"/>
      <c r="W39" s="291"/>
      <c r="X39" s="5"/>
    </row>
    <row r="40" spans="1:24" ht="15.6" x14ac:dyDescent="0.3">
      <c r="A40" s="287"/>
      <c r="B40" s="288" t="s">
        <v>12</v>
      </c>
      <c r="C40" s="288"/>
      <c r="D40" s="322">
        <v>3.9699999999999996E-3</v>
      </c>
      <c r="E40" s="288"/>
      <c r="F40" s="322">
        <v>7.8750000000000001E-3</v>
      </c>
      <c r="G40" s="321"/>
      <c r="H40" s="322">
        <v>1.6199999999999999E-3</v>
      </c>
      <c r="I40" s="322"/>
      <c r="J40" s="322">
        <v>5.372E-3</v>
      </c>
      <c r="K40" s="321"/>
      <c r="L40" s="322">
        <v>9.4750000000000008E-3</v>
      </c>
      <c r="M40" s="321"/>
      <c r="N40" s="322">
        <v>3.2200000000000002E-3</v>
      </c>
      <c r="O40" s="321"/>
      <c r="P40" s="322">
        <v>1.3475000000000001E-2</v>
      </c>
      <c r="Q40" s="321"/>
      <c r="R40" s="322">
        <v>7.2199999999999999E-3</v>
      </c>
      <c r="S40" s="321"/>
      <c r="T40" s="322"/>
      <c r="U40" s="290"/>
      <c r="V40" s="296"/>
      <c r="W40" s="291"/>
      <c r="X40" s="5"/>
    </row>
    <row r="41" spans="1:24" ht="15.6" x14ac:dyDescent="0.3">
      <c r="A41" s="287"/>
      <c r="B41" s="288" t="s">
        <v>13</v>
      </c>
      <c r="C41" s="288"/>
      <c r="D41" s="322">
        <v>3.9760000000000004E-3</v>
      </c>
      <c r="E41" s="288"/>
      <c r="F41" s="322">
        <v>7.7124999999999997E-3</v>
      </c>
      <c r="G41" s="321"/>
      <c r="H41" s="322">
        <v>1.8600000000000001E-3</v>
      </c>
      <c r="I41" s="322"/>
      <c r="J41" s="322">
        <v>4.8585E-3</v>
      </c>
      <c r="K41" s="321"/>
      <c r="L41" s="322">
        <v>9.3124999999999996E-3</v>
      </c>
      <c r="M41" s="321"/>
      <c r="N41" s="322">
        <v>3.46E-3</v>
      </c>
      <c r="O41" s="321"/>
      <c r="P41" s="322">
        <v>1.33125E-2</v>
      </c>
      <c r="Q41" s="321"/>
      <c r="R41" s="322">
        <v>7.4599999999999996E-3</v>
      </c>
      <c r="S41" s="321"/>
      <c r="T41" s="322"/>
      <c r="U41" s="290"/>
      <c r="V41" s="321" t="s">
        <v>193</v>
      </c>
      <c r="W41" s="291"/>
      <c r="X41" s="5"/>
    </row>
    <row r="42" spans="1:24" ht="15.6" x14ac:dyDescent="0.3">
      <c r="A42" s="287"/>
      <c r="B42" s="288" t="s">
        <v>299</v>
      </c>
      <c r="C42" s="288"/>
      <c r="D42" s="296" t="s">
        <v>322</v>
      </c>
      <c r="E42" s="288"/>
      <c r="F42" s="296" t="s">
        <v>231</v>
      </c>
      <c r="G42" s="296"/>
      <c r="H42" s="296" t="s">
        <v>323</v>
      </c>
      <c r="I42" s="296"/>
      <c r="J42" s="296" t="s">
        <v>324</v>
      </c>
      <c r="K42" s="296"/>
      <c r="L42" s="296" t="s">
        <v>265</v>
      </c>
      <c r="M42" s="296"/>
      <c r="N42" s="296" t="s">
        <v>234</v>
      </c>
      <c r="O42" s="296"/>
      <c r="P42" s="296" t="s">
        <v>266</v>
      </c>
      <c r="Q42" s="296"/>
      <c r="R42" s="296" t="s">
        <v>264</v>
      </c>
      <c r="S42" s="321"/>
      <c r="T42" s="322"/>
      <c r="U42" s="290"/>
      <c r="V42" s="290"/>
      <c r="W42" s="291"/>
      <c r="X42" s="5"/>
    </row>
    <row r="43" spans="1:24" ht="15.6" x14ac:dyDescent="0.3">
      <c r="A43" s="287"/>
      <c r="B43" s="288" t="s">
        <v>300</v>
      </c>
      <c r="C43" s="323"/>
      <c r="D43" s="322">
        <v>8.2489999999999994E-3</v>
      </c>
      <c r="E43" s="322"/>
      <c r="F43" s="322">
        <f>+F40</f>
        <v>7.8750000000000001E-3</v>
      </c>
      <c r="G43" s="322"/>
      <c r="H43" s="322">
        <v>8.1550000000000008E-3</v>
      </c>
      <c r="I43" s="322"/>
      <c r="J43" s="322">
        <v>8.6009999999999993E-3</v>
      </c>
      <c r="K43" s="322"/>
      <c r="L43" s="322">
        <f>+L40</f>
        <v>9.4750000000000008E-3</v>
      </c>
      <c r="M43" s="322"/>
      <c r="N43" s="322">
        <v>1.0067E-2</v>
      </c>
      <c r="O43" s="322"/>
      <c r="P43" s="322">
        <f>+P40</f>
        <v>1.3475000000000001E-2</v>
      </c>
      <c r="Q43" s="321"/>
      <c r="R43" s="322">
        <v>1.4541E-2</v>
      </c>
      <c r="S43" s="296"/>
      <c r="T43" s="296"/>
      <c r="U43" s="290"/>
      <c r="V43" s="321">
        <f>SUMPRODUCT(D43:R43,D35:R35)/V35</f>
        <v>9.1153235612395547E-3</v>
      </c>
      <c r="W43" s="291"/>
      <c r="X43" s="5"/>
    </row>
    <row r="44" spans="1:24" ht="15.6" x14ac:dyDescent="0.3">
      <c r="A44" s="287"/>
      <c r="B44" s="288" t="s">
        <v>301</v>
      </c>
      <c r="C44" s="323"/>
      <c r="D44" s="322">
        <v>8.0864999999999999E-3</v>
      </c>
      <c r="E44" s="322"/>
      <c r="F44" s="322">
        <f>+F41</f>
        <v>7.7124999999999997E-3</v>
      </c>
      <c r="G44" s="322"/>
      <c r="H44" s="322">
        <v>7.9924999999999996E-3</v>
      </c>
      <c r="I44" s="322"/>
      <c r="J44" s="322">
        <v>8.4384999999999998E-3</v>
      </c>
      <c r="K44" s="322"/>
      <c r="L44" s="322">
        <f>+L41</f>
        <v>9.3124999999999996E-3</v>
      </c>
      <c r="M44" s="322"/>
      <c r="N44" s="322">
        <v>9.9045000000000001E-3</v>
      </c>
      <c r="O44" s="322"/>
      <c r="P44" s="322">
        <f>+P41</f>
        <v>1.33125E-2</v>
      </c>
      <c r="Q44" s="321"/>
      <c r="R44" s="322">
        <v>1.4378500000000001E-2</v>
      </c>
      <c r="S44" s="296"/>
      <c r="T44" s="296"/>
      <c r="U44" s="290"/>
      <c r="V44" s="290"/>
      <c r="W44" s="291"/>
      <c r="X44" s="5"/>
    </row>
    <row r="45" spans="1:24" ht="15.6" x14ac:dyDescent="0.3">
      <c r="A45" s="287"/>
      <c r="B45" s="288" t="s">
        <v>14</v>
      </c>
      <c r="C45" s="288"/>
      <c r="D45" s="323">
        <v>40617</v>
      </c>
      <c r="E45" s="323"/>
      <c r="F45" s="323">
        <v>40617</v>
      </c>
      <c r="G45" s="323"/>
      <c r="H45" s="323">
        <v>40617</v>
      </c>
      <c r="I45" s="323"/>
      <c r="J45" s="323">
        <v>40617</v>
      </c>
      <c r="K45" s="323"/>
      <c r="L45" s="323">
        <v>40617</v>
      </c>
      <c r="M45" s="323"/>
      <c r="N45" s="323">
        <v>40617</v>
      </c>
      <c r="O45" s="323"/>
      <c r="P45" s="323">
        <v>40617</v>
      </c>
      <c r="Q45" s="323"/>
      <c r="R45" s="323">
        <v>40617</v>
      </c>
      <c r="S45" s="296"/>
      <c r="T45" s="296"/>
      <c r="U45" s="290"/>
      <c r="V45" s="290"/>
      <c r="W45" s="291"/>
      <c r="X45" s="5"/>
    </row>
    <row r="46" spans="1:24" ht="15.6" x14ac:dyDescent="0.3">
      <c r="A46" s="287"/>
      <c r="B46" s="288" t="s">
        <v>15</v>
      </c>
      <c r="C46" s="288"/>
      <c r="D46" s="323">
        <v>40983</v>
      </c>
      <c r="E46" s="323"/>
      <c r="F46" s="323">
        <v>40983</v>
      </c>
      <c r="G46" s="323"/>
      <c r="H46" s="323">
        <v>40983</v>
      </c>
      <c r="I46" s="323"/>
      <c r="J46" s="323">
        <v>40983</v>
      </c>
      <c r="K46" s="296"/>
      <c r="L46" s="323">
        <v>40983</v>
      </c>
      <c r="M46" s="296"/>
      <c r="N46" s="323">
        <v>40983</v>
      </c>
      <c r="O46" s="296"/>
      <c r="P46" s="323">
        <v>40983</v>
      </c>
      <c r="Q46" s="296"/>
      <c r="R46" s="323">
        <v>40983</v>
      </c>
      <c r="S46" s="296"/>
      <c r="T46" s="296"/>
      <c r="U46" s="290"/>
      <c r="V46" s="290"/>
      <c r="W46" s="291"/>
      <c r="X46" s="5"/>
    </row>
    <row r="47" spans="1:24" ht="15.6" x14ac:dyDescent="0.3">
      <c r="A47" s="287"/>
      <c r="B47" s="288" t="s">
        <v>119</v>
      </c>
      <c r="C47" s="288"/>
      <c r="D47" s="296" t="s">
        <v>231</v>
      </c>
      <c r="E47" s="288"/>
      <c r="F47" s="296" t="s">
        <v>231</v>
      </c>
      <c r="G47" s="296"/>
      <c r="H47" s="296" t="s">
        <v>231</v>
      </c>
      <c r="I47" s="296"/>
      <c r="J47" s="296" t="s">
        <v>231</v>
      </c>
      <c r="K47" s="296"/>
      <c r="L47" s="296" t="s">
        <v>265</v>
      </c>
      <c r="M47" s="296"/>
      <c r="N47" s="296" t="s">
        <v>265</v>
      </c>
      <c r="O47" s="296"/>
      <c r="P47" s="296" t="s">
        <v>266</v>
      </c>
      <c r="Q47" s="296"/>
      <c r="R47" s="296" t="s">
        <v>266</v>
      </c>
      <c r="S47" s="325"/>
      <c r="T47" s="325"/>
      <c r="U47" s="325"/>
      <c r="V47" s="325"/>
      <c r="W47" s="291"/>
      <c r="X47" s="5"/>
    </row>
    <row r="48" spans="1:24" ht="15.6" x14ac:dyDescent="0.3">
      <c r="A48" s="287"/>
      <c r="B48" s="288" t="s">
        <v>302</v>
      </c>
      <c r="C48" s="288"/>
      <c r="D48" s="296" t="s">
        <v>325</v>
      </c>
      <c r="E48" s="288"/>
      <c r="F48" s="296" t="s">
        <v>231</v>
      </c>
      <c r="G48" s="296"/>
      <c r="H48" s="296" t="s">
        <v>262</v>
      </c>
      <c r="I48" s="296"/>
      <c r="J48" s="296" t="s">
        <v>263</v>
      </c>
      <c r="K48" s="296"/>
      <c r="L48" s="296" t="s">
        <v>265</v>
      </c>
      <c r="M48" s="296"/>
      <c r="N48" s="296" t="s">
        <v>234</v>
      </c>
      <c r="O48" s="296"/>
      <c r="P48" s="296" t="s">
        <v>266</v>
      </c>
      <c r="Q48" s="296"/>
      <c r="R48" s="296" t="s">
        <v>264</v>
      </c>
      <c r="S48" s="288"/>
      <c r="T48" s="288"/>
      <c r="U48" s="288"/>
      <c r="V48" s="321"/>
      <c r="W48" s="291"/>
      <c r="X48" s="5"/>
    </row>
    <row r="49" spans="1:25" ht="15.6" x14ac:dyDescent="0.3">
      <c r="A49" s="287"/>
      <c r="B49" s="288"/>
      <c r="C49" s="288"/>
      <c r="D49" s="296"/>
      <c r="E49" s="288"/>
      <c r="F49" s="296"/>
      <c r="G49" s="296"/>
      <c r="H49" s="296"/>
      <c r="I49" s="296"/>
      <c r="J49" s="296"/>
      <c r="K49" s="296"/>
      <c r="L49" s="296"/>
      <c r="M49" s="296"/>
      <c r="N49" s="296"/>
      <c r="O49" s="296"/>
      <c r="P49" s="296"/>
      <c r="Q49" s="296"/>
      <c r="R49" s="296"/>
      <c r="S49" s="288"/>
      <c r="T49" s="288"/>
      <c r="U49" s="288"/>
      <c r="V49" s="321" t="s">
        <v>193</v>
      </c>
      <c r="W49" s="291"/>
      <c r="X49" s="5"/>
    </row>
    <row r="50" spans="1:25" ht="15.6" x14ac:dyDescent="0.3">
      <c r="A50" s="287"/>
      <c r="B50" s="288" t="s">
        <v>169</v>
      </c>
      <c r="C50" s="288"/>
      <c r="D50" s="296"/>
      <c r="E50" s="288"/>
      <c r="F50" s="296"/>
      <c r="G50" s="296"/>
      <c r="H50" s="296"/>
      <c r="I50" s="296"/>
      <c r="J50" s="296"/>
      <c r="K50" s="296"/>
      <c r="L50" s="296"/>
      <c r="M50" s="296"/>
      <c r="N50" s="296"/>
      <c r="O50" s="296"/>
      <c r="P50" s="296"/>
      <c r="Q50" s="296"/>
      <c r="R50" s="296"/>
      <c r="S50" s="288"/>
      <c r="T50" s="288"/>
      <c r="U50" s="288"/>
      <c r="V50" s="321">
        <f>SUM(L34:R34)/SUM(D34:J34)</f>
        <v>0.17663090364375009</v>
      </c>
      <c r="W50" s="291"/>
      <c r="X50" s="5"/>
    </row>
    <row r="51" spans="1:25" ht="15.6" x14ac:dyDescent="0.3">
      <c r="A51" s="287"/>
      <c r="B51" s="288" t="s">
        <v>170</v>
      </c>
      <c r="C51" s="288"/>
      <c r="D51" s="288"/>
      <c r="E51" s="288"/>
      <c r="F51" s="326"/>
      <c r="G51" s="288"/>
      <c r="H51" s="288"/>
      <c r="I51" s="288"/>
      <c r="J51" s="288"/>
      <c r="K51" s="288"/>
      <c r="L51" s="288"/>
      <c r="M51" s="288"/>
      <c r="N51" s="288"/>
      <c r="O51" s="288"/>
      <c r="P51" s="288"/>
      <c r="Q51" s="288"/>
      <c r="R51" s="288"/>
      <c r="S51" s="288"/>
      <c r="T51" s="288"/>
      <c r="U51" s="288"/>
      <c r="V51" s="321">
        <f>SUM(L36:R36)/SUM(D36:J36)</f>
        <v>0.29512933026236748</v>
      </c>
      <c r="W51" s="291"/>
      <c r="X51" s="5"/>
    </row>
    <row r="52" spans="1:25" ht="15.6" x14ac:dyDescent="0.3">
      <c r="A52" s="287"/>
      <c r="B52" s="288" t="s">
        <v>171</v>
      </c>
      <c r="C52" s="288"/>
      <c r="D52" s="288"/>
      <c r="E52" s="288"/>
      <c r="F52" s="288"/>
      <c r="G52" s="288"/>
      <c r="H52" s="288"/>
      <c r="I52" s="288"/>
      <c r="J52" s="288"/>
      <c r="K52" s="288"/>
      <c r="L52" s="288"/>
      <c r="M52" s="288"/>
      <c r="N52" s="288"/>
      <c r="O52" s="288"/>
      <c r="P52" s="288"/>
      <c r="Q52" s="288"/>
      <c r="R52" s="288"/>
      <c r="S52" s="288"/>
      <c r="T52" s="296"/>
      <c r="U52" s="296"/>
      <c r="V52" s="299" t="s">
        <v>276</v>
      </c>
      <c r="W52" s="291"/>
      <c r="X52" s="5"/>
    </row>
    <row r="53" spans="1:25" ht="15.6" x14ac:dyDescent="0.3">
      <c r="A53" s="287"/>
      <c r="B53" s="288"/>
      <c r="C53" s="288"/>
      <c r="D53" s="288"/>
      <c r="E53" s="288"/>
      <c r="F53" s="288"/>
      <c r="G53" s="288"/>
      <c r="H53" s="288"/>
      <c r="I53" s="288"/>
      <c r="J53" s="288"/>
      <c r="K53" s="288"/>
      <c r="L53" s="288"/>
      <c r="M53" s="288"/>
      <c r="N53" s="288"/>
      <c r="O53" s="288"/>
      <c r="P53" s="288"/>
      <c r="Q53" s="288"/>
      <c r="R53" s="288"/>
      <c r="S53" s="288"/>
      <c r="T53" s="288"/>
      <c r="U53" s="288"/>
      <c r="V53" s="327"/>
      <c r="W53" s="291"/>
      <c r="X53" s="5"/>
    </row>
    <row r="54" spans="1:25" ht="15.6" x14ac:dyDescent="0.3">
      <c r="A54" s="287"/>
      <c r="B54" s="288" t="s">
        <v>202</v>
      </c>
      <c r="C54" s="288"/>
      <c r="D54" s="288"/>
      <c r="E54" s="288"/>
      <c r="F54" s="288"/>
      <c r="G54" s="288"/>
      <c r="H54" s="288"/>
      <c r="I54" s="288"/>
      <c r="J54" s="288"/>
      <c r="K54" s="288"/>
      <c r="L54" s="288"/>
      <c r="M54" s="288"/>
      <c r="N54" s="288"/>
      <c r="O54" s="288"/>
      <c r="P54" s="288"/>
      <c r="Q54" s="288"/>
      <c r="R54" s="288"/>
      <c r="S54" s="288"/>
      <c r="T54" s="288"/>
      <c r="U54" s="288"/>
      <c r="V54" s="328" t="s">
        <v>203</v>
      </c>
      <c r="W54" s="291"/>
      <c r="X54" s="5"/>
    </row>
    <row r="55" spans="1:25" ht="15.6" x14ac:dyDescent="0.3">
      <c r="A55" s="287"/>
      <c r="B55" s="288" t="s">
        <v>280</v>
      </c>
      <c r="C55" s="288"/>
      <c r="D55" s="288"/>
      <c r="E55" s="288"/>
      <c r="F55" s="288"/>
      <c r="G55" s="288"/>
      <c r="H55" s="288"/>
      <c r="I55" s="288"/>
      <c r="J55" s="288"/>
      <c r="K55" s="288"/>
      <c r="L55" s="288"/>
      <c r="M55" s="288"/>
      <c r="N55" s="288"/>
      <c r="O55" s="288"/>
      <c r="P55" s="288"/>
      <c r="Q55" s="288"/>
      <c r="R55" s="288"/>
      <c r="S55" s="288"/>
      <c r="T55" s="296"/>
      <c r="U55" s="296"/>
      <c r="V55" s="329" t="s">
        <v>111</v>
      </c>
      <c r="W55" s="291"/>
      <c r="X55" s="5"/>
    </row>
    <row r="56" spans="1:25" ht="15.6" x14ac:dyDescent="0.3">
      <c r="A56" s="287"/>
      <c r="B56" s="295" t="s">
        <v>201</v>
      </c>
      <c r="C56" s="295"/>
      <c r="D56" s="295"/>
      <c r="E56" s="295"/>
      <c r="F56" s="295"/>
      <c r="G56" s="295"/>
      <c r="H56" s="295"/>
      <c r="I56" s="295"/>
      <c r="J56" s="295"/>
      <c r="K56" s="295"/>
      <c r="L56" s="295"/>
      <c r="M56" s="295"/>
      <c r="N56" s="295"/>
      <c r="O56" s="295"/>
      <c r="P56" s="295"/>
      <c r="Q56" s="295"/>
      <c r="R56" s="295"/>
      <c r="S56" s="295"/>
      <c r="T56" s="330"/>
      <c r="U56" s="330"/>
      <c r="V56" s="331">
        <v>42353</v>
      </c>
      <c r="W56" s="291"/>
      <c r="X56" s="5"/>
    </row>
    <row r="57" spans="1:25" ht="15.6" x14ac:dyDescent="0.3">
      <c r="A57" s="287"/>
      <c r="B57" s="288" t="s">
        <v>121</v>
      </c>
      <c r="C57" s="288"/>
      <c r="D57" s="288"/>
      <c r="E57" s="288"/>
      <c r="F57" s="288"/>
      <c r="G57" s="288"/>
      <c r="H57" s="332"/>
      <c r="I57" s="332"/>
      <c r="J57" s="332"/>
      <c r="K57" s="332"/>
      <c r="L57" s="332"/>
      <c r="M57" s="332"/>
      <c r="N57" s="332"/>
      <c r="O57" s="332"/>
      <c r="P57" s="332"/>
      <c r="Q57" s="332"/>
      <c r="R57" s="288">
        <f>+V57-T57+1</f>
        <v>92</v>
      </c>
      <c r="S57" s="332"/>
      <c r="T57" s="333">
        <v>42170</v>
      </c>
      <c r="U57" s="334"/>
      <c r="V57" s="333">
        <v>42261</v>
      </c>
      <c r="W57" s="291"/>
      <c r="X57" s="5"/>
    </row>
    <row r="58" spans="1:25" ht="15.6" x14ac:dyDescent="0.3">
      <c r="A58" s="287"/>
      <c r="B58" s="288" t="s">
        <v>122</v>
      </c>
      <c r="C58" s="288"/>
      <c r="D58" s="288"/>
      <c r="E58" s="288"/>
      <c r="F58" s="288"/>
      <c r="G58" s="288"/>
      <c r="H58" s="288"/>
      <c r="I58" s="288"/>
      <c r="J58" s="288"/>
      <c r="K58" s="288"/>
      <c r="L58" s="288"/>
      <c r="M58" s="288"/>
      <c r="N58" s="288"/>
      <c r="O58" s="288"/>
      <c r="P58" s="288"/>
      <c r="Q58" s="288"/>
      <c r="R58" s="288">
        <f>+V58-T58+1</f>
        <v>91</v>
      </c>
      <c r="S58" s="288"/>
      <c r="T58" s="333">
        <v>42262</v>
      </c>
      <c r="U58" s="334"/>
      <c r="V58" s="333">
        <v>42352</v>
      </c>
      <c r="W58" s="291"/>
      <c r="X58" s="5"/>
    </row>
    <row r="59" spans="1:25" ht="15.6" x14ac:dyDescent="0.3">
      <c r="A59" s="287"/>
      <c r="B59" s="288" t="s">
        <v>229</v>
      </c>
      <c r="C59" s="288"/>
      <c r="D59" s="288"/>
      <c r="E59" s="288"/>
      <c r="F59" s="288"/>
      <c r="G59" s="288"/>
      <c r="H59" s="288"/>
      <c r="I59" s="288"/>
      <c r="J59" s="288"/>
      <c r="K59" s="288"/>
      <c r="L59" s="288"/>
      <c r="M59" s="288"/>
      <c r="N59" s="288"/>
      <c r="O59" s="288"/>
      <c r="P59" s="288"/>
      <c r="Q59" s="288"/>
      <c r="R59" s="288"/>
      <c r="S59" s="288"/>
      <c r="T59" s="333"/>
      <c r="U59" s="334"/>
      <c r="V59" s="333" t="s">
        <v>120</v>
      </c>
      <c r="W59" s="291"/>
      <c r="X59" s="5"/>
    </row>
    <row r="60" spans="1:25" ht="15.6" x14ac:dyDescent="0.3">
      <c r="A60" s="287"/>
      <c r="B60" s="288" t="s">
        <v>228</v>
      </c>
      <c r="C60" s="288"/>
      <c r="D60" s="288"/>
      <c r="E60" s="288"/>
      <c r="F60" s="288"/>
      <c r="G60" s="288"/>
      <c r="H60" s="288"/>
      <c r="I60" s="288"/>
      <c r="J60" s="288"/>
      <c r="K60" s="288"/>
      <c r="L60" s="288"/>
      <c r="M60" s="288"/>
      <c r="N60" s="288"/>
      <c r="O60" s="288"/>
      <c r="P60" s="288"/>
      <c r="Q60" s="288"/>
      <c r="R60" s="288"/>
      <c r="S60" s="288"/>
      <c r="T60" s="333"/>
      <c r="U60" s="334"/>
      <c r="V60" s="333" t="s">
        <v>154</v>
      </c>
      <c r="W60" s="291"/>
      <c r="X60" s="5"/>
      <c r="Y60" s="134"/>
    </row>
    <row r="61" spans="1:25" ht="15.6" x14ac:dyDescent="0.3">
      <c r="A61" s="287"/>
      <c r="B61" s="288" t="s">
        <v>16</v>
      </c>
      <c r="C61" s="288"/>
      <c r="D61" s="288"/>
      <c r="E61" s="288"/>
      <c r="F61" s="288"/>
      <c r="G61" s="288"/>
      <c r="H61" s="288"/>
      <c r="I61" s="288"/>
      <c r="J61" s="288"/>
      <c r="K61" s="288"/>
      <c r="L61" s="288"/>
      <c r="M61" s="288"/>
      <c r="N61" s="288"/>
      <c r="O61" s="288"/>
      <c r="P61" s="288"/>
      <c r="Q61" s="288"/>
      <c r="R61" s="288"/>
      <c r="S61" s="288"/>
      <c r="T61" s="333"/>
      <c r="U61" s="334"/>
      <c r="V61" s="333">
        <v>42339</v>
      </c>
      <c r="W61" s="291"/>
      <c r="X61" s="5"/>
    </row>
    <row r="62" spans="1:25" ht="15.6" x14ac:dyDescent="0.3">
      <c r="A62" s="183"/>
      <c r="B62" s="284"/>
      <c r="C62" s="284"/>
      <c r="D62" s="284"/>
      <c r="E62" s="284"/>
      <c r="F62" s="284"/>
      <c r="G62" s="284"/>
      <c r="H62" s="284"/>
      <c r="I62" s="284"/>
      <c r="J62" s="284"/>
      <c r="K62" s="284"/>
      <c r="L62" s="284"/>
      <c r="M62" s="284"/>
      <c r="N62" s="284"/>
      <c r="O62" s="284"/>
      <c r="P62" s="284"/>
      <c r="Q62" s="284"/>
      <c r="R62" s="284"/>
      <c r="S62" s="284"/>
      <c r="T62" s="285"/>
      <c r="U62" s="286"/>
      <c r="V62" s="285"/>
      <c r="W62" s="284"/>
      <c r="X62" s="5"/>
    </row>
    <row r="63" spans="1:25" ht="15.6" x14ac:dyDescent="0.3">
      <c r="A63" s="183"/>
      <c r="B63" s="224"/>
      <c r="C63" s="224"/>
      <c r="D63" s="224"/>
      <c r="E63" s="224"/>
      <c r="F63" s="224"/>
      <c r="G63" s="224"/>
      <c r="H63" s="224"/>
      <c r="I63" s="224"/>
      <c r="J63" s="224"/>
      <c r="K63" s="224"/>
      <c r="L63" s="224"/>
      <c r="M63" s="224"/>
      <c r="N63" s="224"/>
      <c r="O63" s="224"/>
      <c r="P63" s="224"/>
      <c r="Q63" s="224"/>
      <c r="R63" s="224"/>
      <c r="S63" s="224"/>
      <c r="T63" s="235"/>
      <c r="U63" s="236"/>
      <c r="V63" s="235"/>
      <c r="W63" s="224"/>
      <c r="X63" s="5"/>
    </row>
    <row r="64" spans="1:25" ht="18" thickBot="1" x14ac:dyDescent="0.35">
      <c r="A64" s="199"/>
      <c r="B64" s="237" t="s">
        <v>353</v>
      </c>
      <c r="C64" s="238"/>
      <c r="D64" s="238"/>
      <c r="E64" s="238"/>
      <c r="F64" s="238"/>
      <c r="G64" s="238"/>
      <c r="H64" s="238"/>
      <c r="I64" s="238"/>
      <c r="J64" s="238"/>
      <c r="K64" s="238"/>
      <c r="L64" s="238"/>
      <c r="M64" s="238"/>
      <c r="N64" s="238"/>
      <c r="O64" s="238"/>
      <c r="P64" s="238"/>
      <c r="Q64" s="238"/>
      <c r="R64" s="238"/>
      <c r="S64" s="238"/>
      <c r="T64" s="238"/>
      <c r="U64" s="238"/>
      <c r="V64" s="239"/>
      <c r="W64" s="240"/>
      <c r="X64" s="5"/>
    </row>
    <row r="65" spans="1:24" ht="15.6" x14ac:dyDescent="0.3">
      <c r="A65" s="262"/>
      <c r="B65" s="399" t="s">
        <v>17</v>
      </c>
      <c r="C65" s="263"/>
      <c r="D65" s="263"/>
      <c r="E65" s="263"/>
      <c r="F65" s="263"/>
      <c r="G65" s="263"/>
      <c r="H65" s="263"/>
      <c r="I65" s="263"/>
      <c r="J65" s="263"/>
      <c r="K65" s="263"/>
      <c r="L65" s="263"/>
      <c r="M65" s="263"/>
      <c r="N65" s="263"/>
      <c r="O65" s="263"/>
      <c r="P65" s="263"/>
      <c r="Q65" s="263"/>
      <c r="R65" s="263"/>
      <c r="S65" s="263"/>
      <c r="T65" s="263"/>
      <c r="U65" s="263"/>
      <c r="V65" s="268"/>
      <c r="W65" s="263"/>
      <c r="X65" s="5"/>
    </row>
    <row r="66" spans="1:24" ht="15.6" x14ac:dyDescent="0.3">
      <c r="A66" s="183"/>
      <c r="B66" s="191"/>
      <c r="C66" s="185"/>
      <c r="D66" s="185"/>
      <c r="E66" s="185"/>
      <c r="F66" s="185"/>
      <c r="G66" s="185"/>
      <c r="H66" s="185"/>
      <c r="I66" s="185"/>
      <c r="J66" s="185"/>
      <c r="K66" s="185"/>
      <c r="L66" s="185"/>
      <c r="M66" s="185"/>
      <c r="N66" s="185"/>
      <c r="O66" s="185"/>
      <c r="P66" s="185"/>
      <c r="Q66" s="185"/>
      <c r="R66" s="185"/>
      <c r="S66" s="185"/>
      <c r="T66" s="185"/>
      <c r="U66" s="185"/>
      <c r="V66" s="201"/>
      <c r="W66" s="185"/>
      <c r="X66" s="5"/>
    </row>
    <row r="67" spans="1:24" ht="46.8" x14ac:dyDescent="0.3">
      <c r="A67" s="183"/>
      <c r="B67" s="202" t="s">
        <v>18</v>
      </c>
      <c r="C67" s="203"/>
      <c r="D67" s="203"/>
      <c r="E67" s="203"/>
      <c r="F67" s="203"/>
      <c r="G67" s="203"/>
      <c r="H67" s="203"/>
      <c r="I67" s="203"/>
      <c r="J67" s="203"/>
      <c r="K67" s="203"/>
      <c r="L67" s="203" t="s">
        <v>94</v>
      </c>
      <c r="M67" s="203"/>
      <c r="N67" s="203" t="s">
        <v>96</v>
      </c>
      <c r="O67" s="203"/>
      <c r="P67" s="203" t="s">
        <v>98</v>
      </c>
      <c r="Q67" s="203"/>
      <c r="R67" s="203" t="s">
        <v>100</v>
      </c>
      <c r="S67" s="203"/>
      <c r="T67" s="203" t="s">
        <v>106</v>
      </c>
      <c r="U67" s="203"/>
      <c r="V67" s="204" t="s">
        <v>112</v>
      </c>
      <c r="W67" s="205"/>
      <c r="X67" s="5"/>
    </row>
    <row r="68" spans="1:24" ht="15.6" x14ac:dyDescent="0.3">
      <c r="A68" s="287"/>
      <c r="B68" s="288" t="s">
        <v>19</v>
      </c>
      <c r="C68" s="337"/>
      <c r="D68" s="337"/>
      <c r="E68" s="337"/>
      <c r="F68" s="337"/>
      <c r="G68" s="337"/>
      <c r="H68" s="337"/>
      <c r="I68" s="337"/>
      <c r="J68" s="337"/>
      <c r="K68" s="337"/>
      <c r="L68" s="337">
        <v>1158015</v>
      </c>
      <c r="M68" s="337"/>
      <c r="N68" s="338">
        <v>1001315</v>
      </c>
      <c r="O68" s="337"/>
      <c r="P68" s="337">
        <f>12994+211+131</f>
        <v>13336</v>
      </c>
      <c r="Q68" s="337"/>
      <c r="R68" s="337">
        <f>211+131</f>
        <v>342</v>
      </c>
      <c r="S68" s="337"/>
      <c r="T68" s="337">
        <v>0</v>
      </c>
      <c r="U68" s="337"/>
      <c r="V68" s="338">
        <f>+N68-P68+R68-T68</f>
        <v>988321</v>
      </c>
      <c r="W68" s="291"/>
      <c r="X68" s="5"/>
    </row>
    <row r="69" spans="1:24" ht="15.6" x14ac:dyDescent="0.3">
      <c r="A69" s="287"/>
      <c r="B69" s="288" t="s">
        <v>20</v>
      </c>
      <c r="C69" s="337"/>
      <c r="D69" s="337"/>
      <c r="E69" s="337"/>
      <c r="F69" s="337"/>
      <c r="G69" s="337"/>
      <c r="H69" s="337"/>
      <c r="I69" s="337"/>
      <c r="J69" s="337"/>
      <c r="K69" s="337"/>
      <c r="L69" s="337">
        <v>15</v>
      </c>
      <c r="M69" s="337"/>
      <c r="N69" s="338">
        <v>0</v>
      </c>
      <c r="O69" s="337"/>
      <c r="P69" s="337">
        <v>0</v>
      </c>
      <c r="Q69" s="337"/>
      <c r="R69" s="337">
        <v>0</v>
      </c>
      <c r="S69" s="337"/>
      <c r="T69" s="337">
        <v>0</v>
      </c>
      <c r="U69" s="337"/>
      <c r="V69" s="338">
        <v>0</v>
      </c>
      <c r="W69" s="291"/>
      <c r="X69" s="5"/>
    </row>
    <row r="70" spans="1:24" ht="15.6" x14ac:dyDescent="0.3">
      <c r="A70" s="287"/>
      <c r="B70" s="288"/>
      <c r="C70" s="337"/>
      <c r="D70" s="337"/>
      <c r="E70" s="337"/>
      <c r="F70" s="337"/>
      <c r="G70" s="337"/>
      <c r="H70" s="337"/>
      <c r="I70" s="337"/>
      <c r="J70" s="337"/>
      <c r="K70" s="337"/>
      <c r="L70" s="337"/>
      <c r="M70" s="337"/>
      <c r="N70" s="338"/>
      <c r="O70" s="337"/>
      <c r="P70" s="337"/>
      <c r="Q70" s="337"/>
      <c r="R70" s="337"/>
      <c r="S70" s="337"/>
      <c r="T70" s="337"/>
      <c r="U70" s="337"/>
      <c r="V70" s="338"/>
      <c r="W70" s="291"/>
      <c r="X70" s="5"/>
    </row>
    <row r="71" spans="1:24" ht="15.6" x14ac:dyDescent="0.3">
      <c r="A71" s="287"/>
      <c r="B71" s="288" t="s">
        <v>21</v>
      </c>
      <c r="C71" s="337"/>
      <c r="D71" s="337"/>
      <c r="E71" s="337"/>
      <c r="F71" s="337"/>
      <c r="G71" s="337"/>
      <c r="H71" s="337"/>
      <c r="I71" s="337"/>
      <c r="J71" s="337"/>
      <c r="K71" s="337"/>
      <c r="L71" s="337">
        <f>SUM(L68:L70)</f>
        <v>1158030</v>
      </c>
      <c r="M71" s="337"/>
      <c r="N71" s="337">
        <f>N68+N69</f>
        <v>1001315</v>
      </c>
      <c r="O71" s="337"/>
      <c r="P71" s="337">
        <f>SUM(P68:P70)</f>
        <v>13336</v>
      </c>
      <c r="Q71" s="337"/>
      <c r="R71" s="337">
        <f>SUM(R68:R70)</f>
        <v>342</v>
      </c>
      <c r="S71" s="337"/>
      <c r="T71" s="337">
        <f>SUM(T68:T70)</f>
        <v>0</v>
      </c>
      <c r="U71" s="337"/>
      <c r="V71" s="337">
        <f>SUM(V68:V70)</f>
        <v>988321</v>
      </c>
      <c r="W71" s="291"/>
      <c r="X71" s="5"/>
    </row>
    <row r="72" spans="1:24" ht="15.6" x14ac:dyDescent="0.3">
      <c r="A72" s="183"/>
      <c r="B72" s="198"/>
      <c r="C72" s="335"/>
      <c r="D72" s="335"/>
      <c r="E72" s="335"/>
      <c r="F72" s="335"/>
      <c r="G72" s="335"/>
      <c r="H72" s="335"/>
      <c r="I72" s="335"/>
      <c r="J72" s="335"/>
      <c r="K72" s="335"/>
      <c r="L72" s="335"/>
      <c r="M72" s="335"/>
      <c r="N72" s="335"/>
      <c r="O72" s="335"/>
      <c r="P72" s="335"/>
      <c r="Q72" s="335"/>
      <c r="R72" s="335"/>
      <c r="S72" s="335"/>
      <c r="T72" s="335"/>
      <c r="U72" s="335"/>
      <c r="V72" s="336"/>
      <c r="W72" s="198"/>
      <c r="X72" s="5"/>
    </row>
    <row r="73" spans="1:24" ht="15.6" x14ac:dyDescent="0.3">
      <c r="A73" s="183"/>
      <c r="B73" s="187" t="s">
        <v>22</v>
      </c>
      <c r="C73" s="206"/>
      <c r="D73" s="206"/>
      <c r="E73" s="206"/>
      <c r="F73" s="206"/>
      <c r="G73" s="206"/>
      <c r="H73" s="206"/>
      <c r="I73" s="206"/>
      <c r="J73" s="206"/>
      <c r="K73" s="206"/>
      <c r="L73" s="206"/>
      <c r="M73" s="206"/>
      <c r="N73" s="206"/>
      <c r="O73" s="206"/>
      <c r="P73" s="206"/>
      <c r="Q73" s="206"/>
      <c r="R73" s="206"/>
      <c r="S73" s="206"/>
      <c r="T73" s="206"/>
      <c r="U73" s="206"/>
      <c r="V73" s="207"/>
      <c r="W73" s="185"/>
      <c r="X73" s="5"/>
    </row>
    <row r="74" spans="1:24" ht="15.6" x14ac:dyDescent="0.3">
      <c r="A74" s="183"/>
      <c r="B74" s="185"/>
      <c r="C74" s="206"/>
      <c r="D74" s="206"/>
      <c r="E74" s="206"/>
      <c r="F74" s="206"/>
      <c r="G74" s="206"/>
      <c r="H74" s="206"/>
      <c r="I74" s="206"/>
      <c r="J74" s="206"/>
      <c r="K74" s="206"/>
      <c r="L74" s="206"/>
      <c r="M74" s="206"/>
      <c r="N74" s="206"/>
      <c r="O74" s="206"/>
      <c r="P74" s="206"/>
      <c r="Q74" s="206"/>
      <c r="R74" s="206"/>
      <c r="S74" s="206"/>
      <c r="T74" s="206"/>
      <c r="U74" s="206"/>
      <c r="V74" s="207"/>
      <c r="W74" s="185"/>
      <c r="X74" s="5"/>
    </row>
    <row r="75" spans="1:24" ht="15.6" x14ac:dyDescent="0.3">
      <c r="A75" s="340"/>
      <c r="B75" s="288" t="s">
        <v>19</v>
      </c>
      <c r="C75" s="337"/>
      <c r="D75" s="337"/>
      <c r="E75" s="337"/>
      <c r="F75" s="337"/>
      <c r="G75" s="337"/>
      <c r="H75" s="337"/>
      <c r="I75" s="337"/>
      <c r="J75" s="337"/>
      <c r="K75" s="337"/>
      <c r="L75" s="337"/>
      <c r="M75" s="337"/>
      <c r="N75" s="337"/>
      <c r="O75" s="337"/>
      <c r="P75" s="337"/>
      <c r="Q75" s="337"/>
      <c r="R75" s="337"/>
      <c r="S75" s="337"/>
      <c r="T75" s="337"/>
      <c r="U75" s="337"/>
      <c r="V75" s="337"/>
      <c r="W75" s="291"/>
      <c r="X75" s="5"/>
    </row>
    <row r="76" spans="1:24" ht="15.6" x14ac:dyDescent="0.3">
      <c r="A76" s="340"/>
      <c r="B76" s="288" t="s">
        <v>20</v>
      </c>
      <c r="C76" s="337"/>
      <c r="D76" s="337"/>
      <c r="E76" s="337"/>
      <c r="F76" s="337"/>
      <c r="G76" s="337"/>
      <c r="H76" s="337"/>
      <c r="I76" s="337"/>
      <c r="J76" s="337"/>
      <c r="K76" s="337"/>
      <c r="L76" s="337"/>
      <c r="M76" s="337"/>
      <c r="N76" s="337"/>
      <c r="O76" s="337"/>
      <c r="P76" s="337"/>
      <c r="Q76" s="337"/>
      <c r="R76" s="337"/>
      <c r="S76" s="337"/>
      <c r="T76" s="337"/>
      <c r="U76" s="337"/>
      <c r="V76" s="337"/>
      <c r="W76" s="291"/>
      <c r="X76" s="5"/>
    </row>
    <row r="77" spans="1:24" ht="15.6" x14ac:dyDescent="0.3">
      <c r="A77" s="340"/>
      <c r="B77" s="288"/>
      <c r="C77" s="337"/>
      <c r="D77" s="337"/>
      <c r="E77" s="337"/>
      <c r="F77" s="337"/>
      <c r="G77" s="337"/>
      <c r="H77" s="337"/>
      <c r="I77" s="337"/>
      <c r="J77" s="337"/>
      <c r="K77" s="337"/>
      <c r="L77" s="337"/>
      <c r="M77" s="337"/>
      <c r="N77" s="337"/>
      <c r="O77" s="337"/>
      <c r="P77" s="337"/>
      <c r="Q77" s="337"/>
      <c r="R77" s="337"/>
      <c r="S77" s="337"/>
      <c r="T77" s="337"/>
      <c r="U77" s="337"/>
      <c r="V77" s="337"/>
      <c r="W77" s="291"/>
      <c r="X77" s="5"/>
    </row>
    <row r="78" spans="1:24" ht="15.6" x14ac:dyDescent="0.3">
      <c r="A78" s="340"/>
      <c r="B78" s="288" t="s">
        <v>21</v>
      </c>
      <c r="C78" s="337"/>
      <c r="D78" s="337"/>
      <c r="E78" s="337"/>
      <c r="F78" s="337"/>
      <c r="G78" s="337"/>
      <c r="H78" s="337"/>
      <c r="I78" s="337"/>
      <c r="J78" s="337"/>
      <c r="K78" s="337"/>
      <c r="L78" s="337"/>
      <c r="M78" s="337"/>
      <c r="N78" s="337"/>
      <c r="O78" s="337"/>
      <c r="P78" s="337"/>
      <c r="Q78" s="337"/>
      <c r="R78" s="337"/>
      <c r="S78" s="337"/>
      <c r="T78" s="337"/>
      <c r="U78" s="337"/>
      <c r="V78" s="337"/>
      <c r="W78" s="291"/>
      <c r="X78" s="5"/>
    </row>
    <row r="79" spans="1:24" ht="15.6" x14ac:dyDescent="0.3">
      <c r="A79" s="340"/>
      <c r="B79" s="288"/>
      <c r="C79" s="337"/>
      <c r="D79" s="337"/>
      <c r="E79" s="337"/>
      <c r="F79" s="337"/>
      <c r="G79" s="337"/>
      <c r="H79" s="337"/>
      <c r="I79" s="337"/>
      <c r="J79" s="337"/>
      <c r="K79" s="337"/>
      <c r="L79" s="337"/>
      <c r="M79" s="337"/>
      <c r="N79" s="337"/>
      <c r="O79" s="337"/>
      <c r="P79" s="337"/>
      <c r="Q79" s="337"/>
      <c r="R79" s="337"/>
      <c r="S79" s="337"/>
      <c r="T79" s="337"/>
      <c r="U79" s="337"/>
      <c r="V79" s="337"/>
      <c r="W79" s="291"/>
      <c r="X79" s="5"/>
    </row>
    <row r="80" spans="1:24" ht="15.6" x14ac:dyDescent="0.3">
      <c r="A80" s="340"/>
      <c r="B80" s="288" t="s">
        <v>23</v>
      </c>
      <c r="C80" s="337"/>
      <c r="D80" s="337"/>
      <c r="E80" s="337"/>
      <c r="F80" s="337"/>
      <c r="G80" s="337"/>
      <c r="H80" s="337"/>
      <c r="I80" s="337"/>
      <c r="J80" s="337"/>
      <c r="K80" s="337"/>
      <c r="L80" s="337">
        <v>0</v>
      </c>
      <c r="M80" s="337"/>
      <c r="N80" s="337">
        <v>0</v>
      </c>
      <c r="O80" s="337"/>
      <c r="P80" s="337"/>
      <c r="Q80" s="337"/>
      <c r="R80" s="337"/>
      <c r="S80" s="337"/>
      <c r="T80" s="337"/>
      <c r="U80" s="337"/>
      <c r="V80" s="338">
        <v>0</v>
      </c>
      <c r="W80" s="291"/>
      <c r="X80" s="5"/>
    </row>
    <row r="81" spans="1:24" ht="15.6" x14ac:dyDescent="0.3">
      <c r="A81" s="340"/>
      <c r="B81" s="288" t="s">
        <v>117</v>
      </c>
      <c r="C81" s="337"/>
      <c r="D81" s="337"/>
      <c r="E81" s="337"/>
      <c r="F81" s="337"/>
      <c r="G81" s="337"/>
      <c r="H81" s="337"/>
      <c r="I81" s="337"/>
      <c r="J81" s="337"/>
      <c r="K81" s="337"/>
      <c r="L81" s="337">
        <v>342245</v>
      </c>
      <c r="M81" s="337"/>
      <c r="N81" s="337">
        <v>0</v>
      </c>
      <c r="O81" s="337"/>
      <c r="P81" s="337">
        <v>0</v>
      </c>
      <c r="Q81" s="337"/>
      <c r="R81" s="337"/>
      <c r="S81" s="337"/>
      <c r="T81" s="337"/>
      <c r="U81" s="337"/>
      <c r="V81" s="337">
        <f>SUM(N81:R81)</f>
        <v>0</v>
      </c>
      <c r="W81" s="291"/>
      <c r="X81" s="5"/>
    </row>
    <row r="82" spans="1:24" ht="15.6" x14ac:dyDescent="0.3">
      <c r="A82" s="340"/>
      <c r="B82" s="288"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91"/>
      <c r="X82" s="5"/>
    </row>
    <row r="83" spans="1:24" ht="15.6" x14ac:dyDescent="0.3">
      <c r="A83" s="340"/>
      <c r="B83" s="288" t="s">
        <v>25</v>
      </c>
      <c r="C83" s="337"/>
      <c r="D83" s="337"/>
      <c r="E83" s="337"/>
      <c r="F83" s="337"/>
      <c r="G83" s="337"/>
      <c r="H83" s="337"/>
      <c r="I83" s="337"/>
      <c r="J83" s="337"/>
      <c r="K83" s="337"/>
      <c r="L83" s="337">
        <v>0</v>
      </c>
      <c r="M83" s="337"/>
      <c r="N83" s="337">
        <v>0</v>
      </c>
      <c r="O83" s="337"/>
      <c r="P83" s="337"/>
      <c r="Q83" s="337"/>
      <c r="R83" s="337"/>
      <c r="S83" s="337"/>
      <c r="T83" s="337"/>
      <c r="U83" s="337"/>
      <c r="V83" s="337">
        <v>0</v>
      </c>
      <c r="W83" s="291"/>
      <c r="X83" s="5"/>
    </row>
    <row r="84" spans="1:24" ht="15.6" x14ac:dyDescent="0.3">
      <c r="A84" s="340"/>
      <c r="B84" s="288" t="s">
        <v>26</v>
      </c>
      <c r="C84" s="337"/>
      <c r="D84" s="337"/>
      <c r="E84" s="337"/>
      <c r="F84" s="337"/>
      <c r="G84" s="337"/>
      <c r="H84" s="337"/>
      <c r="I84" s="337"/>
      <c r="J84" s="337"/>
      <c r="K84" s="337"/>
      <c r="L84" s="337">
        <f>SUM(L71:L83)</f>
        <v>1500275</v>
      </c>
      <c r="M84" s="337"/>
      <c r="N84" s="337">
        <f>SUM(N71:N83)</f>
        <v>1001315</v>
      </c>
      <c r="O84" s="337"/>
      <c r="P84" s="337"/>
      <c r="Q84" s="337"/>
      <c r="R84" s="337"/>
      <c r="S84" s="337"/>
      <c r="T84" s="337"/>
      <c r="U84" s="337"/>
      <c r="V84" s="337">
        <f>SUM(V71:V83)</f>
        <v>988321</v>
      </c>
      <c r="W84" s="291"/>
      <c r="X84" s="5"/>
    </row>
    <row r="85" spans="1:24" ht="15.6" x14ac:dyDescent="0.3">
      <c r="A85" s="243"/>
      <c r="B85" s="284"/>
      <c r="C85" s="339"/>
      <c r="D85" s="339"/>
      <c r="E85" s="339"/>
      <c r="F85" s="339"/>
      <c r="G85" s="339"/>
      <c r="H85" s="339"/>
      <c r="I85" s="339"/>
      <c r="J85" s="339"/>
      <c r="K85" s="339"/>
      <c r="L85" s="339"/>
      <c r="M85" s="339"/>
      <c r="N85" s="339"/>
      <c r="O85" s="339"/>
      <c r="P85" s="339"/>
      <c r="Q85" s="339"/>
      <c r="R85" s="339"/>
      <c r="S85" s="339"/>
      <c r="T85" s="339"/>
      <c r="U85" s="339"/>
      <c r="V85" s="339"/>
      <c r="W85" s="284"/>
      <c r="X85" s="5"/>
    </row>
    <row r="86" spans="1:24" ht="15.6" x14ac:dyDescent="0.3">
      <c r="A86" s="243"/>
      <c r="B86" s="224"/>
      <c r="C86" s="224"/>
      <c r="D86" s="224"/>
      <c r="E86" s="224"/>
      <c r="F86" s="224"/>
      <c r="G86" s="224"/>
      <c r="H86" s="224"/>
      <c r="I86" s="224"/>
      <c r="J86" s="224"/>
      <c r="K86" s="224"/>
      <c r="L86" s="224"/>
      <c r="M86" s="224"/>
      <c r="N86" s="224"/>
      <c r="O86" s="224"/>
      <c r="P86" s="224"/>
      <c r="Q86" s="224"/>
      <c r="R86" s="224"/>
      <c r="S86" s="224"/>
      <c r="T86" s="224"/>
      <c r="U86" s="224"/>
      <c r="V86" s="224"/>
      <c r="W86" s="224"/>
      <c r="X86" s="5"/>
    </row>
    <row r="87" spans="1:24" ht="15.6" x14ac:dyDescent="0.3">
      <c r="A87" s="262"/>
      <c r="B87" s="399" t="s">
        <v>27</v>
      </c>
      <c r="C87" s="399"/>
      <c r="D87" s="399"/>
      <c r="E87" s="399"/>
      <c r="F87" s="399"/>
      <c r="G87" s="399"/>
      <c r="H87" s="400"/>
      <c r="I87" s="400"/>
      <c r="J87" s="400"/>
      <c r="K87" s="400"/>
      <c r="L87" s="401" t="s">
        <v>95</v>
      </c>
      <c r="M87" s="400"/>
      <c r="N87" s="402">
        <f>+T205</f>
        <v>42338</v>
      </c>
      <c r="O87" s="400"/>
      <c r="P87" s="400"/>
      <c r="Q87" s="400"/>
      <c r="R87" s="400"/>
      <c r="S87" s="400"/>
      <c r="T87" s="400" t="s">
        <v>107</v>
      </c>
      <c r="U87" s="400"/>
      <c r="V87" s="400" t="s">
        <v>113</v>
      </c>
      <c r="W87" s="263"/>
      <c r="X87" s="5"/>
    </row>
    <row r="88" spans="1:24" ht="15.6" x14ac:dyDescent="0.3">
      <c r="A88" s="242"/>
      <c r="B88" s="231" t="s">
        <v>28</v>
      </c>
      <c r="C88" s="231"/>
      <c r="D88" s="231"/>
      <c r="E88" s="231"/>
      <c r="F88" s="231"/>
      <c r="G88" s="231"/>
      <c r="H88" s="231"/>
      <c r="I88" s="231"/>
      <c r="J88" s="231"/>
      <c r="K88" s="231"/>
      <c r="L88" s="231"/>
      <c r="M88" s="231"/>
      <c r="N88" s="231"/>
      <c r="O88" s="231"/>
      <c r="P88" s="231"/>
      <c r="Q88" s="231"/>
      <c r="R88" s="231"/>
      <c r="S88" s="231"/>
      <c r="T88" s="234">
        <v>0</v>
      </c>
      <c r="U88" s="231"/>
      <c r="V88" s="241">
        <v>0</v>
      </c>
      <c r="W88" s="231"/>
      <c r="X88" s="5"/>
    </row>
    <row r="89" spans="1:24" ht="15.6" x14ac:dyDescent="0.3">
      <c r="A89" s="340"/>
      <c r="B89" s="288" t="s">
        <v>29</v>
      </c>
      <c r="C89" s="288"/>
      <c r="D89" s="288"/>
      <c r="E89" s="288"/>
      <c r="F89" s="288"/>
      <c r="G89" s="288"/>
      <c r="H89" s="325"/>
      <c r="I89" s="325"/>
      <c r="J89" s="325"/>
      <c r="K89" s="341"/>
      <c r="L89" s="325"/>
      <c r="M89" s="288"/>
      <c r="N89" s="342"/>
      <c r="O89" s="288"/>
      <c r="P89" s="288"/>
      <c r="Q89" s="288"/>
      <c r="R89" s="288"/>
      <c r="S89" s="288"/>
      <c r="T89" s="337">
        <f>13336-26</f>
        <v>13310</v>
      </c>
      <c r="U89" s="288"/>
      <c r="V89" s="338"/>
      <c r="W89" s="291"/>
      <c r="X89" s="5"/>
    </row>
    <row r="90" spans="1:24" ht="15.6" x14ac:dyDescent="0.3">
      <c r="A90" s="340"/>
      <c r="B90" s="288" t="s">
        <v>216</v>
      </c>
      <c r="C90" s="288"/>
      <c r="D90" s="288"/>
      <c r="E90" s="288"/>
      <c r="F90" s="288"/>
      <c r="G90" s="288"/>
      <c r="H90" s="325"/>
      <c r="I90" s="325"/>
      <c r="J90" s="325"/>
      <c r="K90" s="341"/>
      <c r="L90" s="325"/>
      <c r="M90" s="288"/>
      <c r="N90" s="342"/>
      <c r="O90" s="288"/>
      <c r="P90" s="288"/>
      <c r="Q90" s="288"/>
      <c r="R90" s="288"/>
      <c r="S90" s="288"/>
      <c r="T90" s="337"/>
      <c r="U90" s="288"/>
      <c r="V90" s="338">
        <f>3424+4161-585-945</f>
        <v>6055</v>
      </c>
      <c r="W90" s="291"/>
      <c r="X90" s="5"/>
    </row>
    <row r="91" spans="1:24" ht="15.6" x14ac:dyDescent="0.3">
      <c r="A91" s="340"/>
      <c r="B91" s="288" t="s">
        <v>211</v>
      </c>
      <c r="C91" s="288"/>
      <c r="D91" s="288"/>
      <c r="E91" s="288"/>
      <c r="F91" s="288"/>
      <c r="G91" s="288"/>
      <c r="H91" s="325"/>
      <c r="I91" s="325"/>
      <c r="J91" s="325"/>
      <c r="K91" s="341"/>
      <c r="L91" s="325"/>
      <c r="M91" s="288"/>
      <c r="N91" s="342"/>
      <c r="O91" s="288"/>
      <c r="P91" s="288"/>
      <c r="Q91" s="288"/>
      <c r="R91" s="288"/>
      <c r="S91" s="288"/>
      <c r="T91" s="337"/>
      <c r="U91" s="288"/>
      <c r="V91" s="338">
        <f>73+31</f>
        <v>104</v>
      </c>
      <c r="W91" s="291"/>
      <c r="X91" s="5"/>
    </row>
    <row r="92" spans="1:24" ht="15.6" x14ac:dyDescent="0.3">
      <c r="A92" s="340"/>
      <c r="B92" s="288" t="s">
        <v>212</v>
      </c>
      <c r="C92" s="288"/>
      <c r="D92" s="288"/>
      <c r="E92" s="288"/>
      <c r="F92" s="288"/>
      <c r="G92" s="288"/>
      <c r="H92" s="325"/>
      <c r="I92" s="325"/>
      <c r="J92" s="325"/>
      <c r="K92" s="341"/>
      <c r="L92" s="325"/>
      <c r="M92" s="288"/>
      <c r="N92" s="342"/>
      <c r="O92" s="288"/>
      <c r="P92" s="288"/>
      <c r="Q92" s="288"/>
      <c r="R92" s="288"/>
      <c r="S92" s="288"/>
      <c r="T92" s="337"/>
      <c r="U92" s="288"/>
      <c r="V92" s="338">
        <v>53</v>
      </c>
      <c r="W92" s="291"/>
      <c r="X92" s="5"/>
    </row>
    <row r="93" spans="1:24" ht="15.6" x14ac:dyDescent="0.3">
      <c r="A93" s="340"/>
      <c r="B93" s="288" t="s">
        <v>272</v>
      </c>
      <c r="C93" s="288"/>
      <c r="D93" s="288"/>
      <c r="E93" s="288"/>
      <c r="F93" s="288"/>
      <c r="G93" s="288"/>
      <c r="H93" s="325"/>
      <c r="I93" s="325"/>
      <c r="J93" s="325"/>
      <c r="K93" s="341"/>
      <c r="L93" s="325"/>
      <c r="M93" s="288"/>
      <c r="N93" s="342"/>
      <c r="O93" s="288"/>
      <c r="P93" s="288"/>
      <c r="Q93" s="288"/>
      <c r="R93" s="288"/>
      <c r="S93" s="288"/>
      <c r="T93" s="337"/>
      <c r="U93" s="288"/>
      <c r="V93" s="338">
        <v>0</v>
      </c>
      <c r="W93" s="291"/>
      <c r="X93" s="5"/>
    </row>
    <row r="94" spans="1:24" ht="15.6" x14ac:dyDescent="0.3">
      <c r="A94" s="340"/>
      <c r="B94" s="288" t="s">
        <v>274</v>
      </c>
      <c r="C94" s="288"/>
      <c r="D94" s="288"/>
      <c r="E94" s="288"/>
      <c r="F94" s="288"/>
      <c r="G94" s="288"/>
      <c r="H94" s="325"/>
      <c r="I94" s="325"/>
      <c r="J94" s="325"/>
      <c r="K94" s="341"/>
      <c r="L94" s="325"/>
      <c r="M94" s="288"/>
      <c r="N94" s="342"/>
      <c r="O94" s="288"/>
      <c r="P94" s="288"/>
      <c r="Q94" s="288"/>
      <c r="R94" s="288"/>
      <c r="S94" s="288"/>
      <c r="T94" s="337"/>
      <c r="U94" s="288"/>
      <c r="V94" s="338">
        <v>0</v>
      </c>
      <c r="W94" s="291"/>
      <c r="X94" s="5"/>
    </row>
    <row r="95" spans="1:24" ht="15.6" x14ac:dyDescent="0.3">
      <c r="A95" s="340"/>
      <c r="B95" s="288" t="s">
        <v>135</v>
      </c>
      <c r="C95" s="288"/>
      <c r="D95" s="288"/>
      <c r="E95" s="288"/>
      <c r="F95" s="288"/>
      <c r="G95" s="288"/>
      <c r="H95" s="288"/>
      <c r="I95" s="288"/>
      <c r="J95" s="288"/>
      <c r="K95" s="288"/>
      <c r="L95" s="288"/>
      <c r="M95" s="288"/>
      <c r="N95" s="288"/>
      <c r="O95" s="288"/>
      <c r="P95" s="288"/>
      <c r="Q95" s="288"/>
      <c r="R95" s="288"/>
      <c r="S95" s="288"/>
      <c r="T95" s="337"/>
      <c r="U95" s="288"/>
      <c r="V95" s="338">
        <v>0</v>
      </c>
      <c r="W95" s="291"/>
      <c r="X95" s="5"/>
    </row>
    <row r="96" spans="1:24" ht="15.6" x14ac:dyDescent="0.3">
      <c r="A96" s="340"/>
      <c r="B96" s="288" t="s">
        <v>268</v>
      </c>
      <c r="C96" s="288"/>
      <c r="D96" s="288"/>
      <c r="E96" s="288"/>
      <c r="F96" s="288"/>
      <c r="G96" s="288"/>
      <c r="H96" s="288"/>
      <c r="I96" s="288"/>
      <c r="J96" s="288"/>
      <c r="K96" s="288"/>
      <c r="L96" s="288"/>
      <c r="M96" s="288"/>
      <c r="N96" s="288"/>
      <c r="O96" s="288"/>
      <c r="P96" s="288"/>
      <c r="Q96" s="288"/>
      <c r="R96" s="288"/>
      <c r="S96" s="288"/>
      <c r="T96" s="337"/>
      <c r="U96" s="288"/>
      <c r="V96" s="338">
        <v>338</v>
      </c>
      <c r="W96" s="291"/>
      <c r="X96" s="5"/>
    </row>
    <row r="97" spans="1:25" ht="15.6" x14ac:dyDescent="0.3">
      <c r="A97" s="340"/>
      <c r="B97" s="288" t="s">
        <v>30</v>
      </c>
      <c r="C97" s="288"/>
      <c r="D97" s="288"/>
      <c r="E97" s="288"/>
      <c r="F97" s="288"/>
      <c r="G97" s="288"/>
      <c r="H97" s="288"/>
      <c r="I97" s="288"/>
      <c r="J97" s="288"/>
      <c r="K97" s="288"/>
      <c r="L97" s="288"/>
      <c r="M97" s="288"/>
      <c r="N97" s="288"/>
      <c r="O97" s="288"/>
      <c r="P97" s="288"/>
      <c r="Q97" s="288"/>
      <c r="R97" s="288"/>
      <c r="S97" s="288"/>
      <c r="T97" s="337">
        <f>SUM(T88:T96)</f>
        <v>13310</v>
      </c>
      <c r="U97" s="288"/>
      <c r="V97" s="337">
        <f>SUM(V88:V96)</f>
        <v>6550</v>
      </c>
      <c r="W97" s="291"/>
      <c r="X97" s="5"/>
    </row>
    <row r="98" spans="1:25" ht="15.6" x14ac:dyDescent="0.3">
      <c r="A98" s="340"/>
      <c r="B98" s="288" t="s">
        <v>161</v>
      </c>
      <c r="C98" s="288"/>
      <c r="D98" s="288"/>
      <c r="E98" s="288"/>
      <c r="F98" s="288"/>
      <c r="G98" s="288"/>
      <c r="H98" s="288"/>
      <c r="I98" s="288"/>
      <c r="J98" s="288"/>
      <c r="K98" s="288"/>
      <c r="L98" s="288"/>
      <c r="M98" s="288"/>
      <c r="N98" s="288"/>
      <c r="O98" s="288"/>
      <c r="P98" s="288"/>
      <c r="Q98" s="288"/>
      <c r="R98" s="288"/>
      <c r="S98" s="288"/>
      <c r="T98" s="337">
        <f>-V98</f>
        <v>0</v>
      </c>
      <c r="U98" s="288"/>
      <c r="V98" s="337">
        <v>0</v>
      </c>
      <c r="W98" s="291"/>
      <c r="X98" s="5"/>
    </row>
    <row r="99" spans="1:25" ht="15.6" x14ac:dyDescent="0.3">
      <c r="A99" s="340"/>
      <c r="B99" s="288" t="s">
        <v>31</v>
      </c>
      <c r="C99" s="288"/>
      <c r="D99" s="288"/>
      <c r="E99" s="288"/>
      <c r="F99" s="288"/>
      <c r="G99" s="288"/>
      <c r="H99" s="288"/>
      <c r="I99" s="288"/>
      <c r="J99" s="288"/>
      <c r="K99" s="288"/>
      <c r="L99" s="288"/>
      <c r="M99" s="288"/>
      <c r="N99" s="288"/>
      <c r="O99" s="288"/>
      <c r="P99" s="288"/>
      <c r="Q99" s="288"/>
      <c r="R99" s="288"/>
      <c r="S99" s="288"/>
      <c r="T99" s="337">
        <f>-V99</f>
        <v>0</v>
      </c>
      <c r="U99" s="288"/>
      <c r="V99" s="338">
        <v>0</v>
      </c>
      <c r="W99" s="291"/>
      <c r="X99" s="5"/>
    </row>
    <row r="100" spans="1:25" ht="15.6" x14ac:dyDescent="0.3">
      <c r="A100" s="340"/>
      <c r="B100" s="288" t="s">
        <v>283</v>
      </c>
      <c r="C100" s="288"/>
      <c r="D100" s="288"/>
      <c r="E100" s="288"/>
      <c r="F100" s="288"/>
      <c r="G100" s="288"/>
      <c r="H100" s="288"/>
      <c r="I100" s="288"/>
      <c r="J100" s="288"/>
      <c r="K100" s="288"/>
      <c r="L100" s="288"/>
      <c r="M100" s="288"/>
      <c r="N100" s="288"/>
      <c r="O100" s="288"/>
      <c r="P100" s="288"/>
      <c r="Q100" s="288"/>
      <c r="R100" s="288"/>
      <c r="S100" s="288"/>
      <c r="T100" s="337"/>
      <c r="U100" s="288"/>
      <c r="V100" s="338">
        <v>-122</v>
      </c>
      <c r="W100" s="291"/>
      <c r="X100" s="5"/>
    </row>
    <row r="101" spans="1:25" ht="15.6" x14ac:dyDescent="0.3">
      <c r="A101" s="340"/>
      <c r="B101" s="288" t="s">
        <v>32</v>
      </c>
      <c r="C101" s="288"/>
      <c r="D101" s="288"/>
      <c r="E101" s="288"/>
      <c r="F101" s="288"/>
      <c r="G101" s="288"/>
      <c r="H101" s="288"/>
      <c r="I101" s="288"/>
      <c r="J101" s="288"/>
      <c r="K101" s="288"/>
      <c r="L101" s="288"/>
      <c r="M101" s="288"/>
      <c r="N101" s="288"/>
      <c r="O101" s="288"/>
      <c r="P101" s="288"/>
      <c r="Q101" s="288"/>
      <c r="R101" s="288"/>
      <c r="S101" s="288"/>
      <c r="T101" s="337">
        <f>T97+T99+T98</f>
        <v>13310</v>
      </c>
      <c r="U101" s="288"/>
      <c r="V101" s="337">
        <f>V97+V99+V98+V100</f>
        <v>6428</v>
      </c>
      <c r="W101" s="291"/>
      <c r="X101" s="5"/>
    </row>
    <row r="102" spans="1:25" ht="15.6" x14ac:dyDescent="0.3">
      <c r="A102" s="287"/>
      <c r="B102" s="343" t="s">
        <v>33</v>
      </c>
      <c r="C102" s="314"/>
      <c r="D102" s="314"/>
      <c r="E102" s="314"/>
      <c r="F102" s="314"/>
      <c r="G102" s="314"/>
      <c r="H102" s="314"/>
      <c r="I102" s="314"/>
      <c r="J102" s="314"/>
      <c r="K102" s="314"/>
      <c r="L102" s="314"/>
      <c r="M102" s="314"/>
      <c r="N102" s="314"/>
      <c r="O102" s="314"/>
      <c r="P102" s="314"/>
      <c r="Q102" s="314"/>
      <c r="R102" s="314"/>
      <c r="S102" s="314"/>
      <c r="T102" s="344"/>
      <c r="U102" s="314"/>
      <c r="V102" s="345"/>
      <c r="W102" s="318"/>
      <c r="X102" s="5"/>
    </row>
    <row r="103" spans="1:25" ht="15.6" x14ac:dyDescent="0.3">
      <c r="A103" s="340">
        <v>1</v>
      </c>
      <c r="B103" s="288" t="s">
        <v>34</v>
      </c>
      <c r="C103" s="288"/>
      <c r="D103" s="288"/>
      <c r="E103" s="288"/>
      <c r="F103" s="288"/>
      <c r="G103" s="288"/>
      <c r="H103" s="288"/>
      <c r="I103" s="288"/>
      <c r="J103" s="288"/>
      <c r="K103" s="288"/>
      <c r="L103" s="288"/>
      <c r="M103" s="288"/>
      <c r="N103" s="288"/>
      <c r="O103" s="288"/>
      <c r="P103" s="288"/>
      <c r="Q103" s="288"/>
      <c r="R103" s="288"/>
      <c r="S103" s="288"/>
      <c r="T103" s="288"/>
      <c r="U103" s="288"/>
      <c r="V103" s="338">
        <v>0</v>
      </c>
      <c r="W103" s="291"/>
      <c r="X103" s="5"/>
    </row>
    <row r="104" spans="1:25" ht="15.6" x14ac:dyDescent="0.3">
      <c r="A104" s="340">
        <f>+A103+1</f>
        <v>2</v>
      </c>
      <c r="B104" s="288" t="s">
        <v>330</v>
      </c>
      <c r="C104" s="288"/>
      <c r="D104" s="288"/>
      <c r="E104" s="288"/>
      <c r="F104" s="288"/>
      <c r="G104" s="288"/>
      <c r="H104" s="288"/>
      <c r="I104" s="288"/>
      <c r="J104" s="288"/>
      <c r="K104" s="288"/>
      <c r="L104" s="288"/>
      <c r="M104" s="288"/>
      <c r="N104" s="288"/>
      <c r="O104" s="288"/>
      <c r="P104" s="288"/>
      <c r="Q104" s="288"/>
      <c r="R104" s="288"/>
      <c r="S104" s="288"/>
      <c r="T104" s="288"/>
      <c r="U104" s="288"/>
      <c r="V104" s="338">
        <v>-2</v>
      </c>
      <c r="W104" s="291"/>
      <c r="X104" s="5"/>
    </row>
    <row r="105" spans="1:25" ht="15.6" x14ac:dyDescent="0.3">
      <c r="A105" s="340">
        <f>+A104+1</f>
        <v>3</v>
      </c>
      <c r="B105" s="288" t="s">
        <v>331</v>
      </c>
      <c r="C105" s="288"/>
      <c r="D105" s="288"/>
      <c r="E105" s="288"/>
      <c r="F105" s="288"/>
      <c r="G105" s="288"/>
      <c r="H105" s="288"/>
      <c r="I105" s="288"/>
      <c r="J105" s="288"/>
      <c r="K105" s="288"/>
      <c r="L105" s="288"/>
      <c r="M105" s="288"/>
      <c r="N105" s="288"/>
      <c r="O105" s="288"/>
      <c r="P105" s="288"/>
      <c r="Q105" s="288"/>
      <c r="R105" s="288"/>
      <c r="S105" s="288"/>
      <c r="T105" s="288"/>
      <c r="U105" s="288"/>
      <c r="V105" s="338">
        <f>-126-171-12</f>
        <v>-309</v>
      </c>
      <c r="W105" s="291"/>
      <c r="X105" s="5"/>
    </row>
    <row r="106" spans="1:25" ht="15.6" x14ac:dyDescent="0.3">
      <c r="A106" s="340" t="s">
        <v>127</v>
      </c>
      <c r="B106" s="288" t="s">
        <v>116</v>
      </c>
      <c r="C106" s="288"/>
      <c r="D106" s="288"/>
      <c r="E106" s="288"/>
      <c r="F106" s="288"/>
      <c r="G106" s="288"/>
      <c r="H106" s="288"/>
      <c r="I106" s="288"/>
      <c r="J106" s="288"/>
      <c r="K106" s="288"/>
      <c r="L106" s="288"/>
      <c r="M106" s="288"/>
      <c r="N106" s="288"/>
      <c r="O106" s="288"/>
      <c r="P106" s="288"/>
      <c r="Q106" s="288"/>
      <c r="R106" s="288"/>
      <c r="S106" s="288"/>
      <c r="T106" s="288"/>
      <c r="U106" s="288"/>
      <c r="V106" s="338">
        <v>0</v>
      </c>
      <c r="W106" s="291"/>
      <c r="X106" s="5"/>
    </row>
    <row r="107" spans="1:25" ht="15.6" x14ac:dyDescent="0.3">
      <c r="A107" s="340" t="s">
        <v>128</v>
      </c>
      <c r="B107" s="288" t="s">
        <v>222</v>
      </c>
      <c r="C107" s="288"/>
      <c r="D107" s="288"/>
      <c r="E107" s="288"/>
      <c r="F107" s="288"/>
      <c r="G107" s="288"/>
      <c r="H107" s="288"/>
      <c r="I107" s="288"/>
      <c r="J107" s="288"/>
      <c r="K107" s="288"/>
      <c r="L107" s="288"/>
      <c r="M107" s="288"/>
      <c r="N107" s="288"/>
      <c r="O107" s="288"/>
      <c r="P107" s="288"/>
      <c r="Q107" s="288"/>
      <c r="R107" s="288"/>
      <c r="S107" s="288"/>
      <c r="T107" s="288"/>
      <c r="U107" s="288"/>
      <c r="V107" s="338">
        <f>149-1597</f>
        <v>-1448</v>
      </c>
      <c r="W107" s="291"/>
      <c r="X107" s="5"/>
      <c r="Y107" s="109"/>
    </row>
    <row r="108" spans="1:25" ht="15.6" x14ac:dyDescent="0.3">
      <c r="A108" s="340" t="s">
        <v>150</v>
      </c>
      <c r="B108" s="288" t="s">
        <v>184</v>
      </c>
      <c r="C108" s="288"/>
      <c r="D108" s="288"/>
      <c r="E108" s="288"/>
      <c r="F108" s="288"/>
      <c r="G108" s="288"/>
      <c r="H108" s="288"/>
      <c r="I108" s="288"/>
      <c r="J108" s="288"/>
      <c r="K108" s="288"/>
      <c r="L108" s="288"/>
      <c r="M108" s="288"/>
      <c r="N108" s="288"/>
      <c r="O108" s="288"/>
      <c r="P108" s="288"/>
      <c r="Q108" s="288"/>
      <c r="R108" s="288"/>
      <c r="S108" s="288"/>
      <c r="T108" s="288"/>
      <c r="U108" s="288"/>
      <c r="V108" s="338">
        <v>-149</v>
      </c>
      <c r="W108" s="291"/>
      <c r="X108" s="5"/>
      <c r="Y108" s="109"/>
    </row>
    <row r="109" spans="1:25" ht="15.6" x14ac:dyDescent="0.3">
      <c r="A109" s="340" t="s">
        <v>236</v>
      </c>
      <c r="B109" s="288" t="s">
        <v>238</v>
      </c>
      <c r="C109" s="288"/>
      <c r="D109" s="288"/>
      <c r="E109" s="288"/>
      <c r="F109" s="288"/>
      <c r="G109" s="288"/>
      <c r="H109" s="288"/>
      <c r="I109" s="288"/>
      <c r="J109" s="288"/>
      <c r="K109" s="288"/>
      <c r="L109" s="288"/>
      <c r="M109" s="288"/>
      <c r="N109" s="288"/>
      <c r="O109" s="288"/>
      <c r="P109" s="288"/>
      <c r="Q109" s="288"/>
      <c r="R109" s="288"/>
      <c r="S109" s="288"/>
      <c r="T109" s="288"/>
      <c r="U109" s="288"/>
      <c r="V109" s="338">
        <v>0</v>
      </c>
      <c r="W109" s="291"/>
      <c r="X109" s="5"/>
    </row>
    <row r="110" spans="1:25" ht="15.6" x14ac:dyDescent="0.3">
      <c r="A110" s="340" t="s">
        <v>205</v>
      </c>
      <c r="B110" s="288" t="s">
        <v>185</v>
      </c>
      <c r="C110" s="288"/>
      <c r="D110" s="288"/>
      <c r="E110" s="288"/>
      <c r="F110" s="288"/>
      <c r="G110" s="288"/>
      <c r="H110" s="288"/>
      <c r="I110" s="288"/>
      <c r="J110" s="288"/>
      <c r="K110" s="288"/>
      <c r="L110" s="288"/>
      <c r="M110" s="288"/>
      <c r="N110" s="288"/>
      <c r="O110" s="288"/>
      <c r="P110" s="288"/>
      <c r="Q110" s="288"/>
      <c r="R110" s="288"/>
      <c r="S110" s="288"/>
      <c r="T110" s="288"/>
      <c r="U110" s="288"/>
      <c r="V110" s="338">
        <v>-152</v>
      </c>
      <c r="W110" s="291"/>
      <c r="X110" s="5"/>
      <c r="Y110" s="109"/>
    </row>
    <row r="111" spans="1:25" ht="15.6" x14ac:dyDescent="0.3">
      <c r="A111" s="340" t="s">
        <v>206</v>
      </c>
      <c r="B111" s="288" t="s">
        <v>186</v>
      </c>
      <c r="C111" s="288"/>
      <c r="D111" s="288"/>
      <c r="E111" s="288"/>
      <c r="F111" s="288"/>
      <c r="G111" s="288"/>
      <c r="H111" s="288"/>
      <c r="I111" s="288"/>
      <c r="J111" s="288"/>
      <c r="K111" s="288"/>
      <c r="L111" s="288"/>
      <c r="M111" s="288"/>
      <c r="N111" s="288"/>
      <c r="O111" s="288"/>
      <c r="P111" s="288"/>
      <c r="Q111" s="288"/>
      <c r="R111" s="288"/>
      <c r="S111" s="288"/>
      <c r="T111" s="288"/>
      <c r="U111" s="288"/>
      <c r="V111" s="338">
        <v>-123</v>
      </c>
      <c r="W111" s="291"/>
      <c r="X111" s="179"/>
      <c r="Y111" s="109"/>
    </row>
    <row r="112" spans="1:25" ht="15.6" x14ac:dyDescent="0.3">
      <c r="A112" s="340" t="s">
        <v>207</v>
      </c>
      <c r="B112" s="288" t="s">
        <v>196</v>
      </c>
      <c r="C112" s="288"/>
      <c r="D112" s="288"/>
      <c r="E112" s="288"/>
      <c r="F112" s="288"/>
      <c r="G112" s="288"/>
      <c r="H112" s="288"/>
      <c r="I112" s="288"/>
      <c r="J112" s="288"/>
      <c r="K112" s="288"/>
      <c r="L112" s="288"/>
      <c r="M112" s="288"/>
      <c r="N112" s="288"/>
      <c r="O112" s="288"/>
      <c r="P112" s="288"/>
      <c r="Q112" s="288"/>
      <c r="R112" s="288"/>
      <c r="S112" s="288"/>
      <c r="T112" s="288"/>
      <c r="U112" s="288"/>
      <c r="V112" s="338">
        <v>-336</v>
      </c>
      <c r="W112" s="291"/>
      <c r="X112" s="5"/>
      <c r="Y112" s="109"/>
    </row>
    <row r="113" spans="1:25" ht="15.6" x14ac:dyDescent="0.3">
      <c r="A113" s="340" t="s">
        <v>224</v>
      </c>
      <c r="B113" s="288" t="s">
        <v>223</v>
      </c>
      <c r="C113" s="288"/>
      <c r="D113" s="288"/>
      <c r="E113" s="288"/>
      <c r="F113" s="288"/>
      <c r="G113" s="288"/>
      <c r="H113" s="288"/>
      <c r="I113" s="288"/>
      <c r="J113" s="288"/>
      <c r="K113" s="288"/>
      <c r="L113" s="288"/>
      <c r="M113" s="288"/>
      <c r="N113" s="288"/>
      <c r="O113" s="288"/>
      <c r="P113" s="288"/>
      <c r="Q113" s="288"/>
      <c r="R113" s="288"/>
      <c r="S113" s="288"/>
      <c r="T113" s="288"/>
      <c r="U113" s="288"/>
      <c r="V113" s="338">
        <v>-67</v>
      </c>
      <c r="W113" s="291"/>
      <c r="X113" s="5"/>
      <c r="Y113" s="109"/>
    </row>
    <row r="114" spans="1:25" ht="15.6" x14ac:dyDescent="0.3">
      <c r="A114" s="340">
        <v>7</v>
      </c>
      <c r="B114" s="288" t="s">
        <v>35</v>
      </c>
      <c r="C114" s="288"/>
      <c r="D114" s="288"/>
      <c r="E114" s="288"/>
      <c r="F114" s="288"/>
      <c r="G114" s="288"/>
      <c r="H114" s="288"/>
      <c r="I114" s="288"/>
      <c r="J114" s="288"/>
      <c r="K114" s="288"/>
      <c r="L114" s="288"/>
      <c r="M114" s="288"/>
      <c r="N114" s="288"/>
      <c r="O114" s="288"/>
      <c r="P114" s="288"/>
      <c r="Q114" s="288"/>
      <c r="R114" s="288"/>
      <c r="S114" s="288"/>
      <c r="T114" s="288"/>
      <c r="U114" s="288"/>
      <c r="V114" s="338">
        <v>-8</v>
      </c>
      <c r="W114" s="291"/>
      <c r="X114" s="5"/>
    </row>
    <row r="115" spans="1:25" ht="15.6" x14ac:dyDescent="0.3">
      <c r="A115" s="340">
        <f t="shared" ref="A115:A121" si="0">+A114+1</f>
        <v>8</v>
      </c>
      <c r="B115" s="288" t="s">
        <v>45</v>
      </c>
      <c r="C115" s="288"/>
      <c r="D115" s="288"/>
      <c r="E115" s="288"/>
      <c r="F115" s="288"/>
      <c r="G115" s="288"/>
      <c r="H115" s="288"/>
      <c r="I115" s="288"/>
      <c r="J115" s="288"/>
      <c r="K115" s="288"/>
      <c r="L115" s="288"/>
      <c r="M115" s="288"/>
      <c r="N115" s="288"/>
      <c r="O115" s="288"/>
      <c r="P115" s="288"/>
      <c r="Q115" s="288"/>
      <c r="R115" s="288"/>
      <c r="S115" s="288"/>
      <c r="T115" s="337">
        <f>-V115</f>
        <v>26</v>
      </c>
      <c r="U115" s="288"/>
      <c r="V115" s="338">
        <v>-26</v>
      </c>
      <c r="W115" s="291"/>
      <c r="X115" s="5"/>
    </row>
    <row r="116" spans="1:25" ht="15.6" x14ac:dyDescent="0.3">
      <c r="A116" s="340">
        <f t="shared" si="0"/>
        <v>9</v>
      </c>
      <c r="B116" s="288" t="s">
        <v>125</v>
      </c>
      <c r="C116" s="288"/>
      <c r="D116" s="288"/>
      <c r="E116" s="288"/>
      <c r="F116" s="288"/>
      <c r="G116" s="288"/>
      <c r="H116" s="288"/>
      <c r="I116" s="288"/>
      <c r="J116" s="288"/>
      <c r="K116" s="288"/>
      <c r="L116" s="288"/>
      <c r="M116" s="288"/>
      <c r="N116" s="288"/>
      <c r="O116" s="288"/>
      <c r="P116" s="288"/>
      <c r="Q116" s="288"/>
      <c r="R116" s="288"/>
      <c r="S116" s="288"/>
      <c r="T116" s="288"/>
      <c r="U116" s="288"/>
      <c r="V116" s="338">
        <v>0</v>
      </c>
      <c r="W116" s="291"/>
      <c r="X116" s="5"/>
    </row>
    <row r="117" spans="1:25" ht="15.6" x14ac:dyDescent="0.3">
      <c r="A117" s="340">
        <f t="shared" si="0"/>
        <v>10</v>
      </c>
      <c r="B117" s="288" t="s">
        <v>240</v>
      </c>
      <c r="C117" s="288"/>
      <c r="D117" s="288"/>
      <c r="E117" s="288"/>
      <c r="F117" s="288"/>
      <c r="G117" s="288"/>
      <c r="H117" s="288"/>
      <c r="I117" s="288"/>
      <c r="J117" s="288"/>
      <c r="K117" s="288"/>
      <c r="L117" s="288"/>
      <c r="M117" s="288"/>
      <c r="N117" s="288"/>
      <c r="O117" s="288"/>
      <c r="P117" s="288"/>
      <c r="Q117" s="288"/>
      <c r="R117" s="288"/>
      <c r="S117" s="288"/>
      <c r="T117" s="288"/>
      <c r="U117" s="288"/>
      <c r="V117" s="338">
        <v>0</v>
      </c>
      <c r="W117" s="291"/>
      <c r="X117" s="5"/>
    </row>
    <row r="118" spans="1:25" ht="15.6" x14ac:dyDescent="0.3">
      <c r="A118" s="340">
        <f t="shared" si="0"/>
        <v>11</v>
      </c>
      <c r="B118" s="288" t="s">
        <v>36</v>
      </c>
      <c r="C118" s="288"/>
      <c r="D118" s="288"/>
      <c r="E118" s="288"/>
      <c r="F118" s="288"/>
      <c r="G118" s="288"/>
      <c r="H118" s="288"/>
      <c r="I118" s="288"/>
      <c r="J118" s="288"/>
      <c r="K118" s="288"/>
      <c r="L118" s="288"/>
      <c r="M118" s="288"/>
      <c r="N118" s="288"/>
      <c r="O118" s="288"/>
      <c r="P118" s="288"/>
      <c r="Q118" s="288"/>
      <c r="R118" s="288"/>
      <c r="S118" s="288"/>
      <c r="T118" s="288"/>
      <c r="U118" s="288"/>
      <c r="V118" s="338">
        <v>0</v>
      </c>
      <c r="W118" s="291"/>
      <c r="X118" s="5"/>
    </row>
    <row r="119" spans="1:25" ht="15.6" x14ac:dyDescent="0.3">
      <c r="A119" s="340">
        <f t="shared" si="0"/>
        <v>12</v>
      </c>
      <c r="B119" s="288" t="s">
        <v>239</v>
      </c>
      <c r="C119" s="288"/>
      <c r="D119" s="288"/>
      <c r="E119" s="288"/>
      <c r="F119" s="288"/>
      <c r="G119" s="288"/>
      <c r="H119" s="288"/>
      <c r="I119" s="288"/>
      <c r="J119" s="288"/>
      <c r="K119" s="288"/>
      <c r="L119" s="288"/>
      <c r="M119" s="288"/>
      <c r="N119" s="288"/>
      <c r="O119" s="288"/>
      <c r="P119" s="288"/>
      <c r="Q119" s="288"/>
      <c r="R119" s="288"/>
      <c r="S119" s="288"/>
      <c r="T119" s="288"/>
      <c r="U119" s="288"/>
      <c r="V119" s="338">
        <v>0</v>
      </c>
      <c r="W119" s="291"/>
      <c r="X119" s="5"/>
    </row>
    <row r="120" spans="1:25" ht="15.6" x14ac:dyDescent="0.3">
      <c r="A120" s="340">
        <f t="shared" si="0"/>
        <v>13</v>
      </c>
      <c r="B120" s="288" t="s">
        <v>149</v>
      </c>
      <c r="C120" s="288"/>
      <c r="D120" s="288"/>
      <c r="E120" s="288"/>
      <c r="F120" s="288"/>
      <c r="G120" s="288"/>
      <c r="H120" s="288"/>
      <c r="I120" s="288"/>
      <c r="J120" s="288"/>
      <c r="K120" s="288"/>
      <c r="L120" s="288"/>
      <c r="M120" s="288"/>
      <c r="N120" s="288"/>
      <c r="O120" s="288"/>
      <c r="P120" s="288"/>
      <c r="Q120" s="288"/>
      <c r="R120" s="288"/>
      <c r="S120" s="288"/>
      <c r="T120" s="288"/>
      <c r="U120" s="288"/>
      <c r="V120" s="338">
        <v>-629</v>
      </c>
      <c r="W120" s="291"/>
      <c r="X120" s="5"/>
    </row>
    <row r="121" spans="1:25" ht="15.6" x14ac:dyDescent="0.3">
      <c r="A121" s="340">
        <f t="shared" si="0"/>
        <v>14</v>
      </c>
      <c r="B121" s="288" t="s">
        <v>126</v>
      </c>
      <c r="C121" s="288"/>
      <c r="D121" s="288"/>
      <c r="E121" s="288"/>
      <c r="F121" s="288"/>
      <c r="G121" s="288"/>
      <c r="H121" s="288"/>
      <c r="I121" s="288"/>
      <c r="J121" s="288"/>
      <c r="K121" s="288"/>
      <c r="L121" s="288"/>
      <c r="M121" s="288"/>
      <c r="N121" s="288"/>
      <c r="O121" s="288"/>
      <c r="P121" s="288"/>
      <c r="Q121" s="288"/>
      <c r="R121" s="288"/>
      <c r="S121" s="288"/>
      <c r="T121" s="288"/>
      <c r="U121" s="288"/>
      <c r="V121" s="338">
        <f>-V101-SUM(V103:V120)</f>
        <v>-3179</v>
      </c>
      <c r="W121" s="291"/>
      <c r="X121" s="5"/>
    </row>
    <row r="122" spans="1:25" ht="15.6" x14ac:dyDescent="0.3">
      <c r="A122" s="287"/>
      <c r="B122" s="343" t="s">
        <v>37</v>
      </c>
      <c r="C122" s="314"/>
      <c r="D122" s="314"/>
      <c r="E122" s="314"/>
      <c r="F122" s="314"/>
      <c r="G122" s="314"/>
      <c r="H122" s="314"/>
      <c r="I122" s="314"/>
      <c r="J122" s="314"/>
      <c r="K122" s="314"/>
      <c r="L122" s="314"/>
      <c r="M122" s="314"/>
      <c r="N122" s="314"/>
      <c r="O122" s="314"/>
      <c r="P122" s="314"/>
      <c r="Q122" s="314"/>
      <c r="R122" s="314"/>
      <c r="S122" s="314"/>
      <c r="T122" s="314"/>
      <c r="U122" s="314"/>
      <c r="V122" s="346"/>
      <c r="W122" s="318"/>
      <c r="X122" s="5"/>
    </row>
    <row r="123" spans="1:25" ht="15.6" x14ac:dyDescent="0.3">
      <c r="A123" s="340"/>
      <c r="B123" s="288" t="s">
        <v>173</v>
      </c>
      <c r="C123" s="288"/>
      <c r="D123" s="288"/>
      <c r="E123" s="288"/>
      <c r="F123" s="288"/>
      <c r="G123" s="288"/>
      <c r="H123" s="288"/>
      <c r="I123" s="288"/>
      <c r="J123" s="288"/>
      <c r="K123" s="288"/>
      <c r="L123" s="288"/>
      <c r="M123" s="288"/>
      <c r="N123" s="288"/>
      <c r="O123" s="288"/>
      <c r="P123" s="288"/>
      <c r="Q123" s="288"/>
      <c r="R123" s="288"/>
      <c r="S123" s="288"/>
      <c r="T123" s="337">
        <f>-T189</f>
        <v>0</v>
      </c>
      <c r="U123" s="337"/>
      <c r="V123" s="338"/>
      <c r="W123" s="291"/>
      <c r="X123" s="5"/>
    </row>
    <row r="124" spans="1:25" ht="15.6" x14ac:dyDescent="0.3">
      <c r="A124" s="340"/>
      <c r="B124" s="288" t="s">
        <v>174</v>
      </c>
      <c r="C124" s="288"/>
      <c r="D124" s="288"/>
      <c r="E124" s="288"/>
      <c r="F124" s="288"/>
      <c r="G124" s="288"/>
      <c r="H124" s="288"/>
      <c r="I124" s="288"/>
      <c r="J124" s="288"/>
      <c r="K124" s="288"/>
      <c r="L124" s="288"/>
      <c r="M124" s="288"/>
      <c r="N124" s="288"/>
      <c r="O124" s="288"/>
      <c r="P124" s="288"/>
      <c r="Q124" s="288"/>
      <c r="R124" s="288"/>
      <c r="S124" s="288"/>
      <c r="T124" s="337">
        <v>0</v>
      </c>
      <c r="U124" s="337"/>
      <c r="V124" s="338"/>
      <c r="W124" s="291"/>
      <c r="X124" s="5"/>
    </row>
    <row r="125" spans="1:25" ht="15.6" x14ac:dyDescent="0.3">
      <c r="A125" s="340"/>
      <c r="B125" s="288" t="s">
        <v>38</v>
      </c>
      <c r="C125" s="288"/>
      <c r="D125" s="288"/>
      <c r="E125" s="288"/>
      <c r="F125" s="288"/>
      <c r="G125" s="288"/>
      <c r="H125" s="288"/>
      <c r="I125" s="288"/>
      <c r="J125" s="288"/>
      <c r="K125" s="288"/>
      <c r="L125" s="288"/>
      <c r="M125" s="288"/>
      <c r="N125" s="288"/>
      <c r="O125" s="288"/>
      <c r="P125" s="288"/>
      <c r="Q125" s="288"/>
      <c r="R125" s="288"/>
      <c r="S125" s="288"/>
      <c r="T125" s="337">
        <f>-S189</f>
        <v>-342</v>
      </c>
      <c r="U125" s="337"/>
      <c r="V125" s="338"/>
      <c r="W125" s="291"/>
      <c r="X125" s="5"/>
    </row>
    <row r="126" spans="1:25" ht="15.6" x14ac:dyDescent="0.3">
      <c r="A126" s="340"/>
      <c r="B126" s="288" t="s">
        <v>197</v>
      </c>
      <c r="C126" s="288"/>
      <c r="D126" s="288"/>
      <c r="E126" s="288"/>
      <c r="F126" s="288"/>
      <c r="G126" s="288"/>
      <c r="H126" s="288"/>
      <c r="I126" s="288"/>
      <c r="J126" s="288"/>
      <c r="K126" s="288"/>
      <c r="L126" s="288"/>
      <c r="M126" s="288"/>
      <c r="N126" s="288"/>
      <c r="O126" s="288"/>
      <c r="P126" s="288"/>
      <c r="Q126" s="288"/>
      <c r="R126" s="288"/>
      <c r="S126" s="288"/>
      <c r="T126" s="337">
        <v>-7900</v>
      </c>
      <c r="U126" s="337"/>
      <c r="V126" s="338"/>
      <c r="W126" s="291"/>
      <c r="X126" s="5"/>
    </row>
    <row r="127" spans="1:25" ht="15.6" x14ac:dyDescent="0.3">
      <c r="A127" s="340"/>
      <c r="B127" s="288" t="s">
        <v>195</v>
      </c>
      <c r="C127" s="288"/>
      <c r="D127" s="288"/>
      <c r="E127" s="288"/>
      <c r="F127" s="288"/>
      <c r="G127" s="288"/>
      <c r="H127" s="288"/>
      <c r="I127" s="288"/>
      <c r="J127" s="288"/>
      <c r="K127" s="288"/>
      <c r="L127" s="288"/>
      <c r="M127" s="288"/>
      <c r="N127" s="288"/>
      <c r="O127" s="288"/>
      <c r="P127" s="288"/>
      <c r="Q127" s="288"/>
      <c r="R127" s="288"/>
      <c r="S127" s="288"/>
      <c r="T127" s="337">
        <v>-1274</v>
      </c>
      <c r="U127" s="337"/>
      <c r="V127" s="338"/>
      <c r="W127" s="291"/>
      <c r="X127" s="5"/>
    </row>
    <row r="128" spans="1:25" ht="15.6" x14ac:dyDescent="0.3">
      <c r="A128" s="340"/>
      <c r="B128" s="288" t="s">
        <v>194</v>
      </c>
      <c r="C128" s="288"/>
      <c r="D128" s="288"/>
      <c r="E128" s="288"/>
      <c r="F128" s="288"/>
      <c r="G128" s="288"/>
      <c r="H128" s="288"/>
      <c r="I128" s="288"/>
      <c r="J128" s="288"/>
      <c r="K128" s="288"/>
      <c r="L128" s="288"/>
      <c r="M128" s="288"/>
      <c r="N128" s="288"/>
      <c r="O128" s="288"/>
      <c r="P128" s="288"/>
      <c r="Q128" s="288"/>
      <c r="R128" s="288"/>
      <c r="S128" s="288"/>
      <c r="T128" s="337">
        <v>-1713</v>
      </c>
      <c r="U128" s="337"/>
      <c r="V128" s="338"/>
      <c r="W128" s="291"/>
      <c r="X128" s="5"/>
    </row>
    <row r="129" spans="1:24" ht="15.6" x14ac:dyDescent="0.3">
      <c r="A129" s="340"/>
      <c r="B129" s="288" t="s">
        <v>226</v>
      </c>
      <c r="C129" s="288"/>
      <c r="D129" s="288"/>
      <c r="E129" s="288"/>
      <c r="F129" s="288"/>
      <c r="G129" s="288"/>
      <c r="H129" s="288"/>
      <c r="I129" s="288"/>
      <c r="J129" s="288"/>
      <c r="K129" s="288"/>
      <c r="L129" s="288"/>
      <c r="M129" s="288"/>
      <c r="N129" s="288"/>
      <c r="O129" s="288"/>
      <c r="P129" s="288"/>
      <c r="Q129" s="288"/>
      <c r="R129" s="288"/>
      <c r="S129" s="288"/>
      <c r="T129" s="337">
        <v>-2107</v>
      </c>
      <c r="U129" s="337"/>
      <c r="V129" s="338"/>
      <c r="W129" s="291"/>
      <c r="X129" s="5"/>
    </row>
    <row r="130" spans="1:24" ht="15.6" x14ac:dyDescent="0.3">
      <c r="A130" s="340"/>
      <c r="B130" s="288" t="s">
        <v>189</v>
      </c>
      <c r="C130" s="288"/>
      <c r="D130" s="288"/>
      <c r="E130" s="288"/>
      <c r="F130" s="288"/>
      <c r="G130" s="288"/>
      <c r="H130" s="288"/>
      <c r="I130" s="288"/>
      <c r="J130" s="288"/>
      <c r="K130" s="288"/>
      <c r="L130" s="288"/>
      <c r="M130" s="288"/>
      <c r="N130" s="288"/>
      <c r="O130" s="288"/>
      <c r="P130" s="288"/>
      <c r="Q130" s="288"/>
      <c r="R130" s="288"/>
      <c r="S130" s="288"/>
      <c r="T130" s="337">
        <v>0</v>
      </c>
      <c r="U130" s="337"/>
      <c r="V130" s="338"/>
      <c r="W130" s="291"/>
      <c r="X130" s="5"/>
    </row>
    <row r="131" spans="1:24" ht="15.6" x14ac:dyDescent="0.3">
      <c r="A131" s="340"/>
      <c r="B131" s="288" t="s">
        <v>188</v>
      </c>
      <c r="C131" s="288"/>
      <c r="D131" s="288"/>
      <c r="E131" s="288"/>
      <c r="F131" s="288"/>
      <c r="G131" s="288"/>
      <c r="H131" s="288"/>
      <c r="I131" s="288"/>
      <c r="J131" s="288"/>
      <c r="K131" s="288"/>
      <c r="L131" s="288"/>
      <c r="M131" s="288"/>
      <c r="N131" s="288"/>
      <c r="O131" s="288"/>
      <c r="P131" s="288"/>
      <c r="Q131" s="288"/>
      <c r="R131" s="288"/>
      <c r="S131" s="288"/>
      <c r="T131" s="337">
        <v>0</v>
      </c>
      <c r="U131" s="337"/>
      <c r="V131" s="338"/>
      <c r="W131" s="291"/>
      <c r="X131" s="5"/>
    </row>
    <row r="132" spans="1:24" ht="15.6" x14ac:dyDescent="0.3">
      <c r="A132" s="340"/>
      <c r="B132" s="288" t="s">
        <v>227</v>
      </c>
      <c r="C132" s="288"/>
      <c r="D132" s="288"/>
      <c r="E132" s="288"/>
      <c r="F132" s="288"/>
      <c r="G132" s="288"/>
      <c r="H132" s="288"/>
      <c r="I132" s="288"/>
      <c r="J132" s="288"/>
      <c r="K132" s="288"/>
      <c r="L132" s="288"/>
      <c r="M132" s="288"/>
      <c r="N132" s="288"/>
      <c r="O132" s="288"/>
      <c r="P132" s="288"/>
      <c r="Q132" s="288"/>
      <c r="R132" s="288"/>
      <c r="S132" s="288"/>
      <c r="T132" s="337">
        <v>0</v>
      </c>
      <c r="U132" s="337"/>
      <c r="V132" s="338"/>
      <c r="W132" s="291"/>
      <c r="X132" s="5"/>
    </row>
    <row r="133" spans="1:24" ht="15.6" x14ac:dyDescent="0.3">
      <c r="A133" s="340"/>
      <c r="B133" s="288" t="s">
        <v>187</v>
      </c>
      <c r="C133" s="288"/>
      <c r="D133" s="288"/>
      <c r="E133" s="288"/>
      <c r="F133" s="288"/>
      <c r="G133" s="288"/>
      <c r="H133" s="288"/>
      <c r="I133" s="288"/>
      <c r="J133" s="288"/>
      <c r="K133" s="288"/>
      <c r="L133" s="288"/>
      <c r="M133" s="288"/>
      <c r="N133" s="288"/>
      <c r="O133" s="288"/>
      <c r="P133" s="288"/>
      <c r="Q133" s="288"/>
      <c r="R133" s="288"/>
      <c r="S133" s="288"/>
      <c r="T133" s="337">
        <v>0</v>
      </c>
      <c r="U133" s="337"/>
      <c r="V133" s="338"/>
      <c r="W133" s="291"/>
      <c r="X133" s="5"/>
    </row>
    <row r="134" spans="1:24" ht="15.6" x14ac:dyDescent="0.3">
      <c r="A134" s="340"/>
      <c r="B134" s="288" t="s">
        <v>39</v>
      </c>
      <c r="C134" s="288"/>
      <c r="D134" s="288"/>
      <c r="E134" s="288"/>
      <c r="F134" s="288"/>
      <c r="G134" s="288"/>
      <c r="H134" s="288"/>
      <c r="I134" s="288"/>
      <c r="J134" s="288"/>
      <c r="K134" s="288"/>
      <c r="L134" s="288"/>
      <c r="M134" s="288"/>
      <c r="N134" s="288"/>
      <c r="O134" s="288"/>
      <c r="P134" s="288"/>
      <c r="Q134" s="288"/>
      <c r="R134" s="288"/>
      <c r="S134" s="288"/>
      <c r="T134" s="337">
        <f>SUM(T123:T133)</f>
        <v>-13336</v>
      </c>
      <c r="U134" s="337"/>
      <c r="V134" s="337">
        <f>SUM(V102:V131)</f>
        <v>-6428</v>
      </c>
      <c r="W134" s="291"/>
      <c r="X134" s="5"/>
    </row>
    <row r="135" spans="1:24" ht="15.6" x14ac:dyDescent="0.3">
      <c r="A135" s="340"/>
      <c r="B135" s="288" t="s">
        <v>40</v>
      </c>
      <c r="C135" s="288"/>
      <c r="D135" s="288"/>
      <c r="E135" s="288"/>
      <c r="F135" s="288"/>
      <c r="G135" s="288"/>
      <c r="H135" s="288"/>
      <c r="I135" s="288"/>
      <c r="J135" s="288"/>
      <c r="K135" s="288"/>
      <c r="L135" s="288"/>
      <c r="M135" s="288"/>
      <c r="N135" s="288"/>
      <c r="O135" s="288"/>
      <c r="P135" s="288"/>
      <c r="Q135" s="288"/>
      <c r="R135" s="288"/>
      <c r="S135" s="288"/>
      <c r="T135" s="337">
        <f>T101+T134+T115</f>
        <v>0</v>
      </c>
      <c r="U135" s="337"/>
      <c r="V135" s="337">
        <f>V101+V134</f>
        <v>0</v>
      </c>
      <c r="W135" s="291"/>
      <c r="X135" s="5"/>
    </row>
    <row r="136" spans="1:24" ht="15.6" x14ac:dyDescent="0.3">
      <c r="A136" s="243"/>
      <c r="B136" s="284"/>
      <c r="C136" s="284"/>
      <c r="D136" s="284"/>
      <c r="E136" s="284"/>
      <c r="F136" s="284"/>
      <c r="G136" s="284"/>
      <c r="H136" s="284"/>
      <c r="I136" s="284"/>
      <c r="J136" s="284"/>
      <c r="K136" s="284"/>
      <c r="L136" s="284"/>
      <c r="M136" s="284"/>
      <c r="N136" s="284"/>
      <c r="O136" s="284"/>
      <c r="P136" s="284"/>
      <c r="Q136" s="284"/>
      <c r="R136" s="284"/>
      <c r="S136" s="284"/>
      <c r="T136" s="339"/>
      <c r="U136" s="339"/>
      <c r="V136" s="339"/>
      <c r="W136" s="284"/>
      <c r="X136" s="5"/>
    </row>
    <row r="137" spans="1:24" ht="15.6" x14ac:dyDescent="0.3">
      <c r="A137" s="243"/>
      <c r="B137" s="224"/>
      <c r="C137" s="224"/>
      <c r="D137" s="224"/>
      <c r="E137" s="224"/>
      <c r="F137" s="224"/>
      <c r="G137" s="224"/>
      <c r="H137" s="224"/>
      <c r="I137" s="224"/>
      <c r="J137" s="224"/>
      <c r="K137" s="224"/>
      <c r="L137" s="224"/>
      <c r="M137" s="224"/>
      <c r="N137" s="224"/>
      <c r="O137" s="224"/>
      <c r="P137" s="224"/>
      <c r="Q137" s="224"/>
      <c r="R137" s="224"/>
      <c r="S137" s="224"/>
      <c r="T137" s="224"/>
      <c r="U137" s="224"/>
      <c r="V137" s="244"/>
      <c r="W137" s="224"/>
      <c r="X137" s="5"/>
    </row>
    <row r="138" spans="1:24" ht="18" thickBot="1" x14ac:dyDescent="0.35">
      <c r="A138" s="245"/>
      <c r="B138" s="237" t="str">
        <f>B64</f>
        <v>PM14 INVESTOR REPORT QUARTER ENDING NOVEMBER 2015</v>
      </c>
      <c r="C138" s="238"/>
      <c r="D138" s="238"/>
      <c r="E138" s="238"/>
      <c r="F138" s="238"/>
      <c r="G138" s="238"/>
      <c r="H138" s="238"/>
      <c r="I138" s="238"/>
      <c r="J138" s="238"/>
      <c r="K138" s="238"/>
      <c r="L138" s="238"/>
      <c r="M138" s="238"/>
      <c r="N138" s="238"/>
      <c r="O138" s="238"/>
      <c r="P138" s="238"/>
      <c r="Q138" s="238"/>
      <c r="R138" s="238"/>
      <c r="S138" s="238"/>
      <c r="T138" s="238"/>
      <c r="U138" s="238"/>
      <c r="V138" s="246"/>
      <c r="W138" s="240"/>
      <c r="X138" s="5"/>
    </row>
    <row r="139" spans="1:24" ht="15.6" x14ac:dyDescent="0.3">
      <c r="A139" s="273"/>
      <c r="B139" s="403" t="s">
        <v>41</v>
      </c>
      <c r="C139" s="274"/>
      <c r="D139" s="274"/>
      <c r="E139" s="274"/>
      <c r="F139" s="274"/>
      <c r="G139" s="274"/>
      <c r="H139" s="274"/>
      <c r="I139" s="274"/>
      <c r="J139" s="274"/>
      <c r="K139" s="274"/>
      <c r="L139" s="274"/>
      <c r="M139" s="274"/>
      <c r="N139" s="274"/>
      <c r="O139" s="274"/>
      <c r="P139" s="274"/>
      <c r="Q139" s="274"/>
      <c r="R139" s="274"/>
      <c r="S139" s="274"/>
      <c r="T139" s="274"/>
      <c r="U139" s="274"/>
      <c r="V139" s="275"/>
      <c r="W139" s="274"/>
      <c r="X139" s="5"/>
    </row>
    <row r="140" spans="1:24" ht="15.6" x14ac:dyDescent="0.3">
      <c r="A140" s="183"/>
      <c r="B140" s="195"/>
      <c r="C140" s="185"/>
      <c r="D140" s="185"/>
      <c r="E140" s="185"/>
      <c r="F140" s="185"/>
      <c r="G140" s="185"/>
      <c r="H140" s="185"/>
      <c r="I140" s="185"/>
      <c r="J140" s="185"/>
      <c r="K140" s="185"/>
      <c r="L140" s="185"/>
      <c r="M140" s="185"/>
      <c r="N140" s="185"/>
      <c r="O140" s="185"/>
      <c r="P140" s="185"/>
      <c r="Q140" s="185"/>
      <c r="R140" s="185"/>
      <c r="S140" s="185"/>
      <c r="T140" s="185"/>
      <c r="U140" s="185"/>
      <c r="V140" s="201"/>
      <c r="W140" s="185"/>
      <c r="X140" s="5"/>
    </row>
    <row r="141" spans="1:24" ht="15.6" x14ac:dyDescent="0.3">
      <c r="A141" s="183"/>
      <c r="B141" s="208" t="s">
        <v>42</v>
      </c>
      <c r="C141" s="185"/>
      <c r="D141" s="185"/>
      <c r="E141" s="185"/>
      <c r="F141" s="185"/>
      <c r="G141" s="185"/>
      <c r="H141" s="185"/>
      <c r="I141" s="185"/>
      <c r="J141" s="185"/>
      <c r="K141" s="185"/>
      <c r="L141" s="185"/>
      <c r="M141" s="185"/>
      <c r="N141" s="185"/>
      <c r="O141" s="185"/>
      <c r="P141" s="185"/>
      <c r="Q141" s="185"/>
      <c r="R141" s="185"/>
      <c r="S141" s="185"/>
      <c r="T141" s="185"/>
      <c r="U141" s="185"/>
      <c r="V141" s="201"/>
      <c r="W141" s="185"/>
      <c r="X141" s="5"/>
    </row>
    <row r="142" spans="1:24" ht="15.6" x14ac:dyDescent="0.3">
      <c r="A142" s="287"/>
      <c r="B142" s="288" t="s">
        <v>43</v>
      </c>
      <c r="C142" s="288"/>
      <c r="D142" s="288"/>
      <c r="E142" s="288"/>
      <c r="F142" s="288"/>
      <c r="G142" s="288"/>
      <c r="H142" s="288"/>
      <c r="I142" s="288"/>
      <c r="J142" s="288"/>
      <c r="K142" s="288"/>
      <c r="L142" s="288"/>
      <c r="M142" s="288"/>
      <c r="N142" s="288"/>
      <c r="O142" s="288"/>
      <c r="P142" s="288"/>
      <c r="Q142" s="288"/>
      <c r="R142" s="288"/>
      <c r="S142" s="288"/>
      <c r="T142" s="288"/>
      <c r="U142" s="288"/>
      <c r="V142" s="338">
        <f>+V34*0.019</f>
        <v>28505.224999999999</v>
      </c>
      <c r="W142" s="291"/>
      <c r="X142" s="5"/>
    </row>
    <row r="143" spans="1:24" ht="15.6" x14ac:dyDescent="0.3">
      <c r="A143" s="287"/>
      <c r="B143" s="288" t="s">
        <v>44</v>
      </c>
      <c r="C143" s="288"/>
      <c r="D143" s="288"/>
      <c r="E143" s="288"/>
      <c r="F143" s="288"/>
      <c r="G143" s="288"/>
      <c r="H143" s="288"/>
      <c r="I143" s="288"/>
      <c r="J143" s="288"/>
      <c r="K143" s="288"/>
      <c r="L143" s="288"/>
      <c r="M143" s="288"/>
      <c r="N143" s="288"/>
      <c r="O143" s="288"/>
      <c r="P143" s="288"/>
      <c r="Q143" s="288"/>
      <c r="R143" s="288"/>
      <c r="S143" s="288"/>
      <c r="T143" s="288"/>
      <c r="U143" s="288"/>
      <c r="V143" s="338">
        <v>28505</v>
      </c>
      <c r="W143" s="291"/>
      <c r="X143" s="5"/>
    </row>
    <row r="144" spans="1:24" ht="15.6" x14ac:dyDescent="0.3">
      <c r="A144" s="287"/>
      <c r="B144" s="288" t="s">
        <v>136</v>
      </c>
      <c r="C144" s="288"/>
      <c r="D144" s="288"/>
      <c r="E144" s="288"/>
      <c r="F144" s="288"/>
      <c r="G144" s="288"/>
      <c r="H144" s="288"/>
      <c r="I144" s="288"/>
      <c r="J144" s="288"/>
      <c r="K144" s="288"/>
      <c r="L144" s="288"/>
      <c r="M144" s="288"/>
      <c r="N144" s="288"/>
      <c r="O144" s="288"/>
      <c r="P144" s="288"/>
      <c r="Q144" s="288"/>
      <c r="R144" s="288"/>
      <c r="S144" s="288"/>
      <c r="T144" s="288"/>
      <c r="U144" s="288"/>
      <c r="V144" s="338"/>
      <c r="W144" s="291"/>
      <c r="X144" s="5"/>
    </row>
    <row r="145" spans="1:25" ht="15.6" x14ac:dyDescent="0.3">
      <c r="A145" s="287"/>
      <c r="B145" s="288" t="s">
        <v>123</v>
      </c>
      <c r="C145" s="288"/>
      <c r="D145" s="288"/>
      <c r="E145" s="288"/>
      <c r="F145" s="288"/>
      <c r="G145" s="288"/>
      <c r="H145" s="288"/>
      <c r="I145" s="288"/>
      <c r="J145" s="288"/>
      <c r="K145" s="288"/>
      <c r="L145" s="288"/>
      <c r="M145" s="288"/>
      <c r="N145" s="288"/>
      <c r="O145" s="288"/>
      <c r="P145" s="288"/>
      <c r="Q145" s="288"/>
      <c r="R145" s="288"/>
      <c r="S145" s="288"/>
      <c r="T145" s="288"/>
      <c r="U145" s="288"/>
      <c r="V145" s="338">
        <v>0</v>
      </c>
      <c r="W145" s="291"/>
      <c r="X145" s="5"/>
    </row>
    <row r="146" spans="1:25" ht="15.6" x14ac:dyDescent="0.3">
      <c r="A146" s="287"/>
      <c r="B146" s="288" t="s">
        <v>124</v>
      </c>
      <c r="C146" s="288"/>
      <c r="D146" s="288"/>
      <c r="E146" s="288"/>
      <c r="F146" s="288"/>
      <c r="G146" s="288"/>
      <c r="H146" s="288"/>
      <c r="I146" s="288"/>
      <c r="J146" s="288"/>
      <c r="K146" s="288"/>
      <c r="L146" s="288"/>
      <c r="M146" s="288"/>
      <c r="N146" s="288"/>
      <c r="O146" s="288"/>
      <c r="P146" s="288"/>
      <c r="Q146" s="288"/>
      <c r="R146" s="288"/>
      <c r="S146" s="288"/>
      <c r="T146" s="288"/>
      <c r="U146" s="288"/>
      <c r="V146" s="338">
        <v>0</v>
      </c>
      <c r="W146" s="291"/>
      <c r="X146" s="5"/>
    </row>
    <row r="147" spans="1:25" ht="15.6" x14ac:dyDescent="0.3">
      <c r="A147" s="287"/>
      <c r="B147" s="288" t="s">
        <v>175</v>
      </c>
      <c r="C147" s="288"/>
      <c r="D147" s="288"/>
      <c r="E147" s="288"/>
      <c r="F147" s="288"/>
      <c r="G147" s="288"/>
      <c r="H147" s="288"/>
      <c r="I147" s="288"/>
      <c r="J147" s="288"/>
      <c r="K147" s="288"/>
      <c r="L147" s="288"/>
      <c r="M147" s="288"/>
      <c r="N147" s="288"/>
      <c r="O147" s="288"/>
      <c r="P147" s="288"/>
      <c r="Q147" s="288"/>
      <c r="R147" s="288"/>
      <c r="S147" s="288"/>
      <c r="T147" s="288"/>
      <c r="U147" s="288"/>
      <c r="V147" s="338">
        <v>0</v>
      </c>
      <c r="W147" s="291"/>
      <c r="X147" s="5"/>
    </row>
    <row r="148" spans="1:25" ht="15.6" x14ac:dyDescent="0.3">
      <c r="A148" s="287"/>
      <c r="B148" s="288" t="s">
        <v>45</v>
      </c>
      <c r="C148" s="288"/>
      <c r="D148" s="288"/>
      <c r="E148" s="288"/>
      <c r="F148" s="288"/>
      <c r="G148" s="288"/>
      <c r="H148" s="288"/>
      <c r="I148" s="288"/>
      <c r="J148" s="288"/>
      <c r="K148" s="288"/>
      <c r="L148" s="288"/>
      <c r="M148" s="288"/>
      <c r="N148" s="288"/>
      <c r="O148" s="288"/>
      <c r="P148" s="288"/>
      <c r="Q148" s="288"/>
      <c r="R148" s="288"/>
      <c r="S148" s="288"/>
      <c r="T148" s="288"/>
      <c r="U148" s="288"/>
      <c r="V148" s="338">
        <v>0</v>
      </c>
      <c r="W148" s="291"/>
      <c r="X148" s="5"/>
    </row>
    <row r="149" spans="1:25" ht="15.6" x14ac:dyDescent="0.3">
      <c r="A149" s="287"/>
      <c r="B149" s="288" t="s">
        <v>129</v>
      </c>
      <c r="C149" s="288"/>
      <c r="D149" s="288"/>
      <c r="E149" s="288"/>
      <c r="F149" s="288"/>
      <c r="G149" s="288"/>
      <c r="H149" s="288"/>
      <c r="I149" s="288"/>
      <c r="J149" s="288"/>
      <c r="K149" s="288"/>
      <c r="L149" s="288"/>
      <c r="M149" s="288"/>
      <c r="N149" s="288"/>
      <c r="O149" s="288"/>
      <c r="P149" s="288"/>
      <c r="Q149" s="288"/>
      <c r="R149" s="288"/>
      <c r="S149" s="288"/>
      <c r="T149" s="288"/>
      <c r="U149" s="288"/>
      <c r="V149" s="338">
        <v>0</v>
      </c>
      <c r="W149" s="291"/>
      <c r="X149" s="5"/>
    </row>
    <row r="150" spans="1:25" ht="15.6" x14ac:dyDescent="0.3">
      <c r="A150" s="287"/>
      <c r="B150" s="288" t="s">
        <v>267</v>
      </c>
      <c r="C150" s="288"/>
      <c r="D150" s="288"/>
      <c r="E150" s="288"/>
      <c r="F150" s="288"/>
      <c r="G150" s="288"/>
      <c r="H150" s="288"/>
      <c r="I150" s="288"/>
      <c r="J150" s="288"/>
      <c r="K150" s="288"/>
      <c r="L150" s="288"/>
      <c r="M150" s="288"/>
      <c r="N150" s="288"/>
      <c r="O150" s="288"/>
      <c r="P150" s="288"/>
      <c r="Q150" s="288"/>
      <c r="R150" s="288"/>
      <c r="S150" s="288"/>
      <c r="T150" s="288"/>
      <c r="U150" s="288"/>
      <c r="V150" s="338">
        <v>0</v>
      </c>
      <c r="W150" s="291"/>
      <c r="X150" s="5"/>
      <c r="Y150" s="109"/>
    </row>
    <row r="151" spans="1:25" ht="15.6" x14ac:dyDescent="0.3">
      <c r="A151" s="287"/>
      <c r="B151" s="288" t="s">
        <v>46</v>
      </c>
      <c r="C151" s="288"/>
      <c r="D151" s="288"/>
      <c r="E151" s="288"/>
      <c r="F151" s="288"/>
      <c r="G151" s="288"/>
      <c r="H151" s="288"/>
      <c r="I151" s="288"/>
      <c r="J151" s="288"/>
      <c r="K151" s="288"/>
      <c r="L151" s="288"/>
      <c r="M151" s="288"/>
      <c r="N151" s="288"/>
      <c r="O151" s="288"/>
      <c r="P151" s="288"/>
      <c r="Q151" s="288"/>
      <c r="R151" s="288"/>
      <c r="S151" s="288"/>
      <c r="T151" s="288"/>
      <c r="U151" s="288"/>
      <c r="V151" s="338">
        <f>SUM(V143:V150)</f>
        <v>28505</v>
      </c>
      <c r="W151" s="291"/>
      <c r="X151" s="5"/>
    </row>
    <row r="152" spans="1:25" ht="15.6" x14ac:dyDescent="0.3">
      <c r="A152" s="287"/>
      <c r="B152" s="314"/>
      <c r="C152" s="314"/>
      <c r="D152" s="314"/>
      <c r="E152" s="314"/>
      <c r="F152" s="314"/>
      <c r="G152" s="314"/>
      <c r="H152" s="314"/>
      <c r="I152" s="314"/>
      <c r="J152" s="314"/>
      <c r="K152" s="314"/>
      <c r="L152" s="314"/>
      <c r="M152" s="314"/>
      <c r="N152" s="314"/>
      <c r="O152" s="314"/>
      <c r="P152" s="314"/>
      <c r="Q152" s="314"/>
      <c r="R152" s="314"/>
      <c r="S152" s="314"/>
      <c r="T152" s="314"/>
      <c r="U152" s="314"/>
      <c r="V152" s="345"/>
      <c r="W152" s="318"/>
      <c r="X152" s="5"/>
    </row>
    <row r="153" spans="1:25" ht="15.6" x14ac:dyDescent="0.3">
      <c r="A153" s="287"/>
      <c r="B153" s="343" t="s">
        <v>237</v>
      </c>
      <c r="C153" s="314"/>
      <c r="D153" s="314"/>
      <c r="E153" s="314"/>
      <c r="F153" s="314"/>
      <c r="G153" s="314"/>
      <c r="H153" s="314"/>
      <c r="I153" s="314"/>
      <c r="J153" s="314"/>
      <c r="K153" s="314"/>
      <c r="L153" s="314"/>
      <c r="M153" s="314"/>
      <c r="N153" s="314"/>
      <c r="O153" s="314"/>
      <c r="P153" s="314"/>
      <c r="Q153" s="314"/>
      <c r="R153" s="314"/>
      <c r="S153" s="314"/>
      <c r="T153" s="314"/>
      <c r="U153" s="314"/>
      <c r="V153" s="345"/>
      <c r="W153" s="318"/>
      <c r="X153" s="5"/>
    </row>
    <row r="154" spans="1:25" ht="15.6" x14ac:dyDescent="0.3">
      <c r="A154" s="287"/>
      <c r="B154" s="288" t="s">
        <v>155</v>
      </c>
      <c r="C154" s="288"/>
      <c r="D154" s="288"/>
      <c r="E154" s="288"/>
      <c r="F154" s="288"/>
      <c r="G154" s="288"/>
      <c r="H154" s="288"/>
      <c r="I154" s="288"/>
      <c r="J154" s="288"/>
      <c r="K154" s="288"/>
      <c r="L154" s="288"/>
      <c r="M154" s="288"/>
      <c r="N154" s="288"/>
      <c r="O154" s="288"/>
      <c r="P154" s="288"/>
      <c r="Q154" s="288"/>
      <c r="R154" s="288"/>
      <c r="S154" s="288"/>
      <c r="T154" s="288"/>
      <c r="U154" s="288"/>
      <c r="V154" s="338">
        <v>7500</v>
      </c>
      <c r="W154" s="291"/>
      <c r="X154" s="5"/>
    </row>
    <row r="155" spans="1:25" ht="15.6" x14ac:dyDescent="0.3">
      <c r="A155" s="287"/>
      <c r="B155" s="288" t="s">
        <v>172</v>
      </c>
      <c r="C155" s="288"/>
      <c r="D155" s="288"/>
      <c r="E155" s="288"/>
      <c r="F155" s="288"/>
      <c r="G155" s="288"/>
      <c r="H155" s="288"/>
      <c r="I155" s="288"/>
      <c r="J155" s="288"/>
      <c r="K155" s="288"/>
      <c r="L155" s="288"/>
      <c r="M155" s="288"/>
      <c r="N155" s="288"/>
      <c r="O155" s="288"/>
      <c r="P155" s="288"/>
      <c r="Q155" s="288"/>
      <c r="R155" s="288"/>
      <c r="S155" s="288"/>
      <c r="T155" s="288"/>
      <c r="U155" s="288"/>
      <c r="V155" s="338">
        <v>0</v>
      </c>
      <c r="W155" s="291"/>
      <c r="X155" s="5"/>
    </row>
    <row r="156" spans="1:25" ht="15.6" x14ac:dyDescent="0.3">
      <c r="A156" s="287"/>
      <c r="B156" s="288" t="s">
        <v>344</v>
      </c>
      <c r="C156" s="288"/>
      <c r="D156" s="288"/>
      <c r="E156" s="288"/>
      <c r="F156" s="288"/>
      <c r="G156" s="288"/>
      <c r="H156" s="288"/>
      <c r="I156" s="288"/>
      <c r="J156" s="288"/>
      <c r="K156" s="288"/>
      <c r="L156" s="288"/>
      <c r="M156" s="288"/>
      <c r="N156" s="288"/>
      <c r="O156" s="288"/>
      <c r="P156" s="288"/>
      <c r="Q156" s="288"/>
      <c r="R156" s="288"/>
      <c r="S156" s="288"/>
      <c r="T156" s="288"/>
      <c r="U156" s="288"/>
      <c r="V156" s="338">
        <v>0</v>
      </c>
      <c r="W156" s="291"/>
      <c r="X156" s="5"/>
    </row>
    <row r="157" spans="1:25" ht="15.6" x14ac:dyDescent="0.3">
      <c r="A157" s="287"/>
      <c r="B157" s="288"/>
      <c r="C157" s="288"/>
      <c r="D157" s="288"/>
      <c r="E157" s="288"/>
      <c r="F157" s="288"/>
      <c r="G157" s="288"/>
      <c r="H157" s="288"/>
      <c r="I157" s="288"/>
      <c r="J157" s="288"/>
      <c r="K157" s="288"/>
      <c r="L157" s="288"/>
      <c r="M157" s="288"/>
      <c r="N157" s="288"/>
      <c r="O157" s="288"/>
      <c r="P157" s="288"/>
      <c r="Q157" s="288"/>
      <c r="R157" s="288"/>
      <c r="S157" s="288"/>
      <c r="T157" s="288"/>
      <c r="U157" s="288"/>
      <c r="V157" s="338"/>
      <c r="W157" s="291"/>
      <c r="X157" s="5"/>
    </row>
    <row r="158" spans="1:25" ht="15.6" x14ac:dyDescent="0.3">
      <c r="A158" s="183"/>
      <c r="B158" s="198"/>
      <c r="C158" s="198"/>
      <c r="D158" s="198"/>
      <c r="E158" s="198"/>
      <c r="F158" s="198"/>
      <c r="G158" s="198"/>
      <c r="H158" s="198"/>
      <c r="I158" s="198"/>
      <c r="J158" s="198"/>
      <c r="K158" s="198"/>
      <c r="L158" s="198"/>
      <c r="M158" s="198"/>
      <c r="N158" s="198"/>
      <c r="O158" s="198"/>
      <c r="P158" s="198"/>
      <c r="Q158" s="198"/>
      <c r="R158" s="198"/>
      <c r="S158" s="198"/>
      <c r="T158" s="198"/>
      <c r="U158" s="198"/>
      <c r="V158" s="347"/>
      <c r="W158" s="198"/>
      <c r="X158" s="5"/>
    </row>
    <row r="159" spans="1:25" ht="15.6" x14ac:dyDescent="0.3">
      <c r="A159" s="183"/>
      <c r="B159" s="208" t="s">
        <v>24</v>
      </c>
      <c r="C159" s="185"/>
      <c r="D159" s="185"/>
      <c r="E159" s="185"/>
      <c r="F159" s="185"/>
      <c r="G159" s="185"/>
      <c r="H159" s="185"/>
      <c r="I159" s="185"/>
      <c r="J159" s="185"/>
      <c r="K159" s="185"/>
      <c r="L159" s="185"/>
      <c r="M159" s="185"/>
      <c r="N159" s="185"/>
      <c r="O159" s="185"/>
      <c r="P159" s="185"/>
      <c r="Q159" s="185"/>
      <c r="R159" s="185"/>
      <c r="S159" s="185"/>
      <c r="T159" s="185"/>
      <c r="U159" s="185"/>
      <c r="V159" s="201"/>
      <c r="W159" s="185"/>
      <c r="X159" s="5"/>
    </row>
    <row r="160" spans="1:25" ht="15.6" x14ac:dyDescent="0.3">
      <c r="A160" s="287"/>
      <c r="B160" s="288" t="s">
        <v>47</v>
      </c>
      <c r="C160" s="288"/>
      <c r="D160" s="288"/>
      <c r="E160" s="288"/>
      <c r="F160" s="288"/>
      <c r="G160" s="288"/>
      <c r="H160" s="288"/>
      <c r="I160" s="288"/>
      <c r="J160" s="288"/>
      <c r="K160" s="288"/>
      <c r="L160" s="288"/>
      <c r="M160" s="288"/>
      <c r="N160" s="288"/>
      <c r="O160" s="288"/>
      <c r="P160" s="288"/>
      <c r="Q160" s="288"/>
      <c r="R160" s="288"/>
      <c r="S160" s="288"/>
      <c r="T160" s="288"/>
      <c r="U160" s="288"/>
      <c r="V160" s="348" t="s">
        <v>118</v>
      </c>
      <c r="W160" s="291"/>
      <c r="X160" s="5"/>
    </row>
    <row r="161" spans="1:256" ht="15.6" x14ac:dyDescent="0.3">
      <c r="A161" s="287"/>
      <c r="B161" s="288" t="s">
        <v>48</v>
      </c>
      <c r="C161" s="290"/>
      <c r="D161" s="290"/>
      <c r="E161" s="290"/>
      <c r="F161" s="290"/>
      <c r="G161" s="290"/>
      <c r="H161" s="290"/>
      <c r="I161" s="290"/>
      <c r="J161" s="290"/>
      <c r="K161" s="290"/>
      <c r="L161" s="290"/>
      <c r="M161" s="290"/>
      <c r="N161" s="290"/>
      <c r="O161" s="290"/>
      <c r="P161" s="290"/>
      <c r="Q161" s="290"/>
      <c r="R161" s="290"/>
      <c r="S161" s="290"/>
      <c r="T161" s="290"/>
      <c r="U161" s="290"/>
      <c r="V161" s="348" t="s">
        <v>118</v>
      </c>
      <c r="W161" s="291"/>
      <c r="X161" s="5"/>
    </row>
    <row r="162" spans="1:256" ht="15.6" x14ac:dyDescent="0.3">
      <c r="A162" s="287"/>
      <c r="B162" s="288" t="s">
        <v>49</v>
      </c>
      <c r="C162" s="288"/>
      <c r="D162" s="288"/>
      <c r="E162" s="288"/>
      <c r="F162" s="288"/>
      <c r="G162" s="288"/>
      <c r="H162" s="288"/>
      <c r="I162" s="288"/>
      <c r="J162" s="288"/>
      <c r="K162" s="288"/>
      <c r="L162" s="288"/>
      <c r="M162" s="288"/>
      <c r="N162" s="288"/>
      <c r="O162" s="288"/>
      <c r="P162" s="288"/>
      <c r="Q162" s="288"/>
      <c r="R162" s="288"/>
      <c r="S162" s="288"/>
      <c r="T162" s="288"/>
      <c r="U162" s="288"/>
      <c r="V162" s="348" t="s">
        <v>118</v>
      </c>
      <c r="W162" s="291"/>
      <c r="X162" s="5"/>
    </row>
    <row r="163" spans="1:256" ht="15.6" x14ac:dyDescent="0.3">
      <c r="A163" s="287"/>
      <c r="B163" s="288" t="s">
        <v>50</v>
      </c>
      <c r="C163" s="288"/>
      <c r="D163" s="288"/>
      <c r="E163" s="288"/>
      <c r="F163" s="288"/>
      <c r="G163" s="288"/>
      <c r="H163" s="288"/>
      <c r="I163" s="288"/>
      <c r="J163" s="288"/>
      <c r="K163" s="288"/>
      <c r="L163" s="288"/>
      <c r="M163" s="288"/>
      <c r="N163" s="288"/>
      <c r="O163" s="288"/>
      <c r="P163" s="288"/>
      <c r="Q163" s="288"/>
      <c r="R163" s="288"/>
      <c r="S163" s="288"/>
      <c r="T163" s="288"/>
      <c r="U163" s="288"/>
      <c r="V163" s="348" t="s">
        <v>118</v>
      </c>
      <c r="W163" s="291"/>
      <c r="X163" s="5"/>
    </row>
    <row r="164" spans="1:256" ht="15.6" x14ac:dyDescent="0.3">
      <c r="A164" s="183"/>
      <c r="B164" s="198"/>
      <c r="C164" s="198"/>
      <c r="D164" s="198"/>
      <c r="E164" s="198"/>
      <c r="F164" s="198"/>
      <c r="G164" s="198"/>
      <c r="H164" s="198"/>
      <c r="I164" s="198"/>
      <c r="J164" s="198"/>
      <c r="K164" s="198"/>
      <c r="L164" s="198"/>
      <c r="M164" s="198"/>
      <c r="N164" s="198"/>
      <c r="O164" s="198"/>
      <c r="P164" s="198"/>
      <c r="Q164" s="198"/>
      <c r="R164" s="198"/>
      <c r="S164" s="198"/>
      <c r="T164" s="198"/>
      <c r="U164" s="198"/>
      <c r="V164" s="347"/>
      <c r="W164" s="198"/>
      <c r="X164" s="5"/>
    </row>
    <row r="165" spans="1:256" ht="15.6" x14ac:dyDescent="0.3">
      <c r="A165" s="183"/>
      <c r="B165" s="208" t="s">
        <v>51</v>
      </c>
      <c r="C165" s="185"/>
      <c r="D165" s="185"/>
      <c r="E165" s="185"/>
      <c r="F165" s="185"/>
      <c r="G165" s="185"/>
      <c r="H165" s="185"/>
      <c r="I165" s="185"/>
      <c r="J165" s="185"/>
      <c r="K165" s="185"/>
      <c r="L165" s="185"/>
      <c r="M165" s="185"/>
      <c r="N165" s="185"/>
      <c r="O165" s="185"/>
      <c r="P165" s="185"/>
      <c r="Q165" s="185"/>
      <c r="R165" s="185"/>
      <c r="S165" s="185"/>
      <c r="T165" s="185"/>
      <c r="U165" s="185"/>
      <c r="V165" s="209"/>
      <c r="W165" s="185"/>
      <c r="X165" s="5"/>
    </row>
    <row r="166" spans="1:256" ht="15.6" x14ac:dyDescent="0.3">
      <c r="A166" s="287"/>
      <c r="B166" s="288" t="s">
        <v>52</v>
      </c>
      <c r="C166" s="288"/>
      <c r="D166" s="288"/>
      <c r="E166" s="288"/>
      <c r="F166" s="288"/>
      <c r="G166" s="288"/>
      <c r="H166" s="288"/>
      <c r="I166" s="288"/>
      <c r="J166" s="288"/>
      <c r="K166" s="288"/>
      <c r="L166" s="288"/>
      <c r="M166" s="288"/>
      <c r="N166" s="288"/>
      <c r="O166" s="288"/>
      <c r="P166" s="288"/>
      <c r="Q166" s="288"/>
      <c r="R166" s="288"/>
      <c r="S166" s="288"/>
      <c r="T166" s="288"/>
      <c r="U166" s="288"/>
      <c r="V166" s="338">
        <v>0</v>
      </c>
      <c r="W166" s="291"/>
      <c r="X166" s="5"/>
    </row>
    <row r="167" spans="1:256" ht="15.6" x14ac:dyDescent="0.3">
      <c r="A167" s="287"/>
      <c r="B167" s="288" t="s">
        <v>53</v>
      </c>
      <c r="C167" s="288"/>
      <c r="D167" s="288"/>
      <c r="E167" s="288"/>
      <c r="F167" s="288"/>
      <c r="G167" s="288"/>
      <c r="H167" s="288"/>
      <c r="I167" s="288"/>
      <c r="J167" s="288"/>
      <c r="K167" s="288"/>
      <c r="L167" s="288"/>
      <c r="M167" s="288"/>
      <c r="N167" s="288"/>
      <c r="O167" s="288"/>
      <c r="P167" s="288"/>
      <c r="Q167" s="288"/>
      <c r="R167" s="288"/>
      <c r="S167" s="288"/>
      <c r="T167" s="288"/>
      <c r="U167" s="288"/>
      <c r="V167" s="338">
        <v>26</v>
      </c>
      <c r="W167" s="291"/>
      <c r="X167" s="5"/>
    </row>
    <row r="168" spans="1:256" ht="15.6" x14ac:dyDescent="0.3">
      <c r="A168" s="287"/>
      <c r="B168" s="288" t="s">
        <v>54</v>
      </c>
      <c r="C168" s="288"/>
      <c r="D168" s="288"/>
      <c r="E168" s="288"/>
      <c r="F168" s="288"/>
      <c r="G168" s="288"/>
      <c r="H168" s="288"/>
      <c r="I168" s="288"/>
      <c r="J168" s="288"/>
      <c r="K168" s="288"/>
      <c r="L168" s="288"/>
      <c r="M168" s="288"/>
      <c r="N168" s="288"/>
      <c r="O168" s="288"/>
      <c r="P168" s="288"/>
      <c r="Q168" s="288"/>
      <c r="R168" s="288"/>
      <c r="S168" s="288"/>
      <c r="T168" s="288"/>
      <c r="U168" s="288"/>
      <c r="V168" s="338">
        <f>V167+V166</f>
        <v>26</v>
      </c>
      <c r="W168" s="291"/>
      <c r="X168" s="5"/>
    </row>
    <row r="169" spans="1:256" ht="15.6" x14ac:dyDescent="0.3">
      <c r="A169" s="287"/>
      <c r="B169" s="288" t="s">
        <v>315</v>
      </c>
      <c r="C169" s="288"/>
      <c r="D169" s="288"/>
      <c r="E169" s="288"/>
      <c r="F169" s="288"/>
      <c r="G169" s="288"/>
      <c r="H169" s="288"/>
      <c r="I169" s="288"/>
      <c r="J169" s="288"/>
      <c r="K169" s="288"/>
      <c r="L169" s="288"/>
      <c r="M169" s="288"/>
      <c r="N169" s="288"/>
      <c r="O169" s="288"/>
      <c r="P169" s="288"/>
      <c r="Q169" s="288"/>
      <c r="R169" s="288"/>
      <c r="S169" s="288"/>
      <c r="T169" s="288"/>
      <c r="U169" s="288"/>
      <c r="V169" s="338">
        <f>V115</f>
        <v>-26</v>
      </c>
      <c r="W169" s="291"/>
      <c r="X169" s="5"/>
    </row>
    <row r="170" spans="1:256" ht="15.6" x14ac:dyDescent="0.3">
      <c r="A170" s="287"/>
      <c r="B170" s="288" t="s">
        <v>55</v>
      </c>
      <c r="C170" s="288"/>
      <c r="D170" s="288"/>
      <c r="E170" s="288"/>
      <c r="F170" s="288"/>
      <c r="G170" s="288"/>
      <c r="H170" s="288"/>
      <c r="I170" s="288"/>
      <c r="J170" s="288"/>
      <c r="K170" s="288"/>
      <c r="L170" s="288"/>
      <c r="M170" s="288"/>
      <c r="N170" s="288"/>
      <c r="O170" s="288"/>
      <c r="P170" s="288"/>
      <c r="Q170" s="288"/>
      <c r="R170" s="288"/>
      <c r="S170" s="288"/>
      <c r="T170" s="288"/>
      <c r="U170" s="288"/>
      <c r="V170" s="338">
        <f>V168+V169</f>
        <v>0</v>
      </c>
      <c r="W170" s="291"/>
      <c r="X170" s="5"/>
    </row>
    <row r="171" spans="1:256" ht="15.6" x14ac:dyDescent="0.3">
      <c r="A171" s="287"/>
      <c r="B171" s="288" t="s">
        <v>283</v>
      </c>
      <c r="C171" s="288"/>
      <c r="D171" s="288"/>
      <c r="E171" s="288"/>
      <c r="F171" s="288"/>
      <c r="G171" s="288"/>
      <c r="H171" s="288"/>
      <c r="I171" s="288"/>
      <c r="J171" s="288"/>
      <c r="K171" s="288"/>
      <c r="L171" s="288"/>
      <c r="M171" s="288"/>
      <c r="N171" s="288"/>
      <c r="O171" s="288"/>
      <c r="P171" s="288"/>
      <c r="Q171" s="288"/>
      <c r="R171" s="288"/>
      <c r="S171" s="288"/>
      <c r="T171" s="288"/>
      <c r="U171" s="288"/>
      <c r="V171" s="338">
        <f>-V100</f>
        <v>122</v>
      </c>
      <c r="W171" s="291"/>
      <c r="X171" s="5"/>
    </row>
    <row r="172" spans="1:256" ht="16.2" thickBot="1" x14ac:dyDescent="0.35">
      <c r="A172" s="183"/>
      <c r="B172" s="284"/>
      <c r="C172" s="284"/>
      <c r="D172" s="284"/>
      <c r="E172" s="284"/>
      <c r="F172" s="284"/>
      <c r="G172" s="284"/>
      <c r="H172" s="284"/>
      <c r="I172" s="284"/>
      <c r="J172" s="284"/>
      <c r="K172" s="284"/>
      <c r="L172" s="284"/>
      <c r="M172" s="284"/>
      <c r="N172" s="284"/>
      <c r="O172" s="284"/>
      <c r="P172" s="284"/>
      <c r="Q172" s="284"/>
      <c r="R172" s="284"/>
      <c r="S172" s="284"/>
      <c r="T172" s="284"/>
      <c r="U172" s="284"/>
      <c r="V172" s="349"/>
      <c r="W172" s="284"/>
      <c r="X172" s="5"/>
    </row>
    <row r="173" spans="1:256" ht="15.6" x14ac:dyDescent="0.3">
      <c r="A173" s="180"/>
      <c r="B173" s="247"/>
      <c r="C173" s="247"/>
      <c r="D173" s="247"/>
      <c r="E173" s="247"/>
      <c r="F173" s="247"/>
      <c r="G173" s="247"/>
      <c r="H173" s="247"/>
      <c r="I173" s="247"/>
      <c r="J173" s="247"/>
      <c r="K173" s="247"/>
      <c r="L173" s="247"/>
      <c r="M173" s="247"/>
      <c r="N173" s="247"/>
      <c r="O173" s="247"/>
      <c r="P173" s="247"/>
      <c r="Q173" s="247"/>
      <c r="R173" s="247"/>
      <c r="S173" s="247"/>
      <c r="T173" s="247"/>
      <c r="U173" s="247"/>
      <c r="V173" s="248"/>
      <c r="W173" s="247"/>
      <c r="X173" s="5"/>
    </row>
    <row r="174" spans="1:256" s="161" customFormat="1" ht="15.6" x14ac:dyDescent="0.3">
      <c r="A174" s="183"/>
      <c r="B174" s="208" t="s">
        <v>269</v>
      </c>
      <c r="C174" s="198"/>
      <c r="D174" s="198"/>
      <c r="E174" s="198"/>
      <c r="F174" s="198"/>
      <c r="G174" s="198"/>
      <c r="H174" s="198"/>
      <c r="I174" s="198"/>
      <c r="J174" s="198"/>
      <c r="K174" s="198"/>
      <c r="L174" s="198"/>
      <c r="M174" s="198"/>
      <c r="N174" s="198"/>
      <c r="O174" s="198"/>
      <c r="P174" s="198"/>
      <c r="Q174" s="198"/>
      <c r="R174" s="198"/>
      <c r="S174" s="198"/>
      <c r="T174" s="198"/>
      <c r="U174" s="198"/>
      <c r="V174" s="210"/>
      <c r="W174" s="198"/>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5.6" x14ac:dyDescent="0.3">
      <c r="A175" s="287"/>
      <c r="B175" s="288" t="s">
        <v>270</v>
      </c>
      <c r="C175" s="288"/>
      <c r="D175" s="288"/>
      <c r="E175" s="288"/>
      <c r="F175" s="288"/>
      <c r="G175" s="288"/>
      <c r="H175" s="288"/>
      <c r="I175" s="288"/>
      <c r="J175" s="288"/>
      <c r="K175" s="288"/>
      <c r="L175" s="288"/>
      <c r="M175" s="288"/>
      <c r="N175" s="288"/>
      <c r="O175" s="288"/>
      <c r="P175" s="288"/>
      <c r="Q175" s="288"/>
      <c r="R175" s="288"/>
      <c r="S175" s="288"/>
      <c r="T175" s="288"/>
      <c r="U175" s="288"/>
      <c r="V175" s="338">
        <f>+'Aug 08'!V177</f>
        <v>0</v>
      </c>
      <c r="W175" s="291"/>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3" customFormat="1" ht="15.6" x14ac:dyDescent="0.3">
      <c r="A176" s="287"/>
      <c r="B176" s="288" t="s">
        <v>273</v>
      </c>
      <c r="C176" s="288"/>
      <c r="D176" s="288"/>
      <c r="E176" s="288"/>
      <c r="F176" s="288"/>
      <c r="G176" s="288"/>
      <c r="H176" s="288"/>
      <c r="I176" s="288"/>
      <c r="J176" s="288"/>
      <c r="K176" s="288"/>
      <c r="L176" s="288"/>
      <c r="M176" s="288"/>
      <c r="N176" s="288"/>
      <c r="O176" s="288"/>
      <c r="P176" s="288"/>
      <c r="Q176" s="288"/>
      <c r="R176" s="288"/>
      <c r="S176" s="288"/>
      <c r="T176" s="288"/>
      <c r="U176" s="288"/>
      <c r="V176" s="338">
        <f>+V94</f>
        <v>0</v>
      </c>
      <c r="W176" s="291"/>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s="163" customFormat="1" ht="15.6" x14ac:dyDescent="0.3">
      <c r="A177" s="287"/>
      <c r="B177" s="288" t="s">
        <v>271</v>
      </c>
      <c r="C177" s="288"/>
      <c r="D177" s="288"/>
      <c r="E177" s="288"/>
      <c r="F177" s="288"/>
      <c r="G177" s="288"/>
      <c r="H177" s="288"/>
      <c r="I177" s="288"/>
      <c r="J177" s="288"/>
      <c r="K177" s="288"/>
      <c r="L177" s="288"/>
      <c r="M177" s="288"/>
      <c r="N177" s="288"/>
      <c r="O177" s="288"/>
      <c r="P177" s="288"/>
      <c r="Q177" s="288"/>
      <c r="R177" s="288"/>
      <c r="S177" s="288"/>
      <c r="T177" s="288"/>
      <c r="U177" s="288"/>
      <c r="V177" s="338">
        <f>+V175-V176</f>
        <v>0</v>
      </c>
      <c r="W177" s="291"/>
      <c r="X177" s="5"/>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s="166" customFormat="1" ht="16.2" thickBot="1" x14ac:dyDescent="0.35">
      <c r="A178" s="199"/>
      <c r="B178" s="198"/>
      <c r="C178" s="198"/>
      <c r="D178" s="198"/>
      <c r="E178" s="198"/>
      <c r="F178" s="198"/>
      <c r="G178" s="198"/>
      <c r="H178" s="198"/>
      <c r="I178" s="198"/>
      <c r="J178" s="198"/>
      <c r="K178" s="198"/>
      <c r="L178" s="198"/>
      <c r="M178" s="198"/>
      <c r="N178" s="198"/>
      <c r="O178" s="198"/>
      <c r="P178" s="198"/>
      <c r="Q178" s="198"/>
      <c r="R178" s="198"/>
      <c r="S178" s="198"/>
      <c r="T178" s="198"/>
      <c r="U178" s="198"/>
      <c r="V178" s="347"/>
      <c r="W178" s="198"/>
      <c r="X178" s="5"/>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s="167" customFormat="1" ht="15.6" x14ac:dyDescent="0.3">
      <c r="A179" s="180"/>
      <c r="B179" s="181"/>
      <c r="C179" s="181"/>
      <c r="D179" s="181"/>
      <c r="E179" s="181"/>
      <c r="F179" s="181"/>
      <c r="G179" s="181"/>
      <c r="H179" s="181"/>
      <c r="I179" s="181"/>
      <c r="J179" s="181"/>
      <c r="K179" s="181"/>
      <c r="L179" s="181"/>
      <c r="M179" s="181"/>
      <c r="N179" s="181"/>
      <c r="O179" s="181"/>
      <c r="P179" s="181"/>
      <c r="Q179" s="181"/>
      <c r="R179" s="181"/>
      <c r="S179" s="181"/>
      <c r="T179" s="181"/>
      <c r="U179" s="181"/>
      <c r="V179" s="200"/>
      <c r="W179" s="181"/>
      <c r="X179" s="5"/>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ht="15.6" x14ac:dyDescent="0.3">
      <c r="A180" s="183"/>
      <c r="B180" s="208" t="s">
        <v>56</v>
      </c>
      <c r="C180" s="185"/>
      <c r="D180" s="185"/>
      <c r="E180" s="185"/>
      <c r="F180" s="185"/>
      <c r="G180" s="185"/>
      <c r="H180" s="185"/>
      <c r="I180" s="185"/>
      <c r="J180" s="185"/>
      <c r="K180" s="185"/>
      <c r="L180" s="185"/>
      <c r="M180" s="185"/>
      <c r="N180" s="185"/>
      <c r="O180" s="185"/>
      <c r="P180" s="185"/>
      <c r="Q180" s="185"/>
      <c r="R180" s="185"/>
      <c r="S180" s="185"/>
      <c r="T180" s="185"/>
      <c r="U180" s="185"/>
      <c r="V180" s="201"/>
      <c r="W180" s="185"/>
      <c r="X180" s="5"/>
    </row>
    <row r="181" spans="1:256" ht="15.6" x14ac:dyDescent="0.3">
      <c r="A181" s="183"/>
      <c r="B181" s="195"/>
      <c r="C181" s="185"/>
      <c r="D181" s="185"/>
      <c r="E181" s="185"/>
      <c r="F181" s="185"/>
      <c r="G181" s="185"/>
      <c r="H181" s="185"/>
      <c r="I181" s="185"/>
      <c r="J181" s="185"/>
      <c r="K181" s="185"/>
      <c r="L181" s="185"/>
      <c r="M181" s="185"/>
      <c r="N181" s="185"/>
      <c r="O181" s="185"/>
      <c r="P181" s="185"/>
      <c r="Q181" s="185"/>
      <c r="R181" s="185"/>
      <c r="S181" s="185"/>
      <c r="T181" s="185"/>
      <c r="U181" s="185"/>
      <c r="V181" s="201"/>
      <c r="W181" s="185"/>
      <c r="X181" s="5"/>
    </row>
    <row r="182" spans="1:256" ht="15.6" x14ac:dyDescent="0.3">
      <c r="A182" s="287"/>
      <c r="B182" s="288" t="s">
        <v>57</v>
      </c>
      <c r="C182" s="288"/>
      <c r="D182" s="288"/>
      <c r="E182" s="288"/>
      <c r="F182" s="288"/>
      <c r="G182" s="288"/>
      <c r="H182" s="288"/>
      <c r="I182" s="288"/>
      <c r="J182" s="288"/>
      <c r="K182" s="288"/>
      <c r="L182" s="288"/>
      <c r="M182" s="288"/>
      <c r="N182" s="288"/>
      <c r="O182" s="288"/>
      <c r="P182" s="288"/>
      <c r="Q182" s="288"/>
      <c r="R182" s="288"/>
      <c r="S182" s="288"/>
      <c r="T182" s="288"/>
      <c r="U182" s="288"/>
      <c r="V182" s="338">
        <f>V71</f>
        <v>988321</v>
      </c>
      <c r="W182" s="291"/>
      <c r="X182" s="5"/>
    </row>
    <row r="183" spans="1:256" ht="15.6" x14ac:dyDescent="0.3">
      <c r="A183" s="287"/>
      <c r="B183" s="288" t="s">
        <v>58</v>
      </c>
      <c r="C183" s="288"/>
      <c r="D183" s="288"/>
      <c r="E183" s="288"/>
      <c r="F183" s="288"/>
      <c r="G183" s="288"/>
      <c r="H183" s="288"/>
      <c r="I183" s="288"/>
      <c r="J183" s="288"/>
      <c r="K183" s="288"/>
      <c r="L183" s="288"/>
      <c r="M183" s="288"/>
      <c r="N183" s="288"/>
      <c r="O183" s="288"/>
      <c r="P183" s="288"/>
      <c r="Q183" s="288"/>
      <c r="R183" s="288"/>
      <c r="S183" s="288"/>
      <c r="T183" s="288"/>
      <c r="U183" s="288"/>
      <c r="V183" s="338">
        <f>V84</f>
        <v>988321</v>
      </c>
      <c r="W183" s="291"/>
      <c r="X183" s="5"/>
    </row>
    <row r="184" spans="1:256" ht="16.2" thickBot="1" x14ac:dyDescent="0.35">
      <c r="A184" s="183"/>
      <c r="B184" s="198"/>
      <c r="C184" s="198"/>
      <c r="D184" s="198"/>
      <c r="E184" s="198"/>
      <c r="F184" s="198"/>
      <c r="G184" s="198"/>
      <c r="H184" s="198"/>
      <c r="I184" s="198"/>
      <c r="J184" s="198"/>
      <c r="K184" s="198"/>
      <c r="L184" s="198"/>
      <c r="M184" s="198"/>
      <c r="N184" s="198"/>
      <c r="O184" s="198"/>
      <c r="P184" s="198"/>
      <c r="Q184" s="198"/>
      <c r="R184" s="198"/>
      <c r="S184" s="198"/>
      <c r="T184" s="198"/>
      <c r="U184" s="198"/>
      <c r="V184" s="347"/>
      <c r="W184" s="198"/>
      <c r="X184" s="5"/>
    </row>
    <row r="185" spans="1:256" ht="15.6" x14ac:dyDescent="0.3">
      <c r="A185" s="180"/>
      <c r="B185" s="181"/>
      <c r="C185" s="181"/>
      <c r="D185" s="181"/>
      <c r="E185" s="181"/>
      <c r="F185" s="181"/>
      <c r="G185" s="181"/>
      <c r="H185" s="181"/>
      <c r="I185" s="181"/>
      <c r="J185" s="181"/>
      <c r="K185" s="181"/>
      <c r="L185" s="181"/>
      <c r="M185" s="181"/>
      <c r="N185" s="181"/>
      <c r="O185" s="181"/>
      <c r="P185" s="181"/>
      <c r="Q185" s="181"/>
      <c r="R185" s="181"/>
      <c r="S185" s="181"/>
      <c r="T185" s="181"/>
      <c r="U185" s="181"/>
      <c r="V185" s="200"/>
      <c r="W185" s="181"/>
      <c r="X185" s="5"/>
    </row>
    <row r="186" spans="1:256" ht="15.6" x14ac:dyDescent="0.3">
      <c r="A186" s="183"/>
      <c r="B186" s="208" t="s">
        <v>59</v>
      </c>
      <c r="C186" s="205"/>
      <c r="D186" s="205"/>
      <c r="E186" s="205"/>
      <c r="F186" s="205"/>
      <c r="G186" s="205"/>
      <c r="H186" s="211"/>
      <c r="I186" s="211"/>
      <c r="J186" s="211"/>
      <c r="K186" s="211"/>
      <c r="L186" s="211"/>
      <c r="M186" s="211"/>
      <c r="N186" s="211"/>
      <c r="O186" s="211"/>
      <c r="P186" s="211"/>
      <c r="Q186" s="211"/>
      <c r="R186" s="211"/>
      <c r="S186" s="211" t="s">
        <v>101</v>
      </c>
      <c r="T186" s="211" t="s">
        <v>176</v>
      </c>
      <c r="U186" s="187"/>
      <c r="V186" s="212" t="s">
        <v>114</v>
      </c>
      <c r="W186" s="213"/>
      <c r="X186" s="5"/>
    </row>
    <row r="187" spans="1:256" ht="15.6" x14ac:dyDescent="0.3">
      <c r="A187" s="287"/>
      <c r="B187" s="288" t="s">
        <v>60</v>
      </c>
      <c r="C187" s="288"/>
      <c r="D187" s="288"/>
      <c r="E187" s="288"/>
      <c r="F187" s="288"/>
      <c r="G187" s="288"/>
      <c r="H187" s="288"/>
      <c r="I187" s="288"/>
      <c r="J187" s="288"/>
      <c r="K187" s="288"/>
      <c r="L187" s="288"/>
      <c r="M187" s="288"/>
      <c r="N187" s="288"/>
      <c r="O187" s="288"/>
      <c r="P187" s="288"/>
      <c r="Q187" s="288"/>
      <c r="R187" s="288"/>
      <c r="S187" s="338">
        <f>+V34*0.16</f>
        <v>240044</v>
      </c>
      <c r="T187" s="325"/>
      <c r="U187" s="288"/>
      <c r="V187" s="338"/>
      <c r="W187" s="291"/>
      <c r="X187" s="5"/>
    </row>
    <row r="188" spans="1:256" ht="15.6" x14ac:dyDescent="0.3">
      <c r="A188" s="287"/>
      <c r="B188" s="288" t="s">
        <v>61</v>
      </c>
      <c r="C188" s="288"/>
      <c r="D188" s="288"/>
      <c r="E188" s="288"/>
      <c r="F188" s="288"/>
      <c r="G188" s="288"/>
      <c r="H188" s="288"/>
      <c r="I188" s="288"/>
      <c r="J188" s="288"/>
      <c r="K188" s="288"/>
      <c r="L188" s="288"/>
      <c r="M188" s="288"/>
      <c r="N188" s="288"/>
      <c r="O188" s="288"/>
      <c r="P188" s="288"/>
      <c r="Q188" s="288"/>
      <c r="R188" s="288"/>
      <c r="S188" s="338">
        <f>+'Aug 15'!S190</f>
        <v>26608</v>
      </c>
      <c r="T188" s="338">
        <f>+'Aug 15'!T190</f>
        <v>6016</v>
      </c>
      <c r="U188" s="288"/>
      <c r="V188" s="338">
        <f>S188+T188</f>
        <v>32624</v>
      </c>
      <c r="W188" s="291"/>
      <c r="X188" s="5"/>
    </row>
    <row r="189" spans="1:256" ht="15.6" x14ac:dyDescent="0.3">
      <c r="A189" s="287"/>
      <c r="B189" s="288" t="s">
        <v>62</v>
      </c>
      <c r="C189" s="288"/>
      <c r="D189" s="288"/>
      <c r="E189" s="288"/>
      <c r="F189" s="288"/>
      <c r="G189" s="288"/>
      <c r="H189" s="288"/>
      <c r="I189" s="288"/>
      <c r="J189" s="288"/>
      <c r="K189" s="288"/>
      <c r="L189" s="288"/>
      <c r="M189" s="288"/>
      <c r="N189" s="288"/>
      <c r="O189" s="288"/>
      <c r="P189" s="288"/>
      <c r="Q189" s="288"/>
      <c r="R189" s="288"/>
      <c r="S189" s="337">
        <f>211+131</f>
        <v>342</v>
      </c>
      <c r="T189" s="337">
        <v>0</v>
      </c>
      <c r="U189" s="288"/>
      <c r="V189" s="338">
        <f>S189+T189</f>
        <v>342</v>
      </c>
      <c r="W189" s="291"/>
      <c r="X189" s="5"/>
    </row>
    <row r="190" spans="1:256" ht="15.6" x14ac:dyDescent="0.3">
      <c r="A190" s="287"/>
      <c r="B190" s="288" t="s">
        <v>63</v>
      </c>
      <c r="C190" s="288"/>
      <c r="D190" s="288"/>
      <c r="E190" s="288"/>
      <c r="F190" s="288"/>
      <c r="G190" s="288"/>
      <c r="H190" s="288"/>
      <c r="I190" s="288"/>
      <c r="J190" s="288"/>
      <c r="K190" s="288"/>
      <c r="L190" s="288"/>
      <c r="M190" s="288"/>
      <c r="N190" s="288"/>
      <c r="O190" s="288"/>
      <c r="P190" s="288"/>
      <c r="Q190" s="288"/>
      <c r="R190" s="288"/>
      <c r="S190" s="338">
        <f>S188+S189</f>
        <v>26950</v>
      </c>
      <c r="T190" s="338">
        <f>T189+T188</f>
        <v>6016</v>
      </c>
      <c r="U190" s="288"/>
      <c r="V190" s="338">
        <f>S190+T190</f>
        <v>32966</v>
      </c>
      <c r="W190" s="291"/>
      <c r="X190" s="5"/>
    </row>
    <row r="191" spans="1:256" ht="15.6" x14ac:dyDescent="0.3">
      <c r="A191" s="287"/>
      <c r="B191" s="288" t="s">
        <v>64</v>
      </c>
      <c r="C191" s="288"/>
      <c r="D191" s="288"/>
      <c r="E191" s="288"/>
      <c r="F191" s="288"/>
      <c r="G191" s="288"/>
      <c r="H191" s="288"/>
      <c r="I191" s="288"/>
      <c r="J191" s="288"/>
      <c r="K191" s="288"/>
      <c r="L191" s="288"/>
      <c r="M191" s="288"/>
      <c r="N191" s="288"/>
      <c r="O191" s="288"/>
      <c r="P191" s="288"/>
      <c r="Q191" s="288"/>
      <c r="R191" s="288"/>
      <c r="S191" s="338">
        <f>S187-S190-T190</f>
        <v>207078</v>
      </c>
      <c r="T191" s="325"/>
      <c r="U191" s="288"/>
      <c r="V191" s="338"/>
      <c r="W191" s="291"/>
      <c r="X191" s="5"/>
    </row>
    <row r="192" spans="1:256" ht="16.2" thickBot="1" x14ac:dyDescent="0.35">
      <c r="A192" s="183"/>
      <c r="B192" s="198"/>
      <c r="C192" s="198"/>
      <c r="D192" s="198"/>
      <c r="E192" s="198"/>
      <c r="F192" s="198"/>
      <c r="G192" s="198"/>
      <c r="H192" s="198"/>
      <c r="I192" s="198"/>
      <c r="J192" s="198"/>
      <c r="K192" s="198"/>
      <c r="L192" s="198"/>
      <c r="M192" s="198"/>
      <c r="N192" s="198"/>
      <c r="O192" s="198"/>
      <c r="P192" s="198"/>
      <c r="Q192" s="198"/>
      <c r="R192" s="198"/>
      <c r="S192" s="198"/>
      <c r="T192" s="198"/>
      <c r="U192" s="198"/>
      <c r="V192" s="347"/>
      <c r="W192" s="198"/>
      <c r="X192" s="5"/>
    </row>
    <row r="193" spans="1:24" ht="15.6" x14ac:dyDescent="0.3">
      <c r="A193" s="180"/>
      <c r="B193" s="181"/>
      <c r="C193" s="181"/>
      <c r="D193" s="181"/>
      <c r="E193" s="181"/>
      <c r="F193" s="181"/>
      <c r="G193" s="181"/>
      <c r="H193" s="181"/>
      <c r="I193" s="181"/>
      <c r="J193" s="181"/>
      <c r="K193" s="181"/>
      <c r="L193" s="181"/>
      <c r="M193" s="181"/>
      <c r="N193" s="181"/>
      <c r="O193" s="181"/>
      <c r="P193" s="181"/>
      <c r="Q193" s="181"/>
      <c r="R193" s="181"/>
      <c r="S193" s="181"/>
      <c r="T193" s="181"/>
      <c r="U193" s="181"/>
      <c r="V193" s="200"/>
      <c r="W193" s="181"/>
      <c r="X193" s="5"/>
    </row>
    <row r="194" spans="1:24" ht="15.6" x14ac:dyDescent="0.3">
      <c r="A194" s="183"/>
      <c r="B194" s="208" t="s">
        <v>65</v>
      </c>
      <c r="C194" s="185"/>
      <c r="D194" s="185"/>
      <c r="E194" s="185"/>
      <c r="F194" s="185"/>
      <c r="G194" s="185"/>
      <c r="H194" s="185"/>
      <c r="I194" s="185"/>
      <c r="J194" s="185"/>
      <c r="K194" s="185"/>
      <c r="L194" s="185"/>
      <c r="M194" s="185"/>
      <c r="N194" s="185"/>
      <c r="O194" s="185"/>
      <c r="P194" s="185"/>
      <c r="Q194" s="185"/>
      <c r="R194" s="185"/>
      <c r="S194" s="185"/>
      <c r="T194" s="185"/>
      <c r="U194" s="185"/>
      <c r="V194" s="214"/>
      <c r="W194" s="185"/>
      <c r="X194" s="5"/>
    </row>
    <row r="195" spans="1:24" ht="15.6" x14ac:dyDescent="0.3">
      <c r="A195" s="287"/>
      <c r="B195" s="288" t="s">
        <v>66</v>
      </c>
      <c r="C195" s="288"/>
      <c r="D195" s="288"/>
      <c r="E195" s="288"/>
      <c r="F195" s="288"/>
      <c r="G195" s="288"/>
      <c r="H195" s="288"/>
      <c r="I195" s="288"/>
      <c r="J195" s="288"/>
      <c r="K195" s="288"/>
      <c r="L195" s="288"/>
      <c r="M195" s="288"/>
      <c r="N195" s="288"/>
      <c r="O195" s="288"/>
      <c r="P195" s="288"/>
      <c r="Q195" s="288"/>
      <c r="R195" s="288"/>
      <c r="S195" s="288"/>
      <c r="T195" s="288"/>
      <c r="U195" s="288"/>
      <c r="V195" s="348">
        <f>(V101+V103+V104+V105+V106)/-(V107+V108)</f>
        <v>3.8303068252974328</v>
      </c>
      <c r="W195" s="291" t="s">
        <v>115</v>
      </c>
      <c r="X195" s="5"/>
    </row>
    <row r="196" spans="1:24" ht="15.6" x14ac:dyDescent="0.3">
      <c r="A196" s="287"/>
      <c r="B196" s="288" t="s">
        <v>67</v>
      </c>
      <c r="C196" s="288"/>
      <c r="D196" s="288"/>
      <c r="E196" s="288"/>
      <c r="F196" s="288"/>
      <c r="G196" s="288"/>
      <c r="H196" s="288"/>
      <c r="I196" s="288"/>
      <c r="J196" s="288"/>
      <c r="K196" s="288"/>
      <c r="L196" s="288"/>
      <c r="M196" s="288"/>
      <c r="N196" s="288"/>
      <c r="O196" s="288"/>
      <c r="P196" s="288"/>
      <c r="Q196" s="288"/>
      <c r="R196" s="288"/>
      <c r="S196" s="288"/>
      <c r="T196" s="288"/>
      <c r="U196" s="288"/>
      <c r="V196" s="350">
        <v>1.96</v>
      </c>
      <c r="W196" s="291" t="s">
        <v>115</v>
      </c>
      <c r="X196" s="5"/>
    </row>
    <row r="197" spans="1:24" ht="15.6" x14ac:dyDescent="0.3">
      <c r="A197" s="287"/>
      <c r="B197" s="288" t="s">
        <v>68</v>
      </c>
      <c r="C197" s="288"/>
      <c r="D197" s="288"/>
      <c r="E197" s="288"/>
      <c r="F197" s="288"/>
      <c r="G197" s="288"/>
      <c r="H197" s="288"/>
      <c r="I197" s="288"/>
      <c r="J197" s="288"/>
      <c r="K197" s="288"/>
      <c r="L197" s="288"/>
      <c r="M197" s="288"/>
      <c r="N197" s="288"/>
      <c r="O197" s="288"/>
      <c r="P197" s="288"/>
      <c r="Q197" s="288"/>
      <c r="R197" s="288"/>
      <c r="S197" s="288"/>
      <c r="T197" s="288"/>
      <c r="U197" s="288"/>
      <c r="V197" s="348">
        <f>(V101+V103+V104+V105+V106+V107+V108)/-(V110+V111)</f>
        <v>16.436363636363637</v>
      </c>
      <c r="W197" s="291" t="s">
        <v>115</v>
      </c>
      <c r="X197" s="5"/>
    </row>
    <row r="198" spans="1:24" ht="15.6" x14ac:dyDescent="0.3">
      <c r="A198" s="287"/>
      <c r="B198" s="288" t="s">
        <v>69</v>
      </c>
      <c r="C198" s="288"/>
      <c r="D198" s="288"/>
      <c r="E198" s="288"/>
      <c r="F198" s="288"/>
      <c r="G198" s="288"/>
      <c r="H198" s="288"/>
      <c r="I198" s="288"/>
      <c r="J198" s="288"/>
      <c r="K198" s="288"/>
      <c r="L198" s="288"/>
      <c r="M198" s="288"/>
      <c r="N198" s="288"/>
      <c r="O198" s="288"/>
      <c r="P198" s="288"/>
      <c r="Q198" s="288"/>
      <c r="R198" s="288"/>
      <c r="S198" s="288"/>
      <c r="T198" s="288"/>
      <c r="U198" s="288"/>
      <c r="V198" s="350">
        <v>8.7899999999999991</v>
      </c>
      <c r="W198" s="291" t="s">
        <v>115</v>
      </c>
      <c r="X198" s="5"/>
    </row>
    <row r="199" spans="1:24" ht="15.6" x14ac:dyDescent="0.3">
      <c r="A199" s="287"/>
      <c r="B199" s="288" t="s">
        <v>198</v>
      </c>
      <c r="C199" s="288"/>
      <c r="D199" s="288"/>
      <c r="E199" s="288"/>
      <c r="F199" s="288"/>
      <c r="G199" s="288"/>
      <c r="H199" s="288"/>
      <c r="I199" s="288"/>
      <c r="J199" s="288"/>
      <c r="K199" s="288"/>
      <c r="L199" s="288"/>
      <c r="M199" s="288"/>
      <c r="N199" s="288"/>
      <c r="O199" s="288"/>
      <c r="P199" s="288"/>
      <c r="Q199" s="288"/>
      <c r="R199" s="288"/>
      <c r="S199" s="288"/>
      <c r="T199" s="288"/>
      <c r="U199" s="288"/>
      <c r="V199" s="348">
        <f>(V101+V103+V104+V105+V106+V107+V108+V110+V111)/-(V112+V113)</f>
        <v>10.533498759305211</v>
      </c>
      <c r="W199" s="291" t="s">
        <v>115</v>
      </c>
      <c r="X199" s="5"/>
    </row>
    <row r="200" spans="1:24" ht="15.6" x14ac:dyDescent="0.3">
      <c r="A200" s="287"/>
      <c r="B200" s="288" t="s">
        <v>199</v>
      </c>
      <c r="C200" s="288"/>
      <c r="D200" s="288"/>
      <c r="E200" s="288"/>
      <c r="F200" s="288"/>
      <c r="G200" s="288"/>
      <c r="H200" s="288"/>
      <c r="I200" s="288"/>
      <c r="J200" s="288"/>
      <c r="K200" s="288"/>
      <c r="L200" s="288"/>
      <c r="M200" s="288"/>
      <c r="N200" s="288"/>
      <c r="O200" s="288"/>
      <c r="P200" s="288"/>
      <c r="Q200" s="288"/>
      <c r="R200" s="288"/>
      <c r="S200" s="288"/>
      <c r="T200" s="288"/>
      <c r="U200" s="288"/>
      <c r="V200" s="350">
        <v>6.76</v>
      </c>
      <c r="W200" s="291" t="s">
        <v>115</v>
      </c>
      <c r="X200" s="5"/>
    </row>
    <row r="201" spans="1:24" ht="15.6" x14ac:dyDescent="0.3">
      <c r="A201" s="287"/>
      <c r="B201" s="314"/>
      <c r="C201" s="314"/>
      <c r="D201" s="314"/>
      <c r="E201" s="314"/>
      <c r="F201" s="314"/>
      <c r="G201" s="314"/>
      <c r="H201" s="314"/>
      <c r="I201" s="314"/>
      <c r="J201" s="314"/>
      <c r="K201" s="314"/>
      <c r="L201" s="314"/>
      <c r="M201" s="314"/>
      <c r="N201" s="314"/>
      <c r="O201" s="314"/>
      <c r="P201" s="314"/>
      <c r="Q201" s="314"/>
      <c r="R201" s="314"/>
      <c r="S201" s="314"/>
      <c r="T201" s="314"/>
      <c r="U201" s="314"/>
      <c r="V201" s="314"/>
      <c r="W201" s="318"/>
      <c r="X201" s="5"/>
    </row>
    <row r="202" spans="1:24" ht="15.6" x14ac:dyDescent="0.3">
      <c r="A202" s="183"/>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5"/>
    </row>
    <row r="203" spans="1:24" ht="15.6" x14ac:dyDescent="0.3">
      <c r="A203" s="183"/>
      <c r="B203" s="185"/>
      <c r="C203" s="185"/>
      <c r="D203" s="185"/>
      <c r="E203" s="185"/>
      <c r="F203" s="185"/>
      <c r="G203" s="185"/>
      <c r="H203" s="185"/>
      <c r="I203" s="185"/>
      <c r="J203" s="185"/>
      <c r="K203" s="185"/>
      <c r="L203" s="185"/>
      <c r="M203" s="185"/>
      <c r="N203" s="185"/>
      <c r="O203" s="185"/>
      <c r="P203" s="185"/>
      <c r="Q203" s="185"/>
      <c r="R203" s="185"/>
      <c r="S203" s="185"/>
      <c r="T203" s="185"/>
      <c r="U203" s="185"/>
      <c r="V203" s="185"/>
      <c r="W203" s="185"/>
      <c r="X203" s="5"/>
    </row>
    <row r="204" spans="1:24" ht="18" thickBot="1" x14ac:dyDescent="0.35">
      <c r="A204" s="199"/>
      <c r="B204" s="237" t="str">
        <f>B138</f>
        <v>PM14 INVESTOR REPORT QUARTER ENDING NOVEMBER 2015</v>
      </c>
      <c r="C204" s="215"/>
      <c r="D204" s="215"/>
      <c r="E204" s="215"/>
      <c r="F204" s="215"/>
      <c r="G204" s="215"/>
      <c r="H204" s="215"/>
      <c r="I204" s="215"/>
      <c r="J204" s="215"/>
      <c r="K204" s="215"/>
      <c r="L204" s="215"/>
      <c r="M204" s="215"/>
      <c r="N204" s="215"/>
      <c r="O204" s="215"/>
      <c r="P204" s="215"/>
      <c r="Q204" s="215"/>
      <c r="R204" s="215"/>
      <c r="S204" s="215"/>
      <c r="T204" s="215"/>
      <c r="U204" s="215"/>
      <c r="V204" s="215"/>
      <c r="W204" s="216"/>
      <c r="X204" s="5"/>
    </row>
    <row r="205" spans="1:24" ht="15.6" x14ac:dyDescent="0.3">
      <c r="A205" s="273"/>
      <c r="B205" s="403" t="s">
        <v>70</v>
      </c>
      <c r="C205" s="404"/>
      <c r="D205" s="404"/>
      <c r="E205" s="404"/>
      <c r="F205" s="404"/>
      <c r="G205" s="405"/>
      <c r="H205" s="405"/>
      <c r="I205" s="405"/>
      <c r="J205" s="405"/>
      <c r="K205" s="405"/>
      <c r="L205" s="405"/>
      <c r="M205" s="405"/>
      <c r="N205" s="405"/>
      <c r="O205" s="405"/>
      <c r="P205" s="405"/>
      <c r="Q205" s="405"/>
      <c r="R205" s="405"/>
      <c r="S205" s="405"/>
      <c r="T205" s="405">
        <v>42338</v>
      </c>
      <c r="U205" s="274"/>
      <c r="V205" s="274"/>
      <c r="W205" s="274"/>
      <c r="X205" s="5"/>
    </row>
    <row r="206" spans="1:24" ht="15.6" x14ac:dyDescent="0.3">
      <c r="A206" s="217"/>
      <c r="B206" s="230"/>
      <c r="C206" s="249"/>
      <c r="D206" s="249"/>
      <c r="E206" s="249"/>
      <c r="F206" s="249"/>
      <c r="G206" s="229"/>
      <c r="H206" s="229"/>
      <c r="I206" s="229"/>
      <c r="J206" s="229"/>
      <c r="K206" s="229"/>
      <c r="L206" s="229"/>
      <c r="M206" s="229"/>
      <c r="N206" s="229"/>
      <c r="O206" s="229"/>
      <c r="P206" s="229"/>
      <c r="Q206" s="229"/>
      <c r="R206" s="229"/>
      <c r="S206" s="229"/>
      <c r="T206" s="229"/>
      <c r="U206" s="224"/>
      <c r="V206" s="224"/>
      <c r="W206" s="224"/>
      <c r="X206" s="5"/>
    </row>
    <row r="207" spans="1:24" ht="15.6" x14ac:dyDescent="0.3">
      <c r="A207" s="352"/>
      <c r="B207" s="288" t="s">
        <v>71</v>
      </c>
      <c r="C207" s="353"/>
      <c r="D207" s="353"/>
      <c r="E207" s="353"/>
      <c r="F207" s="353"/>
      <c r="G207" s="330"/>
      <c r="H207" s="330"/>
      <c r="I207" s="330"/>
      <c r="J207" s="330"/>
      <c r="K207" s="330"/>
      <c r="L207" s="330"/>
      <c r="M207" s="330"/>
      <c r="N207" s="330"/>
      <c r="O207" s="330"/>
      <c r="P207" s="330"/>
      <c r="Q207" s="330"/>
      <c r="R207" s="330"/>
      <c r="S207" s="330"/>
      <c r="T207" s="321">
        <v>5.2819999999999999E-2</v>
      </c>
      <c r="U207" s="288"/>
      <c r="V207" s="288"/>
      <c r="W207" s="291"/>
      <c r="X207" s="5"/>
    </row>
    <row r="208" spans="1:24" ht="15.6" x14ac:dyDescent="0.3">
      <c r="A208" s="352"/>
      <c r="B208" s="288" t="s">
        <v>151</v>
      </c>
      <c r="C208" s="353"/>
      <c r="D208" s="353"/>
      <c r="E208" s="353"/>
      <c r="F208" s="353"/>
      <c r="G208" s="330"/>
      <c r="H208" s="330"/>
      <c r="I208" s="330"/>
      <c r="J208" s="330"/>
      <c r="K208" s="330"/>
      <c r="L208" s="330"/>
      <c r="M208" s="330"/>
      <c r="N208" s="330"/>
      <c r="O208" s="330"/>
      <c r="P208" s="330"/>
      <c r="Q208" s="330"/>
      <c r="R208" s="330"/>
      <c r="S208" s="330"/>
      <c r="T208" s="321">
        <v>5.7799999999999997E-2</v>
      </c>
      <c r="U208" s="288"/>
      <c r="V208" s="288"/>
      <c r="W208" s="291"/>
      <c r="X208" s="5"/>
    </row>
    <row r="209" spans="1:24" ht="15.6" x14ac:dyDescent="0.3">
      <c r="A209" s="352"/>
      <c r="B209" s="288" t="s">
        <v>72</v>
      </c>
      <c r="C209" s="353"/>
      <c r="D209" s="353"/>
      <c r="E209" s="353"/>
      <c r="F209" s="353"/>
      <c r="G209" s="330"/>
      <c r="H209" s="330"/>
      <c r="I209" s="330"/>
      <c r="J209" s="330"/>
      <c r="K209" s="330"/>
      <c r="L209" s="330"/>
      <c r="M209" s="330"/>
      <c r="N209" s="330"/>
      <c r="O209" s="330"/>
      <c r="P209" s="330"/>
      <c r="Q209" s="330"/>
      <c r="R209" s="330"/>
      <c r="S209" s="330"/>
      <c r="T209" s="321">
        <f>T207-T208</f>
        <v>-4.9799999999999983E-3</v>
      </c>
      <c r="U209" s="288"/>
      <c r="V209" s="288"/>
      <c r="W209" s="291"/>
      <c r="X209" s="5"/>
    </row>
    <row r="210" spans="1:24" ht="15.6" x14ac:dyDescent="0.3">
      <c r="A210" s="352"/>
      <c r="B210" s="288" t="s">
        <v>73</v>
      </c>
      <c r="C210" s="353"/>
      <c r="D210" s="353"/>
      <c r="E210" s="353"/>
      <c r="F210" s="353"/>
      <c r="G210" s="330"/>
      <c r="H210" s="330"/>
      <c r="I210" s="330"/>
      <c r="J210" s="330"/>
      <c r="K210" s="330"/>
      <c r="L210" s="330"/>
      <c r="M210" s="330"/>
      <c r="N210" s="330"/>
      <c r="O210" s="330"/>
      <c r="P210" s="330"/>
      <c r="Q210" s="330"/>
      <c r="R210" s="330"/>
      <c r="S210" s="330"/>
      <c r="T210" s="321">
        <v>2.3879999999999998E-2</v>
      </c>
      <c r="U210" s="288"/>
      <c r="V210" s="288"/>
      <c r="W210" s="291"/>
      <c r="X210" s="5"/>
    </row>
    <row r="211" spans="1:24" ht="15.6" x14ac:dyDescent="0.3">
      <c r="A211" s="352"/>
      <c r="B211" s="288" t="s">
        <v>219</v>
      </c>
      <c r="C211" s="353"/>
      <c r="D211" s="353"/>
      <c r="E211" s="353"/>
      <c r="F211" s="353"/>
      <c r="G211" s="330"/>
      <c r="H211" s="330"/>
      <c r="I211" s="330"/>
      <c r="J211" s="330"/>
      <c r="K211" s="330"/>
      <c r="L211" s="330"/>
      <c r="M211" s="330"/>
      <c r="N211" s="330"/>
      <c r="O211" s="330"/>
      <c r="P211" s="330"/>
      <c r="Q211" s="330"/>
      <c r="R211" s="330"/>
      <c r="S211" s="330"/>
      <c r="T211" s="321">
        <f>V43</f>
        <v>9.1153235612395547E-3</v>
      </c>
      <c r="U211" s="288"/>
      <c r="V211" s="288"/>
      <c r="W211" s="291"/>
      <c r="X211" s="5"/>
    </row>
    <row r="212" spans="1:24" ht="15.6" x14ac:dyDescent="0.3">
      <c r="A212" s="352"/>
      <c r="B212" s="288" t="s">
        <v>74</v>
      </c>
      <c r="C212" s="353"/>
      <c r="D212" s="353"/>
      <c r="E212" s="353"/>
      <c r="F212" s="353"/>
      <c r="G212" s="330"/>
      <c r="H212" s="330"/>
      <c r="I212" s="330"/>
      <c r="J212" s="330"/>
      <c r="K212" s="330"/>
      <c r="L212" s="330"/>
      <c r="M212" s="330"/>
      <c r="N212" s="330"/>
      <c r="O212" s="330"/>
      <c r="P212" s="330"/>
      <c r="Q212" s="330"/>
      <c r="R212" s="330"/>
      <c r="S212" s="330"/>
      <c r="T212" s="321">
        <f>T210-T211</f>
        <v>1.4764676438760444E-2</v>
      </c>
      <c r="U212" s="288"/>
      <c r="V212" s="288"/>
      <c r="W212" s="291"/>
      <c r="X212" s="5"/>
    </row>
    <row r="213" spans="1:24" ht="15.6" x14ac:dyDescent="0.3">
      <c r="A213" s="352"/>
      <c r="B213" s="288" t="s">
        <v>242</v>
      </c>
      <c r="C213" s="353"/>
      <c r="D213" s="353"/>
      <c r="E213" s="353"/>
      <c r="F213" s="353"/>
      <c r="G213" s="330"/>
      <c r="H213" s="330"/>
      <c r="I213" s="330"/>
      <c r="J213" s="330"/>
      <c r="K213" s="330"/>
      <c r="L213" s="330"/>
      <c r="M213" s="330"/>
      <c r="N213" s="330"/>
      <c r="O213" s="330"/>
      <c r="P213" s="330"/>
      <c r="Q213" s="330"/>
      <c r="R213" s="330"/>
      <c r="S213" s="330"/>
      <c r="T213" s="321">
        <f>V101/N71</f>
        <v>6.4195582808606686E-3</v>
      </c>
      <c r="U213" s="288"/>
      <c r="V213" s="288"/>
      <c r="W213" s="291"/>
      <c r="X213" s="5"/>
    </row>
    <row r="214" spans="1:24" ht="15.6" x14ac:dyDescent="0.3">
      <c r="A214" s="352"/>
      <c r="B214" s="288" t="s">
        <v>208</v>
      </c>
      <c r="C214" s="353"/>
      <c r="D214" s="353"/>
      <c r="E214" s="353"/>
      <c r="F214" s="353"/>
      <c r="G214" s="330"/>
      <c r="H214" s="330"/>
      <c r="I214" s="330"/>
      <c r="J214" s="330"/>
      <c r="K214" s="330"/>
      <c r="L214" s="330"/>
      <c r="M214" s="330"/>
      <c r="N214" s="330"/>
      <c r="O214" s="330"/>
      <c r="P214" s="330"/>
      <c r="Q214" s="330"/>
      <c r="R214" s="330"/>
      <c r="S214" s="330"/>
      <c r="T214" s="354">
        <v>51014</v>
      </c>
      <c r="U214" s="288"/>
      <c r="V214" s="288"/>
      <c r="W214" s="291"/>
      <c r="X214" s="5"/>
    </row>
    <row r="215" spans="1:24" ht="15.6" x14ac:dyDescent="0.3">
      <c r="A215" s="352"/>
      <c r="B215" s="288" t="s">
        <v>209</v>
      </c>
      <c r="C215" s="353"/>
      <c r="D215" s="353"/>
      <c r="E215" s="353"/>
      <c r="F215" s="353"/>
      <c r="G215" s="330"/>
      <c r="H215" s="330"/>
      <c r="I215" s="330"/>
      <c r="J215" s="330"/>
      <c r="K215" s="330"/>
      <c r="L215" s="330"/>
      <c r="M215" s="330"/>
      <c r="N215" s="330"/>
      <c r="O215" s="330"/>
      <c r="P215" s="330"/>
      <c r="Q215" s="330"/>
      <c r="R215" s="330"/>
      <c r="S215" s="330"/>
      <c r="T215" s="354">
        <v>51014</v>
      </c>
      <c r="U215" s="288"/>
      <c r="V215" s="288"/>
      <c r="W215" s="291"/>
      <c r="X215" s="5"/>
    </row>
    <row r="216" spans="1:24" ht="15.6" x14ac:dyDescent="0.3">
      <c r="A216" s="352"/>
      <c r="B216" s="288" t="s">
        <v>210</v>
      </c>
      <c r="C216" s="353"/>
      <c r="D216" s="353"/>
      <c r="E216" s="353"/>
      <c r="F216" s="353"/>
      <c r="G216" s="330"/>
      <c r="H216" s="330"/>
      <c r="I216" s="330"/>
      <c r="J216" s="330"/>
      <c r="K216" s="330"/>
      <c r="L216" s="330"/>
      <c r="M216" s="330"/>
      <c r="N216" s="330"/>
      <c r="O216" s="330"/>
      <c r="P216" s="330"/>
      <c r="Q216" s="330"/>
      <c r="R216" s="330"/>
      <c r="S216" s="330"/>
      <c r="T216" s="354">
        <v>51014</v>
      </c>
      <c r="U216" s="288"/>
      <c r="V216" s="288"/>
      <c r="W216" s="291"/>
      <c r="X216" s="5"/>
    </row>
    <row r="217" spans="1:24" ht="15.6" x14ac:dyDescent="0.3">
      <c r="A217" s="352"/>
      <c r="B217" s="288" t="s">
        <v>75</v>
      </c>
      <c r="C217" s="353"/>
      <c r="D217" s="353"/>
      <c r="E217" s="353"/>
      <c r="F217" s="353"/>
      <c r="G217" s="330"/>
      <c r="H217" s="330"/>
      <c r="I217" s="330"/>
      <c r="J217" s="330"/>
      <c r="K217" s="330"/>
      <c r="L217" s="330"/>
      <c r="M217" s="330"/>
      <c r="N217" s="330"/>
      <c r="O217" s="330"/>
      <c r="P217" s="330"/>
      <c r="Q217" s="330"/>
      <c r="R217" s="330"/>
      <c r="S217" s="330"/>
      <c r="T217" s="327">
        <v>20.66</v>
      </c>
      <c r="U217" s="288" t="s">
        <v>110</v>
      </c>
      <c r="V217" s="288"/>
      <c r="W217" s="291"/>
      <c r="X217" s="5"/>
    </row>
    <row r="218" spans="1:24" ht="15.6" x14ac:dyDescent="0.3">
      <c r="A218" s="352"/>
      <c r="B218" s="288" t="s">
        <v>76</v>
      </c>
      <c r="C218" s="353"/>
      <c r="D218" s="353"/>
      <c r="E218" s="353"/>
      <c r="F218" s="353"/>
      <c r="G218" s="330"/>
      <c r="H218" s="330"/>
      <c r="I218" s="330"/>
      <c r="J218" s="330"/>
      <c r="K218" s="330"/>
      <c r="L218" s="330"/>
      <c r="M218" s="330"/>
      <c r="N218" s="330"/>
      <c r="O218" s="330"/>
      <c r="P218" s="330"/>
      <c r="Q218" s="330"/>
      <c r="R218" s="330"/>
      <c r="S218" s="330"/>
      <c r="T218" s="327">
        <v>12.82</v>
      </c>
      <c r="U218" s="288" t="s">
        <v>110</v>
      </c>
      <c r="V218" s="288"/>
      <c r="W218" s="291"/>
      <c r="X218" s="5"/>
    </row>
    <row r="219" spans="1:24" ht="15.6" x14ac:dyDescent="0.3">
      <c r="A219" s="352"/>
      <c r="B219" s="288" t="s">
        <v>77</v>
      </c>
      <c r="C219" s="353"/>
      <c r="D219" s="353"/>
      <c r="E219" s="353"/>
      <c r="F219" s="353"/>
      <c r="G219" s="330"/>
      <c r="H219" s="330"/>
      <c r="I219" s="330"/>
      <c r="J219" s="330"/>
      <c r="K219" s="330"/>
      <c r="L219" s="330"/>
      <c r="M219" s="330"/>
      <c r="N219" s="330"/>
      <c r="O219" s="330"/>
      <c r="P219" s="330"/>
      <c r="Q219" s="330"/>
      <c r="R219" s="330"/>
      <c r="S219" s="330"/>
      <c r="T219" s="321">
        <f>+P68/N68</f>
        <v>1.3318486190659283E-2</v>
      </c>
      <c r="U219" s="288"/>
      <c r="V219" s="288"/>
      <c r="W219" s="291"/>
      <c r="X219" s="5"/>
    </row>
    <row r="220" spans="1:24" ht="15.6" x14ac:dyDescent="0.3">
      <c r="A220" s="352"/>
      <c r="B220" s="288" t="s">
        <v>78</v>
      </c>
      <c r="C220" s="353"/>
      <c r="D220" s="353"/>
      <c r="E220" s="353"/>
      <c r="F220" s="353"/>
      <c r="G220" s="330"/>
      <c r="H220" s="330"/>
      <c r="I220" s="330"/>
      <c r="J220" s="330"/>
      <c r="K220" s="330"/>
      <c r="L220" s="330"/>
      <c r="M220" s="330"/>
      <c r="N220" s="330"/>
      <c r="O220" s="330"/>
      <c r="P220" s="330"/>
      <c r="Q220" s="330"/>
      <c r="R220" s="330"/>
      <c r="S220" s="330"/>
      <c r="T220" s="321">
        <v>4.9599999999999998E-2</v>
      </c>
      <c r="U220" s="288"/>
      <c r="V220" s="288"/>
      <c r="W220" s="291"/>
      <c r="X220" s="5"/>
    </row>
    <row r="221" spans="1:24" ht="15.6" x14ac:dyDescent="0.3">
      <c r="A221" s="217"/>
      <c r="B221" s="284"/>
      <c r="C221" s="284"/>
      <c r="D221" s="284"/>
      <c r="E221" s="284"/>
      <c r="F221" s="284"/>
      <c r="G221" s="284"/>
      <c r="H221" s="284"/>
      <c r="I221" s="284"/>
      <c r="J221" s="284"/>
      <c r="K221" s="284"/>
      <c r="L221" s="284"/>
      <c r="M221" s="284"/>
      <c r="N221" s="284"/>
      <c r="O221" s="284"/>
      <c r="P221" s="284"/>
      <c r="Q221" s="284"/>
      <c r="R221" s="284"/>
      <c r="S221" s="284"/>
      <c r="T221" s="349"/>
      <c r="U221" s="284"/>
      <c r="V221" s="351"/>
      <c r="W221" s="284"/>
      <c r="X221" s="5"/>
    </row>
    <row r="222" spans="1:24" ht="15.6" x14ac:dyDescent="0.3">
      <c r="A222" s="278"/>
      <c r="B222" s="399" t="s">
        <v>79</v>
      </c>
      <c r="C222" s="400"/>
      <c r="D222" s="400"/>
      <c r="E222" s="400"/>
      <c r="F222" s="406"/>
      <c r="G222" s="400"/>
      <c r="H222" s="400"/>
      <c r="I222" s="400"/>
      <c r="J222" s="400"/>
      <c r="K222" s="400"/>
      <c r="L222" s="400"/>
      <c r="M222" s="400"/>
      <c r="N222" s="400"/>
      <c r="O222" s="400"/>
      <c r="P222" s="400"/>
      <c r="Q222" s="400"/>
      <c r="R222" s="400"/>
      <c r="S222" s="400" t="s">
        <v>102</v>
      </c>
      <c r="T222" s="406" t="s">
        <v>108</v>
      </c>
      <c r="U222" s="263"/>
      <c r="V222" s="263"/>
      <c r="W222" s="263"/>
      <c r="X222" s="5"/>
    </row>
    <row r="223" spans="1:24" ht="15.6" x14ac:dyDescent="0.3">
      <c r="A223" s="218"/>
      <c r="B223" s="231" t="s">
        <v>80</v>
      </c>
      <c r="C223" s="234"/>
      <c r="D223" s="234"/>
      <c r="E223" s="234"/>
      <c r="F223" s="231"/>
      <c r="G223" s="231"/>
      <c r="H223" s="233"/>
      <c r="I223" s="233"/>
      <c r="J223" s="233"/>
      <c r="K223" s="233"/>
      <c r="L223" s="233"/>
      <c r="M223" s="233"/>
      <c r="N223" s="233"/>
      <c r="O223" s="233"/>
      <c r="P223" s="233"/>
      <c r="Q223" s="233"/>
      <c r="R223" s="233"/>
      <c r="S223" s="233">
        <v>2</v>
      </c>
      <c r="T223" s="251">
        <v>240</v>
      </c>
      <c r="U223" s="231"/>
      <c r="V223" s="250"/>
      <c r="W223" s="252"/>
      <c r="X223" s="5"/>
    </row>
    <row r="224" spans="1:24" ht="15.6" x14ac:dyDescent="0.3">
      <c r="A224" s="362"/>
      <c r="B224" s="288" t="s">
        <v>145</v>
      </c>
      <c r="C224" s="337"/>
      <c r="D224" s="337"/>
      <c r="E224" s="337"/>
      <c r="F224" s="288"/>
      <c r="G224" s="288"/>
      <c r="H224" s="296"/>
      <c r="I224" s="296"/>
      <c r="J224" s="296"/>
      <c r="K224" s="296"/>
      <c r="L224" s="296"/>
      <c r="M224" s="296"/>
      <c r="N224" s="296"/>
      <c r="O224" s="296"/>
      <c r="P224" s="296"/>
      <c r="Q224" s="296"/>
      <c r="R224" s="296"/>
      <c r="S224" s="363">
        <f>+R276</f>
        <v>137</v>
      </c>
      <c r="T224" s="364">
        <f>+T276</f>
        <v>20586</v>
      </c>
      <c r="U224" s="288"/>
      <c r="V224" s="365"/>
      <c r="W224" s="366"/>
      <c r="X224" s="5"/>
    </row>
    <row r="225" spans="1:24" ht="15.6" x14ac:dyDescent="0.3">
      <c r="A225" s="362"/>
      <c r="B225" s="288" t="s">
        <v>81</v>
      </c>
      <c r="C225" s="337"/>
      <c r="D225" s="337"/>
      <c r="E225" s="337"/>
      <c r="F225" s="288"/>
      <c r="G225" s="288"/>
      <c r="H225" s="296"/>
      <c r="I225" s="296"/>
      <c r="J225" s="296"/>
      <c r="K225" s="296"/>
      <c r="L225" s="296"/>
      <c r="M225" s="296"/>
      <c r="N225" s="296"/>
      <c r="O225" s="296"/>
      <c r="P225" s="296"/>
      <c r="Q225" s="296"/>
      <c r="R225" s="296"/>
      <c r="S225" s="363">
        <f>+R288</f>
        <v>1</v>
      </c>
      <c r="T225" s="364">
        <f>+T288</f>
        <v>52</v>
      </c>
      <c r="U225" s="288"/>
      <c r="V225" s="365"/>
      <c r="W225" s="366"/>
      <c r="X225" s="5"/>
    </row>
    <row r="226" spans="1:24" ht="15.6" x14ac:dyDescent="0.3">
      <c r="A226" s="362"/>
      <c r="B226" s="313" t="s">
        <v>82</v>
      </c>
      <c r="C226" s="367"/>
      <c r="D226" s="367"/>
      <c r="E226" s="367"/>
      <c r="F226" s="314"/>
      <c r="G226" s="314"/>
      <c r="H226" s="314"/>
      <c r="I226" s="314"/>
      <c r="J226" s="314"/>
      <c r="K226" s="314"/>
      <c r="L226" s="314"/>
      <c r="M226" s="314"/>
      <c r="N226" s="314"/>
      <c r="O226" s="314"/>
      <c r="P226" s="314"/>
      <c r="Q226" s="314"/>
      <c r="R226" s="314"/>
      <c r="S226" s="314"/>
      <c r="T226" s="364">
        <v>0</v>
      </c>
      <c r="U226" s="314"/>
      <c r="V226" s="369"/>
      <c r="W226" s="370"/>
      <c r="X226" s="5"/>
    </row>
    <row r="227" spans="1:24" ht="15.6" x14ac:dyDescent="0.3">
      <c r="A227" s="362"/>
      <c r="B227" s="313" t="s">
        <v>243</v>
      </c>
      <c r="C227" s="367"/>
      <c r="D227" s="367"/>
      <c r="E227" s="367"/>
      <c r="F227" s="314"/>
      <c r="G227" s="314"/>
      <c r="H227" s="314"/>
      <c r="I227" s="314"/>
      <c r="J227" s="314"/>
      <c r="K227" s="314"/>
      <c r="L227" s="314"/>
      <c r="M227" s="314"/>
      <c r="N227" s="314"/>
      <c r="O227" s="314"/>
      <c r="P227" s="314"/>
      <c r="Q227" s="314"/>
      <c r="R227" s="314"/>
      <c r="S227" s="314"/>
      <c r="T227" s="364">
        <f>+N81</f>
        <v>0</v>
      </c>
      <c r="U227" s="314"/>
      <c r="V227" s="369"/>
      <c r="W227" s="370"/>
      <c r="X227" s="5"/>
    </row>
    <row r="228" spans="1:24" ht="15.6" x14ac:dyDescent="0.3">
      <c r="A228" s="371"/>
      <c r="B228" s="313" t="s">
        <v>83</v>
      </c>
      <c r="C228" s="372"/>
      <c r="D228" s="372"/>
      <c r="E228" s="372"/>
      <c r="F228" s="372"/>
      <c r="G228" s="314"/>
      <c r="H228" s="314"/>
      <c r="I228" s="314"/>
      <c r="J228" s="314"/>
      <c r="K228" s="314"/>
      <c r="L228" s="314"/>
      <c r="M228" s="314"/>
      <c r="N228" s="314"/>
      <c r="O228" s="314"/>
      <c r="P228" s="314"/>
      <c r="Q228" s="314"/>
      <c r="R228" s="314"/>
      <c r="S228" s="314"/>
      <c r="T228" s="368"/>
      <c r="U228" s="314"/>
      <c r="V228" s="369"/>
      <c r="W228" s="373"/>
      <c r="X228" s="5"/>
    </row>
    <row r="229" spans="1:24" ht="15.6" x14ac:dyDescent="0.3">
      <c r="A229" s="371"/>
      <c r="B229" s="288" t="s">
        <v>84</v>
      </c>
      <c r="C229" s="288"/>
      <c r="D229" s="288"/>
      <c r="E229" s="288"/>
      <c r="F229" s="288"/>
      <c r="G229" s="288"/>
      <c r="H229" s="288"/>
      <c r="I229" s="288"/>
      <c r="J229" s="288"/>
      <c r="K229" s="288"/>
      <c r="L229" s="288"/>
      <c r="M229" s="288"/>
      <c r="N229" s="288"/>
      <c r="O229" s="288"/>
      <c r="P229" s="288"/>
      <c r="Q229" s="288"/>
      <c r="R229" s="288"/>
      <c r="S229" s="296"/>
      <c r="T229" s="364">
        <f>V167</f>
        <v>26</v>
      </c>
      <c r="U229" s="288"/>
      <c r="V229" s="365"/>
      <c r="W229" s="378"/>
      <c r="X229" s="5"/>
    </row>
    <row r="230" spans="1:24" ht="15.6" x14ac:dyDescent="0.3">
      <c r="A230" s="362"/>
      <c r="B230" s="288" t="s">
        <v>85</v>
      </c>
      <c r="C230" s="337"/>
      <c r="D230" s="337"/>
      <c r="E230" s="337"/>
      <c r="F230" s="337"/>
      <c r="G230" s="288"/>
      <c r="H230" s="288"/>
      <c r="I230" s="288"/>
      <c r="J230" s="288"/>
      <c r="K230" s="288"/>
      <c r="L230" s="288"/>
      <c r="M230" s="288"/>
      <c r="N230" s="288"/>
      <c r="O230" s="288"/>
      <c r="P230" s="288"/>
      <c r="Q230" s="288"/>
      <c r="R230" s="288"/>
      <c r="S230" s="296"/>
      <c r="T230" s="364">
        <f>'Aug 15'!T230+T229</f>
        <v>6248</v>
      </c>
      <c r="U230" s="288"/>
      <c r="V230" s="365"/>
      <c r="W230" s="378"/>
      <c r="X230" s="5"/>
    </row>
    <row r="231" spans="1:24" ht="15.6" x14ac:dyDescent="0.3">
      <c r="A231" s="371"/>
      <c r="B231" s="313" t="s">
        <v>295</v>
      </c>
      <c r="C231" s="372"/>
      <c r="D231" s="372"/>
      <c r="E231" s="372"/>
      <c r="F231" s="372"/>
      <c r="G231" s="314"/>
      <c r="H231" s="314"/>
      <c r="I231" s="314"/>
      <c r="J231" s="314"/>
      <c r="K231" s="314"/>
      <c r="L231" s="314"/>
      <c r="M231" s="314"/>
      <c r="N231" s="314"/>
      <c r="O231" s="314"/>
      <c r="P231" s="314"/>
      <c r="Q231" s="314"/>
      <c r="R231" s="314"/>
      <c r="S231" s="316"/>
      <c r="T231" s="368"/>
      <c r="U231" s="314"/>
      <c r="V231" s="369"/>
      <c r="W231" s="373"/>
      <c r="X231" s="5"/>
    </row>
    <row r="232" spans="1:24" ht="15.6" x14ac:dyDescent="0.3">
      <c r="A232" s="371"/>
      <c r="B232" s="288" t="s">
        <v>291</v>
      </c>
      <c r="C232" s="288"/>
      <c r="D232" s="288"/>
      <c r="E232" s="288"/>
      <c r="F232" s="288"/>
      <c r="G232" s="288"/>
      <c r="H232" s="288"/>
      <c r="I232" s="288"/>
      <c r="J232" s="288"/>
      <c r="K232" s="288"/>
      <c r="L232" s="288"/>
      <c r="M232" s="288"/>
      <c r="N232" s="288"/>
      <c r="O232" s="288"/>
      <c r="P232" s="288"/>
      <c r="Q232" s="288"/>
      <c r="R232" s="288"/>
      <c r="S232" s="296">
        <v>0</v>
      </c>
      <c r="T232" s="364">
        <v>0</v>
      </c>
      <c r="U232" s="288"/>
      <c r="V232" s="365"/>
      <c r="W232" s="378"/>
      <c r="X232" s="5"/>
    </row>
    <row r="233" spans="1:24" ht="15.6" x14ac:dyDescent="0.3">
      <c r="A233" s="362"/>
      <c r="B233" s="288" t="s">
        <v>86</v>
      </c>
      <c r="C233" s="325"/>
      <c r="D233" s="325"/>
      <c r="E233" s="325"/>
      <c r="F233" s="379"/>
      <c r="G233" s="288"/>
      <c r="H233" s="288"/>
      <c r="I233" s="288"/>
      <c r="J233" s="288"/>
      <c r="K233" s="288"/>
      <c r="L233" s="288"/>
      <c r="M233" s="288"/>
      <c r="N233" s="288"/>
      <c r="O233" s="288"/>
      <c r="P233" s="288"/>
      <c r="Q233" s="288"/>
      <c r="R233" s="288"/>
      <c r="S233" s="288"/>
      <c r="T233" s="380">
        <v>0</v>
      </c>
      <c r="U233" s="288"/>
      <c r="V233" s="365"/>
      <c r="W233" s="378"/>
      <c r="X233" s="5"/>
    </row>
    <row r="234" spans="1:24" ht="15.6" x14ac:dyDescent="0.3">
      <c r="A234" s="362"/>
      <c r="B234" s="288" t="s">
        <v>87</v>
      </c>
      <c r="C234" s="325"/>
      <c r="D234" s="325"/>
      <c r="E234" s="325"/>
      <c r="F234" s="379"/>
      <c r="G234" s="288"/>
      <c r="H234" s="288"/>
      <c r="I234" s="288"/>
      <c r="J234" s="288"/>
      <c r="K234" s="288"/>
      <c r="L234" s="288"/>
      <c r="M234" s="288"/>
      <c r="N234" s="288"/>
      <c r="O234" s="288"/>
      <c r="P234" s="288"/>
      <c r="Q234" s="288"/>
      <c r="R234" s="288"/>
      <c r="S234" s="288"/>
      <c r="T234" s="380">
        <v>0</v>
      </c>
      <c r="U234" s="288"/>
      <c r="V234" s="365"/>
      <c r="W234" s="378"/>
      <c r="X234" s="5"/>
    </row>
    <row r="235" spans="1:24" ht="15.6" x14ac:dyDescent="0.3">
      <c r="A235" s="362"/>
      <c r="B235" s="313" t="s">
        <v>217</v>
      </c>
      <c r="C235" s="381"/>
      <c r="D235" s="381"/>
      <c r="E235" s="381"/>
      <c r="F235" s="382"/>
      <c r="G235" s="314"/>
      <c r="H235" s="314"/>
      <c r="I235" s="314"/>
      <c r="J235" s="314"/>
      <c r="K235" s="314"/>
      <c r="L235" s="314"/>
      <c r="M235" s="314"/>
      <c r="N235" s="314"/>
      <c r="O235" s="314"/>
      <c r="P235" s="314"/>
      <c r="Q235" s="314"/>
      <c r="R235" s="314"/>
      <c r="S235" s="314"/>
      <c r="T235" s="383"/>
      <c r="U235" s="314"/>
      <c r="V235" s="369"/>
      <c r="W235" s="373"/>
      <c r="X235" s="5"/>
    </row>
    <row r="236" spans="1:24" ht="15.6" x14ac:dyDescent="0.3">
      <c r="A236" s="362"/>
      <c r="B236" s="288" t="s">
        <v>291</v>
      </c>
      <c r="C236" s="381"/>
      <c r="D236" s="381"/>
      <c r="E236" s="381"/>
      <c r="F236" s="382"/>
      <c r="G236" s="314"/>
      <c r="H236" s="314"/>
      <c r="I236" s="314"/>
      <c r="J236" s="314"/>
      <c r="K236" s="314"/>
      <c r="L236" s="314"/>
      <c r="M236" s="314"/>
      <c r="N236" s="314"/>
      <c r="O236" s="314"/>
      <c r="P236" s="314"/>
      <c r="Q236" s="314"/>
      <c r="R236" s="314"/>
      <c r="S236" s="296">
        <v>4</v>
      </c>
      <c r="T236" s="364">
        <v>1088</v>
      </c>
      <c r="U236" s="314"/>
      <c r="V236" s="369"/>
      <c r="W236" s="373"/>
      <c r="X236" s="5"/>
    </row>
    <row r="237" spans="1:24" ht="15.6" x14ac:dyDescent="0.3">
      <c r="A237" s="362"/>
      <c r="B237" s="288" t="s">
        <v>218</v>
      </c>
      <c r="C237" s="381"/>
      <c r="D237" s="381"/>
      <c r="E237" s="381"/>
      <c r="F237" s="382"/>
      <c r="G237" s="314"/>
      <c r="H237" s="314"/>
      <c r="I237" s="314"/>
      <c r="J237" s="314"/>
      <c r="K237" s="314"/>
      <c r="L237" s="314"/>
      <c r="M237" s="314"/>
      <c r="N237" s="314"/>
      <c r="O237" s="314"/>
      <c r="P237" s="314"/>
      <c r="Q237" s="314"/>
      <c r="R237" s="314"/>
      <c r="S237" s="288"/>
      <c r="T237" s="380">
        <v>0</v>
      </c>
      <c r="U237" s="314"/>
      <c r="V237" s="369"/>
      <c r="W237" s="373"/>
      <c r="X237" s="5"/>
    </row>
    <row r="238" spans="1:24" ht="15.6" x14ac:dyDescent="0.3">
      <c r="A238" s="362"/>
      <c r="B238" s="372"/>
      <c r="C238" s="381"/>
      <c r="D238" s="381"/>
      <c r="E238" s="381"/>
      <c r="F238" s="382"/>
      <c r="G238" s="314"/>
      <c r="H238" s="314"/>
      <c r="I238" s="314"/>
      <c r="J238" s="314"/>
      <c r="K238" s="314"/>
      <c r="L238" s="314"/>
      <c r="M238" s="314"/>
      <c r="N238" s="314"/>
      <c r="O238" s="314"/>
      <c r="P238" s="314"/>
      <c r="Q238" s="314"/>
      <c r="R238" s="314"/>
      <c r="S238" s="314"/>
      <c r="T238" s="383"/>
      <c r="U238" s="314"/>
      <c r="V238" s="369"/>
      <c r="W238" s="373"/>
      <c r="X238" s="5"/>
    </row>
    <row r="239" spans="1:24" ht="15.6" x14ac:dyDescent="0.3">
      <c r="A239" s="362"/>
      <c r="B239" s="372"/>
      <c r="C239" s="381"/>
      <c r="D239" s="381"/>
      <c r="E239" s="381"/>
      <c r="F239" s="382"/>
      <c r="G239" s="314"/>
      <c r="H239" s="314"/>
      <c r="I239" s="314"/>
      <c r="J239" s="314"/>
      <c r="K239" s="314"/>
      <c r="L239" s="314"/>
      <c r="M239" s="314"/>
      <c r="N239" s="314"/>
      <c r="O239" s="314"/>
      <c r="P239" s="314"/>
      <c r="Q239" s="314"/>
      <c r="R239" s="314"/>
      <c r="S239" s="314"/>
      <c r="T239" s="383"/>
      <c r="U239" s="314"/>
      <c r="V239" s="369"/>
      <c r="W239" s="373"/>
      <c r="X239" s="5"/>
    </row>
    <row r="240" spans="1:24" ht="17.399999999999999" x14ac:dyDescent="0.3">
      <c r="A240" s="362"/>
      <c r="B240" s="384" t="s">
        <v>168</v>
      </c>
      <c r="C240" s="381"/>
      <c r="D240" s="381"/>
      <c r="E240" s="381"/>
      <c r="F240" s="382"/>
      <c r="G240" s="314"/>
      <c r="H240" s="314"/>
      <c r="I240" s="314"/>
      <c r="J240" s="314"/>
      <c r="K240" s="314"/>
      <c r="L240" s="314"/>
      <c r="M240" s="314"/>
      <c r="N240" s="314"/>
      <c r="O240" s="314"/>
      <c r="P240" s="385" t="s">
        <v>167</v>
      </c>
      <c r="Q240" s="314"/>
      <c r="R240" s="314"/>
      <c r="S240" s="314"/>
      <c r="T240" s="383"/>
      <c r="U240" s="314"/>
      <c r="V240" s="369"/>
      <c r="W240" s="373"/>
      <c r="X240" s="5"/>
    </row>
    <row r="241" spans="1:25" ht="15.6" x14ac:dyDescent="0.3">
      <c r="A241" s="355"/>
      <c r="B241" s="356"/>
      <c r="C241" s="357"/>
      <c r="D241" s="357"/>
      <c r="E241" s="357"/>
      <c r="F241" s="358"/>
      <c r="G241" s="198"/>
      <c r="H241" s="198"/>
      <c r="I241" s="198"/>
      <c r="J241" s="198"/>
      <c r="K241" s="198"/>
      <c r="L241" s="198"/>
      <c r="M241" s="198"/>
      <c r="N241" s="198"/>
      <c r="O241" s="198"/>
      <c r="P241" s="198"/>
      <c r="Q241" s="198"/>
      <c r="R241" s="198"/>
      <c r="S241" s="198"/>
      <c r="T241" s="359"/>
      <c r="U241" s="198"/>
      <c r="V241" s="360"/>
      <c r="W241" s="361"/>
      <c r="X241" s="5"/>
    </row>
    <row r="242" spans="1:25" ht="15.6" x14ac:dyDescent="0.3">
      <c r="A242" s="262"/>
      <c r="B242" s="399" t="s">
        <v>308</v>
      </c>
      <c r="C242" s="400"/>
      <c r="D242" s="400"/>
      <c r="E242" s="400"/>
      <c r="F242" s="406"/>
      <c r="G242" s="400"/>
      <c r="H242" s="400"/>
      <c r="I242" s="400"/>
      <c r="J242" s="400"/>
      <c r="K242" s="400"/>
      <c r="L242" s="400"/>
      <c r="M242" s="400"/>
      <c r="N242" s="400"/>
      <c r="O242" s="400"/>
      <c r="P242" s="400"/>
      <c r="Q242" s="400"/>
      <c r="R242" s="406" t="s">
        <v>102</v>
      </c>
      <c r="S242" s="400" t="s">
        <v>103</v>
      </c>
      <c r="T242" s="406" t="s">
        <v>109</v>
      </c>
      <c r="U242" s="400" t="s">
        <v>103</v>
      </c>
      <c r="V242" s="263"/>
      <c r="W242" s="399"/>
      <c r="X242" s="5"/>
    </row>
    <row r="243" spans="1:25" ht="15.6" x14ac:dyDescent="0.3">
      <c r="A243" s="197"/>
      <c r="B243" s="234" t="s">
        <v>88</v>
      </c>
      <c r="C243" s="253"/>
      <c r="D243" s="253"/>
      <c r="E243" s="253"/>
      <c r="F243" s="231"/>
      <c r="G243" s="253"/>
      <c r="H243" s="253"/>
      <c r="I243" s="253"/>
      <c r="J243" s="253"/>
      <c r="K243" s="253"/>
      <c r="L243" s="253"/>
      <c r="M243" s="253"/>
      <c r="N243" s="253"/>
      <c r="O243" s="253"/>
      <c r="P243" s="253"/>
      <c r="Q243" s="253"/>
      <c r="R243" s="234">
        <f t="shared" ref="R243:R250" si="1">+R255+R267+R279</f>
        <v>7137</v>
      </c>
      <c r="S243" s="254">
        <f t="shared" ref="S243:S250" si="2">R243/$R$252</f>
        <v>0.99664851277754507</v>
      </c>
      <c r="T243" s="241">
        <f t="shared" ref="T243:T250" si="3">+T255+T267+T279</f>
        <v>984674</v>
      </c>
      <c r="U243" s="254">
        <f t="shared" ref="U243:U250" si="4">T243/$T$252</f>
        <v>0.99630990336135727</v>
      </c>
      <c r="V243" s="250"/>
      <c r="W243" s="232"/>
      <c r="X243" s="5"/>
    </row>
    <row r="244" spans="1:25" ht="15.6" x14ac:dyDescent="0.3">
      <c r="A244" s="287"/>
      <c r="B244" s="337" t="s">
        <v>89</v>
      </c>
      <c r="C244" s="389"/>
      <c r="D244" s="389"/>
      <c r="E244" s="389"/>
      <c r="F244" s="288"/>
      <c r="G244" s="390"/>
      <c r="H244" s="389"/>
      <c r="I244" s="389"/>
      <c r="J244" s="389"/>
      <c r="K244" s="389"/>
      <c r="L244" s="389"/>
      <c r="M244" s="389"/>
      <c r="N244" s="389"/>
      <c r="O244" s="389"/>
      <c r="P244" s="389"/>
      <c r="Q244" s="389"/>
      <c r="R244" s="337">
        <f t="shared" si="1"/>
        <v>5</v>
      </c>
      <c r="S244" s="390">
        <f t="shared" si="2"/>
        <v>6.9822650467811758E-4</v>
      </c>
      <c r="T244" s="338">
        <f t="shared" si="3"/>
        <v>816</v>
      </c>
      <c r="U244" s="390">
        <f t="shared" si="4"/>
        <v>8.2564268086987927E-4</v>
      </c>
      <c r="V244" s="365"/>
      <c r="W244" s="378"/>
      <c r="X244" s="5"/>
      <c r="Y244" s="109"/>
    </row>
    <row r="245" spans="1:25" ht="15.6" x14ac:dyDescent="0.3">
      <c r="A245" s="287"/>
      <c r="B245" s="337" t="s">
        <v>90</v>
      </c>
      <c r="C245" s="389"/>
      <c r="D245" s="389"/>
      <c r="E245" s="389"/>
      <c r="F245" s="288"/>
      <c r="G245" s="390"/>
      <c r="H245" s="389"/>
      <c r="I245" s="389"/>
      <c r="J245" s="389"/>
      <c r="K245" s="389"/>
      <c r="L245" s="389"/>
      <c r="M245" s="389"/>
      <c r="N245" s="389"/>
      <c r="O245" s="389"/>
      <c r="P245" s="389"/>
      <c r="Q245" s="389"/>
      <c r="R245" s="337">
        <f t="shared" si="1"/>
        <v>1</v>
      </c>
      <c r="S245" s="390">
        <f t="shared" si="2"/>
        <v>1.3964530093562352E-4</v>
      </c>
      <c r="T245" s="338">
        <f t="shared" si="3"/>
        <v>190</v>
      </c>
      <c r="U245" s="390">
        <f t="shared" si="4"/>
        <v>1.9224523206529053E-4</v>
      </c>
      <c r="V245" s="365"/>
      <c r="W245" s="378"/>
      <c r="X245" s="5"/>
    </row>
    <row r="246" spans="1:25" ht="15.6" x14ac:dyDescent="0.3">
      <c r="A246" s="287"/>
      <c r="B246" s="337" t="s">
        <v>156</v>
      </c>
      <c r="C246" s="389"/>
      <c r="D246" s="389"/>
      <c r="E246" s="389"/>
      <c r="F246" s="288"/>
      <c r="G246" s="390"/>
      <c r="H246" s="389"/>
      <c r="I246" s="389"/>
      <c r="J246" s="389"/>
      <c r="K246" s="389"/>
      <c r="L246" s="389"/>
      <c r="M246" s="389"/>
      <c r="N246" s="389"/>
      <c r="O246" s="389"/>
      <c r="P246" s="389"/>
      <c r="Q246" s="389"/>
      <c r="R246" s="337">
        <f t="shared" si="1"/>
        <v>2</v>
      </c>
      <c r="S246" s="390">
        <f t="shared" si="2"/>
        <v>2.7929060187124703E-4</v>
      </c>
      <c r="T246" s="338">
        <f t="shared" si="3"/>
        <v>276</v>
      </c>
      <c r="U246" s="390">
        <f t="shared" si="4"/>
        <v>2.7926149500010622E-4</v>
      </c>
      <c r="V246" s="365"/>
      <c r="W246" s="378"/>
      <c r="X246" s="5"/>
      <c r="Y246" s="109"/>
    </row>
    <row r="247" spans="1:25" ht="15.6" x14ac:dyDescent="0.3">
      <c r="A247" s="287"/>
      <c r="B247" s="337" t="s">
        <v>157</v>
      </c>
      <c r="C247" s="389"/>
      <c r="D247" s="389"/>
      <c r="E247" s="389"/>
      <c r="F247" s="288"/>
      <c r="G247" s="390"/>
      <c r="H247" s="389"/>
      <c r="I247" s="389"/>
      <c r="J247" s="389"/>
      <c r="K247" s="389"/>
      <c r="L247" s="389"/>
      <c r="M247" s="389"/>
      <c r="N247" s="389"/>
      <c r="O247" s="389"/>
      <c r="P247" s="389"/>
      <c r="Q247" s="389"/>
      <c r="R247" s="337">
        <f t="shared" si="1"/>
        <v>2</v>
      </c>
      <c r="S247" s="390">
        <f t="shared" si="2"/>
        <v>2.7929060187124703E-4</v>
      </c>
      <c r="T247" s="338">
        <f t="shared" si="3"/>
        <v>276</v>
      </c>
      <c r="U247" s="390">
        <f t="shared" si="4"/>
        <v>2.7926149500010622E-4</v>
      </c>
      <c r="V247" s="365"/>
      <c r="W247" s="378"/>
      <c r="X247" s="5"/>
    </row>
    <row r="248" spans="1:25" ht="15.6" x14ac:dyDescent="0.3">
      <c r="A248" s="287"/>
      <c r="B248" s="337" t="s">
        <v>158</v>
      </c>
      <c r="C248" s="389"/>
      <c r="D248" s="389"/>
      <c r="E248" s="389"/>
      <c r="F248" s="288"/>
      <c r="G248" s="390"/>
      <c r="H248" s="389"/>
      <c r="I248" s="389"/>
      <c r="J248" s="389"/>
      <c r="K248" s="389"/>
      <c r="L248" s="389"/>
      <c r="M248" s="389"/>
      <c r="N248" s="389"/>
      <c r="O248" s="389"/>
      <c r="P248" s="389"/>
      <c r="Q248" s="389"/>
      <c r="R248" s="337">
        <f t="shared" si="1"/>
        <v>0</v>
      </c>
      <c r="S248" s="390">
        <f t="shared" si="2"/>
        <v>0</v>
      </c>
      <c r="T248" s="338">
        <f t="shared" si="3"/>
        <v>0</v>
      </c>
      <c r="U248" s="390">
        <f t="shared" si="4"/>
        <v>0</v>
      </c>
      <c r="V248" s="365"/>
      <c r="W248" s="378"/>
      <c r="X248" s="5"/>
      <c r="Y248" s="109"/>
    </row>
    <row r="249" spans="1:25" ht="15.6" x14ac:dyDescent="0.3">
      <c r="A249" s="287"/>
      <c r="B249" s="337" t="s">
        <v>159</v>
      </c>
      <c r="C249" s="389"/>
      <c r="D249" s="389"/>
      <c r="E249" s="389"/>
      <c r="F249" s="288"/>
      <c r="G249" s="390"/>
      <c r="H249" s="389"/>
      <c r="I249" s="389"/>
      <c r="J249" s="389"/>
      <c r="K249" s="389"/>
      <c r="L249" s="389"/>
      <c r="M249" s="389"/>
      <c r="N249" s="389"/>
      <c r="O249" s="389"/>
      <c r="P249" s="389"/>
      <c r="Q249" s="389"/>
      <c r="R249" s="337">
        <f t="shared" si="1"/>
        <v>5</v>
      </c>
      <c r="S249" s="390">
        <f t="shared" si="2"/>
        <v>6.9822650467811758E-4</v>
      </c>
      <c r="T249" s="338">
        <f t="shared" si="3"/>
        <v>730</v>
      </c>
      <c r="U249" s="390">
        <f t="shared" si="4"/>
        <v>7.3862641793506366E-4</v>
      </c>
      <c r="V249" s="365"/>
      <c r="W249" s="378"/>
      <c r="X249" s="5"/>
    </row>
    <row r="250" spans="1:25" ht="15.6" x14ac:dyDescent="0.3">
      <c r="A250" s="287"/>
      <c r="B250" s="337" t="s">
        <v>160</v>
      </c>
      <c r="C250" s="389"/>
      <c r="D250" s="389"/>
      <c r="E250" s="389"/>
      <c r="F250" s="288"/>
      <c r="G250" s="390"/>
      <c r="H250" s="389"/>
      <c r="I250" s="389"/>
      <c r="J250" s="389"/>
      <c r="K250" s="389"/>
      <c r="L250" s="389"/>
      <c r="M250" s="389"/>
      <c r="N250" s="389"/>
      <c r="O250" s="389"/>
      <c r="P250" s="389"/>
      <c r="Q250" s="389"/>
      <c r="R250" s="339">
        <f t="shared" si="1"/>
        <v>9</v>
      </c>
      <c r="S250" s="393">
        <f t="shared" si="2"/>
        <v>1.2568077084206116E-3</v>
      </c>
      <c r="T250" s="394">
        <f t="shared" si="3"/>
        <v>1359</v>
      </c>
      <c r="U250" s="393">
        <f t="shared" si="4"/>
        <v>1.3750593177722622E-3</v>
      </c>
      <c r="V250" s="365"/>
      <c r="W250" s="378"/>
      <c r="X250" s="5"/>
      <c r="Y250" s="109"/>
    </row>
    <row r="251" spans="1:25" ht="15.6" x14ac:dyDescent="0.3">
      <c r="A251" s="287"/>
      <c r="B251" s="337"/>
      <c r="C251" s="389"/>
      <c r="D251" s="389"/>
      <c r="E251" s="389"/>
      <c r="F251" s="288"/>
      <c r="G251" s="390"/>
      <c r="H251" s="389"/>
      <c r="I251" s="389"/>
      <c r="J251" s="389"/>
      <c r="K251" s="389"/>
      <c r="L251" s="389"/>
      <c r="M251" s="389"/>
      <c r="N251" s="389"/>
      <c r="O251" s="389"/>
      <c r="P251" s="389"/>
      <c r="Q251" s="389"/>
      <c r="R251" s="337"/>
      <c r="S251" s="390"/>
      <c r="T251" s="338"/>
      <c r="U251" s="390"/>
      <c r="V251" s="365"/>
      <c r="W251" s="378"/>
      <c r="X251" s="5"/>
    </row>
    <row r="252" spans="1:25" ht="15.6" x14ac:dyDescent="0.3">
      <c r="A252" s="287"/>
      <c r="B252" s="288"/>
      <c r="C252" s="288"/>
      <c r="D252" s="288"/>
      <c r="E252" s="288"/>
      <c r="F252" s="288"/>
      <c r="G252" s="288"/>
      <c r="H252" s="391"/>
      <c r="I252" s="391"/>
      <c r="J252" s="391"/>
      <c r="K252" s="391"/>
      <c r="L252" s="391"/>
      <c r="M252" s="391"/>
      <c r="N252" s="391"/>
      <c r="O252" s="391"/>
      <c r="P252" s="391"/>
      <c r="Q252" s="391"/>
      <c r="R252" s="337">
        <f>SUM(R243:R251)</f>
        <v>7161</v>
      </c>
      <c r="S252" s="390">
        <f>SUM(S243:S251)</f>
        <v>1</v>
      </c>
      <c r="T252" s="338">
        <f>SUM(T243:T251)</f>
        <v>988321</v>
      </c>
      <c r="U252" s="390">
        <f>SUM(U243:U251)</f>
        <v>1</v>
      </c>
      <c r="V252" s="288"/>
      <c r="W252" s="291"/>
      <c r="X252" s="5"/>
    </row>
    <row r="253" spans="1:25" ht="15.6" x14ac:dyDescent="0.3">
      <c r="A253" s="183"/>
      <c r="B253" s="198"/>
      <c r="C253" s="198"/>
      <c r="D253" s="198"/>
      <c r="E253" s="198"/>
      <c r="F253" s="198"/>
      <c r="G253" s="198"/>
      <c r="H253" s="386"/>
      <c r="I253" s="386"/>
      <c r="J253" s="386"/>
      <c r="K253" s="386"/>
      <c r="L253" s="386"/>
      <c r="M253" s="386"/>
      <c r="N253" s="386"/>
      <c r="O253" s="386"/>
      <c r="P253" s="386"/>
      <c r="Q253" s="386"/>
      <c r="R253" s="335"/>
      <c r="S253" s="387"/>
      <c r="T253" s="388"/>
      <c r="U253" s="387"/>
      <c r="V253" s="198"/>
      <c r="W253" s="198"/>
      <c r="X253" s="5"/>
    </row>
    <row r="254" spans="1:25" ht="15.6" x14ac:dyDescent="0.3">
      <c r="A254" s="262"/>
      <c r="B254" s="399" t="s">
        <v>162</v>
      </c>
      <c r="C254" s="400"/>
      <c r="D254" s="400"/>
      <c r="E254" s="400"/>
      <c r="F254" s="406"/>
      <c r="G254" s="400"/>
      <c r="H254" s="400"/>
      <c r="I254" s="400"/>
      <c r="J254" s="400"/>
      <c r="K254" s="400"/>
      <c r="L254" s="400"/>
      <c r="M254" s="400"/>
      <c r="N254" s="400"/>
      <c r="O254" s="400"/>
      <c r="P254" s="400"/>
      <c r="Q254" s="400"/>
      <c r="R254" s="406" t="s">
        <v>102</v>
      </c>
      <c r="S254" s="400" t="s">
        <v>103</v>
      </c>
      <c r="T254" s="406" t="s">
        <v>109</v>
      </c>
      <c r="U254" s="400" t="s">
        <v>103</v>
      </c>
      <c r="V254" s="263"/>
      <c r="W254" s="399"/>
      <c r="X254" s="5"/>
    </row>
    <row r="255" spans="1:25" ht="15.6" x14ac:dyDescent="0.3">
      <c r="A255" s="197"/>
      <c r="B255" s="234" t="s">
        <v>88</v>
      </c>
      <c r="C255" s="253"/>
      <c r="D255" s="253"/>
      <c r="E255" s="253"/>
      <c r="F255" s="231"/>
      <c r="G255" s="253"/>
      <c r="H255" s="253"/>
      <c r="I255" s="253"/>
      <c r="J255" s="253"/>
      <c r="K255" s="253"/>
      <c r="L255" s="253"/>
      <c r="M255" s="253"/>
      <c r="N255" s="253"/>
      <c r="O255" s="253"/>
      <c r="P255" s="253"/>
      <c r="Q255" s="253"/>
      <c r="R255" s="234">
        <v>7016</v>
      </c>
      <c r="S255" s="254">
        <f t="shared" ref="S255:S262" si="5">R255/$R$264</f>
        <v>0.99900327495372343</v>
      </c>
      <c r="T255" s="241">
        <v>966658</v>
      </c>
      <c r="U255" s="254">
        <f t="shared" ref="U255:U262" si="6">T255/$T$264</f>
        <v>0.9989407688261549</v>
      </c>
      <c r="V255" s="250"/>
      <c r="W255" s="232"/>
      <c r="X255" s="5"/>
    </row>
    <row r="256" spans="1:25" ht="15.6" x14ac:dyDescent="0.3">
      <c r="A256" s="287"/>
      <c r="B256" s="337" t="s">
        <v>89</v>
      </c>
      <c r="C256" s="389"/>
      <c r="D256" s="389"/>
      <c r="E256" s="389"/>
      <c r="F256" s="288"/>
      <c r="G256" s="390"/>
      <c r="H256" s="389"/>
      <c r="I256" s="389"/>
      <c r="J256" s="389"/>
      <c r="K256" s="389"/>
      <c r="L256" s="389"/>
      <c r="M256" s="389"/>
      <c r="N256" s="389"/>
      <c r="O256" s="389"/>
      <c r="P256" s="389"/>
      <c r="Q256" s="389"/>
      <c r="R256" s="337">
        <v>5</v>
      </c>
      <c r="S256" s="390">
        <f t="shared" si="5"/>
        <v>7.1194646162608575E-4</v>
      </c>
      <c r="T256" s="338">
        <v>816</v>
      </c>
      <c r="U256" s="390">
        <f t="shared" si="6"/>
        <v>8.4325135400745903E-4</v>
      </c>
      <c r="V256" s="365"/>
      <c r="W256" s="378"/>
      <c r="X256" s="5"/>
      <c r="Y256" s="109"/>
    </row>
    <row r="257" spans="1:25" ht="15.6" x14ac:dyDescent="0.3">
      <c r="A257" s="287"/>
      <c r="B257" s="337" t="s">
        <v>90</v>
      </c>
      <c r="C257" s="389"/>
      <c r="D257" s="389"/>
      <c r="E257" s="389"/>
      <c r="F257" s="288"/>
      <c r="G257" s="390"/>
      <c r="H257" s="389"/>
      <c r="I257" s="389"/>
      <c r="J257" s="389"/>
      <c r="K257" s="389"/>
      <c r="L257" s="389"/>
      <c r="M257" s="389"/>
      <c r="N257" s="389"/>
      <c r="O257" s="389"/>
      <c r="P257" s="389"/>
      <c r="Q257" s="389"/>
      <c r="R257" s="337">
        <v>0</v>
      </c>
      <c r="S257" s="390">
        <f t="shared" si="5"/>
        <v>0</v>
      </c>
      <c r="T257" s="338">
        <v>0</v>
      </c>
      <c r="U257" s="390">
        <f t="shared" si="6"/>
        <v>0</v>
      </c>
      <c r="V257" s="365"/>
      <c r="W257" s="378"/>
      <c r="X257" s="5"/>
    </row>
    <row r="258" spans="1:25" ht="15.6" x14ac:dyDescent="0.3">
      <c r="A258" s="287"/>
      <c r="B258" s="337" t="s">
        <v>156</v>
      </c>
      <c r="C258" s="389"/>
      <c r="D258" s="389"/>
      <c r="E258" s="389"/>
      <c r="F258" s="288"/>
      <c r="G258" s="390"/>
      <c r="H258" s="389"/>
      <c r="I258" s="389"/>
      <c r="J258" s="389"/>
      <c r="K258" s="389"/>
      <c r="L258" s="389"/>
      <c r="M258" s="389"/>
      <c r="N258" s="389"/>
      <c r="O258" s="389"/>
      <c r="P258" s="389"/>
      <c r="Q258" s="389"/>
      <c r="R258" s="337">
        <v>1</v>
      </c>
      <c r="S258" s="390">
        <f t="shared" si="5"/>
        <v>1.4238929232521716E-4</v>
      </c>
      <c r="T258" s="338">
        <v>82</v>
      </c>
      <c r="U258" s="390">
        <f t="shared" si="6"/>
        <v>8.4738493907612306E-5</v>
      </c>
      <c r="V258" s="365"/>
      <c r="W258" s="378"/>
      <c r="X258" s="5"/>
      <c r="Y258" s="109"/>
    </row>
    <row r="259" spans="1:25" ht="15.6" x14ac:dyDescent="0.3">
      <c r="A259" s="287"/>
      <c r="B259" s="337" t="s">
        <v>157</v>
      </c>
      <c r="C259" s="389"/>
      <c r="D259" s="389"/>
      <c r="E259" s="389"/>
      <c r="F259" s="288"/>
      <c r="G259" s="390"/>
      <c r="H259" s="389"/>
      <c r="I259" s="389"/>
      <c r="J259" s="389"/>
      <c r="K259" s="389"/>
      <c r="L259" s="389"/>
      <c r="M259" s="389"/>
      <c r="N259" s="389"/>
      <c r="O259" s="389"/>
      <c r="P259" s="389"/>
      <c r="Q259" s="389"/>
      <c r="R259" s="337">
        <v>0</v>
      </c>
      <c r="S259" s="390">
        <f t="shared" si="5"/>
        <v>0</v>
      </c>
      <c r="T259" s="338">
        <v>0</v>
      </c>
      <c r="U259" s="390">
        <f t="shared" si="6"/>
        <v>0</v>
      </c>
      <c r="V259" s="365"/>
      <c r="W259" s="378"/>
      <c r="X259" s="5"/>
    </row>
    <row r="260" spans="1:25" ht="15.6" x14ac:dyDescent="0.3">
      <c r="A260" s="287"/>
      <c r="B260" s="337" t="s">
        <v>158</v>
      </c>
      <c r="C260" s="389"/>
      <c r="D260" s="389"/>
      <c r="E260" s="389"/>
      <c r="F260" s="288"/>
      <c r="G260" s="390"/>
      <c r="H260" s="389"/>
      <c r="I260" s="389"/>
      <c r="J260" s="389"/>
      <c r="K260" s="389"/>
      <c r="L260" s="389"/>
      <c r="M260" s="389"/>
      <c r="N260" s="389"/>
      <c r="O260" s="389"/>
      <c r="P260" s="389"/>
      <c r="Q260" s="389"/>
      <c r="R260" s="337">
        <v>0</v>
      </c>
      <c r="S260" s="390">
        <f t="shared" si="5"/>
        <v>0</v>
      </c>
      <c r="T260" s="338">
        <v>0</v>
      </c>
      <c r="U260" s="390">
        <f t="shared" si="6"/>
        <v>0</v>
      </c>
      <c r="V260" s="365"/>
      <c r="W260" s="378"/>
      <c r="X260" s="5"/>
      <c r="Y260" s="109"/>
    </row>
    <row r="261" spans="1:25" ht="15.6" x14ac:dyDescent="0.3">
      <c r="A261" s="287"/>
      <c r="B261" s="337" t="s">
        <v>159</v>
      </c>
      <c r="C261" s="389"/>
      <c r="D261" s="389"/>
      <c r="E261" s="389"/>
      <c r="F261" s="288"/>
      <c r="G261" s="390"/>
      <c r="H261" s="389"/>
      <c r="I261" s="389"/>
      <c r="J261" s="389"/>
      <c r="K261" s="389"/>
      <c r="L261" s="389"/>
      <c r="M261" s="389"/>
      <c r="N261" s="389"/>
      <c r="O261" s="389"/>
      <c r="P261" s="389"/>
      <c r="Q261" s="389"/>
      <c r="R261" s="337">
        <v>1</v>
      </c>
      <c r="S261" s="390">
        <f t="shared" si="5"/>
        <v>1.4238929232521716E-4</v>
      </c>
      <c r="T261" s="338">
        <v>127</v>
      </c>
      <c r="U261" s="390">
        <f t="shared" si="6"/>
        <v>1.3124132593008247E-4</v>
      </c>
      <c r="V261" s="365"/>
      <c r="W261" s="378"/>
      <c r="X261" s="5"/>
    </row>
    <row r="262" spans="1:25" ht="15.6" x14ac:dyDescent="0.3">
      <c r="A262" s="287"/>
      <c r="B262" s="337" t="s">
        <v>160</v>
      </c>
      <c r="C262" s="389"/>
      <c r="D262" s="389"/>
      <c r="E262" s="389"/>
      <c r="F262" s="288"/>
      <c r="G262" s="390"/>
      <c r="H262" s="389"/>
      <c r="I262" s="389"/>
      <c r="J262" s="389"/>
      <c r="K262" s="389"/>
      <c r="L262" s="389"/>
      <c r="M262" s="389"/>
      <c r="N262" s="389"/>
      <c r="O262" s="389"/>
      <c r="P262" s="389"/>
      <c r="Q262" s="389"/>
      <c r="R262" s="337">
        <v>0</v>
      </c>
      <c r="S262" s="390">
        <f t="shared" si="5"/>
        <v>0</v>
      </c>
      <c r="T262" s="338">
        <v>0</v>
      </c>
      <c r="U262" s="390">
        <f t="shared" si="6"/>
        <v>0</v>
      </c>
      <c r="V262" s="365"/>
      <c r="W262" s="378"/>
      <c r="X262" s="5"/>
      <c r="Y262" s="109"/>
    </row>
    <row r="263" spans="1:25" ht="15.6" x14ac:dyDescent="0.3">
      <c r="A263" s="287"/>
      <c r="B263" s="337"/>
      <c r="C263" s="389"/>
      <c r="D263" s="389"/>
      <c r="E263" s="389"/>
      <c r="F263" s="288"/>
      <c r="G263" s="390"/>
      <c r="H263" s="389"/>
      <c r="I263" s="389"/>
      <c r="J263" s="389"/>
      <c r="K263" s="389"/>
      <c r="L263" s="389"/>
      <c r="M263" s="389"/>
      <c r="N263" s="389"/>
      <c r="O263" s="389"/>
      <c r="P263" s="389"/>
      <c r="Q263" s="389"/>
      <c r="R263" s="337"/>
      <c r="S263" s="390"/>
      <c r="T263" s="338"/>
      <c r="U263" s="390"/>
      <c r="V263" s="365"/>
      <c r="W263" s="378"/>
      <c r="X263" s="5"/>
    </row>
    <row r="264" spans="1:25" ht="15.6" x14ac:dyDescent="0.3">
      <c r="A264" s="287"/>
      <c r="B264" s="288"/>
      <c r="C264" s="288"/>
      <c r="D264" s="288"/>
      <c r="E264" s="288"/>
      <c r="F264" s="288"/>
      <c r="G264" s="288"/>
      <c r="H264" s="391"/>
      <c r="I264" s="391"/>
      <c r="J264" s="391"/>
      <c r="K264" s="391"/>
      <c r="L264" s="391"/>
      <c r="M264" s="391"/>
      <c r="N264" s="391"/>
      <c r="O264" s="391"/>
      <c r="P264" s="391"/>
      <c r="Q264" s="391"/>
      <c r="R264" s="337">
        <f>SUM(R255:R263)</f>
        <v>7023</v>
      </c>
      <c r="S264" s="390">
        <f>SUM(S255:S263)</f>
        <v>1</v>
      </c>
      <c r="T264" s="338">
        <f>SUM(T255:T263)</f>
        <v>967683</v>
      </c>
      <c r="U264" s="390">
        <f>SUM(U255:U263)</f>
        <v>1</v>
      </c>
      <c r="V264" s="288"/>
      <c r="W264" s="291"/>
      <c r="X264" s="5"/>
    </row>
    <row r="265" spans="1:25" ht="15.6" x14ac:dyDescent="0.3">
      <c r="A265" s="183"/>
      <c r="B265" s="198"/>
      <c r="C265" s="198"/>
      <c r="D265" s="198"/>
      <c r="E265" s="198"/>
      <c r="F265" s="198"/>
      <c r="G265" s="198"/>
      <c r="H265" s="386"/>
      <c r="I265" s="386"/>
      <c r="J265" s="386"/>
      <c r="K265" s="386"/>
      <c r="L265" s="386"/>
      <c r="M265" s="386"/>
      <c r="N265" s="386"/>
      <c r="O265" s="386"/>
      <c r="P265" s="386"/>
      <c r="Q265" s="386"/>
      <c r="R265" s="335"/>
      <c r="S265" s="387"/>
      <c r="T265" s="388"/>
      <c r="U265" s="387"/>
      <c r="V265" s="198"/>
      <c r="W265" s="198"/>
      <c r="X265" s="5"/>
    </row>
    <row r="266" spans="1:25" ht="15.6" x14ac:dyDescent="0.3">
      <c r="A266" s="280"/>
      <c r="B266" s="399" t="s">
        <v>275</v>
      </c>
      <c r="C266" s="400"/>
      <c r="D266" s="400"/>
      <c r="E266" s="400"/>
      <c r="F266" s="406"/>
      <c r="G266" s="400"/>
      <c r="H266" s="400"/>
      <c r="I266" s="400"/>
      <c r="J266" s="400"/>
      <c r="K266" s="400"/>
      <c r="L266" s="400"/>
      <c r="M266" s="400"/>
      <c r="N266" s="400"/>
      <c r="O266" s="400"/>
      <c r="P266" s="400"/>
      <c r="Q266" s="400"/>
      <c r="R266" s="406" t="s">
        <v>102</v>
      </c>
      <c r="S266" s="400" t="s">
        <v>103</v>
      </c>
      <c r="T266" s="406" t="s">
        <v>109</v>
      </c>
      <c r="U266" s="400" t="s">
        <v>103</v>
      </c>
      <c r="V266" s="281"/>
      <c r="W266" s="282"/>
      <c r="X266" s="5"/>
    </row>
    <row r="267" spans="1:25" ht="15.6" x14ac:dyDescent="0.3">
      <c r="A267" s="197"/>
      <c r="B267" s="234" t="s">
        <v>88</v>
      </c>
      <c r="C267" s="253"/>
      <c r="D267" s="253"/>
      <c r="E267" s="253"/>
      <c r="F267" s="231"/>
      <c r="G267" s="253"/>
      <c r="H267" s="253"/>
      <c r="I267" s="253"/>
      <c r="J267" s="253"/>
      <c r="K267" s="253"/>
      <c r="L267" s="253"/>
      <c r="M267" s="253"/>
      <c r="N267" s="253"/>
      <c r="O267" s="253"/>
      <c r="P267" s="253"/>
      <c r="Q267" s="253"/>
      <c r="R267" s="234">
        <v>121</v>
      </c>
      <c r="S267" s="254">
        <f t="shared" ref="S267:S274" si="7">R267/$R$276</f>
        <v>0.88321167883211682</v>
      </c>
      <c r="T267" s="241">
        <v>18016</v>
      </c>
      <c r="U267" s="254">
        <f t="shared" ref="U267:U274" si="8">T267/$T$276</f>
        <v>0.87515787428349368</v>
      </c>
      <c r="V267" s="231"/>
      <c r="W267" s="231"/>
      <c r="X267" s="5"/>
    </row>
    <row r="268" spans="1:25" ht="15.6" x14ac:dyDescent="0.3">
      <c r="A268" s="287"/>
      <c r="B268" s="337" t="s">
        <v>89</v>
      </c>
      <c r="C268" s="389"/>
      <c r="D268" s="389"/>
      <c r="E268" s="389"/>
      <c r="F268" s="288"/>
      <c r="G268" s="390"/>
      <c r="H268" s="389"/>
      <c r="I268" s="389"/>
      <c r="J268" s="389"/>
      <c r="K268" s="389"/>
      <c r="L268" s="389"/>
      <c r="M268" s="389"/>
      <c r="N268" s="389"/>
      <c r="O268" s="389"/>
      <c r="P268" s="389"/>
      <c r="Q268" s="389"/>
      <c r="R268" s="337">
        <v>0</v>
      </c>
      <c r="S268" s="390">
        <f t="shared" si="7"/>
        <v>0</v>
      </c>
      <c r="T268" s="338">
        <v>0</v>
      </c>
      <c r="U268" s="390">
        <f t="shared" si="8"/>
        <v>0</v>
      </c>
      <c r="V268" s="288"/>
      <c r="W268" s="291"/>
      <c r="X268" s="5"/>
    </row>
    <row r="269" spans="1:25" ht="15.6" x14ac:dyDescent="0.3">
      <c r="A269" s="287"/>
      <c r="B269" s="337" t="s">
        <v>90</v>
      </c>
      <c r="C269" s="389"/>
      <c r="D269" s="389"/>
      <c r="E269" s="389"/>
      <c r="F269" s="288"/>
      <c r="G269" s="390"/>
      <c r="H269" s="389"/>
      <c r="I269" s="389"/>
      <c r="J269" s="389"/>
      <c r="K269" s="389"/>
      <c r="L269" s="389"/>
      <c r="M269" s="389"/>
      <c r="N269" s="389"/>
      <c r="O269" s="389"/>
      <c r="P269" s="389"/>
      <c r="Q269" s="389"/>
      <c r="R269" s="337">
        <v>1</v>
      </c>
      <c r="S269" s="390">
        <f t="shared" si="7"/>
        <v>7.2992700729927005E-3</v>
      </c>
      <c r="T269" s="338">
        <v>190</v>
      </c>
      <c r="U269" s="390">
        <f t="shared" si="8"/>
        <v>9.2295734965510533E-3</v>
      </c>
      <c r="V269" s="288"/>
      <c r="W269" s="291"/>
      <c r="X269" s="5"/>
    </row>
    <row r="270" spans="1:25" ht="15.6" x14ac:dyDescent="0.3">
      <c r="A270" s="287"/>
      <c r="B270" s="337" t="s">
        <v>156</v>
      </c>
      <c r="C270" s="389"/>
      <c r="D270" s="389"/>
      <c r="E270" s="389"/>
      <c r="F270" s="288"/>
      <c r="G270" s="390"/>
      <c r="H270" s="389"/>
      <c r="I270" s="389"/>
      <c r="J270" s="389"/>
      <c r="K270" s="389"/>
      <c r="L270" s="389"/>
      <c r="M270" s="389"/>
      <c r="N270" s="389"/>
      <c r="O270" s="389"/>
      <c r="P270" s="389"/>
      <c r="Q270" s="389"/>
      <c r="R270" s="337">
        <v>1</v>
      </c>
      <c r="S270" s="390">
        <f t="shared" si="7"/>
        <v>7.2992700729927005E-3</v>
      </c>
      <c r="T270" s="338">
        <v>194</v>
      </c>
      <c r="U270" s="390">
        <f t="shared" si="8"/>
        <v>9.423880307004761E-3</v>
      </c>
      <c r="V270" s="288"/>
      <c r="W270" s="291"/>
      <c r="X270" s="5"/>
    </row>
    <row r="271" spans="1:25" ht="15.6" x14ac:dyDescent="0.3">
      <c r="A271" s="287"/>
      <c r="B271" s="337" t="s">
        <v>157</v>
      </c>
      <c r="C271" s="389"/>
      <c r="D271" s="389"/>
      <c r="E271" s="389"/>
      <c r="F271" s="288"/>
      <c r="G271" s="390"/>
      <c r="H271" s="389"/>
      <c r="I271" s="389"/>
      <c r="J271" s="389"/>
      <c r="K271" s="389"/>
      <c r="L271" s="389"/>
      <c r="M271" s="389"/>
      <c r="N271" s="389"/>
      <c r="O271" s="389"/>
      <c r="P271" s="389"/>
      <c r="Q271" s="389"/>
      <c r="R271" s="337">
        <v>2</v>
      </c>
      <c r="S271" s="390">
        <f t="shared" si="7"/>
        <v>1.4598540145985401E-2</v>
      </c>
      <c r="T271" s="338">
        <v>276</v>
      </c>
      <c r="U271" s="390">
        <f t="shared" si="8"/>
        <v>1.3407169921305742E-2</v>
      </c>
      <c r="V271" s="288"/>
      <c r="W271" s="291"/>
      <c r="X271" s="5"/>
    </row>
    <row r="272" spans="1:25" ht="15.6" x14ac:dyDescent="0.3">
      <c r="A272" s="287"/>
      <c r="B272" s="337" t="s">
        <v>158</v>
      </c>
      <c r="C272" s="389"/>
      <c r="D272" s="389"/>
      <c r="E272" s="389"/>
      <c r="F272" s="288"/>
      <c r="G272" s="390"/>
      <c r="H272" s="389"/>
      <c r="I272" s="389"/>
      <c r="J272" s="389"/>
      <c r="K272" s="389"/>
      <c r="L272" s="389"/>
      <c r="M272" s="389"/>
      <c r="N272" s="389"/>
      <c r="O272" s="389"/>
      <c r="P272" s="389"/>
      <c r="Q272" s="389"/>
      <c r="R272" s="337">
        <v>0</v>
      </c>
      <c r="S272" s="390">
        <f t="shared" si="7"/>
        <v>0</v>
      </c>
      <c r="T272" s="338">
        <v>0</v>
      </c>
      <c r="U272" s="390">
        <f t="shared" si="8"/>
        <v>0</v>
      </c>
      <c r="V272" s="288"/>
      <c r="W272" s="291"/>
      <c r="X272" s="5"/>
    </row>
    <row r="273" spans="1:24" ht="15.6" x14ac:dyDescent="0.3">
      <c r="A273" s="287"/>
      <c r="B273" s="337" t="s">
        <v>159</v>
      </c>
      <c r="C273" s="389"/>
      <c r="D273" s="389"/>
      <c r="E273" s="389"/>
      <c r="F273" s="288"/>
      <c r="G273" s="390"/>
      <c r="H273" s="389"/>
      <c r="I273" s="389"/>
      <c r="J273" s="389"/>
      <c r="K273" s="389"/>
      <c r="L273" s="389"/>
      <c r="M273" s="389"/>
      <c r="N273" s="389"/>
      <c r="O273" s="389"/>
      <c r="P273" s="389"/>
      <c r="Q273" s="389"/>
      <c r="R273" s="337">
        <v>4</v>
      </c>
      <c r="S273" s="390">
        <f t="shared" si="7"/>
        <v>2.9197080291970802E-2</v>
      </c>
      <c r="T273" s="338">
        <v>603</v>
      </c>
      <c r="U273" s="390">
        <f t="shared" si="8"/>
        <v>2.929175167589624E-2</v>
      </c>
      <c r="V273" s="288"/>
      <c r="W273" s="291"/>
      <c r="X273" s="5"/>
    </row>
    <row r="274" spans="1:24" ht="15.6" x14ac:dyDescent="0.3">
      <c r="A274" s="287"/>
      <c r="B274" s="337" t="s">
        <v>160</v>
      </c>
      <c r="C274" s="389"/>
      <c r="D274" s="389"/>
      <c r="E274" s="389"/>
      <c r="F274" s="288"/>
      <c r="G274" s="390"/>
      <c r="H274" s="389"/>
      <c r="I274" s="389"/>
      <c r="J274" s="389"/>
      <c r="K274" s="389"/>
      <c r="L274" s="389"/>
      <c r="M274" s="389"/>
      <c r="N274" s="389"/>
      <c r="O274" s="389"/>
      <c r="P274" s="389"/>
      <c r="Q274" s="389"/>
      <c r="R274" s="337">
        <v>8</v>
      </c>
      <c r="S274" s="390">
        <f t="shared" si="7"/>
        <v>5.8394160583941604E-2</v>
      </c>
      <c r="T274" s="338">
        <v>1307</v>
      </c>
      <c r="U274" s="390">
        <f t="shared" si="8"/>
        <v>6.3489750315748564E-2</v>
      </c>
      <c r="V274" s="288"/>
      <c r="W274" s="291"/>
      <c r="X274" s="5"/>
    </row>
    <row r="275" spans="1:24" ht="15.6" x14ac:dyDescent="0.3">
      <c r="A275" s="287"/>
      <c r="B275" s="337"/>
      <c r="C275" s="389"/>
      <c r="D275" s="389"/>
      <c r="E275" s="389"/>
      <c r="F275" s="288"/>
      <c r="G275" s="390"/>
      <c r="H275" s="389"/>
      <c r="I275" s="389"/>
      <c r="J275" s="389"/>
      <c r="K275" s="389"/>
      <c r="L275" s="389"/>
      <c r="M275" s="389"/>
      <c r="N275" s="389"/>
      <c r="O275" s="389"/>
      <c r="P275" s="389"/>
      <c r="Q275" s="389"/>
      <c r="R275" s="337"/>
      <c r="S275" s="390"/>
      <c r="T275" s="338"/>
      <c r="U275" s="390"/>
      <c r="V275" s="288"/>
      <c r="W275" s="291"/>
      <c r="X275" s="5"/>
    </row>
    <row r="276" spans="1:24" ht="15.6" x14ac:dyDescent="0.3">
      <c r="A276" s="287"/>
      <c r="B276" s="288"/>
      <c r="C276" s="288"/>
      <c r="D276" s="288"/>
      <c r="E276" s="288"/>
      <c r="F276" s="288"/>
      <c r="G276" s="288"/>
      <c r="H276" s="391"/>
      <c r="I276" s="391"/>
      <c r="J276" s="391"/>
      <c r="K276" s="391"/>
      <c r="L276" s="391"/>
      <c r="M276" s="391"/>
      <c r="N276" s="391"/>
      <c r="O276" s="391"/>
      <c r="P276" s="391"/>
      <c r="Q276" s="391"/>
      <c r="R276" s="337">
        <f>SUM(R267:R275)</f>
        <v>137</v>
      </c>
      <c r="S276" s="390">
        <f>SUM(S267:S275)</f>
        <v>1</v>
      </c>
      <c r="T276" s="338">
        <f>SUM(T267:T275)</f>
        <v>20586</v>
      </c>
      <c r="U276" s="390">
        <f>SUM(U267:U275)</f>
        <v>1.0000000000000002</v>
      </c>
      <c r="V276" s="288"/>
      <c r="W276" s="291"/>
      <c r="X276" s="5"/>
    </row>
    <row r="277" spans="1:24" ht="15.6" x14ac:dyDescent="0.3">
      <c r="A277" s="183"/>
      <c r="B277" s="284"/>
      <c r="C277" s="284"/>
      <c r="D277" s="284"/>
      <c r="E277" s="284"/>
      <c r="F277" s="284"/>
      <c r="G277" s="284"/>
      <c r="H277" s="392"/>
      <c r="I277" s="392"/>
      <c r="J277" s="392"/>
      <c r="K277" s="392"/>
      <c r="L277" s="392"/>
      <c r="M277" s="392"/>
      <c r="N277" s="392"/>
      <c r="O277" s="392"/>
      <c r="P277" s="392"/>
      <c r="Q277" s="392"/>
      <c r="R277" s="339"/>
      <c r="S277" s="393"/>
      <c r="T277" s="394"/>
      <c r="U277" s="393"/>
      <c r="V277" s="284"/>
      <c r="W277" s="284"/>
      <c r="X277" s="5"/>
    </row>
    <row r="278" spans="1:24" ht="15.6" x14ac:dyDescent="0.3">
      <c r="A278" s="280"/>
      <c r="B278" s="399" t="s">
        <v>163</v>
      </c>
      <c r="C278" s="281"/>
      <c r="D278" s="281"/>
      <c r="E278" s="281"/>
      <c r="F278" s="281"/>
      <c r="G278" s="281"/>
      <c r="H278" s="283"/>
      <c r="I278" s="283"/>
      <c r="J278" s="283"/>
      <c r="K278" s="283"/>
      <c r="L278" s="283"/>
      <c r="M278" s="283"/>
      <c r="N278" s="283"/>
      <c r="O278" s="283"/>
      <c r="P278" s="283"/>
      <c r="Q278" s="283"/>
      <c r="R278" s="406" t="s">
        <v>102</v>
      </c>
      <c r="S278" s="400" t="s">
        <v>103</v>
      </c>
      <c r="T278" s="406" t="s">
        <v>109</v>
      </c>
      <c r="U278" s="400" t="s">
        <v>103</v>
      </c>
      <c r="V278" s="281"/>
      <c r="W278" s="282"/>
      <c r="X278" s="5"/>
    </row>
    <row r="279" spans="1:24" ht="15.6" x14ac:dyDescent="0.3">
      <c r="A279" s="197"/>
      <c r="B279" s="234" t="s">
        <v>88</v>
      </c>
      <c r="C279" s="231"/>
      <c r="D279" s="231"/>
      <c r="E279" s="231"/>
      <c r="F279" s="231"/>
      <c r="G279" s="231"/>
      <c r="H279" s="255"/>
      <c r="I279" s="255"/>
      <c r="J279" s="255"/>
      <c r="K279" s="255"/>
      <c r="L279" s="255"/>
      <c r="M279" s="255"/>
      <c r="N279" s="255"/>
      <c r="O279" s="255"/>
      <c r="P279" s="255"/>
      <c r="Q279" s="255"/>
      <c r="R279" s="234">
        <v>0</v>
      </c>
      <c r="S279" s="254">
        <v>0</v>
      </c>
      <c r="T279" s="241">
        <v>0</v>
      </c>
      <c r="U279" s="254">
        <v>0</v>
      </c>
      <c r="V279" s="231"/>
      <c r="W279" s="231"/>
      <c r="X279" s="5"/>
    </row>
    <row r="280" spans="1:24" ht="15.6" x14ac:dyDescent="0.3">
      <c r="A280" s="287"/>
      <c r="B280" s="337" t="s">
        <v>89</v>
      </c>
      <c r="C280" s="288"/>
      <c r="D280" s="288"/>
      <c r="E280" s="288"/>
      <c r="F280" s="288"/>
      <c r="G280" s="288"/>
      <c r="H280" s="391"/>
      <c r="I280" s="391"/>
      <c r="J280" s="391"/>
      <c r="K280" s="391"/>
      <c r="L280" s="391"/>
      <c r="M280" s="391"/>
      <c r="N280" s="391"/>
      <c r="O280" s="391"/>
      <c r="P280" s="391"/>
      <c r="Q280" s="391"/>
      <c r="R280" s="337">
        <v>0</v>
      </c>
      <c r="S280" s="390">
        <v>0</v>
      </c>
      <c r="T280" s="338">
        <v>0</v>
      </c>
      <c r="U280" s="390">
        <v>0</v>
      </c>
      <c r="V280" s="288"/>
      <c r="W280" s="291"/>
      <c r="X280" s="5"/>
    </row>
    <row r="281" spans="1:24" ht="15.6" x14ac:dyDescent="0.3">
      <c r="A281" s="287"/>
      <c r="B281" s="337" t="s">
        <v>90</v>
      </c>
      <c r="C281" s="288"/>
      <c r="D281" s="288"/>
      <c r="E281" s="288"/>
      <c r="F281" s="288"/>
      <c r="G281" s="288"/>
      <c r="H281" s="391"/>
      <c r="I281" s="391"/>
      <c r="J281" s="391"/>
      <c r="K281" s="391"/>
      <c r="L281" s="391"/>
      <c r="M281" s="391"/>
      <c r="N281" s="391"/>
      <c r="O281" s="391"/>
      <c r="P281" s="391"/>
      <c r="Q281" s="391"/>
      <c r="R281" s="337">
        <v>0</v>
      </c>
      <c r="S281" s="390">
        <v>0</v>
      </c>
      <c r="T281" s="338">
        <v>0</v>
      </c>
      <c r="U281" s="390">
        <v>0</v>
      </c>
      <c r="V281" s="288"/>
      <c r="W281" s="291"/>
      <c r="X281" s="5"/>
    </row>
    <row r="282" spans="1:24" ht="15.6" x14ac:dyDescent="0.3">
      <c r="A282" s="287"/>
      <c r="B282" s="337" t="s">
        <v>156</v>
      </c>
      <c r="C282" s="288"/>
      <c r="D282" s="288"/>
      <c r="E282" s="288"/>
      <c r="F282" s="288"/>
      <c r="G282" s="288"/>
      <c r="H282" s="391"/>
      <c r="I282" s="391"/>
      <c r="J282" s="391"/>
      <c r="K282" s="391"/>
      <c r="L282" s="391"/>
      <c r="M282" s="391"/>
      <c r="N282" s="391"/>
      <c r="O282" s="391"/>
      <c r="P282" s="391"/>
      <c r="Q282" s="391"/>
      <c r="R282" s="337">
        <v>0</v>
      </c>
      <c r="S282" s="390">
        <v>0</v>
      </c>
      <c r="T282" s="338">
        <v>0</v>
      </c>
      <c r="U282" s="390">
        <v>0</v>
      </c>
      <c r="V282" s="288"/>
      <c r="W282" s="291"/>
      <c r="X282" s="5"/>
    </row>
    <row r="283" spans="1:24" ht="15.6" x14ac:dyDescent="0.3">
      <c r="A283" s="287"/>
      <c r="B283" s="337" t="s">
        <v>157</v>
      </c>
      <c r="C283" s="288"/>
      <c r="D283" s="288"/>
      <c r="E283" s="288"/>
      <c r="F283" s="288"/>
      <c r="G283" s="288"/>
      <c r="H283" s="391"/>
      <c r="I283" s="391"/>
      <c r="J283" s="391"/>
      <c r="K283" s="391"/>
      <c r="L283" s="391"/>
      <c r="M283" s="391"/>
      <c r="N283" s="391"/>
      <c r="O283" s="391"/>
      <c r="P283" s="391"/>
      <c r="Q283" s="391"/>
      <c r="R283" s="337">
        <v>0</v>
      </c>
      <c r="S283" s="390">
        <v>0</v>
      </c>
      <c r="T283" s="338">
        <v>0</v>
      </c>
      <c r="U283" s="390">
        <v>0</v>
      </c>
      <c r="V283" s="288"/>
      <c r="W283" s="291"/>
      <c r="X283" s="5"/>
    </row>
    <row r="284" spans="1:24" ht="15.6" x14ac:dyDescent="0.3">
      <c r="A284" s="287"/>
      <c r="B284" s="337" t="s">
        <v>158</v>
      </c>
      <c r="C284" s="288"/>
      <c r="D284" s="288"/>
      <c r="E284" s="288"/>
      <c r="F284" s="288"/>
      <c r="G284" s="288"/>
      <c r="H284" s="391"/>
      <c r="I284" s="391"/>
      <c r="J284" s="391"/>
      <c r="K284" s="391"/>
      <c r="L284" s="391"/>
      <c r="M284" s="391"/>
      <c r="N284" s="391"/>
      <c r="O284" s="391"/>
      <c r="P284" s="391"/>
      <c r="Q284" s="391"/>
      <c r="R284" s="337">
        <v>0</v>
      </c>
      <c r="S284" s="390">
        <v>0</v>
      </c>
      <c r="T284" s="338">
        <v>0</v>
      </c>
      <c r="U284" s="390">
        <v>0</v>
      </c>
      <c r="V284" s="288"/>
      <c r="W284" s="291"/>
      <c r="X284" s="5"/>
    </row>
    <row r="285" spans="1:24" ht="15.6" x14ac:dyDescent="0.3">
      <c r="A285" s="287"/>
      <c r="B285" s="337" t="s">
        <v>159</v>
      </c>
      <c r="C285" s="288"/>
      <c r="D285" s="288"/>
      <c r="E285" s="288"/>
      <c r="F285" s="288"/>
      <c r="G285" s="288"/>
      <c r="H285" s="391"/>
      <c r="I285" s="391"/>
      <c r="J285" s="391"/>
      <c r="K285" s="391"/>
      <c r="L285" s="391"/>
      <c r="M285" s="391"/>
      <c r="N285" s="391"/>
      <c r="O285" s="391"/>
      <c r="P285" s="391"/>
      <c r="Q285" s="391"/>
      <c r="R285" s="337">
        <v>0</v>
      </c>
      <c r="S285" s="390">
        <v>0</v>
      </c>
      <c r="T285" s="338">
        <v>0</v>
      </c>
      <c r="U285" s="390">
        <v>0</v>
      </c>
      <c r="V285" s="288"/>
      <c r="W285" s="291"/>
      <c r="X285" s="5"/>
    </row>
    <row r="286" spans="1:24" ht="15.6" x14ac:dyDescent="0.3">
      <c r="A286" s="287"/>
      <c r="B286" s="337" t="s">
        <v>160</v>
      </c>
      <c r="C286" s="288"/>
      <c r="D286" s="288"/>
      <c r="E286" s="288"/>
      <c r="F286" s="288"/>
      <c r="G286" s="288"/>
      <c r="H286" s="391"/>
      <c r="I286" s="391"/>
      <c r="J286" s="391"/>
      <c r="K286" s="391"/>
      <c r="L286" s="391"/>
      <c r="M286" s="391"/>
      <c r="N286" s="391"/>
      <c r="O286" s="391"/>
      <c r="P286" s="391"/>
      <c r="Q286" s="391"/>
      <c r="R286" s="337">
        <v>1</v>
      </c>
      <c r="S286" s="390">
        <v>1</v>
      </c>
      <c r="T286" s="338">
        <v>52</v>
      </c>
      <c r="U286" s="390">
        <v>1</v>
      </c>
      <c r="V286" s="288"/>
      <c r="W286" s="291"/>
      <c r="X286" s="5"/>
    </row>
    <row r="287" spans="1:24" ht="15.6" x14ac:dyDescent="0.3">
      <c r="A287" s="287"/>
      <c r="B287" s="337"/>
      <c r="C287" s="288"/>
      <c r="D287" s="288"/>
      <c r="E287" s="288"/>
      <c r="F287" s="288"/>
      <c r="G287" s="288"/>
      <c r="H287" s="391"/>
      <c r="I287" s="391"/>
      <c r="J287" s="391"/>
      <c r="K287" s="391"/>
      <c r="L287" s="391"/>
      <c r="M287" s="391"/>
      <c r="N287" s="391"/>
      <c r="O287" s="391"/>
      <c r="P287" s="391"/>
      <c r="Q287" s="391"/>
      <c r="R287" s="337"/>
      <c r="S287" s="390"/>
      <c r="T287" s="338"/>
      <c r="U287" s="390"/>
      <c r="V287" s="288"/>
      <c r="W287" s="291"/>
      <c r="X287" s="5"/>
    </row>
    <row r="288" spans="1:24" ht="15.6" x14ac:dyDescent="0.3">
      <c r="A288" s="287"/>
      <c r="B288" s="288" t="s">
        <v>114</v>
      </c>
      <c r="C288" s="288"/>
      <c r="D288" s="288"/>
      <c r="E288" s="288"/>
      <c r="F288" s="288"/>
      <c r="G288" s="288"/>
      <c r="H288" s="391"/>
      <c r="I288" s="391"/>
      <c r="J288" s="391"/>
      <c r="K288" s="391"/>
      <c r="L288" s="391"/>
      <c r="M288" s="391"/>
      <c r="N288" s="391"/>
      <c r="O288" s="391"/>
      <c r="P288" s="391"/>
      <c r="Q288" s="391"/>
      <c r="R288" s="337">
        <f>SUM(R279:R286)</f>
        <v>1</v>
      </c>
      <c r="S288" s="390">
        <f>SUM(S279:S287)</f>
        <v>1</v>
      </c>
      <c r="T288" s="338">
        <f>SUM(T279:T286)</f>
        <v>52</v>
      </c>
      <c r="U288" s="390">
        <f>SUM(U279:U287)</f>
        <v>1</v>
      </c>
      <c r="V288" s="288"/>
      <c r="W288" s="291"/>
      <c r="X288" s="5"/>
    </row>
    <row r="289" spans="1:24" ht="15.6" x14ac:dyDescent="0.3">
      <c r="A289" s="287"/>
      <c r="B289" s="288"/>
      <c r="C289" s="288"/>
      <c r="D289" s="288"/>
      <c r="E289" s="288"/>
      <c r="F289" s="288"/>
      <c r="G289" s="288"/>
      <c r="H289" s="391"/>
      <c r="I289" s="391"/>
      <c r="J289" s="391"/>
      <c r="K289" s="391"/>
      <c r="L289" s="391"/>
      <c r="M289" s="391"/>
      <c r="N289" s="391"/>
      <c r="O289" s="391"/>
      <c r="P289" s="391"/>
      <c r="Q289" s="391"/>
      <c r="R289" s="337"/>
      <c r="S289" s="390"/>
      <c r="T289" s="338"/>
      <c r="U289" s="390"/>
      <c r="V289" s="288"/>
      <c r="W289" s="291"/>
      <c r="X289" s="5"/>
    </row>
    <row r="290" spans="1:24" ht="15.6" x14ac:dyDescent="0.3">
      <c r="A290" s="287"/>
      <c r="B290" s="295" t="s">
        <v>164</v>
      </c>
      <c r="C290" s="288"/>
      <c r="D290" s="288"/>
      <c r="E290" s="288"/>
      <c r="F290" s="288"/>
      <c r="G290" s="288"/>
      <c r="H290" s="391"/>
      <c r="I290" s="391"/>
      <c r="J290" s="391"/>
      <c r="K290" s="391"/>
      <c r="L290" s="391"/>
      <c r="M290" s="391"/>
      <c r="N290" s="391"/>
      <c r="O290" s="391"/>
      <c r="P290" s="391"/>
      <c r="Q290" s="391"/>
      <c r="R290" s="407">
        <f>R288+R276+R264</f>
        <v>7161</v>
      </c>
      <c r="S290" s="390"/>
      <c r="T290" s="396">
        <f>+T288+T276+T264</f>
        <v>988321</v>
      </c>
      <c r="U290" s="390"/>
      <c r="V290" s="288"/>
      <c r="W290" s="291"/>
      <c r="X290" s="5"/>
    </row>
    <row r="291" spans="1:24" ht="15.6" x14ac:dyDescent="0.3">
      <c r="A291" s="183"/>
      <c r="B291" s="284"/>
      <c r="C291" s="284"/>
      <c r="D291" s="284"/>
      <c r="E291" s="284"/>
      <c r="F291" s="284"/>
      <c r="G291" s="284"/>
      <c r="H291" s="392"/>
      <c r="I291" s="392"/>
      <c r="J291" s="392"/>
      <c r="K291" s="392"/>
      <c r="L291" s="392"/>
      <c r="M291" s="392"/>
      <c r="N291" s="392"/>
      <c r="O291" s="392"/>
      <c r="P291" s="392"/>
      <c r="Q291" s="392"/>
      <c r="R291" s="392"/>
      <c r="S291" s="392"/>
      <c r="T291" s="394"/>
      <c r="U291" s="392"/>
      <c r="V291" s="284"/>
      <c r="W291" s="284"/>
      <c r="X291" s="5"/>
    </row>
    <row r="292" spans="1:24" ht="15.6" x14ac:dyDescent="0.3">
      <c r="A292" s="183"/>
      <c r="B292" s="224"/>
      <c r="C292" s="224"/>
      <c r="D292" s="224"/>
      <c r="E292" s="224"/>
      <c r="F292" s="224"/>
      <c r="G292" s="224"/>
      <c r="H292" s="256"/>
      <c r="I292" s="256"/>
      <c r="J292" s="256"/>
      <c r="K292" s="256"/>
      <c r="L292" s="256"/>
      <c r="M292" s="256"/>
      <c r="N292" s="256"/>
      <c r="O292" s="256"/>
      <c r="P292" s="256"/>
      <c r="Q292" s="256"/>
      <c r="R292" s="256"/>
      <c r="S292" s="256"/>
      <c r="T292" s="257"/>
      <c r="U292" s="256"/>
      <c r="V292" s="224"/>
      <c r="W292" s="224"/>
      <c r="X292" s="5"/>
    </row>
    <row r="293" spans="1:24" ht="15.6" x14ac:dyDescent="0.3">
      <c r="A293" s="219"/>
      <c r="B293" s="222" t="s">
        <v>91</v>
      </c>
      <c r="C293" s="224"/>
      <c r="D293" s="224"/>
      <c r="E293" s="224"/>
      <c r="F293" s="228" t="s">
        <v>97</v>
      </c>
      <c r="G293" s="224"/>
      <c r="H293" s="222" t="s">
        <v>99</v>
      </c>
      <c r="I293" s="222"/>
      <c r="J293" s="222"/>
      <c r="K293" s="258"/>
      <c r="L293" s="258"/>
      <c r="M293" s="258"/>
      <c r="N293" s="258"/>
      <c r="O293" s="258"/>
      <c r="P293" s="258"/>
      <c r="Q293" s="258"/>
      <c r="R293" s="258"/>
      <c r="S293" s="258"/>
      <c r="T293" s="258"/>
      <c r="U293" s="258"/>
      <c r="V293" s="258"/>
      <c r="W293" s="258"/>
      <c r="X293" s="5"/>
    </row>
    <row r="294" spans="1:24" ht="15.6" x14ac:dyDescent="0.3">
      <c r="A294" s="219"/>
      <c r="B294" s="258"/>
      <c r="C294" s="224"/>
      <c r="D294" s="224"/>
      <c r="E294" s="224"/>
      <c r="F294" s="224"/>
      <c r="G294" s="224"/>
      <c r="H294" s="224"/>
      <c r="I294" s="224"/>
      <c r="J294" s="224"/>
      <c r="K294" s="258"/>
      <c r="L294" s="258"/>
      <c r="M294" s="258"/>
      <c r="N294" s="258"/>
      <c r="O294" s="258"/>
      <c r="P294" s="258"/>
      <c r="Q294" s="258"/>
      <c r="R294" s="258"/>
      <c r="S294" s="258"/>
      <c r="T294" s="258"/>
      <c r="U294" s="258"/>
      <c r="V294" s="258"/>
      <c r="W294" s="258"/>
      <c r="X294" s="5"/>
    </row>
    <row r="295" spans="1:24" ht="15.6" x14ac:dyDescent="0.3">
      <c r="A295" s="219"/>
      <c r="B295" s="222" t="s">
        <v>338</v>
      </c>
      <c r="C295" s="222"/>
      <c r="D295" s="222"/>
      <c r="E295" s="222"/>
      <c r="F295" s="259" t="s">
        <v>148</v>
      </c>
      <c r="G295" s="222"/>
      <c r="H295" s="222" t="s">
        <v>152</v>
      </c>
      <c r="I295" s="222"/>
      <c r="J295" s="222"/>
      <c r="K295" s="258"/>
      <c r="L295" s="258"/>
      <c r="M295" s="258"/>
      <c r="N295" s="258"/>
      <c r="O295" s="258"/>
      <c r="P295" s="258"/>
      <c r="Q295" s="258"/>
      <c r="R295" s="258"/>
      <c r="S295" s="258"/>
      <c r="T295" s="258"/>
      <c r="U295" s="258"/>
      <c r="V295" s="258"/>
      <c r="W295" s="258"/>
      <c r="X295" s="5"/>
    </row>
    <row r="296" spans="1:24" ht="15.6" x14ac:dyDescent="0.3">
      <c r="A296" s="219"/>
      <c r="B296" s="222" t="s">
        <v>339</v>
      </c>
      <c r="C296" s="222"/>
      <c r="D296" s="222"/>
      <c r="E296" s="222"/>
      <c r="F296" s="259" t="s">
        <v>278</v>
      </c>
      <c r="G296" s="222"/>
      <c r="H296" s="222" t="s">
        <v>279</v>
      </c>
      <c r="I296" s="258"/>
      <c r="J296" s="222"/>
      <c r="K296" s="258"/>
      <c r="L296" s="258"/>
      <c r="M296" s="258"/>
      <c r="N296" s="258"/>
      <c r="O296" s="258"/>
      <c r="P296" s="258"/>
      <c r="Q296" s="258"/>
      <c r="R296" s="258"/>
      <c r="S296" s="258"/>
      <c r="T296" s="258"/>
      <c r="U296" s="258"/>
      <c r="V296" s="258"/>
      <c r="W296" s="258"/>
      <c r="X296" s="5"/>
    </row>
    <row r="297" spans="1:24" ht="15.6" x14ac:dyDescent="0.3">
      <c r="A297" s="219"/>
      <c r="B297" s="222" t="s">
        <v>340</v>
      </c>
      <c r="C297" s="222"/>
      <c r="D297" s="222"/>
      <c r="E297" s="222"/>
      <c r="F297" s="259" t="s">
        <v>147</v>
      </c>
      <c r="G297" s="222"/>
      <c r="H297" s="222" t="s">
        <v>153</v>
      </c>
      <c r="I297" s="222"/>
      <c r="J297" s="222"/>
      <c r="K297" s="258"/>
      <c r="L297" s="258"/>
      <c r="M297" s="258"/>
      <c r="N297" s="258"/>
      <c r="O297" s="258"/>
      <c r="P297" s="258"/>
      <c r="Q297" s="258"/>
      <c r="R297" s="258"/>
      <c r="S297" s="258"/>
      <c r="T297" s="258"/>
      <c r="U297" s="258"/>
      <c r="V297" s="258"/>
      <c r="W297" s="258"/>
      <c r="X297" s="5"/>
    </row>
    <row r="298" spans="1:24" ht="15.6" x14ac:dyDescent="0.3">
      <c r="A298" s="219"/>
      <c r="B298" s="222"/>
      <c r="C298" s="222"/>
      <c r="D298" s="222"/>
      <c r="E298" s="222"/>
      <c r="F298" s="222"/>
      <c r="G298" s="260"/>
      <c r="H298" s="258"/>
      <c r="I298" s="258"/>
      <c r="J298" s="258"/>
      <c r="K298" s="258"/>
      <c r="L298" s="258"/>
      <c r="M298" s="258"/>
      <c r="N298" s="258"/>
      <c r="O298" s="258"/>
      <c r="P298" s="258"/>
      <c r="Q298" s="258"/>
      <c r="R298" s="258"/>
      <c r="S298" s="258"/>
      <c r="T298" s="258"/>
      <c r="U298" s="258"/>
      <c r="V298" s="258"/>
      <c r="W298" s="258"/>
      <c r="X298" s="5"/>
    </row>
    <row r="299" spans="1:24" ht="15.6" x14ac:dyDescent="0.3">
      <c r="A299" s="219"/>
      <c r="B299" s="222"/>
      <c r="C299" s="222"/>
      <c r="D299" s="222"/>
      <c r="E299" s="222"/>
      <c r="F299" s="222"/>
      <c r="G299" s="260"/>
      <c r="H299" s="258"/>
      <c r="I299" s="258"/>
      <c r="J299" s="258"/>
      <c r="K299" s="258"/>
      <c r="L299" s="258"/>
      <c r="M299" s="258"/>
      <c r="N299" s="258"/>
      <c r="O299" s="258"/>
      <c r="P299" s="258"/>
      <c r="Q299" s="258"/>
      <c r="R299" s="258"/>
      <c r="S299" s="258"/>
      <c r="T299" s="258"/>
      <c r="U299" s="258"/>
      <c r="V299" s="258"/>
      <c r="W299" s="258"/>
      <c r="X299" s="5"/>
    </row>
    <row r="300" spans="1:24" ht="18" thickBot="1" x14ac:dyDescent="0.35">
      <c r="A300" s="219"/>
      <c r="B300" s="261" t="str">
        <f>B204</f>
        <v>PM14 INVESTOR REPORT QUARTER ENDING NOVEMBER 2015</v>
      </c>
      <c r="C300" s="222"/>
      <c r="D300" s="222"/>
      <c r="E300" s="222"/>
      <c r="F300" s="222"/>
      <c r="G300" s="260"/>
      <c r="H300" s="258"/>
      <c r="I300" s="258"/>
      <c r="J300" s="258"/>
      <c r="K300" s="258"/>
      <c r="L300" s="258"/>
      <c r="M300" s="258"/>
      <c r="N300" s="258"/>
      <c r="O300" s="258"/>
      <c r="P300" s="258"/>
      <c r="Q300" s="258"/>
      <c r="R300" s="258"/>
      <c r="S300" s="258"/>
      <c r="T300" s="258"/>
      <c r="U300" s="258"/>
      <c r="V300" s="258"/>
      <c r="W300" s="258"/>
      <c r="X300" s="5"/>
    </row>
    <row r="301" spans="1:24" x14ac:dyDescent="0.25">
      <c r="A301" s="100"/>
      <c r="B301" s="100"/>
      <c r="C301" s="100"/>
      <c r="D301" s="100"/>
      <c r="E301" s="100"/>
      <c r="F301" s="100"/>
      <c r="G301" s="100"/>
      <c r="H301" s="100"/>
      <c r="I301" s="100"/>
      <c r="J301" s="100"/>
      <c r="K301" s="100"/>
      <c r="L301" s="100"/>
      <c r="M301" s="100"/>
      <c r="N301" s="100"/>
      <c r="O301" s="100"/>
      <c r="P301" s="100"/>
      <c r="Q301" s="100"/>
      <c r="R301" s="100"/>
      <c r="S301" s="100"/>
      <c r="T301" s="100"/>
      <c r="U301" s="100"/>
      <c r="V301" s="100"/>
      <c r="W301" s="100"/>
    </row>
  </sheetData>
  <hyperlinks>
    <hyperlink ref="P240" r:id="rId1" xr:uid="{00000000-0004-0000-2100-000000000000}"/>
    <hyperlink ref="I9" r:id="rId2" xr:uid="{00000000-0004-0000-21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8" max="14" man="1"/>
    <brk id="204" max="14" man="1"/>
  </rowBreaks>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6"/>
  </sheetPr>
  <dimension ref="A1:IV301"/>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80"/>
      <c r="B1" s="220" t="s">
        <v>244</v>
      </c>
      <c r="C1" s="181"/>
      <c r="D1" s="181"/>
      <c r="E1" s="181"/>
      <c r="F1" s="181"/>
      <c r="G1" s="181"/>
      <c r="H1" s="181"/>
      <c r="I1" s="181"/>
      <c r="J1" s="181"/>
      <c r="K1" s="181"/>
      <c r="L1" s="181"/>
      <c r="M1" s="181"/>
      <c r="N1" s="181"/>
      <c r="O1" s="181"/>
      <c r="P1" s="181"/>
      <c r="Q1" s="181"/>
      <c r="R1" s="181"/>
      <c r="S1" s="181"/>
      <c r="T1" s="181"/>
      <c r="U1" s="181"/>
      <c r="V1" s="181"/>
      <c r="W1" s="181"/>
      <c r="X1" s="5"/>
    </row>
    <row r="2" spans="1:24" ht="15.6" x14ac:dyDescent="0.3">
      <c r="A2" s="183"/>
      <c r="B2" s="184"/>
      <c r="C2" s="185"/>
      <c r="D2" s="185"/>
      <c r="E2" s="185"/>
      <c r="F2" s="185"/>
      <c r="G2" s="185"/>
      <c r="H2" s="185"/>
      <c r="I2" s="185"/>
      <c r="J2" s="185"/>
      <c r="K2" s="185"/>
      <c r="L2" s="185"/>
      <c r="M2" s="185"/>
      <c r="N2" s="185"/>
      <c r="O2" s="185"/>
      <c r="P2" s="185"/>
      <c r="Q2" s="185"/>
      <c r="R2" s="185"/>
      <c r="S2" s="185"/>
      <c r="T2" s="185"/>
      <c r="U2" s="185"/>
      <c r="V2" s="185"/>
      <c r="W2" s="185"/>
      <c r="X2" s="5"/>
    </row>
    <row r="3" spans="1:24" ht="15.6" x14ac:dyDescent="0.3">
      <c r="A3" s="186"/>
      <c r="B3" s="187" t="s">
        <v>245</v>
      </c>
      <c r="C3" s="185"/>
      <c r="D3" s="185"/>
      <c r="E3" s="185"/>
      <c r="F3" s="185"/>
      <c r="G3" s="185"/>
      <c r="H3" s="185"/>
      <c r="I3" s="185"/>
      <c r="J3" s="185"/>
      <c r="K3" s="185"/>
      <c r="L3" s="185"/>
      <c r="M3" s="185"/>
      <c r="N3" s="185"/>
      <c r="O3" s="185"/>
      <c r="P3" s="185"/>
      <c r="Q3" s="185"/>
      <c r="R3" s="185"/>
      <c r="S3" s="185"/>
      <c r="T3" s="185"/>
      <c r="U3" s="185"/>
      <c r="V3" s="185"/>
      <c r="W3" s="185"/>
      <c r="X3" s="5"/>
    </row>
    <row r="4" spans="1:24" ht="15.6" x14ac:dyDescent="0.3">
      <c r="A4" s="183"/>
      <c r="B4" s="184"/>
      <c r="C4" s="185"/>
      <c r="D4" s="185"/>
      <c r="E4" s="185"/>
      <c r="F4" s="185"/>
      <c r="G4" s="185"/>
      <c r="H4" s="185"/>
      <c r="I4" s="185"/>
      <c r="J4" s="185"/>
      <c r="K4" s="185"/>
      <c r="L4" s="185"/>
      <c r="M4" s="185"/>
      <c r="N4" s="185"/>
      <c r="O4" s="185"/>
      <c r="P4" s="185"/>
      <c r="Q4" s="185"/>
      <c r="R4" s="185"/>
      <c r="S4" s="185"/>
      <c r="T4" s="185"/>
      <c r="U4" s="185"/>
      <c r="V4" s="185"/>
      <c r="W4" s="185"/>
      <c r="X4" s="5"/>
    </row>
    <row r="5" spans="1:24" ht="15.6" x14ac:dyDescent="0.3">
      <c r="A5" s="183"/>
      <c r="B5" s="221" t="s">
        <v>137</v>
      </c>
      <c r="C5" s="185"/>
      <c r="D5" s="185"/>
      <c r="E5" s="185"/>
      <c r="F5" s="185"/>
      <c r="G5" s="185"/>
      <c r="H5" s="185"/>
      <c r="I5" s="185"/>
      <c r="J5" s="185"/>
      <c r="K5" s="185"/>
      <c r="L5" s="185"/>
      <c r="M5" s="185"/>
      <c r="N5" s="185"/>
      <c r="O5" s="185"/>
      <c r="P5" s="185"/>
      <c r="Q5" s="185"/>
      <c r="R5" s="185"/>
      <c r="S5" s="185"/>
      <c r="T5" s="185"/>
      <c r="U5" s="185"/>
      <c r="V5" s="185"/>
      <c r="W5" s="185"/>
      <c r="X5" s="5"/>
    </row>
    <row r="6" spans="1:24" ht="15.6" x14ac:dyDescent="0.3">
      <c r="A6" s="183"/>
      <c r="B6" s="221" t="s">
        <v>139</v>
      </c>
      <c r="C6" s="185"/>
      <c r="D6" s="185"/>
      <c r="E6" s="185"/>
      <c r="F6" s="185"/>
      <c r="G6" s="185"/>
      <c r="H6" s="185"/>
      <c r="I6" s="185"/>
      <c r="J6" s="185"/>
      <c r="K6" s="185"/>
      <c r="L6" s="185"/>
      <c r="M6" s="185"/>
      <c r="N6" s="185"/>
      <c r="O6" s="185"/>
      <c r="P6" s="185"/>
      <c r="Q6" s="185"/>
      <c r="R6" s="185"/>
      <c r="S6" s="185"/>
      <c r="T6" s="185"/>
      <c r="U6" s="185"/>
      <c r="V6" s="185"/>
      <c r="W6" s="185"/>
      <c r="X6" s="5"/>
    </row>
    <row r="7" spans="1:24" ht="15.6" x14ac:dyDescent="0.3">
      <c r="A7" s="183"/>
      <c r="B7" s="221" t="s">
        <v>138</v>
      </c>
      <c r="C7" s="185"/>
      <c r="D7" s="185"/>
      <c r="E7" s="185"/>
      <c r="F7" s="185"/>
      <c r="G7" s="185"/>
      <c r="H7" s="185"/>
      <c r="I7" s="185"/>
      <c r="J7" s="185"/>
      <c r="K7" s="185"/>
      <c r="L7" s="185"/>
      <c r="M7" s="185"/>
      <c r="N7" s="185"/>
      <c r="O7" s="185"/>
      <c r="P7" s="185"/>
      <c r="Q7" s="185"/>
      <c r="R7" s="185"/>
      <c r="S7" s="185"/>
      <c r="T7" s="185"/>
      <c r="U7" s="185"/>
      <c r="V7" s="185"/>
      <c r="W7" s="185"/>
      <c r="X7" s="5"/>
    </row>
    <row r="8" spans="1:24" ht="15.6" x14ac:dyDescent="0.3">
      <c r="A8" s="183"/>
      <c r="B8" s="188"/>
      <c r="C8" s="185"/>
      <c r="D8" s="185"/>
      <c r="E8" s="185"/>
      <c r="F8" s="185"/>
      <c r="G8" s="185"/>
      <c r="H8" s="185"/>
      <c r="I8" s="185"/>
      <c r="J8" s="185"/>
      <c r="K8" s="185"/>
      <c r="L8" s="185"/>
      <c r="M8" s="185"/>
      <c r="N8" s="185"/>
      <c r="O8" s="185"/>
      <c r="P8" s="185"/>
      <c r="Q8" s="185"/>
      <c r="R8" s="185"/>
      <c r="S8" s="185"/>
      <c r="T8" s="185"/>
      <c r="U8" s="185"/>
      <c r="V8" s="185"/>
      <c r="W8" s="185"/>
      <c r="X8" s="5"/>
    </row>
    <row r="9" spans="1:24" ht="17.399999999999999" x14ac:dyDescent="0.3">
      <c r="A9" s="183"/>
      <c r="B9" s="189" t="s">
        <v>166</v>
      </c>
      <c r="C9" s="185"/>
      <c r="D9" s="185"/>
      <c r="E9" s="185"/>
      <c r="F9" s="185"/>
      <c r="G9" s="185"/>
      <c r="H9" s="185"/>
      <c r="I9" s="190" t="s">
        <v>167</v>
      </c>
      <c r="J9" s="185"/>
      <c r="K9" s="185"/>
      <c r="L9" s="190"/>
      <c r="M9" s="185"/>
      <c r="N9" s="190"/>
      <c r="O9" s="185"/>
      <c r="P9" s="185"/>
      <c r="Q9" s="185"/>
      <c r="R9" s="185"/>
      <c r="S9" s="185"/>
      <c r="T9" s="185"/>
      <c r="U9" s="185"/>
      <c r="V9" s="185"/>
      <c r="W9" s="185"/>
      <c r="X9" s="5"/>
    </row>
    <row r="10" spans="1:24" ht="15.6" x14ac:dyDescent="0.3">
      <c r="A10" s="183"/>
      <c r="B10" s="188"/>
      <c r="C10" s="191"/>
      <c r="D10" s="191"/>
      <c r="E10" s="191"/>
      <c r="F10" s="185"/>
      <c r="G10" s="185"/>
      <c r="H10" s="185"/>
      <c r="I10" s="185"/>
      <c r="J10" s="185"/>
      <c r="K10" s="185"/>
      <c r="L10" s="185"/>
      <c r="M10" s="185"/>
      <c r="N10" s="185"/>
      <c r="O10" s="185"/>
      <c r="P10" s="185"/>
      <c r="Q10" s="185"/>
      <c r="R10" s="185"/>
      <c r="S10" s="185"/>
      <c r="T10" s="185"/>
      <c r="U10" s="185"/>
      <c r="V10" s="185"/>
      <c r="W10" s="185"/>
      <c r="X10" s="5"/>
    </row>
    <row r="11" spans="1:24" ht="15.6" x14ac:dyDescent="0.3">
      <c r="A11" s="183"/>
      <c r="B11" s="222" t="s">
        <v>0</v>
      </c>
      <c r="C11" s="185"/>
      <c r="D11" s="185"/>
      <c r="E11" s="185"/>
      <c r="F11" s="185"/>
      <c r="G11" s="185"/>
      <c r="H11" s="185"/>
      <c r="I11" s="185"/>
      <c r="J11" s="185"/>
      <c r="K11" s="185"/>
      <c r="L11" s="185"/>
      <c r="M11" s="185"/>
      <c r="N11" s="185"/>
      <c r="O11" s="185"/>
      <c r="P11" s="185"/>
      <c r="Q11" s="185"/>
      <c r="R11" s="185"/>
      <c r="S11" s="185"/>
      <c r="T11" s="185"/>
      <c r="U11" s="185"/>
      <c r="V11" s="185"/>
      <c r="W11" s="185"/>
      <c r="X11" s="5"/>
    </row>
    <row r="12" spans="1:24" ht="16.2" thickBot="1" x14ac:dyDescent="0.35">
      <c r="A12" s="183"/>
      <c r="B12" s="191"/>
      <c r="C12" s="185"/>
      <c r="D12" s="185"/>
      <c r="E12" s="185"/>
      <c r="F12" s="185"/>
      <c r="G12" s="185"/>
      <c r="H12" s="185"/>
      <c r="I12" s="185"/>
      <c r="J12" s="185"/>
      <c r="K12" s="185"/>
      <c r="L12" s="185"/>
      <c r="M12" s="185"/>
      <c r="N12" s="185"/>
      <c r="O12" s="185"/>
      <c r="P12" s="185"/>
      <c r="Q12" s="185"/>
      <c r="R12" s="185"/>
      <c r="S12" s="185"/>
      <c r="T12" s="185"/>
      <c r="U12" s="185"/>
      <c r="V12" s="185"/>
      <c r="W12" s="185"/>
      <c r="X12" s="5"/>
    </row>
    <row r="13" spans="1:24" ht="15.6" x14ac:dyDescent="0.3">
      <c r="A13" s="180"/>
      <c r="B13" s="181"/>
      <c r="C13" s="181"/>
      <c r="D13" s="181"/>
      <c r="E13" s="181"/>
      <c r="F13" s="181"/>
      <c r="G13" s="181"/>
      <c r="H13" s="181"/>
      <c r="I13" s="181"/>
      <c r="J13" s="181"/>
      <c r="K13" s="181"/>
      <c r="L13" s="181"/>
      <c r="M13" s="181"/>
      <c r="N13" s="181"/>
      <c r="O13" s="181"/>
      <c r="P13" s="181"/>
      <c r="Q13" s="181"/>
      <c r="R13" s="181"/>
      <c r="S13" s="181"/>
      <c r="T13" s="181"/>
      <c r="U13" s="181"/>
      <c r="V13" s="181"/>
      <c r="W13" s="181"/>
      <c r="X13" s="5"/>
    </row>
    <row r="14" spans="1:24" ht="15.6" x14ac:dyDescent="0.3">
      <c r="A14" s="183"/>
      <c r="B14" s="222" t="s">
        <v>1</v>
      </c>
      <c r="C14" s="192"/>
      <c r="D14" s="192"/>
      <c r="E14" s="192"/>
      <c r="F14" s="192"/>
      <c r="G14" s="192"/>
      <c r="H14" s="192"/>
      <c r="I14" s="192"/>
      <c r="J14" s="192"/>
      <c r="K14" s="192"/>
      <c r="L14" s="192"/>
      <c r="M14" s="192"/>
      <c r="N14" s="192"/>
      <c r="O14" s="192"/>
      <c r="P14" s="192"/>
      <c r="Q14" s="192"/>
      <c r="R14" s="224"/>
      <c r="S14" s="224"/>
      <c r="T14" s="224"/>
      <c r="U14" s="224"/>
      <c r="V14" s="225" t="s">
        <v>246</v>
      </c>
      <c r="W14" s="192"/>
      <c r="X14" s="5"/>
    </row>
    <row r="15" spans="1:24" ht="15.6" x14ac:dyDescent="0.3">
      <c r="A15" s="183"/>
      <c r="B15" s="222" t="s">
        <v>2</v>
      </c>
      <c r="C15" s="192"/>
      <c r="D15" s="192"/>
      <c r="E15" s="192"/>
      <c r="F15" s="192"/>
      <c r="G15" s="192"/>
      <c r="H15" s="193"/>
      <c r="I15" s="193"/>
      <c r="J15" s="193"/>
      <c r="K15" s="193"/>
      <c r="L15" s="193"/>
      <c r="M15" s="193"/>
      <c r="N15" s="193"/>
      <c r="O15" s="193"/>
      <c r="P15" s="193"/>
      <c r="Q15" s="193"/>
      <c r="R15" s="226" t="s">
        <v>104</v>
      </c>
      <c r="S15" s="227">
        <v>0.38300000000000001</v>
      </c>
      <c r="T15" s="228" t="s">
        <v>140</v>
      </c>
      <c r="U15" s="227">
        <v>0.61699999999999999</v>
      </c>
      <c r="V15" s="225"/>
      <c r="W15" s="192"/>
      <c r="X15" s="5"/>
    </row>
    <row r="16" spans="1:24" ht="15.6" x14ac:dyDescent="0.3">
      <c r="A16" s="183"/>
      <c r="B16" s="222" t="s">
        <v>3</v>
      </c>
      <c r="C16" s="192"/>
      <c r="D16" s="192"/>
      <c r="E16" s="192"/>
      <c r="F16" s="192"/>
      <c r="G16" s="192"/>
      <c r="H16" s="193"/>
      <c r="I16" s="193"/>
      <c r="J16" s="193"/>
      <c r="K16" s="193"/>
      <c r="L16" s="193"/>
      <c r="M16" s="193"/>
      <c r="N16" s="193"/>
      <c r="O16" s="193"/>
      <c r="P16" s="193"/>
      <c r="Q16" s="193"/>
      <c r="R16" s="226" t="s">
        <v>104</v>
      </c>
      <c r="S16" s="227">
        <v>0.47460000000000002</v>
      </c>
      <c r="T16" s="228" t="s">
        <v>140</v>
      </c>
      <c r="U16" s="227">
        <v>0.52539999999999998</v>
      </c>
      <c r="V16" s="225"/>
      <c r="W16" s="192"/>
      <c r="X16" s="5"/>
    </row>
    <row r="17" spans="1:24" ht="15.6" x14ac:dyDescent="0.3">
      <c r="A17" s="183"/>
      <c r="B17" s="222" t="s">
        <v>4</v>
      </c>
      <c r="C17" s="192"/>
      <c r="D17" s="192"/>
      <c r="E17" s="192"/>
      <c r="F17" s="192"/>
      <c r="G17" s="192"/>
      <c r="H17" s="192"/>
      <c r="I17" s="192"/>
      <c r="J17" s="192"/>
      <c r="K17" s="192"/>
      <c r="L17" s="192"/>
      <c r="M17" s="192"/>
      <c r="N17" s="192"/>
      <c r="O17" s="192"/>
      <c r="P17" s="192"/>
      <c r="Q17" s="192"/>
      <c r="R17" s="224"/>
      <c r="S17" s="224"/>
      <c r="T17" s="224"/>
      <c r="U17" s="224"/>
      <c r="V17" s="229">
        <v>39163</v>
      </c>
      <c r="W17" s="192"/>
      <c r="X17" s="5"/>
    </row>
    <row r="18" spans="1:24" ht="15.6" x14ac:dyDescent="0.3">
      <c r="A18" s="183"/>
      <c r="B18" s="222" t="s">
        <v>5</v>
      </c>
      <c r="C18" s="192"/>
      <c r="D18" s="192"/>
      <c r="E18" s="192"/>
      <c r="F18" s="192"/>
      <c r="G18" s="192"/>
      <c r="H18" s="192"/>
      <c r="I18" s="192"/>
      <c r="J18" s="192"/>
      <c r="K18" s="192"/>
      <c r="L18" s="192"/>
      <c r="M18" s="192"/>
      <c r="N18" s="192"/>
      <c r="O18" s="192"/>
      <c r="P18" s="192"/>
      <c r="Q18" s="192"/>
      <c r="R18" s="224"/>
      <c r="S18" s="224"/>
      <c r="T18" s="224"/>
      <c r="U18" s="224"/>
      <c r="V18" s="229">
        <v>42450</v>
      </c>
      <c r="W18" s="192"/>
      <c r="X18" s="5"/>
    </row>
    <row r="19" spans="1:24" ht="15.6" x14ac:dyDescent="0.3">
      <c r="A19" s="183"/>
      <c r="B19" s="185"/>
      <c r="C19" s="185"/>
      <c r="D19" s="185"/>
      <c r="E19" s="185"/>
      <c r="F19" s="185"/>
      <c r="G19" s="185"/>
      <c r="H19" s="185"/>
      <c r="I19" s="185"/>
      <c r="J19" s="185"/>
      <c r="K19" s="185"/>
      <c r="L19" s="185"/>
      <c r="M19" s="185"/>
      <c r="N19" s="185"/>
      <c r="O19" s="185"/>
      <c r="P19" s="185"/>
      <c r="Q19" s="185"/>
      <c r="R19" s="185"/>
      <c r="S19" s="185"/>
      <c r="T19" s="185"/>
      <c r="U19" s="185"/>
      <c r="V19" s="194"/>
      <c r="W19" s="185"/>
      <c r="X19" s="5"/>
    </row>
    <row r="20" spans="1:24" ht="15.6" x14ac:dyDescent="0.3">
      <c r="A20" s="183"/>
      <c r="B20" s="230" t="s">
        <v>6</v>
      </c>
      <c r="C20" s="185"/>
      <c r="D20" s="185"/>
      <c r="E20" s="185"/>
      <c r="F20" s="185"/>
      <c r="G20" s="185"/>
      <c r="H20" s="185"/>
      <c r="I20" s="185"/>
      <c r="J20" s="185"/>
      <c r="K20" s="185"/>
      <c r="L20" s="185"/>
      <c r="M20" s="185"/>
      <c r="N20" s="185"/>
      <c r="O20" s="185"/>
      <c r="P20" s="185"/>
      <c r="Q20" s="185"/>
      <c r="R20" s="185"/>
      <c r="S20" s="185"/>
      <c r="T20" s="223" t="s">
        <v>105</v>
      </c>
      <c r="U20" s="185"/>
      <c r="V20" s="182"/>
      <c r="W20" s="185"/>
      <c r="X20" s="5"/>
    </row>
    <row r="21" spans="1:24" ht="15.6" x14ac:dyDescent="0.3">
      <c r="A21" s="183"/>
      <c r="B21" s="185"/>
      <c r="C21" s="185"/>
      <c r="D21" s="185"/>
      <c r="E21" s="185"/>
      <c r="F21" s="185"/>
      <c r="G21" s="185"/>
      <c r="H21" s="185"/>
      <c r="I21" s="185"/>
      <c r="J21" s="185"/>
      <c r="K21" s="185"/>
      <c r="L21" s="185"/>
      <c r="M21" s="185"/>
      <c r="N21" s="185"/>
      <c r="O21" s="185"/>
      <c r="P21" s="185"/>
      <c r="Q21" s="185"/>
      <c r="R21" s="185"/>
      <c r="S21" s="185"/>
      <c r="T21" s="185"/>
      <c r="U21" s="185"/>
      <c r="V21" s="196"/>
      <c r="W21" s="185"/>
      <c r="X21" s="5"/>
    </row>
    <row r="22" spans="1:24" ht="15.6" x14ac:dyDescent="0.3">
      <c r="A22" s="262"/>
      <c r="B22" s="263"/>
      <c r="C22" s="264"/>
      <c r="D22" s="264" t="s">
        <v>177</v>
      </c>
      <c r="E22" s="264"/>
      <c r="F22" s="264" t="s">
        <v>178</v>
      </c>
      <c r="G22" s="264"/>
      <c r="H22" s="264" t="s">
        <v>179</v>
      </c>
      <c r="I22" s="264"/>
      <c r="J22" s="264" t="s">
        <v>220</v>
      </c>
      <c r="K22" s="264"/>
      <c r="L22" s="264" t="s">
        <v>180</v>
      </c>
      <c r="M22" s="264"/>
      <c r="N22" s="264" t="s">
        <v>181</v>
      </c>
      <c r="O22" s="264"/>
      <c r="P22" s="264" t="s">
        <v>221</v>
      </c>
      <c r="Q22" s="264"/>
      <c r="R22" s="264" t="s">
        <v>182</v>
      </c>
      <c r="S22" s="266"/>
      <c r="T22" s="266"/>
      <c r="U22" s="267"/>
      <c r="V22" s="267"/>
      <c r="W22" s="263"/>
      <c r="X22" s="5"/>
    </row>
    <row r="23" spans="1:24" ht="15.6" x14ac:dyDescent="0.3">
      <c r="A23" s="287"/>
      <c r="B23" s="288" t="s">
        <v>7</v>
      </c>
      <c r="C23" s="289"/>
      <c r="D23" s="289" t="s">
        <v>213</v>
      </c>
      <c r="E23" s="289"/>
      <c r="F23" s="289" t="s">
        <v>141</v>
      </c>
      <c r="G23" s="289"/>
      <c r="H23" s="289" t="s">
        <v>141</v>
      </c>
      <c r="I23" s="289"/>
      <c r="J23" s="289" t="s">
        <v>141</v>
      </c>
      <c r="K23" s="289"/>
      <c r="L23" s="289" t="s">
        <v>183</v>
      </c>
      <c r="M23" s="289"/>
      <c r="N23" s="289" t="s">
        <v>183</v>
      </c>
      <c r="O23" s="289"/>
      <c r="P23" s="289" t="s">
        <v>142</v>
      </c>
      <c r="Q23" s="289"/>
      <c r="R23" s="289" t="s">
        <v>142</v>
      </c>
      <c r="S23" s="289"/>
      <c r="T23" s="289"/>
      <c r="U23" s="290"/>
      <c r="V23" s="290"/>
      <c r="W23" s="291"/>
      <c r="X23" s="5"/>
    </row>
    <row r="24" spans="1:24" ht="15.6" x14ac:dyDescent="0.3">
      <c r="A24" s="287"/>
      <c r="B24" s="288" t="s">
        <v>8</v>
      </c>
      <c r="C24" s="289"/>
      <c r="D24" s="289" t="s">
        <v>214</v>
      </c>
      <c r="E24" s="289"/>
      <c r="F24" s="289" t="s">
        <v>143</v>
      </c>
      <c r="G24" s="289"/>
      <c r="H24" s="289" t="s">
        <v>143</v>
      </c>
      <c r="I24" s="289"/>
      <c r="J24" s="289" t="s">
        <v>143</v>
      </c>
      <c r="K24" s="289"/>
      <c r="L24" s="289" t="s">
        <v>165</v>
      </c>
      <c r="M24" s="289"/>
      <c r="N24" s="289" t="s">
        <v>165</v>
      </c>
      <c r="O24" s="289"/>
      <c r="P24" s="289" t="s">
        <v>144</v>
      </c>
      <c r="Q24" s="289"/>
      <c r="R24" s="289" t="s">
        <v>144</v>
      </c>
      <c r="S24" s="289"/>
      <c r="T24" s="289"/>
      <c r="U24" s="290"/>
      <c r="V24" s="290"/>
      <c r="W24" s="291"/>
      <c r="X24" s="5"/>
    </row>
    <row r="25" spans="1:24" ht="15.6" x14ac:dyDescent="0.3">
      <c r="A25" s="292"/>
      <c r="B25" s="288" t="s">
        <v>190</v>
      </c>
      <c r="C25" s="398"/>
      <c r="D25" s="289" t="s">
        <v>215</v>
      </c>
      <c r="E25" s="289"/>
      <c r="F25" s="289" t="s">
        <v>143</v>
      </c>
      <c r="G25" s="289"/>
      <c r="H25" s="289" t="s">
        <v>143</v>
      </c>
      <c r="I25" s="289"/>
      <c r="J25" s="289" t="s">
        <v>143</v>
      </c>
      <c r="K25" s="289"/>
      <c r="L25" s="289" t="s">
        <v>293</v>
      </c>
      <c r="M25" s="289"/>
      <c r="N25" s="289" t="s">
        <v>293</v>
      </c>
      <c r="O25" s="289"/>
      <c r="P25" s="289" t="s">
        <v>144</v>
      </c>
      <c r="Q25" s="289"/>
      <c r="R25" s="289" t="s">
        <v>144</v>
      </c>
      <c r="S25" s="398"/>
      <c r="T25" s="289"/>
      <c r="U25" s="290"/>
      <c r="V25" s="290"/>
      <c r="W25" s="291"/>
      <c r="X25" s="5"/>
    </row>
    <row r="26" spans="1:24" ht="15.6" x14ac:dyDescent="0.3">
      <c r="A26" s="292"/>
      <c r="B26" s="295" t="s">
        <v>9</v>
      </c>
      <c r="C26" s="398"/>
      <c r="D26" s="398" t="s">
        <v>332</v>
      </c>
      <c r="E26" s="398"/>
      <c r="F26" s="398" t="s">
        <v>333</v>
      </c>
      <c r="G26" s="398"/>
      <c r="H26" s="398" t="s">
        <v>333</v>
      </c>
      <c r="I26" s="398"/>
      <c r="J26" s="398" t="s">
        <v>333</v>
      </c>
      <c r="K26" s="398"/>
      <c r="L26" s="398" t="s">
        <v>333</v>
      </c>
      <c r="M26" s="398"/>
      <c r="N26" s="398" t="s">
        <v>333</v>
      </c>
      <c r="O26" s="398"/>
      <c r="P26" s="398" t="s">
        <v>334</v>
      </c>
      <c r="Q26" s="398"/>
      <c r="R26" s="398" t="s">
        <v>334</v>
      </c>
      <c r="S26" s="398"/>
      <c r="T26" s="289"/>
      <c r="U26" s="290"/>
      <c r="V26" s="290"/>
      <c r="W26" s="291"/>
      <c r="X26" s="5"/>
    </row>
    <row r="27" spans="1:24" ht="15.6" x14ac:dyDescent="0.3">
      <c r="A27" s="287"/>
      <c r="B27" s="295" t="s">
        <v>191</v>
      </c>
      <c r="C27" s="289"/>
      <c r="D27" s="398" t="s">
        <v>352</v>
      </c>
      <c r="E27" s="398"/>
      <c r="F27" s="398" t="s">
        <v>143</v>
      </c>
      <c r="G27" s="398"/>
      <c r="H27" s="398" t="s">
        <v>143</v>
      </c>
      <c r="I27" s="398"/>
      <c r="J27" s="398" t="s">
        <v>143</v>
      </c>
      <c r="K27" s="398"/>
      <c r="L27" s="398" t="s">
        <v>319</v>
      </c>
      <c r="M27" s="398"/>
      <c r="N27" s="398" t="s">
        <v>319</v>
      </c>
      <c r="O27" s="398"/>
      <c r="P27" s="398" t="s">
        <v>320</v>
      </c>
      <c r="Q27" s="398"/>
      <c r="R27" s="398" t="s">
        <v>320</v>
      </c>
      <c r="S27" s="289"/>
      <c r="T27" s="296"/>
      <c r="U27" s="290"/>
      <c r="V27" s="290"/>
      <c r="W27" s="291"/>
      <c r="X27" s="5"/>
    </row>
    <row r="28" spans="1:24" ht="15.6" x14ac:dyDescent="0.3">
      <c r="A28" s="287"/>
      <c r="B28" s="295" t="s">
        <v>192</v>
      </c>
      <c r="C28" s="289"/>
      <c r="D28" s="398" t="s">
        <v>350</v>
      </c>
      <c r="E28" s="398"/>
      <c r="F28" s="398" t="s">
        <v>143</v>
      </c>
      <c r="G28" s="398"/>
      <c r="H28" s="398" t="s">
        <v>143</v>
      </c>
      <c r="I28" s="398"/>
      <c r="J28" s="398" t="s">
        <v>143</v>
      </c>
      <c r="K28" s="398"/>
      <c r="L28" s="398" t="s">
        <v>143</v>
      </c>
      <c r="M28" s="398"/>
      <c r="N28" s="398" t="s">
        <v>143</v>
      </c>
      <c r="O28" s="398"/>
      <c r="P28" s="398" t="s">
        <v>337</v>
      </c>
      <c r="Q28" s="398"/>
      <c r="R28" s="398" t="s">
        <v>337</v>
      </c>
      <c r="S28" s="289"/>
      <c r="T28" s="296"/>
      <c r="U28" s="290"/>
      <c r="V28" s="290"/>
      <c r="W28" s="291"/>
      <c r="X28" s="5"/>
    </row>
    <row r="29" spans="1:24" ht="15.6" x14ac:dyDescent="0.3">
      <c r="A29" s="287"/>
      <c r="B29" s="288" t="s">
        <v>10</v>
      </c>
      <c r="C29" s="298"/>
      <c r="D29" s="289" t="s">
        <v>249</v>
      </c>
      <c r="E29" s="289"/>
      <c r="F29" s="296" t="s">
        <v>250</v>
      </c>
      <c r="G29" s="289"/>
      <c r="H29" s="289" t="s">
        <v>251</v>
      </c>
      <c r="I29" s="289"/>
      <c r="J29" s="289" t="s">
        <v>253</v>
      </c>
      <c r="K29" s="289"/>
      <c r="L29" s="289" t="s">
        <v>254</v>
      </c>
      <c r="M29" s="289"/>
      <c r="N29" s="289" t="s">
        <v>255</v>
      </c>
      <c r="O29" s="289"/>
      <c r="P29" s="289" t="s">
        <v>256</v>
      </c>
      <c r="Q29" s="289"/>
      <c r="R29" s="289" t="s">
        <v>257</v>
      </c>
      <c r="S29" s="299"/>
      <c r="T29" s="299"/>
      <c r="U29" s="300"/>
      <c r="V29" s="299"/>
      <c r="W29" s="301"/>
      <c r="X29" s="5"/>
    </row>
    <row r="30" spans="1:24" ht="15.6" x14ac:dyDescent="0.3">
      <c r="A30" s="287"/>
      <c r="B30" s="288" t="s">
        <v>10</v>
      </c>
      <c r="C30" s="298"/>
      <c r="D30" s="289" t="s">
        <v>248</v>
      </c>
      <c r="E30" s="289"/>
      <c r="F30" s="296" t="s">
        <v>118</v>
      </c>
      <c r="G30" s="289"/>
      <c r="H30" s="289" t="s">
        <v>118</v>
      </c>
      <c r="I30" s="289"/>
      <c r="J30" s="289" t="s">
        <v>252</v>
      </c>
      <c r="K30" s="289"/>
      <c r="L30" s="289" t="s">
        <v>118</v>
      </c>
      <c r="M30" s="289"/>
      <c r="N30" s="289" t="s">
        <v>118</v>
      </c>
      <c r="O30" s="289"/>
      <c r="P30" s="289" t="s">
        <v>118</v>
      </c>
      <c r="Q30" s="289"/>
      <c r="R30" s="289" t="s">
        <v>118</v>
      </c>
      <c r="S30" s="299"/>
      <c r="T30" s="299"/>
      <c r="U30" s="300"/>
      <c r="V30" s="299"/>
      <c r="W30" s="301"/>
      <c r="X30" s="5"/>
    </row>
    <row r="31" spans="1:24" ht="15.6" x14ac:dyDescent="0.3">
      <c r="A31" s="292"/>
      <c r="B31" s="288" t="s">
        <v>133</v>
      </c>
      <c r="C31" s="302"/>
      <c r="D31" s="303">
        <v>1500000</v>
      </c>
      <c r="E31" s="298"/>
      <c r="F31" s="299">
        <v>125000</v>
      </c>
      <c r="G31" s="299"/>
      <c r="H31" s="304">
        <v>246000</v>
      </c>
      <c r="I31" s="304"/>
      <c r="J31" s="303">
        <v>400000</v>
      </c>
      <c r="K31" s="299"/>
      <c r="L31" s="299">
        <v>51900</v>
      </c>
      <c r="M31" s="299"/>
      <c r="N31" s="304">
        <v>88800</v>
      </c>
      <c r="O31" s="299"/>
      <c r="P31" s="299">
        <v>20000</v>
      </c>
      <c r="Q31" s="299"/>
      <c r="R31" s="304">
        <v>135500</v>
      </c>
      <c r="S31" s="305"/>
      <c r="T31" s="305"/>
      <c r="U31" s="306"/>
      <c r="V31" s="305"/>
      <c r="W31" s="301"/>
      <c r="X31" s="5"/>
    </row>
    <row r="32" spans="1:24" ht="15.6" x14ac:dyDescent="0.3">
      <c r="A32" s="287"/>
      <c r="B32" s="288" t="s">
        <v>132</v>
      </c>
      <c r="C32" s="298"/>
      <c r="D32" s="303">
        <f>D31*D38</f>
        <v>897729.15</v>
      </c>
      <c r="E32" s="298"/>
      <c r="F32" s="299">
        <f>F31*F38</f>
        <v>74810.95</v>
      </c>
      <c r="G32" s="299"/>
      <c r="H32" s="304">
        <f>H31*H38</f>
        <v>147227.94959999999</v>
      </c>
      <c r="I32" s="304"/>
      <c r="J32" s="303">
        <f>J31*J38</f>
        <v>239394.44</v>
      </c>
      <c r="K32" s="299"/>
      <c r="L32" s="299">
        <f>+L31</f>
        <v>51900</v>
      </c>
      <c r="M32" s="299"/>
      <c r="N32" s="304">
        <f>+N31</f>
        <v>88800</v>
      </c>
      <c r="O32" s="299"/>
      <c r="P32" s="299">
        <f>+P31</f>
        <v>20000</v>
      </c>
      <c r="Q32" s="299"/>
      <c r="R32" s="304">
        <f>+R31</f>
        <v>135500</v>
      </c>
      <c r="S32" s="299"/>
      <c r="T32" s="299"/>
      <c r="U32" s="300"/>
      <c r="V32" s="299"/>
      <c r="W32" s="301"/>
      <c r="X32" s="5"/>
    </row>
    <row r="33" spans="1:24" ht="15.6" x14ac:dyDescent="0.3">
      <c r="A33" s="287"/>
      <c r="B33" s="295" t="s">
        <v>134</v>
      </c>
      <c r="C33" s="298"/>
      <c r="D33" s="307">
        <f>D37*D31</f>
        <v>881791.95000000007</v>
      </c>
      <c r="E33" s="302"/>
      <c r="F33" s="305">
        <f>F37*F31</f>
        <v>73482.850000000006</v>
      </c>
      <c r="G33" s="305"/>
      <c r="H33" s="308">
        <f>H31*H37</f>
        <v>144614.2488</v>
      </c>
      <c r="I33" s="308"/>
      <c r="J33" s="307">
        <f>J37*J31</f>
        <v>235144.52000000002</v>
      </c>
      <c r="K33" s="305"/>
      <c r="L33" s="305">
        <f>L31*L37</f>
        <v>51900</v>
      </c>
      <c r="M33" s="305"/>
      <c r="N33" s="308">
        <f>N31*N37</f>
        <v>88800</v>
      </c>
      <c r="O33" s="305"/>
      <c r="P33" s="305">
        <f>P31*P37</f>
        <v>20000</v>
      </c>
      <c r="Q33" s="305"/>
      <c r="R33" s="308">
        <f>R31*R37</f>
        <v>135500</v>
      </c>
      <c r="S33" s="299"/>
      <c r="T33" s="299"/>
      <c r="U33" s="300"/>
      <c r="V33" s="299"/>
      <c r="W33" s="301"/>
      <c r="X33" s="5"/>
    </row>
    <row r="34" spans="1:24" ht="15.6" x14ac:dyDescent="0.3">
      <c r="A34" s="292"/>
      <c r="B34" s="288" t="s">
        <v>296</v>
      </c>
      <c r="C34" s="302"/>
      <c r="D34" s="299">
        <v>775194</v>
      </c>
      <c r="E34" s="298"/>
      <c r="F34" s="299">
        <v>125000</v>
      </c>
      <c r="G34" s="299"/>
      <c r="H34" s="299">
        <v>168148</v>
      </c>
      <c r="I34" s="299"/>
      <c r="J34" s="299">
        <v>206718</v>
      </c>
      <c r="K34" s="299"/>
      <c r="L34" s="299">
        <v>51900</v>
      </c>
      <c r="M34" s="299"/>
      <c r="N34" s="299">
        <v>60697</v>
      </c>
      <c r="O34" s="299"/>
      <c r="P34" s="299">
        <v>20000</v>
      </c>
      <c r="Q34" s="299"/>
      <c r="R34" s="299">
        <v>92618</v>
      </c>
      <c r="S34" s="305"/>
      <c r="T34" s="305"/>
      <c r="U34" s="306"/>
      <c r="V34" s="299">
        <f>SUM(C34:R34)</f>
        <v>1500275</v>
      </c>
      <c r="W34" s="301"/>
      <c r="X34" s="5"/>
    </row>
    <row r="35" spans="1:24" ht="15.6" x14ac:dyDescent="0.3">
      <c r="A35" s="292"/>
      <c r="B35" s="288" t="s">
        <v>297</v>
      </c>
      <c r="C35" s="302"/>
      <c r="D35" s="299">
        <f>D34*D38</f>
        <v>463942.83380339999</v>
      </c>
      <c r="E35" s="298"/>
      <c r="F35" s="299">
        <f>F34*F38</f>
        <v>74810.95</v>
      </c>
      <c r="G35" s="299"/>
      <c r="H35" s="299">
        <f>H34*H38</f>
        <v>100634.4929648</v>
      </c>
      <c r="I35" s="299"/>
      <c r="J35" s="299">
        <f>J34*J38</f>
        <v>123717.84961980001</v>
      </c>
      <c r="K35" s="299"/>
      <c r="L35" s="299">
        <f>+L34</f>
        <v>51900</v>
      </c>
      <c r="M35" s="299"/>
      <c r="N35" s="299">
        <f>+N34</f>
        <v>60697</v>
      </c>
      <c r="O35" s="299"/>
      <c r="P35" s="299">
        <f>+P34</f>
        <v>20000</v>
      </c>
      <c r="Q35" s="299"/>
      <c r="R35" s="299">
        <f>+R34</f>
        <v>92618</v>
      </c>
      <c r="S35" s="299"/>
      <c r="T35" s="299"/>
      <c r="U35" s="300"/>
      <c r="V35" s="299">
        <f>SUM(C35:R35)</f>
        <v>988321.12638799998</v>
      </c>
      <c r="W35" s="301"/>
      <c r="X35" s="5"/>
    </row>
    <row r="36" spans="1:24" ht="15.6" x14ac:dyDescent="0.3">
      <c r="A36" s="292"/>
      <c r="B36" s="295" t="s">
        <v>298</v>
      </c>
      <c r="C36" s="302"/>
      <c r="D36" s="305">
        <f>D34*D37</f>
        <v>455706.55259220005</v>
      </c>
      <c r="E36" s="302"/>
      <c r="F36" s="305">
        <f>F34*F37</f>
        <v>73482.850000000006</v>
      </c>
      <c r="G36" s="305"/>
      <c r="H36" s="305">
        <f>H34*H37</f>
        <v>98847.954094400004</v>
      </c>
      <c r="I36" s="305"/>
      <c r="J36" s="305">
        <f>J34*J37</f>
        <v>121521.51221340001</v>
      </c>
      <c r="K36" s="305"/>
      <c r="L36" s="305">
        <f>L34*L37</f>
        <v>51900</v>
      </c>
      <c r="M36" s="305"/>
      <c r="N36" s="305">
        <f>N34*N37</f>
        <v>60697</v>
      </c>
      <c r="O36" s="305"/>
      <c r="P36" s="305">
        <f>P34*P37</f>
        <v>20000</v>
      </c>
      <c r="Q36" s="305"/>
      <c r="R36" s="305">
        <f>R34*R37</f>
        <v>92618</v>
      </c>
      <c r="S36" s="328"/>
      <c r="T36" s="328"/>
      <c r="U36" s="300"/>
      <c r="V36" s="305">
        <f>SUM(C36:R36)</f>
        <v>974773.86890000012</v>
      </c>
      <c r="W36" s="301"/>
      <c r="X36" s="5"/>
    </row>
    <row r="37" spans="1:24" ht="15.6" x14ac:dyDescent="0.3">
      <c r="A37" s="287"/>
      <c r="B37" s="313" t="s">
        <v>130</v>
      </c>
      <c r="C37" s="314"/>
      <c r="D37" s="315">
        <v>0.58786130000000003</v>
      </c>
      <c r="E37" s="315"/>
      <c r="F37" s="315">
        <v>0.58786280000000002</v>
      </c>
      <c r="G37" s="315"/>
      <c r="H37" s="315">
        <v>0.58786280000000002</v>
      </c>
      <c r="I37" s="315"/>
      <c r="J37" s="315">
        <v>0.58786130000000003</v>
      </c>
      <c r="K37" s="315"/>
      <c r="L37" s="315">
        <v>1</v>
      </c>
      <c r="M37" s="315"/>
      <c r="N37" s="315">
        <v>1</v>
      </c>
      <c r="O37" s="315"/>
      <c r="P37" s="315">
        <v>1</v>
      </c>
      <c r="Q37" s="315"/>
      <c r="R37" s="315">
        <v>1</v>
      </c>
      <c r="S37" s="316"/>
      <c r="T37" s="316"/>
      <c r="U37" s="317"/>
      <c r="V37" s="317"/>
      <c r="W37" s="318"/>
      <c r="X37" s="5"/>
    </row>
    <row r="38" spans="1:24" ht="15.6" x14ac:dyDescent="0.3">
      <c r="A38" s="287"/>
      <c r="B38" s="313" t="s">
        <v>131</v>
      </c>
      <c r="C38" s="314"/>
      <c r="D38" s="315">
        <v>0.59848610000000002</v>
      </c>
      <c r="E38" s="315"/>
      <c r="F38" s="315">
        <v>0.59848760000000001</v>
      </c>
      <c r="G38" s="315"/>
      <c r="H38" s="315">
        <v>0.59848760000000001</v>
      </c>
      <c r="I38" s="315"/>
      <c r="J38" s="315">
        <v>0.59848610000000002</v>
      </c>
      <c r="K38" s="315"/>
      <c r="L38" s="315">
        <v>1</v>
      </c>
      <c r="M38" s="315"/>
      <c r="N38" s="315">
        <v>1</v>
      </c>
      <c r="O38" s="315"/>
      <c r="P38" s="315">
        <v>1</v>
      </c>
      <c r="Q38" s="315"/>
      <c r="R38" s="315">
        <v>1</v>
      </c>
      <c r="S38" s="319"/>
      <c r="T38" s="320"/>
      <c r="U38" s="317"/>
      <c r="V38" s="319"/>
      <c r="W38" s="318"/>
      <c r="X38" s="5"/>
    </row>
    <row r="39" spans="1:24" ht="15.6" x14ac:dyDescent="0.3">
      <c r="A39" s="287"/>
      <c r="B39" s="288" t="s">
        <v>11</v>
      </c>
      <c r="C39" s="288"/>
      <c r="D39" s="296" t="s">
        <v>321</v>
      </c>
      <c r="E39" s="288"/>
      <c r="F39" s="296" t="s">
        <v>231</v>
      </c>
      <c r="G39" s="296"/>
      <c r="H39" s="296" t="s">
        <v>231</v>
      </c>
      <c r="I39" s="296"/>
      <c r="J39" s="296" t="s">
        <v>231</v>
      </c>
      <c r="K39" s="296"/>
      <c r="L39" s="296" t="s">
        <v>265</v>
      </c>
      <c r="M39" s="296"/>
      <c r="N39" s="296" t="s">
        <v>265</v>
      </c>
      <c r="O39" s="296"/>
      <c r="P39" s="296" t="s">
        <v>266</v>
      </c>
      <c r="Q39" s="296"/>
      <c r="R39" s="296" t="s">
        <v>266</v>
      </c>
      <c r="S39" s="321"/>
      <c r="T39" s="322"/>
      <c r="U39" s="290"/>
      <c r="V39" s="290"/>
      <c r="W39" s="291"/>
      <c r="X39" s="5"/>
    </row>
    <row r="40" spans="1:24" ht="15.6" x14ac:dyDescent="0.3">
      <c r="A40" s="287"/>
      <c r="B40" s="288" t="s">
        <v>12</v>
      </c>
      <c r="C40" s="288"/>
      <c r="D40" s="322">
        <v>6.3049999999999998E-3</v>
      </c>
      <c r="E40" s="288"/>
      <c r="F40" s="322">
        <v>7.8338000000000001E-3</v>
      </c>
      <c r="G40" s="321"/>
      <c r="H40" s="322">
        <v>7.2000000000000005E-4</v>
      </c>
      <c r="I40" s="322"/>
      <c r="J40" s="322">
        <v>7.1199999999999996E-3</v>
      </c>
      <c r="K40" s="321"/>
      <c r="L40" s="322">
        <v>9.4338000000000009E-3</v>
      </c>
      <c r="M40" s="321"/>
      <c r="N40" s="322">
        <v>2.32E-3</v>
      </c>
      <c r="O40" s="321"/>
      <c r="P40" s="322">
        <v>1.3433799999999999E-2</v>
      </c>
      <c r="Q40" s="321"/>
      <c r="R40" s="322">
        <v>6.3200000000000001E-3</v>
      </c>
      <c r="S40" s="321"/>
      <c r="T40" s="322"/>
      <c r="U40" s="290"/>
      <c r="V40" s="296"/>
      <c r="W40" s="291"/>
      <c r="X40" s="5"/>
    </row>
    <row r="41" spans="1:24" ht="15.6" x14ac:dyDescent="0.3">
      <c r="A41" s="287"/>
      <c r="B41" s="288" t="s">
        <v>13</v>
      </c>
      <c r="C41" s="288"/>
      <c r="D41" s="322">
        <v>3.9699999999999996E-3</v>
      </c>
      <c r="E41" s="288"/>
      <c r="F41" s="322">
        <v>7.8750000000000001E-3</v>
      </c>
      <c r="G41" s="321"/>
      <c r="H41" s="322">
        <v>1.6199999999999999E-3</v>
      </c>
      <c r="I41" s="322"/>
      <c r="J41" s="322">
        <v>5.372E-3</v>
      </c>
      <c r="K41" s="321"/>
      <c r="L41" s="322">
        <v>9.4750000000000008E-3</v>
      </c>
      <c r="M41" s="321"/>
      <c r="N41" s="322">
        <v>3.2200000000000002E-3</v>
      </c>
      <c r="O41" s="321"/>
      <c r="P41" s="322">
        <v>1.3475000000000001E-2</v>
      </c>
      <c r="Q41" s="321"/>
      <c r="R41" s="322">
        <v>7.2199999999999999E-3</v>
      </c>
      <c r="S41" s="321"/>
      <c r="T41" s="322"/>
      <c r="U41" s="290"/>
      <c r="V41" s="321" t="s">
        <v>193</v>
      </c>
      <c r="W41" s="291"/>
      <c r="X41" s="5"/>
    </row>
    <row r="42" spans="1:24" ht="15.6" x14ac:dyDescent="0.3">
      <c r="A42" s="287"/>
      <c r="B42" s="288" t="s">
        <v>299</v>
      </c>
      <c r="C42" s="288"/>
      <c r="D42" s="296" t="s">
        <v>322</v>
      </c>
      <c r="E42" s="288"/>
      <c r="F42" s="296" t="s">
        <v>231</v>
      </c>
      <c r="G42" s="296"/>
      <c r="H42" s="296" t="s">
        <v>323</v>
      </c>
      <c r="I42" s="296"/>
      <c r="J42" s="296" t="s">
        <v>324</v>
      </c>
      <c r="K42" s="296"/>
      <c r="L42" s="296" t="s">
        <v>265</v>
      </c>
      <c r="M42" s="296"/>
      <c r="N42" s="296" t="s">
        <v>234</v>
      </c>
      <c r="O42" s="296"/>
      <c r="P42" s="296" t="s">
        <v>266</v>
      </c>
      <c r="Q42" s="296"/>
      <c r="R42" s="296" t="s">
        <v>264</v>
      </c>
      <c r="S42" s="321"/>
      <c r="T42" s="322"/>
      <c r="U42" s="290"/>
      <c r="V42" s="290"/>
      <c r="W42" s="291"/>
      <c r="X42" s="5"/>
    </row>
    <row r="43" spans="1:24" ht="15.6" x14ac:dyDescent="0.3">
      <c r="A43" s="287"/>
      <c r="B43" s="288" t="s">
        <v>300</v>
      </c>
      <c r="C43" s="323"/>
      <c r="D43" s="322">
        <v>8.2077999999999995E-3</v>
      </c>
      <c r="E43" s="322"/>
      <c r="F43" s="322">
        <f>+F40</f>
        <v>7.8338000000000001E-3</v>
      </c>
      <c r="G43" s="322"/>
      <c r="H43" s="322">
        <v>8.1137999999999991E-3</v>
      </c>
      <c r="I43" s="322"/>
      <c r="J43" s="322">
        <v>8.5597999999999994E-3</v>
      </c>
      <c r="K43" s="322"/>
      <c r="L43" s="322">
        <f>+L40</f>
        <v>9.4338000000000009E-3</v>
      </c>
      <c r="M43" s="322"/>
      <c r="N43" s="322">
        <v>1.00258E-2</v>
      </c>
      <c r="O43" s="322"/>
      <c r="P43" s="322">
        <f>+P40</f>
        <v>1.3433799999999999E-2</v>
      </c>
      <c r="Q43" s="321"/>
      <c r="R43" s="322">
        <v>1.44998E-2</v>
      </c>
      <c r="S43" s="296"/>
      <c r="T43" s="296"/>
      <c r="U43" s="290"/>
      <c r="V43" s="321">
        <f>SUMPRODUCT(D43:R43,D35:R35)/V35</f>
        <v>9.0854082229440952E-3</v>
      </c>
      <c r="W43" s="291"/>
      <c r="X43" s="5"/>
    </row>
    <row r="44" spans="1:24" ht="15.6" x14ac:dyDescent="0.3">
      <c r="A44" s="287"/>
      <c r="B44" s="288" t="s">
        <v>301</v>
      </c>
      <c r="C44" s="323"/>
      <c r="D44" s="322">
        <v>8.2489999999999994E-3</v>
      </c>
      <c r="E44" s="322"/>
      <c r="F44" s="322">
        <f>+F41</f>
        <v>7.8750000000000001E-3</v>
      </c>
      <c r="G44" s="322"/>
      <c r="H44" s="322">
        <v>8.1550000000000008E-3</v>
      </c>
      <c r="I44" s="322"/>
      <c r="J44" s="322">
        <v>8.6009999999999993E-3</v>
      </c>
      <c r="K44" s="322"/>
      <c r="L44" s="322">
        <f>+L41</f>
        <v>9.4750000000000008E-3</v>
      </c>
      <c r="M44" s="322"/>
      <c r="N44" s="322">
        <v>1.0067E-2</v>
      </c>
      <c r="O44" s="322"/>
      <c r="P44" s="322">
        <f>+P41</f>
        <v>1.3475000000000001E-2</v>
      </c>
      <c r="Q44" s="321"/>
      <c r="R44" s="322">
        <v>1.4541E-2</v>
      </c>
      <c r="S44" s="296"/>
      <c r="T44" s="296"/>
      <c r="U44" s="290"/>
      <c r="V44" s="290"/>
      <c r="W44" s="291"/>
      <c r="X44" s="5"/>
    </row>
    <row r="45" spans="1:24" ht="15.6" x14ac:dyDescent="0.3">
      <c r="A45" s="287"/>
      <c r="B45" s="288" t="s">
        <v>14</v>
      </c>
      <c r="C45" s="288"/>
      <c r="D45" s="323">
        <v>40617</v>
      </c>
      <c r="E45" s="323"/>
      <c r="F45" s="323">
        <v>40617</v>
      </c>
      <c r="G45" s="323"/>
      <c r="H45" s="323">
        <v>40617</v>
      </c>
      <c r="I45" s="323"/>
      <c r="J45" s="323">
        <v>40617</v>
      </c>
      <c r="K45" s="323"/>
      <c r="L45" s="323">
        <v>40617</v>
      </c>
      <c r="M45" s="323"/>
      <c r="N45" s="323">
        <v>40617</v>
      </c>
      <c r="O45" s="323"/>
      <c r="P45" s="323">
        <v>40617</v>
      </c>
      <c r="Q45" s="323"/>
      <c r="R45" s="323">
        <v>40617</v>
      </c>
      <c r="S45" s="296"/>
      <c r="T45" s="296"/>
      <c r="U45" s="290"/>
      <c r="V45" s="290"/>
      <c r="W45" s="291"/>
      <c r="X45" s="5"/>
    </row>
    <row r="46" spans="1:24" ht="15.6" x14ac:dyDescent="0.3">
      <c r="A46" s="287"/>
      <c r="B46" s="288" t="s">
        <v>15</v>
      </c>
      <c r="C46" s="288"/>
      <c r="D46" s="323">
        <v>40983</v>
      </c>
      <c r="E46" s="323"/>
      <c r="F46" s="323">
        <v>40983</v>
      </c>
      <c r="G46" s="323"/>
      <c r="H46" s="323">
        <v>40983</v>
      </c>
      <c r="I46" s="323"/>
      <c r="J46" s="323">
        <v>40983</v>
      </c>
      <c r="K46" s="296"/>
      <c r="L46" s="323">
        <v>40983</v>
      </c>
      <c r="M46" s="296"/>
      <c r="N46" s="323">
        <v>40983</v>
      </c>
      <c r="O46" s="296"/>
      <c r="P46" s="323">
        <v>40983</v>
      </c>
      <c r="Q46" s="296"/>
      <c r="R46" s="323">
        <v>40983</v>
      </c>
      <c r="S46" s="296"/>
      <c r="T46" s="296"/>
      <c r="U46" s="290"/>
      <c r="V46" s="290"/>
      <c r="W46" s="291"/>
      <c r="X46" s="5"/>
    </row>
    <row r="47" spans="1:24" ht="15.6" x14ac:dyDescent="0.3">
      <c r="A47" s="287"/>
      <c r="B47" s="288" t="s">
        <v>119</v>
      </c>
      <c r="C47" s="288"/>
      <c r="D47" s="296" t="s">
        <v>231</v>
      </c>
      <c r="E47" s="288"/>
      <c r="F47" s="296" t="s">
        <v>231</v>
      </c>
      <c r="G47" s="296"/>
      <c r="H47" s="296" t="s">
        <v>231</v>
      </c>
      <c r="I47" s="296"/>
      <c r="J47" s="296" t="s">
        <v>231</v>
      </c>
      <c r="K47" s="296"/>
      <c r="L47" s="296" t="s">
        <v>265</v>
      </c>
      <c r="M47" s="296"/>
      <c r="N47" s="296" t="s">
        <v>265</v>
      </c>
      <c r="O47" s="296"/>
      <c r="P47" s="296" t="s">
        <v>266</v>
      </c>
      <c r="Q47" s="296"/>
      <c r="R47" s="296" t="s">
        <v>266</v>
      </c>
      <c r="S47" s="325"/>
      <c r="T47" s="325"/>
      <c r="U47" s="325"/>
      <c r="V47" s="325"/>
      <c r="W47" s="291"/>
      <c r="X47" s="5"/>
    </row>
    <row r="48" spans="1:24" ht="15.6" x14ac:dyDescent="0.3">
      <c r="A48" s="287"/>
      <c r="B48" s="288" t="s">
        <v>302</v>
      </c>
      <c r="C48" s="288"/>
      <c r="D48" s="296" t="s">
        <v>325</v>
      </c>
      <c r="E48" s="288"/>
      <c r="F48" s="296" t="s">
        <v>231</v>
      </c>
      <c r="G48" s="296"/>
      <c r="H48" s="296" t="s">
        <v>262</v>
      </c>
      <c r="I48" s="296"/>
      <c r="J48" s="296" t="s">
        <v>263</v>
      </c>
      <c r="K48" s="296"/>
      <c r="L48" s="296" t="s">
        <v>265</v>
      </c>
      <c r="M48" s="296"/>
      <c r="N48" s="296" t="s">
        <v>234</v>
      </c>
      <c r="O48" s="296"/>
      <c r="P48" s="296" t="s">
        <v>266</v>
      </c>
      <c r="Q48" s="296"/>
      <c r="R48" s="296" t="s">
        <v>264</v>
      </c>
      <c r="S48" s="288"/>
      <c r="T48" s="288"/>
      <c r="U48" s="288"/>
      <c r="V48" s="321"/>
      <c r="W48" s="291"/>
      <c r="X48" s="5"/>
    </row>
    <row r="49" spans="1:25" ht="15.6" x14ac:dyDescent="0.3">
      <c r="A49" s="287"/>
      <c r="B49" s="288"/>
      <c r="C49" s="288"/>
      <c r="D49" s="296"/>
      <c r="E49" s="288"/>
      <c r="F49" s="296"/>
      <c r="G49" s="296"/>
      <c r="H49" s="296"/>
      <c r="I49" s="296"/>
      <c r="J49" s="296"/>
      <c r="K49" s="296"/>
      <c r="L49" s="296"/>
      <c r="M49" s="296"/>
      <c r="N49" s="296"/>
      <c r="O49" s="296"/>
      <c r="P49" s="296"/>
      <c r="Q49" s="296"/>
      <c r="R49" s="296"/>
      <c r="S49" s="288"/>
      <c r="T49" s="288"/>
      <c r="U49" s="288"/>
      <c r="V49" s="321" t="s">
        <v>193</v>
      </c>
      <c r="W49" s="291"/>
      <c r="X49" s="5"/>
    </row>
    <row r="50" spans="1:25" ht="15.6" x14ac:dyDescent="0.3">
      <c r="A50" s="287"/>
      <c r="B50" s="288" t="s">
        <v>169</v>
      </c>
      <c r="C50" s="288"/>
      <c r="D50" s="296"/>
      <c r="E50" s="288"/>
      <c r="F50" s="296"/>
      <c r="G50" s="296"/>
      <c r="H50" s="296"/>
      <c r="I50" s="296"/>
      <c r="J50" s="296"/>
      <c r="K50" s="296"/>
      <c r="L50" s="296"/>
      <c r="M50" s="296"/>
      <c r="N50" s="296"/>
      <c r="O50" s="296"/>
      <c r="P50" s="296"/>
      <c r="Q50" s="296"/>
      <c r="R50" s="296"/>
      <c r="S50" s="288"/>
      <c r="T50" s="288"/>
      <c r="U50" s="288"/>
      <c r="V50" s="321">
        <f>SUM(L34:R34)/SUM(D34:J34)</f>
        <v>0.17663090364375009</v>
      </c>
      <c r="W50" s="291"/>
      <c r="X50" s="5"/>
    </row>
    <row r="51" spans="1:25" ht="15.6" x14ac:dyDescent="0.3">
      <c r="A51" s="287"/>
      <c r="B51" s="288" t="s">
        <v>170</v>
      </c>
      <c r="C51" s="288"/>
      <c r="D51" s="288"/>
      <c r="E51" s="288"/>
      <c r="F51" s="326"/>
      <c r="G51" s="288"/>
      <c r="H51" s="288"/>
      <c r="I51" s="288"/>
      <c r="J51" s="288"/>
      <c r="K51" s="288"/>
      <c r="L51" s="288"/>
      <c r="M51" s="288"/>
      <c r="N51" s="288"/>
      <c r="O51" s="288"/>
      <c r="P51" s="288"/>
      <c r="Q51" s="288"/>
      <c r="R51" s="288"/>
      <c r="S51" s="288"/>
      <c r="T51" s="288"/>
      <c r="U51" s="288"/>
      <c r="V51" s="321">
        <f>SUM(L36:R36)/SUM(D36:J36)</f>
        <v>0.30046339166196473</v>
      </c>
      <c r="W51" s="291"/>
      <c r="X51" s="5"/>
    </row>
    <row r="52" spans="1:25" ht="15.6" x14ac:dyDescent="0.3">
      <c r="A52" s="287"/>
      <c r="B52" s="288" t="s">
        <v>171</v>
      </c>
      <c r="C52" s="288"/>
      <c r="D52" s="288"/>
      <c r="E52" s="288"/>
      <c r="F52" s="288"/>
      <c r="G52" s="288"/>
      <c r="H52" s="288"/>
      <c r="I52" s="288"/>
      <c r="J52" s="288"/>
      <c r="K52" s="288"/>
      <c r="L52" s="288"/>
      <c r="M52" s="288"/>
      <c r="N52" s="288"/>
      <c r="O52" s="288"/>
      <c r="P52" s="288"/>
      <c r="Q52" s="288"/>
      <c r="R52" s="288"/>
      <c r="S52" s="288"/>
      <c r="T52" s="296"/>
      <c r="U52" s="296"/>
      <c r="V52" s="299" t="s">
        <v>276</v>
      </c>
      <c r="W52" s="291"/>
      <c r="X52" s="5"/>
    </row>
    <row r="53" spans="1:25" ht="15.6" x14ac:dyDescent="0.3">
      <c r="A53" s="287"/>
      <c r="B53" s="288"/>
      <c r="C53" s="288"/>
      <c r="D53" s="288"/>
      <c r="E53" s="288"/>
      <c r="F53" s="288"/>
      <c r="G53" s="288"/>
      <c r="H53" s="288"/>
      <c r="I53" s="288"/>
      <c r="J53" s="288"/>
      <c r="K53" s="288"/>
      <c r="L53" s="288"/>
      <c r="M53" s="288"/>
      <c r="N53" s="288"/>
      <c r="O53" s="288"/>
      <c r="P53" s="288"/>
      <c r="Q53" s="288"/>
      <c r="R53" s="288"/>
      <c r="S53" s="288"/>
      <c r="T53" s="288"/>
      <c r="U53" s="288"/>
      <c r="V53" s="327"/>
      <c r="W53" s="291"/>
      <c r="X53" s="5"/>
    </row>
    <row r="54" spans="1:25" ht="15.6" x14ac:dyDescent="0.3">
      <c r="A54" s="287"/>
      <c r="B54" s="288" t="s">
        <v>202</v>
      </c>
      <c r="C54" s="288"/>
      <c r="D54" s="288"/>
      <c r="E54" s="288"/>
      <c r="F54" s="288"/>
      <c r="G54" s="288"/>
      <c r="H54" s="288"/>
      <c r="I54" s="288"/>
      <c r="J54" s="288"/>
      <c r="K54" s="288"/>
      <c r="L54" s="288"/>
      <c r="M54" s="288"/>
      <c r="N54" s="288"/>
      <c r="O54" s="288"/>
      <c r="P54" s="288"/>
      <c r="Q54" s="288"/>
      <c r="R54" s="288"/>
      <c r="S54" s="288"/>
      <c r="T54" s="288"/>
      <c r="U54" s="288"/>
      <c r="V54" s="328" t="s">
        <v>203</v>
      </c>
      <c r="W54" s="291"/>
      <c r="X54" s="5"/>
    </row>
    <row r="55" spans="1:25" ht="15.6" x14ac:dyDescent="0.3">
      <c r="A55" s="287"/>
      <c r="B55" s="288" t="s">
        <v>280</v>
      </c>
      <c r="C55" s="288"/>
      <c r="D55" s="288"/>
      <c r="E55" s="288"/>
      <c r="F55" s="288"/>
      <c r="G55" s="288"/>
      <c r="H55" s="288"/>
      <c r="I55" s="288"/>
      <c r="J55" s="288"/>
      <c r="K55" s="288"/>
      <c r="L55" s="288"/>
      <c r="M55" s="288"/>
      <c r="N55" s="288"/>
      <c r="O55" s="288"/>
      <c r="P55" s="288"/>
      <c r="Q55" s="288"/>
      <c r="R55" s="288"/>
      <c r="S55" s="288"/>
      <c r="T55" s="296"/>
      <c r="U55" s="296"/>
      <c r="V55" s="329" t="s">
        <v>111</v>
      </c>
      <c r="W55" s="291"/>
      <c r="X55" s="5"/>
    </row>
    <row r="56" spans="1:25" ht="15.6" x14ac:dyDescent="0.3">
      <c r="A56" s="287"/>
      <c r="B56" s="295" t="s">
        <v>201</v>
      </c>
      <c r="C56" s="295"/>
      <c r="D56" s="295"/>
      <c r="E56" s="295"/>
      <c r="F56" s="295"/>
      <c r="G56" s="295"/>
      <c r="H56" s="295"/>
      <c r="I56" s="295"/>
      <c r="J56" s="295"/>
      <c r="K56" s="295"/>
      <c r="L56" s="295"/>
      <c r="M56" s="295"/>
      <c r="N56" s="295"/>
      <c r="O56" s="295"/>
      <c r="P56" s="295"/>
      <c r="Q56" s="295"/>
      <c r="R56" s="295"/>
      <c r="S56" s="295"/>
      <c r="T56" s="330"/>
      <c r="U56" s="330"/>
      <c r="V56" s="331">
        <v>42444</v>
      </c>
      <c r="W56" s="291"/>
      <c r="X56" s="5"/>
    </row>
    <row r="57" spans="1:25" ht="15.6" x14ac:dyDescent="0.3">
      <c r="A57" s="287"/>
      <c r="B57" s="288" t="s">
        <v>121</v>
      </c>
      <c r="C57" s="288"/>
      <c r="D57" s="288"/>
      <c r="E57" s="288"/>
      <c r="F57" s="288"/>
      <c r="G57" s="288"/>
      <c r="H57" s="332"/>
      <c r="I57" s="332"/>
      <c r="J57" s="332"/>
      <c r="K57" s="332"/>
      <c r="L57" s="332"/>
      <c r="M57" s="332"/>
      <c r="N57" s="332"/>
      <c r="O57" s="332"/>
      <c r="P57" s="332"/>
      <c r="Q57" s="332"/>
      <c r="R57" s="288">
        <f>+V57-T57+1</f>
        <v>91</v>
      </c>
      <c r="S57" s="332"/>
      <c r="T57" s="333">
        <v>42262</v>
      </c>
      <c r="U57" s="334"/>
      <c r="V57" s="333">
        <v>42352</v>
      </c>
      <c r="W57" s="291"/>
      <c r="X57" s="5"/>
    </row>
    <row r="58" spans="1:25" ht="15.6" x14ac:dyDescent="0.3">
      <c r="A58" s="287"/>
      <c r="B58" s="288" t="s">
        <v>122</v>
      </c>
      <c r="C58" s="288"/>
      <c r="D58" s="288"/>
      <c r="E58" s="288"/>
      <c r="F58" s="288"/>
      <c r="G58" s="288"/>
      <c r="H58" s="288"/>
      <c r="I58" s="288"/>
      <c r="J58" s="288"/>
      <c r="K58" s="288"/>
      <c r="L58" s="288"/>
      <c r="M58" s="288"/>
      <c r="N58" s="288"/>
      <c r="O58" s="288"/>
      <c r="P58" s="288"/>
      <c r="Q58" s="288"/>
      <c r="R58" s="288">
        <f>+V58-T58+1</f>
        <v>91</v>
      </c>
      <c r="S58" s="288"/>
      <c r="T58" s="333">
        <v>42353</v>
      </c>
      <c r="U58" s="334"/>
      <c r="V58" s="333">
        <v>42443</v>
      </c>
      <c r="W58" s="291"/>
      <c r="X58" s="5"/>
    </row>
    <row r="59" spans="1:25" ht="15.6" x14ac:dyDescent="0.3">
      <c r="A59" s="287"/>
      <c r="B59" s="288" t="s">
        <v>229</v>
      </c>
      <c r="C59" s="288"/>
      <c r="D59" s="288"/>
      <c r="E59" s="288"/>
      <c r="F59" s="288"/>
      <c r="G59" s="288"/>
      <c r="H59" s="288"/>
      <c r="I59" s="288"/>
      <c r="J59" s="288"/>
      <c r="K59" s="288"/>
      <c r="L59" s="288"/>
      <c r="M59" s="288"/>
      <c r="N59" s="288"/>
      <c r="O59" s="288"/>
      <c r="P59" s="288"/>
      <c r="Q59" s="288"/>
      <c r="R59" s="288"/>
      <c r="S59" s="288"/>
      <c r="T59" s="333"/>
      <c r="U59" s="334"/>
      <c r="V59" s="333" t="s">
        <v>120</v>
      </c>
      <c r="W59" s="291"/>
      <c r="X59" s="5"/>
    </row>
    <row r="60" spans="1:25" ht="15.6" x14ac:dyDescent="0.3">
      <c r="A60" s="287"/>
      <c r="B60" s="288" t="s">
        <v>228</v>
      </c>
      <c r="C60" s="288"/>
      <c r="D60" s="288"/>
      <c r="E60" s="288"/>
      <c r="F60" s="288"/>
      <c r="G60" s="288"/>
      <c r="H60" s="288"/>
      <c r="I60" s="288"/>
      <c r="J60" s="288"/>
      <c r="K60" s="288"/>
      <c r="L60" s="288"/>
      <c r="M60" s="288"/>
      <c r="N60" s="288"/>
      <c r="O60" s="288"/>
      <c r="P60" s="288"/>
      <c r="Q60" s="288"/>
      <c r="R60" s="288"/>
      <c r="S60" s="288"/>
      <c r="T60" s="333"/>
      <c r="U60" s="334"/>
      <c r="V60" s="333" t="s">
        <v>154</v>
      </c>
      <c r="W60" s="291"/>
      <c r="X60" s="5"/>
      <c r="Y60" s="134"/>
    </row>
    <row r="61" spans="1:25" ht="15.6" x14ac:dyDescent="0.3">
      <c r="A61" s="287"/>
      <c r="B61" s="288" t="s">
        <v>16</v>
      </c>
      <c r="C61" s="288"/>
      <c r="D61" s="288"/>
      <c r="E61" s="288"/>
      <c r="F61" s="288"/>
      <c r="G61" s="288"/>
      <c r="H61" s="288"/>
      <c r="I61" s="288"/>
      <c r="J61" s="288"/>
      <c r="K61" s="288"/>
      <c r="L61" s="288"/>
      <c r="M61" s="288"/>
      <c r="N61" s="288"/>
      <c r="O61" s="288"/>
      <c r="P61" s="288"/>
      <c r="Q61" s="288"/>
      <c r="R61" s="288"/>
      <c r="S61" s="288"/>
      <c r="T61" s="333"/>
      <c r="U61" s="334"/>
      <c r="V61" s="333">
        <v>42430</v>
      </c>
      <c r="W61" s="291"/>
      <c r="X61" s="5"/>
    </row>
    <row r="62" spans="1:25" ht="15.6" x14ac:dyDescent="0.3">
      <c r="A62" s="183"/>
      <c r="B62" s="284"/>
      <c r="C62" s="284"/>
      <c r="D62" s="284"/>
      <c r="E62" s="284"/>
      <c r="F62" s="284"/>
      <c r="G62" s="284"/>
      <c r="H62" s="284"/>
      <c r="I62" s="284"/>
      <c r="J62" s="284"/>
      <c r="K62" s="284"/>
      <c r="L62" s="284"/>
      <c r="M62" s="284"/>
      <c r="N62" s="284"/>
      <c r="O62" s="284"/>
      <c r="P62" s="284"/>
      <c r="Q62" s="284"/>
      <c r="R62" s="284"/>
      <c r="S62" s="284"/>
      <c r="T62" s="285"/>
      <c r="U62" s="286"/>
      <c r="V62" s="285"/>
      <c r="W62" s="284"/>
      <c r="X62" s="5"/>
    </row>
    <row r="63" spans="1:25" ht="15.6" x14ac:dyDescent="0.3">
      <c r="A63" s="183"/>
      <c r="B63" s="224"/>
      <c r="C63" s="224"/>
      <c r="D63" s="224"/>
      <c r="E63" s="224"/>
      <c r="F63" s="224"/>
      <c r="G63" s="224"/>
      <c r="H63" s="224"/>
      <c r="I63" s="224"/>
      <c r="J63" s="224"/>
      <c r="K63" s="224"/>
      <c r="L63" s="224"/>
      <c r="M63" s="224"/>
      <c r="N63" s="224"/>
      <c r="O63" s="224"/>
      <c r="P63" s="224"/>
      <c r="Q63" s="224"/>
      <c r="R63" s="224"/>
      <c r="S63" s="224"/>
      <c r="T63" s="235"/>
      <c r="U63" s="236"/>
      <c r="V63" s="235"/>
      <c r="W63" s="224"/>
      <c r="X63" s="5"/>
    </row>
    <row r="64" spans="1:25" ht="18" thickBot="1" x14ac:dyDescent="0.35">
      <c r="A64" s="199"/>
      <c r="B64" s="237" t="s">
        <v>354</v>
      </c>
      <c r="C64" s="238"/>
      <c r="D64" s="238"/>
      <c r="E64" s="238"/>
      <c r="F64" s="238"/>
      <c r="G64" s="238"/>
      <c r="H64" s="238"/>
      <c r="I64" s="238"/>
      <c r="J64" s="238"/>
      <c r="K64" s="238"/>
      <c r="L64" s="238"/>
      <c r="M64" s="238"/>
      <c r="N64" s="238"/>
      <c r="O64" s="238"/>
      <c r="P64" s="238"/>
      <c r="Q64" s="238"/>
      <c r="R64" s="238"/>
      <c r="S64" s="238"/>
      <c r="T64" s="238"/>
      <c r="U64" s="238"/>
      <c r="V64" s="239"/>
      <c r="W64" s="240"/>
      <c r="X64" s="5"/>
    </row>
    <row r="65" spans="1:24" ht="15.6" x14ac:dyDescent="0.3">
      <c r="A65" s="262"/>
      <c r="B65" s="399" t="s">
        <v>17</v>
      </c>
      <c r="C65" s="263"/>
      <c r="D65" s="263"/>
      <c r="E65" s="263"/>
      <c r="F65" s="263"/>
      <c r="G65" s="263"/>
      <c r="H65" s="263"/>
      <c r="I65" s="263"/>
      <c r="J65" s="263"/>
      <c r="K65" s="263"/>
      <c r="L65" s="263"/>
      <c r="M65" s="263"/>
      <c r="N65" s="263"/>
      <c r="O65" s="263"/>
      <c r="P65" s="263"/>
      <c r="Q65" s="263"/>
      <c r="R65" s="263"/>
      <c r="S65" s="263"/>
      <c r="T65" s="263"/>
      <c r="U65" s="263"/>
      <c r="V65" s="268"/>
      <c r="W65" s="263"/>
      <c r="X65" s="5"/>
    </row>
    <row r="66" spans="1:24" ht="15.6" x14ac:dyDescent="0.3">
      <c r="A66" s="183"/>
      <c r="B66" s="191"/>
      <c r="C66" s="185"/>
      <c r="D66" s="185"/>
      <c r="E66" s="185"/>
      <c r="F66" s="185"/>
      <c r="G66" s="185"/>
      <c r="H66" s="185"/>
      <c r="I66" s="185"/>
      <c r="J66" s="185"/>
      <c r="K66" s="185"/>
      <c r="L66" s="185"/>
      <c r="M66" s="185"/>
      <c r="N66" s="185"/>
      <c r="O66" s="185"/>
      <c r="P66" s="185"/>
      <c r="Q66" s="185"/>
      <c r="R66" s="185"/>
      <c r="S66" s="185"/>
      <c r="T66" s="185"/>
      <c r="U66" s="185"/>
      <c r="V66" s="201"/>
      <c r="W66" s="185"/>
      <c r="X66" s="5"/>
    </row>
    <row r="67" spans="1:24" ht="46.8" x14ac:dyDescent="0.3">
      <c r="A67" s="183"/>
      <c r="B67" s="202" t="s">
        <v>18</v>
      </c>
      <c r="C67" s="203"/>
      <c r="D67" s="203"/>
      <c r="E67" s="203"/>
      <c r="F67" s="203"/>
      <c r="G67" s="203"/>
      <c r="H67" s="203"/>
      <c r="I67" s="203"/>
      <c r="J67" s="203"/>
      <c r="K67" s="203"/>
      <c r="L67" s="203" t="s">
        <v>94</v>
      </c>
      <c r="M67" s="203"/>
      <c r="N67" s="203" t="s">
        <v>96</v>
      </c>
      <c r="O67" s="203"/>
      <c r="P67" s="203" t="s">
        <v>98</v>
      </c>
      <c r="Q67" s="203"/>
      <c r="R67" s="203" t="s">
        <v>100</v>
      </c>
      <c r="S67" s="203"/>
      <c r="T67" s="203" t="s">
        <v>106</v>
      </c>
      <c r="U67" s="203"/>
      <c r="V67" s="204" t="s">
        <v>112</v>
      </c>
      <c r="W67" s="205"/>
      <c r="X67" s="5"/>
    </row>
    <row r="68" spans="1:24" ht="15.6" x14ac:dyDescent="0.3">
      <c r="A68" s="287"/>
      <c r="B68" s="288" t="s">
        <v>19</v>
      </c>
      <c r="C68" s="337"/>
      <c r="D68" s="337"/>
      <c r="E68" s="337"/>
      <c r="F68" s="337"/>
      <c r="G68" s="337"/>
      <c r="H68" s="337"/>
      <c r="I68" s="337"/>
      <c r="J68" s="337"/>
      <c r="K68" s="337"/>
      <c r="L68" s="337">
        <v>1158015</v>
      </c>
      <c r="M68" s="337"/>
      <c r="N68" s="338">
        <v>988321</v>
      </c>
      <c r="O68" s="337"/>
      <c r="P68" s="337">
        <f>13547+418+290+28</f>
        <v>14283</v>
      </c>
      <c r="Q68" s="337"/>
      <c r="R68" s="337">
        <f>418+290+28</f>
        <v>736</v>
      </c>
      <c r="S68" s="337"/>
      <c r="T68" s="337">
        <v>0</v>
      </c>
      <c r="U68" s="337"/>
      <c r="V68" s="338">
        <f>+N68-P68+R68-T68</f>
        <v>974774</v>
      </c>
      <c r="W68" s="291"/>
      <c r="X68" s="5"/>
    </row>
    <row r="69" spans="1:24" ht="15.6" x14ac:dyDescent="0.3">
      <c r="A69" s="287"/>
      <c r="B69" s="288" t="s">
        <v>20</v>
      </c>
      <c r="C69" s="337"/>
      <c r="D69" s="337"/>
      <c r="E69" s="337"/>
      <c r="F69" s="337"/>
      <c r="G69" s="337"/>
      <c r="H69" s="337"/>
      <c r="I69" s="337"/>
      <c r="J69" s="337"/>
      <c r="K69" s="337"/>
      <c r="L69" s="337">
        <v>15</v>
      </c>
      <c r="M69" s="337"/>
      <c r="N69" s="338">
        <v>0</v>
      </c>
      <c r="O69" s="337"/>
      <c r="P69" s="337">
        <v>0</v>
      </c>
      <c r="Q69" s="337"/>
      <c r="R69" s="337">
        <v>0</v>
      </c>
      <c r="S69" s="337"/>
      <c r="T69" s="337">
        <v>0</v>
      </c>
      <c r="U69" s="337"/>
      <c r="V69" s="338">
        <v>0</v>
      </c>
      <c r="W69" s="291"/>
      <c r="X69" s="5"/>
    </row>
    <row r="70" spans="1:24" ht="15.6" x14ac:dyDescent="0.3">
      <c r="A70" s="287"/>
      <c r="B70" s="288"/>
      <c r="C70" s="337"/>
      <c r="D70" s="337"/>
      <c r="E70" s="337"/>
      <c r="F70" s="337"/>
      <c r="G70" s="337"/>
      <c r="H70" s="337"/>
      <c r="I70" s="337"/>
      <c r="J70" s="337"/>
      <c r="K70" s="337"/>
      <c r="L70" s="337"/>
      <c r="M70" s="337"/>
      <c r="N70" s="338"/>
      <c r="O70" s="337"/>
      <c r="P70" s="337"/>
      <c r="Q70" s="337"/>
      <c r="R70" s="337"/>
      <c r="S70" s="337"/>
      <c r="T70" s="337"/>
      <c r="U70" s="337"/>
      <c r="V70" s="338"/>
      <c r="W70" s="291"/>
      <c r="X70" s="5"/>
    </row>
    <row r="71" spans="1:24" ht="15.6" x14ac:dyDescent="0.3">
      <c r="A71" s="287"/>
      <c r="B71" s="288" t="s">
        <v>21</v>
      </c>
      <c r="C71" s="337"/>
      <c r="D71" s="337"/>
      <c r="E71" s="337"/>
      <c r="F71" s="337"/>
      <c r="G71" s="337"/>
      <c r="H71" s="337"/>
      <c r="I71" s="337"/>
      <c r="J71" s="337"/>
      <c r="K71" s="337"/>
      <c r="L71" s="337">
        <f>SUM(L68:L70)</f>
        <v>1158030</v>
      </c>
      <c r="M71" s="337"/>
      <c r="N71" s="337">
        <f>N68+N69</f>
        <v>988321</v>
      </c>
      <c r="O71" s="337"/>
      <c r="P71" s="337">
        <f>SUM(P68:P70)</f>
        <v>14283</v>
      </c>
      <c r="Q71" s="337"/>
      <c r="R71" s="337">
        <f>SUM(R68:R70)</f>
        <v>736</v>
      </c>
      <c r="S71" s="337"/>
      <c r="T71" s="337">
        <f>SUM(T68:T70)</f>
        <v>0</v>
      </c>
      <c r="U71" s="337"/>
      <c r="V71" s="337">
        <f>SUM(V68:V70)</f>
        <v>974774</v>
      </c>
      <c r="W71" s="291"/>
      <c r="X71" s="5"/>
    </row>
    <row r="72" spans="1:24" ht="15.6" x14ac:dyDescent="0.3">
      <c r="A72" s="183"/>
      <c r="B72" s="198"/>
      <c r="C72" s="335"/>
      <c r="D72" s="335"/>
      <c r="E72" s="335"/>
      <c r="F72" s="335"/>
      <c r="G72" s="335"/>
      <c r="H72" s="335"/>
      <c r="I72" s="335"/>
      <c r="J72" s="335"/>
      <c r="K72" s="335"/>
      <c r="L72" s="335"/>
      <c r="M72" s="335"/>
      <c r="N72" s="335"/>
      <c r="O72" s="335"/>
      <c r="P72" s="335"/>
      <c r="Q72" s="335"/>
      <c r="R72" s="335"/>
      <c r="S72" s="335"/>
      <c r="T72" s="335"/>
      <c r="U72" s="335"/>
      <c r="V72" s="336"/>
      <c r="W72" s="198"/>
      <c r="X72" s="5"/>
    </row>
    <row r="73" spans="1:24" ht="15.6" x14ac:dyDescent="0.3">
      <c r="A73" s="183"/>
      <c r="B73" s="187" t="s">
        <v>22</v>
      </c>
      <c r="C73" s="206"/>
      <c r="D73" s="206"/>
      <c r="E73" s="206"/>
      <c r="F73" s="206"/>
      <c r="G73" s="206"/>
      <c r="H73" s="206"/>
      <c r="I73" s="206"/>
      <c r="J73" s="206"/>
      <c r="K73" s="206"/>
      <c r="L73" s="206"/>
      <c r="M73" s="206"/>
      <c r="N73" s="206"/>
      <c r="O73" s="206"/>
      <c r="P73" s="206"/>
      <c r="Q73" s="206"/>
      <c r="R73" s="206"/>
      <c r="S73" s="206"/>
      <c r="T73" s="206"/>
      <c r="U73" s="206"/>
      <c r="V73" s="207"/>
      <c r="W73" s="185"/>
      <c r="X73" s="5"/>
    </row>
    <row r="74" spans="1:24" ht="15.6" x14ac:dyDescent="0.3">
      <c r="A74" s="183"/>
      <c r="B74" s="185"/>
      <c r="C74" s="206"/>
      <c r="D74" s="206"/>
      <c r="E74" s="206"/>
      <c r="F74" s="206"/>
      <c r="G74" s="206"/>
      <c r="H74" s="206"/>
      <c r="I74" s="206"/>
      <c r="J74" s="206"/>
      <c r="K74" s="206"/>
      <c r="L74" s="206"/>
      <c r="M74" s="206"/>
      <c r="N74" s="206"/>
      <c r="O74" s="206"/>
      <c r="P74" s="206"/>
      <c r="Q74" s="206"/>
      <c r="R74" s="206"/>
      <c r="S74" s="206"/>
      <c r="T74" s="206"/>
      <c r="U74" s="206"/>
      <c r="V74" s="207"/>
      <c r="W74" s="185"/>
      <c r="X74" s="5"/>
    </row>
    <row r="75" spans="1:24" ht="15.6" x14ac:dyDescent="0.3">
      <c r="A75" s="340"/>
      <c r="B75" s="288" t="s">
        <v>19</v>
      </c>
      <c r="C75" s="337"/>
      <c r="D75" s="337"/>
      <c r="E75" s="337"/>
      <c r="F75" s="337"/>
      <c r="G75" s="337"/>
      <c r="H75" s="337"/>
      <c r="I75" s="337"/>
      <c r="J75" s="337"/>
      <c r="K75" s="337"/>
      <c r="L75" s="337"/>
      <c r="M75" s="337"/>
      <c r="N75" s="337"/>
      <c r="O75" s="337"/>
      <c r="P75" s="337"/>
      <c r="Q75" s="337"/>
      <c r="R75" s="337"/>
      <c r="S75" s="337"/>
      <c r="T75" s="337"/>
      <c r="U75" s="337"/>
      <c r="V75" s="337"/>
      <c r="W75" s="291"/>
      <c r="X75" s="5"/>
    </row>
    <row r="76" spans="1:24" ht="15.6" x14ac:dyDescent="0.3">
      <c r="A76" s="340"/>
      <c r="B76" s="288" t="s">
        <v>20</v>
      </c>
      <c r="C76" s="337"/>
      <c r="D76" s="337"/>
      <c r="E76" s="337"/>
      <c r="F76" s="337"/>
      <c r="G76" s="337"/>
      <c r="H76" s="337"/>
      <c r="I76" s="337"/>
      <c r="J76" s="337"/>
      <c r="K76" s="337"/>
      <c r="L76" s="337"/>
      <c r="M76" s="337"/>
      <c r="N76" s="337"/>
      <c r="O76" s="337"/>
      <c r="P76" s="337"/>
      <c r="Q76" s="337"/>
      <c r="R76" s="337"/>
      <c r="S76" s="337"/>
      <c r="T76" s="337"/>
      <c r="U76" s="337"/>
      <c r="V76" s="337"/>
      <c r="W76" s="291"/>
      <c r="X76" s="5"/>
    </row>
    <row r="77" spans="1:24" ht="15.6" x14ac:dyDescent="0.3">
      <c r="A77" s="340"/>
      <c r="B77" s="288"/>
      <c r="C77" s="337"/>
      <c r="D77" s="337"/>
      <c r="E77" s="337"/>
      <c r="F77" s="337"/>
      <c r="G77" s="337"/>
      <c r="H77" s="337"/>
      <c r="I77" s="337"/>
      <c r="J77" s="337"/>
      <c r="K77" s="337"/>
      <c r="L77" s="337"/>
      <c r="M77" s="337"/>
      <c r="N77" s="337"/>
      <c r="O77" s="337"/>
      <c r="P77" s="337"/>
      <c r="Q77" s="337"/>
      <c r="R77" s="337"/>
      <c r="S77" s="337"/>
      <c r="T77" s="337"/>
      <c r="U77" s="337"/>
      <c r="V77" s="337"/>
      <c r="W77" s="291"/>
      <c r="X77" s="5"/>
    </row>
    <row r="78" spans="1:24" ht="15.6" x14ac:dyDescent="0.3">
      <c r="A78" s="340"/>
      <c r="B78" s="288" t="s">
        <v>21</v>
      </c>
      <c r="C78" s="337"/>
      <c r="D78" s="337"/>
      <c r="E78" s="337"/>
      <c r="F78" s="337"/>
      <c r="G78" s="337"/>
      <c r="H78" s="337"/>
      <c r="I78" s="337"/>
      <c r="J78" s="337"/>
      <c r="K78" s="337"/>
      <c r="L78" s="337"/>
      <c r="M78" s="337"/>
      <c r="N78" s="337"/>
      <c r="O78" s="337"/>
      <c r="P78" s="337"/>
      <c r="Q78" s="337"/>
      <c r="R78" s="337"/>
      <c r="S78" s="337"/>
      <c r="T78" s="337"/>
      <c r="U78" s="337"/>
      <c r="V78" s="337"/>
      <c r="W78" s="291"/>
      <c r="X78" s="5"/>
    </row>
    <row r="79" spans="1:24" ht="15.6" x14ac:dyDescent="0.3">
      <c r="A79" s="340"/>
      <c r="B79" s="288"/>
      <c r="C79" s="337"/>
      <c r="D79" s="337"/>
      <c r="E79" s="337"/>
      <c r="F79" s="337"/>
      <c r="G79" s="337"/>
      <c r="H79" s="337"/>
      <c r="I79" s="337"/>
      <c r="J79" s="337"/>
      <c r="K79" s="337"/>
      <c r="L79" s="337"/>
      <c r="M79" s="337"/>
      <c r="N79" s="337"/>
      <c r="O79" s="337"/>
      <c r="P79" s="337"/>
      <c r="Q79" s="337"/>
      <c r="R79" s="337"/>
      <c r="S79" s="337"/>
      <c r="T79" s="337"/>
      <c r="U79" s="337"/>
      <c r="V79" s="337"/>
      <c r="W79" s="291"/>
      <c r="X79" s="5"/>
    </row>
    <row r="80" spans="1:24" ht="15.6" x14ac:dyDescent="0.3">
      <c r="A80" s="340"/>
      <c r="B80" s="288" t="s">
        <v>23</v>
      </c>
      <c r="C80" s="337"/>
      <c r="D80" s="337"/>
      <c r="E80" s="337"/>
      <c r="F80" s="337"/>
      <c r="G80" s="337"/>
      <c r="H80" s="337"/>
      <c r="I80" s="337"/>
      <c r="J80" s="337"/>
      <c r="K80" s="337"/>
      <c r="L80" s="337">
        <v>0</v>
      </c>
      <c r="M80" s="337"/>
      <c r="N80" s="337">
        <v>0</v>
      </c>
      <c r="O80" s="337"/>
      <c r="P80" s="337"/>
      <c r="Q80" s="337"/>
      <c r="R80" s="337"/>
      <c r="S80" s="337"/>
      <c r="T80" s="337"/>
      <c r="U80" s="337"/>
      <c r="V80" s="338">
        <v>0</v>
      </c>
      <c r="W80" s="291"/>
      <c r="X80" s="5"/>
    </row>
    <row r="81" spans="1:24" ht="15.6" x14ac:dyDescent="0.3">
      <c r="A81" s="340"/>
      <c r="B81" s="288" t="s">
        <v>117</v>
      </c>
      <c r="C81" s="337"/>
      <c r="D81" s="337"/>
      <c r="E81" s="337"/>
      <c r="F81" s="337"/>
      <c r="G81" s="337"/>
      <c r="H81" s="337"/>
      <c r="I81" s="337"/>
      <c r="J81" s="337"/>
      <c r="K81" s="337"/>
      <c r="L81" s="337">
        <v>342245</v>
      </c>
      <c r="M81" s="337"/>
      <c r="N81" s="337">
        <v>0</v>
      </c>
      <c r="O81" s="337"/>
      <c r="P81" s="337">
        <v>0</v>
      </c>
      <c r="Q81" s="337"/>
      <c r="R81" s="337"/>
      <c r="S81" s="337"/>
      <c r="T81" s="337"/>
      <c r="U81" s="337"/>
      <c r="V81" s="337">
        <f>SUM(N81:R81)</f>
        <v>0</v>
      </c>
      <c r="W81" s="291"/>
      <c r="X81" s="5"/>
    </row>
    <row r="82" spans="1:24" ht="15.6" x14ac:dyDescent="0.3">
      <c r="A82" s="340"/>
      <c r="B82" s="288"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91"/>
      <c r="X82" s="5"/>
    </row>
    <row r="83" spans="1:24" ht="15.6" x14ac:dyDescent="0.3">
      <c r="A83" s="340"/>
      <c r="B83" s="288" t="s">
        <v>25</v>
      </c>
      <c r="C83" s="337"/>
      <c r="D83" s="337"/>
      <c r="E83" s="337"/>
      <c r="F83" s="337"/>
      <c r="G83" s="337"/>
      <c r="H83" s="337"/>
      <c r="I83" s="337"/>
      <c r="J83" s="337"/>
      <c r="K83" s="337"/>
      <c r="L83" s="337">
        <v>0</v>
      </c>
      <c r="M83" s="337"/>
      <c r="N83" s="337">
        <v>0</v>
      </c>
      <c r="O83" s="337"/>
      <c r="P83" s="337"/>
      <c r="Q83" s="337"/>
      <c r="R83" s="337"/>
      <c r="S83" s="337"/>
      <c r="T83" s="337"/>
      <c r="U83" s="337"/>
      <c r="V83" s="337">
        <v>0</v>
      </c>
      <c r="W83" s="291"/>
      <c r="X83" s="5"/>
    </row>
    <row r="84" spans="1:24" ht="15.6" x14ac:dyDescent="0.3">
      <c r="A84" s="340"/>
      <c r="B84" s="288" t="s">
        <v>26</v>
      </c>
      <c r="C84" s="337"/>
      <c r="D84" s="337"/>
      <c r="E84" s="337"/>
      <c r="F84" s="337"/>
      <c r="G84" s="337"/>
      <c r="H84" s="337"/>
      <c r="I84" s="337"/>
      <c r="J84" s="337"/>
      <c r="K84" s="337"/>
      <c r="L84" s="337">
        <f>SUM(L71:L83)</f>
        <v>1500275</v>
      </c>
      <c r="M84" s="337"/>
      <c r="N84" s="337">
        <f>SUM(N71:N83)</f>
        <v>988321</v>
      </c>
      <c r="O84" s="337"/>
      <c r="P84" s="337"/>
      <c r="Q84" s="337"/>
      <c r="R84" s="337"/>
      <c r="S84" s="337"/>
      <c r="T84" s="337"/>
      <c r="U84" s="337"/>
      <c r="V84" s="337">
        <f>SUM(V71:V83)</f>
        <v>974774</v>
      </c>
      <c r="W84" s="291"/>
      <c r="X84" s="5"/>
    </row>
    <row r="85" spans="1:24" ht="15.6" x14ac:dyDescent="0.3">
      <c r="A85" s="243"/>
      <c r="B85" s="284"/>
      <c r="C85" s="339"/>
      <c r="D85" s="339"/>
      <c r="E85" s="339"/>
      <c r="F85" s="339"/>
      <c r="G85" s="339"/>
      <c r="H85" s="339"/>
      <c r="I85" s="339"/>
      <c r="J85" s="339"/>
      <c r="K85" s="339"/>
      <c r="L85" s="339"/>
      <c r="M85" s="339"/>
      <c r="N85" s="339"/>
      <c r="O85" s="339"/>
      <c r="P85" s="339"/>
      <c r="Q85" s="339"/>
      <c r="R85" s="339"/>
      <c r="S85" s="339"/>
      <c r="T85" s="339"/>
      <c r="U85" s="339"/>
      <c r="V85" s="339"/>
      <c r="W85" s="284"/>
      <c r="X85" s="5"/>
    </row>
    <row r="86" spans="1:24" ht="15.6" x14ac:dyDescent="0.3">
      <c r="A86" s="243"/>
      <c r="B86" s="224"/>
      <c r="C86" s="224"/>
      <c r="D86" s="224"/>
      <c r="E86" s="224"/>
      <c r="F86" s="224"/>
      <c r="G86" s="224"/>
      <c r="H86" s="224"/>
      <c r="I86" s="224"/>
      <c r="J86" s="224"/>
      <c r="K86" s="224"/>
      <c r="L86" s="224"/>
      <c r="M86" s="224"/>
      <c r="N86" s="224"/>
      <c r="O86" s="224"/>
      <c r="P86" s="224"/>
      <c r="Q86" s="224"/>
      <c r="R86" s="224"/>
      <c r="S86" s="224"/>
      <c r="T86" s="224"/>
      <c r="U86" s="224"/>
      <c r="V86" s="224"/>
      <c r="W86" s="224"/>
      <c r="X86" s="5"/>
    </row>
    <row r="87" spans="1:24" ht="15.6" x14ac:dyDescent="0.3">
      <c r="A87" s="262"/>
      <c r="B87" s="399" t="s">
        <v>27</v>
      </c>
      <c r="C87" s="399"/>
      <c r="D87" s="399"/>
      <c r="E87" s="399"/>
      <c r="F87" s="399"/>
      <c r="G87" s="399"/>
      <c r="H87" s="400"/>
      <c r="I87" s="400"/>
      <c r="J87" s="400"/>
      <c r="K87" s="400"/>
      <c r="L87" s="401" t="s">
        <v>95</v>
      </c>
      <c r="M87" s="400"/>
      <c r="N87" s="402">
        <f>+T205</f>
        <v>42429</v>
      </c>
      <c r="O87" s="400"/>
      <c r="P87" s="400"/>
      <c r="Q87" s="400"/>
      <c r="R87" s="400"/>
      <c r="S87" s="400"/>
      <c r="T87" s="400" t="s">
        <v>107</v>
      </c>
      <c r="U87" s="400"/>
      <c r="V87" s="400" t="s">
        <v>113</v>
      </c>
      <c r="W87" s="263"/>
      <c r="X87" s="5"/>
    </row>
    <row r="88" spans="1:24" ht="15.6" x14ac:dyDescent="0.3">
      <c r="A88" s="242"/>
      <c r="B88" s="231" t="s">
        <v>28</v>
      </c>
      <c r="C88" s="231"/>
      <c r="D88" s="231"/>
      <c r="E88" s="231"/>
      <c r="F88" s="231"/>
      <c r="G88" s="231"/>
      <c r="H88" s="231"/>
      <c r="I88" s="231"/>
      <c r="J88" s="231"/>
      <c r="K88" s="231"/>
      <c r="L88" s="231"/>
      <c r="M88" s="231"/>
      <c r="N88" s="231"/>
      <c r="O88" s="231"/>
      <c r="P88" s="231"/>
      <c r="Q88" s="231"/>
      <c r="R88" s="231"/>
      <c r="S88" s="231"/>
      <c r="T88" s="234">
        <v>0</v>
      </c>
      <c r="U88" s="231"/>
      <c r="V88" s="241">
        <v>0</v>
      </c>
      <c r="W88" s="231"/>
      <c r="X88" s="5"/>
    </row>
    <row r="89" spans="1:24" ht="15.6" x14ac:dyDescent="0.3">
      <c r="A89" s="340"/>
      <c r="B89" s="288" t="s">
        <v>29</v>
      </c>
      <c r="C89" s="288"/>
      <c r="D89" s="288"/>
      <c r="E89" s="288"/>
      <c r="F89" s="288"/>
      <c r="G89" s="288"/>
      <c r="H89" s="325"/>
      <c r="I89" s="325"/>
      <c r="J89" s="325"/>
      <c r="K89" s="341"/>
      <c r="L89" s="325"/>
      <c r="M89" s="288"/>
      <c r="N89" s="342"/>
      <c r="O89" s="288"/>
      <c r="P89" s="288"/>
      <c r="Q89" s="288"/>
      <c r="R89" s="288"/>
      <c r="S89" s="288"/>
      <c r="T89" s="337">
        <f>14283-355</f>
        <v>13928</v>
      </c>
      <c r="U89" s="288"/>
      <c r="V89" s="338"/>
      <c r="W89" s="291"/>
      <c r="X89" s="5"/>
    </row>
    <row r="90" spans="1:24" ht="15.6" x14ac:dyDescent="0.3">
      <c r="A90" s="340"/>
      <c r="B90" s="288" t="s">
        <v>216</v>
      </c>
      <c r="C90" s="288"/>
      <c r="D90" s="288"/>
      <c r="E90" s="288"/>
      <c r="F90" s="288"/>
      <c r="G90" s="288"/>
      <c r="H90" s="325"/>
      <c r="I90" s="325"/>
      <c r="J90" s="325"/>
      <c r="K90" s="341"/>
      <c r="L90" s="325"/>
      <c r="M90" s="288"/>
      <c r="N90" s="342"/>
      <c r="O90" s="288"/>
      <c r="P90" s="288"/>
      <c r="Q90" s="288"/>
      <c r="R90" s="288"/>
      <c r="S90" s="288"/>
      <c r="T90" s="337"/>
      <c r="U90" s="288"/>
      <c r="V90" s="338">
        <f>3416+4156-586-1083</f>
        <v>5903</v>
      </c>
      <c r="W90" s="291"/>
      <c r="X90" s="5"/>
    </row>
    <row r="91" spans="1:24" ht="15.6" x14ac:dyDescent="0.3">
      <c r="A91" s="340"/>
      <c r="B91" s="288" t="s">
        <v>211</v>
      </c>
      <c r="C91" s="288"/>
      <c r="D91" s="288"/>
      <c r="E91" s="288"/>
      <c r="F91" s="288"/>
      <c r="G91" s="288"/>
      <c r="H91" s="325"/>
      <c r="I91" s="325"/>
      <c r="J91" s="325"/>
      <c r="K91" s="341"/>
      <c r="L91" s="325"/>
      <c r="M91" s="288"/>
      <c r="N91" s="342"/>
      <c r="O91" s="288"/>
      <c r="P91" s="288"/>
      <c r="Q91" s="288"/>
      <c r="R91" s="288"/>
      <c r="S91" s="288"/>
      <c r="T91" s="337"/>
      <c r="U91" s="288"/>
      <c r="V91" s="338">
        <f>103+125</f>
        <v>228</v>
      </c>
      <c r="W91" s="291"/>
      <c r="X91" s="5"/>
    </row>
    <row r="92" spans="1:24" ht="15.6" x14ac:dyDescent="0.3">
      <c r="A92" s="340"/>
      <c r="B92" s="288" t="s">
        <v>212</v>
      </c>
      <c r="C92" s="288"/>
      <c r="D92" s="288"/>
      <c r="E92" s="288"/>
      <c r="F92" s="288"/>
      <c r="G92" s="288"/>
      <c r="H92" s="325"/>
      <c r="I92" s="325"/>
      <c r="J92" s="325"/>
      <c r="K92" s="341"/>
      <c r="L92" s="325"/>
      <c r="M92" s="288"/>
      <c r="N92" s="342"/>
      <c r="O92" s="288"/>
      <c r="P92" s="288"/>
      <c r="Q92" s="288"/>
      <c r="R92" s="288"/>
      <c r="S92" s="288"/>
      <c r="T92" s="337"/>
      <c r="U92" s="288"/>
      <c r="V92" s="338">
        <v>47</v>
      </c>
      <c r="W92" s="291"/>
      <c r="X92" s="5"/>
    </row>
    <row r="93" spans="1:24" ht="15.6" x14ac:dyDescent="0.3">
      <c r="A93" s="340"/>
      <c r="B93" s="288" t="s">
        <v>272</v>
      </c>
      <c r="C93" s="288"/>
      <c r="D93" s="288"/>
      <c r="E93" s="288"/>
      <c r="F93" s="288"/>
      <c r="G93" s="288"/>
      <c r="H93" s="325"/>
      <c r="I93" s="325"/>
      <c r="J93" s="325"/>
      <c r="K93" s="341"/>
      <c r="L93" s="325"/>
      <c r="M93" s="288"/>
      <c r="N93" s="342"/>
      <c r="O93" s="288"/>
      <c r="P93" s="288"/>
      <c r="Q93" s="288"/>
      <c r="R93" s="288"/>
      <c r="S93" s="288"/>
      <c r="T93" s="337"/>
      <c r="U93" s="288"/>
      <c r="V93" s="338">
        <v>0</v>
      </c>
      <c r="W93" s="291"/>
      <c r="X93" s="5"/>
    </row>
    <row r="94" spans="1:24" ht="15.6" x14ac:dyDescent="0.3">
      <c r="A94" s="340"/>
      <c r="B94" s="288" t="s">
        <v>274</v>
      </c>
      <c r="C94" s="288"/>
      <c r="D94" s="288"/>
      <c r="E94" s="288"/>
      <c r="F94" s="288"/>
      <c r="G94" s="288"/>
      <c r="H94" s="325"/>
      <c r="I94" s="325"/>
      <c r="J94" s="325"/>
      <c r="K94" s="341"/>
      <c r="L94" s="325"/>
      <c r="M94" s="288"/>
      <c r="N94" s="342"/>
      <c r="O94" s="288"/>
      <c r="P94" s="288"/>
      <c r="Q94" s="288"/>
      <c r="R94" s="288"/>
      <c r="S94" s="288"/>
      <c r="T94" s="337"/>
      <c r="U94" s="288"/>
      <c r="V94" s="338">
        <v>0</v>
      </c>
      <c r="W94" s="291"/>
      <c r="X94" s="5"/>
    </row>
    <row r="95" spans="1:24" ht="15.6" x14ac:dyDescent="0.3">
      <c r="A95" s="340"/>
      <c r="B95" s="288" t="s">
        <v>135</v>
      </c>
      <c r="C95" s="288"/>
      <c r="D95" s="288"/>
      <c r="E95" s="288"/>
      <c r="F95" s="288"/>
      <c r="G95" s="288"/>
      <c r="H95" s="288"/>
      <c r="I95" s="288"/>
      <c r="J95" s="288"/>
      <c r="K95" s="288"/>
      <c r="L95" s="288"/>
      <c r="M95" s="288"/>
      <c r="N95" s="288"/>
      <c r="O95" s="288"/>
      <c r="P95" s="288"/>
      <c r="Q95" s="288"/>
      <c r="R95" s="288"/>
      <c r="S95" s="288"/>
      <c r="T95" s="337"/>
      <c r="U95" s="288"/>
      <c r="V95" s="338">
        <v>0</v>
      </c>
      <c r="W95" s="291"/>
      <c r="X95" s="5"/>
    </row>
    <row r="96" spans="1:24" ht="15.6" x14ac:dyDescent="0.3">
      <c r="A96" s="340"/>
      <c r="B96" s="288" t="s">
        <v>268</v>
      </c>
      <c r="C96" s="288"/>
      <c r="D96" s="288"/>
      <c r="E96" s="288"/>
      <c r="F96" s="288"/>
      <c r="G96" s="288"/>
      <c r="H96" s="288"/>
      <c r="I96" s="288"/>
      <c r="J96" s="288"/>
      <c r="K96" s="288"/>
      <c r="L96" s="288"/>
      <c r="M96" s="288"/>
      <c r="N96" s="288"/>
      <c r="O96" s="288"/>
      <c r="P96" s="288"/>
      <c r="Q96" s="288"/>
      <c r="R96" s="288"/>
      <c r="S96" s="288"/>
      <c r="T96" s="337"/>
      <c r="U96" s="288"/>
      <c r="V96" s="338">
        <v>216</v>
      </c>
      <c r="W96" s="291"/>
      <c r="X96" s="5"/>
    </row>
    <row r="97" spans="1:25" ht="15.6" x14ac:dyDescent="0.3">
      <c r="A97" s="340"/>
      <c r="B97" s="288" t="s">
        <v>30</v>
      </c>
      <c r="C97" s="288"/>
      <c r="D97" s="288"/>
      <c r="E97" s="288"/>
      <c r="F97" s="288"/>
      <c r="G97" s="288"/>
      <c r="H97" s="288"/>
      <c r="I97" s="288"/>
      <c r="J97" s="288"/>
      <c r="K97" s="288"/>
      <c r="L97" s="288"/>
      <c r="M97" s="288"/>
      <c r="N97" s="288"/>
      <c r="O97" s="288"/>
      <c r="P97" s="288"/>
      <c r="Q97" s="288"/>
      <c r="R97" s="288"/>
      <c r="S97" s="288"/>
      <c r="T97" s="337">
        <f>SUM(T88:T96)</f>
        <v>13928</v>
      </c>
      <c r="U97" s="288"/>
      <c r="V97" s="337">
        <f>SUM(V88:V96)</f>
        <v>6394</v>
      </c>
      <c r="W97" s="291"/>
      <c r="X97" s="5"/>
    </row>
    <row r="98" spans="1:25" ht="15.6" x14ac:dyDescent="0.3">
      <c r="A98" s="340"/>
      <c r="B98" s="288" t="s">
        <v>161</v>
      </c>
      <c r="C98" s="288"/>
      <c r="D98" s="288"/>
      <c r="E98" s="288"/>
      <c r="F98" s="288"/>
      <c r="G98" s="288"/>
      <c r="H98" s="288"/>
      <c r="I98" s="288"/>
      <c r="J98" s="288"/>
      <c r="K98" s="288"/>
      <c r="L98" s="288"/>
      <c r="M98" s="288"/>
      <c r="N98" s="288"/>
      <c r="O98" s="288"/>
      <c r="P98" s="288"/>
      <c r="Q98" s="288"/>
      <c r="R98" s="288"/>
      <c r="S98" s="288"/>
      <c r="T98" s="337">
        <f>-V98</f>
        <v>0</v>
      </c>
      <c r="U98" s="288"/>
      <c r="V98" s="337">
        <v>0</v>
      </c>
      <c r="W98" s="291"/>
      <c r="X98" s="5"/>
    </row>
    <row r="99" spans="1:25" ht="15.6" x14ac:dyDescent="0.3">
      <c r="A99" s="340"/>
      <c r="B99" s="288" t="s">
        <v>31</v>
      </c>
      <c r="C99" s="288"/>
      <c r="D99" s="288"/>
      <c r="E99" s="288"/>
      <c r="F99" s="288"/>
      <c r="G99" s="288"/>
      <c r="H99" s="288"/>
      <c r="I99" s="288"/>
      <c r="J99" s="288"/>
      <c r="K99" s="288"/>
      <c r="L99" s="288"/>
      <c r="M99" s="288"/>
      <c r="N99" s="288"/>
      <c r="O99" s="288"/>
      <c r="P99" s="288"/>
      <c r="Q99" s="288"/>
      <c r="R99" s="288"/>
      <c r="S99" s="288"/>
      <c r="T99" s="337">
        <f>-V99</f>
        <v>0</v>
      </c>
      <c r="U99" s="288"/>
      <c r="V99" s="338">
        <v>0</v>
      </c>
      <c r="W99" s="291"/>
      <c r="X99" s="5"/>
    </row>
    <row r="100" spans="1:25" ht="15.6" x14ac:dyDescent="0.3">
      <c r="A100" s="340"/>
      <c r="B100" s="288" t="s">
        <v>283</v>
      </c>
      <c r="C100" s="288"/>
      <c r="D100" s="288"/>
      <c r="E100" s="288"/>
      <c r="F100" s="288"/>
      <c r="G100" s="288"/>
      <c r="H100" s="288"/>
      <c r="I100" s="288"/>
      <c r="J100" s="288"/>
      <c r="K100" s="288"/>
      <c r="L100" s="288"/>
      <c r="M100" s="288"/>
      <c r="N100" s="288"/>
      <c r="O100" s="288"/>
      <c r="P100" s="288"/>
      <c r="Q100" s="288"/>
      <c r="R100" s="288"/>
      <c r="S100" s="288"/>
      <c r="T100" s="337"/>
      <c r="U100" s="288"/>
      <c r="V100" s="338">
        <v>171</v>
      </c>
      <c r="W100" s="291"/>
      <c r="X100" s="5"/>
    </row>
    <row r="101" spans="1:25" ht="15.6" x14ac:dyDescent="0.3">
      <c r="A101" s="340"/>
      <c r="B101" s="288" t="s">
        <v>32</v>
      </c>
      <c r="C101" s="288"/>
      <c r="D101" s="288"/>
      <c r="E101" s="288"/>
      <c r="F101" s="288"/>
      <c r="G101" s="288"/>
      <c r="H101" s="288"/>
      <c r="I101" s="288"/>
      <c r="J101" s="288"/>
      <c r="K101" s="288"/>
      <c r="L101" s="288"/>
      <c r="M101" s="288"/>
      <c r="N101" s="288"/>
      <c r="O101" s="288"/>
      <c r="P101" s="288"/>
      <c r="Q101" s="288"/>
      <c r="R101" s="288"/>
      <c r="S101" s="288"/>
      <c r="T101" s="337">
        <f>T97+T99+T98</f>
        <v>13928</v>
      </c>
      <c r="U101" s="288"/>
      <c r="V101" s="337">
        <f>V97+V99+V98+V100</f>
        <v>6565</v>
      </c>
      <c r="W101" s="291"/>
      <c r="X101" s="5"/>
    </row>
    <row r="102" spans="1:25" ht="15.6" x14ac:dyDescent="0.3">
      <c r="A102" s="287"/>
      <c r="B102" s="343" t="s">
        <v>33</v>
      </c>
      <c r="C102" s="314"/>
      <c r="D102" s="314"/>
      <c r="E102" s="314"/>
      <c r="F102" s="314"/>
      <c r="G102" s="314"/>
      <c r="H102" s="314"/>
      <c r="I102" s="314"/>
      <c r="J102" s="314"/>
      <c r="K102" s="314"/>
      <c r="L102" s="314"/>
      <c r="M102" s="314"/>
      <c r="N102" s="314"/>
      <c r="O102" s="314"/>
      <c r="P102" s="314"/>
      <c r="Q102" s="314"/>
      <c r="R102" s="314"/>
      <c r="S102" s="314"/>
      <c r="T102" s="344"/>
      <c r="U102" s="314"/>
      <c r="V102" s="345"/>
      <c r="W102" s="318"/>
      <c r="X102" s="5"/>
    </row>
    <row r="103" spans="1:25" ht="15.6" x14ac:dyDescent="0.3">
      <c r="A103" s="340">
        <v>1</v>
      </c>
      <c r="B103" s="288" t="s">
        <v>34</v>
      </c>
      <c r="C103" s="288"/>
      <c r="D103" s="288"/>
      <c r="E103" s="288"/>
      <c r="F103" s="288"/>
      <c r="G103" s="288"/>
      <c r="H103" s="288"/>
      <c r="I103" s="288"/>
      <c r="J103" s="288"/>
      <c r="K103" s="288"/>
      <c r="L103" s="288"/>
      <c r="M103" s="288"/>
      <c r="N103" s="288"/>
      <c r="O103" s="288"/>
      <c r="P103" s="288"/>
      <c r="Q103" s="288"/>
      <c r="R103" s="288"/>
      <c r="S103" s="288"/>
      <c r="T103" s="288"/>
      <c r="U103" s="288"/>
      <c r="V103" s="338">
        <v>0</v>
      </c>
      <c r="W103" s="291"/>
      <c r="X103" s="5"/>
    </row>
    <row r="104" spans="1:25" ht="15.6" x14ac:dyDescent="0.3">
      <c r="A104" s="340">
        <f>+A103+1</f>
        <v>2</v>
      </c>
      <c r="B104" s="288" t="s">
        <v>330</v>
      </c>
      <c r="C104" s="288"/>
      <c r="D104" s="288"/>
      <c r="E104" s="288"/>
      <c r="F104" s="288"/>
      <c r="G104" s="288"/>
      <c r="H104" s="288"/>
      <c r="I104" s="288"/>
      <c r="J104" s="288"/>
      <c r="K104" s="288"/>
      <c r="L104" s="288"/>
      <c r="M104" s="288"/>
      <c r="N104" s="288"/>
      <c r="O104" s="288"/>
      <c r="P104" s="288"/>
      <c r="Q104" s="288"/>
      <c r="R104" s="288"/>
      <c r="S104" s="288"/>
      <c r="T104" s="288"/>
      <c r="U104" s="288"/>
      <c r="V104" s="338">
        <v>-2</v>
      </c>
      <c r="W104" s="291"/>
      <c r="X104" s="5"/>
    </row>
    <row r="105" spans="1:25" ht="15.6" x14ac:dyDescent="0.3">
      <c r="A105" s="340">
        <f>+A104+1</f>
        <v>3</v>
      </c>
      <c r="B105" s="288" t="s">
        <v>331</v>
      </c>
      <c r="C105" s="288"/>
      <c r="D105" s="288"/>
      <c r="E105" s="288"/>
      <c r="F105" s="288"/>
      <c r="G105" s="288"/>
      <c r="H105" s="288"/>
      <c r="I105" s="288"/>
      <c r="J105" s="288"/>
      <c r="K105" s="288"/>
      <c r="L105" s="288"/>
      <c r="M105" s="288"/>
      <c r="N105" s="288"/>
      <c r="O105" s="288"/>
      <c r="P105" s="288"/>
      <c r="Q105" s="288"/>
      <c r="R105" s="288"/>
      <c r="S105" s="288"/>
      <c r="T105" s="288"/>
      <c r="U105" s="288"/>
      <c r="V105" s="338">
        <f>-124-206-12</f>
        <v>-342</v>
      </c>
      <c r="W105" s="291"/>
      <c r="X105" s="5"/>
    </row>
    <row r="106" spans="1:25" ht="15.6" x14ac:dyDescent="0.3">
      <c r="A106" s="340" t="s">
        <v>127</v>
      </c>
      <c r="B106" s="288" t="s">
        <v>116</v>
      </c>
      <c r="C106" s="288"/>
      <c r="D106" s="288"/>
      <c r="E106" s="288"/>
      <c r="F106" s="288"/>
      <c r="G106" s="288"/>
      <c r="H106" s="288"/>
      <c r="I106" s="288"/>
      <c r="J106" s="288"/>
      <c r="K106" s="288"/>
      <c r="L106" s="288"/>
      <c r="M106" s="288"/>
      <c r="N106" s="288"/>
      <c r="O106" s="288"/>
      <c r="P106" s="288"/>
      <c r="Q106" s="288"/>
      <c r="R106" s="288"/>
      <c r="S106" s="288"/>
      <c r="T106" s="288"/>
      <c r="U106" s="288"/>
      <c r="V106" s="338">
        <v>0</v>
      </c>
      <c r="W106" s="291"/>
      <c r="X106" s="5"/>
    </row>
    <row r="107" spans="1:25" ht="15.6" x14ac:dyDescent="0.3">
      <c r="A107" s="340" t="s">
        <v>128</v>
      </c>
      <c r="B107" s="288" t="s">
        <v>222</v>
      </c>
      <c r="C107" s="288"/>
      <c r="D107" s="288"/>
      <c r="E107" s="288"/>
      <c r="F107" s="288"/>
      <c r="G107" s="288"/>
      <c r="H107" s="288"/>
      <c r="I107" s="288"/>
      <c r="J107" s="288"/>
      <c r="K107" s="288"/>
      <c r="L107" s="288"/>
      <c r="M107" s="288"/>
      <c r="N107" s="288"/>
      <c r="O107" s="288"/>
      <c r="P107" s="288"/>
      <c r="Q107" s="288"/>
      <c r="R107" s="288"/>
      <c r="S107" s="288"/>
      <c r="T107" s="288"/>
      <c r="U107" s="288"/>
      <c r="V107" s="338">
        <f>-1563+146</f>
        <v>-1417</v>
      </c>
      <c r="W107" s="291"/>
      <c r="X107" s="5"/>
      <c r="Y107" s="109"/>
    </row>
    <row r="108" spans="1:25" ht="15.6" x14ac:dyDescent="0.3">
      <c r="A108" s="340" t="s">
        <v>150</v>
      </c>
      <c r="B108" s="288" t="s">
        <v>184</v>
      </c>
      <c r="C108" s="288"/>
      <c r="D108" s="288"/>
      <c r="E108" s="288"/>
      <c r="F108" s="288"/>
      <c r="G108" s="288"/>
      <c r="H108" s="288"/>
      <c r="I108" s="288"/>
      <c r="J108" s="288"/>
      <c r="K108" s="288"/>
      <c r="L108" s="288"/>
      <c r="M108" s="288"/>
      <c r="N108" s="288"/>
      <c r="O108" s="288"/>
      <c r="P108" s="288"/>
      <c r="Q108" s="288"/>
      <c r="R108" s="288"/>
      <c r="S108" s="288"/>
      <c r="T108" s="288"/>
      <c r="U108" s="288"/>
      <c r="V108" s="338">
        <v>-146</v>
      </c>
      <c r="W108" s="291"/>
      <c r="X108" s="5"/>
      <c r="Y108" s="109"/>
    </row>
    <row r="109" spans="1:25" ht="15.6" x14ac:dyDescent="0.3">
      <c r="A109" s="340" t="s">
        <v>236</v>
      </c>
      <c r="B109" s="288" t="s">
        <v>238</v>
      </c>
      <c r="C109" s="288"/>
      <c r="D109" s="288"/>
      <c r="E109" s="288"/>
      <c r="F109" s="288"/>
      <c r="G109" s="288"/>
      <c r="H109" s="288"/>
      <c r="I109" s="288"/>
      <c r="J109" s="288"/>
      <c r="K109" s="288"/>
      <c r="L109" s="288"/>
      <c r="M109" s="288"/>
      <c r="N109" s="288"/>
      <c r="O109" s="288"/>
      <c r="P109" s="288"/>
      <c r="Q109" s="288"/>
      <c r="R109" s="288"/>
      <c r="S109" s="288"/>
      <c r="T109" s="288"/>
      <c r="U109" s="288"/>
      <c r="V109" s="338">
        <v>0</v>
      </c>
      <c r="W109" s="291"/>
      <c r="X109" s="5"/>
    </row>
    <row r="110" spans="1:25" ht="15.6" x14ac:dyDescent="0.3">
      <c r="A110" s="340" t="s">
        <v>205</v>
      </c>
      <c r="B110" s="288" t="s">
        <v>185</v>
      </c>
      <c r="C110" s="288"/>
      <c r="D110" s="288"/>
      <c r="E110" s="288"/>
      <c r="F110" s="288"/>
      <c r="G110" s="288"/>
      <c r="H110" s="288"/>
      <c r="I110" s="288"/>
      <c r="J110" s="288"/>
      <c r="K110" s="288"/>
      <c r="L110" s="288"/>
      <c r="M110" s="288"/>
      <c r="N110" s="288"/>
      <c r="O110" s="288"/>
      <c r="P110" s="288"/>
      <c r="Q110" s="288"/>
      <c r="R110" s="288"/>
      <c r="S110" s="288"/>
      <c r="T110" s="288"/>
      <c r="U110" s="288"/>
      <c r="V110" s="338">
        <v>-152</v>
      </c>
      <c r="W110" s="291"/>
      <c r="X110" s="5"/>
      <c r="Y110" s="109"/>
    </row>
    <row r="111" spans="1:25" ht="15.6" x14ac:dyDescent="0.3">
      <c r="A111" s="340" t="s">
        <v>206</v>
      </c>
      <c r="B111" s="288" t="s">
        <v>186</v>
      </c>
      <c r="C111" s="288"/>
      <c r="D111" s="288"/>
      <c r="E111" s="288"/>
      <c r="F111" s="288"/>
      <c r="G111" s="288"/>
      <c r="H111" s="288"/>
      <c r="I111" s="288"/>
      <c r="J111" s="288"/>
      <c r="K111" s="288"/>
      <c r="L111" s="288"/>
      <c r="M111" s="288"/>
      <c r="N111" s="288"/>
      <c r="O111" s="288"/>
      <c r="P111" s="288"/>
      <c r="Q111" s="288"/>
      <c r="R111" s="288"/>
      <c r="S111" s="288"/>
      <c r="T111" s="288"/>
      <c r="U111" s="288"/>
      <c r="V111" s="338">
        <v>-122</v>
      </c>
      <c r="W111" s="291"/>
      <c r="X111" s="179"/>
      <c r="Y111" s="109"/>
    </row>
    <row r="112" spans="1:25" ht="15.6" x14ac:dyDescent="0.3">
      <c r="A112" s="340" t="s">
        <v>207</v>
      </c>
      <c r="B112" s="288" t="s">
        <v>196</v>
      </c>
      <c r="C112" s="288"/>
      <c r="D112" s="288"/>
      <c r="E112" s="288"/>
      <c r="F112" s="288"/>
      <c r="G112" s="288"/>
      <c r="H112" s="288"/>
      <c r="I112" s="288"/>
      <c r="J112" s="288"/>
      <c r="K112" s="288"/>
      <c r="L112" s="288"/>
      <c r="M112" s="288"/>
      <c r="N112" s="288"/>
      <c r="O112" s="288"/>
      <c r="P112" s="288"/>
      <c r="Q112" s="288"/>
      <c r="R112" s="288"/>
      <c r="S112" s="288"/>
      <c r="T112" s="288"/>
      <c r="U112" s="288"/>
      <c r="V112" s="338">
        <v>-335</v>
      </c>
      <c r="W112" s="291"/>
      <c r="X112" s="5"/>
      <c r="Y112" s="109"/>
    </row>
    <row r="113" spans="1:25" ht="15.6" x14ac:dyDescent="0.3">
      <c r="A113" s="340" t="s">
        <v>224</v>
      </c>
      <c r="B113" s="288" t="s">
        <v>223</v>
      </c>
      <c r="C113" s="288"/>
      <c r="D113" s="288"/>
      <c r="E113" s="288"/>
      <c r="F113" s="288"/>
      <c r="G113" s="288"/>
      <c r="H113" s="288"/>
      <c r="I113" s="288"/>
      <c r="J113" s="288"/>
      <c r="K113" s="288"/>
      <c r="L113" s="288"/>
      <c r="M113" s="288"/>
      <c r="N113" s="288"/>
      <c r="O113" s="288"/>
      <c r="P113" s="288"/>
      <c r="Q113" s="288"/>
      <c r="R113" s="288"/>
      <c r="S113" s="288"/>
      <c r="T113" s="288"/>
      <c r="U113" s="288"/>
      <c r="V113" s="338">
        <v>-67</v>
      </c>
      <c r="W113" s="291"/>
      <c r="X113" s="5"/>
      <c r="Y113" s="109"/>
    </row>
    <row r="114" spans="1:25" ht="15.6" x14ac:dyDescent="0.3">
      <c r="A114" s="340">
        <v>7</v>
      </c>
      <c r="B114" s="288" t="s">
        <v>35</v>
      </c>
      <c r="C114" s="288"/>
      <c r="D114" s="288"/>
      <c r="E114" s="288"/>
      <c r="F114" s="288"/>
      <c r="G114" s="288"/>
      <c r="H114" s="288"/>
      <c r="I114" s="288"/>
      <c r="J114" s="288"/>
      <c r="K114" s="288"/>
      <c r="L114" s="288"/>
      <c r="M114" s="288"/>
      <c r="N114" s="288"/>
      <c r="O114" s="288"/>
      <c r="P114" s="288"/>
      <c r="Q114" s="288"/>
      <c r="R114" s="288"/>
      <c r="S114" s="288"/>
      <c r="T114" s="288"/>
      <c r="U114" s="288"/>
      <c r="V114" s="338">
        <v>-8</v>
      </c>
      <c r="W114" s="291"/>
      <c r="X114" s="5"/>
    </row>
    <row r="115" spans="1:25" ht="15.6" x14ac:dyDescent="0.3">
      <c r="A115" s="340">
        <f t="shared" ref="A115:A121" si="0">+A114+1</f>
        <v>8</v>
      </c>
      <c r="B115" s="288" t="s">
        <v>45</v>
      </c>
      <c r="C115" s="288"/>
      <c r="D115" s="288"/>
      <c r="E115" s="288"/>
      <c r="F115" s="288"/>
      <c r="G115" s="288"/>
      <c r="H115" s="288"/>
      <c r="I115" s="288"/>
      <c r="J115" s="288"/>
      <c r="K115" s="288"/>
      <c r="L115" s="288"/>
      <c r="M115" s="288"/>
      <c r="N115" s="288"/>
      <c r="O115" s="288"/>
      <c r="P115" s="288"/>
      <c r="Q115" s="288"/>
      <c r="R115" s="288"/>
      <c r="S115" s="288"/>
      <c r="T115" s="337">
        <f>-V115</f>
        <v>355</v>
      </c>
      <c r="U115" s="288"/>
      <c r="V115" s="338">
        <v>-355</v>
      </c>
      <c r="W115" s="291"/>
      <c r="X115" s="5"/>
    </row>
    <row r="116" spans="1:25" ht="15.6" x14ac:dyDescent="0.3">
      <c r="A116" s="340">
        <f t="shared" si="0"/>
        <v>9</v>
      </c>
      <c r="B116" s="288" t="s">
        <v>125</v>
      </c>
      <c r="C116" s="288"/>
      <c r="D116" s="288"/>
      <c r="E116" s="288"/>
      <c r="F116" s="288"/>
      <c r="G116" s="288"/>
      <c r="H116" s="288"/>
      <c r="I116" s="288"/>
      <c r="J116" s="288"/>
      <c r="K116" s="288"/>
      <c r="L116" s="288"/>
      <c r="M116" s="288"/>
      <c r="N116" s="288"/>
      <c r="O116" s="288"/>
      <c r="P116" s="288"/>
      <c r="Q116" s="288"/>
      <c r="R116" s="288"/>
      <c r="S116" s="288"/>
      <c r="T116" s="288"/>
      <c r="U116" s="288"/>
      <c r="V116" s="338">
        <v>0</v>
      </c>
      <c r="W116" s="291"/>
      <c r="X116" s="5"/>
    </row>
    <row r="117" spans="1:25" ht="15.6" x14ac:dyDescent="0.3">
      <c r="A117" s="340">
        <f t="shared" si="0"/>
        <v>10</v>
      </c>
      <c r="B117" s="288" t="s">
        <v>240</v>
      </c>
      <c r="C117" s="288"/>
      <c r="D117" s="288"/>
      <c r="E117" s="288"/>
      <c r="F117" s="288"/>
      <c r="G117" s="288"/>
      <c r="H117" s="288"/>
      <c r="I117" s="288"/>
      <c r="J117" s="288"/>
      <c r="K117" s="288"/>
      <c r="L117" s="288"/>
      <c r="M117" s="288"/>
      <c r="N117" s="288"/>
      <c r="O117" s="288"/>
      <c r="P117" s="288"/>
      <c r="Q117" s="288"/>
      <c r="R117" s="288"/>
      <c r="S117" s="288"/>
      <c r="T117" s="288"/>
      <c r="U117" s="288"/>
      <c r="V117" s="338">
        <v>0</v>
      </c>
      <c r="W117" s="291"/>
      <c r="X117" s="5"/>
    </row>
    <row r="118" spans="1:25" ht="15.6" x14ac:dyDescent="0.3">
      <c r="A118" s="340">
        <f t="shared" si="0"/>
        <v>11</v>
      </c>
      <c r="B118" s="288" t="s">
        <v>36</v>
      </c>
      <c r="C118" s="288"/>
      <c r="D118" s="288"/>
      <c r="E118" s="288"/>
      <c r="F118" s="288"/>
      <c r="G118" s="288"/>
      <c r="H118" s="288"/>
      <c r="I118" s="288"/>
      <c r="J118" s="288"/>
      <c r="K118" s="288"/>
      <c r="L118" s="288"/>
      <c r="M118" s="288"/>
      <c r="N118" s="288"/>
      <c r="O118" s="288"/>
      <c r="P118" s="288"/>
      <c r="Q118" s="288"/>
      <c r="R118" s="288"/>
      <c r="S118" s="288"/>
      <c r="T118" s="288"/>
      <c r="U118" s="288"/>
      <c r="V118" s="338">
        <v>0</v>
      </c>
      <c r="W118" s="291"/>
      <c r="X118" s="5"/>
    </row>
    <row r="119" spans="1:25" ht="15.6" x14ac:dyDescent="0.3">
      <c r="A119" s="340">
        <f t="shared" si="0"/>
        <v>12</v>
      </c>
      <c r="B119" s="288" t="s">
        <v>239</v>
      </c>
      <c r="C119" s="288"/>
      <c r="D119" s="288"/>
      <c r="E119" s="288"/>
      <c r="F119" s="288"/>
      <c r="G119" s="288"/>
      <c r="H119" s="288"/>
      <c r="I119" s="288"/>
      <c r="J119" s="288"/>
      <c r="K119" s="288"/>
      <c r="L119" s="288"/>
      <c r="M119" s="288"/>
      <c r="N119" s="288"/>
      <c r="O119" s="288"/>
      <c r="P119" s="288"/>
      <c r="Q119" s="288"/>
      <c r="R119" s="288"/>
      <c r="S119" s="288"/>
      <c r="T119" s="288"/>
      <c r="U119" s="288"/>
      <c r="V119" s="338">
        <v>0</v>
      </c>
      <c r="W119" s="291"/>
      <c r="X119" s="5"/>
    </row>
    <row r="120" spans="1:25" ht="15.6" x14ac:dyDescent="0.3">
      <c r="A120" s="340">
        <f t="shared" si="0"/>
        <v>13</v>
      </c>
      <c r="B120" s="288" t="s">
        <v>149</v>
      </c>
      <c r="C120" s="288"/>
      <c r="D120" s="288"/>
      <c r="E120" s="288"/>
      <c r="F120" s="288"/>
      <c r="G120" s="288"/>
      <c r="H120" s="288"/>
      <c r="I120" s="288"/>
      <c r="J120" s="288"/>
      <c r="K120" s="288"/>
      <c r="L120" s="288"/>
      <c r="M120" s="288"/>
      <c r="N120" s="288"/>
      <c r="O120" s="288"/>
      <c r="P120" s="288"/>
      <c r="Q120" s="288"/>
      <c r="R120" s="288"/>
      <c r="S120" s="288"/>
      <c r="T120" s="288"/>
      <c r="U120" s="288"/>
      <c r="V120" s="338">
        <v>-621</v>
      </c>
      <c r="W120" s="291"/>
      <c r="X120" s="5"/>
    </row>
    <row r="121" spans="1:25" ht="15.6" x14ac:dyDescent="0.3">
      <c r="A121" s="340">
        <f t="shared" si="0"/>
        <v>14</v>
      </c>
      <c r="B121" s="288" t="s">
        <v>126</v>
      </c>
      <c r="C121" s="288"/>
      <c r="D121" s="288"/>
      <c r="E121" s="288"/>
      <c r="F121" s="288"/>
      <c r="G121" s="288"/>
      <c r="H121" s="288"/>
      <c r="I121" s="288"/>
      <c r="J121" s="288"/>
      <c r="K121" s="288"/>
      <c r="L121" s="288"/>
      <c r="M121" s="288"/>
      <c r="N121" s="288"/>
      <c r="O121" s="288"/>
      <c r="P121" s="288"/>
      <c r="Q121" s="288"/>
      <c r="R121" s="288"/>
      <c r="S121" s="288"/>
      <c r="T121" s="288"/>
      <c r="U121" s="288"/>
      <c r="V121" s="338">
        <f>-V101-SUM(V103:V120)</f>
        <v>-2998</v>
      </c>
      <c r="W121" s="291"/>
      <c r="X121" s="5"/>
    </row>
    <row r="122" spans="1:25" ht="15.6" x14ac:dyDescent="0.3">
      <c r="A122" s="287"/>
      <c r="B122" s="343" t="s">
        <v>37</v>
      </c>
      <c r="C122" s="314"/>
      <c r="D122" s="314"/>
      <c r="E122" s="314"/>
      <c r="F122" s="314"/>
      <c r="G122" s="314"/>
      <c r="H122" s="314"/>
      <c r="I122" s="314"/>
      <c r="J122" s="314"/>
      <c r="K122" s="314"/>
      <c r="L122" s="314"/>
      <c r="M122" s="314"/>
      <c r="N122" s="314"/>
      <c r="O122" s="314"/>
      <c r="P122" s="314"/>
      <c r="Q122" s="314"/>
      <c r="R122" s="314"/>
      <c r="S122" s="314"/>
      <c r="T122" s="314"/>
      <c r="U122" s="314"/>
      <c r="V122" s="346"/>
      <c r="W122" s="318"/>
      <c r="X122" s="5"/>
    </row>
    <row r="123" spans="1:25" ht="15.6" x14ac:dyDescent="0.3">
      <c r="A123" s="340"/>
      <c r="B123" s="288" t="s">
        <v>173</v>
      </c>
      <c r="C123" s="288"/>
      <c r="D123" s="288"/>
      <c r="E123" s="288"/>
      <c r="F123" s="288"/>
      <c r="G123" s="288"/>
      <c r="H123" s="288"/>
      <c r="I123" s="288"/>
      <c r="J123" s="288"/>
      <c r="K123" s="288"/>
      <c r="L123" s="288"/>
      <c r="M123" s="288"/>
      <c r="N123" s="288"/>
      <c r="O123" s="288"/>
      <c r="P123" s="288"/>
      <c r="Q123" s="288"/>
      <c r="R123" s="288"/>
      <c r="S123" s="288"/>
      <c r="T123" s="337">
        <f>-T189</f>
        <v>0</v>
      </c>
      <c r="U123" s="337"/>
      <c r="V123" s="338"/>
      <c r="W123" s="291"/>
      <c r="X123" s="5"/>
    </row>
    <row r="124" spans="1:25" ht="15.6" x14ac:dyDescent="0.3">
      <c r="A124" s="340"/>
      <c r="B124" s="288" t="s">
        <v>174</v>
      </c>
      <c r="C124" s="288"/>
      <c r="D124" s="288"/>
      <c r="E124" s="288"/>
      <c r="F124" s="288"/>
      <c r="G124" s="288"/>
      <c r="H124" s="288"/>
      <c r="I124" s="288"/>
      <c r="J124" s="288"/>
      <c r="K124" s="288"/>
      <c r="L124" s="288"/>
      <c r="M124" s="288"/>
      <c r="N124" s="288"/>
      <c r="O124" s="288"/>
      <c r="P124" s="288"/>
      <c r="Q124" s="288"/>
      <c r="R124" s="288"/>
      <c r="S124" s="288"/>
      <c r="T124" s="337">
        <v>-28</v>
      </c>
      <c r="U124" s="337"/>
      <c r="V124" s="338"/>
      <c r="W124" s="291"/>
      <c r="X124" s="5"/>
    </row>
    <row r="125" spans="1:25" ht="15.6" x14ac:dyDescent="0.3">
      <c r="A125" s="340"/>
      <c r="B125" s="288" t="s">
        <v>38</v>
      </c>
      <c r="C125" s="288"/>
      <c r="D125" s="288"/>
      <c r="E125" s="288"/>
      <c r="F125" s="288"/>
      <c r="G125" s="288"/>
      <c r="H125" s="288"/>
      <c r="I125" s="288"/>
      <c r="J125" s="288"/>
      <c r="K125" s="288"/>
      <c r="L125" s="288"/>
      <c r="M125" s="288"/>
      <c r="N125" s="288"/>
      <c r="O125" s="288"/>
      <c r="P125" s="288"/>
      <c r="Q125" s="288"/>
      <c r="R125" s="288"/>
      <c r="S125" s="288"/>
      <c r="T125" s="337">
        <f>-S189</f>
        <v>-708</v>
      </c>
      <c r="U125" s="337"/>
      <c r="V125" s="338"/>
      <c r="W125" s="291"/>
      <c r="X125" s="5"/>
    </row>
    <row r="126" spans="1:25" ht="15.6" x14ac:dyDescent="0.3">
      <c r="A126" s="340"/>
      <c r="B126" s="288" t="s">
        <v>197</v>
      </c>
      <c r="C126" s="288"/>
      <c r="D126" s="288"/>
      <c r="E126" s="288"/>
      <c r="F126" s="288"/>
      <c r="G126" s="288"/>
      <c r="H126" s="288"/>
      <c r="I126" s="288"/>
      <c r="J126" s="288"/>
      <c r="K126" s="288"/>
      <c r="L126" s="288"/>
      <c r="M126" s="288"/>
      <c r="N126" s="288"/>
      <c r="O126" s="288"/>
      <c r="P126" s="288"/>
      <c r="Q126" s="288"/>
      <c r="R126" s="288"/>
      <c r="S126" s="288"/>
      <c r="T126" s="337">
        <v>-8236</v>
      </c>
      <c r="U126" s="337"/>
      <c r="V126" s="338"/>
      <c r="W126" s="291"/>
      <c r="X126" s="5"/>
    </row>
    <row r="127" spans="1:25" ht="15.6" x14ac:dyDescent="0.3">
      <c r="A127" s="340"/>
      <c r="B127" s="288" t="s">
        <v>195</v>
      </c>
      <c r="C127" s="288"/>
      <c r="D127" s="288"/>
      <c r="E127" s="288"/>
      <c r="F127" s="288"/>
      <c r="G127" s="288"/>
      <c r="H127" s="288"/>
      <c r="I127" s="288"/>
      <c r="J127" s="288"/>
      <c r="K127" s="288"/>
      <c r="L127" s="288"/>
      <c r="M127" s="288"/>
      <c r="N127" s="288"/>
      <c r="O127" s="288"/>
      <c r="P127" s="288"/>
      <c r="Q127" s="288"/>
      <c r="R127" s="288"/>
      <c r="S127" s="288"/>
      <c r="T127" s="337">
        <v>-1328</v>
      </c>
      <c r="U127" s="337"/>
      <c r="V127" s="338"/>
      <c r="W127" s="291"/>
      <c r="X127" s="5"/>
    </row>
    <row r="128" spans="1:25" ht="15.6" x14ac:dyDescent="0.3">
      <c r="A128" s="340"/>
      <c r="B128" s="288" t="s">
        <v>194</v>
      </c>
      <c r="C128" s="288"/>
      <c r="D128" s="288"/>
      <c r="E128" s="288"/>
      <c r="F128" s="288"/>
      <c r="G128" s="288"/>
      <c r="H128" s="288"/>
      <c r="I128" s="288"/>
      <c r="J128" s="288"/>
      <c r="K128" s="288"/>
      <c r="L128" s="288"/>
      <c r="M128" s="288"/>
      <c r="N128" s="288"/>
      <c r="O128" s="288"/>
      <c r="P128" s="288"/>
      <c r="Q128" s="288"/>
      <c r="R128" s="288"/>
      <c r="S128" s="288"/>
      <c r="T128" s="337">
        <v>-1787</v>
      </c>
      <c r="U128" s="337"/>
      <c r="V128" s="338"/>
      <c r="W128" s="291"/>
      <c r="X128" s="5"/>
    </row>
    <row r="129" spans="1:24" ht="15.6" x14ac:dyDescent="0.3">
      <c r="A129" s="340"/>
      <c r="B129" s="288" t="s">
        <v>226</v>
      </c>
      <c r="C129" s="288"/>
      <c r="D129" s="288"/>
      <c r="E129" s="288"/>
      <c r="F129" s="288"/>
      <c r="G129" s="288"/>
      <c r="H129" s="288"/>
      <c r="I129" s="288"/>
      <c r="J129" s="288"/>
      <c r="K129" s="288"/>
      <c r="L129" s="288"/>
      <c r="M129" s="288"/>
      <c r="N129" s="288"/>
      <c r="O129" s="288"/>
      <c r="P129" s="288"/>
      <c r="Q129" s="288"/>
      <c r="R129" s="288"/>
      <c r="S129" s="288"/>
      <c r="T129" s="337">
        <v>-2196</v>
      </c>
      <c r="U129" s="337"/>
      <c r="V129" s="338"/>
      <c r="W129" s="291"/>
      <c r="X129" s="5"/>
    </row>
    <row r="130" spans="1:24" ht="15.6" x14ac:dyDescent="0.3">
      <c r="A130" s="340"/>
      <c r="B130" s="288" t="s">
        <v>189</v>
      </c>
      <c r="C130" s="288"/>
      <c r="D130" s="288"/>
      <c r="E130" s="288"/>
      <c r="F130" s="288"/>
      <c r="G130" s="288"/>
      <c r="H130" s="288"/>
      <c r="I130" s="288"/>
      <c r="J130" s="288"/>
      <c r="K130" s="288"/>
      <c r="L130" s="288"/>
      <c r="M130" s="288"/>
      <c r="N130" s="288"/>
      <c r="O130" s="288"/>
      <c r="P130" s="288"/>
      <c r="Q130" s="288"/>
      <c r="R130" s="288"/>
      <c r="S130" s="288"/>
      <c r="T130" s="337">
        <v>0</v>
      </c>
      <c r="U130" s="337"/>
      <c r="V130" s="338"/>
      <c r="W130" s="291"/>
      <c r="X130" s="5"/>
    </row>
    <row r="131" spans="1:24" ht="15.6" x14ac:dyDescent="0.3">
      <c r="A131" s="340"/>
      <c r="B131" s="288" t="s">
        <v>188</v>
      </c>
      <c r="C131" s="288"/>
      <c r="D131" s="288"/>
      <c r="E131" s="288"/>
      <c r="F131" s="288"/>
      <c r="G131" s="288"/>
      <c r="H131" s="288"/>
      <c r="I131" s="288"/>
      <c r="J131" s="288"/>
      <c r="K131" s="288"/>
      <c r="L131" s="288"/>
      <c r="M131" s="288"/>
      <c r="N131" s="288"/>
      <c r="O131" s="288"/>
      <c r="P131" s="288"/>
      <c r="Q131" s="288"/>
      <c r="R131" s="288"/>
      <c r="S131" s="288"/>
      <c r="T131" s="337">
        <v>0</v>
      </c>
      <c r="U131" s="337"/>
      <c r="V131" s="338"/>
      <c r="W131" s="291"/>
      <c r="X131" s="5"/>
    </row>
    <row r="132" spans="1:24" ht="15.6" x14ac:dyDescent="0.3">
      <c r="A132" s="340"/>
      <c r="B132" s="288" t="s">
        <v>227</v>
      </c>
      <c r="C132" s="288"/>
      <c r="D132" s="288"/>
      <c r="E132" s="288"/>
      <c r="F132" s="288"/>
      <c r="G132" s="288"/>
      <c r="H132" s="288"/>
      <c r="I132" s="288"/>
      <c r="J132" s="288"/>
      <c r="K132" s="288"/>
      <c r="L132" s="288"/>
      <c r="M132" s="288"/>
      <c r="N132" s="288"/>
      <c r="O132" s="288"/>
      <c r="P132" s="288"/>
      <c r="Q132" s="288"/>
      <c r="R132" s="288"/>
      <c r="S132" s="288"/>
      <c r="T132" s="337">
        <v>0</v>
      </c>
      <c r="U132" s="337"/>
      <c r="V132" s="338"/>
      <c r="W132" s="291"/>
      <c r="X132" s="5"/>
    </row>
    <row r="133" spans="1:24" ht="15.6" x14ac:dyDescent="0.3">
      <c r="A133" s="340"/>
      <c r="B133" s="288" t="s">
        <v>187</v>
      </c>
      <c r="C133" s="288"/>
      <c r="D133" s="288"/>
      <c r="E133" s="288"/>
      <c r="F133" s="288"/>
      <c r="G133" s="288"/>
      <c r="H133" s="288"/>
      <c r="I133" s="288"/>
      <c r="J133" s="288"/>
      <c r="K133" s="288"/>
      <c r="L133" s="288"/>
      <c r="M133" s="288"/>
      <c r="N133" s="288"/>
      <c r="O133" s="288"/>
      <c r="P133" s="288"/>
      <c r="Q133" s="288"/>
      <c r="R133" s="288"/>
      <c r="S133" s="288"/>
      <c r="T133" s="337">
        <v>0</v>
      </c>
      <c r="U133" s="337"/>
      <c r="V133" s="338"/>
      <c r="W133" s="291"/>
      <c r="X133" s="5"/>
    </row>
    <row r="134" spans="1:24" ht="15.6" x14ac:dyDescent="0.3">
      <c r="A134" s="340"/>
      <c r="B134" s="288" t="s">
        <v>39</v>
      </c>
      <c r="C134" s="288"/>
      <c r="D134" s="288"/>
      <c r="E134" s="288"/>
      <c r="F134" s="288"/>
      <c r="G134" s="288"/>
      <c r="H134" s="288"/>
      <c r="I134" s="288"/>
      <c r="J134" s="288"/>
      <c r="K134" s="288"/>
      <c r="L134" s="288"/>
      <c r="M134" s="288"/>
      <c r="N134" s="288"/>
      <c r="O134" s="288"/>
      <c r="P134" s="288"/>
      <c r="Q134" s="288"/>
      <c r="R134" s="288"/>
      <c r="S134" s="288"/>
      <c r="T134" s="337">
        <f>SUM(T123:T133)</f>
        <v>-14283</v>
      </c>
      <c r="U134" s="337"/>
      <c r="V134" s="337">
        <f>SUM(V102:V131)</f>
        <v>-6565</v>
      </c>
      <c r="W134" s="291"/>
      <c r="X134" s="5"/>
    </row>
    <row r="135" spans="1:24" ht="15.6" x14ac:dyDescent="0.3">
      <c r="A135" s="340"/>
      <c r="B135" s="288" t="s">
        <v>40</v>
      </c>
      <c r="C135" s="288"/>
      <c r="D135" s="288"/>
      <c r="E135" s="288"/>
      <c r="F135" s="288"/>
      <c r="G135" s="288"/>
      <c r="H135" s="288"/>
      <c r="I135" s="288"/>
      <c r="J135" s="288"/>
      <c r="K135" s="288"/>
      <c r="L135" s="288"/>
      <c r="M135" s="288"/>
      <c r="N135" s="288"/>
      <c r="O135" s="288"/>
      <c r="P135" s="288"/>
      <c r="Q135" s="288"/>
      <c r="R135" s="288"/>
      <c r="S135" s="288"/>
      <c r="T135" s="337">
        <f>T101+T134+T115</f>
        <v>0</v>
      </c>
      <c r="U135" s="337"/>
      <c r="V135" s="337">
        <f>V101+V134</f>
        <v>0</v>
      </c>
      <c r="W135" s="291"/>
      <c r="X135" s="5"/>
    </row>
    <row r="136" spans="1:24" ht="15.6" x14ac:dyDescent="0.3">
      <c r="A136" s="243"/>
      <c r="B136" s="284"/>
      <c r="C136" s="284"/>
      <c r="D136" s="284"/>
      <c r="E136" s="284"/>
      <c r="F136" s="284"/>
      <c r="G136" s="284"/>
      <c r="H136" s="284"/>
      <c r="I136" s="284"/>
      <c r="J136" s="284"/>
      <c r="K136" s="284"/>
      <c r="L136" s="284"/>
      <c r="M136" s="284"/>
      <c r="N136" s="284"/>
      <c r="O136" s="284"/>
      <c r="P136" s="284"/>
      <c r="Q136" s="284"/>
      <c r="R136" s="284"/>
      <c r="S136" s="284"/>
      <c r="T136" s="339"/>
      <c r="U136" s="339"/>
      <c r="V136" s="339"/>
      <c r="W136" s="284"/>
      <c r="X136" s="5"/>
    </row>
    <row r="137" spans="1:24" ht="15.6" x14ac:dyDescent="0.3">
      <c r="A137" s="243"/>
      <c r="B137" s="224"/>
      <c r="C137" s="224"/>
      <c r="D137" s="224"/>
      <c r="E137" s="224"/>
      <c r="F137" s="224"/>
      <c r="G137" s="224"/>
      <c r="H137" s="224"/>
      <c r="I137" s="224"/>
      <c r="J137" s="224"/>
      <c r="K137" s="224"/>
      <c r="L137" s="224"/>
      <c r="M137" s="224"/>
      <c r="N137" s="224"/>
      <c r="O137" s="224"/>
      <c r="P137" s="224"/>
      <c r="Q137" s="224"/>
      <c r="R137" s="224"/>
      <c r="S137" s="224"/>
      <c r="T137" s="224"/>
      <c r="U137" s="224"/>
      <c r="V137" s="244"/>
      <c r="W137" s="224"/>
      <c r="X137" s="5"/>
    </row>
    <row r="138" spans="1:24" ht="18" thickBot="1" x14ac:dyDescent="0.35">
      <c r="A138" s="245"/>
      <c r="B138" s="237" t="str">
        <f>B64</f>
        <v>PM14 INVESTOR REPORT QUARTER ENDING FEBRUARY 2016</v>
      </c>
      <c r="C138" s="238"/>
      <c r="D138" s="238"/>
      <c r="E138" s="238"/>
      <c r="F138" s="238"/>
      <c r="G138" s="238"/>
      <c r="H138" s="238"/>
      <c r="I138" s="238"/>
      <c r="J138" s="238"/>
      <c r="K138" s="238"/>
      <c r="L138" s="238"/>
      <c r="M138" s="238"/>
      <c r="N138" s="238"/>
      <c r="O138" s="238"/>
      <c r="P138" s="238"/>
      <c r="Q138" s="238"/>
      <c r="R138" s="238"/>
      <c r="S138" s="238"/>
      <c r="T138" s="238"/>
      <c r="U138" s="238"/>
      <c r="V138" s="246"/>
      <c r="W138" s="240"/>
      <c r="X138" s="5"/>
    </row>
    <row r="139" spans="1:24" ht="15.6" x14ac:dyDescent="0.3">
      <c r="A139" s="273"/>
      <c r="B139" s="403" t="s">
        <v>41</v>
      </c>
      <c r="C139" s="274"/>
      <c r="D139" s="274"/>
      <c r="E139" s="274"/>
      <c r="F139" s="274"/>
      <c r="G139" s="274"/>
      <c r="H139" s="274"/>
      <c r="I139" s="274"/>
      <c r="J139" s="274"/>
      <c r="K139" s="274"/>
      <c r="L139" s="274"/>
      <c r="M139" s="274"/>
      <c r="N139" s="274"/>
      <c r="O139" s="274"/>
      <c r="P139" s="274"/>
      <c r="Q139" s="274"/>
      <c r="R139" s="274"/>
      <c r="S139" s="274"/>
      <c r="T139" s="274"/>
      <c r="U139" s="274"/>
      <c r="V139" s="275"/>
      <c r="W139" s="274"/>
      <c r="X139" s="5"/>
    </row>
    <row r="140" spans="1:24" ht="15.6" x14ac:dyDescent="0.3">
      <c r="A140" s="183"/>
      <c r="B140" s="195"/>
      <c r="C140" s="185"/>
      <c r="D140" s="185"/>
      <c r="E140" s="185"/>
      <c r="F140" s="185"/>
      <c r="G140" s="185"/>
      <c r="H140" s="185"/>
      <c r="I140" s="185"/>
      <c r="J140" s="185"/>
      <c r="K140" s="185"/>
      <c r="L140" s="185"/>
      <c r="M140" s="185"/>
      <c r="N140" s="185"/>
      <c r="O140" s="185"/>
      <c r="P140" s="185"/>
      <c r="Q140" s="185"/>
      <c r="R140" s="185"/>
      <c r="S140" s="185"/>
      <c r="T140" s="185"/>
      <c r="U140" s="185"/>
      <c r="V140" s="201"/>
      <c r="W140" s="185"/>
      <c r="X140" s="5"/>
    </row>
    <row r="141" spans="1:24" ht="15.6" x14ac:dyDescent="0.3">
      <c r="A141" s="183"/>
      <c r="B141" s="208" t="s">
        <v>42</v>
      </c>
      <c r="C141" s="185"/>
      <c r="D141" s="185"/>
      <c r="E141" s="185"/>
      <c r="F141" s="185"/>
      <c r="G141" s="185"/>
      <c r="H141" s="185"/>
      <c r="I141" s="185"/>
      <c r="J141" s="185"/>
      <c r="K141" s="185"/>
      <c r="L141" s="185"/>
      <c r="M141" s="185"/>
      <c r="N141" s="185"/>
      <c r="O141" s="185"/>
      <c r="P141" s="185"/>
      <c r="Q141" s="185"/>
      <c r="R141" s="185"/>
      <c r="S141" s="185"/>
      <c r="T141" s="185"/>
      <c r="U141" s="185"/>
      <c r="V141" s="201"/>
      <c r="W141" s="185"/>
      <c r="X141" s="5"/>
    </row>
    <row r="142" spans="1:24" ht="15.6" x14ac:dyDescent="0.3">
      <c r="A142" s="287"/>
      <c r="B142" s="288" t="s">
        <v>43</v>
      </c>
      <c r="C142" s="288"/>
      <c r="D142" s="288"/>
      <c r="E142" s="288"/>
      <c r="F142" s="288"/>
      <c r="G142" s="288"/>
      <c r="H142" s="288"/>
      <c r="I142" s="288"/>
      <c r="J142" s="288"/>
      <c r="K142" s="288"/>
      <c r="L142" s="288"/>
      <c r="M142" s="288"/>
      <c r="N142" s="288"/>
      <c r="O142" s="288"/>
      <c r="P142" s="288"/>
      <c r="Q142" s="288"/>
      <c r="R142" s="288"/>
      <c r="S142" s="288"/>
      <c r="T142" s="288"/>
      <c r="U142" s="288"/>
      <c r="V142" s="338">
        <f>+V34*0.019</f>
        <v>28505.224999999999</v>
      </c>
      <c r="W142" s="291"/>
      <c r="X142" s="5"/>
    </row>
    <row r="143" spans="1:24" ht="15.6" x14ac:dyDescent="0.3">
      <c r="A143" s="287"/>
      <c r="B143" s="288" t="s">
        <v>44</v>
      </c>
      <c r="C143" s="288"/>
      <c r="D143" s="288"/>
      <c r="E143" s="288"/>
      <c r="F143" s="288"/>
      <c r="G143" s="288"/>
      <c r="H143" s="288"/>
      <c r="I143" s="288"/>
      <c r="J143" s="288"/>
      <c r="K143" s="288"/>
      <c r="L143" s="288"/>
      <c r="M143" s="288"/>
      <c r="N143" s="288"/>
      <c r="O143" s="288"/>
      <c r="P143" s="288"/>
      <c r="Q143" s="288"/>
      <c r="R143" s="288"/>
      <c r="S143" s="288"/>
      <c r="T143" s="288"/>
      <c r="U143" s="288"/>
      <c r="V143" s="338">
        <v>28505</v>
      </c>
      <c r="W143" s="291"/>
      <c r="X143" s="5"/>
    </row>
    <row r="144" spans="1:24" ht="15.6" x14ac:dyDescent="0.3">
      <c r="A144" s="287"/>
      <c r="B144" s="288" t="s">
        <v>136</v>
      </c>
      <c r="C144" s="288"/>
      <c r="D144" s="288"/>
      <c r="E144" s="288"/>
      <c r="F144" s="288"/>
      <c r="G144" s="288"/>
      <c r="H144" s="288"/>
      <c r="I144" s="288"/>
      <c r="J144" s="288"/>
      <c r="K144" s="288"/>
      <c r="L144" s="288"/>
      <c r="M144" s="288"/>
      <c r="N144" s="288"/>
      <c r="O144" s="288"/>
      <c r="P144" s="288"/>
      <c r="Q144" s="288"/>
      <c r="R144" s="288"/>
      <c r="S144" s="288"/>
      <c r="T144" s="288"/>
      <c r="U144" s="288"/>
      <c r="V144" s="338"/>
      <c r="W144" s="291"/>
      <c r="X144" s="5"/>
    </row>
    <row r="145" spans="1:25" ht="15.6" x14ac:dyDescent="0.3">
      <c r="A145" s="287"/>
      <c r="B145" s="288" t="s">
        <v>123</v>
      </c>
      <c r="C145" s="288"/>
      <c r="D145" s="288"/>
      <c r="E145" s="288"/>
      <c r="F145" s="288"/>
      <c r="G145" s="288"/>
      <c r="H145" s="288"/>
      <c r="I145" s="288"/>
      <c r="J145" s="288"/>
      <c r="K145" s="288"/>
      <c r="L145" s="288"/>
      <c r="M145" s="288"/>
      <c r="N145" s="288"/>
      <c r="O145" s="288"/>
      <c r="P145" s="288"/>
      <c r="Q145" s="288"/>
      <c r="R145" s="288"/>
      <c r="S145" s="288"/>
      <c r="T145" s="288"/>
      <c r="U145" s="288"/>
      <c r="V145" s="338">
        <v>0</v>
      </c>
      <c r="W145" s="291"/>
      <c r="X145" s="5"/>
    </row>
    <row r="146" spans="1:25" ht="15.6" x14ac:dyDescent="0.3">
      <c r="A146" s="287"/>
      <c r="B146" s="288" t="s">
        <v>124</v>
      </c>
      <c r="C146" s="288"/>
      <c r="D146" s="288"/>
      <c r="E146" s="288"/>
      <c r="F146" s="288"/>
      <c r="G146" s="288"/>
      <c r="H146" s="288"/>
      <c r="I146" s="288"/>
      <c r="J146" s="288"/>
      <c r="K146" s="288"/>
      <c r="L146" s="288"/>
      <c r="M146" s="288"/>
      <c r="N146" s="288"/>
      <c r="O146" s="288"/>
      <c r="P146" s="288"/>
      <c r="Q146" s="288"/>
      <c r="R146" s="288"/>
      <c r="S146" s="288"/>
      <c r="T146" s="288"/>
      <c r="U146" s="288"/>
      <c r="V146" s="338">
        <v>0</v>
      </c>
      <c r="W146" s="291"/>
      <c r="X146" s="5"/>
    </row>
    <row r="147" spans="1:25" ht="15.6" x14ac:dyDescent="0.3">
      <c r="A147" s="287"/>
      <c r="B147" s="288" t="s">
        <v>175</v>
      </c>
      <c r="C147" s="288"/>
      <c r="D147" s="288"/>
      <c r="E147" s="288"/>
      <c r="F147" s="288"/>
      <c r="G147" s="288"/>
      <c r="H147" s="288"/>
      <c r="I147" s="288"/>
      <c r="J147" s="288"/>
      <c r="K147" s="288"/>
      <c r="L147" s="288"/>
      <c r="M147" s="288"/>
      <c r="N147" s="288"/>
      <c r="O147" s="288"/>
      <c r="P147" s="288"/>
      <c r="Q147" s="288"/>
      <c r="R147" s="288"/>
      <c r="S147" s="288"/>
      <c r="T147" s="288"/>
      <c r="U147" s="288"/>
      <c r="V147" s="338">
        <v>0</v>
      </c>
      <c r="W147" s="291"/>
      <c r="X147" s="5"/>
    </row>
    <row r="148" spans="1:25" ht="15.6" x14ac:dyDescent="0.3">
      <c r="A148" s="287"/>
      <c r="B148" s="288" t="s">
        <v>45</v>
      </c>
      <c r="C148" s="288"/>
      <c r="D148" s="288"/>
      <c r="E148" s="288"/>
      <c r="F148" s="288"/>
      <c r="G148" s="288"/>
      <c r="H148" s="288"/>
      <c r="I148" s="288"/>
      <c r="J148" s="288"/>
      <c r="K148" s="288"/>
      <c r="L148" s="288"/>
      <c r="M148" s="288"/>
      <c r="N148" s="288"/>
      <c r="O148" s="288"/>
      <c r="P148" s="288"/>
      <c r="Q148" s="288"/>
      <c r="R148" s="288"/>
      <c r="S148" s="288"/>
      <c r="T148" s="288"/>
      <c r="U148" s="288"/>
      <c r="V148" s="338">
        <v>0</v>
      </c>
      <c r="W148" s="291"/>
      <c r="X148" s="5"/>
    </row>
    <row r="149" spans="1:25" ht="15.6" x14ac:dyDescent="0.3">
      <c r="A149" s="287"/>
      <c r="B149" s="288" t="s">
        <v>129</v>
      </c>
      <c r="C149" s="288"/>
      <c r="D149" s="288"/>
      <c r="E149" s="288"/>
      <c r="F149" s="288"/>
      <c r="G149" s="288"/>
      <c r="H149" s="288"/>
      <c r="I149" s="288"/>
      <c r="J149" s="288"/>
      <c r="K149" s="288"/>
      <c r="L149" s="288"/>
      <c r="M149" s="288"/>
      <c r="N149" s="288"/>
      <c r="O149" s="288"/>
      <c r="P149" s="288"/>
      <c r="Q149" s="288"/>
      <c r="R149" s="288"/>
      <c r="S149" s="288"/>
      <c r="T149" s="288"/>
      <c r="U149" s="288"/>
      <c r="V149" s="338">
        <v>0</v>
      </c>
      <c r="W149" s="291"/>
      <c r="X149" s="5"/>
    </row>
    <row r="150" spans="1:25" ht="15.6" x14ac:dyDescent="0.3">
      <c r="A150" s="287"/>
      <c r="B150" s="288" t="s">
        <v>267</v>
      </c>
      <c r="C150" s="288"/>
      <c r="D150" s="288"/>
      <c r="E150" s="288"/>
      <c r="F150" s="288"/>
      <c r="G150" s="288"/>
      <c r="H150" s="288"/>
      <c r="I150" s="288"/>
      <c r="J150" s="288"/>
      <c r="K150" s="288"/>
      <c r="L150" s="288"/>
      <c r="M150" s="288"/>
      <c r="N150" s="288"/>
      <c r="O150" s="288"/>
      <c r="P150" s="288"/>
      <c r="Q150" s="288"/>
      <c r="R150" s="288"/>
      <c r="S150" s="288"/>
      <c r="T150" s="288"/>
      <c r="U150" s="288"/>
      <c r="V150" s="338">
        <v>0</v>
      </c>
      <c r="W150" s="291"/>
      <c r="X150" s="5"/>
      <c r="Y150" s="109"/>
    </row>
    <row r="151" spans="1:25" ht="15.6" x14ac:dyDescent="0.3">
      <c r="A151" s="287"/>
      <c r="B151" s="288" t="s">
        <v>46</v>
      </c>
      <c r="C151" s="288"/>
      <c r="D151" s="288"/>
      <c r="E151" s="288"/>
      <c r="F151" s="288"/>
      <c r="G151" s="288"/>
      <c r="H151" s="288"/>
      <c r="I151" s="288"/>
      <c r="J151" s="288"/>
      <c r="K151" s="288"/>
      <c r="L151" s="288"/>
      <c r="M151" s="288"/>
      <c r="N151" s="288"/>
      <c r="O151" s="288"/>
      <c r="P151" s="288"/>
      <c r="Q151" s="288"/>
      <c r="R151" s="288"/>
      <c r="S151" s="288"/>
      <c r="T151" s="288"/>
      <c r="U151" s="288"/>
      <c r="V151" s="338">
        <f>SUM(V143:V150)</f>
        <v>28505</v>
      </c>
      <c r="W151" s="291"/>
      <c r="X151" s="5"/>
    </row>
    <row r="152" spans="1:25" ht="15.6" x14ac:dyDescent="0.3">
      <c r="A152" s="287"/>
      <c r="B152" s="314"/>
      <c r="C152" s="314"/>
      <c r="D152" s="314"/>
      <c r="E152" s="314"/>
      <c r="F152" s="314"/>
      <c r="G152" s="314"/>
      <c r="H152" s="314"/>
      <c r="I152" s="314"/>
      <c r="J152" s="314"/>
      <c r="K152" s="314"/>
      <c r="L152" s="314"/>
      <c r="M152" s="314"/>
      <c r="N152" s="314"/>
      <c r="O152" s="314"/>
      <c r="P152" s="314"/>
      <c r="Q152" s="314"/>
      <c r="R152" s="314"/>
      <c r="S152" s="314"/>
      <c r="T152" s="314"/>
      <c r="U152" s="314"/>
      <c r="V152" s="345"/>
      <c r="W152" s="318"/>
      <c r="X152" s="5"/>
    </row>
    <row r="153" spans="1:25" ht="15.6" x14ac:dyDescent="0.3">
      <c r="A153" s="287"/>
      <c r="B153" s="343" t="s">
        <v>237</v>
      </c>
      <c r="C153" s="314"/>
      <c r="D153" s="314"/>
      <c r="E153" s="314"/>
      <c r="F153" s="314"/>
      <c r="G153" s="314"/>
      <c r="H153" s="314"/>
      <c r="I153" s="314"/>
      <c r="J153" s="314"/>
      <c r="K153" s="314"/>
      <c r="L153" s="314"/>
      <c r="M153" s="314"/>
      <c r="N153" s="314"/>
      <c r="O153" s="314"/>
      <c r="P153" s="314"/>
      <c r="Q153" s="314"/>
      <c r="R153" s="314"/>
      <c r="S153" s="314"/>
      <c r="T153" s="314"/>
      <c r="U153" s="314"/>
      <c r="V153" s="345"/>
      <c r="W153" s="318"/>
      <c r="X153" s="5"/>
    </row>
    <row r="154" spans="1:25" ht="15.6" x14ac:dyDescent="0.3">
      <c r="A154" s="287"/>
      <c r="B154" s="288" t="s">
        <v>155</v>
      </c>
      <c r="C154" s="288"/>
      <c r="D154" s="288"/>
      <c r="E154" s="288"/>
      <c r="F154" s="288"/>
      <c r="G154" s="288"/>
      <c r="H154" s="288"/>
      <c r="I154" s="288"/>
      <c r="J154" s="288"/>
      <c r="K154" s="288"/>
      <c r="L154" s="288"/>
      <c r="M154" s="288"/>
      <c r="N154" s="288"/>
      <c r="O154" s="288"/>
      <c r="P154" s="288"/>
      <c r="Q154" s="288"/>
      <c r="R154" s="288"/>
      <c r="S154" s="288"/>
      <c r="T154" s="288"/>
      <c r="U154" s="288"/>
      <c r="V154" s="338">
        <v>7500</v>
      </c>
      <c r="W154" s="291"/>
      <c r="X154" s="5"/>
    </row>
    <row r="155" spans="1:25" ht="15.6" x14ac:dyDescent="0.3">
      <c r="A155" s="287"/>
      <c r="B155" s="288" t="s">
        <v>172</v>
      </c>
      <c r="C155" s="288"/>
      <c r="D155" s="288"/>
      <c r="E155" s="288"/>
      <c r="F155" s="288"/>
      <c r="G155" s="288"/>
      <c r="H155" s="288"/>
      <c r="I155" s="288"/>
      <c r="J155" s="288"/>
      <c r="K155" s="288"/>
      <c r="L155" s="288"/>
      <c r="M155" s="288"/>
      <c r="N155" s="288"/>
      <c r="O155" s="288"/>
      <c r="P155" s="288"/>
      <c r="Q155" s="288"/>
      <c r="R155" s="288"/>
      <c r="S155" s="288"/>
      <c r="T155" s="288"/>
      <c r="U155" s="288"/>
      <c r="V155" s="338">
        <v>0</v>
      </c>
      <c r="W155" s="291"/>
      <c r="X155" s="5"/>
    </row>
    <row r="156" spans="1:25" ht="15.6" x14ac:dyDescent="0.3">
      <c r="A156" s="287"/>
      <c r="B156" s="288" t="s">
        <v>344</v>
      </c>
      <c r="C156" s="288"/>
      <c r="D156" s="288"/>
      <c r="E156" s="288"/>
      <c r="F156" s="288"/>
      <c r="G156" s="288"/>
      <c r="H156" s="288"/>
      <c r="I156" s="288"/>
      <c r="J156" s="288"/>
      <c r="K156" s="288"/>
      <c r="L156" s="288"/>
      <c r="M156" s="288"/>
      <c r="N156" s="288"/>
      <c r="O156" s="288"/>
      <c r="P156" s="288"/>
      <c r="Q156" s="288"/>
      <c r="R156" s="288"/>
      <c r="S156" s="288"/>
      <c r="T156" s="288"/>
      <c r="U156" s="288"/>
      <c r="V156" s="338">
        <v>0</v>
      </c>
      <c r="W156" s="291"/>
      <c r="X156" s="5"/>
    </row>
    <row r="157" spans="1:25" ht="15.6" x14ac:dyDescent="0.3">
      <c r="A157" s="287"/>
      <c r="B157" s="288"/>
      <c r="C157" s="288"/>
      <c r="D157" s="288"/>
      <c r="E157" s="288"/>
      <c r="F157" s="288"/>
      <c r="G157" s="288"/>
      <c r="H157" s="288"/>
      <c r="I157" s="288"/>
      <c r="J157" s="288"/>
      <c r="K157" s="288"/>
      <c r="L157" s="288"/>
      <c r="M157" s="288"/>
      <c r="N157" s="288"/>
      <c r="O157" s="288"/>
      <c r="P157" s="288"/>
      <c r="Q157" s="288"/>
      <c r="R157" s="288"/>
      <c r="S157" s="288"/>
      <c r="T157" s="288"/>
      <c r="U157" s="288"/>
      <c r="V157" s="338"/>
      <c r="W157" s="291"/>
      <c r="X157" s="5"/>
    </row>
    <row r="158" spans="1:25" ht="15.6" x14ac:dyDescent="0.3">
      <c r="A158" s="183"/>
      <c r="B158" s="198"/>
      <c r="C158" s="198"/>
      <c r="D158" s="198"/>
      <c r="E158" s="198"/>
      <c r="F158" s="198"/>
      <c r="G158" s="198"/>
      <c r="H158" s="198"/>
      <c r="I158" s="198"/>
      <c r="J158" s="198"/>
      <c r="K158" s="198"/>
      <c r="L158" s="198"/>
      <c r="M158" s="198"/>
      <c r="N158" s="198"/>
      <c r="O158" s="198"/>
      <c r="P158" s="198"/>
      <c r="Q158" s="198"/>
      <c r="R158" s="198"/>
      <c r="S158" s="198"/>
      <c r="T158" s="198"/>
      <c r="U158" s="198"/>
      <c r="V158" s="347"/>
      <c r="W158" s="198"/>
      <c r="X158" s="5"/>
    </row>
    <row r="159" spans="1:25" ht="15.6" x14ac:dyDescent="0.3">
      <c r="A159" s="183"/>
      <c r="B159" s="208" t="s">
        <v>24</v>
      </c>
      <c r="C159" s="185"/>
      <c r="D159" s="185"/>
      <c r="E159" s="185"/>
      <c r="F159" s="185"/>
      <c r="G159" s="185"/>
      <c r="H159" s="185"/>
      <c r="I159" s="185"/>
      <c r="J159" s="185"/>
      <c r="K159" s="185"/>
      <c r="L159" s="185"/>
      <c r="M159" s="185"/>
      <c r="N159" s="185"/>
      <c r="O159" s="185"/>
      <c r="P159" s="185"/>
      <c r="Q159" s="185"/>
      <c r="R159" s="185"/>
      <c r="S159" s="185"/>
      <c r="T159" s="185"/>
      <c r="U159" s="185"/>
      <c r="V159" s="201"/>
      <c r="W159" s="185"/>
      <c r="X159" s="5"/>
    </row>
    <row r="160" spans="1:25" ht="15.6" x14ac:dyDescent="0.3">
      <c r="A160" s="287"/>
      <c r="B160" s="288" t="s">
        <v>47</v>
      </c>
      <c r="C160" s="288"/>
      <c r="D160" s="288"/>
      <c r="E160" s="288"/>
      <c r="F160" s="288"/>
      <c r="G160" s="288"/>
      <c r="H160" s="288"/>
      <c r="I160" s="288"/>
      <c r="J160" s="288"/>
      <c r="K160" s="288"/>
      <c r="L160" s="288"/>
      <c r="M160" s="288"/>
      <c r="N160" s="288"/>
      <c r="O160" s="288"/>
      <c r="P160" s="288"/>
      <c r="Q160" s="288"/>
      <c r="R160" s="288"/>
      <c r="S160" s="288"/>
      <c r="T160" s="288"/>
      <c r="U160" s="288"/>
      <c r="V160" s="348" t="s">
        <v>118</v>
      </c>
      <c r="W160" s="291"/>
      <c r="X160" s="5"/>
    </row>
    <row r="161" spans="1:256" ht="15.6" x14ac:dyDescent="0.3">
      <c r="A161" s="287"/>
      <c r="B161" s="288" t="s">
        <v>48</v>
      </c>
      <c r="C161" s="290"/>
      <c r="D161" s="290"/>
      <c r="E161" s="290"/>
      <c r="F161" s="290"/>
      <c r="G161" s="290"/>
      <c r="H161" s="290"/>
      <c r="I161" s="290"/>
      <c r="J161" s="290"/>
      <c r="K161" s="290"/>
      <c r="L161" s="290"/>
      <c r="M161" s="290"/>
      <c r="N161" s="290"/>
      <c r="O161" s="290"/>
      <c r="P161" s="290"/>
      <c r="Q161" s="290"/>
      <c r="R161" s="290"/>
      <c r="S161" s="290"/>
      <c r="T161" s="290"/>
      <c r="U161" s="290"/>
      <c r="V161" s="348" t="s">
        <v>118</v>
      </c>
      <c r="W161" s="291"/>
      <c r="X161" s="5"/>
    </row>
    <row r="162" spans="1:256" ht="15.6" x14ac:dyDescent="0.3">
      <c r="A162" s="287"/>
      <c r="B162" s="288" t="s">
        <v>49</v>
      </c>
      <c r="C162" s="288"/>
      <c r="D162" s="288"/>
      <c r="E162" s="288"/>
      <c r="F162" s="288"/>
      <c r="G162" s="288"/>
      <c r="H162" s="288"/>
      <c r="I162" s="288"/>
      <c r="J162" s="288"/>
      <c r="K162" s="288"/>
      <c r="L162" s="288"/>
      <c r="M162" s="288"/>
      <c r="N162" s="288"/>
      <c r="O162" s="288"/>
      <c r="P162" s="288"/>
      <c r="Q162" s="288"/>
      <c r="R162" s="288"/>
      <c r="S162" s="288"/>
      <c r="T162" s="288"/>
      <c r="U162" s="288"/>
      <c r="V162" s="348" t="s">
        <v>118</v>
      </c>
      <c r="W162" s="291"/>
      <c r="X162" s="5"/>
    </row>
    <row r="163" spans="1:256" ht="15.6" x14ac:dyDescent="0.3">
      <c r="A163" s="287"/>
      <c r="B163" s="288" t="s">
        <v>50</v>
      </c>
      <c r="C163" s="288"/>
      <c r="D163" s="288"/>
      <c r="E163" s="288"/>
      <c r="F163" s="288"/>
      <c r="G163" s="288"/>
      <c r="H163" s="288"/>
      <c r="I163" s="288"/>
      <c r="J163" s="288"/>
      <c r="K163" s="288"/>
      <c r="L163" s="288"/>
      <c r="M163" s="288"/>
      <c r="N163" s="288"/>
      <c r="O163" s="288"/>
      <c r="P163" s="288"/>
      <c r="Q163" s="288"/>
      <c r="R163" s="288"/>
      <c r="S163" s="288"/>
      <c r="T163" s="288"/>
      <c r="U163" s="288"/>
      <c r="V163" s="348" t="s">
        <v>118</v>
      </c>
      <c r="W163" s="291"/>
      <c r="X163" s="5"/>
    </row>
    <row r="164" spans="1:256" ht="15.6" x14ac:dyDescent="0.3">
      <c r="A164" s="183"/>
      <c r="B164" s="198"/>
      <c r="C164" s="198"/>
      <c r="D164" s="198"/>
      <c r="E164" s="198"/>
      <c r="F164" s="198"/>
      <c r="G164" s="198"/>
      <c r="H164" s="198"/>
      <c r="I164" s="198"/>
      <c r="J164" s="198"/>
      <c r="K164" s="198"/>
      <c r="L164" s="198"/>
      <c r="M164" s="198"/>
      <c r="N164" s="198"/>
      <c r="O164" s="198"/>
      <c r="P164" s="198"/>
      <c r="Q164" s="198"/>
      <c r="R164" s="198"/>
      <c r="S164" s="198"/>
      <c r="T164" s="198"/>
      <c r="U164" s="198"/>
      <c r="V164" s="347"/>
      <c r="W164" s="198"/>
      <c r="X164" s="5"/>
    </row>
    <row r="165" spans="1:256" ht="15.6" x14ac:dyDescent="0.3">
      <c r="A165" s="183"/>
      <c r="B165" s="208" t="s">
        <v>51</v>
      </c>
      <c r="C165" s="185"/>
      <c r="D165" s="185"/>
      <c r="E165" s="185"/>
      <c r="F165" s="185"/>
      <c r="G165" s="185"/>
      <c r="H165" s="185"/>
      <c r="I165" s="185"/>
      <c r="J165" s="185"/>
      <c r="K165" s="185"/>
      <c r="L165" s="185"/>
      <c r="M165" s="185"/>
      <c r="N165" s="185"/>
      <c r="O165" s="185"/>
      <c r="P165" s="185"/>
      <c r="Q165" s="185"/>
      <c r="R165" s="185"/>
      <c r="S165" s="185"/>
      <c r="T165" s="185"/>
      <c r="U165" s="185"/>
      <c r="V165" s="209"/>
      <c r="W165" s="185"/>
      <c r="X165" s="5"/>
    </row>
    <row r="166" spans="1:256" ht="15.6" x14ac:dyDescent="0.3">
      <c r="A166" s="287"/>
      <c r="B166" s="288" t="s">
        <v>52</v>
      </c>
      <c r="C166" s="288"/>
      <c r="D166" s="288"/>
      <c r="E166" s="288"/>
      <c r="F166" s="288"/>
      <c r="G166" s="288"/>
      <c r="H166" s="288"/>
      <c r="I166" s="288"/>
      <c r="J166" s="288"/>
      <c r="K166" s="288"/>
      <c r="L166" s="288"/>
      <c r="M166" s="288"/>
      <c r="N166" s="288"/>
      <c r="O166" s="288"/>
      <c r="P166" s="288"/>
      <c r="Q166" s="288"/>
      <c r="R166" s="288"/>
      <c r="S166" s="288"/>
      <c r="T166" s="288"/>
      <c r="U166" s="288"/>
      <c r="V166" s="338">
        <v>0</v>
      </c>
      <c r="W166" s="291"/>
      <c r="X166" s="5"/>
    </row>
    <row r="167" spans="1:256" ht="15.6" x14ac:dyDescent="0.3">
      <c r="A167" s="287"/>
      <c r="B167" s="288" t="s">
        <v>53</v>
      </c>
      <c r="C167" s="288"/>
      <c r="D167" s="288"/>
      <c r="E167" s="288"/>
      <c r="F167" s="288"/>
      <c r="G167" s="288"/>
      <c r="H167" s="288"/>
      <c r="I167" s="288"/>
      <c r="J167" s="288"/>
      <c r="K167" s="288"/>
      <c r="L167" s="288"/>
      <c r="M167" s="288"/>
      <c r="N167" s="288"/>
      <c r="O167" s="288"/>
      <c r="P167" s="288"/>
      <c r="Q167" s="288"/>
      <c r="R167" s="288"/>
      <c r="S167" s="288"/>
      <c r="T167" s="288"/>
      <c r="U167" s="288"/>
      <c r="V167" s="338">
        <v>355</v>
      </c>
      <c r="W167" s="291"/>
      <c r="X167" s="5"/>
    </row>
    <row r="168" spans="1:256" ht="15.6" x14ac:dyDescent="0.3">
      <c r="A168" s="287"/>
      <c r="B168" s="288" t="s">
        <v>54</v>
      </c>
      <c r="C168" s="288"/>
      <c r="D168" s="288"/>
      <c r="E168" s="288"/>
      <c r="F168" s="288"/>
      <c r="G168" s="288"/>
      <c r="H168" s="288"/>
      <c r="I168" s="288"/>
      <c r="J168" s="288"/>
      <c r="K168" s="288"/>
      <c r="L168" s="288"/>
      <c r="M168" s="288"/>
      <c r="N168" s="288"/>
      <c r="O168" s="288"/>
      <c r="P168" s="288"/>
      <c r="Q168" s="288"/>
      <c r="R168" s="288"/>
      <c r="S168" s="288"/>
      <c r="T168" s="288"/>
      <c r="U168" s="288"/>
      <c r="V168" s="338">
        <f>V167+V166</f>
        <v>355</v>
      </c>
      <c r="W168" s="291"/>
      <c r="X168" s="5"/>
    </row>
    <row r="169" spans="1:256" ht="15.6" x14ac:dyDescent="0.3">
      <c r="A169" s="287"/>
      <c r="B169" s="288" t="s">
        <v>315</v>
      </c>
      <c r="C169" s="288"/>
      <c r="D169" s="288"/>
      <c r="E169" s="288"/>
      <c r="F169" s="288"/>
      <c r="G169" s="288"/>
      <c r="H169" s="288"/>
      <c r="I169" s="288"/>
      <c r="J169" s="288"/>
      <c r="K169" s="288"/>
      <c r="L169" s="288"/>
      <c r="M169" s="288"/>
      <c r="N169" s="288"/>
      <c r="O169" s="288"/>
      <c r="P169" s="288"/>
      <c r="Q169" s="288"/>
      <c r="R169" s="288"/>
      <c r="S169" s="288"/>
      <c r="T169" s="288"/>
      <c r="U169" s="288"/>
      <c r="V169" s="338">
        <f>V115</f>
        <v>-355</v>
      </c>
      <c r="W169" s="291"/>
      <c r="X169" s="5"/>
    </row>
    <row r="170" spans="1:256" ht="15.6" x14ac:dyDescent="0.3">
      <c r="A170" s="287"/>
      <c r="B170" s="288" t="s">
        <v>55</v>
      </c>
      <c r="C170" s="288"/>
      <c r="D170" s="288"/>
      <c r="E170" s="288"/>
      <c r="F170" s="288"/>
      <c r="G170" s="288"/>
      <c r="H170" s="288"/>
      <c r="I170" s="288"/>
      <c r="J170" s="288"/>
      <c r="K170" s="288"/>
      <c r="L170" s="288"/>
      <c r="M170" s="288"/>
      <c r="N170" s="288"/>
      <c r="O170" s="288"/>
      <c r="P170" s="288"/>
      <c r="Q170" s="288"/>
      <c r="R170" s="288"/>
      <c r="S170" s="288"/>
      <c r="T170" s="288"/>
      <c r="U170" s="288"/>
      <c r="V170" s="338">
        <f>V168+V169</f>
        <v>0</v>
      </c>
      <c r="W170" s="291"/>
      <c r="X170" s="5"/>
    </row>
    <row r="171" spans="1:256" ht="15.6" x14ac:dyDescent="0.3">
      <c r="A171" s="287"/>
      <c r="B171" s="288" t="s">
        <v>283</v>
      </c>
      <c r="C171" s="288"/>
      <c r="D171" s="288"/>
      <c r="E171" s="288"/>
      <c r="F171" s="288"/>
      <c r="G171" s="288"/>
      <c r="H171" s="288"/>
      <c r="I171" s="288"/>
      <c r="J171" s="288"/>
      <c r="K171" s="288"/>
      <c r="L171" s="288"/>
      <c r="M171" s="288"/>
      <c r="N171" s="288"/>
      <c r="O171" s="288"/>
      <c r="P171" s="288"/>
      <c r="Q171" s="288"/>
      <c r="R171" s="288"/>
      <c r="S171" s="288"/>
      <c r="T171" s="288"/>
      <c r="U171" s="288"/>
      <c r="V171" s="338">
        <v>0</v>
      </c>
      <c r="W171" s="291"/>
      <c r="X171" s="5"/>
    </row>
    <row r="172" spans="1:256" ht="16.2" thickBot="1" x14ac:dyDescent="0.35">
      <c r="A172" s="183"/>
      <c r="B172" s="284"/>
      <c r="C172" s="284"/>
      <c r="D172" s="284"/>
      <c r="E172" s="284"/>
      <c r="F172" s="284"/>
      <c r="G172" s="284"/>
      <c r="H172" s="284"/>
      <c r="I172" s="284"/>
      <c r="J172" s="284"/>
      <c r="K172" s="284"/>
      <c r="L172" s="284"/>
      <c r="M172" s="284"/>
      <c r="N172" s="284"/>
      <c r="O172" s="284"/>
      <c r="P172" s="284"/>
      <c r="Q172" s="284"/>
      <c r="R172" s="284"/>
      <c r="S172" s="284"/>
      <c r="T172" s="284"/>
      <c r="U172" s="284"/>
      <c r="V172" s="349"/>
      <c r="W172" s="284"/>
      <c r="X172" s="5"/>
    </row>
    <row r="173" spans="1:256" ht="15.6" x14ac:dyDescent="0.3">
      <c r="A173" s="180"/>
      <c r="B173" s="247"/>
      <c r="C173" s="247"/>
      <c r="D173" s="247"/>
      <c r="E173" s="247"/>
      <c r="F173" s="247"/>
      <c r="G173" s="247"/>
      <c r="H173" s="247"/>
      <c r="I173" s="247"/>
      <c r="J173" s="247"/>
      <c r="K173" s="247"/>
      <c r="L173" s="247"/>
      <c r="M173" s="247"/>
      <c r="N173" s="247"/>
      <c r="O173" s="247"/>
      <c r="P173" s="247"/>
      <c r="Q173" s="247"/>
      <c r="R173" s="247"/>
      <c r="S173" s="247"/>
      <c r="T173" s="247"/>
      <c r="U173" s="247"/>
      <c r="V173" s="248"/>
      <c r="W173" s="247"/>
      <c r="X173" s="5"/>
    </row>
    <row r="174" spans="1:256" s="161" customFormat="1" ht="15.6" x14ac:dyDescent="0.3">
      <c r="A174" s="183"/>
      <c r="B174" s="208" t="s">
        <v>269</v>
      </c>
      <c r="C174" s="198"/>
      <c r="D174" s="198"/>
      <c r="E174" s="198"/>
      <c r="F174" s="198"/>
      <c r="G174" s="198"/>
      <c r="H174" s="198"/>
      <c r="I174" s="198"/>
      <c r="J174" s="198"/>
      <c r="K174" s="198"/>
      <c r="L174" s="198"/>
      <c r="M174" s="198"/>
      <c r="N174" s="198"/>
      <c r="O174" s="198"/>
      <c r="P174" s="198"/>
      <c r="Q174" s="198"/>
      <c r="R174" s="198"/>
      <c r="S174" s="198"/>
      <c r="T174" s="198"/>
      <c r="U174" s="198"/>
      <c r="V174" s="210"/>
      <c r="W174" s="198"/>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5.6" x14ac:dyDescent="0.3">
      <c r="A175" s="287"/>
      <c r="B175" s="288" t="s">
        <v>270</v>
      </c>
      <c r="C175" s="288"/>
      <c r="D175" s="288"/>
      <c r="E175" s="288"/>
      <c r="F175" s="288"/>
      <c r="G175" s="288"/>
      <c r="H175" s="288"/>
      <c r="I175" s="288"/>
      <c r="J175" s="288"/>
      <c r="K175" s="288"/>
      <c r="L175" s="288"/>
      <c r="M175" s="288"/>
      <c r="N175" s="288"/>
      <c r="O175" s="288"/>
      <c r="P175" s="288"/>
      <c r="Q175" s="288"/>
      <c r="R175" s="288"/>
      <c r="S175" s="288"/>
      <c r="T175" s="288"/>
      <c r="U175" s="288"/>
      <c r="V175" s="338">
        <f>+'Aug 08'!V177</f>
        <v>0</v>
      </c>
      <c r="W175" s="291"/>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3" customFormat="1" ht="15.6" x14ac:dyDescent="0.3">
      <c r="A176" s="287"/>
      <c r="B176" s="288" t="s">
        <v>273</v>
      </c>
      <c r="C176" s="288"/>
      <c r="D176" s="288"/>
      <c r="E176" s="288"/>
      <c r="F176" s="288"/>
      <c r="G176" s="288"/>
      <c r="H176" s="288"/>
      <c r="I176" s="288"/>
      <c r="J176" s="288"/>
      <c r="K176" s="288"/>
      <c r="L176" s="288"/>
      <c r="M176" s="288"/>
      <c r="N176" s="288"/>
      <c r="O176" s="288"/>
      <c r="P176" s="288"/>
      <c r="Q176" s="288"/>
      <c r="R176" s="288"/>
      <c r="S176" s="288"/>
      <c r="T176" s="288"/>
      <c r="U176" s="288"/>
      <c r="V176" s="338">
        <f>+V94</f>
        <v>0</v>
      </c>
      <c r="W176" s="291"/>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s="163" customFormat="1" ht="15.6" x14ac:dyDescent="0.3">
      <c r="A177" s="287"/>
      <c r="B177" s="288" t="s">
        <v>271</v>
      </c>
      <c r="C177" s="288"/>
      <c r="D177" s="288"/>
      <c r="E177" s="288"/>
      <c r="F177" s="288"/>
      <c r="G177" s="288"/>
      <c r="H177" s="288"/>
      <c r="I177" s="288"/>
      <c r="J177" s="288"/>
      <c r="K177" s="288"/>
      <c r="L177" s="288"/>
      <c r="M177" s="288"/>
      <c r="N177" s="288"/>
      <c r="O177" s="288"/>
      <c r="P177" s="288"/>
      <c r="Q177" s="288"/>
      <c r="R177" s="288"/>
      <c r="S177" s="288"/>
      <c r="T177" s="288"/>
      <c r="U177" s="288"/>
      <c r="V177" s="338">
        <f>+V175-V176</f>
        <v>0</v>
      </c>
      <c r="W177" s="291"/>
      <c r="X177" s="5"/>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s="166" customFormat="1" ht="16.2" thickBot="1" x14ac:dyDescent="0.35">
      <c r="A178" s="199"/>
      <c r="B178" s="198"/>
      <c r="C178" s="198"/>
      <c r="D178" s="198"/>
      <c r="E178" s="198"/>
      <c r="F178" s="198"/>
      <c r="G178" s="198"/>
      <c r="H178" s="198"/>
      <c r="I178" s="198"/>
      <c r="J178" s="198"/>
      <c r="K178" s="198"/>
      <c r="L178" s="198"/>
      <c r="M178" s="198"/>
      <c r="N178" s="198"/>
      <c r="O178" s="198"/>
      <c r="P178" s="198"/>
      <c r="Q178" s="198"/>
      <c r="R178" s="198"/>
      <c r="S178" s="198"/>
      <c r="T178" s="198"/>
      <c r="U178" s="198"/>
      <c r="V178" s="347"/>
      <c r="W178" s="198"/>
      <c r="X178" s="5"/>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s="167" customFormat="1" ht="15.6" x14ac:dyDescent="0.3">
      <c r="A179" s="180"/>
      <c r="B179" s="181"/>
      <c r="C179" s="181"/>
      <c r="D179" s="181"/>
      <c r="E179" s="181"/>
      <c r="F179" s="181"/>
      <c r="G179" s="181"/>
      <c r="H179" s="181"/>
      <c r="I179" s="181"/>
      <c r="J179" s="181"/>
      <c r="K179" s="181"/>
      <c r="L179" s="181"/>
      <c r="M179" s="181"/>
      <c r="N179" s="181"/>
      <c r="O179" s="181"/>
      <c r="P179" s="181"/>
      <c r="Q179" s="181"/>
      <c r="R179" s="181"/>
      <c r="S179" s="181"/>
      <c r="T179" s="181"/>
      <c r="U179" s="181"/>
      <c r="V179" s="200"/>
      <c r="W179" s="181"/>
      <c r="X179" s="5"/>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ht="15.6" x14ac:dyDescent="0.3">
      <c r="A180" s="183"/>
      <c r="B180" s="208" t="s">
        <v>56</v>
      </c>
      <c r="C180" s="185"/>
      <c r="D180" s="185"/>
      <c r="E180" s="185"/>
      <c r="F180" s="185"/>
      <c r="G180" s="185"/>
      <c r="H180" s="185"/>
      <c r="I180" s="185"/>
      <c r="J180" s="185"/>
      <c r="K180" s="185"/>
      <c r="L180" s="185"/>
      <c r="M180" s="185"/>
      <c r="N180" s="185"/>
      <c r="O180" s="185"/>
      <c r="P180" s="185"/>
      <c r="Q180" s="185"/>
      <c r="R180" s="185"/>
      <c r="S180" s="185"/>
      <c r="T180" s="185"/>
      <c r="U180" s="185"/>
      <c r="V180" s="201"/>
      <c r="W180" s="185"/>
      <c r="X180" s="5"/>
    </row>
    <row r="181" spans="1:256" ht="15.6" x14ac:dyDescent="0.3">
      <c r="A181" s="183"/>
      <c r="B181" s="195"/>
      <c r="C181" s="185"/>
      <c r="D181" s="185"/>
      <c r="E181" s="185"/>
      <c r="F181" s="185"/>
      <c r="G181" s="185"/>
      <c r="H181" s="185"/>
      <c r="I181" s="185"/>
      <c r="J181" s="185"/>
      <c r="K181" s="185"/>
      <c r="L181" s="185"/>
      <c r="M181" s="185"/>
      <c r="N181" s="185"/>
      <c r="O181" s="185"/>
      <c r="P181" s="185"/>
      <c r="Q181" s="185"/>
      <c r="R181" s="185"/>
      <c r="S181" s="185"/>
      <c r="T181" s="185"/>
      <c r="U181" s="185"/>
      <c r="V181" s="201"/>
      <c r="W181" s="185"/>
      <c r="X181" s="5"/>
    </row>
    <row r="182" spans="1:256" ht="15.6" x14ac:dyDescent="0.3">
      <c r="A182" s="287"/>
      <c r="B182" s="288" t="s">
        <v>57</v>
      </c>
      <c r="C182" s="288"/>
      <c r="D182" s="288"/>
      <c r="E182" s="288"/>
      <c r="F182" s="288"/>
      <c r="G182" s="288"/>
      <c r="H182" s="288"/>
      <c r="I182" s="288"/>
      <c r="J182" s="288"/>
      <c r="K182" s="288"/>
      <c r="L182" s="288"/>
      <c r="M182" s="288"/>
      <c r="N182" s="288"/>
      <c r="O182" s="288"/>
      <c r="P182" s="288"/>
      <c r="Q182" s="288"/>
      <c r="R182" s="288"/>
      <c r="S182" s="288"/>
      <c r="T182" s="288"/>
      <c r="U182" s="288"/>
      <c r="V182" s="338">
        <f>V71</f>
        <v>974774</v>
      </c>
      <c r="W182" s="291"/>
      <c r="X182" s="5"/>
    </row>
    <row r="183" spans="1:256" ht="15.6" x14ac:dyDescent="0.3">
      <c r="A183" s="287"/>
      <c r="B183" s="288" t="s">
        <v>58</v>
      </c>
      <c r="C183" s="288"/>
      <c r="D183" s="288"/>
      <c r="E183" s="288"/>
      <c r="F183" s="288"/>
      <c r="G183" s="288"/>
      <c r="H183" s="288"/>
      <c r="I183" s="288"/>
      <c r="J183" s="288"/>
      <c r="K183" s="288"/>
      <c r="L183" s="288"/>
      <c r="M183" s="288"/>
      <c r="N183" s="288"/>
      <c r="O183" s="288"/>
      <c r="P183" s="288"/>
      <c r="Q183" s="288"/>
      <c r="R183" s="288"/>
      <c r="S183" s="288"/>
      <c r="T183" s="288"/>
      <c r="U183" s="288"/>
      <c r="V183" s="338">
        <f>V84</f>
        <v>974774</v>
      </c>
      <c r="W183" s="291"/>
      <c r="X183" s="5"/>
    </row>
    <row r="184" spans="1:256" ht="16.2" thickBot="1" x14ac:dyDescent="0.35">
      <c r="A184" s="183"/>
      <c r="B184" s="198"/>
      <c r="C184" s="198"/>
      <c r="D184" s="198"/>
      <c r="E184" s="198"/>
      <c r="F184" s="198"/>
      <c r="G184" s="198"/>
      <c r="H184" s="198"/>
      <c r="I184" s="198"/>
      <c r="J184" s="198"/>
      <c r="K184" s="198"/>
      <c r="L184" s="198"/>
      <c r="M184" s="198"/>
      <c r="N184" s="198"/>
      <c r="O184" s="198"/>
      <c r="P184" s="198"/>
      <c r="Q184" s="198"/>
      <c r="R184" s="198"/>
      <c r="S184" s="198"/>
      <c r="T184" s="198"/>
      <c r="U184" s="198"/>
      <c r="V184" s="347"/>
      <c r="W184" s="198"/>
      <c r="X184" s="5"/>
    </row>
    <row r="185" spans="1:256" ht="15.6" x14ac:dyDescent="0.3">
      <c r="A185" s="180"/>
      <c r="B185" s="181"/>
      <c r="C185" s="181"/>
      <c r="D185" s="181"/>
      <c r="E185" s="181"/>
      <c r="F185" s="181"/>
      <c r="G185" s="181"/>
      <c r="H185" s="181"/>
      <c r="I185" s="181"/>
      <c r="J185" s="181"/>
      <c r="K185" s="181"/>
      <c r="L185" s="181"/>
      <c r="M185" s="181"/>
      <c r="N185" s="181"/>
      <c r="O185" s="181"/>
      <c r="P185" s="181"/>
      <c r="Q185" s="181"/>
      <c r="R185" s="181"/>
      <c r="S185" s="181"/>
      <c r="T185" s="181"/>
      <c r="U185" s="181"/>
      <c r="V185" s="200"/>
      <c r="W185" s="181"/>
      <c r="X185" s="5"/>
    </row>
    <row r="186" spans="1:256" ht="15.6" x14ac:dyDescent="0.3">
      <c r="A186" s="183"/>
      <c r="B186" s="208" t="s">
        <v>59</v>
      </c>
      <c r="C186" s="205"/>
      <c r="D186" s="205"/>
      <c r="E186" s="205"/>
      <c r="F186" s="205"/>
      <c r="G186" s="205"/>
      <c r="H186" s="211"/>
      <c r="I186" s="211"/>
      <c r="J186" s="211"/>
      <c r="K186" s="211"/>
      <c r="L186" s="211"/>
      <c r="M186" s="211"/>
      <c r="N186" s="211"/>
      <c r="O186" s="211"/>
      <c r="P186" s="211"/>
      <c r="Q186" s="211"/>
      <c r="R186" s="211"/>
      <c r="S186" s="211" t="s">
        <v>101</v>
      </c>
      <c r="T186" s="211" t="s">
        <v>176</v>
      </c>
      <c r="U186" s="187"/>
      <c r="V186" s="212" t="s">
        <v>114</v>
      </c>
      <c r="W186" s="213"/>
      <c r="X186" s="5"/>
    </row>
    <row r="187" spans="1:256" ht="15.6" x14ac:dyDescent="0.3">
      <c r="A187" s="287"/>
      <c r="B187" s="288" t="s">
        <v>60</v>
      </c>
      <c r="C187" s="288"/>
      <c r="D187" s="288"/>
      <c r="E187" s="288"/>
      <c r="F187" s="288"/>
      <c r="G187" s="288"/>
      <c r="H187" s="288"/>
      <c r="I187" s="288"/>
      <c r="J187" s="288"/>
      <c r="K187" s="288"/>
      <c r="L187" s="288"/>
      <c r="M187" s="288"/>
      <c r="N187" s="288"/>
      <c r="O187" s="288"/>
      <c r="P187" s="288"/>
      <c r="Q187" s="288"/>
      <c r="R187" s="288"/>
      <c r="S187" s="338">
        <f>+V34*0.16</f>
        <v>240044</v>
      </c>
      <c r="T187" s="325"/>
      <c r="U187" s="288"/>
      <c r="V187" s="338"/>
      <c r="W187" s="291"/>
      <c r="X187" s="5"/>
    </row>
    <row r="188" spans="1:256" ht="15.6" x14ac:dyDescent="0.3">
      <c r="A188" s="287"/>
      <c r="B188" s="288" t="s">
        <v>61</v>
      </c>
      <c r="C188" s="288"/>
      <c r="D188" s="288"/>
      <c r="E188" s="288"/>
      <c r="F188" s="288"/>
      <c r="G188" s="288"/>
      <c r="H188" s="288"/>
      <c r="I188" s="288"/>
      <c r="J188" s="288"/>
      <c r="K188" s="288"/>
      <c r="L188" s="288"/>
      <c r="M188" s="288"/>
      <c r="N188" s="288"/>
      <c r="O188" s="288"/>
      <c r="P188" s="288"/>
      <c r="Q188" s="288"/>
      <c r="R188" s="288"/>
      <c r="S188" s="338">
        <f>+'Nov 15'!S190</f>
        <v>26950</v>
      </c>
      <c r="T188" s="338">
        <f>+'Nov 15'!T190</f>
        <v>6016</v>
      </c>
      <c r="U188" s="288"/>
      <c r="V188" s="338">
        <f>S188+T188</f>
        <v>32966</v>
      </c>
      <c r="W188" s="291"/>
      <c r="X188" s="5"/>
    </row>
    <row r="189" spans="1:256" ht="15.6" x14ac:dyDescent="0.3">
      <c r="A189" s="287"/>
      <c r="B189" s="288" t="s">
        <v>62</v>
      </c>
      <c r="C189" s="288"/>
      <c r="D189" s="288"/>
      <c r="E189" s="288"/>
      <c r="F189" s="288"/>
      <c r="G189" s="288"/>
      <c r="H189" s="288"/>
      <c r="I189" s="288"/>
      <c r="J189" s="288"/>
      <c r="K189" s="288"/>
      <c r="L189" s="288"/>
      <c r="M189" s="288"/>
      <c r="N189" s="288"/>
      <c r="O189" s="288"/>
      <c r="P189" s="288"/>
      <c r="Q189" s="288"/>
      <c r="R189" s="288"/>
      <c r="S189" s="337">
        <f>290+418</f>
        <v>708</v>
      </c>
      <c r="T189" s="337">
        <v>0</v>
      </c>
      <c r="U189" s="288"/>
      <c r="V189" s="338">
        <f>S189+T189</f>
        <v>708</v>
      </c>
      <c r="W189" s="291"/>
      <c r="X189" s="5"/>
    </row>
    <row r="190" spans="1:256" ht="15.6" x14ac:dyDescent="0.3">
      <c r="A190" s="287"/>
      <c r="B190" s="288" t="s">
        <v>63</v>
      </c>
      <c r="C190" s="288"/>
      <c r="D190" s="288"/>
      <c r="E190" s="288"/>
      <c r="F190" s="288"/>
      <c r="G190" s="288"/>
      <c r="H190" s="288"/>
      <c r="I190" s="288"/>
      <c r="J190" s="288"/>
      <c r="K190" s="288"/>
      <c r="L190" s="288"/>
      <c r="M190" s="288"/>
      <c r="N190" s="288"/>
      <c r="O190" s="288"/>
      <c r="P190" s="288"/>
      <c r="Q190" s="288"/>
      <c r="R190" s="288"/>
      <c r="S190" s="338">
        <f>S188+S189</f>
        <v>27658</v>
      </c>
      <c r="T190" s="338">
        <f>T189+T188</f>
        <v>6016</v>
      </c>
      <c r="U190" s="288"/>
      <c r="V190" s="338">
        <f>S190+T190</f>
        <v>33674</v>
      </c>
      <c r="W190" s="291"/>
      <c r="X190" s="5"/>
    </row>
    <row r="191" spans="1:256" ht="15.6" x14ac:dyDescent="0.3">
      <c r="A191" s="287"/>
      <c r="B191" s="288" t="s">
        <v>64</v>
      </c>
      <c r="C191" s="288"/>
      <c r="D191" s="288"/>
      <c r="E191" s="288"/>
      <c r="F191" s="288"/>
      <c r="G191" s="288"/>
      <c r="H191" s="288"/>
      <c r="I191" s="288"/>
      <c r="J191" s="288"/>
      <c r="K191" s="288"/>
      <c r="L191" s="288"/>
      <c r="M191" s="288"/>
      <c r="N191" s="288"/>
      <c r="O191" s="288"/>
      <c r="P191" s="288"/>
      <c r="Q191" s="288"/>
      <c r="R191" s="288"/>
      <c r="S191" s="338">
        <f>S187-S190-T190</f>
        <v>206370</v>
      </c>
      <c r="T191" s="325"/>
      <c r="U191" s="288"/>
      <c r="V191" s="338"/>
      <c r="W191" s="291"/>
      <c r="X191" s="5"/>
    </row>
    <row r="192" spans="1:256" ht="16.2" thickBot="1" x14ac:dyDescent="0.35">
      <c r="A192" s="183"/>
      <c r="B192" s="198"/>
      <c r="C192" s="198"/>
      <c r="D192" s="198"/>
      <c r="E192" s="198"/>
      <c r="F192" s="198"/>
      <c r="G192" s="198"/>
      <c r="H192" s="198"/>
      <c r="I192" s="198"/>
      <c r="J192" s="198"/>
      <c r="K192" s="198"/>
      <c r="L192" s="198"/>
      <c r="M192" s="198"/>
      <c r="N192" s="198"/>
      <c r="O192" s="198"/>
      <c r="P192" s="198"/>
      <c r="Q192" s="198"/>
      <c r="R192" s="198"/>
      <c r="S192" s="198"/>
      <c r="T192" s="198"/>
      <c r="U192" s="198"/>
      <c r="V192" s="347"/>
      <c r="W192" s="198"/>
      <c r="X192" s="5"/>
    </row>
    <row r="193" spans="1:24" ht="15.6" x14ac:dyDescent="0.3">
      <c r="A193" s="180"/>
      <c r="B193" s="181"/>
      <c r="C193" s="181"/>
      <c r="D193" s="181"/>
      <c r="E193" s="181"/>
      <c r="F193" s="181"/>
      <c r="G193" s="181"/>
      <c r="H193" s="181"/>
      <c r="I193" s="181"/>
      <c r="J193" s="181"/>
      <c r="K193" s="181"/>
      <c r="L193" s="181"/>
      <c r="M193" s="181"/>
      <c r="N193" s="181"/>
      <c r="O193" s="181"/>
      <c r="P193" s="181"/>
      <c r="Q193" s="181"/>
      <c r="R193" s="181"/>
      <c r="S193" s="181"/>
      <c r="T193" s="181"/>
      <c r="U193" s="181"/>
      <c r="V193" s="200"/>
      <c r="W193" s="181"/>
      <c r="X193" s="5"/>
    </row>
    <row r="194" spans="1:24" ht="15.6" x14ac:dyDescent="0.3">
      <c r="A194" s="183"/>
      <c r="B194" s="208" t="s">
        <v>65</v>
      </c>
      <c r="C194" s="185"/>
      <c r="D194" s="185"/>
      <c r="E194" s="185"/>
      <c r="F194" s="185"/>
      <c r="G194" s="185"/>
      <c r="H194" s="185"/>
      <c r="I194" s="185"/>
      <c r="J194" s="185"/>
      <c r="K194" s="185"/>
      <c r="L194" s="185"/>
      <c r="M194" s="185"/>
      <c r="N194" s="185"/>
      <c r="O194" s="185"/>
      <c r="P194" s="185"/>
      <c r="Q194" s="185"/>
      <c r="R194" s="185"/>
      <c r="S194" s="185"/>
      <c r="T194" s="185"/>
      <c r="U194" s="185"/>
      <c r="V194" s="214"/>
      <c r="W194" s="185"/>
      <c r="X194" s="5"/>
    </row>
    <row r="195" spans="1:24" ht="15.6" x14ac:dyDescent="0.3">
      <c r="A195" s="287"/>
      <c r="B195" s="288" t="s">
        <v>66</v>
      </c>
      <c r="C195" s="288"/>
      <c r="D195" s="288"/>
      <c r="E195" s="288"/>
      <c r="F195" s="288"/>
      <c r="G195" s="288"/>
      <c r="H195" s="288"/>
      <c r="I195" s="288"/>
      <c r="J195" s="288"/>
      <c r="K195" s="288"/>
      <c r="L195" s="288"/>
      <c r="M195" s="288"/>
      <c r="N195" s="288"/>
      <c r="O195" s="288"/>
      <c r="P195" s="288"/>
      <c r="Q195" s="288"/>
      <c r="R195" s="288"/>
      <c r="S195" s="288"/>
      <c r="T195" s="288"/>
      <c r="U195" s="288"/>
      <c r="V195" s="348">
        <f>(V101+V103+V104+V105+V106)/-(V107+V108)</f>
        <v>3.980166346769034</v>
      </c>
      <c r="W195" s="291" t="s">
        <v>115</v>
      </c>
      <c r="X195" s="5"/>
    </row>
    <row r="196" spans="1:24" ht="15.6" x14ac:dyDescent="0.3">
      <c r="A196" s="287"/>
      <c r="B196" s="288" t="s">
        <v>67</v>
      </c>
      <c r="C196" s="288"/>
      <c r="D196" s="288"/>
      <c r="E196" s="288"/>
      <c r="F196" s="288"/>
      <c r="G196" s="288"/>
      <c r="H196" s="288"/>
      <c r="I196" s="288"/>
      <c r="J196" s="288"/>
      <c r="K196" s="288"/>
      <c r="L196" s="288"/>
      <c r="M196" s="288"/>
      <c r="N196" s="288"/>
      <c r="O196" s="288"/>
      <c r="P196" s="288"/>
      <c r="Q196" s="288"/>
      <c r="R196" s="288"/>
      <c r="S196" s="288"/>
      <c r="T196" s="288"/>
      <c r="U196" s="288"/>
      <c r="V196" s="350">
        <v>1.97</v>
      </c>
      <c r="W196" s="291" t="s">
        <v>115</v>
      </c>
      <c r="X196" s="5"/>
    </row>
    <row r="197" spans="1:24" ht="15.6" x14ac:dyDescent="0.3">
      <c r="A197" s="287"/>
      <c r="B197" s="288" t="s">
        <v>68</v>
      </c>
      <c r="C197" s="288"/>
      <c r="D197" s="288"/>
      <c r="E197" s="288"/>
      <c r="F197" s="288"/>
      <c r="G197" s="288"/>
      <c r="H197" s="288"/>
      <c r="I197" s="288"/>
      <c r="J197" s="288"/>
      <c r="K197" s="288"/>
      <c r="L197" s="288"/>
      <c r="M197" s="288"/>
      <c r="N197" s="288"/>
      <c r="O197" s="288"/>
      <c r="P197" s="288"/>
      <c r="Q197" s="288"/>
      <c r="R197" s="288"/>
      <c r="S197" s="288"/>
      <c r="T197" s="288"/>
      <c r="U197" s="288"/>
      <c r="V197" s="348">
        <f>(V101+V103+V104+V105+V106+V107+V108)/-(V110+V111)</f>
        <v>17</v>
      </c>
      <c r="W197" s="291" t="s">
        <v>115</v>
      </c>
      <c r="X197" s="5"/>
    </row>
    <row r="198" spans="1:24" ht="15.6" x14ac:dyDescent="0.3">
      <c r="A198" s="287"/>
      <c r="B198" s="288" t="s">
        <v>69</v>
      </c>
      <c r="C198" s="288"/>
      <c r="D198" s="288"/>
      <c r="E198" s="288"/>
      <c r="F198" s="288"/>
      <c r="G198" s="288"/>
      <c r="H198" s="288"/>
      <c r="I198" s="288"/>
      <c r="J198" s="288"/>
      <c r="K198" s="288"/>
      <c r="L198" s="288"/>
      <c r="M198" s="288"/>
      <c r="N198" s="288"/>
      <c r="O198" s="288"/>
      <c r="P198" s="288"/>
      <c r="Q198" s="288"/>
      <c r="R198" s="288"/>
      <c r="S198" s="288"/>
      <c r="T198" s="288"/>
      <c r="U198" s="288"/>
      <c r="V198" s="350">
        <v>8.9</v>
      </c>
      <c r="W198" s="291" t="s">
        <v>115</v>
      </c>
      <c r="X198" s="5"/>
    </row>
    <row r="199" spans="1:24" ht="15.6" x14ac:dyDescent="0.3">
      <c r="A199" s="287"/>
      <c r="B199" s="288" t="s">
        <v>198</v>
      </c>
      <c r="C199" s="288"/>
      <c r="D199" s="288"/>
      <c r="E199" s="288"/>
      <c r="F199" s="288"/>
      <c r="G199" s="288"/>
      <c r="H199" s="288"/>
      <c r="I199" s="288"/>
      <c r="J199" s="288"/>
      <c r="K199" s="288"/>
      <c r="L199" s="288"/>
      <c r="M199" s="288"/>
      <c r="N199" s="288"/>
      <c r="O199" s="288"/>
      <c r="P199" s="288"/>
      <c r="Q199" s="288"/>
      <c r="R199" s="288"/>
      <c r="S199" s="288"/>
      <c r="T199" s="288"/>
      <c r="U199" s="288"/>
      <c r="V199" s="348">
        <f>(V101+V103+V104+V105+V106+V107+V108+V110+V111)/-(V112+V113)</f>
        <v>10.90547263681592</v>
      </c>
      <c r="W199" s="291" t="s">
        <v>115</v>
      </c>
      <c r="X199" s="5"/>
    </row>
    <row r="200" spans="1:24" ht="15.6" x14ac:dyDescent="0.3">
      <c r="A200" s="287"/>
      <c r="B200" s="288" t="s">
        <v>199</v>
      </c>
      <c r="C200" s="288"/>
      <c r="D200" s="288"/>
      <c r="E200" s="288"/>
      <c r="F200" s="288"/>
      <c r="G200" s="288"/>
      <c r="H200" s="288"/>
      <c r="I200" s="288"/>
      <c r="J200" s="288"/>
      <c r="K200" s="288"/>
      <c r="L200" s="288"/>
      <c r="M200" s="288"/>
      <c r="N200" s="288"/>
      <c r="O200" s="288"/>
      <c r="P200" s="288"/>
      <c r="Q200" s="288"/>
      <c r="R200" s="288"/>
      <c r="S200" s="288"/>
      <c r="T200" s="288"/>
      <c r="U200" s="288"/>
      <c r="V200" s="350">
        <v>6.83</v>
      </c>
      <c r="W200" s="291" t="s">
        <v>115</v>
      </c>
      <c r="X200" s="5"/>
    </row>
    <row r="201" spans="1:24" ht="15.6" x14ac:dyDescent="0.3">
      <c r="A201" s="287"/>
      <c r="B201" s="314"/>
      <c r="C201" s="314"/>
      <c r="D201" s="314"/>
      <c r="E201" s="314"/>
      <c r="F201" s="314"/>
      <c r="G201" s="314"/>
      <c r="H201" s="314"/>
      <c r="I201" s="314"/>
      <c r="J201" s="314"/>
      <c r="K201" s="314"/>
      <c r="L201" s="314"/>
      <c r="M201" s="314"/>
      <c r="N201" s="314"/>
      <c r="O201" s="314"/>
      <c r="P201" s="314"/>
      <c r="Q201" s="314"/>
      <c r="R201" s="314"/>
      <c r="S201" s="314"/>
      <c r="T201" s="314"/>
      <c r="U201" s="314"/>
      <c r="V201" s="314"/>
      <c r="W201" s="318"/>
      <c r="X201" s="5"/>
    </row>
    <row r="202" spans="1:24" ht="15.6" x14ac:dyDescent="0.3">
      <c r="A202" s="183"/>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5"/>
    </row>
    <row r="203" spans="1:24" ht="15.6" x14ac:dyDescent="0.3">
      <c r="A203" s="183"/>
      <c r="B203" s="185"/>
      <c r="C203" s="185"/>
      <c r="D203" s="185"/>
      <c r="E203" s="185"/>
      <c r="F203" s="185"/>
      <c r="G203" s="185"/>
      <c r="H203" s="185"/>
      <c r="I203" s="185"/>
      <c r="J203" s="185"/>
      <c r="K203" s="185"/>
      <c r="L203" s="185"/>
      <c r="M203" s="185"/>
      <c r="N203" s="185"/>
      <c r="O203" s="185"/>
      <c r="P203" s="185"/>
      <c r="Q203" s="185"/>
      <c r="R203" s="185"/>
      <c r="S203" s="185"/>
      <c r="T203" s="185"/>
      <c r="U203" s="185"/>
      <c r="V203" s="185"/>
      <c r="W203" s="185"/>
      <c r="X203" s="5"/>
    </row>
    <row r="204" spans="1:24" ht="18" thickBot="1" x14ac:dyDescent="0.35">
      <c r="A204" s="199"/>
      <c r="B204" s="237" t="str">
        <f>B138</f>
        <v>PM14 INVESTOR REPORT QUARTER ENDING FEBRUARY 2016</v>
      </c>
      <c r="C204" s="215"/>
      <c r="D204" s="215"/>
      <c r="E204" s="215"/>
      <c r="F204" s="215"/>
      <c r="G204" s="215"/>
      <c r="H204" s="215"/>
      <c r="I204" s="215"/>
      <c r="J204" s="215"/>
      <c r="K204" s="215"/>
      <c r="L204" s="215"/>
      <c r="M204" s="215"/>
      <c r="N204" s="215"/>
      <c r="O204" s="215"/>
      <c r="P204" s="215"/>
      <c r="Q204" s="215"/>
      <c r="R204" s="215"/>
      <c r="S204" s="215"/>
      <c r="T204" s="215"/>
      <c r="U204" s="215"/>
      <c r="V204" s="215"/>
      <c r="W204" s="216"/>
      <c r="X204" s="5"/>
    </row>
    <row r="205" spans="1:24" ht="15.6" x14ac:dyDescent="0.3">
      <c r="A205" s="273"/>
      <c r="B205" s="403" t="s">
        <v>70</v>
      </c>
      <c r="C205" s="404"/>
      <c r="D205" s="404"/>
      <c r="E205" s="404"/>
      <c r="F205" s="404"/>
      <c r="G205" s="405"/>
      <c r="H205" s="405"/>
      <c r="I205" s="405"/>
      <c r="J205" s="405"/>
      <c r="K205" s="405"/>
      <c r="L205" s="405"/>
      <c r="M205" s="405"/>
      <c r="N205" s="405"/>
      <c r="O205" s="405"/>
      <c r="P205" s="405"/>
      <c r="Q205" s="405"/>
      <c r="R205" s="405"/>
      <c r="S205" s="405"/>
      <c r="T205" s="405">
        <v>42429</v>
      </c>
      <c r="U205" s="274"/>
      <c r="V205" s="274"/>
      <c r="W205" s="274"/>
      <c r="X205" s="5"/>
    </row>
    <row r="206" spans="1:24" ht="15.6" x14ac:dyDescent="0.3">
      <c r="A206" s="217"/>
      <c r="B206" s="230"/>
      <c r="C206" s="249"/>
      <c r="D206" s="249"/>
      <c r="E206" s="249"/>
      <c r="F206" s="249"/>
      <c r="G206" s="229"/>
      <c r="H206" s="229"/>
      <c r="I206" s="229"/>
      <c r="J206" s="229"/>
      <c r="K206" s="229"/>
      <c r="L206" s="229"/>
      <c r="M206" s="229"/>
      <c r="N206" s="229"/>
      <c r="O206" s="229"/>
      <c r="P206" s="229"/>
      <c r="Q206" s="229"/>
      <c r="R206" s="229"/>
      <c r="S206" s="229"/>
      <c r="T206" s="229"/>
      <c r="U206" s="224"/>
      <c r="V206" s="224"/>
      <c r="W206" s="224"/>
      <c r="X206" s="5"/>
    </row>
    <row r="207" spans="1:24" ht="15.6" x14ac:dyDescent="0.3">
      <c r="A207" s="352"/>
      <c r="B207" s="288" t="s">
        <v>71</v>
      </c>
      <c r="C207" s="353"/>
      <c r="D207" s="353"/>
      <c r="E207" s="353"/>
      <c r="F207" s="353"/>
      <c r="G207" s="330"/>
      <c r="H207" s="330"/>
      <c r="I207" s="330"/>
      <c r="J207" s="330"/>
      <c r="K207" s="330"/>
      <c r="L207" s="330"/>
      <c r="M207" s="330"/>
      <c r="N207" s="330"/>
      <c r="O207" s="330"/>
      <c r="P207" s="330"/>
      <c r="Q207" s="330"/>
      <c r="R207" s="330"/>
      <c r="S207" s="330"/>
      <c r="T207" s="321">
        <v>5.2819999999999999E-2</v>
      </c>
      <c r="U207" s="288"/>
      <c r="V207" s="288"/>
      <c r="W207" s="291"/>
      <c r="X207" s="5"/>
    </row>
    <row r="208" spans="1:24" ht="15.6" x14ac:dyDescent="0.3">
      <c r="A208" s="352"/>
      <c r="B208" s="288" t="s">
        <v>151</v>
      </c>
      <c r="C208" s="353"/>
      <c r="D208" s="353"/>
      <c r="E208" s="353"/>
      <c r="F208" s="353"/>
      <c r="G208" s="330"/>
      <c r="H208" s="330"/>
      <c r="I208" s="330"/>
      <c r="J208" s="330"/>
      <c r="K208" s="330"/>
      <c r="L208" s="330"/>
      <c r="M208" s="330"/>
      <c r="N208" s="330"/>
      <c r="O208" s="330"/>
      <c r="P208" s="330"/>
      <c r="Q208" s="330"/>
      <c r="R208" s="330"/>
      <c r="S208" s="330"/>
      <c r="T208" s="321">
        <v>5.7799999999999997E-2</v>
      </c>
      <c r="U208" s="288"/>
      <c r="V208" s="288"/>
      <c r="W208" s="291"/>
      <c r="X208" s="5"/>
    </row>
    <row r="209" spans="1:24" ht="15.6" x14ac:dyDescent="0.3">
      <c r="A209" s="352"/>
      <c r="B209" s="288" t="s">
        <v>72</v>
      </c>
      <c r="C209" s="353"/>
      <c r="D209" s="353"/>
      <c r="E209" s="353"/>
      <c r="F209" s="353"/>
      <c r="G209" s="330"/>
      <c r="H209" s="330"/>
      <c r="I209" s="330"/>
      <c r="J209" s="330"/>
      <c r="K209" s="330"/>
      <c r="L209" s="330"/>
      <c r="M209" s="330"/>
      <c r="N209" s="330"/>
      <c r="O209" s="330"/>
      <c r="P209" s="330"/>
      <c r="Q209" s="330"/>
      <c r="R209" s="330"/>
      <c r="S209" s="330"/>
      <c r="T209" s="321">
        <f>T207-T208</f>
        <v>-4.9799999999999983E-3</v>
      </c>
      <c r="U209" s="288"/>
      <c r="V209" s="288"/>
      <c r="W209" s="291"/>
      <c r="X209" s="5"/>
    </row>
    <row r="210" spans="1:24" ht="15.6" x14ac:dyDescent="0.3">
      <c r="A210" s="352"/>
      <c r="B210" s="288" t="s">
        <v>73</v>
      </c>
      <c r="C210" s="353"/>
      <c r="D210" s="353"/>
      <c r="E210" s="353"/>
      <c r="F210" s="353"/>
      <c r="G210" s="330"/>
      <c r="H210" s="330"/>
      <c r="I210" s="330"/>
      <c r="J210" s="330"/>
      <c r="K210" s="330"/>
      <c r="L210" s="330"/>
      <c r="M210" s="330"/>
      <c r="N210" s="330"/>
      <c r="O210" s="330"/>
      <c r="P210" s="330"/>
      <c r="Q210" s="330"/>
      <c r="R210" s="330"/>
      <c r="S210" s="330"/>
      <c r="T210" s="321">
        <v>2.383E-2</v>
      </c>
      <c r="U210" s="288"/>
      <c r="V210" s="288"/>
      <c r="W210" s="291"/>
      <c r="X210" s="5"/>
    </row>
    <row r="211" spans="1:24" ht="15.6" x14ac:dyDescent="0.3">
      <c r="A211" s="352"/>
      <c r="B211" s="288" t="s">
        <v>219</v>
      </c>
      <c r="C211" s="353"/>
      <c r="D211" s="353"/>
      <c r="E211" s="353"/>
      <c r="F211" s="353"/>
      <c r="G211" s="330"/>
      <c r="H211" s="330"/>
      <c r="I211" s="330"/>
      <c r="J211" s="330"/>
      <c r="K211" s="330"/>
      <c r="L211" s="330"/>
      <c r="M211" s="330"/>
      <c r="N211" s="330"/>
      <c r="O211" s="330"/>
      <c r="P211" s="330"/>
      <c r="Q211" s="330"/>
      <c r="R211" s="330"/>
      <c r="S211" s="330"/>
      <c r="T211" s="321">
        <f>V43</f>
        <v>9.0854082229440952E-3</v>
      </c>
      <c r="U211" s="288"/>
      <c r="V211" s="288"/>
      <c r="W211" s="291"/>
      <c r="X211" s="5"/>
    </row>
    <row r="212" spans="1:24" ht="15.6" x14ac:dyDescent="0.3">
      <c r="A212" s="352"/>
      <c r="B212" s="288" t="s">
        <v>74</v>
      </c>
      <c r="C212" s="353"/>
      <c r="D212" s="353"/>
      <c r="E212" s="353"/>
      <c r="F212" s="353"/>
      <c r="G212" s="330"/>
      <c r="H212" s="330"/>
      <c r="I212" s="330"/>
      <c r="J212" s="330"/>
      <c r="K212" s="330"/>
      <c r="L212" s="330"/>
      <c r="M212" s="330"/>
      <c r="N212" s="330"/>
      <c r="O212" s="330"/>
      <c r="P212" s="330"/>
      <c r="Q212" s="330"/>
      <c r="R212" s="330"/>
      <c r="S212" s="330"/>
      <c r="T212" s="321">
        <f>T210-T211</f>
        <v>1.4744591777055905E-2</v>
      </c>
      <c r="U212" s="288"/>
      <c r="V212" s="288"/>
      <c r="W212" s="291"/>
      <c r="X212" s="5"/>
    </row>
    <row r="213" spans="1:24" ht="15.6" x14ac:dyDescent="0.3">
      <c r="A213" s="352"/>
      <c r="B213" s="288" t="s">
        <v>242</v>
      </c>
      <c r="C213" s="353"/>
      <c r="D213" s="353"/>
      <c r="E213" s="353"/>
      <c r="F213" s="353"/>
      <c r="G213" s="330"/>
      <c r="H213" s="330"/>
      <c r="I213" s="330"/>
      <c r="J213" s="330"/>
      <c r="K213" s="330"/>
      <c r="L213" s="330"/>
      <c r="M213" s="330"/>
      <c r="N213" s="330"/>
      <c r="O213" s="330"/>
      <c r="P213" s="330"/>
      <c r="Q213" s="330"/>
      <c r="R213" s="330"/>
      <c r="S213" s="330"/>
      <c r="T213" s="321">
        <f>V101/N71</f>
        <v>6.6425786763612228E-3</v>
      </c>
      <c r="U213" s="288"/>
      <c r="V213" s="288"/>
      <c r="W213" s="291"/>
      <c r="X213" s="5"/>
    </row>
    <row r="214" spans="1:24" ht="15.6" x14ac:dyDescent="0.3">
      <c r="A214" s="352"/>
      <c r="B214" s="288" t="s">
        <v>208</v>
      </c>
      <c r="C214" s="353"/>
      <c r="D214" s="353"/>
      <c r="E214" s="353"/>
      <c r="F214" s="353"/>
      <c r="G214" s="330"/>
      <c r="H214" s="330"/>
      <c r="I214" s="330"/>
      <c r="J214" s="330"/>
      <c r="K214" s="330"/>
      <c r="L214" s="330"/>
      <c r="M214" s="330"/>
      <c r="N214" s="330"/>
      <c r="O214" s="330"/>
      <c r="P214" s="330"/>
      <c r="Q214" s="330"/>
      <c r="R214" s="330"/>
      <c r="S214" s="330"/>
      <c r="T214" s="354">
        <v>51014</v>
      </c>
      <c r="U214" s="288"/>
      <c r="V214" s="288"/>
      <c r="W214" s="291"/>
      <c r="X214" s="5"/>
    </row>
    <row r="215" spans="1:24" ht="15.6" x14ac:dyDescent="0.3">
      <c r="A215" s="352"/>
      <c r="B215" s="288" t="s">
        <v>209</v>
      </c>
      <c r="C215" s="353"/>
      <c r="D215" s="353"/>
      <c r="E215" s="353"/>
      <c r="F215" s="353"/>
      <c r="G215" s="330"/>
      <c r="H215" s="330"/>
      <c r="I215" s="330"/>
      <c r="J215" s="330"/>
      <c r="K215" s="330"/>
      <c r="L215" s="330"/>
      <c r="M215" s="330"/>
      <c r="N215" s="330"/>
      <c r="O215" s="330"/>
      <c r="P215" s="330"/>
      <c r="Q215" s="330"/>
      <c r="R215" s="330"/>
      <c r="S215" s="330"/>
      <c r="T215" s="354">
        <v>51014</v>
      </c>
      <c r="U215" s="288"/>
      <c r="V215" s="288"/>
      <c r="W215" s="291"/>
      <c r="X215" s="5"/>
    </row>
    <row r="216" spans="1:24" ht="15.6" x14ac:dyDescent="0.3">
      <c r="A216" s="352"/>
      <c r="B216" s="288" t="s">
        <v>210</v>
      </c>
      <c r="C216" s="353"/>
      <c r="D216" s="353"/>
      <c r="E216" s="353"/>
      <c r="F216" s="353"/>
      <c r="G216" s="330"/>
      <c r="H216" s="330"/>
      <c r="I216" s="330"/>
      <c r="J216" s="330"/>
      <c r="K216" s="330"/>
      <c r="L216" s="330"/>
      <c r="M216" s="330"/>
      <c r="N216" s="330"/>
      <c r="O216" s="330"/>
      <c r="P216" s="330"/>
      <c r="Q216" s="330"/>
      <c r="R216" s="330"/>
      <c r="S216" s="330"/>
      <c r="T216" s="354">
        <v>51014</v>
      </c>
      <c r="U216" s="288"/>
      <c r="V216" s="288"/>
      <c r="W216" s="291"/>
      <c r="X216" s="5"/>
    </row>
    <row r="217" spans="1:24" ht="15.6" x14ac:dyDescent="0.3">
      <c r="A217" s="352"/>
      <c r="B217" s="288" t="s">
        <v>75</v>
      </c>
      <c r="C217" s="353"/>
      <c r="D217" s="353"/>
      <c r="E217" s="353"/>
      <c r="F217" s="353"/>
      <c r="G217" s="330"/>
      <c r="H217" s="330"/>
      <c r="I217" s="330"/>
      <c r="J217" s="330"/>
      <c r="K217" s="330"/>
      <c r="L217" s="330"/>
      <c r="M217" s="330"/>
      <c r="N217" s="330"/>
      <c r="O217" s="330"/>
      <c r="P217" s="330"/>
      <c r="Q217" s="330"/>
      <c r="R217" s="330"/>
      <c r="S217" s="330"/>
      <c r="T217" s="327">
        <v>20.66</v>
      </c>
      <c r="U217" s="288" t="s">
        <v>110</v>
      </c>
      <c r="V217" s="288"/>
      <c r="W217" s="291"/>
      <c r="X217" s="5"/>
    </row>
    <row r="218" spans="1:24" ht="15.6" x14ac:dyDescent="0.3">
      <c r="A218" s="352"/>
      <c r="B218" s="288" t="s">
        <v>76</v>
      </c>
      <c r="C218" s="353"/>
      <c r="D218" s="353"/>
      <c r="E218" s="353"/>
      <c r="F218" s="353"/>
      <c r="G218" s="330"/>
      <c r="H218" s="330"/>
      <c r="I218" s="330"/>
      <c r="J218" s="330"/>
      <c r="K218" s="330"/>
      <c r="L218" s="330"/>
      <c r="M218" s="330"/>
      <c r="N218" s="330"/>
      <c r="O218" s="330"/>
      <c r="P218" s="330"/>
      <c r="Q218" s="330"/>
      <c r="R218" s="330"/>
      <c r="S218" s="330"/>
      <c r="T218" s="327">
        <v>12.6</v>
      </c>
      <c r="U218" s="288" t="s">
        <v>110</v>
      </c>
      <c r="V218" s="288"/>
      <c r="W218" s="291"/>
      <c r="X218" s="5"/>
    </row>
    <row r="219" spans="1:24" ht="15.6" x14ac:dyDescent="0.3">
      <c r="A219" s="352"/>
      <c r="B219" s="288" t="s">
        <v>77</v>
      </c>
      <c r="C219" s="353"/>
      <c r="D219" s="353"/>
      <c r="E219" s="353"/>
      <c r="F219" s="353"/>
      <c r="G219" s="330"/>
      <c r="H219" s="330"/>
      <c r="I219" s="330"/>
      <c r="J219" s="330"/>
      <c r="K219" s="330"/>
      <c r="L219" s="330"/>
      <c r="M219" s="330"/>
      <c r="N219" s="330"/>
      <c r="O219" s="330"/>
      <c r="P219" s="330"/>
      <c r="Q219" s="330"/>
      <c r="R219" s="330"/>
      <c r="S219" s="330"/>
      <c r="T219" s="321">
        <f>+P68/N68</f>
        <v>1.4451782366255498E-2</v>
      </c>
      <c r="U219" s="288"/>
      <c r="V219" s="288"/>
      <c r="W219" s="291"/>
      <c r="X219" s="5"/>
    </row>
    <row r="220" spans="1:24" ht="15.6" x14ac:dyDescent="0.3">
      <c r="A220" s="352"/>
      <c r="B220" s="288" t="s">
        <v>78</v>
      </c>
      <c r="C220" s="353"/>
      <c r="D220" s="353"/>
      <c r="E220" s="353"/>
      <c r="F220" s="353"/>
      <c r="G220" s="330"/>
      <c r="H220" s="330"/>
      <c r="I220" s="330"/>
      <c r="J220" s="330"/>
      <c r="K220" s="330"/>
      <c r="L220" s="330"/>
      <c r="M220" s="330"/>
      <c r="N220" s="330"/>
      <c r="O220" s="330"/>
      <c r="P220" s="330"/>
      <c r="Q220" s="330"/>
      <c r="R220" s="330"/>
      <c r="S220" s="330"/>
      <c r="T220" s="321">
        <v>4.9799999999999997E-2</v>
      </c>
      <c r="U220" s="288"/>
      <c r="V220" s="288"/>
      <c r="W220" s="291"/>
      <c r="X220" s="5"/>
    </row>
    <row r="221" spans="1:24" ht="15.6" x14ac:dyDescent="0.3">
      <c r="A221" s="217"/>
      <c r="B221" s="284"/>
      <c r="C221" s="284"/>
      <c r="D221" s="284"/>
      <c r="E221" s="284"/>
      <c r="F221" s="284"/>
      <c r="G221" s="284"/>
      <c r="H221" s="284"/>
      <c r="I221" s="284"/>
      <c r="J221" s="284"/>
      <c r="K221" s="284"/>
      <c r="L221" s="284"/>
      <c r="M221" s="284"/>
      <c r="N221" s="284"/>
      <c r="O221" s="284"/>
      <c r="P221" s="284"/>
      <c r="Q221" s="284"/>
      <c r="R221" s="284"/>
      <c r="S221" s="284"/>
      <c r="T221" s="349"/>
      <c r="U221" s="284"/>
      <c r="V221" s="351"/>
      <c r="W221" s="284"/>
      <c r="X221" s="5"/>
    </row>
    <row r="222" spans="1:24" ht="15.6" x14ac:dyDescent="0.3">
      <c r="A222" s="278"/>
      <c r="B222" s="399" t="s">
        <v>79</v>
      </c>
      <c r="C222" s="400"/>
      <c r="D222" s="400"/>
      <c r="E222" s="400"/>
      <c r="F222" s="406"/>
      <c r="G222" s="400"/>
      <c r="H222" s="400"/>
      <c r="I222" s="400"/>
      <c r="J222" s="400"/>
      <c r="K222" s="400"/>
      <c r="L222" s="400"/>
      <c r="M222" s="400"/>
      <c r="N222" s="400"/>
      <c r="O222" s="400"/>
      <c r="P222" s="400"/>
      <c r="Q222" s="400"/>
      <c r="R222" s="400"/>
      <c r="S222" s="400" t="s">
        <v>102</v>
      </c>
      <c r="T222" s="406" t="s">
        <v>108</v>
      </c>
      <c r="U222" s="263"/>
      <c r="V222" s="263"/>
      <c r="W222" s="263"/>
      <c r="X222" s="5"/>
    </row>
    <row r="223" spans="1:24" ht="15.6" x14ac:dyDescent="0.3">
      <c r="A223" s="218"/>
      <c r="B223" s="231" t="s">
        <v>80</v>
      </c>
      <c r="C223" s="234"/>
      <c r="D223" s="234"/>
      <c r="E223" s="234"/>
      <c r="F223" s="231"/>
      <c r="G223" s="231"/>
      <c r="H223" s="233"/>
      <c r="I223" s="233"/>
      <c r="J223" s="233"/>
      <c r="K223" s="233"/>
      <c r="L223" s="233"/>
      <c r="M223" s="233"/>
      <c r="N223" s="233"/>
      <c r="O223" s="233"/>
      <c r="P223" s="233"/>
      <c r="Q223" s="233"/>
      <c r="R223" s="233"/>
      <c r="S223" s="233">
        <v>3</v>
      </c>
      <c r="T223" s="251">
        <v>506</v>
      </c>
      <c r="U223" s="231"/>
      <c r="V223" s="250"/>
      <c r="W223" s="252"/>
      <c r="X223" s="5"/>
    </row>
    <row r="224" spans="1:24" ht="15.6" x14ac:dyDescent="0.3">
      <c r="A224" s="362"/>
      <c r="B224" s="288" t="s">
        <v>145</v>
      </c>
      <c r="C224" s="337"/>
      <c r="D224" s="337"/>
      <c r="E224" s="337"/>
      <c r="F224" s="288"/>
      <c r="G224" s="288"/>
      <c r="H224" s="296"/>
      <c r="I224" s="296"/>
      <c r="J224" s="296"/>
      <c r="K224" s="296"/>
      <c r="L224" s="296"/>
      <c r="M224" s="296"/>
      <c r="N224" s="296"/>
      <c r="O224" s="296"/>
      <c r="P224" s="296"/>
      <c r="Q224" s="296"/>
      <c r="R224" s="296"/>
      <c r="S224" s="363">
        <f>+R276</f>
        <v>136</v>
      </c>
      <c r="T224" s="364">
        <f>+T276</f>
        <v>20336</v>
      </c>
      <c r="U224" s="288"/>
      <c r="V224" s="365"/>
      <c r="W224" s="366"/>
      <c r="X224" s="5"/>
    </row>
    <row r="225" spans="1:24" ht="15.6" x14ac:dyDescent="0.3">
      <c r="A225" s="362"/>
      <c r="B225" s="288" t="s">
        <v>81</v>
      </c>
      <c r="C225" s="337"/>
      <c r="D225" s="337"/>
      <c r="E225" s="337"/>
      <c r="F225" s="288"/>
      <c r="G225" s="288"/>
      <c r="H225" s="296"/>
      <c r="I225" s="296"/>
      <c r="J225" s="296"/>
      <c r="K225" s="296"/>
      <c r="L225" s="296"/>
      <c r="M225" s="296"/>
      <c r="N225" s="296"/>
      <c r="O225" s="296"/>
      <c r="P225" s="296"/>
      <c r="Q225" s="296"/>
      <c r="R225" s="296"/>
      <c r="S225" s="363">
        <f>+R288</f>
        <v>0</v>
      </c>
      <c r="T225" s="364">
        <f>+T288</f>
        <v>0</v>
      </c>
      <c r="U225" s="288"/>
      <c r="V225" s="365"/>
      <c r="W225" s="366"/>
      <c r="X225" s="5"/>
    </row>
    <row r="226" spans="1:24" ht="15.6" x14ac:dyDescent="0.3">
      <c r="A226" s="362"/>
      <c r="B226" s="313" t="s">
        <v>82</v>
      </c>
      <c r="C226" s="367"/>
      <c r="D226" s="367"/>
      <c r="E226" s="367"/>
      <c r="F226" s="314"/>
      <c r="G226" s="314"/>
      <c r="H226" s="314"/>
      <c r="I226" s="314"/>
      <c r="J226" s="314"/>
      <c r="K226" s="314"/>
      <c r="L226" s="314"/>
      <c r="M226" s="314"/>
      <c r="N226" s="314"/>
      <c r="O226" s="314"/>
      <c r="P226" s="314"/>
      <c r="Q226" s="314"/>
      <c r="R226" s="314"/>
      <c r="S226" s="314"/>
      <c r="T226" s="364">
        <v>0</v>
      </c>
      <c r="U226" s="314"/>
      <c r="V226" s="369"/>
      <c r="W226" s="370"/>
      <c r="X226" s="5"/>
    </row>
    <row r="227" spans="1:24" ht="15.6" x14ac:dyDescent="0.3">
      <c r="A227" s="362"/>
      <c r="B227" s="313" t="s">
        <v>243</v>
      </c>
      <c r="C227" s="367"/>
      <c r="D227" s="367"/>
      <c r="E227" s="367"/>
      <c r="F227" s="314"/>
      <c r="G227" s="314"/>
      <c r="H227" s="314"/>
      <c r="I227" s="314"/>
      <c r="J227" s="314"/>
      <c r="K227" s="314"/>
      <c r="L227" s="314"/>
      <c r="M227" s="314"/>
      <c r="N227" s="314"/>
      <c r="O227" s="314"/>
      <c r="P227" s="314"/>
      <c r="Q227" s="314"/>
      <c r="R227" s="314"/>
      <c r="S227" s="314"/>
      <c r="T227" s="364">
        <f>+N81</f>
        <v>0</v>
      </c>
      <c r="U227" s="314"/>
      <c r="V227" s="369"/>
      <c r="W227" s="370"/>
      <c r="X227" s="5"/>
    </row>
    <row r="228" spans="1:24" ht="15.6" x14ac:dyDescent="0.3">
      <c r="A228" s="371"/>
      <c r="B228" s="313" t="s">
        <v>83</v>
      </c>
      <c r="C228" s="372"/>
      <c r="D228" s="372"/>
      <c r="E228" s="372"/>
      <c r="F228" s="372"/>
      <c r="G228" s="314"/>
      <c r="H228" s="314"/>
      <c r="I228" s="314"/>
      <c r="J228" s="314"/>
      <c r="K228" s="314"/>
      <c r="L228" s="314"/>
      <c r="M228" s="314"/>
      <c r="N228" s="314"/>
      <c r="O228" s="314"/>
      <c r="P228" s="314"/>
      <c r="Q228" s="314"/>
      <c r="R228" s="314"/>
      <c r="S228" s="314"/>
      <c r="T228" s="368"/>
      <c r="U228" s="314"/>
      <c r="V228" s="369"/>
      <c r="W228" s="373"/>
      <c r="X228" s="5"/>
    </row>
    <row r="229" spans="1:24" ht="15.6" x14ac:dyDescent="0.3">
      <c r="A229" s="371"/>
      <c r="B229" s="288" t="s">
        <v>84</v>
      </c>
      <c r="C229" s="288"/>
      <c r="D229" s="288"/>
      <c r="E229" s="288"/>
      <c r="F229" s="288"/>
      <c r="G229" s="288"/>
      <c r="H229" s="288"/>
      <c r="I229" s="288"/>
      <c r="J229" s="288"/>
      <c r="K229" s="288"/>
      <c r="L229" s="288"/>
      <c r="M229" s="288"/>
      <c r="N229" s="288"/>
      <c r="O229" s="288"/>
      <c r="P229" s="288"/>
      <c r="Q229" s="288"/>
      <c r="R229" s="288"/>
      <c r="S229" s="296"/>
      <c r="T229" s="364">
        <f>V167</f>
        <v>355</v>
      </c>
      <c r="U229" s="288"/>
      <c r="V229" s="365"/>
      <c r="W229" s="378"/>
      <c r="X229" s="5"/>
    </row>
    <row r="230" spans="1:24" ht="15.6" x14ac:dyDescent="0.3">
      <c r="A230" s="362"/>
      <c r="B230" s="288" t="s">
        <v>85</v>
      </c>
      <c r="C230" s="337"/>
      <c r="D230" s="337"/>
      <c r="E230" s="337"/>
      <c r="F230" s="337"/>
      <c r="G230" s="288"/>
      <c r="H230" s="288"/>
      <c r="I230" s="288"/>
      <c r="J230" s="288"/>
      <c r="K230" s="288"/>
      <c r="L230" s="288"/>
      <c r="M230" s="288"/>
      <c r="N230" s="288"/>
      <c r="O230" s="288"/>
      <c r="P230" s="288"/>
      <c r="Q230" s="288"/>
      <c r="R230" s="288"/>
      <c r="S230" s="296"/>
      <c r="T230" s="364">
        <f>'Nov 15'!T230+T229</f>
        <v>6603</v>
      </c>
      <c r="U230" s="288"/>
      <c r="V230" s="365"/>
      <c r="W230" s="378"/>
      <c r="X230" s="5"/>
    </row>
    <row r="231" spans="1:24" ht="15.6" x14ac:dyDescent="0.3">
      <c r="A231" s="371"/>
      <c r="B231" s="313" t="s">
        <v>295</v>
      </c>
      <c r="C231" s="372"/>
      <c r="D231" s="372"/>
      <c r="E231" s="372"/>
      <c r="F231" s="372"/>
      <c r="G231" s="314"/>
      <c r="H231" s="314"/>
      <c r="I231" s="314"/>
      <c r="J231" s="314"/>
      <c r="K231" s="314"/>
      <c r="L231" s="314"/>
      <c r="M231" s="314"/>
      <c r="N231" s="314"/>
      <c r="O231" s="314"/>
      <c r="P231" s="314"/>
      <c r="Q231" s="314"/>
      <c r="R231" s="314"/>
      <c r="S231" s="316"/>
      <c r="T231" s="368"/>
      <c r="U231" s="314"/>
      <c r="V231" s="369"/>
      <c r="W231" s="373"/>
      <c r="X231" s="5"/>
    </row>
    <row r="232" spans="1:24" ht="15.6" x14ac:dyDescent="0.3">
      <c r="A232" s="371"/>
      <c r="B232" s="288" t="s">
        <v>291</v>
      </c>
      <c r="C232" s="288"/>
      <c r="D232" s="288"/>
      <c r="E232" s="288"/>
      <c r="F232" s="288"/>
      <c r="G232" s="288"/>
      <c r="H232" s="288"/>
      <c r="I232" s="288"/>
      <c r="J232" s="288"/>
      <c r="K232" s="288"/>
      <c r="L232" s="288"/>
      <c r="M232" s="288"/>
      <c r="N232" s="288"/>
      <c r="O232" s="288"/>
      <c r="P232" s="288"/>
      <c r="Q232" s="288"/>
      <c r="R232" s="288"/>
      <c r="S232" s="296">
        <v>1</v>
      </c>
      <c r="T232" s="364">
        <v>52</v>
      </c>
      <c r="U232" s="288"/>
      <c r="V232" s="365"/>
      <c r="W232" s="378"/>
      <c r="X232" s="5"/>
    </row>
    <row r="233" spans="1:24" ht="15.6" x14ac:dyDescent="0.3">
      <c r="A233" s="362"/>
      <c r="B233" s="288" t="s">
        <v>86</v>
      </c>
      <c r="C233" s="325"/>
      <c r="D233" s="325"/>
      <c r="E233" s="325"/>
      <c r="F233" s="379"/>
      <c r="G233" s="288"/>
      <c r="H233" s="288"/>
      <c r="I233" s="288"/>
      <c r="J233" s="288"/>
      <c r="K233" s="288"/>
      <c r="L233" s="288"/>
      <c r="M233" s="288"/>
      <c r="N233" s="288"/>
      <c r="O233" s="288"/>
      <c r="P233" s="288"/>
      <c r="Q233" s="288"/>
      <c r="R233" s="288"/>
      <c r="S233" s="288"/>
      <c r="T233" s="380">
        <v>15.98</v>
      </c>
      <c r="U233" s="288"/>
      <c r="V233" s="365"/>
      <c r="W233" s="378"/>
      <c r="X233" s="5"/>
    </row>
    <row r="234" spans="1:24" ht="15.6" x14ac:dyDescent="0.3">
      <c r="A234" s="362"/>
      <c r="B234" s="288" t="s">
        <v>87</v>
      </c>
      <c r="C234" s="325"/>
      <c r="D234" s="325"/>
      <c r="E234" s="325"/>
      <c r="F234" s="379"/>
      <c r="G234" s="288"/>
      <c r="H234" s="288"/>
      <c r="I234" s="288"/>
      <c r="J234" s="288"/>
      <c r="K234" s="288"/>
      <c r="L234" s="288"/>
      <c r="M234" s="288"/>
      <c r="N234" s="288"/>
      <c r="O234" s="288"/>
      <c r="P234" s="288"/>
      <c r="Q234" s="288"/>
      <c r="R234" s="288"/>
      <c r="S234" s="288"/>
      <c r="T234" s="380">
        <v>4.76</v>
      </c>
      <c r="U234" s="288"/>
      <c r="V234" s="365"/>
      <c r="W234" s="378"/>
      <c r="X234" s="5"/>
    </row>
    <row r="235" spans="1:24" ht="15.6" x14ac:dyDescent="0.3">
      <c r="A235" s="362"/>
      <c r="B235" s="313" t="s">
        <v>217</v>
      </c>
      <c r="C235" s="381"/>
      <c r="D235" s="381"/>
      <c r="E235" s="381"/>
      <c r="F235" s="382"/>
      <c r="G235" s="314"/>
      <c r="H235" s="314"/>
      <c r="I235" s="314"/>
      <c r="J235" s="314"/>
      <c r="K235" s="314"/>
      <c r="L235" s="314"/>
      <c r="M235" s="314"/>
      <c r="N235" s="314"/>
      <c r="O235" s="314"/>
      <c r="P235" s="314"/>
      <c r="Q235" s="314"/>
      <c r="R235" s="314"/>
      <c r="S235" s="314"/>
      <c r="T235" s="383"/>
      <c r="U235" s="314"/>
      <c r="V235" s="369"/>
      <c r="W235" s="373"/>
      <c r="X235" s="5"/>
    </row>
    <row r="236" spans="1:24" ht="15.6" x14ac:dyDescent="0.3">
      <c r="A236" s="362"/>
      <c r="B236" s="288" t="s">
        <v>291</v>
      </c>
      <c r="C236" s="381"/>
      <c r="D236" s="381"/>
      <c r="E236" s="381"/>
      <c r="F236" s="382"/>
      <c r="G236" s="314"/>
      <c r="H236" s="314"/>
      <c r="I236" s="314"/>
      <c r="J236" s="314"/>
      <c r="K236" s="314"/>
      <c r="L236" s="314"/>
      <c r="M236" s="314"/>
      <c r="N236" s="314"/>
      <c r="O236" s="314"/>
      <c r="P236" s="314"/>
      <c r="Q236" s="314"/>
      <c r="R236" s="314"/>
      <c r="S236" s="296">
        <v>3</v>
      </c>
      <c r="T236" s="364">
        <v>521</v>
      </c>
      <c r="U236" s="314"/>
      <c r="V236" s="369"/>
      <c r="W236" s="373"/>
      <c r="X236" s="5"/>
    </row>
    <row r="237" spans="1:24" ht="15.6" x14ac:dyDescent="0.3">
      <c r="A237" s="362"/>
      <c r="B237" s="288" t="s">
        <v>218</v>
      </c>
      <c r="C237" s="381"/>
      <c r="D237" s="381"/>
      <c r="E237" s="381"/>
      <c r="F237" s="382"/>
      <c r="G237" s="314"/>
      <c r="H237" s="314"/>
      <c r="I237" s="314"/>
      <c r="J237" s="314"/>
      <c r="K237" s="314"/>
      <c r="L237" s="314"/>
      <c r="M237" s="314"/>
      <c r="N237" s="314"/>
      <c r="O237" s="314"/>
      <c r="P237" s="314"/>
      <c r="Q237" s="314"/>
      <c r="R237" s="314"/>
      <c r="S237" s="288"/>
      <c r="T237" s="380">
        <v>0</v>
      </c>
      <c r="U237" s="314"/>
      <c r="V237" s="369"/>
      <c r="W237" s="373"/>
      <c r="X237" s="5"/>
    </row>
    <row r="238" spans="1:24" ht="15.6" x14ac:dyDescent="0.3">
      <c r="A238" s="362"/>
      <c r="B238" s="372"/>
      <c r="C238" s="381"/>
      <c r="D238" s="381"/>
      <c r="E238" s="381"/>
      <c r="F238" s="382"/>
      <c r="G238" s="314"/>
      <c r="H238" s="314"/>
      <c r="I238" s="314"/>
      <c r="J238" s="314"/>
      <c r="K238" s="314"/>
      <c r="L238" s="314"/>
      <c r="M238" s="314"/>
      <c r="N238" s="314"/>
      <c r="O238" s="314"/>
      <c r="P238" s="314"/>
      <c r="Q238" s="314"/>
      <c r="R238" s="314"/>
      <c r="S238" s="314"/>
      <c r="T238" s="383"/>
      <c r="U238" s="314"/>
      <c r="V238" s="369"/>
      <c r="W238" s="373"/>
      <c r="X238" s="5"/>
    </row>
    <row r="239" spans="1:24" ht="15.6" x14ac:dyDescent="0.3">
      <c r="A239" s="362"/>
      <c r="B239" s="372"/>
      <c r="C239" s="381"/>
      <c r="D239" s="381"/>
      <c r="E239" s="381"/>
      <c r="F239" s="382"/>
      <c r="G239" s="314"/>
      <c r="H239" s="314"/>
      <c r="I239" s="314"/>
      <c r="J239" s="314"/>
      <c r="K239" s="314"/>
      <c r="L239" s="314"/>
      <c r="M239" s="314"/>
      <c r="N239" s="314"/>
      <c r="O239" s="314"/>
      <c r="P239" s="314"/>
      <c r="Q239" s="314"/>
      <c r="R239" s="314"/>
      <c r="S239" s="314"/>
      <c r="T239" s="383"/>
      <c r="U239" s="314"/>
      <c r="V239" s="369"/>
      <c r="W239" s="373"/>
      <c r="X239" s="5"/>
    </row>
    <row r="240" spans="1:24" ht="17.399999999999999" x14ac:dyDescent="0.3">
      <c r="A240" s="362"/>
      <c r="B240" s="384" t="s">
        <v>168</v>
      </c>
      <c r="C240" s="381"/>
      <c r="D240" s="381"/>
      <c r="E240" s="381"/>
      <c r="F240" s="382"/>
      <c r="G240" s="314"/>
      <c r="H240" s="314"/>
      <c r="I240" s="314"/>
      <c r="J240" s="314"/>
      <c r="K240" s="314"/>
      <c r="L240" s="314"/>
      <c r="M240" s="314"/>
      <c r="N240" s="314"/>
      <c r="O240" s="314"/>
      <c r="P240" s="385" t="s">
        <v>167</v>
      </c>
      <c r="Q240" s="314"/>
      <c r="R240" s="314"/>
      <c r="S240" s="314"/>
      <c r="T240" s="383"/>
      <c r="U240" s="314"/>
      <c r="V240" s="369"/>
      <c r="W240" s="373"/>
      <c r="X240" s="5"/>
    </row>
    <row r="241" spans="1:25" ht="15.6" x14ac:dyDescent="0.3">
      <c r="A241" s="355"/>
      <c r="B241" s="356"/>
      <c r="C241" s="357"/>
      <c r="D241" s="357"/>
      <c r="E241" s="357"/>
      <c r="F241" s="358"/>
      <c r="G241" s="198"/>
      <c r="H241" s="198"/>
      <c r="I241" s="198"/>
      <c r="J241" s="198"/>
      <c r="K241" s="198"/>
      <c r="L241" s="198"/>
      <c r="M241" s="198"/>
      <c r="N241" s="198"/>
      <c r="O241" s="198"/>
      <c r="P241" s="198"/>
      <c r="Q241" s="198"/>
      <c r="R241" s="198"/>
      <c r="S241" s="198"/>
      <c r="T241" s="359"/>
      <c r="U241" s="198"/>
      <c r="V241" s="360"/>
      <c r="W241" s="361"/>
      <c r="X241" s="5"/>
    </row>
    <row r="242" spans="1:25" ht="15.6" x14ac:dyDescent="0.3">
      <c r="A242" s="262"/>
      <c r="B242" s="399" t="s">
        <v>308</v>
      </c>
      <c r="C242" s="400"/>
      <c r="D242" s="400"/>
      <c r="E242" s="400"/>
      <c r="F242" s="406"/>
      <c r="G242" s="400"/>
      <c r="H242" s="400"/>
      <c r="I242" s="400"/>
      <c r="J242" s="400"/>
      <c r="K242" s="400"/>
      <c r="L242" s="400"/>
      <c r="M242" s="400"/>
      <c r="N242" s="400"/>
      <c r="O242" s="400"/>
      <c r="P242" s="400"/>
      <c r="Q242" s="400"/>
      <c r="R242" s="406" t="s">
        <v>102</v>
      </c>
      <c r="S242" s="400" t="s">
        <v>103</v>
      </c>
      <c r="T242" s="406" t="s">
        <v>109</v>
      </c>
      <c r="U242" s="400" t="s">
        <v>103</v>
      </c>
      <c r="V242" s="263"/>
      <c r="W242" s="399"/>
      <c r="X242" s="5"/>
    </row>
    <row r="243" spans="1:25" ht="15.6" x14ac:dyDescent="0.3">
      <c r="A243" s="197"/>
      <c r="B243" s="234" t="s">
        <v>88</v>
      </c>
      <c r="C243" s="253"/>
      <c r="D243" s="253"/>
      <c r="E243" s="253"/>
      <c r="F243" s="231"/>
      <c r="G243" s="253"/>
      <c r="H243" s="253"/>
      <c r="I243" s="253"/>
      <c r="J243" s="253"/>
      <c r="K243" s="253"/>
      <c r="L243" s="253"/>
      <c r="M243" s="253"/>
      <c r="N243" s="253"/>
      <c r="O243" s="253"/>
      <c r="P243" s="253"/>
      <c r="Q243" s="253"/>
      <c r="R243" s="234">
        <f t="shared" ref="R243:R250" si="1">+R255+R267+R279</f>
        <v>7036</v>
      </c>
      <c r="S243" s="254">
        <f t="shared" ref="S243:S250" si="2">R243/$R$252</f>
        <v>0.99575431644494761</v>
      </c>
      <c r="T243" s="241">
        <f t="shared" ref="T243:T250" si="3">+T255+T267+T279</f>
        <v>970238</v>
      </c>
      <c r="U243" s="254">
        <f t="shared" ref="U243:U250" si="4">T243/$T$252</f>
        <v>0.99534661367660604</v>
      </c>
      <c r="V243" s="250"/>
      <c r="W243" s="232"/>
      <c r="X243" s="5"/>
    </row>
    <row r="244" spans="1:25" ht="15.6" x14ac:dyDescent="0.3">
      <c r="A244" s="287"/>
      <c r="B244" s="337" t="s">
        <v>89</v>
      </c>
      <c r="C244" s="389"/>
      <c r="D244" s="389"/>
      <c r="E244" s="389"/>
      <c r="F244" s="288"/>
      <c r="G244" s="390"/>
      <c r="H244" s="389"/>
      <c r="I244" s="389"/>
      <c r="J244" s="389"/>
      <c r="K244" s="389"/>
      <c r="L244" s="389"/>
      <c r="M244" s="389"/>
      <c r="N244" s="389"/>
      <c r="O244" s="389"/>
      <c r="P244" s="389"/>
      <c r="Q244" s="389"/>
      <c r="R244" s="337">
        <f t="shared" si="1"/>
        <v>14</v>
      </c>
      <c r="S244" s="390">
        <f t="shared" si="2"/>
        <v>1.9813189923577695E-3</v>
      </c>
      <c r="T244" s="338">
        <f t="shared" si="3"/>
        <v>1995</v>
      </c>
      <c r="U244" s="390">
        <f t="shared" si="4"/>
        <v>2.0466282440852958E-3</v>
      </c>
      <c r="V244" s="365"/>
      <c r="W244" s="378"/>
      <c r="X244" s="5"/>
      <c r="Y244" s="109"/>
    </row>
    <row r="245" spans="1:25" ht="15.6" x14ac:dyDescent="0.3">
      <c r="A245" s="287"/>
      <c r="B245" s="337" t="s">
        <v>90</v>
      </c>
      <c r="C245" s="389"/>
      <c r="D245" s="389"/>
      <c r="E245" s="389"/>
      <c r="F245" s="288"/>
      <c r="G245" s="390"/>
      <c r="H245" s="389"/>
      <c r="I245" s="389"/>
      <c r="J245" s="389"/>
      <c r="K245" s="389"/>
      <c r="L245" s="389"/>
      <c r="M245" s="389"/>
      <c r="N245" s="389"/>
      <c r="O245" s="389"/>
      <c r="P245" s="389"/>
      <c r="Q245" s="389"/>
      <c r="R245" s="337">
        <f t="shared" si="1"/>
        <v>1</v>
      </c>
      <c r="S245" s="390">
        <f t="shared" si="2"/>
        <v>1.415227851684121E-4</v>
      </c>
      <c r="T245" s="338">
        <f t="shared" si="3"/>
        <v>189</v>
      </c>
      <c r="U245" s="390">
        <f t="shared" si="4"/>
        <v>1.9389109680808064E-4</v>
      </c>
      <c r="V245" s="365"/>
      <c r="W245" s="378"/>
      <c r="X245" s="5"/>
    </row>
    <row r="246" spans="1:25" ht="15.6" x14ac:dyDescent="0.3">
      <c r="A246" s="287"/>
      <c r="B246" s="337" t="s">
        <v>156</v>
      </c>
      <c r="C246" s="389"/>
      <c r="D246" s="389"/>
      <c r="E246" s="389"/>
      <c r="F246" s="288"/>
      <c r="G246" s="390"/>
      <c r="H246" s="389"/>
      <c r="I246" s="389"/>
      <c r="J246" s="389"/>
      <c r="K246" s="389"/>
      <c r="L246" s="389"/>
      <c r="M246" s="389"/>
      <c r="N246" s="389"/>
      <c r="O246" s="389"/>
      <c r="P246" s="389"/>
      <c r="Q246" s="389"/>
      <c r="R246" s="337">
        <f t="shared" si="1"/>
        <v>1</v>
      </c>
      <c r="S246" s="390">
        <f t="shared" si="2"/>
        <v>1.415227851684121E-4</v>
      </c>
      <c r="T246" s="338">
        <f t="shared" si="3"/>
        <v>190</v>
      </c>
      <c r="U246" s="390">
        <f t="shared" si="4"/>
        <v>1.9491697562717101E-4</v>
      </c>
      <c r="V246" s="365"/>
      <c r="W246" s="378"/>
      <c r="X246" s="5"/>
      <c r="Y246" s="109"/>
    </row>
    <row r="247" spans="1:25" ht="15.6" x14ac:dyDescent="0.3">
      <c r="A247" s="287"/>
      <c r="B247" s="337" t="s">
        <v>157</v>
      </c>
      <c r="C247" s="389"/>
      <c r="D247" s="389"/>
      <c r="E247" s="389"/>
      <c r="F247" s="288"/>
      <c r="G247" s="390"/>
      <c r="H247" s="389"/>
      <c r="I247" s="389"/>
      <c r="J247" s="389"/>
      <c r="K247" s="389"/>
      <c r="L247" s="389"/>
      <c r="M247" s="389"/>
      <c r="N247" s="389"/>
      <c r="O247" s="389"/>
      <c r="P247" s="389"/>
      <c r="Q247" s="389"/>
      <c r="R247" s="337">
        <f t="shared" si="1"/>
        <v>0</v>
      </c>
      <c r="S247" s="390">
        <f t="shared" si="2"/>
        <v>0</v>
      </c>
      <c r="T247" s="338">
        <f t="shared" si="3"/>
        <v>0</v>
      </c>
      <c r="U247" s="390">
        <f t="shared" si="4"/>
        <v>0</v>
      </c>
      <c r="V247" s="365"/>
      <c r="W247" s="378"/>
      <c r="X247" s="5"/>
    </row>
    <row r="248" spans="1:25" ht="15.6" x14ac:dyDescent="0.3">
      <c r="A248" s="287"/>
      <c r="B248" s="337" t="s">
        <v>158</v>
      </c>
      <c r="C248" s="389"/>
      <c r="D248" s="389"/>
      <c r="E248" s="389"/>
      <c r="F248" s="288"/>
      <c r="G248" s="390"/>
      <c r="H248" s="389"/>
      <c r="I248" s="389"/>
      <c r="J248" s="389"/>
      <c r="K248" s="389"/>
      <c r="L248" s="389"/>
      <c r="M248" s="389"/>
      <c r="N248" s="389"/>
      <c r="O248" s="389"/>
      <c r="P248" s="389"/>
      <c r="Q248" s="389"/>
      <c r="R248" s="337">
        <f t="shared" si="1"/>
        <v>0</v>
      </c>
      <c r="S248" s="390">
        <f t="shared" si="2"/>
        <v>0</v>
      </c>
      <c r="T248" s="338">
        <f t="shared" si="3"/>
        <v>0</v>
      </c>
      <c r="U248" s="390">
        <f t="shared" si="4"/>
        <v>0</v>
      </c>
      <c r="V248" s="365"/>
      <c r="W248" s="378"/>
      <c r="X248" s="5"/>
      <c r="Y248" s="109"/>
    </row>
    <row r="249" spans="1:25" ht="15.6" x14ac:dyDescent="0.3">
      <c r="A249" s="287"/>
      <c r="B249" s="337" t="s">
        <v>159</v>
      </c>
      <c r="C249" s="389"/>
      <c r="D249" s="389"/>
      <c r="E249" s="389"/>
      <c r="F249" s="288"/>
      <c r="G249" s="390"/>
      <c r="H249" s="389"/>
      <c r="I249" s="389"/>
      <c r="J249" s="389"/>
      <c r="K249" s="389"/>
      <c r="L249" s="389"/>
      <c r="M249" s="389"/>
      <c r="N249" s="389"/>
      <c r="O249" s="389"/>
      <c r="P249" s="389"/>
      <c r="Q249" s="389"/>
      <c r="R249" s="337">
        <f t="shared" si="1"/>
        <v>6</v>
      </c>
      <c r="S249" s="390">
        <f t="shared" si="2"/>
        <v>8.4913671101047273E-4</v>
      </c>
      <c r="T249" s="338">
        <f t="shared" si="3"/>
        <v>869</v>
      </c>
      <c r="U249" s="390">
        <f t="shared" si="4"/>
        <v>8.9148869378953479E-4</v>
      </c>
      <c r="V249" s="365"/>
      <c r="W249" s="378"/>
      <c r="X249" s="5"/>
    </row>
    <row r="250" spans="1:25" ht="15.6" x14ac:dyDescent="0.3">
      <c r="A250" s="287"/>
      <c r="B250" s="337" t="s">
        <v>160</v>
      </c>
      <c r="C250" s="389"/>
      <c r="D250" s="389"/>
      <c r="E250" s="389"/>
      <c r="F250" s="288"/>
      <c r="G250" s="390"/>
      <c r="H250" s="389"/>
      <c r="I250" s="389"/>
      <c r="J250" s="389"/>
      <c r="K250" s="389"/>
      <c r="L250" s="389"/>
      <c r="M250" s="389"/>
      <c r="N250" s="389"/>
      <c r="O250" s="389"/>
      <c r="P250" s="389"/>
      <c r="Q250" s="389"/>
      <c r="R250" s="339">
        <f t="shared" si="1"/>
        <v>8</v>
      </c>
      <c r="S250" s="393">
        <f t="shared" si="2"/>
        <v>1.1321822813472968E-3</v>
      </c>
      <c r="T250" s="394">
        <f t="shared" si="3"/>
        <v>1293</v>
      </c>
      <c r="U250" s="393">
        <f t="shared" si="4"/>
        <v>1.3264613130838532E-3</v>
      </c>
      <c r="V250" s="365"/>
      <c r="W250" s="378"/>
      <c r="X250" s="5"/>
      <c r="Y250" s="109"/>
    </row>
    <row r="251" spans="1:25" ht="15.6" x14ac:dyDescent="0.3">
      <c r="A251" s="287"/>
      <c r="B251" s="337"/>
      <c r="C251" s="389"/>
      <c r="D251" s="389"/>
      <c r="E251" s="389"/>
      <c r="F251" s="288"/>
      <c r="G251" s="390"/>
      <c r="H251" s="389"/>
      <c r="I251" s="389"/>
      <c r="J251" s="389"/>
      <c r="K251" s="389"/>
      <c r="L251" s="389"/>
      <c r="M251" s="389"/>
      <c r="N251" s="389"/>
      <c r="O251" s="389"/>
      <c r="P251" s="389"/>
      <c r="Q251" s="389"/>
      <c r="R251" s="337"/>
      <c r="S251" s="390"/>
      <c r="T251" s="338"/>
      <c r="U251" s="390"/>
      <c r="V251" s="365"/>
      <c r="W251" s="378"/>
      <c r="X251" s="5"/>
    </row>
    <row r="252" spans="1:25" ht="15.6" x14ac:dyDescent="0.3">
      <c r="A252" s="287"/>
      <c r="B252" s="288"/>
      <c r="C252" s="288"/>
      <c r="D252" s="288"/>
      <c r="E252" s="288"/>
      <c r="F252" s="288"/>
      <c r="G252" s="288"/>
      <c r="H252" s="391"/>
      <c r="I252" s="391"/>
      <c r="J252" s="391"/>
      <c r="K252" s="391"/>
      <c r="L252" s="391"/>
      <c r="M252" s="391"/>
      <c r="N252" s="391"/>
      <c r="O252" s="391"/>
      <c r="P252" s="391"/>
      <c r="Q252" s="391"/>
      <c r="R252" s="337">
        <f>SUM(R243:R251)</f>
        <v>7066</v>
      </c>
      <c r="S252" s="390">
        <f>SUM(S243:S251)</f>
        <v>1</v>
      </c>
      <c r="T252" s="338">
        <f>SUM(T243:T251)</f>
        <v>974774</v>
      </c>
      <c r="U252" s="390">
        <f>SUM(U243:U251)</f>
        <v>1</v>
      </c>
      <c r="V252" s="288"/>
      <c r="W252" s="291"/>
      <c r="X252" s="5"/>
    </row>
    <row r="253" spans="1:25" ht="15.6" x14ac:dyDescent="0.3">
      <c r="A253" s="183"/>
      <c r="B253" s="198"/>
      <c r="C253" s="198"/>
      <c r="D253" s="198"/>
      <c r="E253" s="198"/>
      <c r="F253" s="198"/>
      <c r="G253" s="198"/>
      <c r="H253" s="386"/>
      <c r="I253" s="386"/>
      <c r="J253" s="386"/>
      <c r="K253" s="386"/>
      <c r="L253" s="386"/>
      <c r="M253" s="386"/>
      <c r="N253" s="386"/>
      <c r="O253" s="386"/>
      <c r="P253" s="386"/>
      <c r="Q253" s="386"/>
      <c r="R253" s="335"/>
      <c r="S253" s="387"/>
      <c r="T253" s="388"/>
      <c r="U253" s="387"/>
      <c r="V253" s="198"/>
      <c r="W253" s="198"/>
      <c r="X253" s="5"/>
    </row>
    <row r="254" spans="1:25" ht="15.6" x14ac:dyDescent="0.3">
      <c r="A254" s="262"/>
      <c r="B254" s="399" t="s">
        <v>162</v>
      </c>
      <c r="C254" s="400"/>
      <c r="D254" s="400"/>
      <c r="E254" s="400"/>
      <c r="F254" s="406"/>
      <c r="G254" s="400"/>
      <c r="H254" s="400"/>
      <c r="I254" s="400"/>
      <c r="J254" s="400"/>
      <c r="K254" s="400"/>
      <c r="L254" s="400"/>
      <c r="M254" s="400"/>
      <c r="N254" s="400"/>
      <c r="O254" s="400"/>
      <c r="P254" s="400"/>
      <c r="Q254" s="400"/>
      <c r="R254" s="406" t="s">
        <v>102</v>
      </c>
      <c r="S254" s="400" t="s">
        <v>103</v>
      </c>
      <c r="T254" s="406" t="s">
        <v>109</v>
      </c>
      <c r="U254" s="400" t="s">
        <v>103</v>
      </c>
      <c r="V254" s="263"/>
      <c r="W254" s="399"/>
      <c r="X254" s="5"/>
    </row>
    <row r="255" spans="1:25" ht="15.6" x14ac:dyDescent="0.3">
      <c r="A255" s="197"/>
      <c r="B255" s="234" t="s">
        <v>88</v>
      </c>
      <c r="C255" s="253"/>
      <c r="D255" s="253"/>
      <c r="E255" s="253"/>
      <c r="F255" s="231"/>
      <c r="G255" s="253"/>
      <c r="H255" s="253"/>
      <c r="I255" s="253"/>
      <c r="J255" s="253"/>
      <c r="K255" s="253"/>
      <c r="L255" s="253"/>
      <c r="M255" s="253"/>
      <c r="N255" s="253"/>
      <c r="O255" s="253"/>
      <c r="P255" s="253"/>
      <c r="Q255" s="253"/>
      <c r="R255" s="234">
        <v>6916</v>
      </c>
      <c r="S255" s="254">
        <f t="shared" ref="S255:S262" si="5">R255/$R$264</f>
        <v>0.99797979797979797</v>
      </c>
      <c r="T255" s="241">
        <v>952511</v>
      </c>
      <c r="U255" s="254">
        <f t="shared" ref="U255:U262" si="6">T255/$T$264</f>
        <v>0.99798101081474122</v>
      </c>
      <c r="V255" s="250"/>
      <c r="W255" s="232"/>
      <c r="X255" s="5"/>
    </row>
    <row r="256" spans="1:25" ht="15.6" x14ac:dyDescent="0.3">
      <c r="A256" s="287"/>
      <c r="B256" s="337" t="s">
        <v>89</v>
      </c>
      <c r="C256" s="389"/>
      <c r="D256" s="389"/>
      <c r="E256" s="389"/>
      <c r="F256" s="288"/>
      <c r="G256" s="390"/>
      <c r="H256" s="389"/>
      <c r="I256" s="389"/>
      <c r="J256" s="389"/>
      <c r="K256" s="389"/>
      <c r="L256" s="389"/>
      <c r="M256" s="389"/>
      <c r="N256" s="389"/>
      <c r="O256" s="389"/>
      <c r="P256" s="389"/>
      <c r="Q256" s="389"/>
      <c r="R256" s="337">
        <v>13</v>
      </c>
      <c r="S256" s="390">
        <f t="shared" si="5"/>
        <v>1.8759018759018759E-3</v>
      </c>
      <c r="T256" s="338">
        <v>1800</v>
      </c>
      <c r="U256" s="390">
        <f t="shared" si="6"/>
        <v>1.8859265871643837E-3</v>
      </c>
      <c r="V256" s="365"/>
      <c r="W256" s="378"/>
      <c r="X256" s="5"/>
      <c r="Y256" s="109"/>
    </row>
    <row r="257" spans="1:25" ht="15.6" x14ac:dyDescent="0.3">
      <c r="A257" s="287"/>
      <c r="B257" s="337" t="s">
        <v>90</v>
      </c>
      <c r="C257" s="389"/>
      <c r="D257" s="389"/>
      <c r="E257" s="389"/>
      <c r="F257" s="288"/>
      <c r="G257" s="390"/>
      <c r="H257" s="389"/>
      <c r="I257" s="389"/>
      <c r="J257" s="389"/>
      <c r="K257" s="389"/>
      <c r="L257" s="389"/>
      <c r="M257" s="389"/>
      <c r="N257" s="389"/>
      <c r="O257" s="389"/>
      <c r="P257" s="389"/>
      <c r="Q257" s="389"/>
      <c r="R257" s="337">
        <v>0</v>
      </c>
      <c r="S257" s="390">
        <f t="shared" si="5"/>
        <v>0</v>
      </c>
      <c r="T257" s="338">
        <v>0</v>
      </c>
      <c r="U257" s="390">
        <f t="shared" si="6"/>
        <v>0</v>
      </c>
      <c r="V257" s="365"/>
      <c r="W257" s="378"/>
      <c r="X257" s="5"/>
    </row>
    <row r="258" spans="1:25" ht="15.6" x14ac:dyDescent="0.3">
      <c r="A258" s="287"/>
      <c r="B258" s="337" t="s">
        <v>156</v>
      </c>
      <c r="C258" s="389"/>
      <c r="D258" s="389"/>
      <c r="E258" s="389"/>
      <c r="F258" s="288"/>
      <c r="G258" s="390"/>
      <c r="H258" s="389"/>
      <c r="I258" s="389"/>
      <c r="J258" s="389"/>
      <c r="K258" s="389"/>
      <c r="L258" s="389"/>
      <c r="M258" s="389"/>
      <c r="N258" s="389"/>
      <c r="O258" s="389"/>
      <c r="P258" s="389"/>
      <c r="Q258" s="389"/>
      <c r="R258" s="337">
        <v>0</v>
      </c>
      <c r="S258" s="390">
        <f t="shared" si="5"/>
        <v>0</v>
      </c>
      <c r="T258" s="338">
        <v>0</v>
      </c>
      <c r="U258" s="390">
        <f t="shared" si="6"/>
        <v>0</v>
      </c>
      <c r="V258" s="365"/>
      <c r="W258" s="378"/>
      <c r="X258" s="5"/>
      <c r="Y258" s="109"/>
    </row>
    <row r="259" spans="1:25" ht="15.6" x14ac:dyDescent="0.3">
      <c r="A259" s="287"/>
      <c r="B259" s="337" t="s">
        <v>157</v>
      </c>
      <c r="C259" s="389"/>
      <c r="D259" s="389"/>
      <c r="E259" s="389"/>
      <c r="F259" s="288"/>
      <c r="G259" s="390"/>
      <c r="H259" s="389"/>
      <c r="I259" s="389"/>
      <c r="J259" s="389"/>
      <c r="K259" s="389"/>
      <c r="L259" s="389"/>
      <c r="M259" s="389"/>
      <c r="N259" s="389"/>
      <c r="O259" s="389"/>
      <c r="P259" s="389"/>
      <c r="Q259" s="389"/>
      <c r="R259" s="337">
        <v>0</v>
      </c>
      <c r="S259" s="390">
        <f t="shared" si="5"/>
        <v>0</v>
      </c>
      <c r="T259" s="338">
        <v>0</v>
      </c>
      <c r="U259" s="390">
        <f t="shared" si="6"/>
        <v>0</v>
      </c>
      <c r="V259" s="365"/>
      <c r="W259" s="378"/>
      <c r="X259" s="5"/>
    </row>
    <row r="260" spans="1:25" ht="15.6" x14ac:dyDescent="0.3">
      <c r="A260" s="287"/>
      <c r="B260" s="337" t="s">
        <v>158</v>
      </c>
      <c r="C260" s="389"/>
      <c r="D260" s="389"/>
      <c r="E260" s="389"/>
      <c r="F260" s="288"/>
      <c r="G260" s="390"/>
      <c r="H260" s="389"/>
      <c r="I260" s="389"/>
      <c r="J260" s="389"/>
      <c r="K260" s="389"/>
      <c r="L260" s="389"/>
      <c r="M260" s="389"/>
      <c r="N260" s="389"/>
      <c r="O260" s="389"/>
      <c r="P260" s="389"/>
      <c r="Q260" s="389"/>
      <c r="R260" s="337">
        <v>0</v>
      </c>
      <c r="S260" s="390">
        <f t="shared" si="5"/>
        <v>0</v>
      </c>
      <c r="T260" s="338">
        <v>0</v>
      </c>
      <c r="U260" s="390">
        <f t="shared" si="6"/>
        <v>0</v>
      </c>
      <c r="V260" s="365"/>
      <c r="W260" s="378"/>
      <c r="X260" s="5"/>
      <c r="Y260" s="109"/>
    </row>
    <row r="261" spans="1:25" ht="15.6" x14ac:dyDescent="0.3">
      <c r="A261" s="287"/>
      <c r="B261" s="337" t="s">
        <v>159</v>
      </c>
      <c r="C261" s="389"/>
      <c r="D261" s="389"/>
      <c r="E261" s="389"/>
      <c r="F261" s="288"/>
      <c r="G261" s="390"/>
      <c r="H261" s="389"/>
      <c r="I261" s="389"/>
      <c r="J261" s="389"/>
      <c r="K261" s="389"/>
      <c r="L261" s="389"/>
      <c r="M261" s="389"/>
      <c r="N261" s="389"/>
      <c r="O261" s="389"/>
      <c r="P261" s="389"/>
      <c r="Q261" s="389"/>
      <c r="R261" s="337">
        <v>1</v>
      </c>
      <c r="S261" s="390">
        <f t="shared" si="5"/>
        <v>1.443001443001443E-4</v>
      </c>
      <c r="T261" s="338">
        <v>127</v>
      </c>
      <c r="U261" s="390">
        <f t="shared" si="6"/>
        <v>1.3306259809437595E-4</v>
      </c>
      <c r="V261" s="365"/>
      <c r="W261" s="378"/>
      <c r="X261" s="5"/>
    </row>
    <row r="262" spans="1:25" ht="15.6" x14ac:dyDescent="0.3">
      <c r="A262" s="287"/>
      <c r="B262" s="337" t="s">
        <v>160</v>
      </c>
      <c r="C262" s="389"/>
      <c r="D262" s="389"/>
      <c r="E262" s="389"/>
      <c r="F262" s="288"/>
      <c r="G262" s="390"/>
      <c r="H262" s="389"/>
      <c r="I262" s="389"/>
      <c r="J262" s="389"/>
      <c r="K262" s="389"/>
      <c r="L262" s="389"/>
      <c r="M262" s="389"/>
      <c r="N262" s="389"/>
      <c r="O262" s="389"/>
      <c r="P262" s="389"/>
      <c r="Q262" s="389"/>
      <c r="R262" s="337">
        <v>0</v>
      </c>
      <c r="S262" s="390">
        <f t="shared" si="5"/>
        <v>0</v>
      </c>
      <c r="T262" s="338">
        <v>0</v>
      </c>
      <c r="U262" s="390">
        <f t="shared" si="6"/>
        <v>0</v>
      </c>
      <c r="V262" s="365"/>
      <c r="W262" s="378"/>
      <c r="X262" s="5"/>
      <c r="Y262" s="109"/>
    </row>
    <row r="263" spans="1:25" ht="15.6" x14ac:dyDescent="0.3">
      <c r="A263" s="287"/>
      <c r="B263" s="337"/>
      <c r="C263" s="389"/>
      <c r="D263" s="389"/>
      <c r="E263" s="389"/>
      <c r="F263" s="288"/>
      <c r="G263" s="390"/>
      <c r="H263" s="389"/>
      <c r="I263" s="389"/>
      <c r="J263" s="389"/>
      <c r="K263" s="389"/>
      <c r="L263" s="389"/>
      <c r="M263" s="389"/>
      <c r="N263" s="389"/>
      <c r="O263" s="389"/>
      <c r="P263" s="389"/>
      <c r="Q263" s="389"/>
      <c r="R263" s="337"/>
      <c r="S263" s="390"/>
      <c r="T263" s="338"/>
      <c r="U263" s="390"/>
      <c r="V263" s="365"/>
      <c r="W263" s="378"/>
      <c r="X263" s="5"/>
    </row>
    <row r="264" spans="1:25" ht="15.6" x14ac:dyDescent="0.3">
      <c r="A264" s="287"/>
      <c r="B264" s="288"/>
      <c r="C264" s="288"/>
      <c r="D264" s="288"/>
      <c r="E264" s="288"/>
      <c r="F264" s="288"/>
      <c r="G264" s="288"/>
      <c r="H264" s="391"/>
      <c r="I264" s="391"/>
      <c r="J264" s="391"/>
      <c r="K264" s="391"/>
      <c r="L264" s="391"/>
      <c r="M264" s="391"/>
      <c r="N264" s="391"/>
      <c r="O264" s="391"/>
      <c r="P264" s="391"/>
      <c r="Q264" s="391"/>
      <c r="R264" s="337">
        <f>SUM(R255:R263)</f>
        <v>6930</v>
      </c>
      <c r="S264" s="390">
        <f>SUM(S255:S263)</f>
        <v>1</v>
      </c>
      <c r="T264" s="338">
        <f>SUM(T255:T263)</f>
        <v>954438</v>
      </c>
      <c r="U264" s="390">
        <f>SUM(U255:U263)</f>
        <v>1</v>
      </c>
      <c r="V264" s="288"/>
      <c r="W264" s="291"/>
      <c r="X264" s="5"/>
    </row>
    <row r="265" spans="1:25" ht="15.6" x14ac:dyDescent="0.3">
      <c r="A265" s="183"/>
      <c r="B265" s="198"/>
      <c r="C265" s="198"/>
      <c r="D265" s="198"/>
      <c r="E265" s="198"/>
      <c r="F265" s="198"/>
      <c r="G265" s="198"/>
      <c r="H265" s="386"/>
      <c r="I265" s="386"/>
      <c r="J265" s="386"/>
      <c r="K265" s="386"/>
      <c r="L265" s="386"/>
      <c r="M265" s="386"/>
      <c r="N265" s="386"/>
      <c r="O265" s="386"/>
      <c r="P265" s="386"/>
      <c r="Q265" s="386"/>
      <c r="R265" s="335"/>
      <c r="S265" s="387"/>
      <c r="T265" s="388"/>
      <c r="U265" s="387"/>
      <c r="V265" s="198"/>
      <c r="W265" s="198"/>
      <c r="X265" s="5"/>
    </row>
    <row r="266" spans="1:25" ht="15.6" x14ac:dyDescent="0.3">
      <c r="A266" s="280"/>
      <c r="B266" s="399" t="s">
        <v>275</v>
      </c>
      <c r="C266" s="400"/>
      <c r="D266" s="400"/>
      <c r="E266" s="400"/>
      <c r="F266" s="406"/>
      <c r="G266" s="400"/>
      <c r="H266" s="400"/>
      <c r="I266" s="400"/>
      <c r="J266" s="400"/>
      <c r="K266" s="400"/>
      <c r="L266" s="400"/>
      <c r="M266" s="400"/>
      <c r="N266" s="400"/>
      <c r="O266" s="400"/>
      <c r="P266" s="400"/>
      <c r="Q266" s="400"/>
      <c r="R266" s="406" t="s">
        <v>102</v>
      </c>
      <c r="S266" s="400" t="s">
        <v>103</v>
      </c>
      <c r="T266" s="406" t="s">
        <v>109</v>
      </c>
      <c r="U266" s="400" t="s">
        <v>103</v>
      </c>
      <c r="V266" s="281"/>
      <c r="W266" s="282"/>
      <c r="X266" s="5"/>
    </row>
    <row r="267" spans="1:25" ht="15.6" x14ac:dyDescent="0.3">
      <c r="A267" s="197"/>
      <c r="B267" s="234" t="s">
        <v>88</v>
      </c>
      <c r="C267" s="253"/>
      <c r="D267" s="253"/>
      <c r="E267" s="253"/>
      <c r="F267" s="231"/>
      <c r="G267" s="253"/>
      <c r="H267" s="253"/>
      <c r="I267" s="253"/>
      <c r="J267" s="253"/>
      <c r="K267" s="253"/>
      <c r="L267" s="253"/>
      <c r="M267" s="253"/>
      <c r="N267" s="253"/>
      <c r="O267" s="253"/>
      <c r="P267" s="253"/>
      <c r="Q267" s="253"/>
      <c r="R267" s="234">
        <v>120</v>
      </c>
      <c r="S267" s="254">
        <f t="shared" ref="S267:S274" si="7">R267/$R$276</f>
        <v>0.88235294117647056</v>
      </c>
      <c r="T267" s="241">
        <v>17727</v>
      </c>
      <c r="U267" s="254">
        <f t="shared" ref="U267:U274" si="8">T267/$T$276</f>
        <v>0.87170535011801731</v>
      </c>
      <c r="V267" s="231"/>
      <c r="W267" s="231"/>
      <c r="X267" s="5"/>
    </row>
    <row r="268" spans="1:25" ht="15.6" x14ac:dyDescent="0.3">
      <c r="A268" s="287"/>
      <c r="B268" s="337" t="s">
        <v>89</v>
      </c>
      <c r="C268" s="389"/>
      <c r="D268" s="389"/>
      <c r="E268" s="389"/>
      <c r="F268" s="288"/>
      <c r="G268" s="390"/>
      <c r="H268" s="389"/>
      <c r="I268" s="389"/>
      <c r="J268" s="389"/>
      <c r="K268" s="389"/>
      <c r="L268" s="389"/>
      <c r="M268" s="389"/>
      <c r="N268" s="389"/>
      <c r="O268" s="389"/>
      <c r="P268" s="389"/>
      <c r="Q268" s="389"/>
      <c r="R268" s="337">
        <v>1</v>
      </c>
      <c r="S268" s="390">
        <f t="shared" si="7"/>
        <v>7.3529411764705881E-3</v>
      </c>
      <c r="T268" s="338">
        <v>195</v>
      </c>
      <c r="U268" s="390">
        <f t="shared" si="8"/>
        <v>9.5889063729346965E-3</v>
      </c>
      <c r="V268" s="288"/>
      <c r="W268" s="291"/>
      <c r="X268" s="5"/>
    </row>
    <row r="269" spans="1:25" ht="15.6" x14ac:dyDescent="0.3">
      <c r="A269" s="287"/>
      <c r="B269" s="337" t="s">
        <v>90</v>
      </c>
      <c r="C269" s="389"/>
      <c r="D269" s="389"/>
      <c r="E269" s="389"/>
      <c r="F269" s="288"/>
      <c r="G269" s="390"/>
      <c r="H269" s="389"/>
      <c r="I269" s="389"/>
      <c r="J269" s="389"/>
      <c r="K269" s="389"/>
      <c r="L269" s="389"/>
      <c r="M269" s="389"/>
      <c r="N269" s="389"/>
      <c r="O269" s="389"/>
      <c r="P269" s="389"/>
      <c r="Q269" s="389"/>
      <c r="R269" s="337">
        <v>1</v>
      </c>
      <c r="S269" s="390">
        <f t="shared" si="7"/>
        <v>7.3529411764705881E-3</v>
      </c>
      <c r="T269" s="338">
        <v>189</v>
      </c>
      <c r="U269" s="390">
        <f t="shared" si="8"/>
        <v>9.2938630999213224E-3</v>
      </c>
      <c r="V269" s="288"/>
      <c r="W269" s="291"/>
      <c r="X269" s="5"/>
    </row>
    <row r="270" spans="1:25" ht="15.6" x14ac:dyDescent="0.3">
      <c r="A270" s="287"/>
      <c r="B270" s="337" t="s">
        <v>156</v>
      </c>
      <c r="C270" s="389"/>
      <c r="D270" s="389"/>
      <c r="E270" s="389"/>
      <c r="F270" s="288"/>
      <c r="G270" s="390"/>
      <c r="H270" s="389"/>
      <c r="I270" s="389"/>
      <c r="J270" s="389"/>
      <c r="K270" s="389"/>
      <c r="L270" s="389"/>
      <c r="M270" s="389"/>
      <c r="N270" s="389"/>
      <c r="O270" s="389"/>
      <c r="P270" s="389"/>
      <c r="Q270" s="389"/>
      <c r="R270" s="337">
        <v>1</v>
      </c>
      <c r="S270" s="390">
        <f t="shared" si="7"/>
        <v>7.3529411764705881E-3</v>
      </c>
      <c r="T270" s="338">
        <v>190</v>
      </c>
      <c r="U270" s="390">
        <f t="shared" si="8"/>
        <v>9.3430369787568836E-3</v>
      </c>
      <c r="V270" s="288"/>
      <c r="W270" s="291"/>
      <c r="X270" s="5"/>
    </row>
    <row r="271" spans="1:25" ht="15.6" x14ac:dyDescent="0.3">
      <c r="A271" s="287"/>
      <c r="B271" s="337" t="s">
        <v>157</v>
      </c>
      <c r="C271" s="389"/>
      <c r="D271" s="389"/>
      <c r="E271" s="389"/>
      <c r="F271" s="288"/>
      <c r="G271" s="390"/>
      <c r="H271" s="389"/>
      <c r="I271" s="389"/>
      <c r="J271" s="389"/>
      <c r="K271" s="389"/>
      <c r="L271" s="389"/>
      <c r="M271" s="389"/>
      <c r="N271" s="389"/>
      <c r="O271" s="389"/>
      <c r="P271" s="389"/>
      <c r="Q271" s="389"/>
      <c r="R271" s="337">
        <v>0</v>
      </c>
      <c r="S271" s="390">
        <f t="shared" si="7"/>
        <v>0</v>
      </c>
      <c r="T271" s="338">
        <v>0</v>
      </c>
      <c r="U271" s="390">
        <f t="shared" si="8"/>
        <v>0</v>
      </c>
      <c r="V271" s="288"/>
      <c r="W271" s="291"/>
      <c r="X271" s="5"/>
    </row>
    <row r="272" spans="1:25" ht="15.6" x14ac:dyDescent="0.3">
      <c r="A272" s="287"/>
      <c r="B272" s="337" t="s">
        <v>158</v>
      </c>
      <c r="C272" s="389"/>
      <c r="D272" s="389"/>
      <c r="E272" s="389"/>
      <c r="F272" s="288"/>
      <c r="G272" s="390"/>
      <c r="H272" s="389"/>
      <c r="I272" s="389"/>
      <c r="J272" s="389"/>
      <c r="K272" s="389"/>
      <c r="L272" s="389"/>
      <c r="M272" s="389"/>
      <c r="N272" s="389"/>
      <c r="O272" s="389"/>
      <c r="P272" s="389"/>
      <c r="Q272" s="389"/>
      <c r="R272" s="337">
        <v>0</v>
      </c>
      <c r="S272" s="390">
        <f t="shared" si="7"/>
        <v>0</v>
      </c>
      <c r="T272" s="338">
        <v>0</v>
      </c>
      <c r="U272" s="390">
        <f t="shared" si="8"/>
        <v>0</v>
      </c>
      <c r="V272" s="288"/>
      <c r="W272" s="291"/>
      <c r="X272" s="5"/>
    </row>
    <row r="273" spans="1:24" ht="15.6" x14ac:dyDescent="0.3">
      <c r="A273" s="287"/>
      <c r="B273" s="337" t="s">
        <v>159</v>
      </c>
      <c r="C273" s="389"/>
      <c r="D273" s="389"/>
      <c r="E273" s="389"/>
      <c r="F273" s="288"/>
      <c r="G273" s="390"/>
      <c r="H273" s="389"/>
      <c r="I273" s="389"/>
      <c r="J273" s="389"/>
      <c r="K273" s="389"/>
      <c r="L273" s="389"/>
      <c r="M273" s="389"/>
      <c r="N273" s="389"/>
      <c r="O273" s="389"/>
      <c r="P273" s="389"/>
      <c r="Q273" s="389"/>
      <c r="R273" s="337">
        <v>5</v>
      </c>
      <c r="S273" s="390">
        <f t="shared" si="7"/>
        <v>3.6764705882352942E-2</v>
      </c>
      <c r="T273" s="338">
        <v>742</v>
      </c>
      <c r="U273" s="390">
        <f t="shared" si="8"/>
        <v>3.6487018095987409E-2</v>
      </c>
      <c r="V273" s="288"/>
      <c r="W273" s="291"/>
      <c r="X273" s="5"/>
    </row>
    <row r="274" spans="1:24" ht="15.6" x14ac:dyDescent="0.3">
      <c r="A274" s="287"/>
      <c r="B274" s="337" t="s">
        <v>160</v>
      </c>
      <c r="C274" s="389"/>
      <c r="D274" s="389"/>
      <c r="E274" s="389"/>
      <c r="F274" s="288"/>
      <c r="G274" s="390"/>
      <c r="H274" s="389"/>
      <c r="I274" s="389"/>
      <c r="J274" s="389"/>
      <c r="K274" s="389"/>
      <c r="L274" s="389"/>
      <c r="M274" s="389"/>
      <c r="N274" s="389"/>
      <c r="O274" s="389"/>
      <c r="P274" s="389"/>
      <c r="Q274" s="389"/>
      <c r="R274" s="337">
        <v>8</v>
      </c>
      <c r="S274" s="390">
        <f t="shared" si="7"/>
        <v>5.8823529411764705E-2</v>
      </c>
      <c r="T274" s="338">
        <v>1293</v>
      </c>
      <c r="U274" s="390">
        <f t="shared" si="8"/>
        <v>6.3581825334382377E-2</v>
      </c>
      <c r="V274" s="288"/>
      <c r="W274" s="291"/>
      <c r="X274" s="5"/>
    </row>
    <row r="275" spans="1:24" ht="15.6" x14ac:dyDescent="0.3">
      <c r="A275" s="287"/>
      <c r="B275" s="337"/>
      <c r="C275" s="389"/>
      <c r="D275" s="389"/>
      <c r="E275" s="389"/>
      <c r="F275" s="288"/>
      <c r="G275" s="390"/>
      <c r="H275" s="389"/>
      <c r="I275" s="389"/>
      <c r="J275" s="389"/>
      <c r="K275" s="389"/>
      <c r="L275" s="389"/>
      <c r="M275" s="389"/>
      <c r="N275" s="389"/>
      <c r="O275" s="389"/>
      <c r="P275" s="389"/>
      <c r="Q275" s="389"/>
      <c r="R275" s="337"/>
      <c r="S275" s="390"/>
      <c r="T275" s="338"/>
      <c r="U275" s="390"/>
      <c r="V275" s="288"/>
      <c r="W275" s="291"/>
      <c r="X275" s="5"/>
    </row>
    <row r="276" spans="1:24" ht="15.6" x14ac:dyDescent="0.3">
      <c r="A276" s="287"/>
      <c r="B276" s="288"/>
      <c r="C276" s="288"/>
      <c r="D276" s="288"/>
      <c r="E276" s="288"/>
      <c r="F276" s="288"/>
      <c r="G276" s="288"/>
      <c r="H276" s="391"/>
      <c r="I276" s="391"/>
      <c r="J276" s="391"/>
      <c r="K276" s="391"/>
      <c r="L276" s="391"/>
      <c r="M276" s="391"/>
      <c r="N276" s="391"/>
      <c r="O276" s="391"/>
      <c r="P276" s="391"/>
      <c r="Q276" s="391"/>
      <c r="R276" s="337">
        <f>SUM(R267:R275)</f>
        <v>136</v>
      </c>
      <c r="S276" s="390">
        <f>SUM(S267:S275)</f>
        <v>0.99999999999999989</v>
      </c>
      <c r="T276" s="338">
        <f>SUM(T267:T275)</f>
        <v>20336</v>
      </c>
      <c r="U276" s="390">
        <f>SUM(U267:U275)</f>
        <v>1</v>
      </c>
      <c r="V276" s="288"/>
      <c r="W276" s="291"/>
      <c r="X276" s="5"/>
    </row>
    <row r="277" spans="1:24" ht="15.6" x14ac:dyDescent="0.3">
      <c r="A277" s="183"/>
      <c r="B277" s="284"/>
      <c r="C277" s="284"/>
      <c r="D277" s="284"/>
      <c r="E277" s="284"/>
      <c r="F277" s="284"/>
      <c r="G277" s="284"/>
      <c r="H277" s="392"/>
      <c r="I277" s="392"/>
      <c r="J277" s="392"/>
      <c r="K277" s="392"/>
      <c r="L277" s="392"/>
      <c r="M277" s="392"/>
      <c r="N277" s="392"/>
      <c r="O277" s="392"/>
      <c r="P277" s="392"/>
      <c r="Q277" s="392"/>
      <c r="R277" s="339"/>
      <c r="S277" s="393"/>
      <c r="T277" s="394"/>
      <c r="U277" s="393"/>
      <c r="V277" s="284"/>
      <c r="W277" s="284"/>
      <c r="X277" s="5"/>
    </row>
    <row r="278" spans="1:24" ht="15.6" x14ac:dyDescent="0.3">
      <c r="A278" s="280"/>
      <c r="B278" s="399" t="s">
        <v>163</v>
      </c>
      <c r="C278" s="281"/>
      <c r="D278" s="281"/>
      <c r="E278" s="281"/>
      <c r="F278" s="281"/>
      <c r="G278" s="281"/>
      <c r="H278" s="283"/>
      <c r="I278" s="283"/>
      <c r="J278" s="283"/>
      <c r="K278" s="283"/>
      <c r="L278" s="283"/>
      <c r="M278" s="283"/>
      <c r="N278" s="283"/>
      <c r="O278" s="283"/>
      <c r="P278" s="283"/>
      <c r="Q278" s="283"/>
      <c r="R278" s="406" t="s">
        <v>102</v>
      </c>
      <c r="S278" s="400" t="s">
        <v>103</v>
      </c>
      <c r="T278" s="406" t="s">
        <v>109</v>
      </c>
      <c r="U278" s="400" t="s">
        <v>103</v>
      </c>
      <c r="V278" s="281"/>
      <c r="W278" s="282"/>
      <c r="X278" s="5"/>
    </row>
    <row r="279" spans="1:24" ht="15.6" x14ac:dyDescent="0.3">
      <c r="A279" s="197"/>
      <c r="B279" s="234" t="s">
        <v>88</v>
      </c>
      <c r="C279" s="231"/>
      <c r="D279" s="231"/>
      <c r="E279" s="231"/>
      <c r="F279" s="231"/>
      <c r="G279" s="231"/>
      <c r="H279" s="255"/>
      <c r="I279" s="255"/>
      <c r="J279" s="255"/>
      <c r="K279" s="255"/>
      <c r="L279" s="255"/>
      <c r="M279" s="255"/>
      <c r="N279" s="255"/>
      <c r="O279" s="255"/>
      <c r="P279" s="255"/>
      <c r="Q279" s="255"/>
      <c r="R279" s="234">
        <v>0</v>
      </c>
      <c r="S279" s="254">
        <v>0</v>
      </c>
      <c r="T279" s="241">
        <v>0</v>
      </c>
      <c r="U279" s="254">
        <v>0</v>
      </c>
      <c r="V279" s="231"/>
      <c r="W279" s="231"/>
      <c r="X279" s="5"/>
    </row>
    <row r="280" spans="1:24" ht="15.6" x14ac:dyDescent="0.3">
      <c r="A280" s="287"/>
      <c r="B280" s="337" t="s">
        <v>89</v>
      </c>
      <c r="C280" s="288"/>
      <c r="D280" s="288"/>
      <c r="E280" s="288"/>
      <c r="F280" s="288"/>
      <c r="G280" s="288"/>
      <c r="H280" s="391"/>
      <c r="I280" s="391"/>
      <c r="J280" s="391"/>
      <c r="K280" s="391"/>
      <c r="L280" s="391"/>
      <c r="M280" s="391"/>
      <c r="N280" s="391"/>
      <c r="O280" s="391"/>
      <c r="P280" s="391"/>
      <c r="Q280" s="391"/>
      <c r="R280" s="337">
        <v>0</v>
      </c>
      <c r="S280" s="390">
        <v>0</v>
      </c>
      <c r="T280" s="338">
        <v>0</v>
      </c>
      <c r="U280" s="390">
        <v>0</v>
      </c>
      <c r="V280" s="288"/>
      <c r="W280" s="291"/>
      <c r="X280" s="5"/>
    </row>
    <row r="281" spans="1:24" ht="15.6" x14ac:dyDescent="0.3">
      <c r="A281" s="287"/>
      <c r="B281" s="337" t="s">
        <v>90</v>
      </c>
      <c r="C281" s="288"/>
      <c r="D281" s="288"/>
      <c r="E281" s="288"/>
      <c r="F281" s="288"/>
      <c r="G281" s="288"/>
      <c r="H281" s="391"/>
      <c r="I281" s="391"/>
      <c r="J281" s="391"/>
      <c r="K281" s="391"/>
      <c r="L281" s="391"/>
      <c r="M281" s="391"/>
      <c r="N281" s="391"/>
      <c r="O281" s="391"/>
      <c r="P281" s="391"/>
      <c r="Q281" s="391"/>
      <c r="R281" s="337">
        <v>0</v>
      </c>
      <c r="S281" s="390">
        <v>0</v>
      </c>
      <c r="T281" s="338">
        <v>0</v>
      </c>
      <c r="U281" s="390">
        <v>0</v>
      </c>
      <c r="V281" s="288"/>
      <c r="W281" s="291"/>
      <c r="X281" s="5"/>
    </row>
    <row r="282" spans="1:24" ht="15.6" x14ac:dyDescent="0.3">
      <c r="A282" s="287"/>
      <c r="B282" s="337" t="s">
        <v>156</v>
      </c>
      <c r="C282" s="288"/>
      <c r="D282" s="288"/>
      <c r="E282" s="288"/>
      <c r="F282" s="288"/>
      <c r="G282" s="288"/>
      <c r="H282" s="391"/>
      <c r="I282" s="391"/>
      <c r="J282" s="391"/>
      <c r="K282" s="391"/>
      <c r="L282" s="391"/>
      <c r="M282" s="391"/>
      <c r="N282" s="391"/>
      <c r="O282" s="391"/>
      <c r="P282" s="391"/>
      <c r="Q282" s="391"/>
      <c r="R282" s="337">
        <v>0</v>
      </c>
      <c r="S282" s="390">
        <v>0</v>
      </c>
      <c r="T282" s="338">
        <v>0</v>
      </c>
      <c r="U282" s="390">
        <v>0</v>
      </c>
      <c r="V282" s="288"/>
      <c r="W282" s="291"/>
      <c r="X282" s="5"/>
    </row>
    <row r="283" spans="1:24" ht="15.6" x14ac:dyDescent="0.3">
      <c r="A283" s="287"/>
      <c r="B283" s="337" t="s">
        <v>157</v>
      </c>
      <c r="C283" s="288"/>
      <c r="D283" s="288"/>
      <c r="E283" s="288"/>
      <c r="F283" s="288"/>
      <c r="G283" s="288"/>
      <c r="H283" s="391"/>
      <c r="I283" s="391"/>
      <c r="J283" s="391"/>
      <c r="K283" s="391"/>
      <c r="L283" s="391"/>
      <c r="M283" s="391"/>
      <c r="N283" s="391"/>
      <c r="O283" s="391"/>
      <c r="P283" s="391"/>
      <c r="Q283" s="391"/>
      <c r="R283" s="337">
        <v>0</v>
      </c>
      <c r="S283" s="390">
        <v>0</v>
      </c>
      <c r="T283" s="338">
        <v>0</v>
      </c>
      <c r="U283" s="390">
        <v>0</v>
      </c>
      <c r="V283" s="288"/>
      <c r="W283" s="291"/>
      <c r="X283" s="5"/>
    </row>
    <row r="284" spans="1:24" ht="15.6" x14ac:dyDescent="0.3">
      <c r="A284" s="287"/>
      <c r="B284" s="337" t="s">
        <v>158</v>
      </c>
      <c r="C284" s="288"/>
      <c r="D284" s="288"/>
      <c r="E284" s="288"/>
      <c r="F284" s="288"/>
      <c r="G284" s="288"/>
      <c r="H284" s="391"/>
      <c r="I284" s="391"/>
      <c r="J284" s="391"/>
      <c r="K284" s="391"/>
      <c r="L284" s="391"/>
      <c r="M284" s="391"/>
      <c r="N284" s="391"/>
      <c r="O284" s="391"/>
      <c r="P284" s="391"/>
      <c r="Q284" s="391"/>
      <c r="R284" s="337">
        <v>0</v>
      </c>
      <c r="S284" s="390">
        <v>0</v>
      </c>
      <c r="T284" s="338">
        <v>0</v>
      </c>
      <c r="U284" s="390">
        <v>0</v>
      </c>
      <c r="V284" s="288"/>
      <c r="W284" s="291"/>
      <c r="X284" s="5"/>
    </row>
    <row r="285" spans="1:24" ht="15.6" x14ac:dyDescent="0.3">
      <c r="A285" s="287"/>
      <c r="B285" s="337" t="s">
        <v>159</v>
      </c>
      <c r="C285" s="288"/>
      <c r="D285" s="288"/>
      <c r="E285" s="288"/>
      <c r="F285" s="288"/>
      <c r="G285" s="288"/>
      <c r="H285" s="391"/>
      <c r="I285" s="391"/>
      <c r="J285" s="391"/>
      <c r="K285" s="391"/>
      <c r="L285" s="391"/>
      <c r="M285" s="391"/>
      <c r="N285" s="391"/>
      <c r="O285" s="391"/>
      <c r="P285" s="391"/>
      <c r="Q285" s="391"/>
      <c r="R285" s="337">
        <v>0</v>
      </c>
      <c r="S285" s="390">
        <v>0</v>
      </c>
      <c r="T285" s="338">
        <v>0</v>
      </c>
      <c r="U285" s="390">
        <v>0</v>
      </c>
      <c r="V285" s="288"/>
      <c r="W285" s="291"/>
      <c r="X285" s="5"/>
    </row>
    <row r="286" spans="1:24" ht="15.6" x14ac:dyDescent="0.3">
      <c r="A286" s="287"/>
      <c r="B286" s="337" t="s">
        <v>160</v>
      </c>
      <c r="C286" s="288"/>
      <c r="D286" s="288"/>
      <c r="E286" s="288"/>
      <c r="F286" s="288"/>
      <c r="G286" s="288"/>
      <c r="H286" s="391"/>
      <c r="I286" s="391"/>
      <c r="J286" s="391"/>
      <c r="K286" s="391"/>
      <c r="L286" s="391"/>
      <c r="M286" s="391"/>
      <c r="N286" s="391"/>
      <c r="O286" s="391"/>
      <c r="P286" s="391"/>
      <c r="Q286" s="391"/>
      <c r="R286" s="337">
        <v>0</v>
      </c>
      <c r="S286" s="390">
        <v>0</v>
      </c>
      <c r="T286" s="338">
        <v>0</v>
      </c>
      <c r="U286" s="390">
        <v>0</v>
      </c>
      <c r="V286" s="288"/>
      <c r="W286" s="291"/>
      <c r="X286" s="5"/>
    </row>
    <row r="287" spans="1:24" ht="15.6" x14ac:dyDescent="0.3">
      <c r="A287" s="287"/>
      <c r="B287" s="337"/>
      <c r="C287" s="288"/>
      <c r="D287" s="288"/>
      <c r="E287" s="288"/>
      <c r="F287" s="288"/>
      <c r="G287" s="288"/>
      <c r="H287" s="391"/>
      <c r="I287" s="391"/>
      <c r="J287" s="391"/>
      <c r="K287" s="391"/>
      <c r="L287" s="391"/>
      <c r="M287" s="391"/>
      <c r="N287" s="391"/>
      <c r="O287" s="391"/>
      <c r="P287" s="391"/>
      <c r="Q287" s="391"/>
      <c r="R287" s="337"/>
      <c r="S287" s="390"/>
      <c r="T287" s="338"/>
      <c r="U287" s="390"/>
      <c r="V287" s="288"/>
      <c r="W287" s="291"/>
      <c r="X287" s="5"/>
    </row>
    <row r="288" spans="1:24" ht="15.6" x14ac:dyDescent="0.3">
      <c r="A288" s="287"/>
      <c r="B288" s="288" t="s">
        <v>114</v>
      </c>
      <c r="C288" s="288"/>
      <c r="D288" s="288"/>
      <c r="E288" s="288"/>
      <c r="F288" s="288"/>
      <c r="G288" s="288"/>
      <c r="H288" s="391"/>
      <c r="I288" s="391"/>
      <c r="J288" s="391"/>
      <c r="K288" s="391"/>
      <c r="L288" s="391"/>
      <c r="M288" s="391"/>
      <c r="N288" s="391"/>
      <c r="O288" s="391"/>
      <c r="P288" s="391"/>
      <c r="Q288" s="391"/>
      <c r="R288" s="337">
        <f>SUM(R279:R286)</f>
        <v>0</v>
      </c>
      <c r="S288" s="390">
        <f>SUM(S279:S287)</f>
        <v>0</v>
      </c>
      <c r="T288" s="338">
        <f>SUM(T279:T286)</f>
        <v>0</v>
      </c>
      <c r="U288" s="390">
        <f>SUM(U279:U287)</f>
        <v>0</v>
      </c>
      <c r="V288" s="288"/>
      <c r="W288" s="291"/>
      <c r="X288" s="5"/>
    </row>
    <row r="289" spans="1:24" ht="15.6" x14ac:dyDescent="0.3">
      <c r="A289" s="287"/>
      <c r="B289" s="288"/>
      <c r="C289" s="288"/>
      <c r="D289" s="288"/>
      <c r="E289" s="288"/>
      <c r="F289" s="288"/>
      <c r="G289" s="288"/>
      <c r="H289" s="391"/>
      <c r="I289" s="391"/>
      <c r="J289" s="391"/>
      <c r="K289" s="391"/>
      <c r="L289" s="391"/>
      <c r="M289" s="391"/>
      <c r="N289" s="391"/>
      <c r="O289" s="391"/>
      <c r="P289" s="391"/>
      <c r="Q289" s="391"/>
      <c r="R289" s="337"/>
      <c r="S289" s="390"/>
      <c r="T289" s="338"/>
      <c r="U289" s="390"/>
      <c r="V289" s="288"/>
      <c r="W289" s="291"/>
      <c r="X289" s="5"/>
    </row>
    <row r="290" spans="1:24" ht="15.6" x14ac:dyDescent="0.3">
      <c r="A290" s="287"/>
      <c r="B290" s="295" t="s">
        <v>164</v>
      </c>
      <c r="C290" s="288"/>
      <c r="D290" s="288"/>
      <c r="E290" s="288"/>
      <c r="F290" s="288"/>
      <c r="G290" s="288"/>
      <c r="H290" s="391"/>
      <c r="I290" s="391"/>
      <c r="J290" s="391"/>
      <c r="K290" s="391"/>
      <c r="L290" s="391"/>
      <c r="M290" s="391"/>
      <c r="N290" s="391"/>
      <c r="O290" s="391"/>
      <c r="P290" s="391"/>
      <c r="Q290" s="391"/>
      <c r="R290" s="407">
        <f>R288+R276+R264</f>
        <v>7066</v>
      </c>
      <c r="S290" s="390"/>
      <c r="T290" s="396">
        <f>+T288+T276+T264</f>
        <v>974774</v>
      </c>
      <c r="U290" s="390"/>
      <c r="V290" s="288"/>
      <c r="W290" s="291"/>
      <c r="X290" s="5"/>
    </row>
    <row r="291" spans="1:24" ht="15.6" x14ac:dyDescent="0.3">
      <c r="A291" s="183"/>
      <c r="B291" s="284"/>
      <c r="C291" s="284"/>
      <c r="D291" s="284"/>
      <c r="E291" s="284"/>
      <c r="F291" s="284"/>
      <c r="G291" s="284"/>
      <c r="H291" s="392"/>
      <c r="I291" s="392"/>
      <c r="J291" s="392"/>
      <c r="K291" s="392"/>
      <c r="L291" s="392"/>
      <c r="M291" s="392"/>
      <c r="N291" s="392"/>
      <c r="O291" s="392"/>
      <c r="P291" s="392"/>
      <c r="Q291" s="392"/>
      <c r="R291" s="392"/>
      <c r="S291" s="392"/>
      <c r="T291" s="394"/>
      <c r="U291" s="392"/>
      <c r="V291" s="284"/>
      <c r="W291" s="284"/>
      <c r="X291" s="5"/>
    </row>
    <row r="292" spans="1:24" ht="15.6" x14ac:dyDescent="0.3">
      <c r="A292" s="183"/>
      <c r="B292" s="224"/>
      <c r="C292" s="224"/>
      <c r="D292" s="224"/>
      <c r="E292" s="224"/>
      <c r="F292" s="224"/>
      <c r="G292" s="224"/>
      <c r="H292" s="256"/>
      <c r="I292" s="256"/>
      <c r="J292" s="256"/>
      <c r="K292" s="256"/>
      <c r="L292" s="256"/>
      <c r="M292" s="256"/>
      <c r="N292" s="256"/>
      <c r="O292" s="256"/>
      <c r="P292" s="256"/>
      <c r="Q292" s="256"/>
      <c r="R292" s="256"/>
      <c r="S292" s="256"/>
      <c r="T292" s="257"/>
      <c r="U292" s="256"/>
      <c r="V292" s="224"/>
      <c r="W292" s="224"/>
      <c r="X292" s="5"/>
    </row>
    <row r="293" spans="1:24" ht="15.6" x14ac:dyDescent="0.3">
      <c r="A293" s="219"/>
      <c r="B293" s="222" t="s">
        <v>91</v>
      </c>
      <c r="C293" s="224"/>
      <c r="D293" s="224"/>
      <c r="E293" s="224"/>
      <c r="F293" s="228" t="s">
        <v>97</v>
      </c>
      <c r="G293" s="224"/>
      <c r="H293" s="222" t="s">
        <v>99</v>
      </c>
      <c r="I293" s="222"/>
      <c r="J293" s="222"/>
      <c r="K293" s="258"/>
      <c r="L293" s="258"/>
      <c r="M293" s="258"/>
      <c r="N293" s="258"/>
      <c r="O293" s="258"/>
      <c r="P293" s="258"/>
      <c r="Q293" s="258"/>
      <c r="R293" s="258"/>
      <c r="S293" s="258"/>
      <c r="T293" s="258"/>
      <c r="U293" s="258"/>
      <c r="V293" s="258"/>
      <c r="W293" s="258"/>
      <c r="X293" s="5"/>
    </row>
    <row r="294" spans="1:24" ht="15.6" x14ac:dyDescent="0.3">
      <c r="A294" s="219"/>
      <c r="B294" s="258"/>
      <c r="C294" s="224"/>
      <c r="D294" s="224"/>
      <c r="E294" s="224"/>
      <c r="F294" s="224"/>
      <c r="G294" s="224"/>
      <c r="H294" s="224"/>
      <c r="I294" s="224"/>
      <c r="J294" s="224"/>
      <c r="K294" s="258"/>
      <c r="L294" s="258"/>
      <c r="M294" s="258"/>
      <c r="N294" s="258"/>
      <c r="O294" s="258"/>
      <c r="P294" s="258"/>
      <c r="Q294" s="258"/>
      <c r="R294" s="258"/>
      <c r="S294" s="258"/>
      <c r="T294" s="258"/>
      <c r="U294" s="258"/>
      <c r="V294" s="258"/>
      <c r="W294" s="258"/>
      <c r="X294" s="5"/>
    </row>
    <row r="295" spans="1:24" ht="15.6" x14ac:dyDescent="0.3">
      <c r="A295" s="219"/>
      <c r="B295" s="222" t="s">
        <v>338</v>
      </c>
      <c r="C295" s="222"/>
      <c r="D295" s="222"/>
      <c r="E295" s="222"/>
      <c r="F295" s="259" t="s">
        <v>148</v>
      </c>
      <c r="G295" s="222"/>
      <c r="H295" s="222" t="s">
        <v>152</v>
      </c>
      <c r="I295" s="222"/>
      <c r="J295" s="222"/>
      <c r="K295" s="258"/>
      <c r="L295" s="258"/>
      <c r="M295" s="258"/>
      <c r="N295" s="258"/>
      <c r="O295" s="258"/>
      <c r="P295" s="258"/>
      <c r="Q295" s="258"/>
      <c r="R295" s="258"/>
      <c r="S295" s="258"/>
      <c r="T295" s="258"/>
      <c r="U295" s="258"/>
      <c r="V295" s="258"/>
      <c r="W295" s="258"/>
      <c r="X295" s="5"/>
    </row>
    <row r="296" spans="1:24" ht="15.6" x14ac:dyDescent="0.3">
      <c r="A296" s="219"/>
      <c r="B296" s="222" t="s">
        <v>339</v>
      </c>
      <c r="C296" s="222"/>
      <c r="D296" s="222"/>
      <c r="E296" s="222"/>
      <c r="F296" s="259" t="s">
        <v>278</v>
      </c>
      <c r="G296" s="222"/>
      <c r="H296" s="222" t="s">
        <v>279</v>
      </c>
      <c r="I296" s="258"/>
      <c r="J296" s="222"/>
      <c r="K296" s="258"/>
      <c r="L296" s="258"/>
      <c r="M296" s="258"/>
      <c r="N296" s="258"/>
      <c r="O296" s="258"/>
      <c r="P296" s="258"/>
      <c r="Q296" s="258"/>
      <c r="R296" s="258"/>
      <c r="S296" s="258"/>
      <c r="T296" s="258"/>
      <c r="U296" s="258"/>
      <c r="V296" s="258"/>
      <c r="W296" s="258"/>
      <c r="X296" s="5"/>
    </row>
    <row r="297" spans="1:24" ht="15.6" x14ac:dyDescent="0.3">
      <c r="A297" s="219"/>
      <c r="B297" s="222" t="s">
        <v>340</v>
      </c>
      <c r="C297" s="222"/>
      <c r="D297" s="222"/>
      <c r="E297" s="222"/>
      <c r="F297" s="259" t="s">
        <v>147</v>
      </c>
      <c r="G297" s="222"/>
      <c r="H297" s="222" t="s">
        <v>153</v>
      </c>
      <c r="I297" s="222"/>
      <c r="J297" s="222"/>
      <c r="K297" s="258"/>
      <c r="L297" s="258"/>
      <c r="M297" s="258"/>
      <c r="N297" s="258"/>
      <c r="O297" s="258"/>
      <c r="P297" s="258"/>
      <c r="Q297" s="258"/>
      <c r="R297" s="258"/>
      <c r="S297" s="258"/>
      <c r="T297" s="258"/>
      <c r="U297" s="258"/>
      <c r="V297" s="258"/>
      <c r="W297" s="258"/>
      <c r="X297" s="5"/>
    </row>
    <row r="298" spans="1:24" ht="15.6" x14ac:dyDescent="0.3">
      <c r="A298" s="219"/>
      <c r="B298" s="222"/>
      <c r="C298" s="222"/>
      <c r="D298" s="222"/>
      <c r="E298" s="222"/>
      <c r="F298" s="222"/>
      <c r="G298" s="260"/>
      <c r="H298" s="258"/>
      <c r="I298" s="258"/>
      <c r="J298" s="258"/>
      <c r="K298" s="258"/>
      <c r="L298" s="258"/>
      <c r="M298" s="258"/>
      <c r="N298" s="258"/>
      <c r="O298" s="258"/>
      <c r="P298" s="258"/>
      <c r="Q298" s="258"/>
      <c r="R298" s="258"/>
      <c r="S298" s="258"/>
      <c r="T298" s="258"/>
      <c r="U298" s="258"/>
      <c r="V298" s="258"/>
      <c r="W298" s="258"/>
      <c r="X298" s="5"/>
    </row>
    <row r="299" spans="1:24" ht="15.6" x14ac:dyDescent="0.3">
      <c r="A299" s="219"/>
      <c r="B299" s="222"/>
      <c r="C299" s="222"/>
      <c r="D299" s="222"/>
      <c r="E299" s="222"/>
      <c r="F299" s="222"/>
      <c r="G299" s="260"/>
      <c r="H299" s="258"/>
      <c r="I299" s="258"/>
      <c r="J299" s="258"/>
      <c r="K299" s="258"/>
      <c r="L299" s="258"/>
      <c r="M299" s="258"/>
      <c r="N299" s="258"/>
      <c r="O299" s="258"/>
      <c r="P299" s="258"/>
      <c r="Q299" s="258"/>
      <c r="R299" s="258"/>
      <c r="S299" s="258"/>
      <c r="T299" s="258"/>
      <c r="U299" s="258"/>
      <c r="V299" s="258"/>
      <c r="W299" s="258"/>
      <c r="X299" s="5"/>
    </row>
    <row r="300" spans="1:24" ht="18" thickBot="1" x14ac:dyDescent="0.35">
      <c r="A300" s="219"/>
      <c r="B300" s="261" t="str">
        <f>B204</f>
        <v>PM14 INVESTOR REPORT QUARTER ENDING FEBRUARY 2016</v>
      </c>
      <c r="C300" s="222"/>
      <c r="D300" s="222"/>
      <c r="E300" s="222"/>
      <c r="F300" s="222"/>
      <c r="G300" s="260"/>
      <c r="H300" s="258"/>
      <c r="I300" s="258"/>
      <c r="J300" s="258"/>
      <c r="K300" s="258"/>
      <c r="L300" s="258"/>
      <c r="M300" s="258"/>
      <c r="N300" s="258"/>
      <c r="O300" s="258"/>
      <c r="P300" s="258"/>
      <c r="Q300" s="258"/>
      <c r="R300" s="258"/>
      <c r="S300" s="258"/>
      <c r="T300" s="258"/>
      <c r="U300" s="258"/>
      <c r="V300" s="258"/>
      <c r="W300" s="258"/>
      <c r="X300" s="5"/>
    </row>
    <row r="301" spans="1:24" x14ac:dyDescent="0.25">
      <c r="A301" s="100"/>
      <c r="B301" s="100"/>
      <c r="C301" s="100"/>
      <c r="D301" s="100"/>
      <c r="E301" s="100"/>
      <c r="F301" s="100"/>
      <c r="G301" s="100"/>
      <c r="H301" s="100"/>
      <c r="I301" s="100"/>
      <c r="J301" s="100"/>
      <c r="K301" s="100"/>
      <c r="L301" s="100"/>
      <c r="M301" s="100"/>
      <c r="N301" s="100"/>
      <c r="O301" s="100"/>
      <c r="P301" s="100"/>
      <c r="Q301" s="100"/>
      <c r="R301" s="100"/>
      <c r="S301" s="100"/>
      <c r="T301" s="100"/>
      <c r="U301" s="100"/>
      <c r="V301" s="100"/>
      <c r="W301" s="100"/>
    </row>
  </sheetData>
  <hyperlinks>
    <hyperlink ref="P240" r:id="rId1" xr:uid="{00000000-0004-0000-2200-000000000000}"/>
    <hyperlink ref="I9" r:id="rId2" xr:uid="{00000000-0004-0000-22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8" max="14" man="1"/>
    <brk id="204" max="14" man="1"/>
  </rowBreaks>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4"/>
  </sheetPr>
  <dimension ref="A1:IV301"/>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80"/>
      <c r="B1" s="220" t="s">
        <v>244</v>
      </c>
      <c r="C1" s="181"/>
      <c r="D1" s="181"/>
      <c r="E1" s="181"/>
      <c r="F1" s="181"/>
      <c r="G1" s="181"/>
      <c r="H1" s="181"/>
      <c r="I1" s="181"/>
      <c r="J1" s="181"/>
      <c r="K1" s="181"/>
      <c r="L1" s="181"/>
      <c r="M1" s="181"/>
      <c r="N1" s="181"/>
      <c r="O1" s="181"/>
      <c r="P1" s="181"/>
      <c r="Q1" s="181"/>
      <c r="R1" s="181"/>
      <c r="S1" s="181"/>
      <c r="T1" s="181"/>
      <c r="U1" s="181"/>
      <c r="V1" s="181"/>
      <c r="W1" s="181"/>
      <c r="X1" s="5"/>
    </row>
    <row r="2" spans="1:24" ht="15.6" x14ac:dyDescent="0.3">
      <c r="A2" s="183"/>
      <c r="B2" s="184"/>
      <c r="C2" s="185"/>
      <c r="D2" s="185"/>
      <c r="E2" s="185"/>
      <c r="F2" s="185"/>
      <c r="G2" s="185"/>
      <c r="H2" s="185"/>
      <c r="I2" s="185"/>
      <c r="J2" s="185"/>
      <c r="K2" s="185"/>
      <c r="L2" s="185"/>
      <c r="M2" s="185"/>
      <c r="N2" s="185"/>
      <c r="O2" s="185"/>
      <c r="P2" s="185"/>
      <c r="Q2" s="185"/>
      <c r="R2" s="185"/>
      <c r="S2" s="185"/>
      <c r="T2" s="185"/>
      <c r="U2" s="185"/>
      <c r="V2" s="185"/>
      <c r="W2" s="185"/>
      <c r="X2" s="5"/>
    </row>
    <row r="3" spans="1:24" ht="15.6" x14ac:dyDescent="0.3">
      <c r="A3" s="186"/>
      <c r="B3" s="187" t="s">
        <v>245</v>
      </c>
      <c r="C3" s="185"/>
      <c r="D3" s="185"/>
      <c r="E3" s="185"/>
      <c r="F3" s="185"/>
      <c r="G3" s="185"/>
      <c r="H3" s="185"/>
      <c r="I3" s="185"/>
      <c r="J3" s="185"/>
      <c r="K3" s="185"/>
      <c r="L3" s="185"/>
      <c r="M3" s="185"/>
      <c r="N3" s="185"/>
      <c r="O3" s="185"/>
      <c r="P3" s="185"/>
      <c r="Q3" s="185"/>
      <c r="R3" s="185"/>
      <c r="S3" s="185"/>
      <c r="T3" s="185"/>
      <c r="U3" s="185"/>
      <c r="V3" s="185"/>
      <c r="W3" s="185"/>
      <c r="X3" s="5"/>
    </row>
    <row r="4" spans="1:24" ht="15.6" x14ac:dyDescent="0.3">
      <c r="A4" s="183"/>
      <c r="B4" s="184"/>
      <c r="C4" s="185"/>
      <c r="D4" s="185"/>
      <c r="E4" s="185"/>
      <c r="F4" s="185"/>
      <c r="G4" s="185"/>
      <c r="H4" s="185"/>
      <c r="I4" s="185"/>
      <c r="J4" s="185"/>
      <c r="K4" s="185"/>
      <c r="L4" s="185"/>
      <c r="M4" s="185"/>
      <c r="N4" s="185"/>
      <c r="O4" s="185"/>
      <c r="P4" s="185"/>
      <c r="Q4" s="185"/>
      <c r="R4" s="185"/>
      <c r="S4" s="185"/>
      <c r="T4" s="185"/>
      <c r="U4" s="185"/>
      <c r="V4" s="185"/>
      <c r="W4" s="185"/>
      <c r="X4" s="5"/>
    </row>
    <row r="5" spans="1:24" ht="15.6" x14ac:dyDescent="0.3">
      <c r="A5" s="183"/>
      <c r="B5" s="221" t="s">
        <v>137</v>
      </c>
      <c r="C5" s="185"/>
      <c r="D5" s="185"/>
      <c r="E5" s="185"/>
      <c r="F5" s="185"/>
      <c r="G5" s="185"/>
      <c r="H5" s="185"/>
      <c r="I5" s="185"/>
      <c r="J5" s="185"/>
      <c r="K5" s="185"/>
      <c r="L5" s="185"/>
      <c r="M5" s="185"/>
      <c r="N5" s="185"/>
      <c r="O5" s="185"/>
      <c r="P5" s="185"/>
      <c r="Q5" s="185"/>
      <c r="R5" s="185"/>
      <c r="S5" s="185"/>
      <c r="T5" s="185"/>
      <c r="U5" s="185"/>
      <c r="V5" s="185"/>
      <c r="W5" s="185"/>
      <c r="X5" s="5"/>
    </row>
    <row r="6" spans="1:24" ht="15.6" x14ac:dyDescent="0.3">
      <c r="A6" s="183"/>
      <c r="B6" s="221" t="s">
        <v>139</v>
      </c>
      <c r="C6" s="185"/>
      <c r="D6" s="185"/>
      <c r="E6" s="185"/>
      <c r="F6" s="185"/>
      <c r="G6" s="185"/>
      <c r="H6" s="185"/>
      <c r="I6" s="185"/>
      <c r="J6" s="185"/>
      <c r="K6" s="185"/>
      <c r="L6" s="185"/>
      <c r="M6" s="185"/>
      <c r="N6" s="185"/>
      <c r="O6" s="185"/>
      <c r="P6" s="185"/>
      <c r="Q6" s="185"/>
      <c r="R6" s="185"/>
      <c r="S6" s="185"/>
      <c r="T6" s="185"/>
      <c r="U6" s="185"/>
      <c r="V6" s="185"/>
      <c r="W6" s="185"/>
      <c r="X6" s="5"/>
    </row>
    <row r="7" spans="1:24" ht="15.6" x14ac:dyDescent="0.3">
      <c r="A7" s="183"/>
      <c r="B7" s="221" t="s">
        <v>138</v>
      </c>
      <c r="C7" s="185"/>
      <c r="D7" s="185"/>
      <c r="E7" s="185"/>
      <c r="F7" s="185"/>
      <c r="G7" s="185"/>
      <c r="H7" s="185"/>
      <c r="I7" s="185"/>
      <c r="J7" s="185"/>
      <c r="K7" s="185"/>
      <c r="L7" s="185"/>
      <c r="M7" s="185"/>
      <c r="N7" s="185"/>
      <c r="O7" s="185"/>
      <c r="P7" s="185"/>
      <c r="Q7" s="185"/>
      <c r="R7" s="185"/>
      <c r="S7" s="185"/>
      <c r="T7" s="185"/>
      <c r="U7" s="185"/>
      <c r="V7" s="185"/>
      <c r="W7" s="185"/>
      <c r="X7" s="5"/>
    </row>
    <row r="8" spans="1:24" ht="15.6" x14ac:dyDescent="0.3">
      <c r="A8" s="183"/>
      <c r="B8" s="188"/>
      <c r="C8" s="185"/>
      <c r="D8" s="185"/>
      <c r="E8" s="185"/>
      <c r="F8" s="185"/>
      <c r="G8" s="185"/>
      <c r="H8" s="185"/>
      <c r="I8" s="185"/>
      <c r="J8" s="185"/>
      <c r="K8" s="185"/>
      <c r="L8" s="185"/>
      <c r="M8" s="185"/>
      <c r="N8" s="185"/>
      <c r="O8" s="185"/>
      <c r="P8" s="185"/>
      <c r="Q8" s="185"/>
      <c r="R8" s="185"/>
      <c r="S8" s="185"/>
      <c r="T8" s="185"/>
      <c r="U8" s="185"/>
      <c r="V8" s="185"/>
      <c r="W8" s="185"/>
      <c r="X8" s="5"/>
    </row>
    <row r="9" spans="1:24" ht="17.399999999999999" x14ac:dyDescent="0.3">
      <c r="A9" s="183"/>
      <c r="B9" s="189" t="s">
        <v>166</v>
      </c>
      <c r="C9" s="185"/>
      <c r="D9" s="185"/>
      <c r="E9" s="185"/>
      <c r="F9" s="185"/>
      <c r="G9" s="185"/>
      <c r="H9" s="185"/>
      <c r="I9" s="190" t="s">
        <v>167</v>
      </c>
      <c r="J9" s="185"/>
      <c r="K9" s="185"/>
      <c r="L9" s="190"/>
      <c r="M9" s="185"/>
      <c r="N9" s="190"/>
      <c r="O9" s="185"/>
      <c r="P9" s="185"/>
      <c r="Q9" s="185"/>
      <c r="R9" s="185"/>
      <c r="S9" s="185"/>
      <c r="T9" s="185"/>
      <c r="U9" s="185"/>
      <c r="V9" s="185"/>
      <c r="W9" s="185"/>
      <c r="X9" s="5"/>
    </row>
    <row r="10" spans="1:24" ht="15.6" x14ac:dyDescent="0.3">
      <c r="A10" s="183"/>
      <c r="B10" s="188"/>
      <c r="C10" s="191"/>
      <c r="D10" s="191"/>
      <c r="E10" s="191"/>
      <c r="F10" s="185"/>
      <c r="G10" s="185"/>
      <c r="H10" s="185"/>
      <c r="I10" s="185"/>
      <c r="J10" s="185"/>
      <c r="K10" s="185"/>
      <c r="L10" s="185"/>
      <c r="M10" s="185"/>
      <c r="N10" s="185"/>
      <c r="O10" s="185"/>
      <c r="P10" s="185"/>
      <c r="Q10" s="185"/>
      <c r="R10" s="185"/>
      <c r="S10" s="185"/>
      <c r="T10" s="185"/>
      <c r="U10" s="185"/>
      <c r="V10" s="185"/>
      <c r="W10" s="185"/>
      <c r="X10" s="5"/>
    </row>
    <row r="11" spans="1:24" ht="15.6" x14ac:dyDescent="0.3">
      <c r="A11" s="183"/>
      <c r="B11" s="222" t="s">
        <v>0</v>
      </c>
      <c r="C11" s="185"/>
      <c r="D11" s="185"/>
      <c r="E11" s="185"/>
      <c r="F11" s="185"/>
      <c r="G11" s="185"/>
      <c r="H11" s="185"/>
      <c r="I11" s="185"/>
      <c r="J11" s="185"/>
      <c r="K11" s="185"/>
      <c r="L11" s="185"/>
      <c r="M11" s="185"/>
      <c r="N11" s="185"/>
      <c r="O11" s="185"/>
      <c r="P11" s="185"/>
      <c r="Q11" s="185"/>
      <c r="R11" s="185"/>
      <c r="S11" s="185"/>
      <c r="T11" s="185"/>
      <c r="U11" s="185"/>
      <c r="V11" s="185"/>
      <c r="W11" s="185"/>
      <c r="X11" s="5"/>
    </row>
    <row r="12" spans="1:24" ht="16.2" thickBot="1" x14ac:dyDescent="0.35">
      <c r="A12" s="183"/>
      <c r="B12" s="191"/>
      <c r="C12" s="185"/>
      <c r="D12" s="185"/>
      <c r="E12" s="185"/>
      <c r="F12" s="185"/>
      <c r="G12" s="185"/>
      <c r="H12" s="185"/>
      <c r="I12" s="185"/>
      <c r="J12" s="185"/>
      <c r="K12" s="185"/>
      <c r="L12" s="185"/>
      <c r="M12" s="185"/>
      <c r="N12" s="185"/>
      <c r="O12" s="185"/>
      <c r="P12" s="185"/>
      <c r="Q12" s="185"/>
      <c r="R12" s="185"/>
      <c r="S12" s="185"/>
      <c r="T12" s="185"/>
      <c r="U12" s="185"/>
      <c r="V12" s="185"/>
      <c r="W12" s="185"/>
      <c r="X12" s="5"/>
    </row>
    <row r="13" spans="1:24" ht="15.6" x14ac:dyDescent="0.3">
      <c r="A13" s="180"/>
      <c r="B13" s="181"/>
      <c r="C13" s="181"/>
      <c r="D13" s="181"/>
      <c r="E13" s="181"/>
      <c r="F13" s="181"/>
      <c r="G13" s="181"/>
      <c r="H13" s="181"/>
      <c r="I13" s="181"/>
      <c r="J13" s="181"/>
      <c r="K13" s="181"/>
      <c r="L13" s="181"/>
      <c r="M13" s="181"/>
      <c r="N13" s="181"/>
      <c r="O13" s="181"/>
      <c r="P13" s="181"/>
      <c r="Q13" s="181"/>
      <c r="R13" s="181"/>
      <c r="S13" s="181"/>
      <c r="T13" s="181"/>
      <c r="U13" s="181"/>
      <c r="V13" s="181"/>
      <c r="W13" s="181"/>
      <c r="X13" s="5"/>
    </row>
    <row r="14" spans="1:24" ht="15.6" x14ac:dyDescent="0.3">
      <c r="A14" s="183"/>
      <c r="B14" s="222" t="s">
        <v>1</v>
      </c>
      <c r="C14" s="192"/>
      <c r="D14" s="192"/>
      <c r="E14" s="192"/>
      <c r="F14" s="192"/>
      <c r="G14" s="192"/>
      <c r="H14" s="192"/>
      <c r="I14" s="192"/>
      <c r="J14" s="192"/>
      <c r="K14" s="192"/>
      <c r="L14" s="192"/>
      <c r="M14" s="192"/>
      <c r="N14" s="192"/>
      <c r="O14" s="192"/>
      <c r="P14" s="192"/>
      <c r="Q14" s="192"/>
      <c r="R14" s="224"/>
      <c r="S14" s="224"/>
      <c r="T14" s="224"/>
      <c r="U14" s="224"/>
      <c r="V14" s="225" t="s">
        <v>246</v>
      </c>
      <c r="W14" s="192"/>
      <c r="X14" s="5"/>
    </row>
    <row r="15" spans="1:24" ht="15.6" x14ac:dyDescent="0.3">
      <c r="A15" s="183"/>
      <c r="B15" s="222" t="s">
        <v>2</v>
      </c>
      <c r="C15" s="192"/>
      <c r="D15" s="192"/>
      <c r="E15" s="192"/>
      <c r="F15" s="192"/>
      <c r="G15" s="192"/>
      <c r="H15" s="193"/>
      <c r="I15" s="193"/>
      <c r="J15" s="193"/>
      <c r="K15" s="193"/>
      <c r="L15" s="193"/>
      <c r="M15" s="193"/>
      <c r="N15" s="193"/>
      <c r="O15" s="193"/>
      <c r="P15" s="193"/>
      <c r="Q15" s="193"/>
      <c r="R15" s="226" t="s">
        <v>104</v>
      </c>
      <c r="S15" s="227">
        <v>0.38300000000000001</v>
      </c>
      <c r="T15" s="228" t="s">
        <v>140</v>
      </c>
      <c r="U15" s="227">
        <v>0.61699999999999999</v>
      </c>
      <c r="V15" s="225"/>
      <c r="W15" s="192"/>
      <c r="X15" s="5"/>
    </row>
    <row r="16" spans="1:24" ht="15.6" x14ac:dyDescent="0.3">
      <c r="A16" s="183"/>
      <c r="B16" s="222" t="s">
        <v>3</v>
      </c>
      <c r="C16" s="192"/>
      <c r="D16" s="192"/>
      <c r="E16" s="192"/>
      <c r="F16" s="192"/>
      <c r="G16" s="192"/>
      <c r="H16" s="193"/>
      <c r="I16" s="193"/>
      <c r="J16" s="193"/>
      <c r="K16" s="193"/>
      <c r="L16" s="193"/>
      <c r="M16" s="193"/>
      <c r="N16" s="193"/>
      <c r="O16" s="193"/>
      <c r="P16" s="193"/>
      <c r="Q16" s="193"/>
      <c r="R16" s="226" t="s">
        <v>104</v>
      </c>
      <c r="S16" s="227">
        <v>0.47620000000000001</v>
      </c>
      <c r="T16" s="228" t="s">
        <v>140</v>
      </c>
      <c r="U16" s="227">
        <v>0.52380000000000004</v>
      </c>
      <c r="V16" s="225"/>
      <c r="W16" s="192"/>
      <c r="X16" s="5"/>
    </row>
    <row r="17" spans="1:24" ht="15.6" x14ac:dyDescent="0.3">
      <c r="A17" s="183"/>
      <c r="B17" s="222" t="s">
        <v>4</v>
      </c>
      <c r="C17" s="192"/>
      <c r="D17" s="192"/>
      <c r="E17" s="192"/>
      <c r="F17" s="192"/>
      <c r="G17" s="192"/>
      <c r="H17" s="192"/>
      <c r="I17" s="192"/>
      <c r="J17" s="192"/>
      <c r="K17" s="192"/>
      <c r="L17" s="192"/>
      <c r="M17" s="192"/>
      <c r="N17" s="192"/>
      <c r="O17" s="192"/>
      <c r="P17" s="192"/>
      <c r="Q17" s="192"/>
      <c r="R17" s="224"/>
      <c r="S17" s="224"/>
      <c r="T17" s="224"/>
      <c r="U17" s="224"/>
      <c r="V17" s="229">
        <v>39163</v>
      </c>
      <c r="W17" s="192"/>
      <c r="X17" s="5"/>
    </row>
    <row r="18" spans="1:24" ht="15.6" x14ac:dyDescent="0.3">
      <c r="A18" s="183"/>
      <c r="B18" s="222" t="s">
        <v>5</v>
      </c>
      <c r="C18" s="192"/>
      <c r="D18" s="192"/>
      <c r="E18" s="192"/>
      <c r="F18" s="192"/>
      <c r="G18" s="192"/>
      <c r="H18" s="192"/>
      <c r="I18" s="192"/>
      <c r="J18" s="192"/>
      <c r="K18" s="192"/>
      <c r="L18" s="192"/>
      <c r="M18" s="192"/>
      <c r="N18" s="192"/>
      <c r="O18" s="192"/>
      <c r="P18" s="192"/>
      <c r="Q18" s="192"/>
      <c r="R18" s="224"/>
      <c r="S18" s="224"/>
      <c r="T18" s="224"/>
      <c r="U18" s="224"/>
      <c r="V18" s="229">
        <v>42542</v>
      </c>
      <c r="W18" s="192"/>
      <c r="X18" s="5"/>
    </row>
    <row r="19" spans="1:24" ht="15.6" x14ac:dyDescent="0.3">
      <c r="A19" s="183"/>
      <c r="B19" s="185"/>
      <c r="C19" s="185"/>
      <c r="D19" s="185"/>
      <c r="E19" s="185"/>
      <c r="F19" s="185"/>
      <c r="G19" s="185"/>
      <c r="H19" s="185"/>
      <c r="I19" s="185"/>
      <c r="J19" s="185"/>
      <c r="K19" s="185"/>
      <c r="L19" s="185"/>
      <c r="M19" s="185"/>
      <c r="N19" s="185"/>
      <c r="O19" s="185"/>
      <c r="P19" s="185"/>
      <c r="Q19" s="185"/>
      <c r="R19" s="185"/>
      <c r="S19" s="185"/>
      <c r="T19" s="185"/>
      <c r="U19" s="185"/>
      <c r="V19" s="194"/>
      <c r="W19" s="185"/>
      <c r="X19" s="5"/>
    </row>
    <row r="20" spans="1:24" ht="15.6" x14ac:dyDescent="0.3">
      <c r="A20" s="183"/>
      <c r="B20" s="230" t="s">
        <v>6</v>
      </c>
      <c r="C20" s="185"/>
      <c r="D20" s="185"/>
      <c r="E20" s="185"/>
      <c r="F20" s="185"/>
      <c r="G20" s="185"/>
      <c r="H20" s="185"/>
      <c r="I20" s="185"/>
      <c r="J20" s="185"/>
      <c r="K20" s="185"/>
      <c r="L20" s="185"/>
      <c r="M20" s="185"/>
      <c r="N20" s="185"/>
      <c r="O20" s="185"/>
      <c r="P20" s="185"/>
      <c r="Q20" s="185"/>
      <c r="R20" s="185"/>
      <c r="S20" s="185"/>
      <c r="T20" s="223" t="s">
        <v>105</v>
      </c>
      <c r="U20" s="185"/>
      <c r="V20" s="182"/>
      <c r="W20" s="185"/>
      <c r="X20" s="5"/>
    </row>
    <row r="21" spans="1:24" ht="15.6" x14ac:dyDescent="0.3">
      <c r="A21" s="183"/>
      <c r="B21" s="185"/>
      <c r="C21" s="185"/>
      <c r="D21" s="185"/>
      <c r="E21" s="185"/>
      <c r="F21" s="185"/>
      <c r="G21" s="185"/>
      <c r="H21" s="185"/>
      <c r="I21" s="185"/>
      <c r="J21" s="185"/>
      <c r="K21" s="185"/>
      <c r="L21" s="185"/>
      <c r="M21" s="185"/>
      <c r="N21" s="185"/>
      <c r="O21" s="185"/>
      <c r="P21" s="185"/>
      <c r="Q21" s="185"/>
      <c r="R21" s="185"/>
      <c r="S21" s="185"/>
      <c r="T21" s="185"/>
      <c r="U21" s="185"/>
      <c r="V21" s="196"/>
      <c r="W21" s="185"/>
      <c r="X21" s="5"/>
    </row>
    <row r="22" spans="1:24" ht="15.6" x14ac:dyDescent="0.3">
      <c r="A22" s="262"/>
      <c r="B22" s="263"/>
      <c r="C22" s="264"/>
      <c r="D22" s="264" t="s">
        <v>177</v>
      </c>
      <c r="E22" s="264"/>
      <c r="F22" s="264" t="s">
        <v>178</v>
      </c>
      <c r="G22" s="264"/>
      <c r="H22" s="264" t="s">
        <v>179</v>
      </c>
      <c r="I22" s="264"/>
      <c r="J22" s="264" t="s">
        <v>220</v>
      </c>
      <c r="K22" s="264"/>
      <c r="L22" s="264" t="s">
        <v>180</v>
      </c>
      <c r="M22" s="264"/>
      <c r="N22" s="264" t="s">
        <v>181</v>
      </c>
      <c r="O22" s="264"/>
      <c r="P22" s="264" t="s">
        <v>221</v>
      </c>
      <c r="Q22" s="264"/>
      <c r="R22" s="264" t="s">
        <v>182</v>
      </c>
      <c r="S22" s="266"/>
      <c r="T22" s="266"/>
      <c r="U22" s="267"/>
      <c r="V22" s="267"/>
      <c r="W22" s="263"/>
      <c r="X22" s="5"/>
    </row>
    <row r="23" spans="1:24" ht="15.6" x14ac:dyDescent="0.3">
      <c r="A23" s="287"/>
      <c r="B23" s="288" t="s">
        <v>7</v>
      </c>
      <c r="C23" s="289"/>
      <c r="D23" s="289" t="s">
        <v>213</v>
      </c>
      <c r="E23" s="289"/>
      <c r="F23" s="289" t="s">
        <v>141</v>
      </c>
      <c r="G23" s="289"/>
      <c r="H23" s="289" t="s">
        <v>141</v>
      </c>
      <c r="I23" s="289"/>
      <c r="J23" s="289" t="s">
        <v>141</v>
      </c>
      <c r="K23" s="289"/>
      <c r="L23" s="289" t="s">
        <v>183</v>
      </c>
      <c r="M23" s="289"/>
      <c r="N23" s="289" t="s">
        <v>183</v>
      </c>
      <c r="O23" s="289"/>
      <c r="P23" s="289" t="s">
        <v>142</v>
      </c>
      <c r="Q23" s="289"/>
      <c r="R23" s="289" t="s">
        <v>142</v>
      </c>
      <c r="S23" s="289"/>
      <c r="T23" s="289"/>
      <c r="U23" s="290"/>
      <c r="V23" s="290"/>
      <c r="W23" s="291"/>
      <c r="X23" s="5"/>
    </row>
    <row r="24" spans="1:24" ht="15.6" x14ac:dyDescent="0.3">
      <c r="A24" s="287"/>
      <c r="B24" s="288" t="s">
        <v>8</v>
      </c>
      <c r="C24" s="289"/>
      <c r="D24" s="289" t="s">
        <v>214</v>
      </c>
      <c r="E24" s="289"/>
      <c r="F24" s="289" t="s">
        <v>143</v>
      </c>
      <c r="G24" s="289"/>
      <c r="H24" s="289" t="s">
        <v>143</v>
      </c>
      <c r="I24" s="289"/>
      <c r="J24" s="289" t="s">
        <v>143</v>
      </c>
      <c r="K24" s="289"/>
      <c r="L24" s="289" t="s">
        <v>165</v>
      </c>
      <c r="M24" s="289"/>
      <c r="N24" s="289" t="s">
        <v>165</v>
      </c>
      <c r="O24" s="289"/>
      <c r="P24" s="289" t="s">
        <v>144</v>
      </c>
      <c r="Q24" s="289"/>
      <c r="R24" s="289" t="s">
        <v>144</v>
      </c>
      <c r="S24" s="289"/>
      <c r="T24" s="289"/>
      <c r="U24" s="290"/>
      <c r="V24" s="290"/>
      <c r="W24" s="291"/>
      <c r="X24" s="5"/>
    </row>
    <row r="25" spans="1:24" ht="15.6" x14ac:dyDescent="0.3">
      <c r="A25" s="292"/>
      <c r="B25" s="288" t="s">
        <v>190</v>
      </c>
      <c r="C25" s="398"/>
      <c r="D25" s="289" t="s">
        <v>215</v>
      </c>
      <c r="E25" s="289"/>
      <c r="F25" s="289" t="s">
        <v>143</v>
      </c>
      <c r="G25" s="289"/>
      <c r="H25" s="289" t="s">
        <v>143</v>
      </c>
      <c r="I25" s="289"/>
      <c r="J25" s="289" t="s">
        <v>143</v>
      </c>
      <c r="K25" s="289"/>
      <c r="L25" s="289" t="s">
        <v>293</v>
      </c>
      <c r="M25" s="289"/>
      <c r="N25" s="289" t="s">
        <v>293</v>
      </c>
      <c r="O25" s="289"/>
      <c r="P25" s="289" t="s">
        <v>144</v>
      </c>
      <c r="Q25" s="289"/>
      <c r="R25" s="289" t="s">
        <v>144</v>
      </c>
      <c r="S25" s="398"/>
      <c r="T25" s="289"/>
      <c r="U25" s="290"/>
      <c r="V25" s="290"/>
      <c r="W25" s="291"/>
      <c r="X25" s="5"/>
    </row>
    <row r="26" spans="1:24" ht="15.6" x14ac:dyDescent="0.3">
      <c r="A26" s="292"/>
      <c r="B26" s="295" t="s">
        <v>9</v>
      </c>
      <c r="C26" s="398"/>
      <c r="D26" s="398" t="s">
        <v>332</v>
      </c>
      <c r="E26" s="398"/>
      <c r="F26" s="398" t="s">
        <v>333</v>
      </c>
      <c r="G26" s="398"/>
      <c r="H26" s="398" t="s">
        <v>333</v>
      </c>
      <c r="I26" s="398"/>
      <c r="J26" s="398" t="s">
        <v>333</v>
      </c>
      <c r="K26" s="398"/>
      <c r="L26" s="398" t="s">
        <v>333</v>
      </c>
      <c r="M26" s="398"/>
      <c r="N26" s="398" t="s">
        <v>333</v>
      </c>
      <c r="O26" s="398"/>
      <c r="P26" s="398" t="s">
        <v>334</v>
      </c>
      <c r="Q26" s="398"/>
      <c r="R26" s="398" t="s">
        <v>334</v>
      </c>
      <c r="S26" s="398"/>
      <c r="T26" s="289"/>
      <c r="U26" s="290"/>
      <c r="V26" s="290"/>
      <c r="W26" s="291"/>
      <c r="X26" s="5"/>
    </row>
    <row r="27" spans="1:24" ht="15.6" x14ac:dyDescent="0.3">
      <c r="A27" s="287"/>
      <c r="B27" s="295" t="s">
        <v>191</v>
      </c>
      <c r="C27" s="289"/>
      <c r="D27" s="398" t="s">
        <v>352</v>
      </c>
      <c r="E27" s="398"/>
      <c r="F27" s="398" t="s">
        <v>143</v>
      </c>
      <c r="G27" s="398"/>
      <c r="H27" s="398" t="s">
        <v>143</v>
      </c>
      <c r="I27" s="398"/>
      <c r="J27" s="398" t="s">
        <v>143</v>
      </c>
      <c r="K27" s="398"/>
      <c r="L27" s="398" t="s">
        <v>319</v>
      </c>
      <c r="M27" s="398"/>
      <c r="N27" s="398" t="s">
        <v>319</v>
      </c>
      <c r="O27" s="398"/>
      <c r="P27" s="398" t="s">
        <v>320</v>
      </c>
      <c r="Q27" s="398"/>
      <c r="R27" s="398" t="s">
        <v>320</v>
      </c>
      <c r="S27" s="289"/>
      <c r="T27" s="296"/>
      <c r="U27" s="290"/>
      <c r="V27" s="290"/>
      <c r="W27" s="291"/>
      <c r="X27" s="5"/>
    </row>
    <row r="28" spans="1:24" ht="15.6" x14ac:dyDescent="0.3">
      <c r="A28" s="287"/>
      <c r="B28" s="295" t="s">
        <v>192</v>
      </c>
      <c r="C28" s="289"/>
      <c r="D28" s="398" t="s">
        <v>350</v>
      </c>
      <c r="E28" s="398"/>
      <c r="F28" s="398" t="s">
        <v>143</v>
      </c>
      <c r="G28" s="398"/>
      <c r="H28" s="398" t="s">
        <v>143</v>
      </c>
      <c r="I28" s="398"/>
      <c r="J28" s="398" t="s">
        <v>143</v>
      </c>
      <c r="K28" s="398"/>
      <c r="L28" s="398" t="s">
        <v>143</v>
      </c>
      <c r="M28" s="398"/>
      <c r="N28" s="398" t="s">
        <v>143</v>
      </c>
      <c r="O28" s="398"/>
      <c r="P28" s="398" t="s">
        <v>337</v>
      </c>
      <c r="Q28" s="398"/>
      <c r="R28" s="398" t="s">
        <v>337</v>
      </c>
      <c r="S28" s="289"/>
      <c r="T28" s="296"/>
      <c r="U28" s="290"/>
      <c r="V28" s="290"/>
      <c r="W28" s="291"/>
      <c r="X28" s="5"/>
    </row>
    <row r="29" spans="1:24" ht="15.6" x14ac:dyDescent="0.3">
      <c r="A29" s="287"/>
      <c r="B29" s="288" t="s">
        <v>10</v>
      </c>
      <c r="C29" s="298"/>
      <c r="D29" s="289" t="s">
        <v>249</v>
      </c>
      <c r="E29" s="289"/>
      <c r="F29" s="296" t="s">
        <v>250</v>
      </c>
      <c r="G29" s="289"/>
      <c r="H29" s="289" t="s">
        <v>251</v>
      </c>
      <c r="I29" s="289"/>
      <c r="J29" s="289" t="s">
        <v>253</v>
      </c>
      <c r="K29" s="289"/>
      <c r="L29" s="289" t="s">
        <v>254</v>
      </c>
      <c r="M29" s="289"/>
      <c r="N29" s="289" t="s">
        <v>255</v>
      </c>
      <c r="O29" s="289"/>
      <c r="P29" s="289" t="s">
        <v>256</v>
      </c>
      <c r="Q29" s="289"/>
      <c r="R29" s="289" t="s">
        <v>257</v>
      </c>
      <c r="S29" s="299"/>
      <c r="T29" s="299"/>
      <c r="U29" s="300"/>
      <c r="V29" s="299"/>
      <c r="W29" s="301"/>
      <c r="X29" s="5"/>
    </row>
    <row r="30" spans="1:24" ht="15.6" x14ac:dyDescent="0.3">
      <c r="A30" s="287"/>
      <c r="B30" s="288" t="s">
        <v>10</v>
      </c>
      <c r="C30" s="298"/>
      <c r="D30" s="289" t="s">
        <v>248</v>
      </c>
      <c r="E30" s="289"/>
      <c r="F30" s="296" t="s">
        <v>118</v>
      </c>
      <c r="G30" s="289"/>
      <c r="H30" s="289" t="s">
        <v>118</v>
      </c>
      <c r="I30" s="289"/>
      <c r="J30" s="289" t="s">
        <v>252</v>
      </c>
      <c r="K30" s="289"/>
      <c r="L30" s="289" t="s">
        <v>118</v>
      </c>
      <c r="M30" s="289"/>
      <c r="N30" s="289" t="s">
        <v>118</v>
      </c>
      <c r="O30" s="289"/>
      <c r="P30" s="289" t="s">
        <v>118</v>
      </c>
      <c r="Q30" s="289"/>
      <c r="R30" s="289" t="s">
        <v>118</v>
      </c>
      <c r="S30" s="299"/>
      <c r="T30" s="299"/>
      <c r="U30" s="300"/>
      <c r="V30" s="299"/>
      <c r="W30" s="301"/>
      <c r="X30" s="5"/>
    </row>
    <row r="31" spans="1:24" ht="15.6" x14ac:dyDescent="0.3">
      <c r="A31" s="292"/>
      <c r="B31" s="288" t="s">
        <v>133</v>
      </c>
      <c r="C31" s="302"/>
      <c r="D31" s="303">
        <v>1500000</v>
      </c>
      <c r="E31" s="298"/>
      <c r="F31" s="299">
        <v>125000</v>
      </c>
      <c r="G31" s="299"/>
      <c r="H31" s="304">
        <v>246000</v>
      </c>
      <c r="I31" s="304"/>
      <c r="J31" s="303">
        <v>400000</v>
      </c>
      <c r="K31" s="299"/>
      <c r="L31" s="299">
        <v>51900</v>
      </c>
      <c r="M31" s="299"/>
      <c r="N31" s="304">
        <v>88800</v>
      </c>
      <c r="O31" s="299"/>
      <c r="P31" s="299">
        <v>20000</v>
      </c>
      <c r="Q31" s="299"/>
      <c r="R31" s="304">
        <v>135500</v>
      </c>
      <c r="S31" s="305"/>
      <c r="T31" s="305"/>
      <c r="U31" s="306"/>
      <c r="V31" s="305"/>
      <c r="W31" s="301"/>
      <c r="X31" s="5"/>
    </row>
    <row r="32" spans="1:24" ht="15.6" x14ac:dyDescent="0.3">
      <c r="A32" s="287"/>
      <c r="B32" s="288" t="s">
        <v>132</v>
      </c>
      <c r="C32" s="298"/>
      <c r="D32" s="303">
        <f>D31*D38</f>
        <v>881791.95000000007</v>
      </c>
      <c r="E32" s="298"/>
      <c r="F32" s="299">
        <f>F31*F38</f>
        <v>73482.850000000006</v>
      </c>
      <c r="G32" s="299"/>
      <c r="H32" s="304">
        <f>H31*H38</f>
        <v>144614.2488</v>
      </c>
      <c r="I32" s="304"/>
      <c r="J32" s="303">
        <f>J31*J38</f>
        <v>235144.52000000002</v>
      </c>
      <c r="K32" s="299"/>
      <c r="L32" s="299">
        <f>+L31</f>
        <v>51900</v>
      </c>
      <c r="M32" s="299"/>
      <c r="N32" s="304">
        <f>+N31</f>
        <v>88800</v>
      </c>
      <c r="O32" s="299"/>
      <c r="P32" s="299">
        <f>+P31</f>
        <v>20000</v>
      </c>
      <c r="Q32" s="299"/>
      <c r="R32" s="304">
        <f>+R31</f>
        <v>135500</v>
      </c>
      <c r="S32" s="299"/>
      <c r="T32" s="299"/>
      <c r="U32" s="300"/>
      <c r="V32" s="299"/>
      <c r="W32" s="301"/>
      <c r="X32" s="5"/>
    </row>
    <row r="33" spans="1:24" ht="15.6" x14ac:dyDescent="0.3">
      <c r="A33" s="287"/>
      <c r="B33" s="295" t="s">
        <v>134</v>
      </c>
      <c r="C33" s="298"/>
      <c r="D33" s="307">
        <f>D37*D31</f>
        <v>856690.65</v>
      </c>
      <c r="E33" s="302"/>
      <c r="F33" s="305">
        <f>F37*F31</f>
        <v>71391.074999999997</v>
      </c>
      <c r="G33" s="305"/>
      <c r="H33" s="308">
        <f>H31*H37</f>
        <v>140497.63560000001</v>
      </c>
      <c r="I33" s="308"/>
      <c r="J33" s="307">
        <f>J37*J31</f>
        <v>228450.84</v>
      </c>
      <c r="K33" s="305"/>
      <c r="L33" s="305">
        <f>L31*L37</f>
        <v>51900</v>
      </c>
      <c r="M33" s="305"/>
      <c r="N33" s="308">
        <f>N31*N37</f>
        <v>88800</v>
      </c>
      <c r="O33" s="305"/>
      <c r="P33" s="305">
        <f>P31*P37</f>
        <v>20000</v>
      </c>
      <c r="Q33" s="305"/>
      <c r="R33" s="308">
        <f>R31*R37</f>
        <v>135500</v>
      </c>
      <c r="S33" s="299"/>
      <c r="T33" s="299"/>
      <c r="U33" s="300"/>
      <c r="V33" s="299"/>
      <c r="W33" s="301"/>
      <c r="X33" s="5"/>
    </row>
    <row r="34" spans="1:24" ht="15.6" x14ac:dyDescent="0.3">
      <c r="A34" s="292"/>
      <c r="B34" s="288" t="s">
        <v>296</v>
      </c>
      <c r="C34" s="302"/>
      <c r="D34" s="299">
        <v>775194</v>
      </c>
      <c r="E34" s="298"/>
      <c r="F34" s="299">
        <v>125000</v>
      </c>
      <c r="G34" s="299"/>
      <c r="H34" s="299">
        <v>168148</v>
      </c>
      <c r="I34" s="299"/>
      <c r="J34" s="299">
        <v>206718</v>
      </c>
      <c r="K34" s="299"/>
      <c r="L34" s="299">
        <v>51900</v>
      </c>
      <c r="M34" s="299"/>
      <c r="N34" s="299">
        <v>60697</v>
      </c>
      <c r="O34" s="299"/>
      <c r="P34" s="299">
        <v>20000</v>
      </c>
      <c r="Q34" s="299"/>
      <c r="R34" s="299">
        <v>92618</v>
      </c>
      <c r="S34" s="305"/>
      <c r="T34" s="305"/>
      <c r="U34" s="306"/>
      <c r="V34" s="299">
        <f>SUM(C34:R34)</f>
        <v>1500275</v>
      </c>
      <c r="W34" s="301"/>
      <c r="X34" s="5"/>
    </row>
    <row r="35" spans="1:24" ht="15.6" x14ac:dyDescent="0.3">
      <c r="A35" s="292"/>
      <c r="B35" s="288" t="s">
        <v>297</v>
      </c>
      <c r="C35" s="302"/>
      <c r="D35" s="299">
        <f>D34*D38</f>
        <v>455706.55259220005</v>
      </c>
      <c r="E35" s="298"/>
      <c r="F35" s="299">
        <f>F34*F38</f>
        <v>73482.850000000006</v>
      </c>
      <c r="G35" s="299"/>
      <c r="H35" s="299">
        <f>H34*H38</f>
        <v>98847.954094400004</v>
      </c>
      <c r="I35" s="299"/>
      <c r="J35" s="299">
        <f>J34*J38</f>
        <v>121521.51221340001</v>
      </c>
      <c r="K35" s="299"/>
      <c r="L35" s="299">
        <f>+L34</f>
        <v>51900</v>
      </c>
      <c r="M35" s="299"/>
      <c r="N35" s="299">
        <f>+N34</f>
        <v>60697</v>
      </c>
      <c r="O35" s="299"/>
      <c r="P35" s="299">
        <f>+P34</f>
        <v>20000</v>
      </c>
      <c r="Q35" s="299"/>
      <c r="R35" s="299">
        <f>+R34</f>
        <v>92618</v>
      </c>
      <c r="S35" s="299"/>
      <c r="T35" s="299"/>
      <c r="U35" s="300"/>
      <c r="V35" s="299">
        <f>SUM(C35:R35)</f>
        <v>974773.86890000012</v>
      </c>
      <c r="W35" s="301"/>
      <c r="X35" s="5"/>
    </row>
    <row r="36" spans="1:24" ht="15.6" x14ac:dyDescent="0.3">
      <c r="A36" s="292"/>
      <c r="B36" s="295" t="s">
        <v>298</v>
      </c>
      <c r="C36" s="302"/>
      <c r="D36" s="305">
        <f>D34*D37</f>
        <v>442734.30115740001</v>
      </c>
      <c r="E36" s="302"/>
      <c r="F36" s="305">
        <f>F34*F37</f>
        <v>71391.074999999997</v>
      </c>
      <c r="G36" s="305"/>
      <c r="H36" s="305">
        <f>H34*H37</f>
        <v>96034.131832799991</v>
      </c>
      <c r="I36" s="305"/>
      <c r="J36" s="305">
        <f>J34*J37</f>
        <v>118062.2518578</v>
      </c>
      <c r="K36" s="305"/>
      <c r="L36" s="305">
        <f>L34*L37</f>
        <v>51900</v>
      </c>
      <c r="M36" s="305"/>
      <c r="N36" s="305">
        <f>N34*N37</f>
        <v>60697</v>
      </c>
      <c r="O36" s="305"/>
      <c r="P36" s="305">
        <f>P34*P37</f>
        <v>20000</v>
      </c>
      <c r="Q36" s="305"/>
      <c r="R36" s="305">
        <f>R34*R37</f>
        <v>92618</v>
      </c>
      <c r="S36" s="328"/>
      <c r="T36" s="328"/>
      <c r="U36" s="300"/>
      <c r="V36" s="305">
        <f>SUM(C36:R36)</f>
        <v>953436.75984800002</v>
      </c>
      <c r="W36" s="301"/>
      <c r="X36" s="5"/>
    </row>
    <row r="37" spans="1:24" ht="15.6" x14ac:dyDescent="0.3">
      <c r="A37" s="287"/>
      <c r="B37" s="313" t="s">
        <v>130</v>
      </c>
      <c r="C37" s="314"/>
      <c r="D37" s="315">
        <v>0.5711271</v>
      </c>
      <c r="E37" s="315"/>
      <c r="F37" s="315">
        <v>0.57112859999999999</v>
      </c>
      <c r="G37" s="315"/>
      <c r="H37" s="315">
        <v>0.57112859999999999</v>
      </c>
      <c r="I37" s="315"/>
      <c r="J37" s="315">
        <v>0.5711271</v>
      </c>
      <c r="K37" s="315"/>
      <c r="L37" s="315">
        <v>1</v>
      </c>
      <c r="M37" s="315"/>
      <c r="N37" s="315">
        <v>1</v>
      </c>
      <c r="O37" s="315"/>
      <c r="P37" s="315">
        <v>1</v>
      </c>
      <c r="Q37" s="315"/>
      <c r="R37" s="315">
        <v>1</v>
      </c>
      <c r="S37" s="316"/>
      <c r="T37" s="316"/>
      <c r="U37" s="317"/>
      <c r="V37" s="317"/>
      <c r="W37" s="318"/>
      <c r="X37" s="5"/>
    </row>
    <row r="38" spans="1:24" ht="15.6" x14ac:dyDescent="0.3">
      <c r="A38" s="287"/>
      <c r="B38" s="313" t="s">
        <v>131</v>
      </c>
      <c r="C38" s="314"/>
      <c r="D38" s="315">
        <v>0.58786130000000003</v>
      </c>
      <c r="E38" s="315"/>
      <c r="F38" s="315">
        <v>0.58786280000000002</v>
      </c>
      <c r="G38" s="315"/>
      <c r="H38" s="315">
        <v>0.58786280000000002</v>
      </c>
      <c r="I38" s="315"/>
      <c r="J38" s="315">
        <v>0.58786130000000003</v>
      </c>
      <c r="K38" s="315"/>
      <c r="L38" s="315">
        <v>1</v>
      </c>
      <c r="M38" s="315"/>
      <c r="N38" s="315">
        <v>1</v>
      </c>
      <c r="O38" s="315"/>
      <c r="P38" s="315">
        <v>1</v>
      </c>
      <c r="Q38" s="315"/>
      <c r="R38" s="315">
        <v>1</v>
      </c>
      <c r="S38" s="319"/>
      <c r="T38" s="320"/>
      <c r="U38" s="317"/>
      <c r="V38" s="319"/>
      <c r="W38" s="318"/>
      <c r="X38" s="5"/>
    </row>
    <row r="39" spans="1:24" ht="15.6" x14ac:dyDescent="0.3">
      <c r="A39" s="287"/>
      <c r="B39" s="288" t="s">
        <v>11</v>
      </c>
      <c r="C39" s="288"/>
      <c r="D39" s="296" t="s">
        <v>321</v>
      </c>
      <c r="E39" s="288"/>
      <c r="F39" s="296" t="s">
        <v>231</v>
      </c>
      <c r="G39" s="296"/>
      <c r="H39" s="296" t="s">
        <v>231</v>
      </c>
      <c r="I39" s="296"/>
      <c r="J39" s="296" t="s">
        <v>231</v>
      </c>
      <c r="K39" s="296"/>
      <c r="L39" s="296" t="s">
        <v>265</v>
      </c>
      <c r="M39" s="296"/>
      <c r="N39" s="296" t="s">
        <v>265</v>
      </c>
      <c r="O39" s="296"/>
      <c r="P39" s="296" t="s">
        <v>266</v>
      </c>
      <c r="Q39" s="296"/>
      <c r="R39" s="296" t="s">
        <v>266</v>
      </c>
      <c r="S39" s="321"/>
      <c r="T39" s="322"/>
      <c r="U39" s="290"/>
      <c r="V39" s="290"/>
      <c r="W39" s="291"/>
      <c r="X39" s="5"/>
    </row>
    <row r="40" spans="1:24" ht="15.6" x14ac:dyDescent="0.3">
      <c r="A40" s="287"/>
      <c r="B40" s="288" t="s">
        <v>12</v>
      </c>
      <c r="C40" s="288"/>
      <c r="D40" s="322">
        <v>6.3445000000000003E-3</v>
      </c>
      <c r="E40" s="288"/>
      <c r="F40" s="322">
        <v>7.9124999999999994E-3</v>
      </c>
      <c r="G40" s="321"/>
      <c r="H40" s="322">
        <v>0</v>
      </c>
      <c r="I40" s="322"/>
      <c r="J40" s="322">
        <v>8.3385000000000004E-3</v>
      </c>
      <c r="K40" s="321"/>
      <c r="L40" s="322">
        <v>9.5125000000000001E-3</v>
      </c>
      <c r="M40" s="321"/>
      <c r="N40" s="322">
        <v>1.3500000000000001E-3</v>
      </c>
      <c r="O40" s="321"/>
      <c r="P40" s="322">
        <v>1.35125E-2</v>
      </c>
      <c r="Q40" s="321"/>
      <c r="R40" s="322">
        <v>5.3499999999999997E-3</v>
      </c>
      <c r="S40" s="321"/>
      <c r="T40" s="322"/>
      <c r="U40" s="290"/>
      <c r="V40" s="296"/>
      <c r="W40" s="291"/>
      <c r="X40" s="5"/>
    </row>
    <row r="41" spans="1:24" ht="15.6" x14ac:dyDescent="0.3">
      <c r="A41" s="287"/>
      <c r="B41" s="288" t="s">
        <v>13</v>
      </c>
      <c r="C41" s="288"/>
      <c r="D41" s="322">
        <v>6.3049999999999998E-3</v>
      </c>
      <c r="E41" s="288"/>
      <c r="F41" s="322">
        <v>7.8338000000000001E-3</v>
      </c>
      <c r="G41" s="321"/>
      <c r="H41" s="322">
        <v>7.2000000000000005E-4</v>
      </c>
      <c r="I41" s="322"/>
      <c r="J41" s="322">
        <v>7.1199999999999996E-3</v>
      </c>
      <c r="K41" s="321"/>
      <c r="L41" s="322">
        <v>9.4338000000000009E-3</v>
      </c>
      <c r="M41" s="321"/>
      <c r="N41" s="322">
        <v>2.32E-3</v>
      </c>
      <c r="O41" s="321"/>
      <c r="P41" s="322">
        <v>1.3433799999999999E-2</v>
      </c>
      <c r="Q41" s="321"/>
      <c r="R41" s="322">
        <v>6.3200000000000001E-3</v>
      </c>
      <c r="S41" s="321"/>
      <c r="T41" s="322"/>
      <c r="U41" s="290"/>
      <c r="V41" s="321" t="s">
        <v>193</v>
      </c>
      <c r="W41" s="291"/>
      <c r="X41" s="5"/>
    </row>
    <row r="42" spans="1:24" ht="15.6" x14ac:dyDescent="0.3">
      <c r="A42" s="287"/>
      <c r="B42" s="288" t="s">
        <v>299</v>
      </c>
      <c r="C42" s="288"/>
      <c r="D42" s="296" t="s">
        <v>322</v>
      </c>
      <c r="E42" s="288"/>
      <c r="F42" s="296" t="s">
        <v>231</v>
      </c>
      <c r="G42" s="296"/>
      <c r="H42" s="296" t="s">
        <v>323</v>
      </c>
      <c r="I42" s="296"/>
      <c r="J42" s="296" t="s">
        <v>324</v>
      </c>
      <c r="K42" s="296"/>
      <c r="L42" s="296" t="s">
        <v>265</v>
      </c>
      <c r="M42" s="296"/>
      <c r="N42" s="296" t="s">
        <v>234</v>
      </c>
      <c r="O42" s="296"/>
      <c r="P42" s="296" t="s">
        <v>266</v>
      </c>
      <c r="Q42" s="296"/>
      <c r="R42" s="296" t="s">
        <v>264</v>
      </c>
      <c r="S42" s="321"/>
      <c r="T42" s="322"/>
      <c r="U42" s="290"/>
      <c r="V42" s="290"/>
      <c r="W42" s="291"/>
      <c r="X42" s="5"/>
    </row>
    <row r="43" spans="1:24" ht="15.6" x14ac:dyDescent="0.3">
      <c r="A43" s="287"/>
      <c r="B43" s="288" t="s">
        <v>300</v>
      </c>
      <c r="C43" s="323"/>
      <c r="D43" s="322">
        <v>8.2865000000000005E-3</v>
      </c>
      <c r="E43" s="322"/>
      <c r="F43" s="322">
        <f>+F40</f>
        <v>7.9124999999999994E-3</v>
      </c>
      <c r="G43" s="322"/>
      <c r="H43" s="322">
        <v>8.1925000000000001E-3</v>
      </c>
      <c r="I43" s="322"/>
      <c r="J43" s="322">
        <v>8.6385000000000003E-3</v>
      </c>
      <c r="K43" s="322"/>
      <c r="L43" s="322">
        <f>+L40</f>
        <v>9.5125000000000001E-3</v>
      </c>
      <c r="M43" s="322"/>
      <c r="N43" s="322">
        <v>1.0104500000000001E-2</v>
      </c>
      <c r="O43" s="322"/>
      <c r="P43" s="322">
        <f>+P40</f>
        <v>1.35125E-2</v>
      </c>
      <c r="Q43" s="321"/>
      <c r="R43" s="322">
        <v>1.4578499999999999E-2</v>
      </c>
      <c r="S43" s="296"/>
      <c r="T43" s="296"/>
      <c r="U43" s="290"/>
      <c r="V43" s="321">
        <f>SUMPRODUCT(D43:R43,D35:R35)/V35</f>
        <v>9.1761938134922588E-3</v>
      </c>
      <c r="W43" s="291"/>
      <c r="X43" s="5"/>
    </row>
    <row r="44" spans="1:24" ht="15.6" x14ac:dyDescent="0.3">
      <c r="A44" s="287"/>
      <c r="B44" s="288" t="s">
        <v>301</v>
      </c>
      <c r="C44" s="323"/>
      <c r="D44" s="322">
        <v>8.2077999999999995E-3</v>
      </c>
      <c r="E44" s="322"/>
      <c r="F44" s="322">
        <f>+F41</f>
        <v>7.8338000000000001E-3</v>
      </c>
      <c r="G44" s="322"/>
      <c r="H44" s="322">
        <v>8.1137999999999991E-3</v>
      </c>
      <c r="I44" s="322"/>
      <c r="J44" s="322">
        <v>8.5597999999999994E-3</v>
      </c>
      <c r="K44" s="322"/>
      <c r="L44" s="322">
        <f>+L41</f>
        <v>9.4338000000000009E-3</v>
      </c>
      <c r="M44" s="322"/>
      <c r="N44" s="322">
        <v>1.00258E-2</v>
      </c>
      <c r="O44" s="322"/>
      <c r="P44" s="322">
        <f>+P41</f>
        <v>1.3433799999999999E-2</v>
      </c>
      <c r="Q44" s="321"/>
      <c r="R44" s="322">
        <v>1.44998E-2</v>
      </c>
      <c r="S44" s="296"/>
      <c r="T44" s="296"/>
      <c r="U44" s="290"/>
      <c r="V44" s="290"/>
      <c r="W44" s="291"/>
      <c r="X44" s="5"/>
    </row>
    <row r="45" spans="1:24" ht="15.6" x14ac:dyDescent="0.3">
      <c r="A45" s="287"/>
      <c r="B45" s="288" t="s">
        <v>14</v>
      </c>
      <c r="C45" s="288"/>
      <c r="D45" s="323">
        <v>40617</v>
      </c>
      <c r="E45" s="323"/>
      <c r="F45" s="323">
        <v>40617</v>
      </c>
      <c r="G45" s="323"/>
      <c r="H45" s="323">
        <v>40617</v>
      </c>
      <c r="I45" s="323"/>
      <c r="J45" s="323">
        <v>40617</v>
      </c>
      <c r="K45" s="323"/>
      <c r="L45" s="323">
        <v>40617</v>
      </c>
      <c r="M45" s="323"/>
      <c r="N45" s="323">
        <v>40617</v>
      </c>
      <c r="O45" s="323"/>
      <c r="P45" s="323">
        <v>40617</v>
      </c>
      <c r="Q45" s="323"/>
      <c r="R45" s="323">
        <v>40617</v>
      </c>
      <c r="S45" s="296"/>
      <c r="T45" s="296"/>
      <c r="U45" s="290"/>
      <c r="V45" s="290"/>
      <c r="W45" s="291"/>
      <c r="X45" s="5"/>
    </row>
    <row r="46" spans="1:24" ht="15.6" x14ac:dyDescent="0.3">
      <c r="A46" s="287"/>
      <c r="B46" s="288" t="s">
        <v>15</v>
      </c>
      <c r="C46" s="288"/>
      <c r="D46" s="323">
        <v>40983</v>
      </c>
      <c r="E46" s="323"/>
      <c r="F46" s="323">
        <v>40983</v>
      </c>
      <c r="G46" s="323"/>
      <c r="H46" s="323">
        <v>40983</v>
      </c>
      <c r="I46" s="323"/>
      <c r="J46" s="323">
        <v>40983</v>
      </c>
      <c r="K46" s="296"/>
      <c r="L46" s="323">
        <v>40983</v>
      </c>
      <c r="M46" s="296"/>
      <c r="N46" s="323">
        <v>40983</v>
      </c>
      <c r="O46" s="296"/>
      <c r="P46" s="323">
        <v>40983</v>
      </c>
      <c r="Q46" s="296"/>
      <c r="R46" s="323">
        <v>40983</v>
      </c>
      <c r="S46" s="296"/>
      <c r="T46" s="296"/>
      <c r="U46" s="290"/>
      <c r="V46" s="290"/>
      <c r="W46" s="291"/>
      <c r="X46" s="5"/>
    </row>
    <row r="47" spans="1:24" ht="15.6" x14ac:dyDescent="0.3">
      <c r="A47" s="287"/>
      <c r="B47" s="288" t="s">
        <v>119</v>
      </c>
      <c r="C47" s="288"/>
      <c r="D47" s="296" t="s">
        <v>231</v>
      </c>
      <c r="E47" s="288"/>
      <c r="F47" s="296" t="s">
        <v>231</v>
      </c>
      <c r="G47" s="296"/>
      <c r="H47" s="296" t="s">
        <v>231</v>
      </c>
      <c r="I47" s="296"/>
      <c r="J47" s="296" t="s">
        <v>231</v>
      </c>
      <c r="K47" s="296"/>
      <c r="L47" s="296" t="s">
        <v>265</v>
      </c>
      <c r="M47" s="296"/>
      <c r="N47" s="296" t="s">
        <v>265</v>
      </c>
      <c r="O47" s="296"/>
      <c r="P47" s="296" t="s">
        <v>266</v>
      </c>
      <c r="Q47" s="296"/>
      <c r="R47" s="296" t="s">
        <v>266</v>
      </c>
      <c r="S47" s="325"/>
      <c r="T47" s="325"/>
      <c r="U47" s="325"/>
      <c r="V47" s="325"/>
      <c r="W47" s="291"/>
      <c r="X47" s="5"/>
    </row>
    <row r="48" spans="1:24" ht="15.6" x14ac:dyDescent="0.3">
      <c r="A48" s="287"/>
      <c r="B48" s="288" t="s">
        <v>302</v>
      </c>
      <c r="C48" s="288"/>
      <c r="D48" s="296" t="s">
        <v>325</v>
      </c>
      <c r="E48" s="288"/>
      <c r="F48" s="296" t="s">
        <v>231</v>
      </c>
      <c r="G48" s="296"/>
      <c r="H48" s="296" t="s">
        <v>262</v>
      </c>
      <c r="I48" s="296"/>
      <c r="J48" s="296" t="s">
        <v>263</v>
      </c>
      <c r="K48" s="296"/>
      <c r="L48" s="296" t="s">
        <v>265</v>
      </c>
      <c r="M48" s="296"/>
      <c r="N48" s="296" t="s">
        <v>234</v>
      </c>
      <c r="O48" s="296"/>
      <c r="P48" s="296" t="s">
        <v>266</v>
      </c>
      <c r="Q48" s="296"/>
      <c r="R48" s="296" t="s">
        <v>264</v>
      </c>
      <c r="S48" s="288"/>
      <c r="T48" s="288"/>
      <c r="U48" s="288"/>
      <c r="V48" s="321"/>
      <c r="W48" s="291"/>
      <c r="X48" s="5"/>
    </row>
    <row r="49" spans="1:25" ht="15.6" x14ac:dyDescent="0.3">
      <c r="A49" s="287"/>
      <c r="B49" s="288"/>
      <c r="C49" s="288"/>
      <c r="D49" s="296"/>
      <c r="E49" s="288"/>
      <c r="F49" s="296"/>
      <c r="G49" s="296"/>
      <c r="H49" s="296"/>
      <c r="I49" s="296"/>
      <c r="J49" s="296"/>
      <c r="K49" s="296"/>
      <c r="L49" s="296"/>
      <c r="M49" s="296"/>
      <c r="N49" s="296"/>
      <c r="O49" s="296"/>
      <c r="P49" s="296"/>
      <c r="Q49" s="296"/>
      <c r="R49" s="296"/>
      <c r="S49" s="288"/>
      <c r="T49" s="288"/>
      <c r="U49" s="288"/>
      <c r="V49" s="321" t="s">
        <v>193</v>
      </c>
      <c r="W49" s="291"/>
      <c r="X49" s="5"/>
    </row>
    <row r="50" spans="1:25" ht="15.6" x14ac:dyDescent="0.3">
      <c r="A50" s="287"/>
      <c r="B50" s="288" t="s">
        <v>169</v>
      </c>
      <c r="C50" s="288"/>
      <c r="D50" s="296"/>
      <c r="E50" s="288"/>
      <c r="F50" s="296"/>
      <c r="G50" s="296"/>
      <c r="H50" s="296"/>
      <c r="I50" s="296"/>
      <c r="J50" s="296"/>
      <c r="K50" s="296"/>
      <c r="L50" s="296"/>
      <c r="M50" s="296"/>
      <c r="N50" s="296"/>
      <c r="O50" s="296"/>
      <c r="P50" s="296"/>
      <c r="Q50" s="296"/>
      <c r="R50" s="296"/>
      <c r="S50" s="288"/>
      <c r="T50" s="288"/>
      <c r="U50" s="288"/>
      <c r="V50" s="321">
        <f>SUM(L34:R34)/SUM(D34:J34)</f>
        <v>0.17663090364375009</v>
      </c>
      <c r="W50" s="291"/>
      <c r="X50" s="5"/>
    </row>
    <row r="51" spans="1:25" ht="15.6" x14ac:dyDescent="0.3">
      <c r="A51" s="287"/>
      <c r="B51" s="288" t="s">
        <v>170</v>
      </c>
      <c r="C51" s="288"/>
      <c r="D51" s="288"/>
      <c r="E51" s="288"/>
      <c r="F51" s="326"/>
      <c r="G51" s="288"/>
      <c r="H51" s="288"/>
      <c r="I51" s="288"/>
      <c r="J51" s="288"/>
      <c r="K51" s="288"/>
      <c r="L51" s="288"/>
      <c r="M51" s="288"/>
      <c r="N51" s="288"/>
      <c r="O51" s="288"/>
      <c r="P51" s="288"/>
      <c r="Q51" s="288"/>
      <c r="R51" s="288"/>
      <c r="S51" s="288"/>
      <c r="T51" s="288"/>
      <c r="U51" s="288"/>
      <c r="V51" s="321">
        <f>SUM(L36:R36)/SUM(D36:J36)</f>
        <v>0.30926705629753304</v>
      </c>
      <c r="W51" s="291"/>
      <c r="X51" s="5"/>
    </row>
    <row r="52" spans="1:25" ht="15.6" x14ac:dyDescent="0.3">
      <c r="A52" s="287"/>
      <c r="B52" s="288" t="s">
        <v>171</v>
      </c>
      <c r="C52" s="288"/>
      <c r="D52" s="288"/>
      <c r="E52" s="288"/>
      <c r="F52" s="288"/>
      <c r="G52" s="288"/>
      <c r="H52" s="288"/>
      <c r="I52" s="288"/>
      <c r="J52" s="288"/>
      <c r="K52" s="288"/>
      <c r="L52" s="288"/>
      <c r="M52" s="288"/>
      <c r="N52" s="288"/>
      <c r="O52" s="288"/>
      <c r="P52" s="288"/>
      <c r="Q52" s="288"/>
      <c r="R52" s="288"/>
      <c r="S52" s="288"/>
      <c r="T52" s="296"/>
      <c r="U52" s="296"/>
      <c r="V52" s="299" t="s">
        <v>276</v>
      </c>
      <c r="W52" s="291"/>
      <c r="X52" s="5"/>
    </row>
    <row r="53" spans="1:25" ht="15.6" x14ac:dyDescent="0.3">
      <c r="A53" s="287"/>
      <c r="B53" s="288"/>
      <c r="C53" s="288"/>
      <c r="D53" s="288"/>
      <c r="E53" s="288"/>
      <c r="F53" s="288"/>
      <c r="G53" s="288"/>
      <c r="H53" s="288"/>
      <c r="I53" s="288"/>
      <c r="J53" s="288"/>
      <c r="K53" s="288"/>
      <c r="L53" s="288"/>
      <c r="M53" s="288"/>
      <c r="N53" s="288"/>
      <c r="O53" s="288"/>
      <c r="P53" s="288"/>
      <c r="Q53" s="288"/>
      <c r="R53" s="288"/>
      <c r="S53" s="288"/>
      <c r="T53" s="288"/>
      <c r="U53" s="288"/>
      <c r="V53" s="327"/>
      <c r="W53" s="291"/>
      <c r="X53" s="5"/>
    </row>
    <row r="54" spans="1:25" ht="15.6" x14ac:dyDescent="0.3">
      <c r="A54" s="287"/>
      <c r="B54" s="288" t="s">
        <v>202</v>
      </c>
      <c r="C54" s="288"/>
      <c r="D54" s="288"/>
      <c r="E54" s="288"/>
      <c r="F54" s="288"/>
      <c r="G54" s="288"/>
      <c r="H54" s="288"/>
      <c r="I54" s="288"/>
      <c r="J54" s="288"/>
      <c r="K54" s="288"/>
      <c r="L54" s="288"/>
      <c r="M54" s="288"/>
      <c r="N54" s="288"/>
      <c r="O54" s="288"/>
      <c r="P54" s="288"/>
      <c r="Q54" s="288"/>
      <c r="R54" s="288"/>
      <c r="S54" s="288"/>
      <c r="T54" s="288"/>
      <c r="U54" s="288"/>
      <c r="V54" s="328" t="s">
        <v>203</v>
      </c>
      <c r="W54" s="291"/>
      <c r="X54" s="5"/>
    </row>
    <row r="55" spans="1:25" ht="15.6" x14ac:dyDescent="0.3">
      <c r="A55" s="287"/>
      <c r="B55" s="288" t="s">
        <v>280</v>
      </c>
      <c r="C55" s="288"/>
      <c r="D55" s="288"/>
      <c r="E55" s="288"/>
      <c r="F55" s="288"/>
      <c r="G55" s="288"/>
      <c r="H55" s="288"/>
      <c r="I55" s="288"/>
      <c r="J55" s="288"/>
      <c r="K55" s="288"/>
      <c r="L55" s="288"/>
      <c r="M55" s="288"/>
      <c r="N55" s="288"/>
      <c r="O55" s="288"/>
      <c r="P55" s="288"/>
      <c r="Q55" s="288"/>
      <c r="R55" s="288"/>
      <c r="S55" s="288"/>
      <c r="T55" s="296"/>
      <c r="U55" s="296"/>
      <c r="V55" s="329" t="s">
        <v>111</v>
      </c>
      <c r="W55" s="291"/>
      <c r="X55" s="5"/>
    </row>
    <row r="56" spans="1:25" ht="15.6" x14ac:dyDescent="0.3">
      <c r="A56" s="287"/>
      <c r="B56" s="295" t="s">
        <v>201</v>
      </c>
      <c r="C56" s="295"/>
      <c r="D56" s="295"/>
      <c r="E56" s="295"/>
      <c r="F56" s="295"/>
      <c r="G56" s="295"/>
      <c r="H56" s="295"/>
      <c r="I56" s="295"/>
      <c r="J56" s="295"/>
      <c r="K56" s="295"/>
      <c r="L56" s="295"/>
      <c r="M56" s="295"/>
      <c r="N56" s="295"/>
      <c r="O56" s="295"/>
      <c r="P56" s="295"/>
      <c r="Q56" s="295"/>
      <c r="R56" s="295"/>
      <c r="S56" s="295"/>
      <c r="T56" s="330"/>
      <c r="U56" s="330"/>
      <c r="V56" s="331">
        <v>42536</v>
      </c>
      <c r="W56" s="291"/>
      <c r="X56" s="5"/>
    </row>
    <row r="57" spans="1:25" ht="15.6" x14ac:dyDescent="0.3">
      <c r="A57" s="287"/>
      <c r="B57" s="288" t="s">
        <v>121</v>
      </c>
      <c r="C57" s="288"/>
      <c r="D57" s="288"/>
      <c r="E57" s="288"/>
      <c r="F57" s="288"/>
      <c r="G57" s="288"/>
      <c r="H57" s="332"/>
      <c r="I57" s="332"/>
      <c r="J57" s="332"/>
      <c r="K57" s="332"/>
      <c r="L57" s="332"/>
      <c r="M57" s="332"/>
      <c r="N57" s="332"/>
      <c r="O57" s="332"/>
      <c r="P57" s="332"/>
      <c r="Q57" s="332"/>
      <c r="R57" s="288">
        <f>+V57-T57+1</f>
        <v>91</v>
      </c>
      <c r="S57" s="332"/>
      <c r="T57" s="333">
        <v>42353</v>
      </c>
      <c r="U57" s="334"/>
      <c r="V57" s="333">
        <v>42443</v>
      </c>
      <c r="W57" s="291"/>
      <c r="X57" s="5"/>
    </row>
    <row r="58" spans="1:25" ht="15.6" x14ac:dyDescent="0.3">
      <c r="A58" s="287"/>
      <c r="B58" s="288" t="s">
        <v>122</v>
      </c>
      <c r="C58" s="288"/>
      <c r="D58" s="288"/>
      <c r="E58" s="288"/>
      <c r="F58" s="288"/>
      <c r="G58" s="288"/>
      <c r="H58" s="288"/>
      <c r="I58" s="288"/>
      <c r="J58" s="288"/>
      <c r="K58" s="288"/>
      <c r="L58" s="288"/>
      <c r="M58" s="288"/>
      <c r="N58" s="288"/>
      <c r="O58" s="288"/>
      <c r="P58" s="288"/>
      <c r="Q58" s="288"/>
      <c r="R58" s="288">
        <f>+V58-T58+1</f>
        <v>92</v>
      </c>
      <c r="S58" s="288"/>
      <c r="T58" s="333">
        <v>42444</v>
      </c>
      <c r="U58" s="334"/>
      <c r="V58" s="333">
        <v>42535</v>
      </c>
      <c r="W58" s="291"/>
      <c r="X58" s="5"/>
    </row>
    <row r="59" spans="1:25" ht="15.6" x14ac:dyDescent="0.3">
      <c r="A59" s="287"/>
      <c r="B59" s="288" t="s">
        <v>229</v>
      </c>
      <c r="C59" s="288"/>
      <c r="D59" s="288"/>
      <c r="E59" s="288"/>
      <c r="F59" s="288"/>
      <c r="G59" s="288"/>
      <c r="H59" s="288"/>
      <c r="I59" s="288"/>
      <c r="J59" s="288"/>
      <c r="K59" s="288"/>
      <c r="L59" s="288"/>
      <c r="M59" s="288"/>
      <c r="N59" s="288"/>
      <c r="O59" s="288"/>
      <c r="P59" s="288"/>
      <c r="Q59" s="288"/>
      <c r="R59" s="288"/>
      <c r="S59" s="288"/>
      <c r="T59" s="333"/>
      <c r="U59" s="334"/>
      <c r="V59" s="333" t="s">
        <v>120</v>
      </c>
      <c r="W59" s="291"/>
      <c r="X59" s="5"/>
    </row>
    <row r="60" spans="1:25" ht="15.6" x14ac:dyDescent="0.3">
      <c r="A60" s="287"/>
      <c r="B60" s="288" t="s">
        <v>228</v>
      </c>
      <c r="C60" s="288"/>
      <c r="D60" s="288"/>
      <c r="E60" s="288"/>
      <c r="F60" s="288"/>
      <c r="G60" s="288"/>
      <c r="H60" s="288"/>
      <c r="I60" s="288"/>
      <c r="J60" s="288"/>
      <c r="K60" s="288"/>
      <c r="L60" s="288"/>
      <c r="M60" s="288"/>
      <c r="N60" s="288"/>
      <c r="O60" s="288"/>
      <c r="P60" s="288"/>
      <c r="Q60" s="288"/>
      <c r="R60" s="288"/>
      <c r="S60" s="288"/>
      <c r="T60" s="333"/>
      <c r="U60" s="334"/>
      <c r="V60" s="333" t="s">
        <v>154</v>
      </c>
      <c r="W60" s="291"/>
      <c r="X60" s="5"/>
      <c r="Y60" s="134"/>
    </row>
    <row r="61" spans="1:25" ht="15.6" x14ac:dyDescent="0.3">
      <c r="A61" s="287"/>
      <c r="B61" s="288" t="s">
        <v>16</v>
      </c>
      <c r="C61" s="288"/>
      <c r="D61" s="288"/>
      <c r="E61" s="288"/>
      <c r="F61" s="288"/>
      <c r="G61" s="288"/>
      <c r="H61" s="288"/>
      <c r="I61" s="288"/>
      <c r="J61" s="288"/>
      <c r="K61" s="288"/>
      <c r="L61" s="288"/>
      <c r="M61" s="288"/>
      <c r="N61" s="288"/>
      <c r="O61" s="288"/>
      <c r="P61" s="288"/>
      <c r="Q61" s="288"/>
      <c r="R61" s="288"/>
      <c r="S61" s="288"/>
      <c r="T61" s="333"/>
      <c r="U61" s="334"/>
      <c r="V61" s="333">
        <v>42522</v>
      </c>
      <c r="W61" s="291"/>
      <c r="X61" s="5"/>
    </row>
    <row r="62" spans="1:25" ht="15.6" x14ac:dyDescent="0.3">
      <c r="A62" s="183"/>
      <c r="B62" s="284"/>
      <c r="C62" s="284"/>
      <c r="D62" s="284"/>
      <c r="E62" s="284"/>
      <c r="F62" s="284"/>
      <c r="G62" s="284"/>
      <c r="H62" s="284"/>
      <c r="I62" s="284"/>
      <c r="J62" s="284"/>
      <c r="K62" s="284"/>
      <c r="L62" s="284"/>
      <c r="M62" s="284"/>
      <c r="N62" s="284"/>
      <c r="O62" s="284"/>
      <c r="P62" s="284"/>
      <c r="Q62" s="284"/>
      <c r="R62" s="284"/>
      <c r="S62" s="284"/>
      <c r="T62" s="285"/>
      <c r="U62" s="286"/>
      <c r="V62" s="285"/>
      <c r="W62" s="284"/>
      <c r="X62" s="5"/>
    </row>
    <row r="63" spans="1:25" ht="15.6" x14ac:dyDescent="0.3">
      <c r="A63" s="183"/>
      <c r="B63" s="224"/>
      <c r="C63" s="224"/>
      <c r="D63" s="224"/>
      <c r="E63" s="224"/>
      <c r="F63" s="224"/>
      <c r="G63" s="224"/>
      <c r="H63" s="224"/>
      <c r="I63" s="224"/>
      <c r="J63" s="224"/>
      <c r="K63" s="224"/>
      <c r="L63" s="224"/>
      <c r="M63" s="224"/>
      <c r="N63" s="224"/>
      <c r="O63" s="224"/>
      <c r="P63" s="224"/>
      <c r="Q63" s="224"/>
      <c r="R63" s="224"/>
      <c r="S63" s="224"/>
      <c r="T63" s="235"/>
      <c r="U63" s="236"/>
      <c r="V63" s="235"/>
      <c r="W63" s="224"/>
      <c r="X63" s="5"/>
    </row>
    <row r="64" spans="1:25" ht="18" thickBot="1" x14ac:dyDescent="0.35">
      <c r="A64" s="199"/>
      <c r="B64" s="237" t="s">
        <v>355</v>
      </c>
      <c r="C64" s="238"/>
      <c r="D64" s="238"/>
      <c r="E64" s="238"/>
      <c r="F64" s="238"/>
      <c r="G64" s="238"/>
      <c r="H64" s="238"/>
      <c r="I64" s="238"/>
      <c r="J64" s="238"/>
      <c r="K64" s="238"/>
      <c r="L64" s="238"/>
      <c r="M64" s="238"/>
      <c r="N64" s="238"/>
      <c r="O64" s="238"/>
      <c r="P64" s="238"/>
      <c r="Q64" s="238"/>
      <c r="R64" s="238"/>
      <c r="S64" s="238"/>
      <c r="T64" s="238"/>
      <c r="U64" s="238"/>
      <c r="V64" s="239"/>
      <c r="W64" s="240"/>
      <c r="X64" s="5"/>
    </row>
    <row r="65" spans="1:24" ht="15.6" x14ac:dyDescent="0.3">
      <c r="A65" s="262"/>
      <c r="B65" s="399" t="s">
        <v>17</v>
      </c>
      <c r="C65" s="263"/>
      <c r="D65" s="263"/>
      <c r="E65" s="263"/>
      <c r="F65" s="263"/>
      <c r="G65" s="263"/>
      <c r="H65" s="263"/>
      <c r="I65" s="263"/>
      <c r="J65" s="263"/>
      <c r="K65" s="263"/>
      <c r="L65" s="263"/>
      <c r="M65" s="263"/>
      <c r="N65" s="263"/>
      <c r="O65" s="263"/>
      <c r="P65" s="263"/>
      <c r="Q65" s="263"/>
      <c r="R65" s="263"/>
      <c r="S65" s="263"/>
      <c r="T65" s="263"/>
      <c r="U65" s="263"/>
      <c r="V65" s="268"/>
      <c r="W65" s="263"/>
      <c r="X65" s="5"/>
    </row>
    <row r="66" spans="1:24" ht="15.6" x14ac:dyDescent="0.3">
      <c r="A66" s="183"/>
      <c r="B66" s="191"/>
      <c r="C66" s="185"/>
      <c r="D66" s="185"/>
      <c r="E66" s="185"/>
      <c r="F66" s="185"/>
      <c r="G66" s="185"/>
      <c r="H66" s="185"/>
      <c r="I66" s="185"/>
      <c r="J66" s="185"/>
      <c r="K66" s="185"/>
      <c r="L66" s="185"/>
      <c r="M66" s="185"/>
      <c r="N66" s="185"/>
      <c r="O66" s="185"/>
      <c r="P66" s="185"/>
      <c r="Q66" s="185"/>
      <c r="R66" s="185"/>
      <c r="S66" s="185"/>
      <c r="T66" s="185"/>
      <c r="U66" s="185"/>
      <c r="V66" s="201"/>
      <c r="W66" s="185"/>
      <c r="X66" s="5"/>
    </row>
    <row r="67" spans="1:24" ht="46.8" x14ac:dyDescent="0.3">
      <c r="A67" s="183"/>
      <c r="B67" s="202" t="s">
        <v>18</v>
      </c>
      <c r="C67" s="203"/>
      <c r="D67" s="203"/>
      <c r="E67" s="203"/>
      <c r="F67" s="203"/>
      <c r="G67" s="203"/>
      <c r="H67" s="203"/>
      <c r="I67" s="203"/>
      <c r="J67" s="203"/>
      <c r="K67" s="203"/>
      <c r="L67" s="203" t="s">
        <v>94</v>
      </c>
      <c r="M67" s="203"/>
      <c r="N67" s="203" t="s">
        <v>96</v>
      </c>
      <c r="O67" s="203"/>
      <c r="P67" s="203" t="s">
        <v>98</v>
      </c>
      <c r="Q67" s="203"/>
      <c r="R67" s="203" t="s">
        <v>100</v>
      </c>
      <c r="S67" s="203"/>
      <c r="T67" s="203" t="s">
        <v>106</v>
      </c>
      <c r="U67" s="203"/>
      <c r="V67" s="204" t="s">
        <v>112</v>
      </c>
      <c r="W67" s="205"/>
      <c r="X67" s="5"/>
    </row>
    <row r="68" spans="1:24" ht="15.6" x14ac:dyDescent="0.3">
      <c r="A68" s="287"/>
      <c r="B68" s="288" t="s">
        <v>19</v>
      </c>
      <c r="C68" s="337"/>
      <c r="D68" s="337"/>
      <c r="E68" s="337"/>
      <c r="F68" s="337"/>
      <c r="G68" s="337"/>
      <c r="H68" s="337"/>
      <c r="I68" s="337"/>
      <c r="J68" s="337"/>
      <c r="K68" s="337"/>
      <c r="L68" s="337">
        <v>1158015</v>
      </c>
      <c r="M68" s="337"/>
      <c r="N68" s="338">
        <v>974774</v>
      </c>
      <c r="O68" s="337"/>
      <c r="P68" s="337">
        <f>21337+398+157</f>
        <v>21892</v>
      </c>
      <c r="Q68" s="337"/>
      <c r="R68" s="337">
        <f>398+157</f>
        <v>555</v>
      </c>
      <c r="S68" s="337"/>
      <c r="T68" s="337">
        <v>0</v>
      </c>
      <c r="U68" s="337"/>
      <c r="V68" s="338">
        <f>+N68-P68+R68-T68</f>
        <v>953437</v>
      </c>
      <c r="W68" s="291"/>
      <c r="X68" s="5"/>
    </row>
    <row r="69" spans="1:24" ht="15.6" x14ac:dyDescent="0.3">
      <c r="A69" s="287"/>
      <c r="B69" s="288" t="s">
        <v>20</v>
      </c>
      <c r="C69" s="337"/>
      <c r="D69" s="337"/>
      <c r="E69" s="337"/>
      <c r="F69" s="337"/>
      <c r="G69" s="337"/>
      <c r="H69" s="337"/>
      <c r="I69" s="337"/>
      <c r="J69" s="337"/>
      <c r="K69" s="337"/>
      <c r="L69" s="337">
        <v>15</v>
      </c>
      <c r="M69" s="337"/>
      <c r="N69" s="338">
        <v>0</v>
      </c>
      <c r="O69" s="337"/>
      <c r="P69" s="337">
        <v>0</v>
      </c>
      <c r="Q69" s="337"/>
      <c r="R69" s="337">
        <v>0</v>
      </c>
      <c r="S69" s="337"/>
      <c r="T69" s="337">
        <v>0</v>
      </c>
      <c r="U69" s="337"/>
      <c r="V69" s="338">
        <v>0</v>
      </c>
      <c r="W69" s="291"/>
      <c r="X69" s="5"/>
    </row>
    <row r="70" spans="1:24" ht="15.6" x14ac:dyDescent="0.3">
      <c r="A70" s="287"/>
      <c r="B70" s="288"/>
      <c r="C70" s="337"/>
      <c r="D70" s="337"/>
      <c r="E70" s="337"/>
      <c r="F70" s="337"/>
      <c r="G70" s="337"/>
      <c r="H70" s="337"/>
      <c r="I70" s="337"/>
      <c r="J70" s="337"/>
      <c r="K70" s="337"/>
      <c r="L70" s="337"/>
      <c r="M70" s="337"/>
      <c r="N70" s="338"/>
      <c r="O70" s="337"/>
      <c r="P70" s="337"/>
      <c r="Q70" s="337"/>
      <c r="R70" s="337"/>
      <c r="S70" s="337"/>
      <c r="T70" s="337"/>
      <c r="U70" s="337"/>
      <c r="V70" s="338"/>
      <c r="W70" s="291"/>
      <c r="X70" s="5"/>
    </row>
    <row r="71" spans="1:24" ht="15.6" x14ac:dyDescent="0.3">
      <c r="A71" s="287"/>
      <c r="B71" s="288" t="s">
        <v>21</v>
      </c>
      <c r="C71" s="337"/>
      <c r="D71" s="337"/>
      <c r="E71" s="337"/>
      <c r="F71" s="337"/>
      <c r="G71" s="337"/>
      <c r="H71" s="337"/>
      <c r="I71" s="337"/>
      <c r="J71" s="337"/>
      <c r="K71" s="337"/>
      <c r="L71" s="337">
        <f>SUM(L68:L70)</f>
        <v>1158030</v>
      </c>
      <c r="M71" s="337"/>
      <c r="N71" s="337">
        <f>N68+N69</f>
        <v>974774</v>
      </c>
      <c r="O71" s="337"/>
      <c r="P71" s="337">
        <f>SUM(P68:P70)</f>
        <v>21892</v>
      </c>
      <c r="Q71" s="337"/>
      <c r="R71" s="337">
        <f>SUM(R68:R70)</f>
        <v>555</v>
      </c>
      <c r="S71" s="337"/>
      <c r="T71" s="337">
        <f>SUM(T68:T70)</f>
        <v>0</v>
      </c>
      <c r="U71" s="337"/>
      <c r="V71" s="337">
        <f>SUM(V68:V70)</f>
        <v>953437</v>
      </c>
      <c r="W71" s="291"/>
      <c r="X71" s="5"/>
    </row>
    <row r="72" spans="1:24" ht="15.6" x14ac:dyDescent="0.3">
      <c r="A72" s="183"/>
      <c r="B72" s="198"/>
      <c r="C72" s="335"/>
      <c r="D72" s="335"/>
      <c r="E72" s="335"/>
      <c r="F72" s="335"/>
      <c r="G72" s="335"/>
      <c r="H72" s="335"/>
      <c r="I72" s="335"/>
      <c r="J72" s="335"/>
      <c r="K72" s="335"/>
      <c r="L72" s="335"/>
      <c r="M72" s="335"/>
      <c r="N72" s="335"/>
      <c r="O72" s="335"/>
      <c r="P72" s="335"/>
      <c r="Q72" s="335"/>
      <c r="R72" s="335"/>
      <c r="S72" s="335"/>
      <c r="T72" s="335"/>
      <c r="U72" s="335"/>
      <c r="V72" s="336"/>
      <c r="W72" s="198"/>
      <c r="X72" s="5"/>
    </row>
    <row r="73" spans="1:24" ht="15.6" x14ac:dyDescent="0.3">
      <c r="A73" s="183"/>
      <c r="B73" s="187" t="s">
        <v>22</v>
      </c>
      <c r="C73" s="206"/>
      <c r="D73" s="206"/>
      <c r="E73" s="206"/>
      <c r="F73" s="206"/>
      <c r="G73" s="206"/>
      <c r="H73" s="206"/>
      <c r="I73" s="206"/>
      <c r="J73" s="206"/>
      <c r="K73" s="206"/>
      <c r="L73" s="206"/>
      <c r="M73" s="206"/>
      <c r="N73" s="206"/>
      <c r="O73" s="206"/>
      <c r="P73" s="206"/>
      <c r="Q73" s="206"/>
      <c r="R73" s="206"/>
      <c r="S73" s="206"/>
      <c r="T73" s="206"/>
      <c r="U73" s="206"/>
      <c r="V73" s="207"/>
      <c r="W73" s="185"/>
      <c r="X73" s="5"/>
    </row>
    <row r="74" spans="1:24" ht="15.6" x14ac:dyDescent="0.3">
      <c r="A74" s="183"/>
      <c r="B74" s="185"/>
      <c r="C74" s="206"/>
      <c r="D74" s="206"/>
      <c r="E74" s="206"/>
      <c r="F74" s="206"/>
      <c r="G74" s="206"/>
      <c r="H74" s="206"/>
      <c r="I74" s="206"/>
      <c r="J74" s="206"/>
      <c r="K74" s="206"/>
      <c r="L74" s="206"/>
      <c r="M74" s="206"/>
      <c r="N74" s="206"/>
      <c r="O74" s="206"/>
      <c r="P74" s="206"/>
      <c r="Q74" s="206"/>
      <c r="R74" s="206"/>
      <c r="S74" s="206"/>
      <c r="T74" s="206"/>
      <c r="U74" s="206"/>
      <c r="V74" s="207"/>
      <c r="W74" s="185"/>
      <c r="X74" s="5"/>
    </row>
    <row r="75" spans="1:24" ht="15.6" x14ac:dyDescent="0.3">
      <c r="A75" s="340"/>
      <c r="B75" s="288" t="s">
        <v>19</v>
      </c>
      <c r="C75" s="337"/>
      <c r="D75" s="337"/>
      <c r="E75" s="337"/>
      <c r="F75" s="337"/>
      <c r="G75" s="337"/>
      <c r="H75" s="337"/>
      <c r="I75" s="337"/>
      <c r="J75" s="337"/>
      <c r="K75" s="337"/>
      <c r="L75" s="337"/>
      <c r="M75" s="337"/>
      <c r="N75" s="337"/>
      <c r="O75" s="337"/>
      <c r="P75" s="337"/>
      <c r="Q75" s="337"/>
      <c r="R75" s="337"/>
      <c r="S75" s="337"/>
      <c r="T75" s="337"/>
      <c r="U75" s="337"/>
      <c r="V75" s="337"/>
      <c r="W75" s="291"/>
      <c r="X75" s="5"/>
    </row>
    <row r="76" spans="1:24" ht="15.6" x14ac:dyDescent="0.3">
      <c r="A76" s="340"/>
      <c r="B76" s="288" t="s">
        <v>20</v>
      </c>
      <c r="C76" s="337"/>
      <c r="D76" s="337"/>
      <c r="E76" s="337"/>
      <c r="F76" s="337"/>
      <c r="G76" s="337"/>
      <c r="H76" s="337"/>
      <c r="I76" s="337"/>
      <c r="J76" s="337"/>
      <c r="K76" s="337"/>
      <c r="L76" s="337"/>
      <c r="M76" s="337"/>
      <c r="N76" s="337"/>
      <c r="O76" s="337"/>
      <c r="P76" s="337"/>
      <c r="Q76" s="337"/>
      <c r="R76" s="337"/>
      <c r="S76" s="337"/>
      <c r="T76" s="337"/>
      <c r="U76" s="337"/>
      <c r="V76" s="337"/>
      <c r="W76" s="291"/>
      <c r="X76" s="5"/>
    </row>
    <row r="77" spans="1:24" ht="15.6" x14ac:dyDescent="0.3">
      <c r="A77" s="340"/>
      <c r="B77" s="288"/>
      <c r="C77" s="337"/>
      <c r="D77" s="337"/>
      <c r="E77" s="337"/>
      <c r="F77" s="337"/>
      <c r="G77" s="337"/>
      <c r="H77" s="337"/>
      <c r="I77" s="337"/>
      <c r="J77" s="337"/>
      <c r="K77" s="337"/>
      <c r="L77" s="337"/>
      <c r="M77" s="337"/>
      <c r="N77" s="337"/>
      <c r="O77" s="337"/>
      <c r="P77" s="337"/>
      <c r="Q77" s="337"/>
      <c r="R77" s="337"/>
      <c r="S77" s="337"/>
      <c r="T77" s="337"/>
      <c r="U77" s="337"/>
      <c r="V77" s="337"/>
      <c r="W77" s="291"/>
      <c r="X77" s="5"/>
    </row>
    <row r="78" spans="1:24" ht="15.6" x14ac:dyDescent="0.3">
      <c r="A78" s="340"/>
      <c r="B78" s="288" t="s">
        <v>21</v>
      </c>
      <c r="C78" s="337"/>
      <c r="D78" s="337"/>
      <c r="E78" s="337"/>
      <c r="F78" s="337"/>
      <c r="G78" s="337"/>
      <c r="H78" s="337"/>
      <c r="I78" s="337"/>
      <c r="J78" s="337"/>
      <c r="K78" s="337"/>
      <c r="L78" s="337"/>
      <c r="M78" s="337"/>
      <c r="N78" s="337"/>
      <c r="O78" s="337"/>
      <c r="P78" s="337"/>
      <c r="Q78" s="337"/>
      <c r="R78" s="337"/>
      <c r="S78" s="337"/>
      <c r="T78" s="337"/>
      <c r="U78" s="337"/>
      <c r="V78" s="337"/>
      <c r="W78" s="291"/>
      <c r="X78" s="5"/>
    </row>
    <row r="79" spans="1:24" ht="15.6" x14ac:dyDescent="0.3">
      <c r="A79" s="340"/>
      <c r="B79" s="288"/>
      <c r="C79" s="337"/>
      <c r="D79" s="337"/>
      <c r="E79" s="337"/>
      <c r="F79" s="337"/>
      <c r="G79" s="337"/>
      <c r="H79" s="337"/>
      <c r="I79" s="337"/>
      <c r="J79" s="337"/>
      <c r="K79" s="337"/>
      <c r="L79" s="337"/>
      <c r="M79" s="337"/>
      <c r="N79" s="337"/>
      <c r="O79" s="337"/>
      <c r="P79" s="337"/>
      <c r="Q79" s="337"/>
      <c r="R79" s="337"/>
      <c r="S79" s="337"/>
      <c r="T79" s="337"/>
      <c r="U79" s="337"/>
      <c r="V79" s="337"/>
      <c r="W79" s="291"/>
      <c r="X79" s="5"/>
    </row>
    <row r="80" spans="1:24" ht="15.6" x14ac:dyDescent="0.3">
      <c r="A80" s="340"/>
      <c r="B80" s="288" t="s">
        <v>23</v>
      </c>
      <c r="C80" s="337"/>
      <c r="D80" s="337"/>
      <c r="E80" s="337"/>
      <c r="F80" s="337"/>
      <c r="G80" s="337"/>
      <c r="H80" s="337"/>
      <c r="I80" s="337"/>
      <c r="J80" s="337"/>
      <c r="K80" s="337"/>
      <c r="L80" s="337">
        <v>0</v>
      </c>
      <c r="M80" s="337"/>
      <c r="N80" s="337">
        <v>0</v>
      </c>
      <c r="O80" s="337"/>
      <c r="P80" s="337"/>
      <c r="Q80" s="337"/>
      <c r="R80" s="337"/>
      <c r="S80" s="337"/>
      <c r="T80" s="337"/>
      <c r="U80" s="337"/>
      <c r="V80" s="338">
        <v>0</v>
      </c>
      <c r="W80" s="291"/>
      <c r="X80" s="5"/>
    </row>
    <row r="81" spans="1:24" ht="15.6" x14ac:dyDescent="0.3">
      <c r="A81" s="340"/>
      <c r="B81" s="288" t="s">
        <v>117</v>
      </c>
      <c r="C81" s="337"/>
      <c r="D81" s="337"/>
      <c r="E81" s="337"/>
      <c r="F81" s="337"/>
      <c r="G81" s="337"/>
      <c r="H81" s="337"/>
      <c r="I81" s="337"/>
      <c r="J81" s="337"/>
      <c r="K81" s="337"/>
      <c r="L81" s="337">
        <v>342245</v>
      </c>
      <c r="M81" s="337"/>
      <c r="N81" s="337">
        <v>0</v>
      </c>
      <c r="O81" s="337"/>
      <c r="P81" s="337">
        <v>0</v>
      </c>
      <c r="Q81" s="337"/>
      <c r="R81" s="337"/>
      <c r="S81" s="337"/>
      <c r="T81" s="337"/>
      <c r="U81" s="337"/>
      <c r="V81" s="337">
        <f>SUM(N81:R81)</f>
        <v>0</v>
      </c>
      <c r="W81" s="291"/>
      <c r="X81" s="5"/>
    </row>
    <row r="82" spans="1:24" ht="15.6" x14ac:dyDescent="0.3">
      <c r="A82" s="340"/>
      <c r="B82" s="288"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91"/>
      <c r="X82" s="5"/>
    </row>
    <row r="83" spans="1:24" ht="15.6" x14ac:dyDescent="0.3">
      <c r="A83" s="340"/>
      <c r="B83" s="288" t="s">
        <v>25</v>
      </c>
      <c r="C83" s="337"/>
      <c r="D83" s="337"/>
      <c r="E83" s="337"/>
      <c r="F83" s="337"/>
      <c r="G83" s="337"/>
      <c r="H83" s="337"/>
      <c r="I83" s="337"/>
      <c r="J83" s="337"/>
      <c r="K83" s="337"/>
      <c r="L83" s="337">
        <v>0</v>
      </c>
      <c r="M83" s="337"/>
      <c r="N83" s="337">
        <v>0</v>
      </c>
      <c r="O83" s="337"/>
      <c r="P83" s="337"/>
      <c r="Q83" s="337"/>
      <c r="R83" s="337"/>
      <c r="S83" s="337"/>
      <c r="T83" s="337"/>
      <c r="U83" s="337"/>
      <c r="V83" s="337">
        <v>0</v>
      </c>
      <c r="W83" s="291"/>
      <c r="X83" s="5"/>
    </row>
    <row r="84" spans="1:24" ht="15.6" x14ac:dyDescent="0.3">
      <c r="A84" s="340"/>
      <c r="B84" s="288" t="s">
        <v>26</v>
      </c>
      <c r="C84" s="337"/>
      <c r="D84" s="337"/>
      <c r="E84" s="337"/>
      <c r="F84" s="337"/>
      <c r="G84" s="337"/>
      <c r="H84" s="337"/>
      <c r="I84" s="337"/>
      <c r="J84" s="337"/>
      <c r="K84" s="337"/>
      <c r="L84" s="337">
        <f>SUM(L71:L83)</f>
        <v>1500275</v>
      </c>
      <c r="M84" s="337"/>
      <c r="N84" s="337">
        <f>SUM(N71:N83)</f>
        <v>974774</v>
      </c>
      <c r="O84" s="337"/>
      <c r="P84" s="337"/>
      <c r="Q84" s="337"/>
      <c r="R84" s="337"/>
      <c r="S84" s="337"/>
      <c r="T84" s="337"/>
      <c r="U84" s="337"/>
      <c r="V84" s="337">
        <f>SUM(V71:V83)</f>
        <v>953437</v>
      </c>
      <c r="W84" s="291"/>
      <c r="X84" s="5"/>
    </row>
    <row r="85" spans="1:24" ht="15.6" x14ac:dyDescent="0.3">
      <c r="A85" s="243"/>
      <c r="B85" s="284"/>
      <c r="C85" s="339"/>
      <c r="D85" s="339"/>
      <c r="E85" s="339"/>
      <c r="F85" s="339"/>
      <c r="G85" s="339"/>
      <c r="H85" s="339"/>
      <c r="I85" s="339"/>
      <c r="J85" s="339"/>
      <c r="K85" s="339"/>
      <c r="L85" s="339"/>
      <c r="M85" s="339"/>
      <c r="N85" s="339"/>
      <c r="O85" s="339"/>
      <c r="P85" s="339"/>
      <c r="Q85" s="339"/>
      <c r="R85" s="339"/>
      <c r="S85" s="339"/>
      <c r="T85" s="339"/>
      <c r="U85" s="339"/>
      <c r="V85" s="339"/>
      <c r="W85" s="284"/>
      <c r="X85" s="5"/>
    </row>
    <row r="86" spans="1:24" ht="15.6" x14ac:dyDescent="0.3">
      <c r="A86" s="243"/>
      <c r="B86" s="224"/>
      <c r="C86" s="224"/>
      <c r="D86" s="224"/>
      <c r="E86" s="224"/>
      <c r="F86" s="224"/>
      <c r="G86" s="224"/>
      <c r="H86" s="224"/>
      <c r="I86" s="224"/>
      <c r="J86" s="224"/>
      <c r="K86" s="224"/>
      <c r="L86" s="224"/>
      <c r="M86" s="224"/>
      <c r="N86" s="224"/>
      <c r="O86" s="224"/>
      <c r="P86" s="224"/>
      <c r="Q86" s="224"/>
      <c r="R86" s="224"/>
      <c r="S86" s="224"/>
      <c r="T86" s="224"/>
      <c r="U86" s="224"/>
      <c r="V86" s="224"/>
      <c r="W86" s="224"/>
      <c r="X86" s="5"/>
    </row>
    <row r="87" spans="1:24" ht="15.6" x14ac:dyDescent="0.3">
      <c r="A87" s="262"/>
      <c r="B87" s="399" t="s">
        <v>27</v>
      </c>
      <c r="C87" s="399"/>
      <c r="D87" s="399"/>
      <c r="E87" s="399"/>
      <c r="F87" s="399"/>
      <c r="G87" s="399"/>
      <c r="H87" s="400"/>
      <c r="I87" s="400"/>
      <c r="J87" s="400"/>
      <c r="K87" s="400"/>
      <c r="L87" s="401" t="s">
        <v>95</v>
      </c>
      <c r="M87" s="400"/>
      <c r="N87" s="402">
        <f>+T205</f>
        <v>42521</v>
      </c>
      <c r="O87" s="400"/>
      <c r="P87" s="400"/>
      <c r="Q87" s="400"/>
      <c r="R87" s="400"/>
      <c r="S87" s="400"/>
      <c r="T87" s="400" t="s">
        <v>107</v>
      </c>
      <c r="U87" s="400"/>
      <c r="V87" s="400" t="s">
        <v>113</v>
      </c>
      <c r="W87" s="263"/>
      <c r="X87" s="5"/>
    </row>
    <row r="88" spans="1:24" ht="15.6" x14ac:dyDescent="0.3">
      <c r="A88" s="242"/>
      <c r="B88" s="231" t="s">
        <v>28</v>
      </c>
      <c r="C88" s="231"/>
      <c r="D88" s="231"/>
      <c r="E88" s="231"/>
      <c r="F88" s="231"/>
      <c r="G88" s="231"/>
      <c r="H88" s="231"/>
      <c r="I88" s="231"/>
      <c r="J88" s="231"/>
      <c r="K88" s="231"/>
      <c r="L88" s="231"/>
      <c r="M88" s="231"/>
      <c r="N88" s="231"/>
      <c r="O88" s="231"/>
      <c r="P88" s="231"/>
      <c r="Q88" s="231"/>
      <c r="R88" s="231"/>
      <c r="S88" s="231"/>
      <c r="T88" s="234">
        <v>0</v>
      </c>
      <c r="U88" s="231"/>
      <c r="V88" s="241">
        <v>0</v>
      </c>
      <c r="W88" s="231"/>
      <c r="X88" s="5"/>
    </row>
    <row r="89" spans="1:24" ht="15.6" x14ac:dyDescent="0.3">
      <c r="A89" s="340"/>
      <c r="B89" s="288" t="s">
        <v>29</v>
      </c>
      <c r="C89" s="288"/>
      <c r="D89" s="288"/>
      <c r="E89" s="288"/>
      <c r="F89" s="288"/>
      <c r="G89" s="288"/>
      <c r="H89" s="325"/>
      <c r="I89" s="325"/>
      <c r="J89" s="325"/>
      <c r="K89" s="341"/>
      <c r="L89" s="325"/>
      <c r="M89" s="288"/>
      <c r="N89" s="342"/>
      <c r="O89" s="288"/>
      <c r="P89" s="288"/>
      <c r="Q89" s="288"/>
      <c r="R89" s="288"/>
      <c r="S89" s="288"/>
      <c r="T89" s="337">
        <f>21892-84</f>
        <v>21808</v>
      </c>
      <c r="U89" s="288"/>
      <c r="V89" s="338"/>
      <c r="W89" s="291"/>
      <c r="X89" s="5"/>
    </row>
    <row r="90" spans="1:24" ht="15.6" x14ac:dyDescent="0.3">
      <c r="A90" s="340"/>
      <c r="B90" s="288" t="s">
        <v>216</v>
      </c>
      <c r="C90" s="288"/>
      <c r="D90" s="288"/>
      <c r="E90" s="288"/>
      <c r="F90" s="288"/>
      <c r="G90" s="288"/>
      <c r="H90" s="325"/>
      <c r="I90" s="325"/>
      <c r="J90" s="325"/>
      <c r="K90" s="341"/>
      <c r="L90" s="325"/>
      <c r="M90" s="288"/>
      <c r="N90" s="342"/>
      <c r="O90" s="288"/>
      <c r="P90" s="288"/>
      <c r="Q90" s="288"/>
      <c r="R90" s="288"/>
      <c r="S90" s="288"/>
      <c r="T90" s="337"/>
      <c r="U90" s="288"/>
      <c r="V90" s="338">
        <f>3556+4629-800-1519</f>
        <v>5866</v>
      </c>
      <c r="W90" s="291"/>
      <c r="X90" s="5"/>
    </row>
    <row r="91" spans="1:24" ht="15.6" x14ac:dyDescent="0.3">
      <c r="A91" s="340"/>
      <c r="B91" s="288" t="s">
        <v>211</v>
      </c>
      <c r="C91" s="288"/>
      <c r="D91" s="288"/>
      <c r="E91" s="288"/>
      <c r="F91" s="288"/>
      <c r="G91" s="288"/>
      <c r="H91" s="325"/>
      <c r="I91" s="325"/>
      <c r="J91" s="325"/>
      <c r="K91" s="341"/>
      <c r="L91" s="325"/>
      <c r="M91" s="288"/>
      <c r="N91" s="342"/>
      <c r="O91" s="288"/>
      <c r="P91" s="288"/>
      <c r="Q91" s="288"/>
      <c r="R91" s="288"/>
      <c r="S91" s="288"/>
      <c r="T91" s="337"/>
      <c r="U91" s="288"/>
      <c r="V91" s="338">
        <f>69+101</f>
        <v>170</v>
      </c>
      <c r="W91" s="291"/>
      <c r="X91" s="5"/>
    </row>
    <row r="92" spans="1:24" ht="15.6" x14ac:dyDescent="0.3">
      <c r="A92" s="340"/>
      <c r="B92" s="288" t="s">
        <v>212</v>
      </c>
      <c r="C92" s="288"/>
      <c r="D92" s="288"/>
      <c r="E92" s="288"/>
      <c r="F92" s="288"/>
      <c r="G92" s="288"/>
      <c r="H92" s="325"/>
      <c r="I92" s="325"/>
      <c r="J92" s="325"/>
      <c r="K92" s="341"/>
      <c r="L92" s="325"/>
      <c r="M92" s="288"/>
      <c r="N92" s="342"/>
      <c r="O92" s="288"/>
      <c r="P92" s="288"/>
      <c r="Q92" s="288"/>
      <c r="R92" s="288"/>
      <c r="S92" s="288"/>
      <c r="T92" s="337"/>
      <c r="U92" s="288"/>
      <c r="V92" s="338">
        <v>55</v>
      </c>
      <c r="W92" s="291"/>
      <c r="X92" s="5"/>
    </row>
    <row r="93" spans="1:24" ht="15.6" x14ac:dyDescent="0.3">
      <c r="A93" s="340"/>
      <c r="B93" s="288" t="s">
        <v>272</v>
      </c>
      <c r="C93" s="288"/>
      <c r="D93" s="288"/>
      <c r="E93" s="288"/>
      <c r="F93" s="288"/>
      <c r="G93" s="288"/>
      <c r="H93" s="325"/>
      <c r="I93" s="325"/>
      <c r="J93" s="325"/>
      <c r="K93" s="341"/>
      <c r="L93" s="325"/>
      <c r="M93" s="288"/>
      <c r="N93" s="342"/>
      <c r="O93" s="288"/>
      <c r="P93" s="288"/>
      <c r="Q93" s="288"/>
      <c r="R93" s="288"/>
      <c r="S93" s="288"/>
      <c r="T93" s="337"/>
      <c r="U93" s="288"/>
      <c r="V93" s="338">
        <v>0</v>
      </c>
      <c r="W93" s="291"/>
      <c r="X93" s="5"/>
    </row>
    <row r="94" spans="1:24" ht="15.6" x14ac:dyDescent="0.3">
      <c r="A94" s="340"/>
      <c r="B94" s="288" t="s">
        <v>274</v>
      </c>
      <c r="C94" s="288"/>
      <c r="D94" s="288"/>
      <c r="E94" s="288"/>
      <c r="F94" s="288"/>
      <c r="G94" s="288"/>
      <c r="H94" s="325"/>
      <c r="I94" s="325"/>
      <c r="J94" s="325"/>
      <c r="K94" s="341"/>
      <c r="L94" s="325"/>
      <c r="M94" s="288"/>
      <c r="N94" s="342"/>
      <c r="O94" s="288"/>
      <c r="P94" s="288"/>
      <c r="Q94" s="288"/>
      <c r="R94" s="288"/>
      <c r="S94" s="288"/>
      <c r="T94" s="337"/>
      <c r="U94" s="288"/>
      <c r="V94" s="338">
        <v>0</v>
      </c>
      <c r="W94" s="291"/>
      <c r="X94" s="5"/>
    </row>
    <row r="95" spans="1:24" ht="15.6" x14ac:dyDescent="0.3">
      <c r="A95" s="340"/>
      <c r="B95" s="288" t="s">
        <v>135</v>
      </c>
      <c r="C95" s="288"/>
      <c r="D95" s="288"/>
      <c r="E95" s="288"/>
      <c r="F95" s="288"/>
      <c r="G95" s="288"/>
      <c r="H95" s="288"/>
      <c r="I95" s="288"/>
      <c r="J95" s="288"/>
      <c r="K95" s="288"/>
      <c r="L95" s="288"/>
      <c r="M95" s="288"/>
      <c r="N95" s="288"/>
      <c r="O95" s="288"/>
      <c r="P95" s="288"/>
      <c r="Q95" s="288"/>
      <c r="R95" s="288"/>
      <c r="S95" s="288"/>
      <c r="T95" s="337"/>
      <c r="U95" s="288"/>
      <c r="V95" s="338">
        <v>0</v>
      </c>
      <c r="W95" s="291"/>
      <c r="X95" s="5"/>
    </row>
    <row r="96" spans="1:24" ht="15.6" x14ac:dyDescent="0.3">
      <c r="A96" s="340"/>
      <c r="B96" s="288" t="s">
        <v>268</v>
      </c>
      <c r="C96" s="288"/>
      <c r="D96" s="288"/>
      <c r="E96" s="288"/>
      <c r="F96" s="288"/>
      <c r="G96" s="288"/>
      <c r="H96" s="288"/>
      <c r="I96" s="288"/>
      <c r="J96" s="288"/>
      <c r="K96" s="288"/>
      <c r="L96" s="288"/>
      <c r="M96" s="288"/>
      <c r="N96" s="288"/>
      <c r="O96" s="288"/>
      <c r="P96" s="288"/>
      <c r="Q96" s="288"/>
      <c r="R96" s="288"/>
      <c r="S96" s="288"/>
      <c r="T96" s="337"/>
      <c r="U96" s="288"/>
      <c r="V96" s="338">
        <v>261</v>
      </c>
      <c r="W96" s="291"/>
      <c r="X96" s="5"/>
    </row>
    <row r="97" spans="1:25" ht="15.6" x14ac:dyDescent="0.3">
      <c r="A97" s="340"/>
      <c r="B97" s="288" t="s">
        <v>30</v>
      </c>
      <c r="C97" s="288"/>
      <c r="D97" s="288"/>
      <c r="E97" s="288"/>
      <c r="F97" s="288"/>
      <c r="G97" s="288"/>
      <c r="H97" s="288"/>
      <c r="I97" s="288"/>
      <c r="J97" s="288"/>
      <c r="K97" s="288"/>
      <c r="L97" s="288"/>
      <c r="M97" s="288"/>
      <c r="N97" s="288"/>
      <c r="O97" s="288"/>
      <c r="P97" s="288"/>
      <c r="Q97" s="288"/>
      <c r="R97" s="288"/>
      <c r="S97" s="288"/>
      <c r="T97" s="337">
        <f>SUM(T88:T96)</f>
        <v>21808</v>
      </c>
      <c r="U97" s="288"/>
      <c r="V97" s="337">
        <f>SUM(V88:V96)</f>
        <v>6352</v>
      </c>
      <c r="W97" s="291"/>
      <c r="X97" s="5"/>
    </row>
    <row r="98" spans="1:25" ht="15.6" x14ac:dyDescent="0.3">
      <c r="A98" s="340"/>
      <c r="B98" s="288" t="s">
        <v>161</v>
      </c>
      <c r="C98" s="288"/>
      <c r="D98" s="288"/>
      <c r="E98" s="288"/>
      <c r="F98" s="288"/>
      <c r="G98" s="288"/>
      <c r="H98" s="288"/>
      <c r="I98" s="288"/>
      <c r="J98" s="288"/>
      <c r="K98" s="288"/>
      <c r="L98" s="288"/>
      <c r="M98" s="288"/>
      <c r="N98" s="288"/>
      <c r="O98" s="288"/>
      <c r="P98" s="288"/>
      <c r="Q98" s="288"/>
      <c r="R98" s="288"/>
      <c r="S98" s="288"/>
      <c r="T98" s="337">
        <f>-V98</f>
        <v>0</v>
      </c>
      <c r="U98" s="288"/>
      <c r="V98" s="337">
        <v>0</v>
      </c>
      <c r="W98" s="291"/>
      <c r="X98" s="5"/>
    </row>
    <row r="99" spans="1:25" ht="15.6" x14ac:dyDescent="0.3">
      <c r="A99" s="340"/>
      <c r="B99" s="288" t="s">
        <v>31</v>
      </c>
      <c r="C99" s="288"/>
      <c r="D99" s="288"/>
      <c r="E99" s="288"/>
      <c r="F99" s="288"/>
      <c r="G99" s="288"/>
      <c r="H99" s="288"/>
      <c r="I99" s="288"/>
      <c r="J99" s="288"/>
      <c r="K99" s="288"/>
      <c r="L99" s="288"/>
      <c r="M99" s="288"/>
      <c r="N99" s="288"/>
      <c r="O99" s="288"/>
      <c r="P99" s="288"/>
      <c r="Q99" s="288"/>
      <c r="R99" s="288"/>
      <c r="S99" s="288"/>
      <c r="T99" s="337">
        <f>-V99</f>
        <v>0</v>
      </c>
      <c r="U99" s="288"/>
      <c r="V99" s="338">
        <v>0</v>
      </c>
      <c r="W99" s="291"/>
      <c r="X99" s="5"/>
    </row>
    <row r="100" spans="1:25" ht="15.6" x14ac:dyDescent="0.3">
      <c r="A100" s="340"/>
      <c r="B100" s="288" t="s">
        <v>283</v>
      </c>
      <c r="C100" s="288"/>
      <c r="D100" s="288"/>
      <c r="E100" s="288"/>
      <c r="F100" s="288"/>
      <c r="G100" s="288"/>
      <c r="H100" s="288"/>
      <c r="I100" s="288"/>
      <c r="J100" s="288"/>
      <c r="K100" s="288"/>
      <c r="L100" s="288"/>
      <c r="M100" s="288"/>
      <c r="N100" s="288"/>
      <c r="O100" s="288"/>
      <c r="P100" s="288"/>
      <c r="Q100" s="288"/>
      <c r="R100" s="288"/>
      <c r="S100" s="288"/>
      <c r="T100" s="337"/>
      <c r="U100" s="288"/>
      <c r="V100" s="338">
        <v>30</v>
      </c>
      <c r="W100" s="291"/>
      <c r="X100" s="5"/>
    </row>
    <row r="101" spans="1:25" ht="15.6" x14ac:dyDescent="0.3">
      <c r="A101" s="340"/>
      <c r="B101" s="288" t="s">
        <v>32</v>
      </c>
      <c r="C101" s="288"/>
      <c r="D101" s="288"/>
      <c r="E101" s="288"/>
      <c r="F101" s="288"/>
      <c r="G101" s="288"/>
      <c r="H101" s="288"/>
      <c r="I101" s="288"/>
      <c r="J101" s="288"/>
      <c r="K101" s="288"/>
      <c r="L101" s="288"/>
      <c r="M101" s="288"/>
      <c r="N101" s="288"/>
      <c r="O101" s="288"/>
      <c r="P101" s="288"/>
      <c r="Q101" s="288"/>
      <c r="R101" s="288"/>
      <c r="S101" s="288"/>
      <c r="T101" s="337">
        <f>T97+T99+T98</f>
        <v>21808</v>
      </c>
      <c r="U101" s="288"/>
      <c r="V101" s="337">
        <f>V97+V99+V98+V100</f>
        <v>6382</v>
      </c>
      <c r="W101" s="291"/>
      <c r="X101" s="5"/>
    </row>
    <row r="102" spans="1:25" ht="15.6" x14ac:dyDescent="0.3">
      <c r="A102" s="287"/>
      <c r="B102" s="343" t="s">
        <v>33</v>
      </c>
      <c r="C102" s="314"/>
      <c r="D102" s="314"/>
      <c r="E102" s="314"/>
      <c r="F102" s="314"/>
      <c r="G102" s="314"/>
      <c r="H102" s="314"/>
      <c r="I102" s="314"/>
      <c r="J102" s="314"/>
      <c r="K102" s="314"/>
      <c r="L102" s="314"/>
      <c r="M102" s="314"/>
      <c r="N102" s="314"/>
      <c r="O102" s="314"/>
      <c r="P102" s="314"/>
      <c r="Q102" s="314"/>
      <c r="R102" s="314"/>
      <c r="S102" s="314"/>
      <c r="T102" s="344"/>
      <c r="U102" s="314"/>
      <c r="V102" s="345"/>
      <c r="W102" s="318"/>
      <c r="X102" s="5"/>
    </row>
    <row r="103" spans="1:25" ht="15.6" x14ac:dyDescent="0.3">
      <c r="A103" s="340">
        <v>1</v>
      </c>
      <c r="B103" s="288" t="s">
        <v>34</v>
      </c>
      <c r="C103" s="288"/>
      <c r="D103" s="288"/>
      <c r="E103" s="288"/>
      <c r="F103" s="288"/>
      <c r="G103" s="288"/>
      <c r="H103" s="288"/>
      <c r="I103" s="288"/>
      <c r="J103" s="288"/>
      <c r="K103" s="288"/>
      <c r="L103" s="288"/>
      <c r="M103" s="288"/>
      <c r="N103" s="288"/>
      <c r="O103" s="288"/>
      <c r="P103" s="288"/>
      <c r="Q103" s="288"/>
      <c r="R103" s="288"/>
      <c r="S103" s="288"/>
      <c r="T103" s="288"/>
      <c r="U103" s="288"/>
      <c r="V103" s="338">
        <v>0</v>
      </c>
      <c r="W103" s="291"/>
      <c r="X103" s="5"/>
    </row>
    <row r="104" spans="1:25" ht="15.6" x14ac:dyDescent="0.3">
      <c r="A104" s="340">
        <f>+A103+1</f>
        <v>2</v>
      </c>
      <c r="B104" s="288" t="s">
        <v>330</v>
      </c>
      <c r="C104" s="288"/>
      <c r="D104" s="288"/>
      <c r="E104" s="288"/>
      <c r="F104" s="288"/>
      <c r="G104" s="288"/>
      <c r="H104" s="288"/>
      <c r="I104" s="288"/>
      <c r="J104" s="288"/>
      <c r="K104" s="288"/>
      <c r="L104" s="288"/>
      <c r="M104" s="288"/>
      <c r="N104" s="288"/>
      <c r="O104" s="288"/>
      <c r="P104" s="288"/>
      <c r="Q104" s="288"/>
      <c r="R104" s="288"/>
      <c r="S104" s="288"/>
      <c r="T104" s="288"/>
      <c r="U104" s="288"/>
      <c r="V104" s="338">
        <v>-2</v>
      </c>
      <c r="W104" s="291"/>
      <c r="X104" s="5"/>
    </row>
    <row r="105" spans="1:25" ht="15.6" x14ac:dyDescent="0.3">
      <c r="A105" s="340">
        <f>+A104+1</f>
        <v>3</v>
      </c>
      <c r="B105" s="288" t="s">
        <v>331</v>
      </c>
      <c r="C105" s="288"/>
      <c r="D105" s="288"/>
      <c r="E105" s="288"/>
      <c r="F105" s="288"/>
      <c r="G105" s="288"/>
      <c r="H105" s="288"/>
      <c r="I105" s="288"/>
      <c r="J105" s="288"/>
      <c r="K105" s="288"/>
      <c r="L105" s="288"/>
      <c r="M105" s="288"/>
      <c r="N105" s="288"/>
      <c r="O105" s="288"/>
      <c r="P105" s="288"/>
      <c r="Q105" s="288"/>
      <c r="R105" s="288"/>
      <c r="S105" s="288"/>
      <c r="T105" s="288"/>
      <c r="U105" s="288"/>
      <c r="V105" s="338">
        <f>-124-170-12</f>
        <v>-306</v>
      </c>
      <c r="W105" s="291"/>
      <c r="X105" s="5"/>
    </row>
    <row r="106" spans="1:25" ht="15.6" x14ac:dyDescent="0.3">
      <c r="A106" s="340" t="s">
        <v>127</v>
      </c>
      <c r="B106" s="288" t="s">
        <v>116</v>
      </c>
      <c r="C106" s="288"/>
      <c r="D106" s="288"/>
      <c r="E106" s="288"/>
      <c r="F106" s="288"/>
      <c r="G106" s="288"/>
      <c r="H106" s="288"/>
      <c r="I106" s="288"/>
      <c r="J106" s="288"/>
      <c r="K106" s="288"/>
      <c r="L106" s="288"/>
      <c r="M106" s="288"/>
      <c r="N106" s="288"/>
      <c r="O106" s="288"/>
      <c r="P106" s="288"/>
      <c r="Q106" s="288"/>
      <c r="R106" s="288"/>
      <c r="S106" s="288"/>
      <c r="T106" s="288"/>
      <c r="U106" s="288"/>
      <c r="V106" s="338">
        <v>0</v>
      </c>
      <c r="W106" s="291"/>
      <c r="X106" s="5"/>
    </row>
    <row r="107" spans="1:25" ht="15.6" x14ac:dyDescent="0.3">
      <c r="A107" s="340" t="s">
        <v>128</v>
      </c>
      <c r="B107" s="288" t="s">
        <v>222</v>
      </c>
      <c r="C107" s="288"/>
      <c r="D107" s="288"/>
      <c r="E107" s="288"/>
      <c r="F107" s="288"/>
      <c r="G107" s="288"/>
      <c r="H107" s="288"/>
      <c r="I107" s="288"/>
      <c r="J107" s="288"/>
      <c r="K107" s="288"/>
      <c r="L107" s="288"/>
      <c r="M107" s="288"/>
      <c r="N107" s="288"/>
      <c r="O107" s="288"/>
      <c r="P107" s="288"/>
      <c r="Q107" s="288"/>
      <c r="R107" s="288"/>
      <c r="S107" s="288"/>
      <c r="T107" s="288"/>
      <c r="U107" s="288"/>
      <c r="V107" s="338">
        <f>-1567+147</f>
        <v>-1420</v>
      </c>
      <c r="W107" s="291"/>
      <c r="X107" s="5"/>
      <c r="Y107" s="109"/>
    </row>
    <row r="108" spans="1:25" ht="15.6" x14ac:dyDescent="0.3">
      <c r="A108" s="340" t="s">
        <v>150</v>
      </c>
      <c r="B108" s="288" t="s">
        <v>184</v>
      </c>
      <c r="C108" s="288"/>
      <c r="D108" s="288"/>
      <c r="E108" s="288"/>
      <c r="F108" s="288"/>
      <c r="G108" s="288"/>
      <c r="H108" s="288"/>
      <c r="I108" s="288"/>
      <c r="J108" s="288"/>
      <c r="K108" s="288"/>
      <c r="L108" s="288"/>
      <c r="M108" s="288"/>
      <c r="N108" s="288"/>
      <c r="O108" s="288"/>
      <c r="P108" s="288"/>
      <c r="Q108" s="288"/>
      <c r="R108" s="288"/>
      <c r="S108" s="288"/>
      <c r="T108" s="288"/>
      <c r="U108" s="288"/>
      <c r="V108" s="338">
        <v>-147</v>
      </c>
      <c r="W108" s="291"/>
      <c r="X108" s="5"/>
      <c r="Y108" s="109"/>
    </row>
    <row r="109" spans="1:25" ht="15.6" x14ac:dyDescent="0.3">
      <c r="A109" s="340" t="s">
        <v>236</v>
      </c>
      <c r="B109" s="288" t="s">
        <v>238</v>
      </c>
      <c r="C109" s="288"/>
      <c r="D109" s="288"/>
      <c r="E109" s="288"/>
      <c r="F109" s="288"/>
      <c r="G109" s="288"/>
      <c r="H109" s="288"/>
      <c r="I109" s="288"/>
      <c r="J109" s="288"/>
      <c r="K109" s="288"/>
      <c r="L109" s="288"/>
      <c r="M109" s="288"/>
      <c r="N109" s="288"/>
      <c r="O109" s="288"/>
      <c r="P109" s="288"/>
      <c r="Q109" s="288"/>
      <c r="R109" s="288"/>
      <c r="S109" s="288"/>
      <c r="T109" s="288"/>
      <c r="U109" s="288"/>
      <c r="V109" s="338">
        <v>0</v>
      </c>
      <c r="W109" s="291"/>
      <c r="X109" s="5"/>
    </row>
    <row r="110" spans="1:25" ht="15.6" x14ac:dyDescent="0.3">
      <c r="A110" s="340" t="s">
        <v>205</v>
      </c>
      <c r="B110" s="288" t="s">
        <v>185</v>
      </c>
      <c r="C110" s="288"/>
      <c r="D110" s="288"/>
      <c r="E110" s="288"/>
      <c r="F110" s="288"/>
      <c r="G110" s="288"/>
      <c r="H110" s="288"/>
      <c r="I110" s="288"/>
      <c r="J110" s="288"/>
      <c r="K110" s="288"/>
      <c r="L110" s="288"/>
      <c r="M110" s="288"/>
      <c r="N110" s="288"/>
      <c r="O110" s="288"/>
      <c r="P110" s="288"/>
      <c r="Q110" s="288"/>
      <c r="R110" s="288"/>
      <c r="S110" s="288"/>
      <c r="T110" s="288"/>
      <c r="U110" s="288"/>
      <c r="V110" s="338">
        <v>-155</v>
      </c>
      <c r="W110" s="291"/>
      <c r="X110" s="5"/>
      <c r="Y110" s="109"/>
    </row>
    <row r="111" spans="1:25" ht="15.6" x14ac:dyDescent="0.3">
      <c r="A111" s="340" t="s">
        <v>206</v>
      </c>
      <c r="B111" s="288" t="s">
        <v>186</v>
      </c>
      <c r="C111" s="288"/>
      <c r="D111" s="288"/>
      <c r="E111" s="288"/>
      <c r="F111" s="288"/>
      <c r="G111" s="288"/>
      <c r="H111" s="288"/>
      <c r="I111" s="288"/>
      <c r="J111" s="288"/>
      <c r="K111" s="288"/>
      <c r="L111" s="288"/>
      <c r="M111" s="288"/>
      <c r="N111" s="288"/>
      <c r="O111" s="288"/>
      <c r="P111" s="288"/>
      <c r="Q111" s="288"/>
      <c r="R111" s="288"/>
      <c r="S111" s="288"/>
      <c r="T111" s="288"/>
      <c r="U111" s="288"/>
      <c r="V111" s="338">
        <v>-124</v>
      </c>
      <c r="W111" s="291"/>
      <c r="X111" s="179"/>
      <c r="Y111" s="109"/>
    </row>
    <row r="112" spans="1:25" ht="15.6" x14ac:dyDescent="0.3">
      <c r="A112" s="340" t="s">
        <v>207</v>
      </c>
      <c r="B112" s="288" t="s">
        <v>196</v>
      </c>
      <c r="C112" s="288"/>
      <c r="D112" s="288"/>
      <c r="E112" s="288"/>
      <c r="F112" s="288"/>
      <c r="G112" s="288"/>
      <c r="H112" s="288"/>
      <c r="I112" s="288"/>
      <c r="J112" s="288"/>
      <c r="K112" s="288"/>
      <c r="L112" s="288"/>
      <c r="M112" s="288"/>
      <c r="N112" s="288"/>
      <c r="O112" s="288"/>
      <c r="P112" s="288"/>
      <c r="Q112" s="288"/>
      <c r="R112" s="288"/>
      <c r="S112" s="288"/>
      <c r="T112" s="288"/>
      <c r="U112" s="288"/>
      <c r="V112" s="338">
        <v>-340</v>
      </c>
      <c r="W112" s="291"/>
      <c r="X112" s="5"/>
      <c r="Y112" s="109"/>
    </row>
    <row r="113" spans="1:25" ht="15.6" x14ac:dyDescent="0.3">
      <c r="A113" s="340" t="s">
        <v>224</v>
      </c>
      <c r="B113" s="288" t="s">
        <v>223</v>
      </c>
      <c r="C113" s="288"/>
      <c r="D113" s="288"/>
      <c r="E113" s="288"/>
      <c r="F113" s="288"/>
      <c r="G113" s="288"/>
      <c r="H113" s="288"/>
      <c r="I113" s="288"/>
      <c r="J113" s="288"/>
      <c r="K113" s="288"/>
      <c r="L113" s="288"/>
      <c r="M113" s="288"/>
      <c r="N113" s="288"/>
      <c r="O113" s="288"/>
      <c r="P113" s="288"/>
      <c r="Q113" s="288"/>
      <c r="R113" s="288"/>
      <c r="S113" s="288"/>
      <c r="T113" s="288"/>
      <c r="U113" s="288"/>
      <c r="V113" s="338">
        <v>-68</v>
      </c>
      <c r="W113" s="291"/>
      <c r="X113" s="5"/>
      <c r="Y113" s="109"/>
    </row>
    <row r="114" spans="1:25" ht="15.6" x14ac:dyDescent="0.3">
      <c r="A114" s="340">
        <v>7</v>
      </c>
      <c r="B114" s="288" t="s">
        <v>35</v>
      </c>
      <c r="C114" s="288"/>
      <c r="D114" s="288"/>
      <c r="E114" s="288"/>
      <c r="F114" s="288"/>
      <c r="G114" s="288"/>
      <c r="H114" s="288"/>
      <c r="I114" s="288"/>
      <c r="J114" s="288"/>
      <c r="K114" s="288"/>
      <c r="L114" s="288"/>
      <c r="M114" s="288"/>
      <c r="N114" s="288"/>
      <c r="O114" s="288"/>
      <c r="P114" s="288"/>
      <c r="Q114" s="288"/>
      <c r="R114" s="288"/>
      <c r="S114" s="288"/>
      <c r="T114" s="288"/>
      <c r="U114" s="288"/>
      <c r="V114" s="338">
        <f>-8-7</f>
        <v>-15</v>
      </c>
      <c r="W114" s="291"/>
      <c r="X114" s="5"/>
    </row>
    <row r="115" spans="1:25" ht="15.6" x14ac:dyDescent="0.3">
      <c r="A115" s="340">
        <f t="shared" ref="A115:A121" si="0">+A114+1</f>
        <v>8</v>
      </c>
      <c r="B115" s="288" t="s">
        <v>45</v>
      </c>
      <c r="C115" s="288"/>
      <c r="D115" s="288"/>
      <c r="E115" s="288"/>
      <c r="F115" s="288"/>
      <c r="G115" s="288"/>
      <c r="H115" s="288"/>
      <c r="I115" s="288"/>
      <c r="J115" s="288"/>
      <c r="K115" s="288"/>
      <c r="L115" s="288"/>
      <c r="M115" s="288"/>
      <c r="N115" s="288"/>
      <c r="O115" s="288"/>
      <c r="P115" s="288"/>
      <c r="Q115" s="288"/>
      <c r="R115" s="288"/>
      <c r="S115" s="288"/>
      <c r="T115" s="337">
        <f>-V115</f>
        <v>84</v>
      </c>
      <c r="U115" s="288"/>
      <c r="V115" s="338">
        <v>-84</v>
      </c>
      <c r="W115" s="291"/>
      <c r="X115" s="5"/>
    </row>
    <row r="116" spans="1:25" ht="15.6" x14ac:dyDescent="0.3">
      <c r="A116" s="340">
        <f t="shared" si="0"/>
        <v>9</v>
      </c>
      <c r="B116" s="288" t="s">
        <v>125</v>
      </c>
      <c r="C116" s="288"/>
      <c r="D116" s="288"/>
      <c r="E116" s="288"/>
      <c r="F116" s="288"/>
      <c r="G116" s="288"/>
      <c r="H116" s="288"/>
      <c r="I116" s="288"/>
      <c r="J116" s="288"/>
      <c r="K116" s="288"/>
      <c r="L116" s="288"/>
      <c r="M116" s="288"/>
      <c r="N116" s="288"/>
      <c r="O116" s="288"/>
      <c r="P116" s="288"/>
      <c r="Q116" s="288"/>
      <c r="R116" s="288"/>
      <c r="S116" s="288"/>
      <c r="T116" s="288"/>
      <c r="U116" s="288"/>
      <c r="V116" s="338">
        <v>0</v>
      </c>
      <c r="W116" s="291"/>
      <c r="X116" s="5"/>
    </row>
    <row r="117" spans="1:25" ht="15.6" x14ac:dyDescent="0.3">
      <c r="A117" s="340">
        <f t="shared" si="0"/>
        <v>10</v>
      </c>
      <c r="B117" s="288" t="s">
        <v>240</v>
      </c>
      <c r="C117" s="288"/>
      <c r="D117" s="288"/>
      <c r="E117" s="288"/>
      <c r="F117" s="288"/>
      <c r="G117" s="288"/>
      <c r="H117" s="288"/>
      <c r="I117" s="288"/>
      <c r="J117" s="288"/>
      <c r="K117" s="288"/>
      <c r="L117" s="288"/>
      <c r="M117" s="288"/>
      <c r="N117" s="288"/>
      <c r="O117" s="288"/>
      <c r="P117" s="288"/>
      <c r="Q117" s="288"/>
      <c r="R117" s="288"/>
      <c r="S117" s="288"/>
      <c r="T117" s="288"/>
      <c r="U117" s="288"/>
      <c r="V117" s="338">
        <v>0</v>
      </c>
      <c r="W117" s="291"/>
      <c r="X117" s="5"/>
    </row>
    <row r="118" spans="1:25" ht="15.6" x14ac:dyDescent="0.3">
      <c r="A118" s="340">
        <f t="shared" si="0"/>
        <v>11</v>
      </c>
      <c r="B118" s="288" t="s">
        <v>36</v>
      </c>
      <c r="C118" s="288"/>
      <c r="D118" s="288"/>
      <c r="E118" s="288"/>
      <c r="F118" s="288"/>
      <c r="G118" s="288"/>
      <c r="H118" s="288"/>
      <c r="I118" s="288"/>
      <c r="J118" s="288"/>
      <c r="K118" s="288"/>
      <c r="L118" s="288"/>
      <c r="M118" s="288"/>
      <c r="N118" s="288"/>
      <c r="O118" s="288"/>
      <c r="P118" s="288"/>
      <c r="Q118" s="288"/>
      <c r="R118" s="288"/>
      <c r="S118" s="288"/>
      <c r="T118" s="288"/>
      <c r="U118" s="288"/>
      <c r="V118" s="338">
        <v>0</v>
      </c>
      <c r="W118" s="291"/>
      <c r="X118" s="5"/>
    </row>
    <row r="119" spans="1:25" ht="15.6" x14ac:dyDescent="0.3">
      <c r="A119" s="340">
        <f t="shared" si="0"/>
        <v>12</v>
      </c>
      <c r="B119" s="288" t="s">
        <v>239</v>
      </c>
      <c r="C119" s="288"/>
      <c r="D119" s="288"/>
      <c r="E119" s="288"/>
      <c r="F119" s="288"/>
      <c r="G119" s="288"/>
      <c r="H119" s="288"/>
      <c r="I119" s="288"/>
      <c r="J119" s="288"/>
      <c r="K119" s="288"/>
      <c r="L119" s="288"/>
      <c r="M119" s="288"/>
      <c r="N119" s="288"/>
      <c r="O119" s="288"/>
      <c r="P119" s="288"/>
      <c r="Q119" s="288"/>
      <c r="R119" s="288"/>
      <c r="S119" s="288"/>
      <c r="T119" s="288"/>
      <c r="U119" s="288"/>
      <c r="V119" s="338">
        <v>0</v>
      </c>
      <c r="W119" s="291"/>
      <c r="X119" s="5"/>
    </row>
    <row r="120" spans="1:25" ht="15.6" x14ac:dyDescent="0.3">
      <c r="A120" s="340">
        <f t="shared" si="0"/>
        <v>13</v>
      </c>
      <c r="B120" s="288" t="s">
        <v>149</v>
      </c>
      <c r="C120" s="288"/>
      <c r="D120" s="288"/>
      <c r="E120" s="288"/>
      <c r="F120" s="288"/>
      <c r="G120" s="288"/>
      <c r="H120" s="288"/>
      <c r="I120" s="288"/>
      <c r="J120" s="288"/>
      <c r="K120" s="288"/>
      <c r="L120" s="288"/>
      <c r="M120" s="288"/>
      <c r="N120" s="288"/>
      <c r="O120" s="288"/>
      <c r="P120" s="288"/>
      <c r="Q120" s="288"/>
      <c r="R120" s="288"/>
      <c r="S120" s="288"/>
      <c r="T120" s="288"/>
      <c r="U120" s="288"/>
      <c r="V120" s="338">
        <v>-620</v>
      </c>
      <c r="W120" s="291"/>
      <c r="X120" s="5"/>
    </row>
    <row r="121" spans="1:25" ht="15.6" x14ac:dyDescent="0.3">
      <c r="A121" s="340">
        <f t="shared" si="0"/>
        <v>14</v>
      </c>
      <c r="B121" s="288" t="s">
        <v>126</v>
      </c>
      <c r="C121" s="288"/>
      <c r="D121" s="288"/>
      <c r="E121" s="288"/>
      <c r="F121" s="288"/>
      <c r="G121" s="288"/>
      <c r="H121" s="288"/>
      <c r="I121" s="288"/>
      <c r="J121" s="288"/>
      <c r="K121" s="288"/>
      <c r="L121" s="288"/>
      <c r="M121" s="288"/>
      <c r="N121" s="288"/>
      <c r="O121" s="288"/>
      <c r="P121" s="288"/>
      <c r="Q121" s="288"/>
      <c r="R121" s="288"/>
      <c r="S121" s="288"/>
      <c r="T121" s="288"/>
      <c r="U121" s="288"/>
      <c r="V121" s="338">
        <f>-V101-SUM(V103:V120)</f>
        <v>-3101</v>
      </c>
      <c r="W121" s="291"/>
      <c r="X121" s="5"/>
    </row>
    <row r="122" spans="1:25" ht="15.6" x14ac:dyDescent="0.3">
      <c r="A122" s="287"/>
      <c r="B122" s="343" t="s">
        <v>37</v>
      </c>
      <c r="C122" s="314"/>
      <c r="D122" s="314"/>
      <c r="E122" s="314"/>
      <c r="F122" s="314"/>
      <c r="G122" s="314"/>
      <c r="H122" s="314"/>
      <c r="I122" s="314"/>
      <c r="J122" s="314"/>
      <c r="K122" s="314"/>
      <c r="L122" s="314"/>
      <c r="M122" s="314"/>
      <c r="N122" s="314"/>
      <c r="O122" s="314"/>
      <c r="P122" s="314"/>
      <c r="Q122" s="314"/>
      <c r="R122" s="314"/>
      <c r="S122" s="314"/>
      <c r="T122" s="314"/>
      <c r="U122" s="314"/>
      <c r="V122" s="346"/>
      <c r="W122" s="318"/>
      <c r="X122" s="5"/>
    </row>
    <row r="123" spans="1:25" ht="15.6" x14ac:dyDescent="0.3">
      <c r="A123" s="340"/>
      <c r="B123" s="288" t="s">
        <v>173</v>
      </c>
      <c r="C123" s="288"/>
      <c r="D123" s="288"/>
      <c r="E123" s="288"/>
      <c r="F123" s="288"/>
      <c r="G123" s="288"/>
      <c r="H123" s="288"/>
      <c r="I123" s="288"/>
      <c r="J123" s="288"/>
      <c r="K123" s="288"/>
      <c r="L123" s="288"/>
      <c r="M123" s="288"/>
      <c r="N123" s="288"/>
      <c r="O123" s="288"/>
      <c r="P123" s="288"/>
      <c r="Q123" s="288"/>
      <c r="R123" s="288"/>
      <c r="S123" s="288"/>
      <c r="T123" s="337">
        <f>-T189</f>
        <v>0</v>
      </c>
      <c r="U123" s="337"/>
      <c r="V123" s="338"/>
      <c r="W123" s="291"/>
      <c r="X123" s="5"/>
    </row>
    <row r="124" spans="1:25" ht="15.6" x14ac:dyDescent="0.3">
      <c r="A124" s="340"/>
      <c r="B124" s="288" t="s">
        <v>174</v>
      </c>
      <c r="C124" s="288"/>
      <c r="D124" s="288"/>
      <c r="E124" s="288"/>
      <c r="F124" s="288"/>
      <c r="G124" s="288"/>
      <c r="H124" s="288"/>
      <c r="I124" s="288"/>
      <c r="J124" s="288"/>
      <c r="K124" s="288"/>
      <c r="L124" s="288"/>
      <c r="M124" s="288"/>
      <c r="N124" s="288"/>
      <c r="O124" s="288"/>
      <c r="P124" s="288"/>
      <c r="Q124" s="288"/>
      <c r="R124" s="288"/>
      <c r="S124" s="288"/>
      <c r="T124" s="337">
        <v>-3</v>
      </c>
      <c r="U124" s="337"/>
      <c r="V124" s="338"/>
      <c r="W124" s="291"/>
      <c r="X124" s="5"/>
    </row>
    <row r="125" spans="1:25" ht="15.6" x14ac:dyDescent="0.3">
      <c r="A125" s="340"/>
      <c r="B125" s="288" t="s">
        <v>38</v>
      </c>
      <c r="C125" s="288"/>
      <c r="D125" s="288"/>
      <c r="E125" s="288"/>
      <c r="F125" s="288"/>
      <c r="G125" s="288"/>
      <c r="H125" s="288"/>
      <c r="I125" s="288"/>
      <c r="J125" s="288"/>
      <c r="K125" s="288"/>
      <c r="L125" s="288"/>
      <c r="M125" s="288"/>
      <c r="N125" s="288"/>
      <c r="O125" s="288"/>
      <c r="P125" s="288"/>
      <c r="Q125" s="288"/>
      <c r="R125" s="288"/>
      <c r="S125" s="288"/>
      <c r="T125" s="337">
        <f>-S189</f>
        <v>-552</v>
      </c>
      <c r="U125" s="337"/>
      <c r="V125" s="338"/>
      <c r="W125" s="291"/>
      <c r="X125" s="5"/>
    </row>
    <row r="126" spans="1:25" ht="15.6" x14ac:dyDescent="0.3">
      <c r="A126" s="340"/>
      <c r="B126" s="288" t="s">
        <v>197</v>
      </c>
      <c r="C126" s="288"/>
      <c r="D126" s="288"/>
      <c r="E126" s="288"/>
      <c r="F126" s="288"/>
      <c r="G126" s="288"/>
      <c r="H126" s="288"/>
      <c r="I126" s="288"/>
      <c r="J126" s="288"/>
      <c r="K126" s="288"/>
      <c r="L126" s="288"/>
      <c r="M126" s="288"/>
      <c r="N126" s="288"/>
      <c r="O126" s="288"/>
      <c r="P126" s="288"/>
      <c r="Q126" s="288"/>
      <c r="R126" s="288"/>
      <c r="S126" s="288"/>
      <c r="T126" s="337">
        <v>-12972</v>
      </c>
      <c r="U126" s="337"/>
      <c r="V126" s="338"/>
      <c r="W126" s="291"/>
      <c r="X126" s="5"/>
    </row>
    <row r="127" spans="1:25" ht="15.6" x14ac:dyDescent="0.3">
      <c r="A127" s="340"/>
      <c r="B127" s="288" t="s">
        <v>195</v>
      </c>
      <c r="C127" s="288"/>
      <c r="D127" s="288"/>
      <c r="E127" s="288"/>
      <c r="F127" s="288"/>
      <c r="G127" s="288"/>
      <c r="H127" s="288"/>
      <c r="I127" s="288"/>
      <c r="J127" s="288"/>
      <c r="K127" s="288"/>
      <c r="L127" s="288"/>
      <c r="M127" s="288"/>
      <c r="N127" s="288"/>
      <c r="O127" s="288"/>
      <c r="P127" s="288"/>
      <c r="Q127" s="288"/>
      <c r="R127" s="288"/>
      <c r="S127" s="288"/>
      <c r="T127" s="337">
        <v>-2092</v>
      </c>
      <c r="U127" s="337"/>
      <c r="V127" s="338"/>
      <c r="W127" s="291"/>
      <c r="X127" s="5"/>
    </row>
    <row r="128" spans="1:25" ht="15.6" x14ac:dyDescent="0.3">
      <c r="A128" s="340"/>
      <c r="B128" s="288" t="s">
        <v>194</v>
      </c>
      <c r="C128" s="288"/>
      <c r="D128" s="288"/>
      <c r="E128" s="288"/>
      <c r="F128" s="288"/>
      <c r="G128" s="288"/>
      <c r="H128" s="288"/>
      <c r="I128" s="288"/>
      <c r="J128" s="288"/>
      <c r="K128" s="288"/>
      <c r="L128" s="288"/>
      <c r="M128" s="288"/>
      <c r="N128" s="288"/>
      <c r="O128" s="288"/>
      <c r="P128" s="288"/>
      <c r="Q128" s="288"/>
      <c r="R128" s="288"/>
      <c r="S128" s="288"/>
      <c r="T128" s="337">
        <v>-2814</v>
      </c>
      <c r="U128" s="337"/>
      <c r="V128" s="338"/>
      <c r="W128" s="291"/>
      <c r="X128" s="5"/>
    </row>
    <row r="129" spans="1:24" ht="15.6" x14ac:dyDescent="0.3">
      <c r="A129" s="340"/>
      <c r="B129" s="288" t="s">
        <v>226</v>
      </c>
      <c r="C129" s="288"/>
      <c r="D129" s="288"/>
      <c r="E129" s="288"/>
      <c r="F129" s="288"/>
      <c r="G129" s="288"/>
      <c r="H129" s="288"/>
      <c r="I129" s="288"/>
      <c r="J129" s="288"/>
      <c r="K129" s="288"/>
      <c r="L129" s="288"/>
      <c r="M129" s="288"/>
      <c r="N129" s="288"/>
      <c r="O129" s="288"/>
      <c r="P129" s="288"/>
      <c r="Q129" s="288"/>
      <c r="R129" s="288"/>
      <c r="S129" s="288"/>
      <c r="T129" s="337">
        <v>-3459</v>
      </c>
      <c r="U129" s="337"/>
      <c r="V129" s="338"/>
      <c r="W129" s="291"/>
      <c r="X129" s="5"/>
    </row>
    <row r="130" spans="1:24" ht="15.6" x14ac:dyDescent="0.3">
      <c r="A130" s="340"/>
      <c r="B130" s="288" t="s">
        <v>189</v>
      </c>
      <c r="C130" s="288"/>
      <c r="D130" s="288"/>
      <c r="E130" s="288"/>
      <c r="F130" s="288"/>
      <c r="G130" s="288"/>
      <c r="H130" s="288"/>
      <c r="I130" s="288"/>
      <c r="J130" s="288"/>
      <c r="K130" s="288"/>
      <c r="L130" s="288"/>
      <c r="M130" s="288"/>
      <c r="N130" s="288"/>
      <c r="O130" s="288"/>
      <c r="P130" s="288"/>
      <c r="Q130" s="288"/>
      <c r="R130" s="288"/>
      <c r="S130" s="288"/>
      <c r="T130" s="337">
        <v>0</v>
      </c>
      <c r="U130" s="337"/>
      <c r="V130" s="338"/>
      <c r="W130" s="291"/>
      <c r="X130" s="5"/>
    </row>
    <row r="131" spans="1:24" ht="15.6" x14ac:dyDescent="0.3">
      <c r="A131" s="340"/>
      <c r="B131" s="288" t="s">
        <v>188</v>
      </c>
      <c r="C131" s="288"/>
      <c r="D131" s="288"/>
      <c r="E131" s="288"/>
      <c r="F131" s="288"/>
      <c r="G131" s="288"/>
      <c r="H131" s="288"/>
      <c r="I131" s="288"/>
      <c r="J131" s="288"/>
      <c r="K131" s="288"/>
      <c r="L131" s="288"/>
      <c r="M131" s="288"/>
      <c r="N131" s="288"/>
      <c r="O131" s="288"/>
      <c r="P131" s="288"/>
      <c r="Q131" s="288"/>
      <c r="R131" s="288"/>
      <c r="S131" s="288"/>
      <c r="T131" s="337">
        <v>0</v>
      </c>
      <c r="U131" s="337"/>
      <c r="V131" s="338"/>
      <c r="W131" s="291"/>
      <c r="X131" s="5"/>
    </row>
    <row r="132" spans="1:24" ht="15.6" x14ac:dyDescent="0.3">
      <c r="A132" s="340"/>
      <c r="B132" s="288" t="s">
        <v>227</v>
      </c>
      <c r="C132" s="288"/>
      <c r="D132" s="288"/>
      <c r="E132" s="288"/>
      <c r="F132" s="288"/>
      <c r="G132" s="288"/>
      <c r="H132" s="288"/>
      <c r="I132" s="288"/>
      <c r="J132" s="288"/>
      <c r="K132" s="288"/>
      <c r="L132" s="288"/>
      <c r="M132" s="288"/>
      <c r="N132" s="288"/>
      <c r="O132" s="288"/>
      <c r="P132" s="288"/>
      <c r="Q132" s="288"/>
      <c r="R132" s="288"/>
      <c r="S132" s="288"/>
      <c r="T132" s="337">
        <v>0</v>
      </c>
      <c r="U132" s="337"/>
      <c r="V132" s="338"/>
      <c r="W132" s="291"/>
      <c r="X132" s="5"/>
    </row>
    <row r="133" spans="1:24" ht="15.6" x14ac:dyDescent="0.3">
      <c r="A133" s="340"/>
      <c r="B133" s="288" t="s">
        <v>187</v>
      </c>
      <c r="C133" s="288"/>
      <c r="D133" s="288"/>
      <c r="E133" s="288"/>
      <c r="F133" s="288"/>
      <c r="G133" s="288"/>
      <c r="H133" s="288"/>
      <c r="I133" s="288"/>
      <c r="J133" s="288"/>
      <c r="K133" s="288"/>
      <c r="L133" s="288"/>
      <c r="M133" s="288"/>
      <c r="N133" s="288"/>
      <c r="O133" s="288"/>
      <c r="P133" s="288"/>
      <c r="Q133" s="288"/>
      <c r="R133" s="288"/>
      <c r="S133" s="288"/>
      <c r="T133" s="337">
        <v>0</v>
      </c>
      <c r="U133" s="337"/>
      <c r="V133" s="338"/>
      <c r="W133" s="291"/>
      <c r="X133" s="5"/>
    </row>
    <row r="134" spans="1:24" ht="15.6" x14ac:dyDescent="0.3">
      <c r="A134" s="340"/>
      <c r="B134" s="288" t="s">
        <v>39</v>
      </c>
      <c r="C134" s="288"/>
      <c r="D134" s="288"/>
      <c r="E134" s="288"/>
      <c r="F134" s="288"/>
      <c r="G134" s="288"/>
      <c r="H134" s="288"/>
      <c r="I134" s="288"/>
      <c r="J134" s="288"/>
      <c r="K134" s="288"/>
      <c r="L134" s="288"/>
      <c r="M134" s="288"/>
      <c r="N134" s="288"/>
      <c r="O134" s="288"/>
      <c r="P134" s="288"/>
      <c r="Q134" s="288"/>
      <c r="R134" s="288"/>
      <c r="S134" s="288"/>
      <c r="T134" s="337">
        <f>SUM(T123:T133)</f>
        <v>-21892</v>
      </c>
      <c r="U134" s="337"/>
      <c r="V134" s="337">
        <f>SUM(V102:V131)</f>
        <v>-6382</v>
      </c>
      <c r="W134" s="291"/>
      <c r="X134" s="5"/>
    </row>
    <row r="135" spans="1:24" ht="15.6" x14ac:dyDescent="0.3">
      <c r="A135" s="340"/>
      <c r="B135" s="288" t="s">
        <v>40</v>
      </c>
      <c r="C135" s="288"/>
      <c r="D135" s="288"/>
      <c r="E135" s="288"/>
      <c r="F135" s="288"/>
      <c r="G135" s="288"/>
      <c r="H135" s="288"/>
      <c r="I135" s="288"/>
      <c r="J135" s="288"/>
      <c r="K135" s="288"/>
      <c r="L135" s="288"/>
      <c r="M135" s="288"/>
      <c r="N135" s="288"/>
      <c r="O135" s="288"/>
      <c r="P135" s="288"/>
      <c r="Q135" s="288"/>
      <c r="R135" s="288"/>
      <c r="S135" s="288"/>
      <c r="T135" s="337">
        <f>T101+T134+T115</f>
        <v>0</v>
      </c>
      <c r="U135" s="337"/>
      <c r="V135" s="337">
        <f>V101+V134</f>
        <v>0</v>
      </c>
      <c r="W135" s="291"/>
      <c r="X135" s="5"/>
    </row>
    <row r="136" spans="1:24" ht="15.6" x14ac:dyDescent="0.3">
      <c r="A136" s="243"/>
      <c r="B136" s="284"/>
      <c r="C136" s="284"/>
      <c r="D136" s="284"/>
      <c r="E136" s="284"/>
      <c r="F136" s="284"/>
      <c r="G136" s="284"/>
      <c r="H136" s="284"/>
      <c r="I136" s="284"/>
      <c r="J136" s="284"/>
      <c r="K136" s="284"/>
      <c r="L136" s="284"/>
      <c r="M136" s="284"/>
      <c r="N136" s="284"/>
      <c r="O136" s="284"/>
      <c r="P136" s="284"/>
      <c r="Q136" s="284"/>
      <c r="R136" s="284"/>
      <c r="S136" s="284"/>
      <c r="T136" s="339"/>
      <c r="U136" s="339"/>
      <c r="V136" s="339"/>
      <c r="W136" s="284"/>
      <c r="X136" s="5"/>
    </row>
    <row r="137" spans="1:24" ht="15.6" x14ac:dyDescent="0.3">
      <c r="A137" s="243"/>
      <c r="B137" s="224"/>
      <c r="C137" s="224"/>
      <c r="D137" s="224"/>
      <c r="E137" s="224"/>
      <c r="F137" s="224"/>
      <c r="G137" s="224"/>
      <c r="H137" s="224"/>
      <c r="I137" s="224"/>
      <c r="J137" s="224"/>
      <c r="K137" s="224"/>
      <c r="L137" s="224"/>
      <c r="M137" s="224"/>
      <c r="N137" s="224"/>
      <c r="O137" s="224"/>
      <c r="P137" s="224"/>
      <c r="Q137" s="224"/>
      <c r="R137" s="224"/>
      <c r="S137" s="224"/>
      <c r="T137" s="224"/>
      <c r="U137" s="224"/>
      <c r="V137" s="244"/>
      <c r="W137" s="224"/>
      <c r="X137" s="5"/>
    </row>
    <row r="138" spans="1:24" ht="18" thickBot="1" x14ac:dyDescent="0.35">
      <c r="A138" s="245"/>
      <c r="B138" s="237" t="str">
        <f>B64</f>
        <v>PM14 INVESTOR REPORT QUARTER ENDING MAY 2016</v>
      </c>
      <c r="C138" s="238"/>
      <c r="D138" s="238"/>
      <c r="E138" s="238"/>
      <c r="F138" s="238"/>
      <c r="G138" s="238"/>
      <c r="H138" s="238"/>
      <c r="I138" s="238"/>
      <c r="J138" s="238"/>
      <c r="K138" s="238"/>
      <c r="L138" s="238"/>
      <c r="M138" s="238"/>
      <c r="N138" s="238"/>
      <c r="O138" s="238"/>
      <c r="P138" s="238"/>
      <c r="Q138" s="238"/>
      <c r="R138" s="238"/>
      <c r="S138" s="238"/>
      <c r="T138" s="238"/>
      <c r="U138" s="238"/>
      <c r="V138" s="246"/>
      <c r="W138" s="240"/>
      <c r="X138" s="5"/>
    </row>
    <row r="139" spans="1:24" ht="15.6" x14ac:dyDescent="0.3">
      <c r="A139" s="273"/>
      <c r="B139" s="403" t="s">
        <v>41</v>
      </c>
      <c r="C139" s="274"/>
      <c r="D139" s="274"/>
      <c r="E139" s="274"/>
      <c r="F139" s="274"/>
      <c r="G139" s="274"/>
      <c r="H139" s="274"/>
      <c r="I139" s="274"/>
      <c r="J139" s="274"/>
      <c r="K139" s="274"/>
      <c r="L139" s="274"/>
      <c r="M139" s="274"/>
      <c r="N139" s="274"/>
      <c r="O139" s="274"/>
      <c r="P139" s="274"/>
      <c r="Q139" s="274"/>
      <c r="R139" s="274"/>
      <c r="S139" s="274"/>
      <c r="T139" s="274"/>
      <c r="U139" s="274"/>
      <c r="V139" s="275"/>
      <c r="W139" s="274"/>
      <c r="X139" s="5"/>
    </row>
    <row r="140" spans="1:24" ht="15.6" x14ac:dyDescent="0.3">
      <c r="A140" s="183"/>
      <c r="B140" s="195"/>
      <c r="C140" s="185"/>
      <c r="D140" s="185"/>
      <c r="E140" s="185"/>
      <c r="F140" s="185"/>
      <c r="G140" s="185"/>
      <c r="H140" s="185"/>
      <c r="I140" s="185"/>
      <c r="J140" s="185"/>
      <c r="K140" s="185"/>
      <c r="L140" s="185"/>
      <c r="M140" s="185"/>
      <c r="N140" s="185"/>
      <c r="O140" s="185"/>
      <c r="P140" s="185"/>
      <c r="Q140" s="185"/>
      <c r="R140" s="185"/>
      <c r="S140" s="185"/>
      <c r="T140" s="185"/>
      <c r="U140" s="185"/>
      <c r="V140" s="201"/>
      <c r="W140" s="185"/>
      <c r="X140" s="5"/>
    </row>
    <row r="141" spans="1:24" ht="15.6" x14ac:dyDescent="0.3">
      <c r="A141" s="183"/>
      <c r="B141" s="208" t="s">
        <v>42</v>
      </c>
      <c r="C141" s="185"/>
      <c r="D141" s="185"/>
      <c r="E141" s="185"/>
      <c r="F141" s="185"/>
      <c r="G141" s="185"/>
      <c r="H141" s="185"/>
      <c r="I141" s="185"/>
      <c r="J141" s="185"/>
      <c r="K141" s="185"/>
      <c r="L141" s="185"/>
      <c r="M141" s="185"/>
      <c r="N141" s="185"/>
      <c r="O141" s="185"/>
      <c r="P141" s="185"/>
      <c r="Q141" s="185"/>
      <c r="R141" s="185"/>
      <c r="S141" s="185"/>
      <c r="T141" s="185"/>
      <c r="U141" s="185"/>
      <c r="V141" s="201"/>
      <c r="W141" s="185"/>
      <c r="X141" s="5"/>
    </row>
    <row r="142" spans="1:24" ht="15.6" x14ac:dyDescent="0.3">
      <c r="A142" s="287"/>
      <c r="B142" s="288" t="s">
        <v>43</v>
      </c>
      <c r="C142" s="288"/>
      <c r="D142" s="288"/>
      <c r="E142" s="288"/>
      <c r="F142" s="288"/>
      <c r="G142" s="288"/>
      <c r="H142" s="288"/>
      <c r="I142" s="288"/>
      <c r="J142" s="288"/>
      <c r="K142" s="288"/>
      <c r="L142" s="288"/>
      <c r="M142" s="288"/>
      <c r="N142" s="288"/>
      <c r="O142" s="288"/>
      <c r="P142" s="288"/>
      <c r="Q142" s="288"/>
      <c r="R142" s="288"/>
      <c r="S142" s="288"/>
      <c r="T142" s="288"/>
      <c r="U142" s="288"/>
      <c r="V142" s="338">
        <f>+V34*0.019</f>
        <v>28505.224999999999</v>
      </c>
      <c r="W142" s="291"/>
      <c r="X142" s="5"/>
    </row>
    <row r="143" spans="1:24" ht="15.6" x14ac:dyDescent="0.3">
      <c r="A143" s="287"/>
      <c r="B143" s="288" t="s">
        <v>44</v>
      </c>
      <c r="C143" s="288"/>
      <c r="D143" s="288"/>
      <c r="E143" s="288"/>
      <c r="F143" s="288"/>
      <c r="G143" s="288"/>
      <c r="H143" s="288"/>
      <c r="I143" s="288"/>
      <c r="J143" s="288"/>
      <c r="K143" s="288"/>
      <c r="L143" s="288"/>
      <c r="M143" s="288"/>
      <c r="N143" s="288"/>
      <c r="O143" s="288"/>
      <c r="P143" s="288"/>
      <c r="Q143" s="288"/>
      <c r="R143" s="288"/>
      <c r="S143" s="288"/>
      <c r="T143" s="288"/>
      <c r="U143" s="288"/>
      <c r="V143" s="338">
        <v>28505</v>
      </c>
      <c r="W143" s="291"/>
      <c r="X143" s="5"/>
    </row>
    <row r="144" spans="1:24" ht="15.6" x14ac:dyDescent="0.3">
      <c r="A144" s="287"/>
      <c r="B144" s="288" t="s">
        <v>136</v>
      </c>
      <c r="C144" s="288"/>
      <c r="D144" s="288"/>
      <c r="E144" s="288"/>
      <c r="F144" s="288"/>
      <c r="G144" s="288"/>
      <c r="H144" s="288"/>
      <c r="I144" s="288"/>
      <c r="J144" s="288"/>
      <c r="K144" s="288"/>
      <c r="L144" s="288"/>
      <c r="M144" s="288"/>
      <c r="N144" s="288"/>
      <c r="O144" s="288"/>
      <c r="P144" s="288"/>
      <c r="Q144" s="288"/>
      <c r="R144" s="288"/>
      <c r="S144" s="288"/>
      <c r="T144" s="288"/>
      <c r="U144" s="288"/>
      <c r="V144" s="338"/>
      <c r="W144" s="291"/>
      <c r="X144" s="5"/>
    </row>
    <row r="145" spans="1:25" ht="15.6" x14ac:dyDescent="0.3">
      <c r="A145" s="287"/>
      <c r="B145" s="288" t="s">
        <v>123</v>
      </c>
      <c r="C145" s="288"/>
      <c r="D145" s="288"/>
      <c r="E145" s="288"/>
      <c r="F145" s="288"/>
      <c r="G145" s="288"/>
      <c r="H145" s="288"/>
      <c r="I145" s="288"/>
      <c r="J145" s="288"/>
      <c r="K145" s="288"/>
      <c r="L145" s="288"/>
      <c r="M145" s="288"/>
      <c r="N145" s="288"/>
      <c r="O145" s="288"/>
      <c r="P145" s="288"/>
      <c r="Q145" s="288"/>
      <c r="R145" s="288"/>
      <c r="S145" s="288"/>
      <c r="T145" s="288"/>
      <c r="U145" s="288"/>
      <c r="V145" s="338">
        <v>0</v>
      </c>
      <c r="W145" s="291"/>
      <c r="X145" s="5"/>
    </row>
    <row r="146" spans="1:25" ht="15.6" x14ac:dyDescent="0.3">
      <c r="A146" s="287"/>
      <c r="B146" s="288" t="s">
        <v>124</v>
      </c>
      <c r="C146" s="288"/>
      <c r="D146" s="288"/>
      <c r="E146" s="288"/>
      <c r="F146" s="288"/>
      <c r="G146" s="288"/>
      <c r="H146" s="288"/>
      <c r="I146" s="288"/>
      <c r="J146" s="288"/>
      <c r="K146" s="288"/>
      <c r="L146" s="288"/>
      <c r="M146" s="288"/>
      <c r="N146" s="288"/>
      <c r="O146" s="288"/>
      <c r="P146" s="288"/>
      <c r="Q146" s="288"/>
      <c r="R146" s="288"/>
      <c r="S146" s="288"/>
      <c r="T146" s="288"/>
      <c r="U146" s="288"/>
      <c r="V146" s="338">
        <v>0</v>
      </c>
      <c r="W146" s="291"/>
      <c r="X146" s="5"/>
    </row>
    <row r="147" spans="1:25" ht="15.6" x14ac:dyDescent="0.3">
      <c r="A147" s="287"/>
      <c r="B147" s="288" t="s">
        <v>175</v>
      </c>
      <c r="C147" s="288"/>
      <c r="D147" s="288"/>
      <c r="E147" s="288"/>
      <c r="F147" s="288"/>
      <c r="G147" s="288"/>
      <c r="H147" s="288"/>
      <c r="I147" s="288"/>
      <c r="J147" s="288"/>
      <c r="K147" s="288"/>
      <c r="L147" s="288"/>
      <c r="M147" s="288"/>
      <c r="N147" s="288"/>
      <c r="O147" s="288"/>
      <c r="P147" s="288"/>
      <c r="Q147" s="288"/>
      <c r="R147" s="288"/>
      <c r="S147" s="288"/>
      <c r="T147" s="288"/>
      <c r="U147" s="288"/>
      <c r="V147" s="338">
        <v>0</v>
      </c>
      <c r="W147" s="291"/>
      <c r="X147" s="5"/>
    </row>
    <row r="148" spans="1:25" ht="15.6" x14ac:dyDescent="0.3">
      <c r="A148" s="287"/>
      <c r="B148" s="288" t="s">
        <v>45</v>
      </c>
      <c r="C148" s="288"/>
      <c r="D148" s="288"/>
      <c r="E148" s="288"/>
      <c r="F148" s="288"/>
      <c r="G148" s="288"/>
      <c r="H148" s="288"/>
      <c r="I148" s="288"/>
      <c r="J148" s="288"/>
      <c r="K148" s="288"/>
      <c r="L148" s="288"/>
      <c r="M148" s="288"/>
      <c r="N148" s="288"/>
      <c r="O148" s="288"/>
      <c r="P148" s="288"/>
      <c r="Q148" s="288"/>
      <c r="R148" s="288"/>
      <c r="S148" s="288"/>
      <c r="T148" s="288"/>
      <c r="U148" s="288"/>
      <c r="V148" s="338">
        <v>0</v>
      </c>
      <c r="W148" s="291"/>
      <c r="X148" s="5"/>
    </row>
    <row r="149" spans="1:25" ht="15.6" x14ac:dyDescent="0.3">
      <c r="A149" s="287"/>
      <c r="B149" s="288" t="s">
        <v>129</v>
      </c>
      <c r="C149" s="288"/>
      <c r="D149" s="288"/>
      <c r="E149" s="288"/>
      <c r="F149" s="288"/>
      <c r="G149" s="288"/>
      <c r="H149" s="288"/>
      <c r="I149" s="288"/>
      <c r="J149" s="288"/>
      <c r="K149" s="288"/>
      <c r="L149" s="288"/>
      <c r="M149" s="288"/>
      <c r="N149" s="288"/>
      <c r="O149" s="288"/>
      <c r="P149" s="288"/>
      <c r="Q149" s="288"/>
      <c r="R149" s="288"/>
      <c r="S149" s="288"/>
      <c r="T149" s="288"/>
      <c r="U149" s="288"/>
      <c r="V149" s="338">
        <v>0</v>
      </c>
      <c r="W149" s="291"/>
      <c r="X149" s="5"/>
    </row>
    <row r="150" spans="1:25" ht="15.6" x14ac:dyDescent="0.3">
      <c r="A150" s="287"/>
      <c r="B150" s="288" t="s">
        <v>267</v>
      </c>
      <c r="C150" s="288"/>
      <c r="D150" s="288"/>
      <c r="E150" s="288"/>
      <c r="F150" s="288"/>
      <c r="G150" s="288"/>
      <c r="H150" s="288"/>
      <c r="I150" s="288"/>
      <c r="J150" s="288"/>
      <c r="K150" s="288"/>
      <c r="L150" s="288"/>
      <c r="M150" s="288"/>
      <c r="N150" s="288"/>
      <c r="O150" s="288"/>
      <c r="P150" s="288"/>
      <c r="Q150" s="288"/>
      <c r="R150" s="288"/>
      <c r="S150" s="288"/>
      <c r="T150" s="288"/>
      <c r="U150" s="288"/>
      <c r="V150" s="338">
        <v>0</v>
      </c>
      <c r="W150" s="291"/>
      <c r="X150" s="5"/>
      <c r="Y150" s="109"/>
    </row>
    <row r="151" spans="1:25" ht="15.6" x14ac:dyDescent="0.3">
      <c r="A151" s="287"/>
      <c r="B151" s="288" t="s">
        <v>46</v>
      </c>
      <c r="C151" s="288"/>
      <c r="D151" s="288"/>
      <c r="E151" s="288"/>
      <c r="F151" s="288"/>
      <c r="G151" s="288"/>
      <c r="H151" s="288"/>
      <c r="I151" s="288"/>
      <c r="J151" s="288"/>
      <c r="K151" s="288"/>
      <c r="L151" s="288"/>
      <c r="M151" s="288"/>
      <c r="N151" s="288"/>
      <c r="O151" s="288"/>
      <c r="P151" s="288"/>
      <c r="Q151" s="288"/>
      <c r="R151" s="288"/>
      <c r="S151" s="288"/>
      <c r="T151" s="288"/>
      <c r="U151" s="288"/>
      <c r="V151" s="338">
        <f>SUM(V143:V150)</f>
        <v>28505</v>
      </c>
      <c r="W151" s="291"/>
      <c r="X151" s="5"/>
    </row>
    <row r="152" spans="1:25" ht="15.6" x14ac:dyDescent="0.3">
      <c r="A152" s="287"/>
      <c r="B152" s="314"/>
      <c r="C152" s="314"/>
      <c r="D152" s="314"/>
      <c r="E152" s="314"/>
      <c r="F152" s="314"/>
      <c r="G152" s="314"/>
      <c r="H152" s="314"/>
      <c r="I152" s="314"/>
      <c r="J152" s="314"/>
      <c r="K152" s="314"/>
      <c r="L152" s="314"/>
      <c r="M152" s="314"/>
      <c r="N152" s="314"/>
      <c r="O152" s="314"/>
      <c r="P152" s="314"/>
      <c r="Q152" s="314"/>
      <c r="R152" s="314"/>
      <c r="S152" s="314"/>
      <c r="T152" s="314"/>
      <c r="U152" s="314"/>
      <c r="V152" s="345"/>
      <c r="W152" s="318"/>
      <c r="X152" s="5"/>
    </row>
    <row r="153" spans="1:25" ht="15.6" x14ac:dyDescent="0.3">
      <c r="A153" s="287"/>
      <c r="B153" s="343" t="s">
        <v>237</v>
      </c>
      <c r="C153" s="314"/>
      <c r="D153" s="314"/>
      <c r="E153" s="314"/>
      <c r="F153" s="314"/>
      <c r="G153" s="314"/>
      <c r="H153" s="314"/>
      <c r="I153" s="314"/>
      <c r="J153" s="314"/>
      <c r="K153" s="314"/>
      <c r="L153" s="314"/>
      <c r="M153" s="314"/>
      <c r="N153" s="314"/>
      <c r="O153" s="314"/>
      <c r="P153" s="314"/>
      <c r="Q153" s="314"/>
      <c r="R153" s="314"/>
      <c r="S153" s="314"/>
      <c r="T153" s="314"/>
      <c r="U153" s="314"/>
      <c r="V153" s="345"/>
      <c r="W153" s="318"/>
      <c r="X153" s="5"/>
    </row>
    <row r="154" spans="1:25" ht="15.6" x14ac:dyDescent="0.3">
      <c r="A154" s="287"/>
      <c r="B154" s="288" t="s">
        <v>155</v>
      </c>
      <c r="C154" s="288"/>
      <c r="D154" s="288"/>
      <c r="E154" s="288"/>
      <c r="F154" s="288"/>
      <c r="G154" s="288"/>
      <c r="H154" s="288"/>
      <c r="I154" s="288"/>
      <c r="J154" s="288"/>
      <c r="K154" s="288"/>
      <c r="L154" s="288"/>
      <c r="M154" s="288"/>
      <c r="N154" s="288"/>
      <c r="O154" s="288"/>
      <c r="P154" s="288"/>
      <c r="Q154" s="288"/>
      <c r="R154" s="288"/>
      <c r="S154" s="288"/>
      <c r="T154" s="288"/>
      <c r="U154" s="288"/>
      <c r="V154" s="338">
        <v>7500</v>
      </c>
      <c r="W154" s="291"/>
      <c r="X154" s="5"/>
    </row>
    <row r="155" spans="1:25" ht="15.6" x14ac:dyDescent="0.3">
      <c r="A155" s="287"/>
      <c r="B155" s="288" t="s">
        <v>172</v>
      </c>
      <c r="C155" s="288"/>
      <c r="D155" s="288"/>
      <c r="E155" s="288"/>
      <c r="F155" s="288"/>
      <c r="G155" s="288"/>
      <c r="H155" s="288"/>
      <c r="I155" s="288"/>
      <c r="J155" s="288"/>
      <c r="K155" s="288"/>
      <c r="L155" s="288"/>
      <c r="M155" s="288"/>
      <c r="N155" s="288"/>
      <c r="O155" s="288"/>
      <c r="P155" s="288"/>
      <c r="Q155" s="288"/>
      <c r="R155" s="288"/>
      <c r="S155" s="288"/>
      <c r="T155" s="288"/>
      <c r="U155" s="288"/>
      <c r="V155" s="338">
        <v>0</v>
      </c>
      <c r="W155" s="291"/>
      <c r="X155" s="5"/>
    </row>
    <row r="156" spans="1:25" ht="15.6" x14ac:dyDescent="0.3">
      <c r="A156" s="287"/>
      <c r="B156" s="288" t="s">
        <v>344</v>
      </c>
      <c r="C156" s="288"/>
      <c r="D156" s="288"/>
      <c r="E156" s="288"/>
      <c r="F156" s="288"/>
      <c r="G156" s="288"/>
      <c r="H156" s="288"/>
      <c r="I156" s="288"/>
      <c r="J156" s="288"/>
      <c r="K156" s="288"/>
      <c r="L156" s="288"/>
      <c r="M156" s="288"/>
      <c r="N156" s="288"/>
      <c r="O156" s="288"/>
      <c r="P156" s="288"/>
      <c r="Q156" s="288"/>
      <c r="R156" s="288"/>
      <c r="S156" s="288"/>
      <c r="T156" s="288"/>
      <c r="U156" s="288"/>
      <c r="V156" s="338">
        <v>0</v>
      </c>
      <c r="W156" s="291"/>
      <c r="X156" s="5"/>
    </row>
    <row r="157" spans="1:25" ht="15.6" x14ac:dyDescent="0.3">
      <c r="A157" s="287"/>
      <c r="B157" s="288"/>
      <c r="C157" s="288"/>
      <c r="D157" s="288"/>
      <c r="E157" s="288"/>
      <c r="F157" s="288"/>
      <c r="G157" s="288"/>
      <c r="H157" s="288"/>
      <c r="I157" s="288"/>
      <c r="J157" s="288"/>
      <c r="K157" s="288"/>
      <c r="L157" s="288"/>
      <c r="M157" s="288"/>
      <c r="N157" s="288"/>
      <c r="O157" s="288"/>
      <c r="P157" s="288"/>
      <c r="Q157" s="288"/>
      <c r="R157" s="288"/>
      <c r="S157" s="288"/>
      <c r="T157" s="288"/>
      <c r="U157" s="288"/>
      <c r="V157" s="338"/>
      <c r="W157" s="291"/>
      <c r="X157" s="5"/>
    </row>
    <row r="158" spans="1:25" ht="15.6" x14ac:dyDescent="0.3">
      <c r="A158" s="183"/>
      <c r="B158" s="198"/>
      <c r="C158" s="198"/>
      <c r="D158" s="198"/>
      <c r="E158" s="198"/>
      <c r="F158" s="198"/>
      <c r="G158" s="198"/>
      <c r="H158" s="198"/>
      <c r="I158" s="198"/>
      <c r="J158" s="198"/>
      <c r="K158" s="198"/>
      <c r="L158" s="198"/>
      <c r="M158" s="198"/>
      <c r="N158" s="198"/>
      <c r="O158" s="198"/>
      <c r="P158" s="198"/>
      <c r="Q158" s="198"/>
      <c r="R158" s="198"/>
      <c r="S158" s="198"/>
      <c r="T158" s="198"/>
      <c r="U158" s="198"/>
      <c r="V158" s="347"/>
      <c r="W158" s="198"/>
      <c r="X158" s="5"/>
    </row>
    <row r="159" spans="1:25" ht="15.6" x14ac:dyDescent="0.3">
      <c r="A159" s="183"/>
      <c r="B159" s="208" t="s">
        <v>24</v>
      </c>
      <c r="C159" s="185"/>
      <c r="D159" s="185"/>
      <c r="E159" s="185"/>
      <c r="F159" s="185"/>
      <c r="G159" s="185"/>
      <c r="H159" s="185"/>
      <c r="I159" s="185"/>
      <c r="J159" s="185"/>
      <c r="K159" s="185"/>
      <c r="L159" s="185"/>
      <c r="M159" s="185"/>
      <c r="N159" s="185"/>
      <c r="O159" s="185"/>
      <c r="P159" s="185"/>
      <c r="Q159" s="185"/>
      <c r="R159" s="185"/>
      <c r="S159" s="185"/>
      <c r="T159" s="185"/>
      <c r="U159" s="185"/>
      <c r="V159" s="201"/>
      <c r="W159" s="185"/>
      <c r="X159" s="5"/>
    </row>
    <row r="160" spans="1:25" ht="15.6" x14ac:dyDescent="0.3">
      <c r="A160" s="287"/>
      <c r="B160" s="288" t="s">
        <v>47</v>
      </c>
      <c r="C160" s="288"/>
      <c r="D160" s="288"/>
      <c r="E160" s="288"/>
      <c r="F160" s="288"/>
      <c r="G160" s="288"/>
      <c r="H160" s="288"/>
      <c r="I160" s="288"/>
      <c r="J160" s="288"/>
      <c r="K160" s="288"/>
      <c r="L160" s="288"/>
      <c r="M160" s="288"/>
      <c r="N160" s="288"/>
      <c r="O160" s="288"/>
      <c r="P160" s="288"/>
      <c r="Q160" s="288"/>
      <c r="R160" s="288"/>
      <c r="S160" s="288"/>
      <c r="T160" s="288"/>
      <c r="U160" s="288"/>
      <c r="V160" s="348" t="s">
        <v>118</v>
      </c>
      <c r="W160" s="291"/>
      <c r="X160" s="5"/>
    </row>
    <row r="161" spans="1:256" ht="15.6" x14ac:dyDescent="0.3">
      <c r="A161" s="287"/>
      <c r="B161" s="288" t="s">
        <v>48</v>
      </c>
      <c r="C161" s="290"/>
      <c r="D161" s="290"/>
      <c r="E161" s="290"/>
      <c r="F161" s="290"/>
      <c r="G161" s="290"/>
      <c r="H161" s="290"/>
      <c r="I161" s="290"/>
      <c r="J161" s="290"/>
      <c r="K161" s="290"/>
      <c r="L161" s="290"/>
      <c r="M161" s="290"/>
      <c r="N161" s="290"/>
      <c r="O161" s="290"/>
      <c r="P161" s="290"/>
      <c r="Q161" s="290"/>
      <c r="R161" s="290"/>
      <c r="S161" s="290"/>
      <c r="T161" s="290"/>
      <c r="U161" s="290"/>
      <c r="V161" s="348" t="s">
        <v>118</v>
      </c>
      <c r="W161" s="291"/>
      <c r="X161" s="5"/>
    </row>
    <row r="162" spans="1:256" ht="15.6" x14ac:dyDescent="0.3">
      <c r="A162" s="287"/>
      <c r="B162" s="288" t="s">
        <v>49</v>
      </c>
      <c r="C162" s="288"/>
      <c r="D162" s="288"/>
      <c r="E162" s="288"/>
      <c r="F162" s="288"/>
      <c r="G162" s="288"/>
      <c r="H162" s="288"/>
      <c r="I162" s="288"/>
      <c r="J162" s="288"/>
      <c r="K162" s="288"/>
      <c r="L162" s="288"/>
      <c r="M162" s="288"/>
      <c r="N162" s="288"/>
      <c r="O162" s="288"/>
      <c r="P162" s="288"/>
      <c r="Q162" s="288"/>
      <c r="R162" s="288"/>
      <c r="S162" s="288"/>
      <c r="T162" s="288"/>
      <c r="U162" s="288"/>
      <c r="V162" s="348" t="s">
        <v>118</v>
      </c>
      <c r="W162" s="291"/>
      <c r="X162" s="5"/>
    </row>
    <row r="163" spans="1:256" ht="15.6" x14ac:dyDescent="0.3">
      <c r="A163" s="287"/>
      <c r="B163" s="288" t="s">
        <v>50</v>
      </c>
      <c r="C163" s="288"/>
      <c r="D163" s="288"/>
      <c r="E163" s="288"/>
      <c r="F163" s="288"/>
      <c r="G163" s="288"/>
      <c r="H163" s="288"/>
      <c r="I163" s="288"/>
      <c r="J163" s="288"/>
      <c r="K163" s="288"/>
      <c r="L163" s="288"/>
      <c r="M163" s="288"/>
      <c r="N163" s="288"/>
      <c r="O163" s="288"/>
      <c r="P163" s="288"/>
      <c r="Q163" s="288"/>
      <c r="R163" s="288"/>
      <c r="S163" s="288"/>
      <c r="T163" s="288"/>
      <c r="U163" s="288"/>
      <c r="V163" s="348" t="s">
        <v>118</v>
      </c>
      <c r="W163" s="291"/>
      <c r="X163" s="5"/>
    </row>
    <row r="164" spans="1:256" ht="15.6" x14ac:dyDescent="0.3">
      <c r="A164" s="183"/>
      <c r="B164" s="198"/>
      <c r="C164" s="198"/>
      <c r="D164" s="198"/>
      <c r="E164" s="198"/>
      <c r="F164" s="198"/>
      <c r="G164" s="198"/>
      <c r="H164" s="198"/>
      <c r="I164" s="198"/>
      <c r="J164" s="198"/>
      <c r="K164" s="198"/>
      <c r="L164" s="198"/>
      <c r="M164" s="198"/>
      <c r="N164" s="198"/>
      <c r="O164" s="198"/>
      <c r="P164" s="198"/>
      <c r="Q164" s="198"/>
      <c r="R164" s="198"/>
      <c r="S164" s="198"/>
      <c r="T164" s="198"/>
      <c r="U164" s="198"/>
      <c r="V164" s="347"/>
      <c r="W164" s="198"/>
      <c r="X164" s="5"/>
    </row>
    <row r="165" spans="1:256" ht="15.6" x14ac:dyDescent="0.3">
      <c r="A165" s="183"/>
      <c r="B165" s="208" t="s">
        <v>51</v>
      </c>
      <c r="C165" s="185"/>
      <c r="D165" s="185"/>
      <c r="E165" s="185"/>
      <c r="F165" s="185"/>
      <c r="G165" s="185"/>
      <c r="H165" s="185"/>
      <c r="I165" s="185"/>
      <c r="J165" s="185"/>
      <c r="K165" s="185"/>
      <c r="L165" s="185"/>
      <c r="M165" s="185"/>
      <c r="N165" s="185"/>
      <c r="O165" s="185"/>
      <c r="P165" s="185"/>
      <c r="Q165" s="185"/>
      <c r="R165" s="185"/>
      <c r="S165" s="185"/>
      <c r="T165" s="185"/>
      <c r="U165" s="185"/>
      <c r="V165" s="209"/>
      <c r="W165" s="185"/>
      <c r="X165" s="5"/>
    </row>
    <row r="166" spans="1:256" ht="15.6" x14ac:dyDescent="0.3">
      <c r="A166" s="287"/>
      <c r="B166" s="288" t="s">
        <v>52</v>
      </c>
      <c r="C166" s="288"/>
      <c r="D166" s="288"/>
      <c r="E166" s="288"/>
      <c r="F166" s="288"/>
      <c r="G166" s="288"/>
      <c r="H166" s="288"/>
      <c r="I166" s="288"/>
      <c r="J166" s="288"/>
      <c r="K166" s="288"/>
      <c r="L166" s="288"/>
      <c r="M166" s="288"/>
      <c r="N166" s="288"/>
      <c r="O166" s="288"/>
      <c r="P166" s="288"/>
      <c r="Q166" s="288"/>
      <c r="R166" s="288"/>
      <c r="S166" s="288"/>
      <c r="T166" s="288"/>
      <c r="U166" s="288"/>
      <c r="V166" s="338">
        <v>0</v>
      </c>
      <c r="W166" s="291"/>
      <c r="X166" s="5"/>
    </row>
    <row r="167" spans="1:256" ht="15.6" x14ac:dyDescent="0.3">
      <c r="A167" s="287"/>
      <c r="B167" s="288" t="s">
        <v>53</v>
      </c>
      <c r="C167" s="288"/>
      <c r="D167" s="288"/>
      <c r="E167" s="288"/>
      <c r="F167" s="288"/>
      <c r="G167" s="288"/>
      <c r="H167" s="288"/>
      <c r="I167" s="288"/>
      <c r="J167" s="288"/>
      <c r="K167" s="288"/>
      <c r="L167" s="288"/>
      <c r="M167" s="288"/>
      <c r="N167" s="288"/>
      <c r="O167" s="288"/>
      <c r="P167" s="288"/>
      <c r="Q167" s="288"/>
      <c r="R167" s="288"/>
      <c r="S167" s="288"/>
      <c r="T167" s="288"/>
      <c r="U167" s="288"/>
      <c r="V167" s="338">
        <v>84</v>
      </c>
      <c r="W167" s="291"/>
      <c r="X167" s="5"/>
    </row>
    <row r="168" spans="1:256" ht="15.6" x14ac:dyDescent="0.3">
      <c r="A168" s="287"/>
      <c r="B168" s="288" t="s">
        <v>54</v>
      </c>
      <c r="C168" s="288"/>
      <c r="D168" s="288"/>
      <c r="E168" s="288"/>
      <c r="F168" s="288"/>
      <c r="G168" s="288"/>
      <c r="H168" s="288"/>
      <c r="I168" s="288"/>
      <c r="J168" s="288"/>
      <c r="K168" s="288"/>
      <c r="L168" s="288"/>
      <c r="M168" s="288"/>
      <c r="N168" s="288"/>
      <c r="O168" s="288"/>
      <c r="P168" s="288"/>
      <c r="Q168" s="288"/>
      <c r="R168" s="288"/>
      <c r="S168" s="288"/>
      <c r="T168" s="288"/>
      <c r="U168" s="288"/>
      <c r="V168" s="338">
        <f>V167+V166</f>
        <v>84</v>
      </c>
      <c r="W168" s="291"/>
      <c r="X168" s="5"/>
    </row>
    <row r="169" spans="1:256" ht="15.6" x14ac:dyDescent="0.3">
      <c r="A169" s="287"/>
      <c r="B169" s="288" t="s">
        <v>315</v>
      </c>
      <c r="C169" s="288"/>
      <c r="D169" s="288"/>
      <c r="E169" s="288"/>
      <c r="F169" s="288"/>
      <c r="G169" s="288"/>
      <c r="H169" s="288"/>
      <c r="I169" s="288"/>
      <c r="J169" s="288"/>
      <c r="K169" s="288"/>
      <c r="L169" s="288"/>
      <c r="M169" s="288"/>
      <c r="N169" s="288"/>
      <c r="O169" s="288"/>
      <c r="P169" s="288"/>
      <c r="Q169" s="288"/>
      <c r="R169" s="288"/>
      <c r="S169" s="288"/>
      <c r="T169" s="288"/>
      <c r="U169" s="288"/>
      <c r="V169" s="338">
        <f>V115</f>
        <v>-84</v>
      </c>
      <c r="W169" s="291"/>
      <c r="X169" s="5"/>
    </row>
    <row r="170" spans="1:256" ht="15.6" x14ac:dyDescent="0.3">
      <c r="A170" s="287"/>
      <c r="B170" s="288" t="s">
        <v>55</v>
      </c>
      <c r="C170" s="288"/>
      <c r="D170" s="288"/>
      <c r="E170" s="288"/>
      <c r="F170" s="288"/>
      <c r="G170" s="288"/>
      <c r="H170" s="288"/>
      <c r="I170" s="288"/>
      <c r="J170" s="288"/>
      <c r="K170" s="288"/>
      <c r="L170" s="288"/>
      <c r="M170" s="288"/>
      <c r="N170" s="288"/>
      <c r="O170" s="288"/>
      <c r="P170" s="288"/>
      <c r="Q170" s="288"/>
      <c r="R170" s="288"/>
      <c r="S170" s="288"/>
      <c r="T170" s="288"/>
      <c r="U170" s="288"/>
      <c r="V170" s="338">
        <f>V168+V169</f>
        <v>0</v>
      </c>
      <c r="W170" s="291"/>
      <c r="X170" s="5"/>
    </row>
    <row r="171" spans="1:256" ht="15.6" x14ac:dyDescent="0.3">
      <c r="A171" s="287"/>
      <c r="B171" s="288" t="s">
        <v>283</v>
      </c>
      <c r="C171" s="288"/>
      <c r="D171" s="288"/>
      <c r="E171" s="288"/>
      <c r="F171" s="288"/>
      <c r="G171" s="288"/>
      <c r="H171" s="288"/>
      <c r="I171" s="288"/>
      <c r="J171" s="288"/>
      <c r="K171" s="288"/>
      <c r="L171" s="288"/>
      <c r="M171" s="288"/>
      <c r="N171" s="288"/>
      <c r="O171" s="288"/>
      <c r="P171" s="288"/>
      <c r="Q171" s="288"/>
      <c r="R171" s="288"/>
      <c r="S171" s="288"/>
      <c r="T171" s="288"/>
      <c r="U171" s="288"/>
      <c r="V171" s="338">
        <v>0</v>
      </c>
      <c r="W171" s="291"/>
      <c r="X171" s="5"/>
    </row>
    <row r="172" spans="1:256" ht="16.2" thickBot="1" x14ac:dyDescent="0.35">
      <c r="A172" s="183"/>
      <c r="B172" s="284"/>
      <c r="C172" s="284"/>
      <c r="D172" s="284"/>
      <c r="E172" s="284"/>
      <c r="F172" s="284"/>
      <c r="G172" s="284"/>
      <c r="H172" s="284"/>
      <c r="I172" s="284"/>
      <c r="J172" s="284"/>
      <c r="K172" s="284"/>
      <c r="L172" s="284"/>
      <c r="M172" s="284"/>
      <c r="N172" s="284"/>
      <c r="O172" s="284"/>
      <c r="P172" s="284"/>
      <c r="Q172" s="284"/>
      <c r="R172" s="284"/>
      <c r="S172" s="284"/>
      <c r="T172" s="284"/>
      <c r="U172" s="284"/>
      <c r="V172" s="349"/>
      <c r="W172" s="284"/>
      <c r="X172" s="5"/>
    </row>
    <row r="173" spans="1:256" ht="15.6" x14ac:dyDescent="0.3">
      <c r="A173" s="180"/>
      <c r="B173" s="247"/>
      <c r="C173" s="247"/>
      <c r="D173" s="247"/>
      <c r="E173" s="247"/>
      <c r="F173" s="247"/>
      <c r="G173" s="247"/>
      <c r="H173" s="247"/>
      <c r="I173" s="247"/>
      <c r="J173" s="247"/>
      <c r="K173" s="247"/>
      <c r="L173" s="247"/>
      <c r="M173" s="247"/>
      <c r="N173" s="247"/>
      <c r="O173" s="247"/>
      <c r="P173" s="247"/>
      <c r="Q173" s="247"/>
      <c r="R173" s="247"/>
      <c r="S173" s="247"/>
      <c r="T173" s="247"/>
      <c r="U173" s="247"/>
      <c r="V173" s="248"/>
      <c r="W173" s="247"/>
      <c r="X173" s="5"/>
    </row>
    <row r="174" spans="1:256" s="161" customFormat="1" ht="15.6" x14ac:dyDescent="0.3">
      <c r="A174" s="183"/>
      <c r="B174" s="208" t="s">
        <v>269</v>
      </c>
      <c r="C174" s="198"/>
      <c r="D174" s="198"/>
      <c r="E174" s="198"/>
      <c r="F174" s="198"/>
      <c r="G174" s="198"/>
      <c r="H174" s="198"/>
      <c r="I174" s="198"/>
      <c r="J174" s="198"/>
      <c r="K174" s="198"/>
      <c r="L174" s="198"/>
      <c r="M174" s="198"/>
      <c r="N174" s="198"/>
      <c r="O174" s="198"/>
      <c r="P174" s="198"/>
      <c r="Q174" s="198"/>
      <c r="R174" s="198"/>
      <c r="S174" s="198"/>
      <c r="T174" s="198"/>
      <c r="U174" s="198"/>
      <c r="V174" s="210"/>
      <c r="W174" s="198"/>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5.6" x14ac:dyDescent="0.3">
      <c r="A175" s="287"/>
      <c r="B175" s="288" t="s">
        <v>270</v>
      </c>
      <c r="C175" s="288"/>
      <c r="D175" s="288"/>
      <c r="E175" s="288"/>
      <c r="F175" s="288"/>
      <c r="G175" s="288"/>
      <c r="H175" s="288"/>
      <c r="I175" s="288"/>
      <c r="J175" s="288"/>
      <c r="K175" s="288"/>
      <c r="L175" s="288"/>
      <c r="M175" s="288"/>
      <c r="N175" s="288"/>
      <c r="O175" s="288"/>
      <c r="P175" s="288"/>
      <c r="Q175" s="288"/>
      <c r="R175" s="288"/>
      <c r="S175" s="288"/>
      <c r="T175" s="288"/>
      <c r="U175" s="288"/>
      <c r="V175" s="338">
        <f>+'Aug 08'!V177</f>
        <v>0</v>
      </c>
      <c r="W175" s="291"/>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3" customFormat="1" ht="15.6" x14ac:dyDescent="0.3">
      <c r="A176" s="287"/>
      <c r="B176" s="288" t="s">
        <v>273</v>
      </c>
      <c r="C176" s="288"/>
      <c r="D176" s="288"/>
      <c r="E176" s="288"/>
      <c r="F176" s="288"/>
      <c r="G176" s="288"/>
      <c r="H176" s="288"/>
      <c r="I176" s="288"/>
      <c r="J176" s="288"/>
      <c r="K176" s="288"/>
      <c r="L176" s="288"/>
      <c r="M176" s="288"/>
      <c r="N176" s="288"/>
      <c r="O176" s="288"/>
      <c r="P176" s="288"/>
      <c r="Q176" s="288"/>
      <c r="R176" s="288"/>
      <c r="S176" s="288"/>
      <c r="T176" s="288"/>
      <c r="U176" s="288"/>
      <c r="V176" s="338">
        <f>+V94</f>
        <v>0</v>
      </c>
      <c r="W176" s="291"/>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s="163" customFormat="1" ht="15.6" x14ac:dyDescent="0.3">
      <c r="A177" s="287"/>
      <c r="B177" s="288" t="s">
        <v>271</v>
      </c>
      <c r="C177" s="288"/>
      <c r="D177" s="288"/>
      <c r="E177" s="288"/>
      <c r="F177" s="288"/>
      <c r="G177" s="288"/>
      <c r="H177" s="288"/>
      <c r="I177" s="288"/>
      <c r="J177" s="288"/>
      <c r="K177" s="288"/>
      <c r="L177" s="288"/>
      <c r="M177" s="288"/>
      <c r="N177" s="288"/>
      <c r="O177" s="288"/>
      <c r="P177" s="288"/>
      <c r="Q177" s="288"/>
      <c r="R177" s="288"/>
      <c r="S177" s="288"/>
      <c r="T177" s="288"/>
      <c r="U177" s="288"/>
      <c r="V177" s="338">
        <f>+V175-V176</f>
        <v>0</v>
      </c>
      <c r="W177" s="291"/>
      <c r="X177" s="5"/>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s="166" customFormat="1" ht="16.2" thickBot="1" x14ac:dyDescent="0.35">
      <c r="A178" s="199"/>
      <c r="B178" s="198"/>
      <c r="C178" s="198"/>
      <c r="D178" s="198"/>
      <c r="E178" s="198"/>
      <c r="F178" s="198"/>
      <c r="G178" s="198"/>
      <c r="H178" s="198"/>
      <c r="I178" s="198"/>
      <c r="J178" s="198"/>
      <c r="K178" s="198"/>
      <c r="L178" s="198"/>
      <c r="M178" s="198"/>
      <c r="N178" s="198"/>
      <c r="O178" s="198"/>
      <c r="P178" s="198"/>
      <c r="Q178" s="198"/>
      <c r="R178" s="198"/>
      <c r="S178" s="198"/>
      <c r="T178" s="198"/>
      <c r="U178" s="198"/>
      <c r="V178" s="347"/>
      <c r="W178" s="198"/>
      <c r="X178" s="5"/>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s="167" customFormat="1" ht="15.6" x14ac:dyDescent="0.3">
      <c r="A179" s="180"/>
      <c r="B179" s="181"/>
      <c r="C179" s="181"/>
      <c r="D179" s="181"/>
      <c r="E179" s="181"/>
      <c r="F179" s="181"/>
      <c r="G179" s="181"/>
      <c r="H179" s="181"/>
      <c r="I179" s="181"/>
      <c r="J179" s="181"/>
      <c r="K179" s="181"/>
      <c r="L179" s="181"/>
      <c r="M179" s="181"/>
      <c r="N179" s="181"/>
      <c r="O179" s="181"/>
      <c r="P179" s="181"/>
      <c r="Q179" s="181"/>
      <c r="R179" s="181"/>
      <c r="S179" s="181"/>
      <c r="T179" s="181"/>
      <c r="U179" s="181"/>
      <c r="V179" s="200"/>
      <c r="W179" s="181"/>
      <c r="X179" s="5"/>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ht="15.6" x14ac:dyDescent="0.3">
      <c r="A180" s="183"/>
      <c r="B180" s="208" t="s">
        <v>56</v>
      </c>
      <c r="C180" s="185"/>
      <c r="D180" s="185"/>
      <c r="E180" s="185"/>
      <c r="F180" s="185"/>
      <c r="G180" s="185"/>
      <c r="H180" s="185"/>
      <c r="I180" s="185"/>
      <c r="J180" s="185"/>
      <c r="K180" s="185"/>
      <c r="L180" s="185"/>
      <c r="M180" s="185"/>
      <c r="N180" s="185"/>
      <c r="O180" s="185"/>
      <c r="P180" s="185"/>
      <c r="Q180" s="185"/>
      <c r="R180" s="185"/>
      <c r="S180" s="185"/>
      <c r="T180" s="185"/>
      <c r="U180" s="185"/>
      <c r="V180" s="201"/>
      <c r="W180" s="185"/>
      <c r="X180" s="5"/>
    </row>
    <row r="181" spans="1:256" ht="15.6" x14ac:dyDescent="0.3">
      <c r="A181" s="183"/>
      <c r="B181" s="195"/>
      <c r="C181" s="185"/>
      <c r="D181" s="185"/>
      <c r="E181" s="185"/>
      <c r="F181" s="185"/>
      <c r="G181" s="185"/>
      <c r="H181" s="185"/>
      <c r="I181" s="185"/>
      <c r="J181" s="185"/>
      <c r="K181" s="185"/>
      <c r="L181" s="185"/>
      <c r="M181" s="185"/>
      <c r="N181" s="185"/>
      <c r="O181" s="185"/>
      <c r="P181" s="185"/>
      <c r="Q181" s="185"/>
      <c r="R181" s="185"/>
      <c r="S181" s="185"/>
      <c r="T181" s="185"/>
      <c r="U181" s="185"/>
      <c r="V181" s="201"/>
      <c r="W181" s="185"/>
      <c r="X181" s="5"/>
    </row>
    <row r="182" spans="1:256" ht="15.6" x14ac:dyDescent="0.3">
      <c r="A182" s="287"/>
      <c r="B182" s="288" t="s">
        <v>57</v>
      </c>
      <c r="C182" s="288"/>
      <c r="D182" s="288"/>
      <c r="E182" s="288"/>
      <c r="F182" s="288"/>
      <c r="G182" s="288"/>
      <c r="H182" s="288"/>
      <c r="I182" s="288"/>
      <c r="J182" s="288"/>
      <c r="K182" s="288"/>
      <c r="L182" s="288"/>
      <c r="M182" s="288"/>
      <c r="N182" s="288"/>
      <c r="O182" s="288"/>
      <c r="P182" s="288"/>
      <c r="Q182" s="288"/>
      <c r="R182" s="288"/>
      <c r="S182" s="288"/>
      <c r="T182" s="288"/>
      <c r="U182" s="288"/>
      <c r="V182" s="338">
        <f>V71</f>
        <v>953437</v>
      </c>
      <c r="W182" s="291"/>
      <c r="X182" s="5"/>
    </row>
    <row r="183" spans="1:256" ht="15.6" x14ac:dyDescent="0.3">
      <c r="A183" s="287"/>
      <c r="B183" s="288" t="s">
        <v>58</v>
      </c>
      <c r="C183" s="288"/>
      <c r="D183" s="288"/>
      <c r="E183" s="288"/>
      <c r="F183" s="288"/>
      <c r="G183" s="288"/>
      <c r="H183" s="288"/>
      <c r="I183" s="288"/>
      <c r="J183" s="288"/>
      <c r="K183" s="288"/>
      <c r="L183" s="288"/>
      <c r="M183" s="288"/>
      <c r="N183" s="288"/>
      <c r="O183" s="288"/>
      <c r="P183" s="288"/>
      <c r="Q183" s="288"/>
      <c r="R183" s="288"/>
      <c r="S183" s="288"/>
      <c r="T183" s="288"/>
      <c r="U183" s="288"/>
      <c r="V183" s="338">
        <f>V84</f>
        <v>953437</v>
      </c>
      <c r="W183" s="291"/>
      <c r="X183" s="5"/>
    </row>
    <row r="184" spans="1:256" ht="16.2" thickBot="1" x14ac:dyDescent="0.35">
      <c r="A184" s="183"/>
      <c r="B184" s="198"/>
      <c r="C184" s="198"/>
      <c r="D184" s="198"/>
      <c r="E184" s="198"/>
      <c r="F184" s="198"/>
      <c r="G184" s="198"/>
      <c r="H184" s="198"/>
      <c r="I184" s="198"/>
      <c r="J184" s="198"/>
      <c r="K184" s="198"/>
      <c r="L184" s="198"/>
      <c r="M184" s="198"/>
      <c r="N184" s="198"/>
      <c r="O184" s="198"/>
      <c r="P184" s="198"/>
      <c r="Q184" s="198"/>
      <c r="R184" s="198"/>
      <c r="S184" s="198"/>
      <c r="T184" s="198"/>
      <c r="U184" s="198"/>
      <c r="V184" s="347"/>
      <c r="W184" s="198"/>
      <c r="X184" s="5"/>
    </row>
    <row r="185" spans="1:256" ht="15.6" x14ac:dyDescent="0.3">
      <c r="A185" s="180"/>
      <c r="B185" s="181"/>
      <c r="C185" s="181"/>
      <c r="D185" s="181"/>
      <c r="E185" s="181"/>
      <c r="F185" s="181"/>
      <c r="G185" s="181"/>
      <c r="H185" s="181"/>
      <c r="I185" s="181"/>
      <c r="J185" s="181"/>
      <c r="K185" s="181"/>
      <c r="L185" s="181"/>
      <c r="M185" s="181"/>
      <c r="N185" s="181"/>
      <c r="O185" s="181"/>
      <c r="P185" s="181"/>
      <c r="Q185" s="181"/>
      <c r="R185" s="181"/>
      <c r="S185" s="181"/>
      <c r="T185" s="181"/>
      <c r="U185" s="181"/>
      <c r="V185" s="200"/>
      <c r="W185" s="181"/>
      <c r="X185" s="5"/>
    </row>
    <row r="186" spans="1:256" ht="15.6" x14ac:dyDescent="0.3">
      <c r="A186" s="183"/>
      <c r="B186" s="208" t="s">
        <v>59</v>
      </c>
      <c r="C186" s="205"/>
      <c r="D186" s="205"/>
      <c r="E186" s="205"/>
      <c r="F186" s="205"/>
      <c r="G186" s="205"/>
      <c r="H186" s="211"/>
      <c r="I186" s="211"/>
      <c r="J186" s="211"/>
      <c r="K186" s="211"/>
      <c r="L186" s="211"/>
      <c r="M186" s="211"/>
      <c r="N186" s="211"/>
      <c r="O186" s="211"/>
      <c r="P186" s="211"/>
      <c r="Q186" s="211"/>
      <c r="R186" s="211"/>
      <c r="S186" s="211" t="s">
        <v>101</v>
      </c>
      <c r="T186" s="211" t="s">
        <v>176</v>
      </c>
      <c r="U186" s="187"/>
      <c r="V186" s="212" t="s">
        <v>114</v>
      </c>
      <c r="W186" s="213"/>
      <c r="X186" s="5"/>
    </row>
    <row r="187" spans="1:256" ht="15.6" x14ac:dyDescent="0.3">
      <c r="A187" s="287"/>
      <c r="B187" s="288" t="s">
        <v>60</v>
      </c>
      <c r="C187" s="288"/>
      <c r="D187" s="288"/>
      <c r="E187" s="288"/>
      <c r="F187" s="288"/>
      <c r="G187" s="288"/>
      <c r="H187" s="288"/>
      <c r="I187" s="288"/>
      <c r="J187" s="288"/>
      <c r="K187" s="288"/>
      <c r="L187" s="288"/>
      <c r="M187" s="288"/>
      <c r="N187" s="288"/>
      <c r="O187" s="288"/>
      <c r="P187" s="288"/>
      <c r="Q187" s="288"/>
      <c r="R187" s="288"/>
      <c r="S187" s="338">
        <f>+V34*0.16</f>
        <v>240044</v>
      </c>
      <c r="T187" s="325"/>
      <c r="U187" s="288"/>
      <c r="V187" s="338"/>
      <c r="W187" s="291"/>
      <c r="X187" s="5"/>
    </row>
    <row r="188" spans="1:256" ht="15.6" x14ac:dyDescent="0.3">
      <c r="A188" s="287"/>
      <c r="B188" s="288" t="s">
        <v>61</v>
      </c>
      <c r="C188" s="288"/>
      <c r="D188" s="288"/>
      <c r="E188" s="288"/>
      <c r="F188" s="288"/>
      <c r="G188" s="288"/>
      <c r="H188" s="288"/>
      <c r="I188" s="288"/>
      <c r="J188" s="288"/>
      <c r="K188" s="288"/>
      <c r="L188" s="288"/>
      <c r="M188" s="288"/>
      <c r="N188" s="288"/>
      <c r="O188" s="288"/>
      <c r="P188" s="288"/>
      <c r="Q188" s="288"/>
      <c r="R188" s="288"/>
      <c r="S188" s="338">
        <f>+'Feb 16'!S190</f>
        <v>27658</v>
      </c>
      <c r="T188" s="338">
        <f>+'Feb 16'!T190</f>
        <v>6016</v>
      </c>
      <c r="U188" s="288"/>
      <c r="V188" s="338">
        <f>S188+T188</f>
        <v>33674</v>
      </c>
      <c r="W188" s="291"/>
      <c r="X188" s="5"/>
    </row>
    <row r="189" spans="1:256" ht="15.6" x14ac:dyDescent="0.3">
      <c r="A189" s="287"/>
      <c r="B189" s="288" t="s">
        <v>62</v>
      </c>
      <c r="C189" s="288"/>
      <c r="D189" s="288"/>
      <c r="E189" s="288"/>
      <c r="F189" s="288"/>
      <c r="G189" s="288"/>
      <c r="H189" s="288"/>
      <c r="I189" s="288"/>
      <c r="J189" s="288"/>
      <c r="K189" s="288"/>
      <c r="L189" s="288"/>
      <c r="M189" s="288"/>
      <c r="N189" s="288"/>
      <c r="O189" s="288"/>
      <c r="P189" s="288"/>
      <c r="Q189" s="288"/>
      <c r="R189" s="288"/>
      <c r="S189" s="337">
        <f>154+398</f>
        <v>552</v>
      </c>
      <c r="T189" s="337">
        <v>0</v>
      </c>
      <c r="U189" s="288"/>
      <c r="V189" s="338">
        <f>S189+T189</f>
        <v>552</v>
      </c>
      <c r="W189" s="291"/>
      <c r="X189" s="5"/>
    </row>
    <row r="190" spans="1:256" ht="15.6" x14ac:dyDescent="0.3">
      <c r="A190" s="287"/>
      <c r="B190" s="288" t="s">
        <v>63</v>
      </c>
      <c r="C190" s="288"/>
      <c r="D190" s="288"/>
      <c r="E190" s="288"/>
      <c r="F190" s="288"/>
      <c r="G190" s="288"/>
      <c r="H190" s="288"/>
      <c r="I190" s="288"/>
      <c r="J190" s="288"/>
      <c r="K190" s="288"/>
      <c r="L190" s="288"/>
      <c r="M190" s="288"/>
      <c r="N190" s="288"/>
      <c r="O190" s="288"/>
      <c r="P190" s="288"/>
      <c r="Q190" s="288"/>
      <c r="R190" s="288"/>
      <c r="S190" s="338">
        <f>S188+S189</f>
        <v>28210</v>
      </c>
      <c r="T190" s="338">
        <f>T189+T188</f>
        <v>6016</v>
      </c>
      <c r="U190" s="288"/>
      <c r="V190" s="338">
        <f>S190+T190</f>
        <v>34226</v>
      </c>
      <c r="W190" s="291"/>
      <c r="X190" s="5"/>
    </row>
    <row r="191" spans="1:256" ht="15.6" x14ac:dyDescent="0.3">
      <c r="A191" s="287"/>
      <c r="B191" s="288" t="s">
        <v>64</v>
      </c>
      <c r="C191" s="288"/>
      <c r="D191" s="288"/>
      <c r="E191" s="288"/>
      <c r="F191" s="288"/>
      <c r="G191" s="288"/>
      <c r="H191" s="288"/>
      <c r="I191" s="288"/>
      <c r="J191" s="288"/>
      <c r="K191" s="288"/>
      <c r="L191" s="288"/>
      <c r="M191" s="288"/>
      <c r="N191" s="288"/>
      <c r="O191" s="288"/>
      <c r="P191" s="288"/>
      <c r="Q191" s="288"/>
      <c r="R191" s="288"/>
      <c r="S191" s="338">
        <f>S187-S190-T190</f>
        <v>205818</v>
      </c>
      <c r="T191" s="325"/>
      <c r="U191" s="288"/>
      <c r="V191" s="338"/>
      <c r="W191" s="291"/>
      <c r="X191" s="5"/>
    </row>
    <row r="192" spans="1:256" ht="16.2" thickBot="1" x14ac:dyDescent="0.35">
      <c r="A192" s="183"/>
      <c r="B192" s="198"/>
      <c r="C192" s="198"/>
      <c r="D192" s="198"/>
      <c r="E192" s="198"/>
      <c r="F192" s="198"/>
      <c r="G192" s="198"/>
      <c r="H192" s="198"/>
      <c r="I192" s="198"/>
      <c r="J192" s="198"/>
      <c r="K192" s="198"/>
      <c r="L192" s="198"/>
      <c r="M192" s="198"/>
      <c r="N192" s="198"/>
      <c r="O192" s="198"/>
      <c r="P192" s="198"/>
      <c r="Q192" s="198"/>
      <c r="R192" s="198"/>
      <c r="S192" s="198"/>
      <c r="T192" s="198"/>
      <c r="U192" s="198"/>
      <c r="V192" s="347"/>
      <c r="W192" s="198"/>
      <c r="X192" s="5"/>
    </row>
    <row r="193" spans="1:24" ht="15.6" x14ac:dyDescent="0.3">
      <c r="A193" s="180"/>
      <c r="B193" s="181"/>
      <c r="C193" s="181"/>
      <c r="D193" s="181"/>
      <c r="E193" s="181"/>
      <c r="F193" s="181"/>
      <c r="G193" s="181"/>
      <c r="H193" s="181"/>
      <c r="I193" s="181"/>
      <c r="J193" s="181"/>
      <c r="K193" s="181"/>
      <c r="L193" s="181"/>
      <c r="M193" s="181"/>
      <c r="N193" s="181"/>
      <c r="O193" s="181"/>
      <c r="P193" s="181"/>
      <c r="Q193" s="181"/>
      <c r="R193" s="181"/>
      <c r="S193" s="181"/>
      <c r="T193" s="181"/>
      <c r="U193" s="181"/>
      <c r="V193" s="200"/>
      <c r="W193" s="181"/>
      <c r="X193" s="5"/>
    </row>
    <row r="194" spans="1:24" ht="15.6" x14ac:dyDescent="0.3">
      <c r="A194" s="183"/>
      <c r="B194" s="208" t="s">
        <v>65</v>
      </c>
      <c r="C194" s="185"/>
      <c r="D194" s="185"/>
      <c r="E194" s="185"/>
      <c r="F194" s="185"/>
      <c r="G194" s="185"/>
      <c r="H194" s="185"/>
      <c r="I194" s="185"/>
      <c r="J194" s="185"/>
      <c r="K194" s="185"/>
      <c r="L194" s="185"/>
      <c r="M194" s="185"/>
      <c r="N194" s="185"/>
      <c r="O194" s="185"/>
      <c r="P194" s="185"/>
      <c r="Q194" s="185"/>
      <c r="R194" s="185"/>
      <c r="S194" s="185"/>
      <c r="T194" s="185"/>
      <c r="U194" s="185"/>
      <c r="V194" s="214"/>
      <c r="W194" s="185"/>
      <c r="X194" s="5"/>
    </row>
    <row r="195" spans="1:24" ht="15.6" x14ac:dyDescent="0.3">
      <c r="A195" s="287"/>
      <c r="B195" s="288" t="s">
        <v>66</v>
      </c>
      <c r="C195" s="288"/>
      <c r="D195" s="288"/>
      <c r="E195" s="288"/>
      <c r="F195" s="288"/>
      <c r="G195" s="288"/>
      <c r="H195" s="288"/>
      <c r="I195" s="288"/>
      <c r="J195" s="288"/>
      <c r="K195" s="288"/>
      <c r="L195" s="288"/>
      <c r="M195" s="288"/>
      <c r="N195" s="288"/>
      <c r="O195" s="288"/>
      <c r="P195" s="288"/>
      <c r="Q195" s="288"/>
      <c r="R195" s="288"/>
      <c r="S195" s="288"/>
      <c r="T195" s="288"/>
      <c r="U195" s="288"/>
      <c r="V195" s="348">
        <f>(V101+V103+V104+V105+V106)/-(V107+V108)</f>
        <v>3.876196553924697</v>
      </c>
      <c r="W195" s="291" t="s">
        <v>115</v>
      </c>
      <c r="X195" s="5"/>
    </row>
    <row r="196" spans="1:24" ht="15.6" x14ac:dyDescent="0.3">
      <c r="A196" s="287"/>
      <c r="B196" s="288" t="s">
        <v>67</v>
      </c>
      <c r="C196" s="288"/>
      <c r="D196" s="288"/>
      <c r="E196" s="288"/>
      <c r="F196" s="288"/>
      <c r="G196" s="288"/>
      <c r="H196" s="288"/>
      <c r="I196" s="288"/>
      <c r="J196" s="288"/>
      <c r="K196" s="288"/>
      <c r="L196" s="288"/>
      <c r="M196" s="288"/>
      <c r="N196" s="288"/>
      <c r="O196" s="288"/>
      <c r="P196" s="288"/>
      <c r="Q196" s="288"/>
      <c r="R196" s="288"/>
      <c r="S196" s="288"/>
      <c r="T196" s="288"/>
      <c r="U196" s="288"/>
      <c r="V196" s="350">
        <v>1.99</v>
      </c>
      <c r="W196" s="291" t="s">
        <v>115</v>
      </c>
      <c r="X196" s="5"/>
    </row>
    <row r="197" spans="1:24" ht="15.6" x14ac:dyDescent="0.3">
      <c r="A197" s="287"/>
      <c r="B197" s="288" t="s">
        <v>68</v>
      </c>
      <c r="C197" s="288"/>
      <c r="D197" s="288"/>
      <c r="E197" s="288"/>
      <c r="F197" s="288"/>
      <c r="G197" s="288"/>
      <c r="H197" s="288"/>
      <c r="I197" s="288"/>
      <c r="J197" s="288"/>
      <c r="K197" s="288"/>
      <c r="L197" s="288"/>
      <c r="M197" s="288"/>
      <c r="N197" s="288"/>
      <c r="O197" s="288"/>
      <c r="P197" s="288"/>
      <c r="Q197" s="288"/>
      <c r="R197" s="288"/>
      <c r="S197" s="288"/>
      <c r="T197" s="288"/>
      <c r="U197" s="288"/>
      <c r="V197" s="348">
        <f>(V101+V103+V104+V105+V106+V107+V108)/-(V110+V111)</f>
        <v>16.154121863799283</v>
      </c>
      <c r="W197" s="291" t="s">
        <v>115</v>
      </c>
      <c r="X197" s="5"/>
    </row>
    <row r="198" spans="1:24" ht="15.6" x14ac:dyDescent="0.3">
      <c r="A198" s="287"/>
      <c r="B198" s="288" t="s">
        <v>69</v>
      </c>
      <c r="C198" s="288"/>
      <c r="D198" s="288"/>
      <c r="E198" s="288"/>
      <c r="F198" s="288"/>
      <c r="G198" s="288"/>
      <c r="H198" s="288"/>
      <c r="I198" s="288"/>
      <c r="J198" s="288"/>
      <c r="K198" s="288"/>
      <c r="L198" s="288"/>
      <c r="M198" s="288"/>
      <c r="N198" s="288"/>
      <c r="O198" s="288"/>
      <c r="P198" s="288"/>
      <c r="Q198" s="288"/>
      <c r="R198" s="288"/>
      <c r="S198" s="288"/>
      <c r="T198" s="288"/>
      <c r="U198" s="288"/>
      <c r="V198" s="350">
        <v>8.99</v>
      </c>
      <c r="W198" s="291" t="s">
        <v>115</v>
      </c>
      <c r="X198" s="5"/>
    </row>
    <row r="199" spans="1:24" ht="15.6" x14ac:dyDescent="0.3">
      <c r="A199" s="287"/>
      <c r="B199" s="288" t="s">
        <v>198</v>
      </c>
      <c r="C199" s="288"/>
      <c r="D199" s="288"/>
      <c r="E199" s="288"/>
      <c r="F199" s="288"/>
      <c r="G199" s="288"/>
      <c r="H199" s="288"/>
      <c r="I199" s="288"/>
      <c r="J199" s="288"/>
      <c r="K199" s="288"/>
      <c r="L199" s="288"/>
      <c r="M199" s="288"/>
      <c r="N199" s="288"/>
      <c r="O199" s="288"/>
      <c r="P199" s="288"/>
      <c r="Q199" s="288"/>
      <c r="R199" s="288"/>
      <c r="S199" s="288"/>
      <c r="T199" s="288"/>
      <c r="U199" s="288"/>
      <c r="V199" s="348">
        <f>(V101+V103+V104+V105+V106+V107+V108+V110+V111)/-(V112+V113)</f>
        <v>10.362745098039216</v>
      </c>
      <c r="W199" s="291" t="s">
        <v>115</v>
      </c>
      <c r="X199" s="5"/>
    </row>
    <row r="200" spans="1:24" ht="15.6" x14ac:dyDescent="0.3">
      <c r="A200" s="287"/>
      <c r="B200" s="288" t="s">
        <v>199</v>
      </c>
      <c r="C200" s="288"/>
      <c r="D200" s="288"/>
      <c r="E200" s="288"/>
      <c r="F200" s="288"/>
      <c r="G200" s="288"/>
      <c r="H200" s="288"/>
      <c r="I200" s="288"/>
      <c r="J200" s="288"/>
      <c r="K200" s="288"/>
      <c r="L200" s="288"/>
      <c r="M200" s="288"/>
      <c r="N200" s="288"/>
      <c r="O200" s="288"/>
      <c r="P200" s="288"/>
      <c r="Q200" s="288"/>
      <c r="R200" s="288"/>
      <c r="S200" s="288"/>
      <c r="T200" s="288"/>
      <c r="U200" s="288"/>
      <c r="V200" s="350">
        <v>6.89</v>
      </c>
      <c r="W200" s="291" t="s">
        <v>115</v>
      </c>
      <c r="X200" s="5"/>
    </row>
    <row r="201" spans="1:24" ht="15.6" x14ac:dyDescent="0.3">
      <c r="A201" s="287"/>
      <c r="B201" s="314"/>
      <c r="C201" s="314"/>
      <c r="D201" s="314"/>
      <c r="E201" s="314"/>
      <c r="F201" s="314"/>
      <c r="G201" s="314"/>
      <c r="H201" s="314"/>
      <c r="I201" s="314"/>
      <c r="J201" s="314"/>
      <c r="K201" s="314"/>
      <c r="L201" s="314"/>
      <c r="M201" s="314"/>
      <c r="N201" s="314"/>
      <c r="O201" s="314"/>
      <c r="P201" s="314"/>
      <c r="Q201" s="314"/>
      <c r="R201" s="314"/>
      <c r="S201" s="314"/>
      <c r="T201" s="314"/>
      <c r="U201" s="314"/>
      <c r="V201" s="314"/>
      <c r="W201" s="318"/>
      <c r="X201" s="5"/>
    </row>
    <row r="202" spans="1:24" ht="15.6" x14ac:dyDescent="0.3">
      <c r="A202" s="183"/>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5"/>
    </row>
    <row r="203" spans="1:24" ht="15.6" x14ac:dyDescent="0.3">
      <c r="A203" s="183"/>
      <c r="B203" s="185"/>
      <c r="C203" s="185"/>
      <c r="D203" s="185"/>
      <c r="E203" s="185"/>
      <c r="F203" s="185"/>
      <c r="G203" s="185"/>
      <c r="H203" s="185"/>
      <c r="I203" s="185"/>
      <c r="J203" s="185"/>
      <c r="K203" s="185"/>
      <c r="L203" s="185"/>
      <c r="M203" s="185"/>
      <c r="N203" s="185"/>
      <c r="O203" s="185"/>
      <c r="P203" s="185"/>
      <c r="Q203" s="185"/>
      <c r="R203" s="185"/>
      <c r="S203" s="185"/>
      <c r="T203" s="185"/>
      <c r="U203" s="185"/>
      <c r="V203" s="185"/>
      <c r="W203" s="185"/>
      <c r="X203" s="5"/>
    </row>
    <row r="204" spans="1:24" ht="18" thickBot="1" x14ac:dyDescent="0.35">
      <c r="A204" s="199"/>
      <c r="B204" s="237" t="str">
        <f>B138</f>
        <v>PM14 INVESTOR REPORT QUARTER ENDING MAY 2016</v>
      </c>
      <c r="C204" s="215"/>
      <c r="D204" s="215"/>
      <c r="E204" s="215"/>
      <c r="F204" s="215"/>
      <c r="G204" s="215"/>
      <c r="H204" s="215"/>
      <c r="I204" s="215"/>
      <c r="J204" s="215"/>
      <c r="K204" s="215"/>
      <c r="L204" s="215"/>
      <c r="M204" s="215"/>
      <c r="N204" s="215"/>
      <c r="O204" s="215"/>
      <c r="P204" s="215"/>
      <c r="Q204" s="215"/>
      <c r="R204" s="215"/>
      <c r="S204" s="215"/>
      <c r="T204" s="215"/>
      <c r="U204" s="215"/>
      <c r="V204" s="215"/>
      <c r="W204" s="216"/>
      <c r="X204" s="5"/>
    </row>
    <row r="205" spans="1:24" ht="15.6" x14ac:dyDescent="0.3">
      <c r="A205" s="273"/>
      <c r="B205" s="403" t="s">
        <v>70</v>
      </c>
      <c r="C205" s="404"/>
      <c r="D205" s="404"/>
      <c r="E205" s="404"/>
      <c r="F205" s="404"/>
      <c r="G205" s="405"/>
      <c r="H205" s="405"/>
      <c r="I205" s="405"/>
      <c r="J205" s="405"/>
      <c r="K205" s="405"/>
      <c r="L205" s="405"/>
      <c r="M205" s="405"/>
      <c r="N205" s="405"/>
      <c r="O205" s="405"/>
      <c r="P205" s="405"/>
      <c r="Q205" s="405"/>
      <c r="R205" s="405"/>
      <c r="S205" s="405"/>
      <c r="T205" s="405">
        <v>42521</v>
      </c>
      <c r="U205" s="274"/>
      <c r="V205" s="274"/>
      <c r="W205" s="274"/>
      <c r="X205" s="5"/>
    </row>
    <row r="206" spans="1:24" ht="15.6" x14ac:dyDescent="0.3">
      <c r="A206" s="217"/>
      <c r="B206" s="230"/>
      <c r="C206" s="249"/>
      <c r="D206" s="249"/>
      <c r="E206" s="249"/>
      <c r="F206" s="249"/>
      <c r="G206" s="229"/>
      <c r="H206" s="229"/>
      <c r="I206" s="229"/>
      <c r="J206" s="229"/>
      <c r="K206" s="229"/>
      <c r="L206" s="229"/>
      <c r="M206" s="229"/>
      <c r="N206" s="229"/>
      <c r="O206" s="229"/>
      <c r="P206" s="229"/>
      <c r="Q206" s="229"/>
      <c r="R206" s="229"/>
      <c r="S206" s="229"/>
      <c r="T206" s="229"/>
      <c r="U206" s="224"/>
      <c r="V206" s="224"/>
      <c r="W206" s="224"/>
      <c r="X206" s="5"/>
    </row>
    <row r="207" spans="1:24" ht="15.6" x14ac:dyDescent="0.3">
      <c r="A207" s="352"/>
      <c r="B207" s="288" t="s">
        <v>71</v>
      </c>
      <c r="C207" s="353"/>
      <c r="D207" s="353"/>
      <c r="E207" s="353"/>
      <c r="F207" s="353"/>
      <c r="G207" s="330"/>
      <c r="H207" s="330"/>
      <c r="I207" s="330"/>
      <c r="J207" s="330"/>
      <c r="K207" s="330"/>
      <c r="L207" s="330"/>
      <c r="M207" s="330"/>
      <c r="N207" s="330"/>
      <c r="O207" s="330"/>
      <c r="P207" s="330"/>
      <c r="Q207" s="330"/>
      <c r="R207" s="330"/>
      <c r="S207" s="330"/>
      <c r="T207" s="321">
        <v>5.2819999999999999E-2</v>
      </c>
      <c r="U207" s="288"/>
      <c r="V207" s="288"/>
      <c r="W207" s="291"/>
      <c r="X207" s="5"/>
    </row>
    <row r="208" spans="1:24" ht="15.6" x14ac:dyDescent="0.3">
      <c r="A208" s="352"/>
      <c r="B208" s="288" t="s">
        <v>151</v>
      </c>
      <c r="C208" s="353"/>
      <c r="D208" s="353"/>
      <c r="E208" s="353"/>
      <c r="F208" s="353"/>
      <c r="G208" s="330"/>
      <c r="H208" s="330"/>
      <c r="I208" s="330"/>
      <c r="J208" s="330"/>
      <c r="K208" s="330"/>
      <c r="L208" s="330"/>
      <c r="M208" s="330"/>
      <c r="N208" s="330"/>
      <c r="O208" s="330"/>
      <c r="P208" s="330"/>
      <c r="Q208" s="330"/>
      <c r="R208" s="330"/>
      <c r="S208" s="330"/>
      <c r="T208" s="321">
        <v>5.7799999999999997E-2</v>
      </c>
      <c r="U208" s="288"/>
      <c r="V208" s="288"/>
      <c r="W208" s="291"/>
      <c r="X208" s="5"/>
    </row>
    <row r="209" spans="1:24" ht="15.6" x14ac:dyDescent="0.3">
      <c r="A209" s="352"/>
      <c r="B209" s="288" t="s">
        <v>72</v>
      </c>
      <c r="C209" s="353"/>
      <c r="D209" s="353"/>
      <c r="E209" s="353"/>
      <c r="F209" s="353"/>
      <c r="G209" s="330"/>
      <c r="H209" s="330"/>
      <c r="I209" s="330"/>
      <c r="J209" s="330"/>
      <c r="K209" s="330"/>
      <c r="L209" s="330"/>
      <c r="M209" s="330"/>
      <c r="N209" s="330"/>
      <c r="O209" s="330"/>
      <c r="P209" s="330"/>
      <c r="Q209" s="330"/>
      <c r="R209" s="330"/>
      <c r="S209" s="330"/>
      <c r="T209" s="321">
        <f>T207-T208</f>
        <v>-4.9799999999999983E-3</v>
      </c>
      <c r="U209" s="288"/>
      <c r="V209" s="288"/>
      <c r="W209" s="291"/>
      <c r="X209" s="5"/>
    </row>
    <row r="210" spans="1:24" ht="15.6" x14ac:dyDescent="0.3">
      <c r="A210" s="352"/>
      <c r="B210" s="288" t="s">
        <v>73</v>
      </c>
      <c r="C210" s="353"/>
      <c r="D210" s="353"/>
      <c r="E210" s="353"/>
      <c r="F210" s="353"/>
      <c r="G210" s="330"/>
      <c r="H210" s="330"/>
      <c r="I210" s="330"/>
      <c r="J210" s="330"/>
      <c r="K210" s="330"/>
      <c r="L210" s="330"/>
      <c r="M210" s="330"/>
      <c r="N210" s="330"/>
      <c r="O210" s="330"/>
      <c r="P210" s="330"/>
      <c r="Q210" s="330"/>
      <c r="R210" s="330"/>
      <c r="S210" s="330"/>
      <c r="T210" s="321">
        <v>2.3910000000000001E-2</v>
      </c>
      <c r="U210" s="288"/>
      <c r="V210" s="288"/>
      <c r="W210" s="291"/>
      <c r="X210" s="5"/>
    </row>
    <row r="211" spans="1:24" ht="15.6" x14ac:dyDescent="0.3">
      <c r="A211" s="352"/>
      <c r="B211" s="288" t="s">
        <v>219</v>
      </c>
      <c r="C211" s="353"/>
      <c r="D211" s="353"/>
      <c r="E211" s="353"/>
      <c r="F211" s="353"/>
      <c r="G211" s="330"/>
      <c r="H211" s="330"/>
      <c r="I211" s="330"/>
      <c r="J211" s="330"/>
      <c r="K211" s="330"/>
      <c r="L211" s="330"/>
      <c r="M211" s="330"/>
      <c r="N211" s="330"/>
      <c r="O211" s="330"/>
      <c r="P211" s="330"/>
      <c r="Q211" s="330"/>
      <c r="R211" s="330"/>
      <c r="S211" s="330"/>
      <c r="T211" s="321">
        <f>V43</f>
        <v>9.1761938134922588E-3</v>
      </c>
      <c r="U211" s="288"/>
      <c r="V211" s="288"/>
      <c r="W211" s="291"/>
      <c r="X211" s="5"/>
    </row>
    <row r="212" spans="1:24" ht="15.6" x14ac:dyDescent="0.3">
      <c r="A212" s="352"/>
      <c r="B212" s="288" t="s">
        <v>74</v>
      </c>
      <c r="C212" s="353"/>
      <c r="D212" s="353"/>
      <c r="E212" s="353"/>
      <c r="F212" s="353"/>
      <c r="G212" s="330"/>
      <c r="H212" s="330"/>
      <c r="I212" s="330"/>
      <c r="J212" s="330"/>
      <c r="K212" s="330"/>
      <c r="L212" s="330"/>
      <c r="M212" s="330"/>
      <c r="N212" s="330"/>
      <c r="O212" s="330"/>
      <c r="P212" s="330"/>
      <c r="Q212" s="330"/>
      <c r="R212" s="330"/>
      <c r="S212" s="330"/>
      <c r="T212" s="321">
        <f>T210-T211</f>
        <v>1.4733806186507742E-2</v>
      </c>
      <c r="U212" s="288"/>
      <c r="V212" s="288"/>
      <c r="W212" s="291"/>
      <c r="X212" s="5"/>
    </row>
    <row r="213" spans="1:24" ht="15.6" x14ac:dyDescent="0.3">
      <c r="A213" s="352"/>
      <c r="B213" s="288" t="s">
        <v>242</v>
      </c>
      <c r="C213" s="353"/>
      <c r="D213" s="353"/>
      <c r="E213" s="353"/>
      <c r="F213" s="353"/>
      <c r="G213" s="330"/>
      <c r="H213" s="330"/>
      <c r="I213" s="330"/>
      <c r="J213" s="330"/>
      <c r="K213" s="330"/>
      <c r="L213" s="330"/>
      <c r="M213" s="330"/>
      <c r="N213" s="330"/>
      <c r="O213" s="330"/>
      <c r="P213" s="330"/>
      <c r="Q213" s="330"/>
      <c r="R213" s="330"/>
      <c r="S213" s="330"/>
      <c r="T213" s="321">
        <f>V101/N71</f>
        <v>6.5471586234347656E-3</v>
      </c>
      <c r="U213" s="288"/>
      <c r="V213" s="288"/>
      <c r="W213" s="291"/>
      <c r="X213" s="5"/>
    </row>
    <row r="214" spans="1:24" ht="15.6" x14ac:dyDescent="0.3">
      <c r="A214" s="352"/>
      <c r="B214" s="288" t="s">
        <v>208</v>
      </c>
      <c r="C214" s="353"/>
      <c r="D214" s="353"/>
      <c r="E214" s="353"/>
      <c r="F214" s="353"/>
      <c r="G214" s="330"/>
      <c r="H214" s="330"/>
      <c r="I214" s="330"/>
      <c r="J214" s="330"/>
      <c r="K214" s="330"/>
      <c r="L214" s="330"/>
      <c r="M214" s="330"/>
      <c r="N214" s="330"/>
      <c r="O214" s="330"/>
      <c r="P214" s="330"/>
      <c r="Q214" s="330"/>
      <c r="R214" s="330"/>
      <c r="S214" s="330"/>
      <c r="T214" s="354">
        <v>51014</v>
      </c>
      <c r="U214" s="288"/>
      <c r="V214" s="288"/>
      <c r="W214" s="291"/>
      <c r="X214" s="5"/>
    </row>
    <row r="215" spans="1:24" ht="15.6" x14ac:dyDescent="0.3">
      <c r="A215" s="352"/>
      <c r="B215" s="288" t="s">
        <v>209</v>
      </c>
      <c r="C215" s="353"/>
      <c r="D215" s="353"/>
      <c r="E215" s="353"/>
      <c r="F215" s="353"/>
      <c r="G215" s="330"/>
      <c r="H215" s="330"/>
      <c r="I215" s="330"/>
      <c r="J215" s="330"/>
      <c r="K215" s="330"/>
      <c r="L215" s="330"/>
      <c r="M215" s="330"/>
      <c r="N215" s="330"/>
      <c r="O215" s="330"/>
      <c r="P215" s="330"/>
      <c r="Q215" s="330"/>
      <c r="R215" s="330"/>
      <c r="S215" s="330"/>
      <c r="T215" s="354">
        <v>51014</v>
      </c>
      <c r="U215" s="288"/>
      <c r="V215" s="288"/>
      <c r="W215" s="291"/>
      <c r="X215" s="5"/>
    </row>
    <row r="216" spans="1:24" ht="15.6" x14ac:dyDescent="0.3">
      <c r="A216" s="352"/>
      <c r="B216" s="288" t="s">
        <v>210</v>
      </c>
      <c r="C216" s="353"/>
      <c r="D216" s="353"/>
      <c r="E216" s="353"/>
      <c r="F216" s="353"/>
      <c r="G216" s="330"/>
      <c r="H216" s="330"/>
      <c r="I216" s="330"/>
      <c r="J216" s="330"/>
      <c r="K216" s="330"/>
      <c r="L216" s="330"/>
      <c r="M216" s="330"/>
      <c r="N216" s="330"/>
      <c r="O216" s="330"/>
      <c r="P216" s="330"/>
      <c r="Q216" s="330"/>
      <c r="R216" s="330"/>
      <c r="S216" s="330"/>
      <c r="T216" s="354">
        <v>51014</v>
      </c>
      <c r="U216" s="288"/>
      <c r="V216" s="288"/>
      <c r="W216" s="291"/>
      <c r="X216" s="5"/>
    </row>
    <row r="217" spans="1:24" ht="15.6" x14ac:dyDescent="0.3">
      <c r="A217" s="352"/>
      <c r="B217" s="288" t="s">
        <v>75</v>
      </c>
      <c r="C217" s="353"/>
      <c r="D217" s="353"/>
      <c r="E217" s="353"/>
      <c r="F217" s="353"/>
      <c r="G217" s="330"/>
      <c r="H217" s="330"/>
      <c r="I217" s="330"/>
      <c r="J217" s="330"/>
      <c r="K217" s="330"/>
      <c r="L217" s="330"/>
      <c r="M217" s="330"/>
      <c r="N217" s="330"/>
      <c r="O217" s="330"/>
      <c r="P217" s="330"/>
      <c r="Q217" s="330"/>
      <c r="R217" s="330"/>
      <c r="S217" s="330"/>
      <c r="T217" s="327">
        <v>20.66</v>
      </c>
      <c r="U217" s="288" t="s">
        <v>110</v>
      </c>
      <c r="V217" s="288"/>
      <c r="W217" s="291"/>
      <c r="X217" s="5"/>
    </row>
    <row r="218" spans="1:24" ht="15.6" x14ac:dyDescent="0.3">
      <c r="A218" s="352"/>
      <c r="B218" s="288" t="s">
        <v>76</v>
      </c>
      <c r="C218" s="353"/>
      <c r="D218" s="353"/>
      <c r="E218" s="353"/>
      <c r="F218" s="353"/>
      <c r="G218" s="330"/>
      <c r="H218" s="330"/>
      <c r="I218" s="330"/>
      <c r="J218" s="330"/>
      <c r="K218" s="330"/>
      <c r="L218" s="330"/>
      <c r="M218" s="330"/>
      <c r="N218" s="330"/>
      <c r="O218" s="330"/>
      <c r="P218" s="330"/>
      <c r="Q218" s="330"/>
      <c r="R218" s="330"/>
      <c r="S218" s="330"/>
      <c r="T218" s="327">
        <v>12.38</v>
      </c>
      <c r="U218" s="288" t="s">
        <v>110</v>
      </c>
      <c r="V218" s="288"/>
      <c r="W218" s="291"/>
      <c r="X218" s="5"/>
    </row>
    <row r="219" spans="1:24" ht="15.6" x14ac:dyDescent="0.3">
      <c r="A219" s="352"/>
      <c r="B219" s="288" t="s">
        <v>77</v>
      </c>
      <c r="C219" s="353"/>
      <c r="D219" s="353"/>
      <c r="E219" s="353"/>
      <c r="F219" s="353"/>
      <c r="G219" s="330"/>
      <c r="H219" s="330"/>
      <c r="I219" s="330"/>
      <c r="J219" s="330"/>
      <c r="K219" s="330"/>
      <c r="L219" s="330"/>
      <c r="M219" s="330"/>
      <c r="N219" s="330"/>
      <c r="O219" s="330"/>
      <c r="P219" s="330"/>
      <c r="Q219" s="330"/>
      <c r="R219" s="330"/>
      <c r="S219" s="330"/>
      <c r="T219" s="321">
        <f>+P68/N68</f>
        <v>2.2458539107526463E-2</v>
      </c>
      <c r="U219" s="288"/>
      <c r="V219" s="288"/>
      <c r="W219" s="291"/>
      <c r="X219" s="5"/>
    </row>
    <row r="220" spans="1:24" ht="15.6" x14ac:dyDescent="0.3">
      <c r="A220" s="352"/>
      <c r="B220" s="288" t="s">
        <v>78</v>
      </c>
      <c r="C220" s="353"/>
      <c r="D220" s="353"/>
      <c r="E220" s="353"/>
      <c r="F220" s="353"/>
      <c r="G220" s="330"/>
      <c r="H220" s="330"/>
      <c r="I220" s="330"/>
      <c r="J220" s="330"/>
      <c r="K220" s="330"/>
      <c r="L220" s="330"/>
      <c r="M220" s="330"/>
      <c r="N220" s="330"/>
      <c r="O220" s="330"/>
      <c r="P220" s="330"/>
      <c r="Q220" s="330"/>
      <c r="R220" s="330"/>
      <c r="S220" s="330"/>
      <c r="T220" s="321">
        <v>5.0799999999999998E-2</v>
      </c>
      <c r="U220" s="288"/>
      <c r="V220" s="288"/>
      <c r="W220" s="291"/>
      <c r="X220" s="5"/>
    </row>
    <row r="221" spans="1:24" ht="15.6" x14ac:dyDescent="0.3">
      <c r="A221" s="217"/>
      <c r="B221" s="284"/>
      <c r="C221" s="284"/>
      <c r="D221" s="284"/>
      <c r="E221" s="284"/>
      <c r="F221" s="284"/>
      <c r="G221" s="284"/>
      <c r="H221" s="284"/>
      <c r="I221" s="284"/>
      <c r="J221" s="284"/>
      <c r="K221" s="284"/>
      <c r="L221" s="284"/>
      <c r="M221" s="284"/>
      <c r="N221" s="284"/>
      <c r="O221" s="284"/>
      <c r="P221" s="284"/>
      <c r="Q221" s="284"/>
      <c r="R221" s="284"/>
      <c r="S221" s="284"/>
      <c r="T221" s="349"/>
      <c r="U221" s="284"/>
      <c r="V221" s="351"/>
      <c r="W221" s="284"/>
      <c r="X221" s="5"/>
    </row>
    <row r="222" spans="1:24" ht="15.6" x14ac:dyDescent="0.3">
      <c r="A222" s="278"/>
      <c r="B222" s="399" t="s">
        <v>79</v>
      </c>
      <c r="C222" s="400"/>
      <c r="D222" s="400"/>
      <c r="E222" s="400"/>
      <c r="F222" s="406"/>
      <c r="G222" s="400"/>
      <c r="H222" s="400"/>
      <c r="I222" s="400"/>
      <c r="J222" s="400"/>
      <c r="K222" s="400"/>
      <c r="L222" s="400"/>
      <c r="M222" s="400"/>
      <c r="N222" s="400"/>
      <c r="O222" s="400"/>
      <c r="P222" s="400"/>
      <c r="Q222" s="400"/>
      <c r="R222" s="400"/>
      <c r="S222" s="400" t="s">
        <v>102</v>
      </c>
      <c r="T222" s="406" t="s">
        <v>108</v>
      </c>
      <c r="U222" s="263"/>
      <c r="V222" s="263"/>
      <c r="W222" s="263"/>
      <c r="X222" s="5"/>
    </row>
    <row r="223" spans="1:24" ht="15.6" x14ac:dyDescent="0.3">
      <c r="A223" s="218"/>
      <c r="B223" s="231" t="s">
        <v>80</v>
      </c>
      <c r="C223" s="234"/>
      <c r="D223" s="234"/>
      <c r="E223" s="234"/>
      <c r="F223" s="231"/>
      <c r="G223" s="231"/>
      <c r="H223" s="233"/>
      <c r="I223" s="233"/>
      <c r="J223" s="233"/>
      <c r="K223" s="233"/>
      <c r="L223" s="233"/>
      <c r="M223" s="233"/>
      <c r="N223" s="233"/>
      <c r="O223" s="233"/>
      <c r="P223" s="233"/>
      <c r="Q223" s="233"/>
      <c r="R223" s="233"/>
      <c r="S223" s="233">
        <v>2</v>
      </c>
      <c r="T223" s="251">
        <v>379</v>
      </c>
      <c r="U223" s="231"/>
      <c r="V223" s="250"/>
      <c r="W223" s="252"/>
      <c r="X223" s="5"/>
    </row>
    <row r="224" spans="1:24" ht="15.6" x14ac:dyDescent="0.3">
      <c r="A224" s="362"/>
      <c r="B224" s="288" t="s">
        <v>145</v>
      </c>
      <c r="C224" s="337"/>
      <c r="D224" s="337"/>
      <c r="E224" s="337"/>
      <c r="F224" s="288"/>
      <c r="G224" s="288"/>
      <c r="H224" s="296"/>
      <c r="I224" s="296"/>
      <c r="J224" s="296"/>
      <c r="K224" s="296"/>
      <c r="L224" s="296"/>
      <c r="M224" s="296"/>
      <c r="N224" s="296"/>
      <c r="O224" s="296"/>
      <c r="P224" s="296"/>
      <c r="Q224" s="296"/>
      <c r="R224" s="296"/>
      <c r="S224" s="363">
        <f>+R276</f>
        <v>129</v>
      </c>
      <c r="T224" s="364">
        <f>+T276</f>
        <v>19014</v>
      </c>
      <c r="U224" s="288"/>
      <c r="V224" s="365"/>
      <c r="W224" s="366"/>
      <c r="X224" s="5"/>
    </row>
    <row r="225" spans="1:24" ht="15.6" x14ac:dyDescent="0.3">
      <c r="A225" s="362"/>
      <c r="B225" s="288" t="s">
        <v>81</v>
      </c>
      <c r="C225" s="337"/>
      <c r="D225" s="337"/>
      <c r="E225" s="337"/>
      <c r="F225" s="288"/>
      <c r="G225" s="288"/>
      <c r="H225" s="296"/>
      <c r="I225" s="296"/>
      <c r="J225" s="296"/>
      <c r="K225" s="296"/>
      <c r="L225" s="296"/>
      <c r="M225" s="296"/>
      <c r="N225" s="296"/>
      <c r="O225" s="296"/>
      <c r="P225" s="296"/>
      <c r="Q225" s="296"/>
      <c r="R225" s="296"/>
      <c r="S225" s="363">
        <f>+R288</f>
        <v>1</v>
      </c>
      <c r="T225" s="364">
        <f>+T288</f>
        <v>127</v>
      </c>
      <c r="U225" s="288"/>
      <c r="V225" s="365"/>
      <c r="W225" s="366"/>
      <c r="X225" s="5"/>
    </row>
    <row r="226" spans="1:24" ht="15.6" x14ac:dyDescent="0.3">
      <c r="A226" s="362"/>
      <c r="B226" s="313" t="s">
        <v>82</v>
      </c>
      <c r="C226" s="367"/>
      <c r="D226" s="367"/>
      <c r="E226" s="367"/>
      <c r="F226" s="314"/>
      <c r="G226" s="314"/>
      <c r="H226" s="314"/>
      <c r="I226" s="314"/>
      <c r="J226" s="314"/>
      <c r="K226" s="314"/>
      <c r="L226" s="314"/>
      <c r="M226" s="314"/>
      <c r="N226" s="314"/>
      <c r="O226" s="314"/>
      <c r="P226" s="314"/>
      <c r="Q226" s="314"/>
      <c r="R226" s="314"/>
      <c r="S226" s="314"/>
      <c r="T226" s="364">
        <v>0</v>
      </c>
      <c r="U226" s="314"/>
      <c r="V226" s="369"/>
      <c r="W226" s="370"/>
      <c r="X226" s="5"/>
    </row>
    <row r="227" spans="1:24" ht="15.6" x14ac:dyDescent="0.3">
      <c r="A227" s="362"/>
      <c r="B227" s="313" t="s">
        <v>243</v>
      </c>
      <c r="C227" s="367"/>
      <c r="D227" s="367"/>
      <c r="E227" s="367"/>
      <c r="F227" s="314"/>
      <c r="G227" s="314"/>
      <c r="H227" s="314"/>
      <c r="I227" s="314"/>
      <c r="J227" s="314"/>
      <c r="K227" s="314"/>
      <c r="L227" s="314"/>
      <c r="M227" s="314"/>
      <c r="N227" s="314"/>
      <c r="O227" s="314"/>
      <c r="P227" s="314"/>
      <c r="Q227" s="314"/>
      <c r="R227" s="314"/>
      <c r="S227" s="314"/>
      <c r="T227" s="364">
        <f>+N81</f>
        <v>0</v>
      </c>
      <c r="U227" s="314"/>
      <c r="V227" s="369"/>
      <c r="W227" s="370"/>
      <c r="X227" s="5"/>
    </row>
    <row r="228" spans="1:24" ht="15.6" x14ac:dyDescent="0.3">
      <c r="A228" s="371"/>
      <c r="B228" s="313" t="s">
        <v>83</v>
      </c>
      <c r="C228" s="372"/>
      <c r="D228" s="372"/>
      <c r="E228" s="372"/>
      <c r="F228" s="372"/>
      <c r="G228" s="314"/>
      <c r="H228" s="314"/>
      <c r="I228" s="314"/>
      <c r="J228" s="314"/>
      <c r="K228" s="314"/>
      <c r="L228" s="314"/>
      <c r="M228" s="314"/>
      <c r="N228" s="314"/>
      <c r="O228" s="314"/>
      <c r="P228" s="314"/>
      <c r="Q228" s="314"/>
      <c r="R228" s="314"/>
      <c r="S228" s="314"/>
      <c r="T228" s="368"/>
      <c r="U228" s="314"/>
      <c r="V228" s="369"/>
      <c r="W228" s="373"/>
      <c r="X228" s="5"/>
    </row>
    <row r="229" spans="1:24" ht="15.6" x14ac:dyDescent="0.3">
      <c r="A229" s="371"/>
      <c r="B229" s="288" t="s">
        <v>84</v>
      </c>
      <c r="C229" s="288"/>
      <c r="D229" s="288"/>
      <c r="E229" s="288"/>
      <c r="F229" s="288"/>
      <c r="G229" s="288"/>
      <c r="H229" s="288"/>
      <c r="I229" s="288"/>
      <c r="J229" s="288"/>
      <c r="K229" s="288"/>
      <c r="L229" s="288"/>
      <c r="M229" s="288"/>
      <c r="N229" s="288"/>
      <c r="O229" s="288"/>
      <c r="P229" s="288"/>
      <c r="Q229" s="288"/>
      <c r="R229" s="288"/>
      <c r="S229" s="296"/>
      <c r="T229" s="364">
        <f>V167</f>
        <v>84</v>
      </c>
      <c r="U229" s="288"/>
      <c r="V229" s="365"/>
      <c r="W229" s="378"/>
      <c r="X229" s="5"/>
    </row>
    <row r="230" spans="1:24" ht="15.6" x14ac:dyDescent="0.3">
      <c r="A230" s="362"/>
      <c r="B230" s="288" t="s">
        <v>85</v>
      </c>
      <c r="C230" s="337"/>
      <c r="D230" s="337"/>
      <c r="E230" s="337"/>
      <c r="F230" s="337"/>
      <c r="G230" s="288"/>
      <c r="H230" s="288"/>
      <c r="I230" s="288"/>
      <c r="J230" s="288"/>
      <c r="K230" s="288"/>
      <c r="L230" s="288"/>
      <c r="M230" s="288"/>
      <c r="N230" s="288"/>
      <c r="O230" s="288"/>
      <c r="P230" s="288"/>
      <c r="Q230" s="288"/>
      <c r="R230" s="288"/>
      <c r="S230" s="296"/>
      <c r="T230" s="364">
        <f>'Feb 16'!T230+T229</f>
        <v>6687</v>
      </c>
      <c r="U230" s="288"/>
      <c r="V230" s="365"/>
      <c r="W230" s="378"/>
      <c r="X230" s="5"/>
    </row>
    <row r="231" spans="1:24" ht="15.6" x14ac:dyDescent="0.3">
      <c r="A231" s="371"/>
      <c r="B231" s="313" t="s">
        <v>295</v>
      </c>
      <c r="C231" s="372"/>
      <c r="D231" s="372"/>
      <c r="E231" s="372"/>
      <c r="F231" s="372"/>
      <c r="G231" s="314"/>
      <c r="H231" s="314"/>
      <c r="I231" s="314"/>
      <c r="J231" s="314"/>
      <c r="K231" s="314"/>
      <c r="L231" s="314"/>
      <c r="M231" s="314"/>
      <c r="N231" s="314"/>
      <c r="O231" s="314"/>
      <c r="P231" s="314"/>
      <c r="Q231" s="314"/>
      <c r="R231" s="314"/>
      <c r="S231" s="316"/>
      <c r="T231" s="368"/>
      <c r="U231" s="314"/>
      <c r="V231" s="369"/>
      <c r="W231" s="373"/>
      <c r="X231" s="5"/>
    </row>
    <row r="232" spans="1:24" ht="15.6" x14ac:dyDescent="0.3">
      <c r="A232" s="371"/>
      <c r="B232" s="288" t="s">
        <v>291</v>
      </c>
      <c r="C232" s="288"/>
      <c r="D232" s="288"/>
      <c r="E232" s="288"/>
      <c r="F232" s="288"/>
      <c r="G232" s="288"/>
      <c r="H232" s="288"/>
      <c r="I232" s="288"/>
      <c r="J232" s="288"/>
      <c r="K232" s="288"/>
      <c r="L232" s="288"/>
      <c r="M232" s="288"/>
      <c r="N232" s="288"/>
      <c r="O232" s="288"/>
      <c r="P232" s="288"/>
      <c r="Q232" s="288"/>
      <c r="R232" s="288"/>
      <c r="S232" s="296">
        <v>0</v>
      </c>
      <c r="T232" s="364">
        <v>0</v>
      </c>
      <c r="U232" s="288"/>
      <c r="V232" s="365"/>
      <c r="W232" s="378"/>
      <c r="X232" s="5"/>
    </row>
    <row r="233" spans="1:24" ht="15.6" x14ac:dyDescent="0.3">
      <c r="A233" s="362"/>
      <c r="B233" s="288" t="s">
        <v>86</v>
      </c>
      <c r="C233" s="325"/>
      <c r="D233" s="325"/>
      <c r="E233" s="325"/>
      <c r="F233" s="379"/>
      <c r="G233" s="288"/>
      <c r="H233" s="288"/>
      <c r="I233" s="288"/>
      <c r="J233" s="288"/>
      <c r="K233" s="288"/>
      <c r="L233" s="288"/>
      <c r="M233" s="288"/>
      <c r="N233" s="288"/>
      <c r="O233" s="288"/>
      <c r="P233" s="288"/>
      <c r="Q233" s="288"/>
      <c r="R233" s="288"/>
      <c r="S233" s="288"/>
      <c r="T233" s="380">
        <v>0</v>
      </c>
      <c r="U233" s="288"/>
      <c r="V233" s="365"/>
      <c r="W233" s="378"/>
      <c r="X233" s="5"/>
    </row>
    <row r="234" spans="1:24" ht="15.6" x14ac:dyDescent="0.3">
      <c r="A234" s="362"/>
      <c r="B234" s="288" t="s">
        <v>87</v>
      </c>
      <c r="C234" s="325"/>
      <c r="D234" s="325"/>
      <c r="E234" s="325"/>
      <c r="F234" s="379"/>
      <c r="G234" s="288"/>
      <c r="H234" s="288"/>
      <c r="I234" s="288"/>
      <c r="J234" s="288"/>
      <c r="K234" s="288"/>
      <c r="L234" s="288"/>
      <c r="M234" s="288"/>
      <c r="N234" s="288"/>
      <c r="O234" s="288"/>
      <c r="P234" s="288"/>
      <c r="Q234" s="288"/>
      <c r="R234" s="288"/>
      <c r="S234" s="288"/>
      <c r="T234" s="380">
        <v>0</v>
      </c>
      <c r="U234" s="288"/>
      <c r="V234" s="365"/>
      <c r="W234" s="378"/>
      <c r="X234" s="5"/>
    </row>
    <row r="235" spans="1:24" ht="15.6" x14ac:dyDescent="0.3">
      <c r="A235" s="362"/>
      <c r="B235" s="313" t="s">
        <v>217</v>
      </c>
      <c r="C235" s="381"/>
      <c r="D235" s="381"/>
      <c r="E235" s="381"/>
      <c r="F235" s="382"/>
      <c r="G235" s="314"/>
      <c r="H235" s="314"/>
      <c r="I235" s="314"/>
      <c r="J235" s="314"/>
      <c r="K235" s="314"/>
      <c r="L235" s="314"/>
      <c r="M235" s="314"/>
      <c r="N235" s="314"/>
      <c r="O235" s="314"/>
      <c r="P235" s="314"/>
      <c r="Q235" s="314"/>
      <c r="R235" s="314"/>
      <c r="S235" s="314"/>
      <c r="T235" s="383"/>
      <c r="U235" s="314"/>
      <c r="V235" s="369"/>
      <c r="W235" s="373"/>
      <c r="X235" s="5"/>
    </row>
    <row r="236" spans="1:24" ht="15.6" x14ac:dyDescent="0.3">
      <c r="A236" s="362"/>
      <c r="B236" s="288" t="s">
        <v>291</v>
      </c>
      <c r="C236" s="381"/>
      <c r="D236" s="381"/>
      <c r="E236" s="381"/>
      <c r="F236" s="382"/>
      <c r="G236" s="314"/>
      <c r="H236" s="314"/>
      <c r="I236" s="314"/>
      <c r="J236" s="314"/>
      <c r="K236" s="314"/>
      <c r="L236" s="314"/>
      <c r="M236" s="314"/>
      <c r="N236" s="314"/>
      <c r="O236" s="314"/>
      <c r="P236" s="314"/>
      <c r="Q236" s="314"/>
      <c r="R236" s="314"/>
      <c r="S236" s="296">
        <v>3</v>
      </c>
      <c r="T236" s="364">
        <v>464</v>
      </c>
      <c r="U236" s="314"/>
      <c r="V236" s="369"/>
      <c r="W236" s="373"/>
      <c r="X236" s="5"/>
    </row>
    <row r="237" spans="1:24" ht="15.6" x14ac:dyDescent="0.3">
      <c r="A237" s="362"/>
      <c r="B237" s="288" t="s">
        <v>218</v>
      </c>
      <c r="C237" s="381"/>
      <c r="D237" s="381"/>
      <c r="E237" s="381"/>
      <c r="F237" s="382"/>
      <c r="G237" s="314"/>
      <c r="H237" s="314"/>
      <c r="I237" s="314"/>
      <c r="J237" s="314"/>
      <c r="K237" s="314"/>
      <c r="L237" s="314"/>
      <c r="M237" s="314"/>
      <c r="N237" s="314"/>
      <c r="O237" s="314"/>
      <c r="P237" s="314"/>
      <c r="Q237" s="314"/>
      <c r="R237" s="314"/>
      <c r="S237" s="288"/>
      <c r="T237" s="380">
        <v>0</v>
      </c>
      <c r="U237" s="314"/>
      <c r="V237" s="369"/>
      <c r="W237" s="373"/>
      <c r="X237" s="5"/>
    </row>
    <row r="238" spans="1:24" ht="15.6" x14ac:dyDescent="0.3">
      <c r="A238" s="362"/>
      <c r="B238" s="372"/>
      <c r="C238" s="381"/>
      <c r="D238" s="381"/>
      <c r="E238" s="381"/>
      <c r="F238" s="382"/>
      <c r="G238" s="314"/>
      <c r="H238" s="314"/>
      <c r="I238" s="314"/>
      <c r="J238" s="314"/>
      <c r="K238" s="314"/>
      <c r="L238" s="314"/>
      <c r="M238" s="314"/>
      <c r="N238" s="314"/>
      <c r="O238" s="314"/>
      <c r="P238" s="314"/>
      <c r="Q238" s="314"/>
      <c r="R238" s="314"/>
      <c r="S238" s="314"/>
      <c r="T238" s="383"/>
      <c r="U238" s="314"/>
      <c r="V238" s="369"/>
      <c r="W238" s="373"/>
      <c r="X238" s="5"/>
    </row>
    <row r="239" spans="1:24" ht="15.6" x14ac:dyDescent="0.3">
      <c r="A239" s="362"/>
      <c r="B239" s="372"/>
      <c r="C239" s="381"/>
      <c r="D239" s="381"/>
      <c r="E239" s="381"/>
      <c r="F239" s="382"/>
      <c r="G239" s="314"/>
      <c r="H239" s="314"/>
      <c r="I239" s="314"/>
      <c r="J239" s="314"/>
      <c r="K239" s="314"/>
      <c r="L239" s="314"/>
      <c r="M239" s="314"/>
      <c r="N239" s="314"/>
      <c r="O239" s="314"/>
      <c r="P239" s="314"/>
      <c r="Q239" s="314"/>
      <c r="R239" s="314"/>
      <c r="S239" s="314"/>
      <c r="T239" s="383"/>
      <c r="U239" s="314"/>
      <c r="V239" s="369"/>
      <c r="W239" s="373"/>
      <c r="X239" s="5"/>
    </row>
    <row r="240" spans="1:24" ht="17.399999999999999" x14ac:dyDescent="0.3">
      <c r="A240" s="362"/>
      <c r="B240" s="384" t="s">
        <v>168</v>
      </c>
      <c r="C240" s="381"/>
      <c r="D240" s="381"/>
      <c r="E240" s="381"/>
      <c r="F240" s="382"/>
      <c r="G240" s="314"/>
      <c r="H240" s="314"/>
      <c r="I240" s="314"/>
      <c r="J240" s="314"/>
      <c r="K240" s="314"/>
      <c r="L240" s="314"/>
      <c r="M240" s="314"/>
      <c r="N240" s="314"/>
      <c r="O240" s="314"/>
      <c r="P240" s="385" t="s">
        <v>167</v>
      </c>
      <c r="Q240" s="314"/>
      <c r="R240" s="314"/>
      <c r="S240" s="314"/>
      <c r="T240" s="383"/>
      <c r="U240" s="314"/>
      <c r="V240" s="369"/>
      <c r="W240" s="373"/>
      <c r="X240" s="5"/>
    </row>
    <row r="241" spans="1:25" ht="15.6" x14ac:dyDescent="0.3">
      <c r="A241" s="355"/>
      <c r="B241" s="356"/>
      <c r="C241" s="357"/>
      <c r="D241" s="357"/>
      <c r="E241" s="357"/>
      <c r="F241" s="358"/>
      <c r="G241" s="198"/>
      <c r="H241" s="198"/>
      <c r="I241" s="198"/>
      <c r="J241" s="198"/>
      <c r="K241" s="198"/>
      <c r="L241" s="198"/>
      <c r="M241" s="198"/>
      <c r="N241" s="198"/>
      <c r="O241" s="198"/>
      <c r="P241" s="198"/>
      <c r="Q241" s="198"/>
      <c r="R241" s="198"/>
      <c r="S241" s="198"/>
      <c r="T241" s="359"/>
      <c r="U241" s="198"/>
      <c r="V241" s="360"/>
      <c r="W241" s="361"/>
      <c r="X241" s="5"/>
    </row>
    <row r="242" spans="1:25" ht="15.6" x14ac:dyDescent="0.3">
      <c r="A242" s="262"/>
      <c r="B242" s="399" t="s">
        <v>308</v>
      </c>
      <c r="C242" s="400"/>
      <c r="D242" s="400"/>
      <c r="E242" s="400"/>
      <c r="F242" s="406"/>
      <c r="G242" s="400"/>
      <c r="H242" s="400"/>
      <c r="I242" s="400"/>
      <c r="J242" s="400"/>
      <c r="K242" s="400"/>
      <c r="L242" s="400"/>
      <c r="M242" s="400"/>
      <c r="N242" s="400"/>
      <c r="O242" s="400"/>
      <c r="P242" s="400"/>
      <c r="Q242" s="400"/>
      <c r="R242" s="406" t="s">
        <v>102</v>
      </c>
      <c r="S242" s="400" t="s">
        <v>103</v>
      </c>
      <c r="T242" s="406" t="s">
        <v>109</v>
      </c>
      <c r="U242" s="400" t="s">
        <v>103</v>
      </c>
      <c r="V242" s="263"/>
      <c r="W242" s="399"/>
      <c r="X242" s="5"/>
    </row>
    <row r="243" spans="1:25" ht="15.6" x14ac:dyDescent="0.3">
      <c r="A243" s="197"/>
      <c r="B243" s="234" t="s">
        <v>88</v>
      </c>
      <c r="C243" s="253"/>
      <c r="D243" s="253"/>
      <c r="E243" s="253"/>
      <c r="F243" s="231"/>
      <c r="G243" s="253"/>
      <c r="H243" s="253"/>
      <c r="I243" s="253"/>
      <c r="J243" s="253"/>
      <c r="K243" s="253"/>
      <c r="L243" s="253"/>
      <c r="M243" s="253"/>
      <c r="N243" s="253"/>
      <c r="O243" s="253"/>
      <c r="P243" s="253"/>
      <c r="Q243" s="253"/>
      <c r="R243" s="234">
        <f t="shared" ref="R243:R250" si="1">+R255+R267+R279</f>
        <v>6894</v>
      </c>
      <c r="S243" s="254">
        <f t="shared" ref="S243:S250" si="2">R243/$R$252</f>
        <v>0.99581106456738411</v>
      </c>
      <c r="T243" s="241">
        <f t="shared" ref="T243:T250" si="3">+T255+T267+T279</f>
        <v>949318</v>
      </c>
      <c r="U243" s="254">
        <f t="shared" ref="U243:U250" si="4">T243/$T$252</f>
        <v>0.99567984040896251</v>
      </c>
      <c r="V243" s="250"/>
      <c r="W243" s="232"/>
      <c r="X243" s="5"/>
    </row>
    <row r="244" spans="1:25" ht="15.6" x14ac:dyDescent="0.3">
      <c r="A244" s="287"/>
      <c r="B244" s="337" t="s">
        <v>89</v>
      </c>
      <c r="C244" s="389"/>
      <c r="D244" s="389"/>
      <c r="E244" s="389"/>
      <c r="F244" s="288"/>
      <c r="G244" s="390"/>
      <c r="H244" s="389"/>
      <c r="I244" s="389"/>
      <c r="J244" s="389"/>
      <c r="K244" s="389"/>
      <c r="L244" s="389"/>
      <c r="M244" s="389"/>
      <c r="N244" s="389"/>
      <c r="O244" s="389"/>
      <c r="P244" s="389"/>
      <c r="Q244" s="389"/>
      <c r="R244" s="337">
        <f t="shared" si="1"/>
        <v>15</v>
      </c>
      <c r="S244" s="390">
        <f t="shared" si="2"/>
        <v>2.1666907410082333E-3</v>
      </c>
      <c r="T244" s="338">
        <f t="shared" si="3"/>
        <v>1870</v>
      </c>
      <c r="U244" s="390">
        <f t="shared" si="4"/>
        <v>1.9613251845690904E-3</v>
      </c>
      <c r="V244" s="365"/>
      <c r="W244" s="378"/>
      <c r="X244" s="5"/>
      <c r="Y244" s="109"/>
    </row>
    <row r="245" spans="1:25" ht="15.6" x14ac:dyDescent="0.3">
      <c r="A245" s="287"/>
      <c r="B245" s="337" t="s">
        <v>90</v>
      </c>
      <c r="C245" s="389"/>
      <c r="D245" s="389"/>
      <c r="E245" s="389"/>
      <c r="F245" s="288"/>
      <c r="G245" s="390"/>
      <c r="H245" s="389"/>
      <c r="I245" s="389"/>
      <c r="J245" s="389"/>
      <c r="K245" s="389"/>
      <c r="L245" s="389"/>
      <c r="M245" s="389"/>
      <c r="N245" s="389"/>
      <c r="O245" s="389"/>
      <c r="P245" s="389"/>
      <c r="Q245" s="389"/>
      <c r="R245" s="337">
        <f t="shared" si="1"/>
        <v>1</v>
      </c>
      <c r="S245" s="390">
        <f t="shared" si="2"/>
        <v>1.444460494005489E-4</v>
      </c>
      <c r="T245" s="338">
        <f t="shared" si="3"/>
        <v>195</v>
      </c>
      <c r="U245" s="390">
        <f t="shared" si="4"/>
        <v>2.0452321443367521E-4</v>
      </c>
      <c r="V245" s="365"/>
      <c r="W245" s="378"/>
      <c r="X245" s="5"/>
    </row>
    <row r="246" spans="1:25" ht="15.6" x14ac:dyDescent="0.3">
      <c r="A246" s="287"/>
      <c r="B246" s="337" t="s">
        <v>156</v>
      </c>
      <c r="C246" s="389"/>
      <c r="D246" s="389"/>
      <c r="E246" s="389"/>
      <c r="F246" s="288"/>
      <c r="G246" s="390"/>
      <c r="H246" s="389"/>
      <c r="I246" s="389"/>
      <c r="J246" s="389"/>
      <c r="K246" s="389"/>
      <c r="L246" s="389"/>
      <c r="M246" s="389"/>
      <c r="N246" s="389"/>
      <c r="O246" s="389"/>
      <c r="P246" s="389"/>
      <c r="Q246" s="389"/>
      <c r="R246" s="337">
        <f t="shared" si="1"/>
        <v>1</v>
      </c>
      <c r="S246" s="390">
        <f t="shared" si="2"/>
        <v>1.444460494005489E-4</v>
      </c>
      <c r="T246" s="338">
        <f t="shared" si="3"/>
        <v>134</v>
      </c>
      <c r="U246" s="390">
        <f t="shared" si="4"/>
        <v>1.4054415761083323E-4</v>
      </c>
      <c r="V246" s="365"/>
      <c r="W246" s="378"/>
      <c r="X246" s="5"/>
      <c r="Y246" s="109"/>
    </row>
    <row r="247" spans="1:25" ht="15.6" x14ac:dyDescent="0.3">
      <c r="A247" s="287"/>
      <c r="B247" s="337" t="s">
        <v>157</v>
      </c>
      <c r="C247" s="389"/>
      <c r="D247" s="389"/>
      <c r="E247" s="389"/>
      <c r="F247" s="288"/>
      <c r="G247" s="390"/>
      <c r="H247" s="389"/>
      <c r="I247" s="389"/>
      <c r="J247" s="389"/>
      <c r="K247" s="389"/>
      <c r="L247" s="389"/>
      <c r="M247" s="389"/>
      <c r="N247" s="389"/>
      <c r="O247" s="389"/>
      <c r="P247" s="389"/>
      <c r="Q247" s="389"/>
      <c r="R247" s="337">
        <f t="shared" si="1"/>
        <v>0</v>
      </c>
      <c r="S247" s="390">
        <f t="shared" si="2"/>
        <v>0</v>
      </c>
      <c r="T247" s="338">
        <f t="shared" si="3"/>
        <v>0</v>
      </c>
      <c r="U247" s="390">
        <f t="shared" si="4"/>
        <v>0</v>
      </c>
      <c r="V247" s="365"/>
      <c r="W247" s="378"/>
      <c r="X247" s="5"/>
    </row>
    <row r="248" spans="1:25" ht="15.6" x14ac:dyDescent="0.3">
      <c r="A248" s="287"/>
      <c r="B248" s="337" t="s">
        <v>158</v>
      </c>
      <c r="C248" s="389"/>
      <c r="D248" s="389"/>
      <c r="E248" s="389"/>
      <c r="F248" s="288"/>
      <c r="G248" s="390"/>
      <c r="H248" s="389"/>
      <c r="I248" s="389"/>
      <c r="J248" s="389"/>
      <c r="K248" s="389"/>
      <c r="L248" s="389"/>
      <c r="M248" s="389"/>
      <c r="N248" s="389"/>
      <c r="O248" s="389"/>
      <c r="P248" s="389"/>
      <c r="Q248" s="389"/>
      <c r="R248" s="337">
        <f t="shared" si="1"/>
        <v>0</v>
      </c>
      <c r="S248" s="390">
        <f t="shared" si="2"/>
        <v>0</v>
      </c>
      <c r="T248" s="338">
        <f t="shared" si="3"/>
        <v>0</v>
      </c>
      <c r="U248" s="390">
        <f t="shared" si="4"/>
        <v>0</v>
      </c>
      <c r="V248" s="365"/>
      <c r="W248" s="378"/>
      <c r="X248" s="5"/>
      <c r="Y248" s="109"/>
    </row>
    <row r="249" spans="1:25" ht="15.6" x14ac:dyDescent="0.3">
      <c r="A249" s="287"/>
      <c r="B249" s="337" t="s">
        <v>159</v>
      </c>
      <c r="C249" s="389"/>
      <c r="D249" s="389"/>
      <c r="E249" s="389"/>
      <c r="F249" s="288"/>
      <c r="G249" s="390"/>
      <c r="H249" s="389"/>
      <c r="I249" s="389"/>
      <c r="J249" s="389"/>
      <c r="K249" s="389"/>
      <c r="L249" s="389"/>
      <c r="M249" s="389"/>
      <c r="N249" s="389"/>
      <c r="O249" s="389"/>
      <c r="P249" s="389"/>
      <c r="Q249" s="389"/>
      <c r="R249" s="337">
        <f t="shared" si="1"/>
        <v>2</v>
      </c>
      <c r="S249" s="390">
        <f t="shared" si="2"/>
        <v>2.8889209880109779E-4</v>
      </c>
      <c r="T249" s="338">
        <f t="shared" si="3"/>
        <v>244</v>
      </c>
      <c r="U249" s="390">
        <f t="shared" si="4"/>
        <v>2.5591622729136799E-4</v>
      </c>
      <c r="V249" s="365"/>
      <c r="W249" s="378"/>
      <c r="X249" s="5"/>
    </row>
    <row r="250" spans="1:25" ht="15.6" x14ac:dyDescent="0.3">
      <c r="A250" s="287"/>
      <c r="B250" s="337" t="s">
        <v>160</v>
      </c>
      <c r="C250" s="389"/>
      <c r="D250" s="389"/>
      <c r="E250" s="389"/>
      <c r="F250" s="288"/>
      <c r="G250" s="390"/>
      <c r="H250" s="389"/>
      <c r="I250" s="389"/>
      <c r="J250" s="389"/>
      <c r="K250" s="389"/>
      <c r="L250" s="389"/>
      <c r="M250" s="389"/>
      <c r="N250" s="389"/>
      <c r="O250" s="389"/>
      <c r="P250" s="389"/>
      <c r="Q250" s="389"/>
      <c r="R250" s="339">
        <f t="shared" si="1"/>
        <v>10</v>
      </c>
      <c r="S250" s="393">
        <f t="shared" si="2"/>
        <v>1.4444604940054889E-3</v>
      </c>
      <c r="T250" s="394">
        <f t="shared" si="3"/>
        <v>1676</v>
      </c>
      <c r="U250" s="393">
        <f t="shared" si="4"/>
        <v>1.757850807132511E-3</v>
      </c>
      <c r="V250" s="365"/>
      <c r="W250" s="378"/>
      <c r="X250" s="5"/>
      <c r="Y250" s="109"/>
    </row>
    <row r="251" spans="1:25" ht="15.6" x14ac:dyDescent="0.3">
      <c r="A251" s="287"/>
      <c r="B251" s="337"/>
      <c r="C251" s="389"/>
      <c r="D251" s="389"/>
      <c r="E251" s="389"/>
      <c r="F251" s="288"/>
      <c r="G251" s="390"/>
      <c r="H251" s="389"/>
      <c r="I251" s="389"/>
      <c r="J251" s="389"/>
      <c r="K251" s="389"/>
      <c r="L251" s="389"/>
      <c r="M251" s="389"/>
      <c r="N251" s="389"/>
      <c r="O251" s="389"/>
      <c r="P251" s="389"/>
      <c r="Q251" s="389"/>
      <c r="R251" s="337"/>
      <c r="S251" s="390"/>
      <c r="T251" s="338"/>
      <c r="U251" s="390"/>
      <c r="V251" s="365"/>
      <c r="W251" s="378"/>
      <c r="X251" s="5"/>
    </row>
    <row r="252" spans="1:25" ht="15.6" x14ac:dyDescent="0.3">
      <c r="A252" s="287"/>
      <c r="B252" s="288"/>
      <c r="C252" s="288"/>
      <c r="D252" s="288"/>
      <c r="E252" s="288"/>
      <c r="F252" s="288"/>
      <c r="G252" s="288"/>
      <c r="H252" s="391"/>
      <c r="I252" s="391"/>
      <c r="J252" s="391"/>
      <c r="K252" s="391"/>
      <c r="L252" s="391"/>
      <c r="M252" s="391"/>
      <c r="N252" s="391"/>
      <c r="O252" s="391"/>
      <c r="P252" s="391"/>
      <c r="Q252" s="391"/>
      <c r="R252" s="337">
        <f>SUM(R243:R251)</f>
        <v>6923</v>
      </c>
      <c r="S252" s="390">
        <f>SUM(S243:S251)</f>
        <v>1.0000000000000002</v>
      </c>
      <c r="T252" s="338">
        <f>SUM(T243:T251)</f>
        <v>953437</v>
      </c>
      <c r="U252" s="390">
        <f>SUM(U243:U251)</f>
        <v>0.99999999999999989</v>
      </c>
      <c r="V252" s="288"/>
      <c r="W252" s="291"/>
      <c r="X252" s="5"/>
    </row>
    <row r="253" spans="1:25" ht="15.6" x14ac:dyDescent="0.3">
      <c r="A253" s="183"/>
      <c r="B253" s="198"/>
      <c r="C253" s="198"/>
      <c r="D253" s="198"/>
      <c r="E253" s="198"/>
      <c r="F253" s="198"/>
      <c r="G253" s="198"/>
      <c r="H253" s="386"/>
      <c r="I253" s="386"/>
      <c r="J253" s="386"/>
      <c r="K253" s="386"/>
      <c r="L253" s="386"/>
      <c r="M253" s="386"/>
      <c r="N253" s="386"/>
      <c r="O253" s="386"/>
      <c r="P253" s="386"/>
      <c r="Q253" s="386"/>
      <c r="R253" s="335"/>
      <c r="S253" s="387"/>
      <c r="T253" s="388"/>
      <c r="U253" s="387"/>
      <c r="V253" s="198"/>
      <c r="W253" s="198"/>
      <c r="X253" s="5"/>
    </row>
    <row r="254" spans="1:25" ht="15.6" x14ac:dyDescent="0.3">
      <c r="A254" s="262"/>
      <c r="B254" s="399" t="s">
        <v>162</v>
      </c>
      <c r="C254" s="400"/>
      <c r="D254" s="400"/>
      <c r="E254" s="400"/>
      <c r="F254" s="406"/>
      <c r="G254" s="400"/>
      <c r="H254" s="400"/>
      <c r="I254" s="400"/>
      <c r="J254" s="400"/>
      <c r="K254" s="400"/>
      <c r="L254" s="400"/>
      <c r="M254" s="400"/>
      <c r="N254" s="400"/>
      <c r="O254" s="400"/>
      <c r="P254" s="400"/>
      <c r="Q254" s="400"/>
      <c r="R254" s="406" t="s">
        <v>102</v>
      </c>
      <c r="S254" s="400" t="s">
        <v>103</v>
      </c>
      <c r="T254" s="406" t="s">
        <v>109</v>
      </c>
      <c r="U254" s="400" t="s">
        <v>103</v>
      </c>
      <c r="V254" s="263"/>
      <c r="W254" s="399"/>
      <c r="X254" s="5"/>
    </row>
    <row r="255" spans="1:25" ht="15.6" x14ac:dyDescent="0.3">
      <c r="A255" s="197"/>
      <c r="B255" s="234" t="s">
        <v>88</v>
      </c>
      <c r="C255" s="253"/>
      <c r="D255" s="253"/>
      <c r="E255" s="253"/>
      <c r="F255" s="231"/>
      <c r="G255" s="253"/>
      <c r="H255" s="253"/>
      <c r="I255" s="253"/>
      <c r="J255" s="253"/>
      <c r="K255" s="253"/>
      <c r="L255" s="253"/>
      <c r="M255" s="253"/>
      <c r="N255" s="253"/>
      <c r="O255" s="253"/>
      <c r="P255" s="253"/>
      <c r="Q255" s="253"/>
      <c r="R255" s="234">
        <v>6779</v>
      </c>
      <c r="S255" s="254">
        <f t="shared" ref="S255:S262" si="5">R255/$R$264</f>
        <v>0.99793905490946566</v>
      </c>
      <c r="T255" s="241">
        <v>932540</v>
      </c>
      <c r="U255" s="254">
        <f t="shared" ref="U255:U262" si="6">T255/$T$264</f>
        <v>0.99812050998826929</v>
      </c>
      <c r="V255" s="250"/>
      <c r="W255" s="232"/>
      <c r="X255" s="5"/>
    </row>
    <row r="256" spans="1:25" ht="15.6" x14ac:dyDescent="0.3">
      <c r="A256" s="287"/>
      <c r="B256" s="337" t="s">
        <v>89</v>
      </c>
      <c r="C256" s="389"/>
      <c r="D256" s="389"/>
      <c r="E256" s="389"/>
      <c r="F256" s="288"/>
      <c r="G256" s="390"/>
      <c r="H256" s="389"/>
      <c r="I256" s="389"/>
      <c r="J256" s="389"/>
      <c r="K256" s="389"/>
      <c r="L256" s="389"/>
      <c r="M256" s="389"/>
      <c r="N256" s="389"/>
      <c r="O256" s="389"/>
      <c r="P256" s="389"/>
      <c r="Q256" s="389"/>
      <c r="R256" s="337">
        <v>13</v>
      </c>
      <c r="S256" s="390">
        <f t="shared" si="5"/>
        <v>1.9137347269247754E-3</v>
      </c>
      <c r="T256" s="338">
        <v>1622</v>
      </c>
      <c r="U256" s="390">
        <f t="shared" si="6"/>
        <v>1.7360665142524426E-3</v>
      </c>
      <c r="V256" s="365"/>
      <c r="W256" s="378"/>
      <c r="X256" s="5"/>
      <c r="Y256" s="109"/>
    </row>
    <row r="257" spans="1:25" ht="15.6" x14ac:dyDescent="0.3">
      <c r="A257" s="287"/>
      <c r="B257" s="337" t="s">
        <v>90</v>
      </c>
      <c r="C257" s="389"/>
      <c r="D257" s="389"/>
      <c r="E257" s="389"/>
      <c r="F257" s="288"/>
      <c r="G257" s="390"/>
      <c r="H257" s="389"/>
      <c r="I257" s="389"/>
      <c r="J257" s="389"/>
      <c r="K257" s="389"/>
      <c r="L257" s="389"/>
      <c r="M257" s="389"/>
      <c r="N257" s="389"/>
      <c r="O257" s="389"/>
      <c r="P257" s="389"/>
      <c r="Q257" s="389"/>
      <c r="R257" s="337">
        <v>0</v>
      </c>
      <c r="S257" s="390">
        <f t="shared" si="5"/>
        <v>0</v>
      </c>
      <c r="T257" s="338">
        <v>0</v>
      </c>
      <c r="U257" s="390">
        <f t="shared" si="6"/>
        <v>0</v>
      </c>
      <c r="V257" s="365"/>
      <c r="W257" s="378"/>
      <c r="X257" s="5"/>
    </row>
    <row r="258" spans="1:25" ht="15.6" x14ac:dyDescent="0.3">
      <c r="A258" s="287"/>
      <c r="B258" s="337" t="s">
        <v>156</v>
      </c>
      <c r="C258" s="389"/>
      <c r="D258" s="389"/>
      <c r="E258" s="389"/>
      <c r="F258" s="288"/>
      <c r="G258" s="390"/>
      <c r="H258" s="389"/>
      <c r="I258" s="389"/>
      <c r="J258" s="389"/>
      <c r="K258" s="389"/>
      <c r="L258" s="389"/>
      <c r="M258" s="389"/>
      <c r="N258" s="389"/>
      <c r="O258" s="389"/>
      <c r="P258" s="389"/>
      <c r="Q258" s="389"/>
      <c r="R258" s="337">
        <v>1</v>
      </c>
      <c r="S258" s="390">
        <f t="shared" si="5"/>
        <v>1.4721036360959813E-4</v>
      </c>
      <c r="T258" s="338">
        <v>134</v>
      </c>
      <c r="U258" s="390">
        <f t="shared" si="6"/>
        <v>1.4342349747831521E-4</v>
      </c>
      <c r="V258" s="365"/>
      <c r="W258" s="378"/>
      <c r="X258" s="5"/>
      <c r="Y258" s="109"/>
    </row>
    <row r="259" spans="1:25" ht="15.6" x14ac:dyDescent="0.3">
      <c r="A259" s="287"/>
      <c r="B259" s="337" t="s">
        <v>157</v>
      </c>
      <c r="C259" s="389"/>
      <c r="D259" s="389"/>
      <c r="E259" s="389"/>
      <c r="F259" s="288"/>
      <c r="G259" s="390"/>
      <c r="H259" s="389"/>
      <c r="I259" s="389"/>
      <c r="J259" s="389"/>
      <c r="K259" s="389"/>
      <c r="L259" s="389"/>
      <c r="M259" s="389"/>
      <c r="N259" s="389"/>
      <c r="O259" s="389"/>
      <c r="P259" s="389"/>
      <c r="Q259" s="389"/>
      <c r="R259" s="337">
        <v>0</v>
      </c>
      <c r="S259" s="390">
        <f t="shared" si="5"/>
        <v>0</v>
      </c>
      <c r="T259" s="338">
        <v>0</v>
      </c>
      <c r="U259" s="390">
        <f t="shared" si="6"/>
        <v>0</v>
      </c>
      <c r="V259" s="365"/>
      <c r="W259" s="378"/>
      <c r="X259" s="5"/>
    </row>
    <row r="260" spans="1:25" ht="15.6" x14ac:dyDescent="0.3">
      <c r="A260" s="287"/>
      <c r="B260" s="337" t="s">
        <v>158</v>
      </c>
      <c r="C260" s="389"/>
      <c r="D260" s="389"/>
      <c r="E260" s="389"/>
      <c r="F260" s="288"/>
      <c r="G260" s="390"/>
      <c r="H260" s="389"/>
      <c r="I260" s="389"/>
      <c r="J260" s="389"/>
      <c r="K260" s="389"/>
      <c r="L260" s="389"/>
      <c r="M260" s="389"/>
      <c r="N260" s="389"/>
      <c r="O260" s="389"/>
      <c r="P260" s="389"/>
      <c r="Q260" s="389"/>
      <c r="R260" s="337">
        <v>0</v>
      </c>
      <c r="S260" s="390">
        <f t="shared" si="5"/>
        <v>0</v>
      </c>
      <c r="T260" s="338">
        <v>0</v>
      </c>
      <c r="U260" s="390">
        <f t="shared" si="6"/>
        <v>0</v>
      </c>
      <c r="V260" s="365"/>
      <c r="W260" s="378"/>
      <c r="X260" s="5"/>
      <c r="Y260" s="109"/>
    </row>
    <row r="261" spans="1:25" ht="15.6" x14ac:dyDescent="0.3">
      <c r="A261" s="287"/>
      <c r="B261" s="337" t="s">
        <v>159</v>
      </c>
      <c r="C261" s="389"/>
      <c r="D261" s="389"/>
      <c r="E261" s="389"/>
      <c r="F261" s="288"/>
      <c r="G261" s="390"/>
      <c r="H261" s="389"/>
      <c r="I261" s="389"/>
      <c r="J261" s="389"/>
      <c r="K261" s="389"/>
      <c r="L261" s="389"/>
      <c r="M261" s="389"/>
      <c r="N261" s="389"/>
      <c r="O261" s="389"/>
      <c r="P261" s="389"/>
      <c r="Q261" s="389"/>
      <c r="R261" s="337">
        <v>0</v>
      </c>
      <c r="S261" s="390">
        <f t="shared" si="5"/>
        <v>0</v>
      </c>
      <c r="T261" s="338">
        <v>0</v>
      </c>
      <c r="U261" s="390">
        <f t="shared" si="6"/>
        <v>0</v>
      </c>
      <c r="V261" s="365"/>
      <c r="W261" s="378"/>
      <c r="X261" s="5"/>
    </row>
    <row r="262" spans="1:25" ht="15.6" x14ac:dyDescent="0.3">
      <c r="A262" s="287"/>
      <c r="B262" s="337" t="s">
        <v>160</v>
      </c>
      <c r="C262" s="389"/>
      <c r="D262" s="389"/>
      <c r="E262" s="389"/>
      <c r="F262" s="288"/>
      <c r="G262" s="390"/>
      <c r="H262" s="389"/>
      <c r="I262" s="389"/>
      <c r="J262" s="389"/>
      <c r="K262" s="389"/>
      <c r="L262" s="389"/>
      <c r="M262" s="389"/>
      <c r="N262" s="389"/>
      <c r="O262" s="389"/>
      <c r="P262" s="389"/>
      <c r="Q262" s="389"/>
      <c r="R262" s="337">
        <v>0</v>
      </c>
      <c r="S262" s="390">
        <f t="shared" si="5"/>
        <v>0</v>
      </c>
      <c r="T262" s="338">
        <v>0</v>
      </c>
      <c r="U262" s="390">
        <f t="shared" si="6"/>
        <v>0</v>
      </c>
      <c r="V262" s="365"/>
      <c r="W262" s="378"/>
      <c r="X262" s="5"/>
      <c r="Y262" s="109"/>
    </row>
    <row r="263" spans="1:25" ht="15.6" x14ac:dyDescent="0.3">
      <c r="A263" s="287"/>
      <c r="B263" s="337"/>
      <c r="C263" s="389"/>
      <c r="D263" s="389"/>
      <c r="E263" s="389"/>
      <c r="F263" s="288"/>
      <c r="G263" s="390"/>
      <c r="H263" s="389"/>
      <c r="I263" s="389"/>
      <c r="J263" s="389"/>
      <c r="K263" s="389"/>
      <c r="L263" s="389"/>
      <c r="M263" s="389"/>
      <c r="N263" s="389"/>
      <c r="O263" s="389"/>
      <c r="P263" s="389"/>
      <c r="Q263" s="389"/>
      <c r="R263" s="337"/>
      <c r="S263" s="390"/>
      <c r="T263" s="338"/>
      <c r="U263" s="390"/>
      <c r="V263" s="365"/>
      <c r="W263" s="378"/>
      <c r="X263" s="5"/>
    </row>
    <row r="264" spans="1:25" ht="15.6" x14ac:dyDescent="0.3">
      <c r="A264" s="287"/>
      <c r="B264" s="288"/>
      <c r="C264" s="288"/>
      <c r="D264" s="288"/>
      <c r="E264" s="288"/>
      <c r="F264" s="288"/>
      <c r="G264" s="288"/>
      <c r="H264" s="391"/>
      <c r="I264" s="391"/>
      <c r="J264" s="391"/>
      <c r="K264" s="391"/>
      <c r="L264" s="391"/>
      <c r="M264" s="391"/>
      <c r="N264" s="391"/>
      <c r="O264" s="391"/>
      <c r="P264" s="391"/>
      <c r="Q264" s="391"/>
      <c r="R264" s="337">
        <f>SUM(R255:R263)</f>
        <v>6793</v>
      </c>
      <c r="S264" s="390">
        <f>SUM(S255:S263)</f>
        <v>1</v>
      </c>
      <c r="T264" s="338">
        <f>SUM(T255:T263)</f>
        <v>934296</v>
      </c>
      <c r="U264" s="390">
        <f>SUM(U255:U263)</f>
        <v>1</v>
      </c>
      <c r="V264" s="288"/>
      <c r="W264" s="291"/>
      <c r="X264" s="5"/>
    </row>
    <row r="265" spans="1:25" ht="15.6" x14ac:dyDescent="0.3">
      <c r="A265" s="183"/>
      <c r="B265" s="198"/>
      <c r="C265" s="198"/>
      <c r="D265" s="198"/>
      <c r="E265" s="198"/>
      <c r="F265" s="198"/>
      <c r="G265" s="198"/>
      <c r="H265" s="386"/>
      <c r="I265" s="386"/>
      <c r="J265" s="386"/>
      <c r="K265" s="386"/>
      <c r="L265" s="386"/>
      <c r="M265" s="386"/>
      <c r="N265" s="386"/>
      <c r="O265" s="386"/>
      <c r="P265" s="386"/>
      <c r="Q265" s="386"/>
      <c r="R265" s="335"/>
      <c r="S265" s="387"/>
      <c r="T265" s="388"/>
      <c r="U265" s="387"/>
      <c r="V265" s="198"/>
      <c r="W265" s="198"/>
      <c r="X265" s="5"/>
    </row>
    <row r="266" spans="1:25" ht="15.6" x14ac:dyDescent="0.3">
      <c r="A266" s="280"/>
      <c r="B266" s="399" t="s">
        <v>275</v>
      </c>
      <c r="C266" s="400"/>
      <c r="D266" s="400"/>
      <c r="E266" s="400"/>
      <c r="F266" s="406"/>
      <c r="G266" s="400"/>
      <c r="H266" s="400"/>
      <c r="I266" s="400"/>
      <c r="J266" s="400"/>
      <c r="K266" s="400"/>
      <c r="L266" s="400"/>
      <c r="M266" s="400"/>
      <c r="N266" s="400"/>
      <c r="O266" s="400"/>
      <c r="P266" s="400"/>
      <c r="Q266" s="400"/>
      <c r="R266" s="406" t="s">
        <v>102</v>
      </c>
      <c r="S266" s="400" t="s">
        <v>103</v>
      </c>
      <c r="T266" s="406" t="s">
        <v>109</v>
      </c>
      <c r="U266" s="400" t="s">
        <v>103</v>
      </c>
      <c r="V266" s="281"/>
      <c r="W266" s="282"/>
      <c r="X266" s="5"/>
    </row>
    <row r="267" spans="1:25" ht="15.6" x14ac:dyDescent="0.3">
      <c r="A267" s="197"/>
      <c r="B267" s="234" t="s">
        <v>88</v>
      </c>
      <c r="C267" s="253"/>
      <c r="D267" s="253"/>
      <c r="E267" s="253"/>
      <c r="F267" s="231"/>
      <c r="G267" s="253"/>
      <c r="H267" s="253"/>
      <c r="I267" s="253"/>
      <c r="J267" s="253"/>
      <c r="K267" s="253"/>
      <c r="L267" s="253"/>
      <c r="M267" s="253"/>
      <c r="N267" s="253"/>
      <c r="O267" s="253"/>
      <c r="P267" s="253"/>
      <c r="Q267" s="253"/>
      <c r="R267" s="234">
        <v>115</v>
      </c>
      <c r="S267" s="254">
        <f t="shared" ref="S267:S274" si="7">R267/$R$276</f>
        <v>0.89147286821705429</v>
      </c>
      <c r="T267" s="241">
        <v>16778</v>
      </c>
      <c r="U267" s="254">
        <f t="shared" ref="U267:U274" si="8">T267/$T$276</f>
        <v>0.8824024403071421</v>
      </c>
      <c r="V267" s="231"/>
      <c r="W267" s="231"/>
      <c r="X267" s="5"/>
    </row>
    <row r="268" spans="1:25" ht="15.6" x14ac:dyDescent="0.3">
      <c r="A268" s="287"/>
      <c r="B268" s="337" t="s">
        <v>89</v>
      </c>
      <c r="C268" s="389"/>
      <c r="D268" s="389"/>
      <c r="E268" s="389"/>
      <c r="F268" s="288"/>
      <c r="G268" s="390"/>
      <c r="H268" s="389"/>
      <c r="I268" s="389"/>
      <c r="J268" s="389"/>
      <c r="K268" s="389"/>
      <c r="L268" s="389"/>
      <c r="M268" s="389"/>
      <c r="N268" s="389"/>
      <c r="O268" s="389"/>
      <c r="P268" s="389"/>
      <c r="Q268" s="389"/>
      <c r="R268" s="337">
        <v>2</v>
      </c>
      <c r="S268" s="390">
        <f t="shared" si="7"/>
        <v>1.5503875968992248E-2</v>
      </c>
      <c r="T268" s="338">
        <v>248</v>
      </c>
      <c r="U268" s="390">
        <f t="shared" si="8"/>
        <v>1.3043020931944883E-2</v>
      </c>
      <c r="V268" s="288"/>
      <c r="W268" s="291"/>
      <c r="X268" s="5"/>
    </row>
    <row r="269" spans="1:25" ht="15.6" x14ac:dyDescent="0.3">
      <c r="A269" s="287"/>
      <c r="B269" s="337" t="s">
        <v>90</v>
      </c>
      <c r="C269" s="389"/>
      <c r="D269" s="389"/>
      <c r="E269" s="389"/>
      <c r="F269" s="288"/>
      <c r="G269" s="390"/>
      <c r="H269" s="389"/>
      <c r="I269" s="389"/>
      <c r="J269" s="389"/>
      <c r="K269" s="389"/>
      <c r="L269" s="389"/>
      <c r="M269" s="389"/>
      <c r="N269" s="389"/>
      <c r="O269" s="389"/>
      <c r="P269" s="389"/>
      <c r="Q269" s="389"/>
      <c r="R269" s="337">
        <v>1</v>
      </c>
      <c r="S269" s="390">
        <f t="shared" si="7"/>
        <v>7.7519379844961239E-3</v>
      </c>
      <c r="T269" s="338">
        <v>195</v>
      </c>
      <c r="U269" s="390">
        <f t="shared" si="8"/>
        <v>1.0255601136005049E-2</v>
      </c>
      <c r="V269" s="288"/>
      <c r="W269" s="291"/>
      <c r="X269" s="5"/>
    </row>
    <row r="270" spans="1:25" ht="15.6" x14ac:dyDescent="0.3">
      <c r="A270" s="287"/>
      <c r="B270" s="337" t="s">
        <v>156</v>
      </c>
      <c r="C270" s="389"/>
      <c r="D270" s="389"/>
      <c r="E270" s="389"/>
      <c r="F270" s="288"/>
      <c r="G270" s="390"/>
      <c r="H270" s="389"/>
      <c r="I270" s="389"/>
      <c r="J270" s="389"/>
      <c r="K270" s="389"/>
      <c r="L270" s="389"/>
      <c r="M270" s="389"/>
      <c r="N270" s="389"/>
      <c r="O270" s="389"/>
      <c r="P270" s="389"/>
      <c r="Q270" s="389"/>
      <c r="R270" s="337">
        <v>0</v>
      </c>
      <c r="S270" s="390">
        <f t="shared" si="7"/>
        <v>0</v>
      </c>
      <c r="T270" s="338">
        <v>0</v>
      </c>
      <c r="U270" s="390">
        <f t="shared" si="8"/>
        <v>0</v>
      </c>
      <c r="V270" s="288"/>
      <c r="W270" s="291"/>
      <c r="X270" s="5"/>
    </row>
    <row r="271" spans="1:25" ht="15.6" x14ac:dyDescent="0.3">
      <c r="A271" s="287"/>
      <c r="B271" s="337" t="s">
        <v>157</v>
      </c>
      <c r="C271" s="389"/>
      <c r="D271" s="389"/>
      <c r="E271" s="389"/>
      <c r="F271" s="288"/>
      <c r="G271" s="390"/>
      <c r="H271" s="389"/>
      <c r="I271" s="389"/>
      <c r="J271" s="389"/>
      <c r="K271" s="389"/>
      <c r="L271" s="389"/>
      <c r="M271" s="389"/>
      <c r="N271" s="389"/>
      <c r="O271" s="389"/>
      <c r="P271" s="389"/>
      <c r="Q271" s="389"/>
      <c r="R271" s="337">
        <v>0</v>
      </c>
      <c r="S271" s="390">
        <f t="shared" si="7"/>
        <v>0</v>
      </c>
      <c r="T271" s="338">
        <v>0</v>
      </c>
      <c r="U271" s="390">
        <f t="shared" si="8"/>
        <v>0</v>
      </c>
      <c r="V271" s="288"/>
      <c r="W271" s="291"/>
      <c r="X271" s="5"/>
    </row>
    <row r="272" spans="1:25" ht="15.6" x14ac:dyDescent="0.3">
      <c r="A272" s="287"/>
      <c r="B272" s="337" t="s">
        <v>158</v>
      </c>
      <c r="C272" s="389"/>
      <c r="D272" s="389"/>
      <c r="E272" s="389"/>
      <c r="F272" s="288"/>
      <c r="G272" s="390"/>
      <c r="H272" s="389"/>
      <c r="I272" s="389"/>
      <c r="J272" s="389"/>
      <c r="K272" s="389"/>
      <c r="L272" s="389"/>
      <c r="M272" s="389"/>
      <c r="N272" s="389"/>
      <c r="O272" s="389"/>
      <c r="P272" s="389"/>
      <c r="Q272" s="389"/>
      <c r="R272" s="337">
        <v>0</v>
      </c>
      <c r="S272" s="390">
        <f t="shared" si="7"/>
        <v>0</v>
      </c>
      <c r="T272" s="338">
        <v>0</v>
      </c>
      <c r="U272" s="390">
        <f t="shared" si="8"/>
        <v>0</v>
      </c>
      <c r="V272" s="288"/>
      <c r="W272" s="291"/>
      <c r="X272" s="5"/>
    </row>
    <row r="273" spans="1:24" ht="15.6" x14ac:dyDescent="0.3">
      <c r="A273" s="287"/>
      <c r="B273" s="337" t="s">
        <v>159</v>
      </c>
      <c r="C273" s="389"/>
      <c r="D273" s="389"/>
      <c r="E273" s="389"/>
      <c r="F273" s="288"/>
      <c r="G273" s="390"/>
      <c r="H273" s="389"/>
      <c r="I273" s="389"/>
      <c r="J273" s="389"/>
      <c r="K273" s="389"/>
      <c r="L273" s="389"/>
      <c r="M273" s="389"/>
      <c r="N273" s="389"/>
      <c r="O273" s="389"/>
      <c r="P273" s="389"/>
      <c r="Q273" s="389"/>
      <c r="R273" s="337">
        <v>2</v>
      </c>
      <c r="S273" s="390">
        <f t="shared" si="7"/>
        <v>1.5503875968992248E-2</v>
      </c>
      <c r="T273" s="338">
        <v>244</v>
      </c>
      <c r="U273" s="390">
        <f t="shared" si="8"/>
        <v>1.2832649626590933E-2</v>
      </c>
      <c r="V273" s="288"/>
      <c r="W273" s="291"/>
      <c r="X273" s="5"/>
    </row>
    <row r="274" spans="1:24" ht="15.6" x14ac:dyDescent="0.3">
      <c r="A274" s="287"/>
      <c r="B274" s="337" t="s">
        <v>160</v>
      </c>
      <c r="C274" s="389"/>
      <c r="D274" s="389"/>
      <c r="E274" s="389"/>
      <c r="F274" s="288"/>
      <c r="G274" s="390"/>
      <c r="H274" s="389"/>
      <c r="I274" s="389"/>
      <c r="J274" s="389"/>
      <c r="K274" s="389"/>
      <c r="L274" s="389"/>
      <c r="M274" s="389"/>
      <c r="N274" s="389"/>
      <c r="O274" s="389"/>
      <c r="P274" s="389"/>
      <c r="Q274" s="389"/>
      <c r="R274" s="337">
        <v>9</v>
      </c>
      <c r="S274" s="390">
        <f t="shared" si="7"/>
        <v>6.9767441860465115E-2</v>
      </c>
      <c r="T274" s="338">
        <v>1549</v>
      </c>
      <c r="U274" s="390">
        <f t="shared" si="8"/>
        <v>8.1466287998317025E-2</v>
      </c>
      <c r="V274" s="288"/>
      <c r="W274" s="291"/>
      <c r="X274" s="5"/>
    </row>
    <row r="275" spans="1:24" ht="15.6" x14ac:dyDescent="0.3">
      <c r="A275" s="287"/>
      <c r="B275" s="337"/>
      <c r="C275" s="389"/>
      <c r="D275" s="389"/>
      <c r="E275" s="389"/>
      <c r="F275" s="288"/>
      <c r="G275" s="390"/>
      <c r="H275" s="389"/>
      <c r="I275" s="389"/>
      <c r="J275" s="389"/>
      <c r="K275" s="389"/>
      <c r="L275" s="389"/>
      <c r="M275" s="389"/>
      <c r="N275" s="389"/>
      <c r="O275" s="389"/>
      <c r="P275" s="389"/>
      <c r="Q275" s="389"/>
      <c r="R275" s="337"/>
      <c r="S275" s="390"/>
      <c r="T275" s="338"/>
      <c r="U275" s="390"/>
      <c r="V275" s="288"/>
      <c r="W275" s="291"/>
      <c r="X275" s="5"/>
    </row>
    <row r="276" spans="1:24" ht="15.6" x14ac:dyDescent="0.3">
      <c r="A276" s="287"/>
      <c r="B276" s="288"/>
      <c r="C276" s="288"/>
      <c r="D276" s="288"/>
      <c r="E276" s="288"/>
      <c r="F276" s="288"/>
      <c r="G276" s="288"/>
      <c r="H276" s="391"/>
      <c r="I276" s="391"/>
      <c r="J276" s="391"/>
      <c r="K276" s="391"/>
      <c r="L276" s="391"/>
      <c r="M276" s="391"/>
      <c r="N276" s="391"/>
      <c r="O276" s="391"/>
      <c r="P276" s="391"/>
      <c r="Q276" s="391"/>
      <c r="R276" s="337">
        <f>SUM(R267:R275)</f>
        <v>129</v>
      </c>
      <c r="S276" s="390">
        <f>SUM(S267:S275)</f>
        <v>1</v>
      </c>
      <c r="T276" s="338">
        <f>SUM(T267:T275)</f>
        <v>19014</v>
      </c>
      <c r="U276" s="390">
        <f>SUM(U267:U275)</f>
        <v>1</v>
      </c>
      <c r="V276" s="288"/>
      <c r="W276" s="291"/>
      <c r="X276" s="5"/>
    </row>
    <row r="277" spans="1:24" ht="15.6" x14ac:dyDescent="0.3">
      <c r="A277" s="183"/>
      <c r="B277" s="284"/>
      <c r="C277" s="284"/>
      <c r="D277" s="284"/>
      <c r="E277" s="284"/>
      <c r="F277" s="284"/>
      <c r="G277" s="284"/>
      <c r="H277" s="392"/>
      <c r="I277" s="392"/>
      <c r="J277" s="392"/>
      <c r="K277" s="392"/>
      <c r="L277" s="392"/>
      <c r="M277" s="392"/>
      <c r="N277" s="392"/>
      <c r="O277" s="392"/>
      <c r="P277" s="392"/>
      <c r="Q277" s="392"/>
      <c r="R277" s="339"/>
      <c r="S277" s="393"/>
      <c r="T277" s="394"/>
      <c r="U277" s="393"/>
      <c r="V277" s="284"/>
      <c r="W277" s="284"/>
      <c r="X277" s="5"/>
    </row>
    <row r="278" spans="1:24" ht="15.6" x14ac:dyDescent="0.3">
      <c r="A278" s="280"/>
      <c r="B278" s="399" t="s">
        <v>163</v>
      </c>
      <c r="C278" s="281"/>
      <c r="D278" s="281"/>
      <c r="E278" s="281"/>
      <c r="F278" s="281"/>
      <c r="G278" s="281"/>
      <c r="H278" s="283"/>
      <c r="I278" s="283"/>
      <c r="J278" s="283"/>
      <c r="K278" s="283"/>
      <c r="L278" s="283"/>
      <c r="M278" s="283"/>
      <c r="N278" s="283"/>
      <c r="O278" s="283"/>
      <c r="P278" s="283"/>
      <c r="Q278" s="283"/>
      <c r="R278" s="406" t="s">
        <v>102</v>
      </c>
      <c r="S278" s="400" t="s">
        <v>103</v>
      </c>
      <c r="T278" s="406" t="s">
        <v>109</v>
      </c>
      <c r="U278" s="400" t="s">
        <v>103</v>
      </c>
      <c r="V278" s="281"/>
      <c r="W278" s="282"/>
      <c r="X278" s="5"/>
    </row>
    <row r="279" spans="1:24" ht="15.6" x14ac:dyDescent="0.3">
      <c r="A279" s="197"/>
      <c r="B279" s="234" t="s">
        <v>88</v>
      </c>
      <c r="C279" s="231"/>
      <c r="D279" s="231"/>
      <c r="E279" s="231"/>
      <c r="F279" s="231"/>
      <c r="G279" s="231"/>
      <c r="H279" s="255"/>
      <c r="I279" s="255"/>
      <c r="J279" s="255"/>
      <c r="K279" s="255"/>
      <c r="L279" s="255"/>
      <c r="M279" s="255"/>
      <c r="N279" s="255"/>
      <c r="O279" s="255"/>
      <c r="P279" s="255"/>
      <c r="Q279" s="255"/>
      <c r="R279" s="234">
        <v>0</v>
      </c>
      <c r="S279" s="254">
        <v>0</v>
      </c>
      <c r="T279" s="241">
        <v>0</v>
      </c>
      <c r="U279" s="254">
        <v>0</v>
      </c>
      <c r="V279" s="231"/>
      <c r="W279" s="231"/>
      <c r="X279" s="5"/>
    </row>
    <row r="280" spans="1:24" ht="15.6" x14ac:dyDescent="0.3">
      <c r="A280" s="287"/>
      <c r="B280" s="337" t="s">
        <v>89</v>
      </c>
      <c r="C280" s="288"/>
      <c r="D280" s="288"/>
      <c r="E280" s="288"/>
      <c r="F280" s="288"/>
      <c r="G280" s="288"/>
      <c r="H280" s="391"/>
      <c r="I280" s="391"/>
      <c r="J280" s="391"/>
      <c r="K280" s="391"/>
      <c r="L280" s="391"/>
      <c r="M280" s="391"/>
      <c r="N280" s="391"/>
      <c r="O280" s="391"/>
      <c r="P280" s="391"/>
      <c r="Q280" s="391"/>
      <c r="R280" s="337">
        <v>0</v>
      </c>
      <c r="S280" s="390">
        <v>0</v>
      </c>
      <c r="T280" s="338">
        <v>0</v>
      </c>
      <c r="U280" s="390">
        <v>0</v>
      </c>
      <c r="V280" s="288"/>
      <c r="W280" s="291"/>
      <c r="X280" s="5"/>
    </row>
    <row r="281" spans="1:24" ht="15.6" x14ac:dyDescent="0.3">
      <c r="A281" s="287"/>
      <c r="B281" s="337" t="s">
        <v>90</v>
      </c>
      <c r="C281" s="288"/>
      <c r="D281" s="288"/>
      <c r="E281" s="288"/>
      <c r="F281" s="288"/>
      <c r="G281" s="288"/>
      <c r="H281" s="391"/>
      <c r="I281" s="391"/>
      <c r="J281" s="391"/>
      <c r="K281" s="391"/>
      <c r="L281" s="391"/>
      <c r="M281" s="391"/>
      <c r="N281" s="391"/>
      <c r="O281" s="391"/>
      <c r="P281" s="391"/>
      <c r="Q281" s="391"/>
      <c r="R281" s="337">
        <v>0</v>
      </c>
      <c r="S281" s="390">
        <v>0</v>
      </c>
      <c r="T281" s="338">
        <v>0</v>
      </c>
      <c r="U281" s="390">
        <v>0</v>
      </c>
      <c r="V281" s="288"/>
      <c r="W281" s="291"/>
      <c r="X281" s="5"/>
    </row>
    <row r="282" spans="1:24" ht="15.6" x14ac:dyDescent="0.3">
      <c r="A282" s="287"/>
      <c r="B282" s="337" t="s">
        <v>156</v>
      </c>
      <c r="C282" s="288"/>
      <c r="D282" s="288"/>
      <c r="E282" s="288"/>
      <c r="F282" s="288"/>
      <c r="G282" s="288"/>
      <c r="H282" s="391"/>
      <c r="I282" s="391"/>
      <c r="J282" s="391"/>
      <c r="K282" s="391"/>
      <c r="L282" s="391"/>
      <c r="M282" s="391"/>
      <c r="N282" s="391"/>
      <c r="O282" s="391"/>
      <c r="P282" s="391"/>
      <c r="Q282" s="391"/>
      <c r="R282" s="337">
        <v>0</v>
      </c>
      <c r="S282" s="390">
        <v>0</v>
      </c>
      <c r="T282" s="338">
        <v>0</v>
      </c>
      <c r="U282" s="390">
        <v>0</v>
      </c>
      <c r="V282" s="288"/>
      <c r="W282" s="291"/>
      <c r="X282" s="5"/>
    </row>
    <row r="283" spans="1:24" ht="15.6" x14ac:dyDescent="0.3">
      <c r="A283" s="287"/>
      <c r="B283" s="337" t="s">
        <v>157</v>
      </c>
      <c r="C283" s="288"/>
      <c r="D283" s="288"/>
      <c r="E283" s="288"/>
      <c r="F283" s="288"/>
      <c r="G283" s="288"/>
      <c r="H283" s="391"/>
      <c r="I283" s="391"/>
      <c r="J283" s="391"/>
      <c r="K283" s="391"/>
      <c r="L283" s="391"/>
      <c r="M283" s="391"/>
      <c r="N283" s="391"/>
      <c r="O283" s="391"/>
      <c r="P283" s="391"/>
      <c r="Q283" s="391"/>
      <c r="R283" s="337">
        <v>0</v>
      </c>
      <c r="S283" s="390">
        <v>0</v>
      </c>
      <c r="T283" s="338">
        <v>0</v>
      </c>
      <c r="U283" s="390">
        <v>0</v>
      </c>
      <c r="V283" s="288"/>
      <c r="W283" s="291"/>
      <c r="X283" s="5"/>
    </row>
    <row r="284" spans="1:24" ht="15.6" x14ac:dyDescent="0.3">
      <c r="A284" s="287"/>
      <c r="B284" s="337" t="s">
        <v>158</v>
      </c>
      <c r="C284" s="288"/>
      <c r="D284" s="288"/>
      <c r="E284" s="288"/>
      <c r="F284" s="288"/>
      <c r="G284" s="288"/>
      <c r="H284" s="391"/>
      <c r="I284" s="391"/>
      <c r="J284" s="391"/>
      <c r="K284" s="391"/>
      <c r="L284" s="391"/>
      <c r="M284" s="391"/>
      <c r="N284" s="391"/>
      <c r="O284" s="391"/>
      <c r="P284" s="391"/>
      <c r="Q284" s="391"/>
      <c r="R284" s="337">
        <v>0</v>
      </c>
      <c r="S284" s="390">
        <v>0</v>
      </c>
      <c r="T284" s="338">
        <v>0</v>
      </c>
      <c r="U284" s="390">
        <v>0</v>
      </c>
      <c r="V284" s="288"/>
      <c r="W284" s="291"/>
      <c r="X284" s="5"/>
    </row>
    <row r="285" spans="1:24" ht="15.6" x14ac:dyDescent="0.3">
      <c r="A285" s="287"/>
      <c r="B285" s="337" t="s">
        <v>159</v>
      </c>
      <c r="C285" s="288"/>
      <c r="D285" s="288"/>
      <c r="E285" s="288"/>
      <c r="F285" s="288"/>
      <c r="G285" s="288"/>
      <c r="H285" s="391"/>
      <c r="I285" s="391"/>
      <c r="J285" s="391"/>
      <c r="K285" s="391"/>
      <c r="L285" s="391"/>
      <c r="M285" s="391"/>
      <c r="N285" s="391"/>
      <c r="O285" s="391"/>
      <c r="P285" s="391"/>
      <c r="Q285" s="391"/>
      <c r="R285" s="337">
        <v>0</v>
      </c>
      <c r="S285" s="390">
        <v>0</v>
      </c>
      <c r="T285" s="338">
        <v>0</v>
      </c>
      <c r="U285" s="390">
        <v>0</v>
      </c>
      <c r="V285" s="288"/>
      <c r="W285" s="291"/>
      <c r="X285" s="5"/>
    </row>
    <row r="286" spans="1:24" ht="15.6" x14ac:dyDescent="0.3">
      <c r="A286" s="287"/>
      <c r="B286" s="337" t="s">
        <v>160</v>
      </c>
      <c r="C286" s="288"/>
      <c r="D286" s="288"/>
      <c r="E286" s="288"/>
      <c r="F286" s="288"/>
      <c r="G286" s="288"/>
      <c r="H286" s="391"/>
      <c r="I286" s="391"/>
      <c r="J286" s="391"/>
      <c r="K286" s="391"/>
      <c r="L286" s="391"/>
      <c r="M286" s="391"/>
      <c r="N286" s="391"/>
      <c r="O286" s="391"/>
      <c r="P286" s="391"/>
      <c r="Q286" s="391"/>
      <c r="R286" s="337">
        <v>1</v>
      </c>
      <c r="S286" s="390">
        <v>1</v>
      </c>
      <c r="T286" s="338">
        <v>127</v>
      </c>
      <c r="U286" s="390">
        <v>1</v>
      </c>
      <c r="V286" s="288"/>
      <c r="W286" s="291"/>
      <c r="X286" s="5"/>
    </row>
    <row r="287" spans="1:24" ht="15.6" x14ac:dyDescent="0.3">
      <c r="A287" s="287"/>
      <c r="B287" s="337"/>
      <c r="C287" s="288"/>
      <c r="D287" s="288"/>
      <c r="E287" s="288"/>
      <c r="F287" s="288"/>
      <c r="G287" s="288"/>
      <c r="H287" s="391"/>
      <c r="I287" s="391"/>
      <c r="J287" s="391"/>
      <c r="K287" s="391"/>
      <c r="L287" s="391"/>
      <c r="M287" s="391"/>
      <c r="N287" s="391"/>
      <c r="O287" s="391"/>
      <c r="P287" s="391"/>
      <c r="Q287" s="391"/>
      <c r="R287" s="337"/>
      <c r="S287" s="390"/>
      <c r="T287" s="338"/>
      <c r="U287" s="390"/>
      <c r="V287" s="288"/>
      <c r="W287" s="291"/>
      <c r="X287" s="5"/>
    </row>
    <row r="288" spans="1:24" ht="15.6" x14ac:dyDescent="0.3">
      <c r="A288" s="287"/>
      <c r="B288" s="288" t="s">
        <v>114</v>
      </c>
      <c r="C288" s="288"/>
      <c r="D288" s="288"/>
      <c r="E288" s="288"/>
      <c r="F288" s="288"/>
      <c r="G288" s="288"/>
      <c r="H288" s="391"/>
      <c r="I288" s="391"/>
      <c r="J288" s="391"/>
      <c r="K288" s="391"/>
      <c r="L288" s="391"/>
      <c r="M288" s="391"/>
      <c r="N288" s="391"/>
      <c r="O288" s="391"/>
      <c r="P288" s="391"/>
      <c r="Q288" s="391"/>
      <c r="R288" s="337">
        <f>SUM(R279:R286)</f>
        <v>1</v>
      </c>
      <c r="S288" s="390">
        <f>SUM(S279:S287)</f>
        <v>1</v>
      </c>
      <c r="T288" s="338">
        <f>SUM(T279:T286)</f>
        <v>127</v>
      </c>
      <c r="U288" s="390">
        <f>SUM(U279:U287)</f>
        <v>1</v>
      </c>
      <c r="V288" s="288"/>
      <c r="W288" s="291"/>
      <c r="X288" s="5"/>
    </row>
    <row r="289" spans="1:24" ht="15.6" x14ac:dyDescent="0.3">
      <c r="A289" s="287"/>
      <c r="B289" s="288"/>
      <c r="C289" s="288"/>
      <c r="D289" s="288"/>
      <c r="E289" s="288"/>
      <c r="F289" s="288"/>
      <c r="G289" s="288"/>
      <c r="H289" s="391"/>
      <c r="I289" s="391"/>
      <c r="J289" s="391"/>
      <c r="K289" s="391"/>
      <c r="L289" s="391"/>
      <c r="M289" s="391"/>
      <c r="N289" s="391"/>
      <c r="O289" s="391"/>
      <c r="P289" s="391"/>
      <c r="Q289" s="391"/>
      <c r="R289" s="337"/>
      <c r="S289" s="390"/>
      <c r="T289" s="338"/>
      <c r="U289" s="390"/>
      <c r="V289" s="288"/>
      <c r="W289" s="291"/>
      <c r="X289" s="5"/>
    </row>
    <row r="290" spans="1:24" ht="15.6" x14ac:dyDescent="0.3">
      <c r="A290" s="287"/>
      <c r="B290" s="295" t="s">
        <v>164</v>
      </c>
      <c r="C290" s="288"/>
      <c r="D290" s="288"/>
      <c r="E290" s="288"/>
      <c r="F290" s="288"/>
      <c r="G290" s="288"/>
      <c r="H290" s="391"/>
      <c r="I290" s="391"/>
      <c r="J290" s="391"/>
      <c r="K290" s="391"/>
      <c r="L290" s="391"/>
      <c r="M290" s="391"/>
      <c r="N290" s="391"/>
      <c r="O290" s="391"/>
      <c r="P290" s="391"/>
      <c r="Q290" s="391"/>
      <c r="R290" s="407">
        <f>R288+R276+R264</f>
        <v>6923</v>
      </c>
      <c r="S290" s="390"/>
      <c r="T290" s="396">
        <f>+T288+T276+T264</f>
        <v>953437</v>
      </c>
      <c r="U290" s="390"/>
      <c r="V290" s="288"/>
      <c r="W290" s="291"/>
      <c r="X290" s="5"/>
    </row>
    <row r="291" spans="1:24" ht="15.6" x14ac:dyDescent="0.3">
      <c r="A291" s="183"/>
      <c r="B291" s="284"/>
      <c r="C291" s="284"/>
      <c r="D291" s="284"/>
      <c r="E291" s="284"/>
      <c r="F291" s="284"/>
      <c r="G291" s="284"/>
      <c r="H291" s="392"/>
      <c r="I291" s="392"/>
      <c r="J291" s="392"/>
      <c r="K291" s="392"/>
      <c r="L291" s="392"/>
      <c r="M291" s="392"/>
      <c r="N291" s="392"/>
      <c r="O291" s="392"/>
      <c r="P291" s="392"/>
      <c r="Q291" s="392"/>
      <c r="R291" s="392"/>
      <c r="S291" s="392"/>
      <c r="T291" s="394"/>
      <c r="U291" s="392"/>
      <c r="V291" s="284"/>
      <c r="W291" s="284"/>
      <c r="X291" s="5"/>
    </row>
    <row r="292" spans="1:24" ht="15.6" x14ac:dyDescent="0.3">
      <c r="A292" s="183"/>
      <c r="B292" s="224"/>
      <c r="C292" s="224"/>
      <c r="D292" s="224"/>
      <c r="E292" s="224"/>
      <c r="F292" s="224"/>
      <c r="G292" s="224"/>
      <c r="H292" s="256"/>
      <c r="I292" s="256"/>
      <c r="J292" s="256"/>
      <c r="K292" s="256"/>
      <c r="L292" s="256"/>
      <c r="M292" s="256"/>
      <c r="N292" s="256"/>
      <c r="O292" s="256"/>
      <c r="P292" s="256"/>
      <c r="Q292" s="256"/>
      <c r="R292" s="256"/>
      <c r="S292" s="256"/>
      <c r="T292" s="257"/>
      <c r="U292" s="256"/>
      <c r="V292" s="224"/>
      <c r="W292" s="224"/>
      <c r="X292" s="5"/>
    </row>
    <row r="293" spans="1:24" ht="15.6" x14ac:dyDescent="0.3">
      <c r="A293" s="219"/>
      <c r="B293" s="222" t="s">
        <v>91</v>
      </c>
      <c r="C293" s="224"/>
      <c r="D293" s="224"/>
      <c r="E293" s="224"/>
      <c r="F293" s="228" t="s">
        <v>97</v>
      </c>
      <c r="G293" s="224"/>
      <c r="H293" s="222" t="s">
        <v>99</v>
      </c>
      <c r="I293" s="222"/>
      <c r="J293" s="222"/>
      <c r="K293" s="258"/>
      <c r="L293" s="258"/>
      <c r="M293" s="258"/>
      <c r="N293" s="258"/>
      <c r="O293" s="258"/>
      <c r="P293" s="258"/>
      <c r="Q293" s="258"/>
      <c r="R293" s="258"/>
      <c r="S293" s="258"/>
      <c r="T293" s="258"/>
      <c r="U293" s="258"/>
      <c r="V293" s="258"/>
      <c r="W293" s="258"/>
      <c r="X293" s="5"/>
    </row>
    <row r="294" spans="1:24" ht="15.6" x14ac:dyDescent="0.3">
      <c r="A294" s="219"/>
      <c r="B294" s="258"/>
      <c r="C294" s="224"/>
      <c r="D294" s="224"/>
      <c r="E294" s="224"/>
      <c r="F294" s="224"/>
      <c r="G294" s="224"/>
      <c r="H294" s="224"/>
      <c r="I294" s="224"/>
      <c r="J294" s="224"/>
      <c r="K294" s="258"/>
      <c r="L294" s="258"/>
      <c r="M294" s="258"/>
      <c r="N294" s="258"/>
      <c r="O294" s="258"/>
      <c r="P294" s="258"/>
      <c r="Q294" s="258"/>
      <c r="R294" s="258"/>
      <c r="S294" s="258"/>
      <c r="T294" s="258"/>
      <c r="U294" s="258"/>
      <c r="V294" s="258"/>
      <c r="W294" s="258"/>
      <c r="X294" s="5"/>
    </row>
    <row r="295" spans="1:24" ht="15.6" x14ac:dyDescent="0.3">
      <c r="A295" s="219"/>
      <c r="B295" s="222" t="s">
        <v>338</v>
      </c>
      <c r="C295" s="222"/>
      <c r="D295" s="222"/>
      <c r="E295" s="222"/>
      <c r="F295" s="259" t="s">
        <v>148</v>
      </c>
      <c r="G295" s="222"/>
      <c r="H295" s="222" t="s">
        <v>152</v>
      </c>
      <c r="I295" s="222"/>
      <c r="J295" s="222"/>
      <c r="K295" s="258"/>
      <c r="L295" s="258"/>
      <c r="M295" s="258"/>
      <c r="N295" s="258"/>
      <c r="O295" s="258"/>
      <c r="P295" s="258"/>
      <c r="Q295" s="258"/>
      <c r="R295" s="258"/>
      <c r="S295" s="258"/>
      <c r="T295" s="258"/>
      <c r="U295" s="258"/>
      <c r="V295" s="258"/>
      <c r="W295" s="258"/>
      <c r="X295" s="5"/>
    </row>
    <row r="296" spans="1:24" ht="15.6" x14ac:dyDescent="0.3">
      <c r="A296" s="219"/>
      <c r="B296" s="222" t="s">
        <v>339</v>
      </c>
      <c r="C296" s="222"/>
      <c r="D296" s="222"/>
      <c r="E296" s="222"/>
      <c r="F296" s="259" t="s">
        <v>278</v>
      </c>
      <c r="G296" s="222"/>
      <c r="H296" s="222" t="s">
        <v>279</v>
      </c>
      <c r="I296" s="258"/>
      <c r="J296" s="222"/>
      <c r="K296" s="258"/>
      <c r="L296" s="258"/>
      <c r="M296" s="258"/>
      <c r="N296" s="258"/>
      <c r="O296" s="258"/>
      <c r="P296" s="258"/>
      <c r="Q296" s="258"/>
      <c r="R296" s="258"/>
      <c r="S296" s="258"/>
      <c r="T296" s="258"/>
      <c r="U296" s="258"/>
      <c r="V296" s="258"/>
      <c r="W296" s="258"/>
      <c r="X296" s="5"/>
    </row>
    <row r="297" spans="1:24" ht="15.6" x14ac:dyDescent="0.3">
      <c r="A297" s="219"/>
      <c r="B297" s="222" t="s">
        <v>340</v>
      </c>
      <c r="C297" s="222"/>
      <c r="D297" s="222"/>
      <c r="E297" s="222"/>
      <c r="F297" s="259" t="s">
        <v>147</v>
      </c>
      <c r="G297" s="222"/>
      <c r="H297" s="222" t="s">
        <v>153</v>
      </c>
      <c r="I297" s="222"/>
      <c r="J297" s="222"/>
      <c r="K297" s="258"/>
      <c r="L297" s="258"/>
      <c r="M297" s="258"/>
      <c r="N297" s="258"/>
      <c r="O297" s="258"/>
      <c r="P297" s="258"/>
      <c r="Q297" s="258"/>
      <c r="R297" s="258"/>
      <c r="S297" s="258"/>
      <c r="T297" s="258"/>
      <c r="U297" s="258"/>
      <c r="V297" s="258"/>
      <c r="W297" s="258"/>
      <c r="X297" s="5"/>
    </row>
    <row r="298" spans="1:24" ht="15.6" x14ac:dyDescent="0.3">
      <c r="A298" s="219"/>
      <c r="B298" s="222"/>
      <c r="C298" s="222"/>
      <c r="D298" s="222"/>
      <c r="E298" s="222"/>
      <c r="F298" s="222"/>
      <c r="G298" s="260"/>
      <c r="H298" s="258"/>
      <c r="I298" s="258"/>
      <c r="J298" s="258"/>
      <c r="K298" s="258"/>
      <c r="L298" s="258"/>
      <c r="M298" s="258"/>
      <c r="N298" s="258"/>
      <c r="O298" s="258"/>
      <c r="P298" s="258"/>
      <c r="Q298" s="258"/>
      <c r="R298" s="258"/>
      <c r="S298" s="258"/>
      <c r="T298" s="258"/>
      <c r="U298" s="258"/>
      <c r="V298" s="258"/>
      <c r="W298" s="258"/>
      <c r="X298" s="5"/>
    </row>
    <row r="299" spans="1:24" ht="15.6" x14ac:dyDescent="0.3">
      <c r="A299" s="219"/>
      <c r="B299" s="222"/>
      <c r="C299" s="222"/>
      <c r="D299" s="222"/>
      <c r="E299" s="222"/>
      <c r="F299" s="222"/>
      <c r="G299" s="260"/>
      <c r="H299" s="258"/>
      <c r="I299" s="258"/>
      <c r="J299" s="258"/>
      <c r="K299" s="258"/>
      <c r="L299" s="258"/>
      <c r="M299" s="258"/>
      <c r="N299" s="258"/>
      <c r="O299" s="258"/>
      <c r="P299" s="258"/>
      <c r="Q299" s="258"/>
      <c r="R299" s="258"/>
      <c r="S299" s="258"/>
      <c r="T299" s="258"/>
      <c r="U299" s="258"/>
      <c r="V299" s="258"/>
      <c r="W299" s="258"/>
      <c r="X299" s="5"/>
    </row>
    <row r="300" spans="1:24" ht="18" thickBot="1" x14ac:dyDescent="0.35">
      <c r="A300" s="219"/>
      <c r="B300" s="261" t="str">
        <f>B204</f>
        <v>PM14 INVESTOR REPORT QUARTER ENDING MAY 2016</v>
      </c>
      <c r="C300" s="222"/>
      <c r="D300" s="222"/>
      <c r="E300" s="222"/>
      <c r="F300" s="222"/>
      <c r="G300" s="260"/>
      <c r="H300" s="258"/>
      <c r="I300" s="258"/>
      <c r="J300" s="258"/>
      <c r="K300" s="258"/>
      <c r="L300" s="258"/>
      <c r="M300" s="258"/>
      <c r="N300" s="258"/>
      <c r="O300" s="258"/>
      <c r="P300" s="258"/>
      <c r="Q300" s="258"/>
      <c r="R300" s="258"/>
      <c r="S300" s="258"/>
      <c r="T300" s="258"/>
      <c r="U300" s="258"/>
      <c r="V300" s="258"/>
      <c r="W300" s="258"/>
      <c r="X300" s="5"/>
    </row>
    <row r="301" spans="1:24" x14ac:dyDescent="0.25">
      <c r="A301" s="100"/>
      <c r="B301" s="100"/>
      <c r="C301" s="100"/>
      <c r="D301" s="100"/>
      <c r="E301" s="100"/>
      <c r="F301" s="100"/>
      <c r="G301" s="100"/>
      <c r="H301" s="100"/>
      <c r="I301" s="100"/>
      <c r="J301" s="100"/>
      <c r="K301" s="100"/>
      <c r="L301" s="100"/>
      <c r="M301" s="100"/>
      <c r="N301" s="100"/>
      <c r="O301" s="100"/>
      <c r="P301" s="100"/>
      <c r="Q301" s="100"/>
      <c r="R301" s="100"/>
      <c r="S301" s="100"/>
      <c r="T301" s="100"/>
      <c r="U301" s="100"/>
      <c r="V301" s="100"/>
      <c r="W301" s="100"/>
    </row>
  </sheetData>
  <hyperlinks>
    <hyperlink ref="P240" r:id="rId1" xr:uid="{00000000-0004-0000-2300-000000000000}"/>
    <hyperlink ref="I9" r:id="rId2" xr:uid="{00000000-0004-0000-23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8" max="14" man="1"/>
    <brk id="204" max="14" man="1"/>
  </rowBreaks>
  <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6"/>
  </sheetPr>
  <dimension ref="A1:IV301"/>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80"/>
      <c r="B1" s="220" t="s">
        <v>244</v>
      </c>
      <c r="C1" s="181"/>
      <c r="D1" s="181"/>
      <c r="E1" s="181"/>
      <c r="F1" s="181"/>
      <c r="G1" s="181"/>
      <c r="H1" s="181"/>
      <c r="I1" s="181"/>
      <c r="J1" s="181"/>
      <c r="K1" s="181"/>
      <c r="L1" s="181"/>
      <c r="M1" s="181"/>
      <c r="N1" s="181"/>
      <c r="O1" s="181"/>
      <c r="P1" s="181"/>
      <c r="Q1" s="181"/>
      <c r="R1" s="181"/>
      <c r="S1" s="181"/>
      <c r="T1" s="181"/>
      <c r="U1" s="181"/>
      <c r="V1" s="181"/>
      <c r="W1" s="181"/>
      <c r="X1" s="5"/>
    </row>
    <row r="2" spans="1:24" ht="15.6" x14ac:dyDescent="0.3">
      <c r="A2" s="183"/>
      <c r="B2" s="184"/>
      <c r="C2" s="185"/>
      <c r="D2" s="185"/>
      <c r="E2" s="185"/>
      <c r="F2" s="185"/>
      <c r="G2" s="185"/>
      <c r="H2" s="185"/>
      <c r="I2" s="185"/>
      <c r="J2" s="185"/>
      <c r="K2" s="185"/>
      <c r="L2" s="185"/>
      <c r="M2" s="185"/>
      <c r="N2" s="185"/>
      <c r="O2" s="185"/>
      <c r="P2" s="185"/>
      <c r="Q2" s="185"/>
      <c r="R2" s="185"/>
      <c r="S2" s="185"/>
      <c r="T2" s="185"/>
      <c r="U2" s="185"/>
      <c r="V2" s="185"/>
      <c r="W2" s="185"/>
      <c r="X2" s="5"/>
    </row>
    <row r="3" spans="1:24" ht="15.6" x14ac:dyDescent="0.3">
      <c r="A3" s="186"/>
      <c r="B3" s="187" t="s">
        <v>245</v>
      </c>
      <c r="C3" s="185"/>
      <c r="D3" s="185"/>
      <c r="E3" s="185"/>
      <c r="F3" s="185"/>
      <c r="G3" s="185"/>
      <c r="H3" s="185"/>
      <c r="I3" s="185"/>
      <c r="J3" s="185"/>
      <c r="K3" s="185"/>
      <c r="L3" s="185"/>
      <c r="M3" s="185"/>
      <c r="N3" s="185"/>
      <c r="O3" s="185"/>
      <c r="P3" s="185"/>
      <c r="Q3" s="185"/>
      <c r="R3" s="185"/>
      <c r="S3" s="185"/>
      <c r="T3" s="185"/>
      <c r="U3" s="185"/>
      <c r="V3" s="185"/>
      <c r="W3" s="185"/>
      <c r="X3" s="5"/>
    </row>
    <row r="4" spans="1:24" ht="15.6" x14ac:dyDescent="0.3">
      <c r="A4" s="183"/>
      <c r="B4" s="184"/>
      <c r="C4" s="185"/>
      <c r="D4" s="185"/>
      <c r="E4" s="185"/>
      <c r="F4" s="185"/>
      <c r="G4" s="185"/>
      <c r="H4" s="185"/>
      <c r="I4" s="185"/>
      <c r="J4" s="185"/>
      <c r="K4" s="185"/>
      <c r="L4" s="185"/>
      <c r="M4" s="185"/>
      <c r="N4" s="185"/>
      <c r="O4" s="185"/>
      <c r="P4" s="185"/>
      <c r="Q4" s="185"/>
      <c r="R4" s="185"/>
      <c r="S4" s="185"/>
      <c r="T4" s="185"/>
      <c r="U4" s="185"/>
      <c r="V4" s="185"/>
      <c r="W4" s="185"/>
      <c r="X4" s="5"/>
    </row>
    <row r="5" spans="1:24" ht="15.6" x14ac:dyDescent="0.3">
      <c r="A5" s="183"/>
      <c r="B5" s="221" t="s">
        <v>137</v>
      </c>
      <c r="C5" s="185"/>
      <c r="D5" s="185"/>
      <c r="E5" s="185"/>
      <c r="F5" s="185"/>
      <c r="G5" s="185"/>
      <c r="H5" s="185"/>
      <c r="I5" s="185"/>
      <c r="J5" s="185"/>
      <c r="K5" s="185"/>
      <c r="L5" s="185"/>
      <c r="M5" s="185"/>
      <c r="N5" s="185"/>
      <c r="O5" s="185"/>
      <c r="P5" s="185"/>
      <c r="Q5" s="185"/>
      <c r="R5" s="185"/>
      <c r="S5" s="185"/>
      <c r="T5" s="185"/>
      <c r="U5" s="185"/>
      <c r="V5" s="185"/>
      <c r="W5" s="185"/>
      <c r="X5" s="5"/>
    </row>
    <row r="6" spans="1:24" ht="15.6" x14ac:dyDescent="0.3">
      <c r="A6" s="183"/>
      <c r="B6" s="221" t="s">
        <v>139</v>
      </c>
      <c r="C6" s="185"/>
      <c r="D6" s="185"/>
      <c r="E6" s="185"/>
      <c r="F6" s="185"/>
      <c r="G6" s="185"/>
      <c r="H6" s="185"/>
      <c r="I6" s="185"/>
      <c r="J6" s="185"/>
      <c r="K6" s="185"/>
      <c r="L6" s="185"/>
      <c r="M6" s="185"/>
      <c r="N6" s="185"/>
      <c r="O6" s="185"/>
      <c r="P6" s="185"/>
      <c r="Q6" s="185"/>
      <c r="R6" s="185"/>
      <c r="S6" s="185"/>
      <c r="T6" s="185"/>
      <c r="U6" s="185"/>
      <c r="V6" s="185"/>
      <c r="W6" s="185"/>
      <c r="X6" s="5"/>
    </row>
    <row r="7" spans="1:24" ht="15.6" x14ac:dyDescent="0.3">
      <c r="A7" s="183"/>
      <c r="B7" s="221" t="s">
        <v>138</v>
      </c>
      <c r="C7" s="185"/>
      <c r="D7" s="185"/>
      <c r="E7" s="185"/>
      <c r="F7" s="185"/>
      <c r="G7" s="185"/>
      <c r="H7" s="185"/>
      <c r="I7" s="185"/>
      <c r="J7" s="185"/>
      <c r="K7" s="185"/>
      <c r="L7" s="185"/>
      <c r="M7" s="185"/>
      <c r="N7" s="185"/>
      <c r="O7" s="185"/>
      <c r="P7" s="185"/>
      <c r="Q7" s="185"/>
      <c r="R7" s="185"/>
      <c r="S7" s="185"/>
      <c r="T7" s="185"/>
      <c r="U7" s="185"/>
      <c r="V7" s="185"/>
      <c r="W7" s="185"/>
      <c r="X7" s="5"/>
    </row>
    <row r="8" spans="1:24" ht="15.6" x14ac:dyDescent="0.3">
      <c r="A8" s="183"/>
      <c r="B8" s="188"/>
      <c r="C8" s="185"/>
      <c r="D8" s="185"/>
      <c r="E8" s="185"/>
      <c r="F8" s="185"/>
      <c r="G8" s="185"/>
      <c r="H8" s="185"/>
      <c r="I8" s="185"/>
      <c r="J8" s="185"/>
      <c r="K8" s="185"/>
      <c r="L8" s="185"/>
      <c r="M8" s="185"/>
      <c r="N8" s="185"/>
      <c r="O8" s="185"/>
      <c r="P8" s="185"/>
      <c r="Q8" s="185"/>
      <c r="R8" s="185"/>
      <c r="S8" s="185"/>
      <c r="T8" s="185"/>
      <c r="U8" s="185"/>
      <c r="V8" s="185"/>
      <c r="W8" s="185"/>
      <c r="X8" s="5"/>
    </row>
    <row r="9" spans="1:24" ht="17.399999999999999" x14ac:dyDescent="0.3">
      <c r="A9" s="183"/>
      <c r="B9" s="189" t="s">
        <v>166</v>
      </c>
      <c r="C9" s="185"/>
      <c r="D9" s="185"/>
      <c r="E9" s="185"/>
      <c r="F9" s="185"/>
      <c r="G9" s="185"/>
      <c r="H9" s="185"/>
      <c r="I9" s="190" t="s">
        <v>167</v>
      </c>
      <c r="J9" s="185"/>
      <c r="K9" s="185"/>
      <c r="L9" s="190"/>
      <c r="M9" s="185"/>
      <c r="N9" s="190"/>
      <c r="O9" s="185"/>
      <c r="P9" s="185"/>
      <c r="Q9" s="185"/>
      <c r="R9" s="185"/>
      <c r="S9" s="185"/>
      <c r="T9" s="185"/>
      <c r="U9" s="185"/>
      <c r="V9" s="185"/>
      <c r="W9" s="185"/>
      <c r="X9" s="5"/>
    </row>
    <row r="10" spans="1:24" ht="15.6" x14ac:dyDescent="0.3">
      <c r="A10" s="183"/>
      <c r="B10" s="188"/>
      <c r="C10" s="191"/>
      <c r="D10" s="191"/>
      <c r="E10" s="191"/>
      <c r="F10" s="185"/>
      <c r="G10" s="185"/>
      <c r="H10" s="185"/>
      <c r="I10" s="185"/>
      <c r="J10" s="185"/>
      <c r="K10" s="185"/>
      <c r="L10" s="185"/>
      <c r="M10" s="185"/>
      <c r="N10" s="185"/>
      <c r="O10" s="185"/>
      <c r="P10" s="185"/>
      <c r="Q10" s="185"/>
      <c r="R10" s="185"/>
      <c r="S10" s="185"/>
      <c r="T10" s="185"/>
      <c r="U10" s="185"/>
      <c r="V10" s="185"/>
      <c r="W10" s="185"/>
      <c r="X10" s="5"/>
    </row>
    <row r="11" spans="1:24" ht="15.6" x14ac:dyDescent="0.3">
      <c r="A11" s="183"/>
      <c r="B11" s="222" t="s">
        <v>0</v>
      </c>
      <c r="C11" s="185"/>
      <c r="D11" s="185"/>
      <c r="E11" s="185"/>
      <c r="F11" s="185"/>
      <c r="G11" s="185"/>
      <c r="H11" s="185"/>
      <c r="I11" s="185"/>
      <c r="J11" s="185"/>
      <c r="K11" s="185"/>
      <c r="L11" s="185"/>
      <c r="M11" s="185"/>
      <c r="N11" s="185"/>
      <c r="O11" s="185"/>
      <c r="P11" s="185"/>
      <c r="Q11" s="185"/>
      <c r="R11" s="185"/>
      <c r="S11" s="185"/>
      <c r="T11" s="185"/>
      <c r="U11" s="185"/>
      <c r="V11" s="185"/>
      <c r="W11" s="185"/>
      <c r="X11" s="5"/>
    </row>
    <row r="12" spans="1:24" ht="16.2" thickBot="1" x14ac:dyDescent="0.35">
      <c r="A12" s="183"/>
      <c r="B12" s="191"/>
      <c r="C12" s="185"/>
      <c r="D12" s="185"/>
      <c r="E12" s="185"/>
      <c r="F12" s="185"/>
      <c r="G12" s="185"/>
      <c r="H12" s="185"/>
      <c r="I12" s="185"/>
      <c r="J12" s="185"/>
      <c r="K12" s="185"/>
      <c r="L12" s="185"/>
      <c r="M12" s="185"/>
      <c r="N12" s="185"/>
      <c r="O12" s="185"/>
      <c r="P12" s="185"/>
      <c r="Q12" s="185"/>
      <c r="R12" s="185"/>
      <c r="S12" s="185"/>
      <c r="T12" s="185"/>
      <c r="U12" s="185"/>
      <c r="V12" s="185"/>
      <c r="W12" s="185"/>
      <c r="X12" s="5"/>
    </row>
    <row r="13" spans="1:24" ht="15.6" x14ac:dyDescent="0.3">
      <c r="A13" s="180"/>
      <c r="B13" s="181"/>
      <c r="C13" s="181"/>
      <c r="D13" s="181"/>
      <c r="E13" s="181"/>
      <c r="F13" s="181"/>
      <c r="G13" s="181"/>
      <c r="H13" s="181"/>
      <c r="I13" s="181"/>
      <c r="J13" s="181"/>
      <c r="K13" s="181"/>
      <c r="L13" s="181"/>
      <c r="M13" s="181"/>
      <c r="N13" s="181"/>
      <c r="O13" s="181"/>
      <c r="P13" s="181"/>
      <c r="Q13" s="181"/>
      <c r="R13" s="181"/>
      <c r="S13" s="181"/>
      <c r="T13" s="181"/>
      <c r="U13" s="181"/>
      <c r="V13" s="181"/>
      <c r="W13" s="181"/>
      <c r="X13" s="5"/>
    </row>
    <row r="14" spans="1:24" ht="15.6" x14ac:dyDescent="0.3">
      <c r="A14" s="183"/>
      <c r="B14" s="222" t="s">
        <v>1</v>
      </c>
      <c r="C14" s="192"/>
      <c r="D14" s="192"/>
      <c r="E14" s="192"/>
      <c r="F14" s="192"/>
      <c r="G14" s="192"/>
      <c r="H14" s="192"/>
      <c r="I14" s="192"/>
      <c r="J14" s="192"/>
      <c r="K14" s="192"/>
      <c r="L14" s="192"/>
      <c r="M14" s="192"/>
      <c r="N14" s="192"/>
      <c r="O14" s="192"/>
      <c r="P14" s="192"/>
      <c r="Q14" s="192"/>
      <c r="R14" s="224"/>
      <c r="S14" s="224"/>
      <c r="T14" s="224"/>
      <c r="U14" s="224"/>
      <c r="V14" s="225" t="s">
        <v>246</v>
      </c>
      <c r="W14" s="192"/>
      <c r="X14" s="5"/>
    </row>
    <row r="15" spans="1:24" ht="15.6" x14ac:dyDescent="0.3">
      <c r="A15" s="183"/>
      <c r="B15" s="222" t="s">
        <v>2</v>
      </c>
      <c r="C15" s="192"/>
      <c r="D15" s="192"/>
      <c r="E15" s="192"/>
      <c r="F15" s="192"/>
      <c r="G15" s="192"/>
      <c r="H15" s="193"/>
      <c r="I15" s="193"/>
      <c r="J15" s="193"/>
      <c r="K15" s="193"/>
      <c r="L15" s="193"/>
      <c r="M15" s="193"/>
      <c r="N15" s="193"/>
      <c r="O15" s="193"/>
      <c r="P15" s="193"/>
      <c r="Q15" s="193"/>
      <c r="R15" s="226" t="s">
        <v>104</v>
      </c>
      <c r="S15" s="227">
        <v>0.38300000000000001</v>
      </c>
      <c r="T15" s="228" t="s">
        <v>140</v>
      </c>
      <c r="U15" s="227">
        <v>0.61699999999999999</v>
      </c>
      <c r="V15" s="225"/>
      <c r="W15" s="192"/>
      <c r="X15" s="5"/>
    </row>
    <row r="16" spans="1:24" ht="15.6" x14ac:dyDescent="0.3">
      <c r="A16" s="183"/>
      <c r="B16" s="222" t="s">
        <v>3</v>
      </c>
      <c r="C16" s="192"/>
      <c r="D16" s="192"/>
      <c r="E16" s="192"/>
      <c r="F16" s="192"/>
      <c r="G16" s="192"/>
      <c r="H16" s="193"/>
      <c r="I16" s="193"/>
      <c r="J16" s="193"/>
      <c r="K16" s="193"/>
      <c r="L16" s="193"/>
      <c r="M16" s="193"/>
      <c r="N16" s="193"/>
      <c r="O16" s="193"/>
      <c r="P16" s="193"/>
      <c r="Q16" s="193"/>
      <c r="R16" s="226" t="s">
        <v>104</v>
      </c>
      <c r="S16" s="227">
        <v>0.47920000000000001</v>
      </c>
      <c r="T16" s="228" t="s">
        <v>140</v>
      </c>
      <c r="U16" s="227">
        <v>0.52080000000000004</v>
      </c>
      <c r="V16" s="225"/>
      <c r="W16" s="192"/>
      <c r="X16" s="5"/>
    </row>
    <row r="17" spans="1:24" ht="15.6" x14ac:dyDescent="0.3">
      <c r="A17" s="183"/>
      <c r="B17" s="222" t="s">
        <v>4</v>
      </c>
      <c r="C17" s="192"/>
      <c r="D17" s="192"/>
      <c r="E17" s="192"/>
      <c r="F17" s="192"/>
      <c r="G17" s="192"/>
      <c r="H17" s="192"/>
      <c r="I17" s="192"/>
      <c r="J17" s="192"/>
      <c r="K17" s="192"/>
      <c r="L17" s="192"/>
      <c r="M17" s="192"/>
      <c r="N17" s="192"/>
      <c r="O17" s="192"/>
      <c r="P17" s="192"/>
      <c r="Q17" s="192"/>
      <c r="R17" s="224"/>
      <c r="S17" s="224"/>
      <c r="T17" s="224"/>
      <c r="U17" s="224"/>
      <c r="V17" s="229">
        <v>39163</v>
      </c>
      <c r="W17" s="192"/>
      <c r="X17" s="5"/>
    </row>
    <row r="18" spans="1:24" ht="15.6" x14ac:dyDescent="0.3">
      <c r="A18" s="183"/>
      <c r="B18" s="222" t="s">
        <v>5</v>
      </c>
      <c r="C18" s="192"/>
      <c r="D18" s="192"/>
      <c r="E18" s="192"/>
      <c r="F18" s="192"/>
      <c r="G18" s="192"/>
      <c r="H18" s="192"/>
      <c r="I18" s="192"/>
      <c r="J18" s="192"/>
      <c r="K18" s="192"/>
      <c r="L18" s="192"/>
      <c r="M18" s="192"/>
      <c r="N18" s="192"/>
      <c r="O18" s="192"/>
      <c r="P18" s="192"/>
      <c r="Q18" s="192"/>
      <c r="R18" s="224"/>
      <c r="S18" s="224"/>
      <c r="T18" s="224"/>
      <c r="U18" s="224"/>
      <c r="V18" s="229">
        <v>42633</v>
      </c>
      <c r="W18" s="192"/>
      <c r="X18" s="5"/>
    </row>
    <row r="19" spans="1:24" ht="15.6" x14ac:dyDescent="0.3">
      <c r="A19" s="183"/>
      <c r="B19" s="185"/>
      <c r="C19" s="185"/>
      <c r="D19" s="185"/>
      <c r="E19" s="185"/>
      <c r="F19" s="185"/>
      <c r="G19" s="185"/>
      <c r="H19" s="185"/>
      <c r="I19" s="185"/>
      <c r="J19" s="185"/>
      <c r="K19" s="185"/>
      <c r="L19" s="185"/>
      <c r="M19" s="185"/>
      <c r="N19" s="185"/>
      <c r="O19" s="185"/>
      <c r="P19" s="185"/>
      <c r="Q19" s="185"/>
      <c r="R19" s="185"/>
      <c r="S19" s="185"/>
      <c r="T19" s="185"/>
      <c r="U19" s="185"/>
      <c r="V19" s="194"/>
      <c r="W19" s="185"/>
      <c r="X19" s="5"/>
    </row>
    <row r="20" spans="1:24" ht="15.6" x14ac:dyDescent="0.3">
      <c r="A20" s="183"/>
      <c r="B20" s="230" t="s">
        <v>6</v>
      </c>
      <c r="C20" s="185"/>
      <c r="D20" s="185"/>
      <c r="E20" s="185"/>
      <c r="F20" s="185"/>
      <c r="G20" s="185"/>
      <c r="H20" s="185"/>
      <c r="I20" s="185"/>
      <c r="J20" s="185"/>
      <c r="K20" s="185"/>
      <c r="L20" s="185"/>
      <c r="M20" s="185"/>
      <c r="N20" s="185"/>
      <c r="O20" s="185"/>
      <c r="P20" s="185"/>
      <c r="Q20" s="185"/>
      <c r="R20" s="185"/>
      <c r="S20" s="185"/>
      <c r="T20" s="223" t="s">
        <v>105</v>
      </c>
      <c r="U20" s="185"/>
      <c r="V20" s="182"/>
      <c r="W20" s="185"/>
      <c r="X20" s="5"/>
    </row>
    <row r="21" spans="1:24" ht="15.6" x14ac:dyDescent="0.3">
      <c r="A21" s="183"/>
      <c r="B21" s="185"/>
      <c r="C21" s="185"/>
      <c r="D21" s="185"/>
      <c r="E21" s="185"/>
      <c r="F21" s="185"/>
      <c r="G21" s="185"/>
      <c r="H21" s="185"/>
      <c r="I21" s="185"/>
      <c r="J21" s="185"/>
      <c r="K21" s="185"/>
      <c r="L21" s="185"/>
      <c r="M21" s="185"/>
      <c r="N21" s="185"/>
      <c r="O21" s="185"/>
      <c r="P21" s="185"/>
      <c r="Q21" s="185"/>
      <c r="R21" s="185"/>
      <c r="S21" s="185"/>
      <c r="T21" s="185"/>
      <c r="U21" s="185"/>
      <c r="V21" s="196"/>
      <c r="W21" s="185"/>
      <c r="X21" s="5"/>
    </row>
    <row r="22" spans="1:24" ht="15.6" x14ac:dyDescent="0.3">
      <c r="A22" s="262"/>
      <c r="B22" s="263"/>
      <c r="C22" s="264"/>
      <c r="D22" s="264" t="s">
        <v>177</v>
      </c>
      <c r="E22" s="264"/>
      <c r="F22" s="264" t="s">
        <v>178</v>
      </c>
      <c r="G22" s="264"/>
      <c r="H22" s="264" t="s">
        <v>179</v>
      </c>
      <c r="I22" s="264"/>
      <c r="J22" s="264" t="s">
        <v>220</v>
      </c>
      <c r="K22" s="264"/>
      <c r="L22" s="264" t="s">
        <v>180</v>
      </c>
      <c r="M22" s="264"/>
      <c r="N22" s="264" t="s">
        <v>181</v>
      </c>
      <c r="O22" s="264"/>
      <c r="P22" s="264" t="s">
        <v>221</v>
      </c>
      <c r="Q22" s="264"/>
      <c r="R22" s="264" t="s">
        <v>182</v>
      </c>
      <c r="S22" s="266"/>
      <c r="T22" s="266"/>
      <c r="U22" s="267"/>
      <c r="V22" s="267"/>
      <c r="W22" s="263"/>
      <c r="X22" s="5"/>
    </row>
    <row r="23" spans="1:24" ht="15.6" x14ac:dyDescent="0.3">
      <c r="A23" s="287"/>
      <c r="B23" s="288" t="s">
        <v>7</v>
      </c>
      <c r="C23" s="289"/>
      <c r="D23" s="289" t="s">
        <v>213</v>
      </c>
      <c r="E23" s="289"/>
      <c r="F23" s="289" t="s">
        <v>141</v>
      </c>
      <c r="G23" s="289"/>
      <c r="H23" s="289" t="s">
        <v>141</v>
      </c>
      <c r="I23" s="289"/>
      <c r="J23" s="289" t="s">
        <v>141</v>
      </c>
      <c r="K23" s="289"/>
      <c r="L23" s="289" t="s">
        <v>183</v>
      </c>
      <c r="M23" s="289"/>
      <c r="N23" s="289" t="s">
        <v>183</v>
      </c>
      <c r="O23" s="289"/>
      <c r="P23" s="289" t="s">
        <v>142</v>
      </c>
      <c r="Q23" s="289"/>
      <c r="R23" s="289" t="s">
        <v>142</v>
      </c>
      <c r="S23" s="289"/>
      <c r="T23" s="289"/>
      <c r="U23" s="290"/>
      <c r="V23" s="290"/>
      <c r="W23" s="291"/>
      <c r="X23" s="5"/>
    </row>
    <row r="24" spans="1:24" ht="15.6" x14ac:dyDescent="0.3">
      <c r="A24" s="287"/>
      <c r="B24" s="288" t="s">
        <v>8</v>
      </c>
      <c r="C24" s="289"/>
      <c r="D24" s="289" t="s">
        <v>214</v>
      </c>
      <c r="E24" s="289"/>
      <c r="F24" s="289" t="s">
        <v>143</v>
      </c>
      <c r="G24" s="289"/>
      <c r="H24" s="289" t="s">
        <v>143</v>
      </c>
      <c r="I24" s="289"/>
      <c r="J24" s="289" t="s">
        <v>143</v>
      </c>
      <c r="K24" s="289"/>
      <c r="L24" s="289" t="s">
        <v>165</v>
      </c>
      <c r="M24" s="289"/>
      <c r="N24" s="289" t="s">
        <v>165</v>
      </c>
      <c r="O24" s="289"/>
      <c r="P24" s="289" t="s">
        <v>144</v>
      </c>
      <c r="Q24" s="289"/>
      <c r="R24" s="289" t="s">
        <v>144</v>
      </c>
      <c r="S24" s="289"/>
      <c r="T24" s="289"/>
      <c r="U24" s="290"/>
      <c r="V24" s="290"/>
      <c r="W24" s="291"/>
      <c r="X24" s="5"/>
    </row>
    <row r="25" spans="1:24" ht="15.6" x14ac:dyDescent="0.3">
      <c r="A25" s="292"/>
      <c r="B25" s="288" t="s">
        <v>190</v>
      </c>
      <c r="C25" s="398"/>
      <c r="D25" s="289" t="s">
        <v>215</v>
      </c>
      <c r="E25" s="289"/>
      <c r="F25" s="289" t="s">
        <v>143</v>
      </c>
      <c r="G25" s="289"/>
      <c r="H25" s="289" t="s">
        <v>143</v>
      </c>
      <c r="I25" s="289"/>
      <c r="J25" s="289" t="s">
        <v>143</v>
      </c>
      <c r="K25" s="289"/>
      <c r="L25" s="289" t="s">
        <v>293</v>
      </c>
      <c r="M25" s="289"/>
      <c r="N25" s="289" t="s">
        <v>293</v>
      </c>
      <c r="O25" s="289"/>
      <c r="P25" s="289" t="s">
        <v>144</v>
      </c>
      <c r="Q25" s="289"/>
      <c r="R25" s="289" t="s">
        <v>144</v>
      </c>
      <c r="S25" s="398"/>
      <c r="T25" s="289"/>
      <c r="U25" s="290"/>
      <c r="V25" s="290"/>
      <c r="W25" s="291"/>
      <c r="X25" s="5"/>
    </row>
    <row r="26" spans="1:24" ht="15.6" x14ac:dyDescent="0.3">
      <c r="A26" s="292"/>
      <c r="B26" s="295" t="s">
        <v>9</v>
      </c>
      <c r="C26" s="398"/>
      <c r="D26" s="398" t="s">
        <v>332</v>
      </c>
      <c r="E26" s="398"/>
      <c r="F26" s="398" t="s">
        <v>333</v>
      </c>
      <c r="G26" s="398"/>
      <c r="H26" s="398" t="s">
        <v>333</v>
      </c>
      <c r="I26" s="398"/>
      <c r="J26" s="398" t="s">
        <v>333</v>
      </c>
      <c r="K26" s="398"/>
      <c r="L26" s="398" t="s">
        <v>333</v>
      </c>
      <c r="M26" s="398"/>
      <c r="N26" s="398" t="s">
        <v>333</v>
      </c>
      <c r="O26" s="398"/>
      <c r="P26" s="398" t="s">
        <v>334</v>
      </c>
      <c r="Q26" s="398"/>
      <c r="R26" s="398" t="s">
        <v>334</v>
      </c>
      <c r="S26" s="398"/>
      <c r="T26" s="289"/>
      <c r="U26" s="290"/>
      <c r="V26" s="290"/>
      <c r="W26" s="291"/>
      <c r="X26" s="5"/>
    </row>
    <row r="27" spans="1:24" ht="15.6" x14ac:dyDescent="0.3">
      <c r="A27" s="287"/>
      <c r="B27" s="295" t="s">
        <v>191</v>
      </c>
      <c r="C27" s="289"/>
      <c r="D27" s="398" t="s">
        <v>352</v>
      </c>
      <c r="E27" s="398"/>
      <c r="F27" s="398" t="s">
        <v>143</v>
      </c>
      <c r="G27" s="398"/>
      <c r="H27" s="398" t="s">
        <v>143</v>
      </c>
      <c r="I27" s="398"/>
      <c r="J27" s="398" t="s">
        <v>143</v>
      </c>
      <c r="K27" s="398"/>
      <c r="L27" s="398" t="s">
        <v>319</v>
      </c>
      <c r="M27" s="398"/>
      <c r="N27" s="398" t="s">
        <v>319</v>
      </c>
      <c r="O27" s="398"/>
      <c r="P27" s="398" t="s">
        <v>320</v>
      </c>
      <c r="Q27" s="398"/>
      <c r="R27" s="398" t="s">
        <v>320</v>
      </c>
      <c r="S27" s="289"/>
      <c r="T27" s="296"/>
      <c r="U27" s="290"/>
      <c r="V27" s="290"/>
      <c r="W27" s="291"/>
      <c r="X27" s="5"/>
    </row>
    <row r="28" spans="1:24" ht="15.6" x14ac:dyDescent="0.3">
      <c r="A28" s="287"/>
      <c r="B28" s="295" t="s">
        <v>192</v>
      </c>
      <c r="C28" s="289"/>
      <c r="D28" s="398" t="s">
        <v>350</v>
      </c>
      <c r="E28" s="398"/>
      <c r="F28" s="398" t="s">
        <v>143</v>
      </c>
      <c r="G28" s="398"/>
      <c r="H28" s="398" t="s">
        <v>143</v>
      </c>
      <c r="I28" s="398"/>
      <c r="J28" s="398" t="s">
        <v>143</v>
      </c>
      <c r="K28" s="398"/>
      <c r="L28" s="398" t="s">
        <v>143</v>
      </c>
      <c r="M28" s="398"/>
      <c r="N28" s="398" t="s">
        <v>143</v>
      </c>
      <c r="O28" s="398"/>
      <c r="P28" s="398" t="s">
        <v>337</v>
      </c>
      <c r="Q28" s="398"/>
      <c r="R28" s="398" t="s">
        <v>337</v>
      </c>
      <c r="S28" s="289"/>
      <c r="T28" s="296"/>
      <c r="U28" s="290"/>
      <c r="V28" s="290"/>
      <c r="W28" s="291"/>
      <c r="X28" s="5"/>
    </row>
    <row r="29" spans="1:24" ht="15.6" x14ac:dyDescent="0.3">
      <c r="A29" s="287"/>
      <c r="B29" s="288" t="s">
        <v>10</v>
      </c>
      <c r="C29" s="298"/>
      <c r="D29" s="289" t="s">
        <v>249</v>
      </c>
      <c r="E29" s="289"/>
      <c r="F29" s="296" t="s">
        <v>250</v>
      </c>
      <c r="G29" s="289"/>
      <c r="H29" s="289" t="s">
        <v>251</v>
      </c>
      <c r="I29" s="289"/>
      <c r="J29" s="289" t="s">
        <v>253</v>
      </c>
      <c r="K29" s="289"/>
      <c r="L29" s="289" t="s">
        <v>254</v>
      </c>
      <c r="M29" s="289"/>
      <c r="N29" s="289" t="s">
        <v>255</v>
      </c>
      <c r="O29" s="289"/>
      <c r="P29" s="289" t="s">
        <v>256</v>
      </c>
      <c r="Q29" s="289"/>
      <c r="R29" s="289" t="s">
        <v>257</v>
      </c>
      <c r="S29" s="299"/>
      <c r="T29" s="299"/>
      <c r="U29" s="300"/>
      <c r="V29" s="299"/>
      <c r="W29" s="301"/>
      <c r="X29" s="5"/>
    </row>
    <row r="30" spans="1:24" ht="15.6" x14ac:dyDescent="0.3">
      <c r="A30" s="287"/>
      <c r="B30" s="288" t="s">
        <v>10</v>
      </c>
      <c r="C30" s="298"/>
      <c r="D30" s="289" t="s">
        <v>248</v>
      </c>
      <c r="E30" s="289"/>
      <c r="F30" s="296" t="s">
        <v>118</v>
      </c>
      <c r="G30" s="289"/>
      <c r="H30" s="289" t="s">
        <v>118</v>
      </c>
      <c r="I30" s="289"/>
      <c r="J30" s="289" t="s">
        <v>252</v>
      </c>
      <c r="K30" s="289"/>
      <c r="L30" s="289" t="s">
        <v>118</v>
      </c>
      <c r="M30" s="289"/>
      <c r="N30" s="289" t="s">
        <v>118</v>
      </c>
      <c r="O30" s="289"/>
      <c r="P30" s="289" t="s">
        <v>118</v>
      </c>
      <c r="Q30" s="289"/>
      <c r="R30" s="289" t="s">
        <v>118</v>
      </c>
      <c r="S30" s="299"/>
      <c r="T30" s="299"/>
      <c r="U30" s="300"/>
      <c r="V30" s="299"/>
      <c r="W30" s="301"/>
      <c r="X30" s="5"/>
    </row>
    <row r="31" spans="1:24" ht="15.6" x14ac:dyDescent="0.3">
      <c r="A31" s="292"/>
      <c r="B31" s="288" t="s">
        <v>133</v>
      </c>
      <c r="C31" s="302"/>
      <c r="D31" s="303">
        <v>1500000</v>
      </c>
      <c r="E31" s="298"/>
      <c r="F31" s="299">
        <v>125000</v>
      </c>
      <c r="G31" s="299"/>
      <c r="H31" s="304">
        <v>246000</v>
      </c>
      <c r="I31" s="304"/>
      <c r="J31" s="303">
        <v>400000</v>
      </c>
      <c r="K31" s="299"/>
      <c r="L31" s="299">
        <v>51900</v>
      </c>
      <c r="M31" s="299"/>
      <c r="N31" s="304">
        <v>88800</v>
      </c>
      <c r="O31" s="299"/>
      <c r="P31" s="299">
        <v>20000</v>
      </c>
      <c r="Q31" s="299"/>
      <c r="R31" s="304">
        <v>135500</v>
      </c>
      <c r="S31" s="305"/>
      <c r="T31" s="305"/>
      <c r="U31" s="306"/>
      <c r="V31" s="305"/>
      <c r="W31" s="301"/>
      <c r="X31" s="5"/>
    </row>
    <row r="32" spans="1:24" ht="15.6" x14ac:dyDescent="0.3">
      <c r="A32" s="287"/>
      <c r="B32" s="288" t="s">
        <v>132</v>
      </c>
      <c r="C32" s="298"/>
      <c r="D32" s="303">
        <f>D31*D38</f>
        <v>856690.65</v>
      </c>
      <c r="E32" s="298"/>
      <c r="F32" s="299">
        <f>F31*F38</f>
        <v>71391.074999999997</v>
      </c>
      <c r="G32" s="299"/>
      <c r="H32" s="304">
        <f>H31*H38</f>
        <v>140497.63560000001</v>
      </c>
      <c r="I32" s="304"/>
      <c r="J32" s="303">
        <f>J31*J38</f>
        <v>228450.84</v>
      </c>
      <c r="K32" s="299"/>
      <c r="L32" s="299">
        <f>+L31</f>
        <v>51900</v>
      </c>
      <c r="M32" s="299"/>
      <c r="N32" s="304">
        <f>+N31</f>
        <v>88800</v>
      </c>
      <c r="O32" s="299"/>
      <c r="P32" s="299">
        <f>+P31</f>
        <v>20000</v>
      </c>
      <c r="Q32" s="299"/>
      <c r="R32" s="304">
        <f>+R31</f>
        <v>135500</v>
      </c>
      <c r="S32" s="299"/>
      <c r="T32" s="299"/>
      <c r="U32" s="300"/>
      <c r="V32" s="299"/>
      <c r="W32" s="301"/>
      <c r="X32" s="5"/>
    </row>
    <row r="33" spans="1:24" ht="15.6" x14ac:dyDescent="0.3">
      <c r="A33" s="287"/>
      <c r="B33" s="295" t="s">
        <v>134</v>
      </c>
      <c r="C33" s="298"/>
      <c r="D33" s="307">
        <f>D37*D31</f>
        <v>837564</v>
      </c>
      <c r="E33" s="302"/>
      <c r="F33" s="305">
        <f>F37*F31</f>
        <v>69797.2</v>
      </c>
      <c r="G33" s="305"/>
      <c r="H33" s="308">
        <f>H31*H37</f>
        <v>137360.88959999999</v>
      </c>
      <c r="I33" s="308"/>
      <c r="J33" s="307">
        <f>J37*J31</f>
        <v>223350.39999999999</v>
      </c>
      <c r="K33" s="305"/>
      <c r="L33" s="305">
        <f>L31*L37</f>
        <v>51900</v>
      </c>
      <c r="M33" s="305"/>
      <c r="N33" s="308">
        <f>N31*N37</f>
        <v>88800</v>
      </c>
      <c r="O33" s="305"/>
      <c r="P33" s="305">
        <f>P31*P37</f>
        <v>20000</v>
      </c>
      <c r="Q33" s="305"/>
      <c r="R33" s="308">
        <f>R31*R37</f>
        <v>135500</v>
      </c>
      <c r="S33" s="299"/>
      <c r="T33" s="299"/>
      <c r="U33" s="300"/>
      <c r="V33" s="299"/>
      <c r="W33" s="301"/>
      <c r="X33" s="5"/>
    </row>
    <row r="34" spans="1:24" ht="15.6" x14ac:dyDescent="0.3">
      <c r="A34" s="292"/>
      <c r="B34" s="288" t="s">
        <v>296</v>
      </c>
      <c r="C34" s="302"/>
      <c r="D34" s="299">
        <v>775194</v>
      </c>
      <c r="E34" s="298"/>
      <c r="F34" s="299">
        <v>125000</v>
      </c>
      <c r="G34" s="299"/>
      <c r="H34" s="299">
        <v>168148</v>
      </c>
      <c r="I34" s="299"/>
      <c r="J34" s="299">
        <v>206718</v>
      </c>
      <c r="K34" s="299"/>
      <c r="L34" s="299">
        <v>51900</v>
      </c>
      <c r="M34" s="299"/>
      <c r="N34" s="299">
        <v>60697</v>
      </c>
      <c r="O34" s="299"/>
      <c r="P34" s="299">
        <v>20000</v>
      </c>
      <c r="Q34" s="299"/>
      <c r="R34" s="299">
        <v>92618</v>
      </c>
      <c r="S34" s="305"/>
      <c r="T34" s="305"/>
      <c r="U34" s="306"/>
      <c r="V34" s="299">
        <f>SUM(C34:R34)</f>
        <v>1500275</v>
      </c>
      <c r="W34" s="301"/>
      <c r="X34" s="5"/>
    </row>
    <row r="35" spans="1:24" ht="15.6" x14ac:dyDescent="0.3">
      <c r="A35" s="292"/>
      <c r="B35" s="288" t="s">
        <v>297</v>
      </c>
      <c r="C35" s="302"/>
      <c r="D35" s="299">
        <f>D34*D38</f>
        <v>442734.30115740001</v>
      </c>
      <c r="E35" s="298"/>
      <c r="F35" s="299">
        <f>F34*F38</f>
        <v>71391.074999999997</v>
      </c>
      <c r="G35" s="299"/>
      <c r="H35" s="299">
        <f>H34*H38</f>
        <v>96034.131832799991</v>
      </c>
      <c r="I35" s="299"/>
      <c r="J35" s="299">
        <f>J34*J38</f>
        <v>118062.2518578</v>
      </c>
      <c r="K35" s="299"/>
      <c r="L35" s="299">
        <f>+L34</f>
        <v>51900</v>
      </c>
      <c r="M35" s="299"/>
      <c r="N35" s="299">
        <f>+N34</f>
        <v>60697</v>
      </c>
      <c r="O35" s="299"/>
      <c r="P35" s="299">
        <f>+P34</f>
        <v>20000</v>
      </c>
      <c r="Q35" s="299"/>
      <c r="R35" s="299">
        <f>+R34</f>
        <v>92618</v>
      </c>
      <c r="S35" s="299"/>
      <c r="T35" s="299"/>
      <c r="U35" s="300"/>
      <c r="V35" s="299">
        <f>SUM(C35:R35)</f>
        <v>953436.75984800002</v>
      </c>
      <c r="W35" s="301"/>
      <c r="X35" s="5"/>
    </row>
    <row r="36" spans="1:24" ht="15.6" x14ac:dyDescent="0.3">
      <c r="A36" s="292"/>
      <c r="B36" s="295" t="s">
        <v>298</v>
      </c>
      <c r="C36" s="302"/>
      <c r="D36" s="305">
        <f>D34*D37</f>
        <v>432849.72494400002</v>
      </c>
      <c r="E36" s="302"/>
      <c r="F36" s="305">
        <f>F34*F37</f>
        <v>69797.2</v>
      </c>
      <c r="G36" s="305"/>
      <c r="H36" s="305">
        <f>H34*H37</f>
        <v>93890.076684800006</v>
      </c>
      <c r="I36" s="305"/>
      <c r="J36" s="305">
        <f>J34*J37</f>
        <v>115426.369968</v>
      </c>
      <c r="K36" s="305"/>
      <c r="L36" s="305">
        <f>L34*L37</f>
        <v>51900</v>
      </c>
      <c r="M36" s="305"/>
      <c r="N36" s="305">
        <f>N34*N37</f>
        <v>60697</v>
      </c>
      <c r="O36" s="305"/>
      <c r="P36" s="305">
        <f>P34*P37</f>
        <v>20000</v>
      </c>
      <c r="Q36" s="305"/>
      <c r="R36" s="305">
        <f>R34*R37</f>
        <v>92618</v>
      </c>
      <c r="S36" s="328"/>
      <c r="T36" s="328"/>
      <c r="U36" s="300"/>
      <c r="V36" s="305">
        <f>SUM(C36:R36)</f>
        <v>937178.37159680005</v>
      </c>
      <c r="W36" s="301"/>
      <c r="X36" s="5"/>
    </row>
    <row r="37" spans="1:24" ht="15.6" x14ac:dyDescent="0.3">
      <c r="A37" s="287"/>
      <c r="B37" s="313" t="s">
        <v>130</v>
      </c>
      <c r="C37" s="314"/>
      <c r="D37" s="315">
        <v>0.55837599999999998</v>
      </c>
      <c r="E37" s="315"/>
      <c r="F37" s="315">
        <v>0.55837760000000003</v>
      </c>
      <c r="G37" s="315"/>
      <c r="H37" s="315">
        <v>0.55837760000000003</v>
      </c>
      <c r="I37" s="315"/>
      <c r="J37" s="315">
        <v>0.55837599999999998</v>
      </c>
      <c r="K37" s="315"/>
      <c r="L37" s="315">
        <v>1</v>
      </c>
      <c r="M37" s="315"/>
      <c r="N37" s="315">
        <v>1</v>
      </c>
      <c r="O37" s="315"/>
      <c r="P37" s="315">
        <v>1</v>
      </c>
      <c r="Q37" s="315"/>
      <c r="R37" s="315">
        <v>1</v>
      </c>
      <c r="S37" s="316"/>
      <c r="T37" s="316"/>
      <c r="U37" s="317"/>
      <c r="V37" s="317"/>
      <c r="W37" s="318"/>
      <c r="X37" s="5"/>
    </row>
    <row r="38" spans="1:24" ht="15.6" x14ac:dyDescent="0.3">
      <c r="A38" s="287"/>
      <c r="B38" s="313" t="s">
        <v>131</v>
      </c>
      <c r="C38" s="314"/>
      <c r="D38" s="315">
        <v>0.5711271</v>
      </c>
      <c r="E38" s="315"/>
      <c r="F38" s="315">
        <v>0.57112859999999999</v>
      </c>
      <c r="G38" s="315"/>
      <c r="H38" s="315">
        <v>0.57112859999999999</v>
      </c>
      <c r="I38" s="315"/>
      <c r="J38" s="315">
        <v>0.5711271</v>
      </c>
      <c r="K38" s="315"/>
      <c r="L38" s="315">
        <v>1</v>
      </c>
      <c r="M38" s="315"/>
      <c r="N38" s="315">
        <v>1</v>
      </c>
      <c r="O38" s="315"/>
      <c r="P38" s="315">
        <v>1</v>
      </c>
      <c r="Q38" s="315"/>
      <c r="R38" s="315">
        <v>1</v>
      </c>
      <c r="S38" s="319"/>
      <c r="T38" s="320"/>
      <c r="U38" s="317"/>
      <c r="V38" s="319"/>
      <c r="W38" s="318"/>
      <c r="X38" s="5"/>
    </row>
    <row r="39" spans="1:24" ht="15.6" x14ac:dyDescent="0.3">
      <c r="A39" s="287"/>
      <c r="B39" s="288" t="s">
        <v>11</v>
      </c>
      <c r="C39" s="288"/>
      <c r="D39" s="296" t="s">
        <v>321</v>
      </c>
      <c r="E39" s="288"/>
      <c r="F39" s="296" t="s">
        <v>231</v>
      </c>
      <c r="G39" s="296"/>
      <c r="H39" s="296" t="s">
        <v>231</v>
      </c>
      <c r="I39" s="296"/>
      <c r="J39" s="296" t="s">
        <v>231</v>
      </c>
      <c r="K39" s="296"/>
      <c r="L39" s="296" t="s">
        <v>265</v>
      </c>
      <c r="M39" s="296"/>
      <c r="N39" s="296" t="s">
        <v>265</v>
      </c>
      <c r="O39" s="296"/>
      <c r="P39" s="296" t="s">
        <v>266</v>
      </c>
      <c r="Q39" s="296"/>
      <c r="R39" s="296" t="s">
        <v>266</v>
      </c>
      <c r="S39" s="321"/>
      <c r="T39" s="322"/>
      <c r="U39" s="290"/>
      <c r="V39" s="290"/>
      <c r="W39" s="291"/>
      <c r="X39" s="5"/>
    </row>
    <row r="40" spans="1:24" ht="15.6" x14ac:dyDescent="0.3">
      <c r="A40" s="287"/>
      <c r="B40" s="288" t="s">
        <v>12</v>
      </c>
      <c r="C40" s="288"/>
      <c r="D40" s="322">
        <v>7.0765000000000003E-3</v>
      </c>
      <c r="E40" s="288"/>
      <c r="F40" s="322">
        <v>7.7187999999999996E-3</v>
      </c>
      <c r="G40" s="321"/>
      <c r="H40" s="322">
        <v>0</v>
      </c>
      <c r="I40" s="322"/>
      <c r="J40" s="322">
        <v>8.5249999999999996E-3</v>
      </c>
      <c r="K40" s="321"/>
      <c r="L40" s="322">
        <v>9.3188000000000003E-3</v>
      </c>
      <c r="M40" s="321"/>
      <c r="N40" s="322">
        <v>9.7000000000000005E-4</v>
      </c>
      <c r="O40" s="321"/>
      <c r="P40" s="322">
        <v>1.33188E-2</v>
      </c>
      <c r="Q40" s="321"/>
      <c r="R40" s="322">
        <v>4.9699999999999996E-3</v>
      </c>
      <c r="S40" s="321"/>
      <c r="T40" s="322"/>
      <c r="U40" s="290"/>
      <c r="V40" s="296"/>
      <c r="W40" s="291"/>
      <c r="X40" s="5"/>
    </row>
    <row r="41" spans="1:24" ht="15.6" x14ac:dyDescent="0.3">
      <c r="A41" s="287"/>
      <c r="B41" s="288" t="s">
        <v>13</v>
      </c>
      <c r="C41" s="288"/>
      <c r="D41" s="322">
        <v>6.3445000000000003E-3</v>
      </c>
      <c r="E41" s="288"/>
      <c r="F41" s="322">
        <v>7.9124999999999994E-3</v>
      </c>
      <c r="G41" s="321"/>
      <c r="H41" s="322">
        <v>0</v>
      </c>
      <c r="I41" s="322"/>
      <c r="J41" s="322">
        <v>8.3385000000000004E-3</v>
      </c>
      <c r="K41" s="321"/>
      <c r="L41" s="322">
        <v>9.5125000000000001E-3</v>
      </c>
      <c r="M41" s="321"/>
      <c r="N41" s="322">
        <v>1.3500000000000001E-3</v>
      </c>
      <c r="O41" s="321"/>
      <c r="P41" s="322">
        <v>1.35125E-2</v>
      </c>
      <c r="Q41" s="321"/>
      <c r="R41" s="322">
        <v>5.3499999999999997E-3</v>
      </c>
      <c r="S41" s="321"/>
      <c r="T41" s="322"/>
      <c r="U41" s="290"/>
      <c r="V41" s="321" t="s">
        <v>193</v>
      </c>
      <c r="W41" s="291"/>
      <c r="X41" s="5"/>
    </row>
    <row r="42" spans="1:24" ht="15.6" x14ac:dyDescent="0.3">
      <c r="A42" s="287"/>
      <c r="B42" s="288" t="s">
        <v>299</v>
      </c>
      <c r="C42" s="288"/>
      <c r="D42" s="296" t="s">
        <v>322</v>
      </c>
      <c r="E42" s="288"/>
      <c r="F42" s="296" t="s">
        <v>231</v>
      </c>
      <c r="G42" s="296"/>
      <c r="H42" s="296" t="s">
        <v>323</v>
      </c>
      <c r="I42" s="296"/>
      <c r="J42" s="296" t="s">
        <v>324</v>
      </c>
      <c r="K42" s="296"/>
      <c r="L42" s="296" t="s">
        <v>265</v>
      </c>
      <c r="M42" s="296"/>
      <c r="N42" s="296" t="s">
        <v>234</v>
      </c>
      <c r="O42" s="296"/>
      <c r="P42" s="296" t="s">
        <v>266</v>
      </c>
      <c r="Q42" s="296"/>
      <c r="R42" s="296" t="s">
        <v>264</v>
      </c>
      <c r="S42" s="321"/>
      <c r="T42" s="322"/>
      <c r="U42" s="290"/>
      <c r="V42" s="290"/>
      <c r="W42" s="291"/>
      <c r="X42" s="5"/>
    </row>
    <row r="43" spans="1:24" ht="15.6" x14ac:dyDescent="0.3">
      <c r="A43" s="287"/>
      <c r="B43" s="288" t="s">
        <v>300</v>
      </c>
      <c r="C43" s="323"/>
      <c r="D43" s="322">
        <v>8.0928000000000007E-3</v>
      </c>
      <c r="E43" s="322"/>
      <c r="F43" s="322">
        <f>+F40</f>
        <v>7.7187999999999996E-3</v>
      </c>
      <c r="G43" s="322"/>
      <c r="H43" s="322">
        <v>7.9988000000000004E-3</v>
      </c>
      <c r="I43" s="322"/>
      <c r="J43" s="322">
        <v>8.4448000000000006E-3</v>
      </c>
      <c r="K43" s="322"/>
      <c r="L43" s="322">
        <f>+L40</f>
        <v>9.3188000000000003E-3</v>
      </c>
      <c r="M43" s="322"/>
      <c r="N43" s="322">
        <v>9.9108000000000009E-3</v>
      </c>
      <c r="O43" s="322"/>
      <c r="P43" s="322">
        <f>+P40</f>
        <v>1.33188E-2</v>
      </c>
      <c r="Q43" s="321"/>
      <c r="R43" s="322">
        <v>1.43848E-2</v>
      </c>
      <c r="S43" s="296"/>
      <c r="T43" s="296"/>
      <c r="U43" s="290"/>
      <c r="V43" s="321">
        <f>SUMPRODUCT(D43:R43,D35:R35)/V35</f>
        <v>9.0022252295767317E-3</v>
      </c>
      <c r="W43" s="291"/>
      <c r="X43" s="5"/>
    </row>
    <row r="44" spans="1:24" ht="15.6" x14ac:dyDescent="0.3">
      <c r="A44" s="287"/>
      <c r="B44" s="288" t="s">
        <v>301</v>
      </c>
      <c r="C44" s="323"/>
      <c r="D44" s="322">
        <v>8.2865000000000005E-3</v>
      </c>
      <c r="E44" s="322"/>
      <c r="F44" s="322">
        <f>+F41</f>
        <v>7.9124999999999994E-3</v>
      </c>
      <c r="G44" s="322"/>
      <c r="H44" s="322">
        <v>8.1925000000000001E-3</v>
      </c>
      <c r="I44" s="322"/>
      <c r="J44" s="322">
        <v>8.6385000000000003E-3</v>
      </c>
      <c r="K44" s="322"/>
      <c r="L44" s="322">
        <f>+L41</f>
        <v>9.5125000000000001E-3</v>
      </c>
      <c r="M44" s="322"/>
      <c r="N44" s="322">
        <v>1.0104500000000001E-2</v>
      </c>
      <c r="O44" s="322"/>
      <c r="P44" s="322">
        <f>+P41</f>
        <v>1.35125E-2</v>
      </c>
      <c r="Q44" s="321"/>
      <c r="R44" s="322">
        <v>1.4578499999999999E-2</v>
      </c>
      <c r="S44" s="296"/>
      <c r="T44" s="296"/>
      <c r="U44" s="290"/>
      <c r="V44" s="290"/>
      <c r="W44" s="291"/>
      <c r="X44" s="5"/>
    </row>
    <row r="45" spans="1:24" ht="15.6" x14ac:dyDescent="0.3">
      <c r="A45" s="287"/>
      <c r="B45" s="288" t="s">
        <v>14</v>
      </c>
      <c r="C45" s="288"/>
      <c r="D45" s="323">
        <v>40617</v>
      </c>
      <c r="E45" s="323"/>
      <c r="F45" s="323">
        <v>40617</v>
      </c>
      <c r="G45" s="323"/>
      <c r="H45" s="323">
        <v>40617</v>
      </c>
      <c r="I45" s="323"/>
      <c r="J45" s="323">
        <v>40617</v>
      </c>
      <c r="K45" s="323"/>
      <c r="L45" s="323">
        <v>40617</v>
      </c>
      <c r="M45" s="323"/>
      <c r="N45" s="323">
        <v>40617</v>
      </c>
      <c r="O45" s="323"/>
      <c r="P45" s="323">
        <v>40617</v>
      </c>
      <c r="Q45" s="323"/>
      <c r="R45" s="323">
        <v>40617</v>
      </c>
      <c r="S45" s="296"/>
      <c r="T45" s="296"/>
      <c r="U45" s="290"/>
      <c r="V45" s="290"/>
      <c r="W45" s="291"/>
      <c r="X45" s="5"/>
    </row>
    <row r="46" spans="1:24" ht="15.6" x14ac:dyDescent="0.3">
      <c r="A46" s="287"/>
      <c r="B46" s="288" t="s">
        <v>15</v>
      </c>
      <c r="C46" s="288"/>
      <c r="D46" s="323">
        <v>40983</v>
      </c>
      <c r="E46" s="323"/>
      <c r="F46" s="323">
        <v>40983</v>
      </c>
      <c r="G46" s="323"/>
      <c r="H46" s="323">
        <v>40983</v>
      </c>
      <c r="I46" s="323"/>
      <c r="J46" s="323">
        <v>40983</v>
      </c>
      <c r="K46" s="296"/>
      <c r="L46" s="323">
        <v>40983</v>
      </c>
      <c r="M46" s="296"/>
      <c r="N46" s="323">
        <v>40983</v>
      </c>
      <c r="O46" s="296"/>
      <c r="P46" s="323">
        <v>40983</v>
      </c>
      <c r="Q46" s="296"/>
      <c r="R46" s="323">
        <v>40983</v>
      </c>
      <c r="S46" s="296"/>
      <c r="T46" s="296"/>
      <c r="U46" s="290"/>
      <c r="V46" s="290"/>
      <c r="W46" s="291"/>
      <c r="X46" s="5"/>
    </row>
    <row r="47" spans="1:24" ht="15.6" x14ac:dyDescent="0.3">
      <c r="A47" s="287"/>
      <c r="B47" s="288" t="s">
        <v>119</v>
      </c>
      <c r="C47" s="288"/>
      <c r="D47" s="296" t="s">
        <v>231</v>
      </c>
      <c r="E47" s="288"/>
      <c r="F47" s="296" t="s">
        <v>231</v>
      </c>
      <c r="G47" s="296"/>
      <c r="H47" s="296" t="s">
        <v>231</v>
      </c>
      <c r="I47" s="296"/>
      <c r="J47" s="296" t="s">
        <v>231</v>
      </c>
      <c r="K47" s="296"/>
      <c r="L47" s="296" t="s">
        <v>265</v>
      </c>
      <c r="M47" s="296"/>
      <c r="N47" s="296" t="s">
        <v>265</v>
      </c>
      <c r="O47" s="296"/>
      <c r="P47" s="296" t="s">
        <v>266</v>
      </c>
      <c r="Q47" s="296"/>
      <c r="R47" s="296" t="s">
        <v>266</v>
      </c>
      <c r="S47" s="325"/>
      <c r="T47" s="325"/>
      <c r="U47" s="325"/>
      <c r="V47" s="325"/>
      <c r="W47" s="291"/>
      <c r="X47" s="5"/>
    </row>
    <row r="48" spans="1:24" ht="15.6" x14ac:dyDescent="0.3">
      <c r="A48" s="287"/>
      <c r="B48" s="288" t="s">
        <v>302</v>
      </c>
      <c r="C48" s="288"/>
      <c r="D48" s="296" t="s">
        <v>325</v>
      </c>
      <c r="E48" s="288"/>
      <c r="F48" s="296" t="s">
        <v>231</v>
      </c>
      <c r="G48" s="296"/>
      <c r="H48" s="296" t="s">
        <v>262</v>
      </c>
      <c r="I48" s="296"/>
      <c r="J48" s="296" t="s">
        <v>263</v>
      </c>
      <c r="K48" s="296"/>
      <c r="L48" s="296" t="s">
        <v>265</v>
      </c>
      <c r="M48" s="296"/>
      <c r="N48" s="296" t="s">
        <v>234</v>
      </c>
      <c r="O48" s="296"/>
      <c r="P48" s="296" t="s">
        <v>266</v>
      </c>
      <c r="Q48" s="296"/>
      <c r="R48" s="296" t="s">
        <v>264</v>
      </c>
      <c r="S48" s="288"/>
      <c r="T48" s="288"/>
      <c r="U48" s="288"/>
      <c r="V48" s="321"/>
      <c r="W48" s="291"/>
      <c r="X48" s="5"/>
    </row>
    <row r="49" spans="1:25" ht="15.6" x14ac:dyDescent="0.3">
      <c r="A49" s="287"/>
      <c r="B49" s="288"/>
      <c r="C49" s="288"/>
      <c r="D49" s="296"/>
      <c r="E49" s="288"/>
      <c r="F49" s="296"/>
      <c r="G49" s="296"/>
      <c r="H49" s="296"/>
      <c r="I49" s="296"/>
      <c r="J49" s="296"/>
      <c r="K49" s="296"/>
      <c r="L49" s="296"/>
      <c r="M49" s="296"/>
      <c r="N49" s="296"/>
      <c r="O49" s="296"/>
      <c r="P49" s="296"/>
      <c r="Q49" s="296"/>
      <c r="R49" s="296"/>
      <c r="S49" s="288"/>
      <c r="T49" s="288"/>
      <c r="U49" s="288"/>
      <c r="V49" s="321" t="s">
        <v>193</v>
      </c>
      <c r="W49" s="291"/>
      <c r="X49" s="5"/>
    </row>
    <row r="50" spans="1:25" ht="15.6" x14ac:dyDescent="0.3">
      <c r="A50" s="287"/>
      <c r="B50" s="288" t="s">
        <v>169</v>
      </c>
      <c r="C50" s="288"/>
      <c r="D50" s="296"/>
      <c r="E50" s="288"/>
      <c r="F50" s="296"/>
      <c r="G50" s="296"/>
      <c r="H50" s="296"/>
      <c r="I50" s="296"/>
      <c r="J50" s="296"/>
      <c r="K50" s="296"/>
      <c r="L50" s="296"/>
      <c r="M50" s="296"/>
      <c r="N50" s="296"/>
      <c r="O50" s="296"/>
      <c r="P50" s="296"/>
      <c r="Q50" s="296"/>
      <c r="R50" s="296"/>
      <c r="S50" s="288"/>
      <c r="T50" s="288"/>
      <c r="U50" s="288"/>
      <c r="V50" s="321">
        <f>SUM(L34:R34)/SUM(D34:J34)</f>
        <v>0.17663090364375009</v>
      </c>
      <c r="W50" s="291"/>
      <c r="X50" s="5"/>
    </row>
    <row r="51" spans="1:25" ht="15.6" x14ac:dyDescent="0.3">
      <c r="A51" s="287"/>
      <c r="B51" s="288" t="s">
        <v>170</v>
      </c>
      <c r="C51" s="288"/>
      <c r="D51" s="288"/>
      <c r="E51" s="288"/>
      <c r="F51" s="326"/>
      <c r="G51" s="288"/>
      <c r="H51" s="288"/>
      <c r="I51" s="288"/>
      <c r="J51" s="288"/>
      <c r="K51" s="288"/>
      <c r="L51" s="288"/>
      <c r="M51" s="288"/>
      <c r="N51" s="288"/>
      <c r="O51" s="288"/>
      <c r="P51" s="288"/>
      <c r="Q51" s="288"/>
      <c r="R51" s="288"/>
      <c r="S51" s="288"/>
      <c r="T51" s="288"/>
      <c r="U51" s="288"/>
      <c r="V51" s="321">
        <f>SUM(L36:R36)/SUM(D36:J36)</f>
        <v>0.31632947562300162</v>
      </c>
      <c r="W51" s="291"/>
      <c r="X51" s="5"/>
    </row>
    <row r="52" spans="1:25" ht="15.6" x14ac:dyDescent="0.3">
      <c r="A52" s="287"/>
      <c r="B52" s="288" t="s">
        <v>171</v>
      </c>
      <c r="C52" s="288"/>
      <c r="D52" s="288"/>
      <c r="E52" s="288"/>
      <c r="F52" s="288"/>
      <c r="G52" s="288"/>
      <c r="H52" s="288"/>
      <c r="I52" s="288"/>
      <c r="J52" s="288"/>
      <c r="K52" s="288"/>
      <c r="L52" s="288"/>
      <c r="M52" s="288"/>
      <c r="N52" s="288"/>
      <c r="O52" s="288"/>
      <c r="P52" s="288"/>
      <c r="Q52" s="288"/>
      <c r="R52" s="288"/>
      <c r="S52" s="288"/>
      <c r="T52" s="296"/>
      <c r="U52" s="296"/>
      <c r="V52" s="299" t="s">
        <v>276</v>
      </c>
      <c r="W52" s="291"/>
      <c r="X52" s="5"/>
    </row>
    <row r="53" spans="1:25" ht="15.6" x14ac:dyDescent="0.3">
      <c r="A53" s="287"/>
      <c r="B53" s="288"/>
      <c r="C53" s="288"/>
      <c r="D53" s="288"/>
      <c r="E53" s="288"/>
      <c r="F53" s="288"/>
      <c r="G53" s="288"/>
      <c r="H53" s="288"/>
      <c r="I53" s="288"/>
      <c r="J53" s="288"/>
      <c r="K53" s="288"/>
      <c r="L53" s="288"/>
      <c r="M53" s="288"/>
      <c r="N53" s="288"/>
      <c r="O53" s="288"/>
      <c r="P53" s="288"/>
      <c r="Q53" s="288"/>
      <c r="R53" s="288"/>
      <c r="S53" s="288"/>
      <c r="T53" s="288"/>
      <c r="U53" s="288"/>
      <c r="V53" s="327"/>
      <c r="W53" s="291"/>
      <c r="X53" s="5"/>
    </row>
    <row r="54" spans="1:25" ht="15.6" x14ac:dyDescent="0.3">
      <c r="A54" s="287"/>
      <c r="B54" s="288" t="s">
        <v>202</v>
      </c>
      <c r="C54" s="288"/>
      <c r="D54" s="288"/>
      <c r="E54" s="288"/>
      <c r="F54" s="288"/>
      <c r="G54" s="288"/>
      <c r="H54" s="288"/>
      <c r="I54" s="288"/>
      <c r="J54" s="288"/>
      <c r="K54" s="288"/>
      <c r="L54" s="288"/>
      <c r="M54" s="288"/>
      <c r="N54" s="288"/>
      <c r="O54" s="288"/>
      <c r="P54" s="288"/>
      <c r="Q54" s="288"/>
      <c r="R54" s="288"/>
      <c r="S54" s="288"/>
      <c r="T54" s="288"/>
      <c r="U54" s="288"/>
      <c r="V54" s="328" t="s">
        <v>203</v>
      </c>
      <c r="W54" s="291"/>
      <c r="X54" s="5"/>
    </row>
    <row r="55" spans="1:25" ht="15.6" x14ac:dyDescent="0.3">
      <c r="A55" s="287"/>
      <c r="B55" s="288" t="s">
        <v>280</v>
      </c>
      <c r="C55" s="288"/>
      <c r="D55" s="288"/>
      <c r="E55" s="288"/>
      <c r="F55" s="288"/>
      <c r="G55" s="288"/>
      <c r="H55" s="288"/>
      <c r="I55" s="288"/>
      <c r="J55" s="288"/>
      <c r="K55" s="288"/>
      <c r="L55" s="288"/>
      <c r="M55" s="288"/>
      <c r="N55" s="288"/>
      <c r="O55" s="288"/>
      <c r="P55" s="288"/>
      <c r="Q55" s="288"/>
      <c r="R55" s="288"/>
      <c r="S55" s="288"/>
      <c r="T55" s="296"/>
      <c r="U55" s="296"/>
      <c r="V55" s="329" t="s">
        <v>111</v>
      </c>
      <c r="W55" s="291"/>
      <c r="X55" s="5"/>
    </row>
    <row r="56" spans="1:25" ht="15.6" x14ac:dyDescent="0.3">
      <c r="A56" s="287"/>
      <c r="B56" s="295" t="s">
        <v>201</v>
      </c>
      <c r="C56" s="295"/>
      <c r="D56" s="295"/>
      <c r="E56" s="295"/>
      <c r="F56" s="295"/>
      <c r="G56" s="295"/>
      <c r="H56" s="295"/>
      <c r="I56" s="295"/>
      <c r="J56" s="295"/>
      <c r="K56" s="295"/>
      <c r="L56" s="295"/>
      <c r="M56" s="295"/>
      <c r="N56" s="295"/>
      <c r="O56" s="295"/>
      <c r="P56" s="295"/>
      <c r="Q56" s="295"/>
      <c r="R56" s="295"/>
      <c r="S56" s="295"/>
      <c r="T56" s="330"/>
      <c r="U56" s="330"/>
      <c r="V56" s="331">
        <v>42628</v>
      </c>
      <c r="W56" s="291"/>
      <c r="X56" s="5"/>
    </row>
    <row r="57" spans="1:25" ht="15.6" x14ac:dyDescent="0.3">
      <c r="A57" s="287"/>
      <c r="B57" s="288" t="s">
        <v>121</v>
      </c>
      <c r="C57" s="288"/>
      <c r="D57" s="288"/>
      <c r="E57" s="288"/>
      <c r="F57" s="288"/>
      <c r="G57" s="288"/>
      <c r="H57" s="332"/>
      <c r="I57" s="332"/>
      <c r="J57" s="332"/>
      <c r="K57" s="332"/>
      <c r="L57" s="332"/>
      <c r="M57" s="332"/>
      <c r="N57" s="332"/>
      <c r="O57" s="332"/>
      <c r="P57" s="332"/>
      <c r="Q57" s="332"/>
      <c r="R57" s="288">
        <f>+V57-T57+1</f>
        <v>92</v>
      </c>
      <c r="S57" s="332"/>
      <c r="T57" s="333">
        <v>42444</v>
      </c>
      <c r="U57" s="334"/>
      <c r="V57" s="333">
        <v>42535</v>
      </c>
      <c r="W57" s="291"/>
      <c r="X57" s="5"/>
    </row>
    <row r="58" spans="1:25" ht="15.6" x14ac:dyDescent="0.3">
      <c r="A58" s="287"/>
      <c r="B58" s="288" t="s">
        <v>122</v>
      </c>
      <c r="C58" s="288"/>
      <c r="D58" s="288"/>
      <c r="E58" s="288"/>
      <c r="F58" s="288"/>
      <c r="G58" s="288"/>
      <c r="H58" s="288"/>
      <c r="I58" s="288"/>
      <c r="J58" s="288"/>
      <c r="K58" s="288"/>
      <c r="L58" s="288"/>
      <c r="M58" s="288"/>
      <c r="N58" s="288"/>
      <c r="O58" s="288"/>
      <c r="P58" s="288"/>
      <c r="Q58" s="288"/>
      <c r="R58" s="288">
        <f>+V58-T58+1</f>
        <v>92</v>
      </c>
      <c r="S58" s="288"/>
      <c r="T58" s="333">
        <v>42536</v>
      </c>
      <c r="U58" s="334"/>
      <c r="V58" s="333">
        <v>42627</v>
      </c>
      <c r="W58" s="291"/>
      <c r="X58" s="5"/>
    </row>
    <row r="59" spans="1:25" ht="15.6" x14ac:dyDescent="0.3">
      <c r="A59" s="287"/>
      <c r="B59" s="288" t="s">
        <v>229</v>
      </c>
      <c r="C59" s="288"/>
      <c r="D59" s="288"/>
      <c r="E59" s="288"/>
      <c r="F59" s="288"/>
      <c r="G59" s="288"/>
      <c r="H59" s="288"/>
      <c r="I59" s="288"/>
      <c r="J59" s="288"/>
      <c r="K59" s="288"/>
      <c r="L59" s="288"/>
      <c r="M59" s="288"/>
      <c r="N59" s="288"/>
      <c r="O59" s="288"/>
      <c r="P59" s="288"/>
      <c r="Q59" s="288"/>
      <c r="R59" s="288"/>
      <c r="S59" s="288"/>
      <c r="T59" s="333"/>
      <c r="U59" s="334"/>
      <c r="V59" s="333" t="s">
        <v>120</v>
      </c>
      <c r="W59" s="291"/>
      <c r="X59" s="5"/>
    </row>
    <row r="60" spans="1:25" ht="15.6" x14ac:dyDescent="0.3">
      <c r="A60" s="287"/>
      <c r="B60" s="288" t="s">
        <v>228</v>
      </c>
      <c r="C60" s="288"/>
      <c r="D60" s="288"/>
      <c r="E60" s="288"/>
      <c r="F60" s="288"/>
      <c r="G60" s="288"/>
      <c r="H60" s="288"/>
      <c r="I60" s="288"/>
      <c r="J60" s="288"/>
      <c r="K60" s="288"/>
      <c r="L60" s="288"/>
      <c r="M60" s="288"/>
      <c r="N60" s="288"/>
      <c r="O60" s="288"/>
      <c r="P60" s="288"/>
      <c r="Q60" s="288"/>
      <c r="R60" s="288"/>
      <c r="S60" s="288"/>
      <c r="T60" s="333"/>
      <c r="U60" s="334"/>
      <c r="V60" s="333" t="s">
        <v>154</v>
      </c>
      <c r="W60" s="291"/>
      <c r="X60" s="5"/>
      <c r="Y60" s="134"/>
    </row>
    <row r="61" spans="1:25" ht="15.6" x14ac:dyDescent="0.3">
      <c r="A61" s="287"/>
      <c r="B61" s="288" t="s">
        <v>16</v>
      </c>
      <c r="C61" s="288"/>
      <c r="D61" s="288"/>
      <c r="E61" s="288"/>
      <c r="F61" s="288"/>
      <c r="G61" s="288"/>
      <c r="H61" s="288"/>
      <c r="I61" s="288"/>
      <c r="J61" s="288"/>
      <c r="K61" s="288"/>
      <c r="L61" s="288"/>
      <c r="M61" s="288"/>
      <c r="N61" s="288"/>
      <c r="O61" s="288"/>
      <c r="P61" s="288"/>
      <c r="Q61" s="288"/>
      <c r="R61" s="288"/>
      <c r="S61" s="288"/>
      <c r="T61" s="333"/>
      <c r="U61" s="334"/>
      <c r="V61" s="333">
        <v>42614</v>
      </c>
      <c r="W61" s="291"/>
      <c r="X61" s="5"/>
    </row>
    <row r="62" spans="1:25" ht="15.6" x14ac:dyDescent="0.3">
      <c r="A62" s="183"/>
      <c r="B62" s="284"/>
      <c r="C62" s="284"/>
      <c r="D62" s="284"/>
      <c r="E62" s="284"/>
      <c r="F62" s="284"/>
      <c r="G62" s="284"/>
      <c r="H62" s="284"/>
      <c r="I62" s="284"/>
      <c r="J62" s="284"/>
      <c r="K62" s="284"/>
      <c r="L62" s="284"/>
      <c r="M62" s="284"/>
      <c r="N62" s="284"/>
      <c r="O62" s="284"/>
      <c r="P62" s="284"/>
      <c r="Q62" s="284"/>
      <c r="R62" s="284"/>
      <c r="S62" s="284"/>
      <c r="T62" s="285"/>
      <c r="U62" s="286"/>
      <c r="V62" s="285"/>
      <c r="W62" s="284"/>
      <c r="X62" s="5"/>
    </row>
    <row r="63" spans="1:25" ht="15.6" x14ac:dyDescent="0.3">
      <c r="A63" s="183"/>
      <c r="B63" s="224"/>
      <c r="C63" s="224"/>
      <c r="D63" s="224"/>
      <c r="E63" s="224"/>
      <c r="F63" s="224"/>
      <c r="G63" s="224"/>
      <c r="H63" s="224"/>
      <c r="I63" s="224"/>
      <c r="J63" s="224"/>
      <c r="K63" s="224"/>
      <c r="L63" s="224"/>
      <c r="M63" s="224"/>
      <c r="N63" s="224"/>
      <c r="O63" s="224"/>
      <c r="P63" s="224"/>
      <c r="Q63" s="224"/>
      <c r="R63" s="224"/>
      <c r="S63" s="224"/>
      <c r="T63" s="235"/>
      <c r="U63" s="236"/>
      <c r="V63" s="235"/>
      <c r="W63" s="224"/>
      <c r="X63" s="5"/>
    </row>
    <row r="64" spans="1:25" ht="18" thickBot="1" x14ac:dyDescent="0.35">
      <c r="A64" s="199"/>
      <c r="B64" s="237" t="s">
        <v>356</v>
      </c>
      <c r="C64" s="238"/>
      <c r="D64" s="238"/>
      <c r="E64" s="238"/>
      <c r="F64" s="238"/>
      <c r="G64" s="238"/>
      <c r="H64" s="238"/>
      <c r="I64" s="238"/>
      <c r="J64" s="238"/>
      <c r="K64" s="238"/>
      <c r="L64" s="238"/>
      <c r="M64" s="238"/>
      <c r="N64" s="238"/>
      <c r="O64" s="238"/>
      <c r="P64" s="238"/>
      <c r="Q64" s="238"/>
      <c r="R64" s="238"/>
      <c r="S64" s="238"/>
      <c r="T64" s="238"/>
      <c r="U64" s="238"/>
      <c r="V64" s="239"/>
      <c r="W64" s="240"/>
      <c r="X64" s="5"/>
    </row>
    <row r="65" spans="1:24" ht="15.6" x14ac:dyDescent="0.3">
      <c r="A65" s="262"/>
      <c r="B65" s="399" t="s">
        <v>17</v>
      </c>
      <c r="C65" s="263"/>
      <c r="D65" s="263"/>
      <c r="E65" s="263"/>
      <c r="F65" s="263"/>
      <c r="G65" s="263"/>
      <c r="H65" s="263"/>
      <c r="I65" s="263"/>
      <c r="J65" s="263"/>
      <c r="K65" s="263"/>
      <c r="L65" s="263"/>
      <c r="M65" s="263"/>
      <c r="N65" s="263"/>
      <c r="O65" s="263"/>
      <c r="P65" s="263"/>
      <c r="Q65" s="263"/>
      <c r="R65" s="263"/>
      <c r="S65" s="263"/>
      <c r="T65" s="263"/>
      <c r="U65" s="263"/>
      <c r="V65" s="268"/>
      <c r="W65" s="263"/>
      <c r="X65" s="5"/>
    </row>
    <row r="66" spans="1:24" ht="15.6" x14ac:dyDescent="0.3">
      <c r="A66" s="183"/>
      <c r="B66" s="191"/>
      <c r="C66" s="185"/>
      <c r="D66" s="185"/>
      <c r="E66" s="185"/>
      <c r="F66" s="185"/>
      <c r="G66" s="185"/>
      <c r="H66" s="185"/>
      <c r="I66" s="185"/>
      <c r="J66" s="185"/>
      <c r="K66" s="185"/>
      <c r="L66" s="185"/>
      <c r="M66" s="185"/>
      <c r="N66" s="185"/>
      <c r="O66" s="185"/>
      <c r="P66" s="185"/>
      <c r="Q66" s="185"/>
      <c r="R66" s="185"/>
      <c r="S66" s="185"/>
      <c r="T66" s="185"/>
      <c r="U66" s="185"/>
      <c r="V66" s="201"/>
      <c r="W66" s="185"/>
      <c r="X66" s="5"/>
    </row>
    <row r="67" spans="1:24" ht="46.8" x14ac:dyDescent="0.3">
      <c r="A67" s="183"/>
      <c r="B67" s="202" t="s">
        <v>18</v>
      </c>
      <c r="C67" s="203"/>
      <c r="D67" s="203"/>
      <c r="E67" s="203"/>
      <c r="F67" s="203"/>
      <c r="G67" s="203"/>
      <c r="H67" s="203"/>
      <c r="I67" s="203"/>
      <c r="J67" s="203"/>
      <c r="K67" s="203"/>
      <c r="L67" s="203" t="s">
        <v>94</v>
      </c>
      <c r="M67" s="203"/>
      <c r="N67" s="203" t="s">
        <v>96</v>
      </c>
      <c r="O67" s="203"/>
      <c r="P67" s="203" t="s">
        <v>98</v>
      </c>
      <c r="Q67" s="203"/>
      <c r="R67" s="203" t="s">
        <v>100</v>
      </c>
      <c r="S67" s="203"/>
      <c r="T67" s="203" t="s">
        <v>106</v>
      </c>
      <c r="U67" s="203"/>
      <c r="V67" s="204" t="s">
        <v>112</v>
      </c>
      <c r="W67" s="205"/>
      <c r="X67" s="5"/>
    </row>
    <row r="68" spans="1:24" ht="15.6" x14ac:dyDescent="0.3">
      <c r="A68" s="287"/>
      <c r="B68" s="288" t="s">
        <v>19</v>
      </c>
      <c r="C68" s="337"/>
      <c r="D68" s="337"/>
      <c r="E68" s="337"/>
      <c r="F68" s="337"/>
      <c r="G68" s="337"/>
      <c r="H68" s="337"/>
      <c r="I68" s="337"/>
      <c r="J68" s="337"/>
      <c r="K68" s="337"/>
      <c r="L68" s="337">
        <v>1158015</v>
      </c>
      <c r="M68" s="337"/>
      <c r="N68" s="338">
        <v>953437</v>
      </c>
      <c r="O68" s="337"/>
      <c r="P68" s="337">
        <f>16258+43+102+1</f>
        <v>16404</v>
      </c>
      <c r="Q68" s="337"/>
      <c r="R68" s="337">
        <f>43+102</f>
        <v>145</v>
      </c>
      <c r="S68" s="337"/>
      <c r="T68" s="337">
        <v>0</v>
      </c>
      <c r="U68" s="337"/>
      <c r="V68" s="338">
        <f>+N68-P68+R68-T68</f>
        <v>937178</v>
      </c>
      <c r="W68" s="291"/>
      <c r="X68" s="5"/>
    </row>
    <row r="69" spans="1:24" ht="15.6" x14ac:dyDescent="0.3">
      <c r="A69" s="287"/>
      <c r="B69" s="288" t="s">
        <v>20</v>
      </c>
      <c r="C69" s="337"/>
      <c r="D69" s="337"/>
      <c r="E69" s="337"/>
      <c r="F69" s="337"/>
      <c r="G69" s="337"/>
      <c r="H69" s="337"/>
      <c r="I69" s="337"/>
      <c r="J69" s="337"/>
      <c r="K69" s="337"/>
      <c r="L69" s="337">
        <v>15</v>
      </c>
      <c r="M69" s="337"/>
      <c r="N69" s="338">
        <v>0</v>
      </c>
      <c r="O69" s="337"/>
      <c r="P69" s="337">
        <v>0</v>
      </c>
      <c r="Q69" s="337"/>
      <c r="R69" s="337">
        <v>0</v>
      </c>
      <c r="S69" s="337"/>
      <c r="T69" s="337">
        <v>0</v>
      </c>
      <c r="U69" s="337"/>
      <c r="V69" s="338">
        <v>0</v>
      </c>
      <c r="W69" s="291"/>
      <c r="X69" s="5"/>
    </row>
    <row r="70" spans="1:24" ht="15.6" x14ac:dyDescent="0.3">
      <c r="A70" s="287"/>
      <c r="B70" s="288"/>
      <c r="C70" s="337"/>
      <c r="D70" s="337"/>
      <c r="E70" s="337"/>
      <c r="F70" s="337"/>
      <c r="G70" s="337"/>
      <c r="H70" s="337"/>
      <c r="I70" s="337"/>
      <c r="J70" s="337"/>
      <c r="K70" s="337"/>
      <c r="L70" s="337"/>
      <c r="M70" s="337"/>
      <c r="N70" s="338"/>
      <c r="O70" s="337"/>
      <c r="P70" s="337"/>
      <c r="Q70" s="337"/>
      <c r="R70" s="337"/>
      <c r="S70" s="337"/>
      <c r="T70" s="337"/>
      <c r="U70" s="337"/>
      <c r="V70" s="338"/>
      <c r="W70" s="291"/>
      <c r="X70" s="5"/>
    </row>
    <row r="71" spans="1:24" ht="15.6" x14ac:dyDescent="0.3">
      <c r="A71" s="287"/>
      <c r="B71" s="288" t="s">
        <v>21</v>
      </c>
      <c r="C71" s="337"/>
      <c r="D71" s="337"/>
      <c r="E71" s="337"/>
      <c r="F71" s="337"/>
      <c r="G71" s="337"/>
      <c r="H71" s="337"/>
      <c r="I71" s="337"/>
      <c r="J71" s="337"/>
      <c r="K71" s="337"/>
      <c r="L71" s="337">
        <f>SUM(L68:L70)</f>
        <v>1158030</v>
      </c>
      <c r="M71" s="337"/>
      <c r="N71" s="337">
        <f>N68+N69</f>
        <v>953437</v>
      </c>
      <c r="O71" s="337"/>
      <c r="P71" s="337">
        <f>SUM(P68:P70)</f>
        <v>16404</v>
      </c>
      <c r="Q71" s="337"/>
      <c r="R71" s="337">
        <f>SUM(R68:R70)</f>
        <v>145</v>
      </c>
      <c r="S71" s="337"/>
      <c r="T71" s="337">
        <f>SUM(T68:T70)</f>
        <v>0</v>
      </c>
      <c r="U71" s="337"/>
      <c r="V71" s="337">
        <f>SUM(V68:V70)</f>
        <v>937178</v>
      </c>
      <c r="W71" s="291"/>
      <c r="X71" s="5"/>
    </row>
    <row r="72" spans="1:24" ht="15.6" x14ac:dyDescent="0.3">
      <c r="A72" s="183"/>
      <c r="B72" s="198"/>
      <c r="C72" s="335"/>
      <c r="D72" s="335"/>
      <c r="E72" s="335"/>
      <c r="F72" s="335"/>
      <c r="G72" s="335"/>
      <c r="H72" s="335"/>
      <c r="I72" s="335"/>
      <c r="J72" s="335"/>
      <c r="K72" s="335"/>
      <c r="L72" s="335"/>
      <c r="M72" s="335"/>
      <c r="N72" s="335"/>
      <c r="O72" s="335"/>
      <c r="P72" s="335"/>
      <c r="Q72" s="335"/>
      <c r="R72" s="335"/>
      <c r="S72" s="335"/>
      <c r="T72" s="335"/>
      <c r="U72" s="335"/>
      <c r="V72" s="336"/>
      <c r="W72" s="198"/>
      <c r="X72" s="5"/>
    </row>
    <row r="73" spans="1:24" ht="15.6" x14ac:dyDescent="0.3">
      <c r="A73" s="183"/>
      <c r="B73" s="187" t="s">
        <v>22</v>
      </c>
      <c r="C73" s="206"/>
      <c r="D73" s="206"/>
      <c r="E73" s="206"/>
      <c r="F73" s="206"/>
      <c r="G73" s="206"/>
      <c r="H73" s="206"/>
      <c r="I73" s="206"/>
      <c r="J73" s="206"/>
      <c r="K73" s="206"/>
      <c r="L73" s="206"/>
      <c r="M73" s="206"/>
      <c r="N73" s="206"/>
      <c r="O73" s="206"/>
      <c r="P73" s="206"/>
      <c r="Q73" s="206"/>
      <c r="R73" s="206"/>
      <c r="S73" s="206"/>
      <c r="T73" s="206"/>
      <c r="U73" s="206"/>
      <c r="V73" s="207"/>
      <c r="W73" s="185"/>
      <c r="X73" s="5"/>
    </row>
    <row r="74" spans="1:24" ht="15.6" x14ac:dyDescent="0.3">
      <c r="A74" s="183"/>
      <c r="B74" s="185"/>
      <c r="C74" s="206"/>
      <c r="D74" s="206"/>
      <c r="E74" s="206"/>
      <c r="F74" s="206"/>
      <c r="G74" s="206"/>
      <c r="H74" s="206"/>
      <c r="I74" s="206"/>
      <c r="J74" s="206"/>
      <c r="K74" s="206"/>
      <c r="L74" s="206"/>
      <c r="M74" s="206"/>
      <c r="N74" s="206"/>
      <c r="O74" s="206"/>
      <c r="P74" s="206"/>
      <c r="Q74" s="206"/>
      <c r="R74" s="206"/>
      <c r="S74" s="206"/>
      <c r="T74" s="206"/>
      <c r="U74" s="206"/>
      <c r="V74" s="207"/>
      <c r="W74" s="185"/>
      <c r="X74" s="5"/>
    </row>
    <row r="75" spans="1:24" ht="15.6" x14ac:dyDescent="0.3">
      <c r="A75" s="340"/>
      <c r="B75" s="288" t="s">
        <v>19</v>
      </c>
      <c r="C75" s="337"/>
      <c r="D75" s="337"/>
      <c r="E75" s="337"/>
      <c r="F75" s="337"/>
      <c r="G75" s="337"/>
      <c r="H75" s="337"/>
      <c r="I75" s="337"/>
      <c r="J75" s="337"/>
      <c r="K75" s="337"/>
      <c r="L75" s="337"/>
      <c r="M75" s="337"/>
      <c r="N75" s="337"/>
      <c r="O75" s="337"/>
      <c r="P75" s="337"/>
      <c r="Q75" s="337"/>
      <c r="R75" s="337"/>
      <c r="S75" s="337"/>
      <c r="T75" s="337"/>
      <c r="U75" s="337"/>
      <c r="V75" s="337"/>
      <c r="W75" s="291"/>
      <c r="X75" s="5"/>
    </row>
    <row r="76" spans="1:24" ht="15.6" x14ac:dyDescent="0.3">
      <c r="A76" s="340"/>
      <c r="B76" s="288" t="s">
        <v>20</v>
      </c>
      <c r="C76" s="337"/>
      <c r="D76" s="337"/>
      <c r="E76" s="337"/>
      <c r="F76" s="337"/>
      <c r="G76" s="337"/>
      <c r="H76" s="337"/>
      <c r="I76" s="337"/>
      <c r="J76" s="337"/>
      <c r="K76" s="337"/>
      <c r="L76" s="337"/>
      <c r="M76" s="337"/>
      <c r="N76" s="337"/>
      <c r="O76" s="337"/>
      <c r="P76" s="337"/>
      <c r="Q76" s="337"/>
      <c r="R76" s="337"/>
      <c r="S76" s="337"/>
      <c r="T76" s="337"/>
      <c r="U76" s="337"/>
      <c r="V76" s="337"/>
      <c r="W76" s="291"/>
      <c r="X76" s="5"/>
    </row>
    <row r="77" spans="1:24" ht="15.6" x14ac:dyDescent="0.3">
      <c r="A77" s="340"/>
      <c r="B77" s="288"/>
      <c r="C77" s="337"/>
      <c r="D77" s="337"/>
      <c r="E77" s="337"/>
      <c r="F77" s="337"/>
      <c r="G77" s="337"/>
      <c r="H77" s="337"/>
      <c r="I77" s="337"/>
      <c r="J77" s="337"/>
      <c r="K77" s="337"/>
      <c r="L77" s="337"/>
      <c r="M77" s="337"/>
      <c r="N77" s="337"/>
      <c r="O77" s="337"/>
      <c r="P77" s="337"/>
      <c r="Q77" s="337"/>
      <c r="R77" s="337"/>
      <c r="S77" s="337"/>
      <c r="T77" s="337"/>
      <c r="U77" s="337"/>
      <c r="V77" s="337"/>
      <c r="W77" s="291"/>
      <c r="X77" s="5"/>
    </row>
    <row r="78" spans="1:24" ht="15.6" x14ac:dyDescent="0.3">
      <c r="A78" s="340"/>
      <c r="B78" s="288" t="s">
        <v>21</v>
      </c>
      <c r="C78" s="337"/>
      <c r="D78" s="337"/>
      <c r="E78" s="337"/>
      <c r="F78" s="337"/>
      <c r="G78" s="337"/>
      <c r="H78" s="337"/>
      <c r="I78" s="337"/>
      <c r="J78" s="337"/>
      <c r="K78" s="337"/>
      <c r="L78" s="337"/>
      <c r="M78" s="337"/>
      <c r="N78" s="337"/>
      <c r="O78" s="337"/>
      <c r="P78" s="337"/>
      <c r="Q78" s="337"/>
      <c r="R78" s="337"/>
      <c r="S78" s="337"/>
      <c r="T78" s="337"/>
      <c r="U78" s="337"/>
      <c r="V78" s="337"/>
      <c r="W78" s="291"/>
      <c r="X78" s="5"/>
    </row>
    <row r="79" spans="1:24" ht="15.6" x14ac:dyDescent="0.3">
      <c r="A79" s="340"/>
      <c r="B79" s="288"/>
      <c r="C79" s="337"/>
      <c r="D79" s="337"/>
      <c r="E79" s="337"/>
      <c r="F79" s="337"/>
      <c r="G79" s="337"/>
      <c r="H79" s="337"/>
      <c r="I79" s="337"/>
      <c r="J79" s="337"/>
      <c r="K79" s="337"/>
      <c r="L79" s="337"/>
      <c r="M79" s="337"/>
      <c r="N79" s="337"/>
      <c r="O79" s="337"/>
      <c r="P79" s="337"/>
      <c r="Q79" s="337"/>
      <c r="R79" s="337"/>
      <c r="S79" s="337"/>
      <c r="T79" s="337"/>
      <c r="U79" s="337"/>
      <c r="V79" s="337"/>
      <c r="W79" s="291"/>
      <c r="X79" s="5"/>
    </row>
    <row r="80" spans="1:24" ht="15.6" x14ac:dyDescent="0.3">
      <c r="A80" s="340"/>
      <c r="B80" s="288" t="s">
        <v>23</v>
      </c>
      <c r="C80" s="337"/>
      <c r="D80" s="337"/>
      <c r="E80" s="337"/>
      <c r="F80" s="337"/>
      <c r="G80" s="337"/>
      <c r="H80" s="337"/>
      <c r="I80" s="337"/>
      <c r="J80" s="337"/>
      <c r="K80" s="337"/>
      <c r="L80" s="337">
        <v>0</v>
      </c>
      <c r="M80" s="337"/>
      <c r="N80" s="337">
        <v>0</v>
      </c>
      <c r="O80" s="337"/>
      <c r="P80" s="337"/>
      <c r="Q80" s="337"/>
      <c r="R80" s="337"/>
      <c r="S80" s="337"/>
      <c r="T80" s="337"/>
      <c r="U80" s="337"/>
      <c r="V80" s="338">
        <v>0</v>
      </c>
      <c r="W80" s="291"/>
      <c r="X80" s="5"/>
    </row>
    <row r="81" spans="1:24" ht="15.6" x14ac:dyDescent="0.3">
      <c r="A81" s="340"/>
      <c r="B81" s="288" t="s">
        <v>117</v>
      </c>
      <c r="C81" s="337"/>
      <c r="D81" s="337"/>
      <c r="E81" s="337"/>
      <c r="F81" s="337"/>
      <c r="G81" s="337"/>
      <c r="H81" s="337"/>
      <c r="I81" s="337"/>
      <c r="J81" s="337"/>
      <c r="K81" s="337"/>
      <c r="L81" s="337">
        <v>342245</v>
      </c>
      <c r="M81" s="337"/>
      <c r="N81" s="337">
        <v>0</v>
      </c>
      <c r="O81" s="337"/>
      <c r="P81" s="337">
        <v>0</v>
      </c>
      <c r="Q81" s="337"/>
      <c r="R81" s="337"/>
      <c r="S81" s="337"/>
      <c r="T81" s="337"/>
      <c r="U81" s="337"/>
      <c r="V81" s="337">
        <f>SUM(N81:R81)</f>
        <v>0</v>
      </c>
      <c r="W81" s="291"/>
      <c r="X81" s="5"/>
    </row>
    <row r="82" spans="1:24" ht="15.6" x14ac:dyDescent="0.3">
      <c r="A82" s="340"/>
      <c r="B82" s="288"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91"/>
      <c r="X82" s="5"/>
    </row>
    <row r="83" spans="1:24" ht="15.6" x14ac:dyDescent="0.3">
      <c r="A83" s="340"/>
      <c r="B83" s="288" t="s">
        <v>25</v>
      </c>
      <c r="C83" s="337"/>
      <c r="D83" s="337"/>
      <c r="E83" s="337"/>
      <c r="F83" s="337"/>
      <c r="G83" s="337"/>
      <c r="H83" s="337"/>
      <c r="I83" s="337"/>
      <c r="J83" s="337"/>
      <c r="K83" s="337"/>
      <c r="L83" s="337">
        <v>0</v>
      </c>
      <c r="M83" s="337"/>
      <c r="N83" s="337">
        <v>0</v>
      </c>
      <c r="O83" s="337"/>
      <c r="P83" s="337"/>
      <c r="Q83" s="337"/>
      <c r="R83" s="337"/>
      <c r="S83" s="337"/>
      <c r="T83" s="337"/>
      <c r="U83" s="337"/>
      <c r="V83" s="337">
        <v>0</v>
      </c>
      <c r="W83" s="291"/>
      <c r="X83" s="5"/>
    </row>
    <row r="84" spans="1:24" ht="15.6" x14ac:dyDescent="0.3">
      <c r="A84" s="340"/>
      <c r="B84" s="288" t="s">
        <v>26</v>
      </c>
      <c r="C84" s="337"/>
      <c r="D84" s="337"/>
      <c r="E84" s="337"/>
      <c r="F84" s="337"/>
      <c r="G84" s="337"/>
      <c r="H84" s="337"/>
      <c r="I84" s="337"/>
      <c r="J84" s="337"/>
      <c r="K84" s="337"/>
      <c r="L84" s="337">
        <f>SUM(L71:L83)</f>
        <v>1500275</v>
      </c>
      <c r="M84" s="337"/>
      <c r="N84" s="337">
        <f>SUM(N71:N83)</f>
        <v>953437</v>
      </c>
      <c r="O84" s="337"/>
      <c r="P84" s="337"/>
      <c r="Q84" s="337"/>
      <c r="R84" s="337"/>
      <c r="S84" s="337"/>
      <c r="T84" s="337"/>
      <c r="U84" s="337"/>
      <c r="V84" s="337">
        <f>SUM(V71:V83)</f>
        <v>937178</v>
      </c>
      <c r="W84" s="291"/>
      <c r="X84" s="5"/>
    </row>
    <row r="85" spans="1:24" ht="15.6" x14ac:dyDescent="0.3">
      <c r="A85" s="243"/>
      <c r="B85" s="284"/>
      <c r="C85" s="339"/>
      <c r="D85" s="339"/>
      <c r="E85" s="339"/>
      <c r="F85" s="339"/>
      <c r="G85" s="339"/>
      <c r="H85" s="339"/>
      <c r="I85" s="339"/>
      <c r="J85" s="339"/>
      <c r="K85" s="339"/>
      <c r="L85" s="339"/>
      <c r="M85" s="339"/>
      <c r="N85" s="339"/>
      <c r="O85" s="339"/>
      <c r="P85" s="339"/>
      <c r="Q85" s="339"/>
      <c r="R85" s="339"/>
      <c r="S85" s="339"/>
      <c r="T85" s="339"/>
      <c r="U85" s="339"/>
      <c r="V85" s="339"/>
      <c r="W85" s="284"/>
      <c r="X85" s="5"/>
    </row>
    <row r="86" spans="1:24" ht="15.6" x14ac:dyDescent="0.3">
      <c r="A86" s="243"/>
      <c r="B86" s="224"/>
      <c r="C86" s="224"/>
      <c r="D86" s="224"/>
      <c r="E86" s="224"/>
      <c r="F86" s="224"/>
      <c r="G86" s="224"/>
      <c r="H86" s="224"/>
      <c r="I86" s="224"/>
      <c r="J86" s="224"/>
      <c r="K86" s="224"/>
      <c r="L86" s="224"/>
      <c r="M86" s="224"/>
      <c r="N86" s="224"/>
      <c r="O86" s="224"/>
      <c r="P86" s="224"/>
      <c r="Q86" s="224"/>
      <c r="R86" s="224"/>
      <c r="S86" s="224"/>
      <c r="T86" s="224"/>
      <c r="U86" s="224"/>
      <c r="V86" s="224"/>
      <c r="W86" s="224"/>
      <c r="X86" s="5"/>
    </row>
    <row r="87" spans="1:24" ht="15.6" x14ac:dyDescent="0.3">
      <c r="A87" s="262"/>
      <c r="B87" s="399" t="s">
        <v>27</v>
      </c>
      <c r="C87" s="399"/>
      <c r="D87" s="399"/>
      <c r="E87" s="399"/>
      <c r="F87" s="399"/>
      <c r="G87" s="399"/>
      <c r="H87" s="400"/>
      <c r="I87" s="400"/>
      <c r="J87" s="400"/>
      <c r="K87" s="400"/>
      <c r="L87" s="401" t="s">
        <v>95</v>
      </c>
      <c r="M87" s="400"/>
      <c r="N87" s="402">
        <f>+T205</f>
        <v>42613</v>
      </c>
      <c r="O87" s="400"/>
      <c r="P87" s="400"/>
      <c r="Q87" s="400"/>
      <c r="R87" s="400"/>
      <c r="S87" s="400"/>
      <c r="T87" s="400" t="s">
        <v>107</v>
      </c>
      <c r="U87" s="400"/>
      <c r="V87" s="400" t="s">
        <v>113</v>
      </c>
      <c r="W87" s="263"/>
      <c r="X87" s="5"/>
    </row>
    <row r="88" spans="1:24" ht="15.6" x14ac:dyDescent="0.3">
      <c r="A88" s="242"/>
      <c r="B88" s="231" t="s">
        <v>28</v>
      </c>
      <c r="C88" s="231"/>
      <c r="D88" s="231"/>
      <c r="E88" s="231"/>
      <c r="F88" s="231"/>
      <c r="G88" s="231"/>
      <c r="H88" s="231"/>
      <c r="I88" s="231"/>
      <c r="J88" s="231"/>
      <c r="K88" s="231"/>
      <c r="L88" s="231"/>
      <c r="M88" s="231"/>
      <c r="N88" s="231"/>
      <c r="O88" s="231"/>
      <c r="P88" s="231"/>
      <c r="Q88" s="231"/>
      <c r="R88" s="231"/>
      <c r="S88" s="231"/>
      <c r="T88" s="234">
        <v>0</v>
      </c>
      <c r="U88" s="231"/>
      <c r="V88" s="241">
        <v>0</v>
      </c>
      <c r="W88" s="231"/>
      <c r="X88" s="5"/>
    </row>
    <row r="89" spans="1:24" ht="15.6" x14ac:dyDescent="0.3">
      <c r="A89" s="340"/>
      <c r="B89" s="288" t="s">
        <v>29</v>
      </c>
      <c r="C89" s="288"/>
      <c r="D89" s="288"/>
      <c r="E89" s="288"/>
      <c r="F89" s="288"/>
      <c r="G89" s="288"/>
      <c r="H89" s="325"/>
      <c r="I89" s="325"/>
      <c r="J89" s="325"/>
      <c r="K89" s="341"/>
      <c r="L89" s="325"/>
      <c r="M89" s="288"/>
      <c r="N89" s="342"/>
      <c r="O89" s="288"/>
      <c r="P89" s="288"/>
      <c r="Q89" s="288"/>
      <c r="R89" s="288"/>
      <c r="S89" s="288"/>
      <c r="T89" s="337">
        <f>16404-226</f>
        <v>16178</v>
      </c>
      <c r="U89" s="288"/>
      <c r="V89" s="338"/>
      <c r="W89" s="291"/>
      <c r="X89" s="5"/>
    </row>
    <row r="90" spans="1:24" ht="15.6" x14ac:dyDescent="0.3">
      <c r="A90" s="340"/>
      <c r="B90" s="288" t="s">
        <v>216</v>
      </c>
      <c r="C90" s="288"/>
      <c r="D90" s="288"/>
      <c r="E90" s="288"/>
      <c r="F90" s="288"/>
      <c r="G90" s="288"/>
      <c r="H90" s="325"/>
      <c r="I90" s="325"/>
      <c r="J90" s="325"/>
      <c r="K90" s="341"/>
      <c r="L90" s="325"/>
      <c r="M90" s="288"/>
      <c r="N90" s="342"/>
      <c r="O90" s="288"/>
      <c r="P90" s="288"/>
      <c r="Q90" s="288"/>
      <c r="R90" s="288"/>
      <c r="S90" s="288"/>
      <c r="T90" s="337"/>
      <c r="U90" s="288"/>
      <c r="V90" s="338">
        <f>3252+4270-759-1210+219</f>
        <v>5772</v>
      </c>
      <c r="W90" s="291"/>
      <c r="X90" s="5"/>
    </row>
    <row r="91" spans="1:24" ht="15.6" x14ac:dyDescent="0.3">
      <c r="A91" s="340"/>
      <c r="B91" s="288" t="s">
        <v>211</v>
      </c>
      <c r="C91" s="288"/>
      <c r="D91" s="288"/>
      <c r="E91" s="288"/>
      <c r="F91" s="288"/>
      <c r="G91" s="288"/>
      <c r="H91" s="325"/>
      <c r="I91" s="325"/>
      <c r="J91" s="325"/>
      <c r="K91" s="341"/>
      <c r="L91" s="325"/>
      <c r="M91" s="288"/>
      <c r="N91" s="342"/>
      <c r="O91" s="288"/>
      <c r="P91" s="288"/>
      <c r="Q91" s="288"/>
      <c r="R91" s="288"/>
      <c r="S91" s="288"/>
      <c r="T91" s="337"/>
      <c r="U91" s="288"/>
      <c r="V91" s="338">
        <f>19+103</f>
        <v>122</v>
      </c>
      <c r="W91" s="291"/>
      <c r="X91" s="5"/>
    </row>
    <row r="92" spans="1:24" ht="15.6" x14ac:dyDescent="0.3">
      <c r="A92" s="340"/>
      <c r="B92" s="288" t="s">
        <v>212</v>
      </c>
      <c r="C92" s="288"/>
      <c r="D92" s="288"/>
      <c r="E92" s="288"/>
      <c r="F92" s="288"/>
      <c r="G92" s="288"/>
      <c r="H92" s="325"/>
      <c r="I92" s="325"/>
      <c r="J92" s="325"/>
      <c r="K92" s="341"/>
      <c r="L92" s="325"/>
      <c r="M92" s="288"/>
      <c r="N92" s="342"/>
      <c r="O92" s="288"/>
      <c r="P92" s="288"/>
      <c r="Q92" s="288"/>
      <c r="R92" s="288"/>
      <c r="S92" s="288"/>
      <c r="T92" s="337"/>
      <c r="U92" s="288"/>
      <c r="V92" s="338">
        <v>57</v>
      </c>
      <c r="W92" s="291"/>
      <c r="X92" s="5"/>
    </row>
    <row r="93" spans="1:24" ht="15.6" x14ac:dyDescent="0.3">
      <c r="A93" s="340"/>
      <c r="B93" s="288" t="s">
        <v>272</v>
      </c>
      <c r="C93" s="288"/>
      <c r="D93" s="288"/>
      <c r="E93" s="288"/>
      <c r="F93" s="288"/>
      <c r="G93" s="288"/>
      <c r="H93" s="325"/>
      <c r="I93" s="325"/>
      <c r="J93" s="325"/>
      <c r="K93" s="341"/>
      <c r="L93" s="325"/>
      <c r="M93" s="288"/>
      <c r="N93" s="342"/>
      <c r="O93" s="288"/>
      <c r="P93" s="288"/>
      <c r="Q93" s="288"/>
      <c r="R93" s="288"/>
      <c r="S93" s="288"/>
      <c r="T93" s="337"/>
      <c r="U93" s="288"/>
      <c r="V93" s="338">
        <v>0</v>
      </c>
      <c r="W93" s="291"/>
      <c r="X93" s="5"/>
    </row>
    <row r="94" spans="1:24" ht="15.6" x14ac:dyDescent="0.3">
      <c r="A94" s="340"/>
      <c r="B94" s="288" t="s">
        <v>274</v>
      </c>
      <c r="C94" s="288"/>
      <c r="D94" s="288"/>
      <c r="E94" s="288"/>
      <c r="F94" s="288"/>
      <c r="G94" s="288"/>
      <c r="H94" s="325"/>
      <c r="I94" s="325"/>
      <c r="J94" s="325"/>
      <c r="K94" s="341"/>
      <c r="L94" s="325"/>
      <c r="M94" s="288"/>
      <c r="N94" s="342"/>
      <c r="O94" s="288"/>
      <c r="P94" s="288"/>
      <c r="Q94" s="288"/>
      <c r="R94" s="288"/>
      <c r="S94" s="288"/>
      <c r="T94" s="337"/>
      <c r="U94" s="288"/>
      <c r="V94" s="338">
        <v>0</v>
      </c>
      <c r="W94" s="291"/>
      <c r="X94" s="5"/>
    </row>
    <row r="95" spans="1:24" ht="15.6" x14ac:dyDescent="0.3">
      <c r="A95" s="340"/>
      <c r="B95" s="288" t="s">
        <v>135</v>
      </c>
      <c r="C95" s="288"/>
      <c r="D95" s="288"/>
      <c r="E95" s="288"/>
      <c r="F95" s="288"/>
      <c r="G95" s="288"/>
      <c r="H95" s="288"/>
      <c r="I95" s="288"/>
      <c r="J95" s="288"/>
      <c r="K95" s="288"/>
      <c r="L95" s="288"/>
      <c r="M95" s="288"/>
      <c r="N95" s="288"/>
      <c r="O95" s="288"/>
      <c r="P95" s="288"/>
      <c r="Q95" s="288"/>
      <c r="R95" s="288"/>
      <c r="S95" s="288"/>
      <c r="T95" s="337"/>
      <c r="U95" s="288"/>
      <c r="V95" s="338">
        <v>0</v>
      </c>
      <c r="W95" s="291"/>
      <c r="X95" s="5"/>
    </row>
    <row r="96" spans="1:24" ht="15.6" x14ac:dyDescent="0.3">
      <c r="A96" s="340"/>
      <c r="B96" s="288" t="s">
        <v>268</v>
      </c>
      <c r="C96" s="288"/>
      <c r="D96" s="288"/>
      <c r="E96" s="288"/>
      <c r="F96" s="288"/>
      <c r="G96" s="288"/>
      <c r="H96" s="288"/>
      <c r="I96" s="288"/>
      <c r="J96" s="288"/>
      <c r="K96" s="288"/>
      <c r="L96" s="288"/>
      <c r="M96" s="288"/>
      <c r="N96" s="288"/>
      <c r="O96" s="288"/>
      <c r="P96" s="288"/>
      <c r="Q96" s="288"/>
      <c r="R96" s="288"/>
      <c r="S96" s="288"/>
      <c r="T96" s="337"/>
      <c r="U96" s="288"/>
      <c r="V96" s="338">
        <v>254</v>
      </c>
      <c r="W96" s="291"/>
      <c r="X96" s="5"/>
    </row>
    <row r="97" spans="1:25" ht="15.6" x14ac:dyDescent="0.3">
      <c r="A97" s="340"/>
      <c r="B97" s="288" t="s">
        <v>30</v>
      </c>
      <c r="C97" s="288"/>
      <c r="D97" s="288"/>
      <c r="E97" s="288"/>
      <c r="F97" s="288"/>
      <c r="G97" s="288"/>
      <c r="H97" s="288"/>
      <c r="I97" s="288"/>
      <c r="J97" s="288"/>
      <c r="K97" s="288"/>
      <c r="L97" s="288"/>
      <c r="M97" s="288"/>
      <c r="N97" s="288"/>
      <c r="O97" s="288"/>
      <c r="P97" s="288"/>
      <c r="Q97" s="288"/>
      <c r="R97" s="288"/>
      <c r="S97" s="288"/>
      <c r="T97" s="337">
        <f>SUM(T88:T96)</f>
        <v>16178</v>
      </c>
      <c r="U97" s="288"/>
      <c r="V97" s="337">
        <f>SUM(V88:V96)</f>
        <v>6205</v>
      </c>
      <c r="W97" s="291"/>
      <c r="X97" s="5"/>
    </row>
    <row r="98" spans="1:25" ht="15.6" x14ac:dyDescent="0.3">
      <c r="A98" s="340"/>
      <c r="B98" s="288" t="s">
        <v>161</v>
      </c>
      <c r="C98" s="288"/>
      <c r="D98" s="288"/>
      <c r="E98" s="288"/>
      <c r="F98" s="288"/>
      <c r="G98" s="288"/>
      <c r="H98" s="288"/>
      <c r="I98" s="288"/>
      <c r="J98" s="288"/>
      <c r="K98" s="288"/>
      <c r="L98" s="288"/>
      <c r="M98" s="288"/>
      <c r="N98" s="288"/>
      <c r="O98" s="288"/>
      <c r="P98" s="288"/>
      <c r="Q98" s="288"/>
      <c r="R98" s="288"/>
      <c r="S98" s="288"/>
      <c r="T98" s="337">
        <f>-V98</f>
        <v>0</v>
      </c>
      <c r="U98" s="288"/>
      <c r="V98" s="337">
        <v>0</v>
      </c>
      <c r="W98" s="291"/>
      <c r="X98" s="5"/>
    </row>
    <row r="99" spans="1:25" ht="15.6" x14ac:dyDescent="0.3">
      <c r="A99" s="340"/>
      <c r="B99" s="288" t="s">
        <v>31</v>
      </c>
      <c r="C99" s="288"/>
      <c r="D99" s="288"/>
      <c r="E99" s="288"/>
      <c r="F99" s="288"/>
      <c r="G99" s="288"/>
      <c r="H99" s="288"/>
      <c r="I99" s="288"/>
      <c r="J99" s="288"/>
      <c r="K99" s="288"/>
      <c r="L99" s="288"/>
      <c r="M99" s="288"/>
      <c r="N99" s="288"/>
      <c r="O99" s="288"/>
      <c r="P99" s="288"/>
      <c r="Q99" s="288"/>
      <c r="R99" s="288"/>
      <c r="S99" s="288"/>
      <c r="T99" s="337">
        <f>-V99</f>
        <v>0</v>
      </c>
      <c r="U99" s="288"/>
      <c r="V99" s="338">
        <v>0</v>
      </c>
      <c r="W99" s="291"/>
      <c r="X99" s="5"/>
    </row>
    <row r="100" spans="1:25" ht="15.6" x14ac:dyDescent="0.3">
      <c r="A100" s="340"/>
      <c r="B100" s="288" t="s">
        <v>283</v>
      </c>
      <c r="C100" s="288"/>
      <c r="D100" s="288"/>
      <c r="E100" s="288"/>
      <c r="F100" s="288"/>
      <c r="G100" s="288"/>
      <c r="H100" s="288"/>
      <c r="I100" s="288"/>
      <c r="J100" s="288"/>
      <c r="K100" s="288"/>
      <c r="L100" s="288"/>
      <c r="M100" s="288"/>
      <c r="N100" s="288"/>
      <c r="O100" s="288"/>
      <c r="P100" s="288"/>
      <c r="Q100" s="288"/>
      <c r="R100" s="288"/>
      <c r="S100" s="288"/>
      <c r="T100" s="337"/>
      <c r="U100" s="288"/>
      <c r="V100" s="338">
        <v>-176</v>
      </c>
      <c r="W100" s="291"/>
      <c r="X100" s="5"/>
    </row>
    <row r="101" spans="1:25" ht="15.6" x14ac:dyDescent="0.3">
      <c r="A101" s="340"/>
      <c r="B101" s="288" t="s">
        <v>32</v>
      </c>
      <c r="C101" s="288"/>
      <c r="D101" s="288"/>
      <c r="E101" s="288"/>
      <c r="F101" s="288"/>
      <c r="G101" s="288"/>
      <c r="H101" s="288"/>
      <c r="I101" s="288"/>
      <c r="J101" s="288"/>
      <c r="K101" s="288"/>
      <c r="L101" s="288"/>
      <c r="M101" s="288"/>
      <c r="N101" s="288"/>
      <c r="O101" s="288"/>
      <c r="P101" s="288"/>
      <c r="Q101" s="288"/>
      <c r="R101" s="288"/>
      <c r="S101" s="288"/>
      <c r="T101" s="337">
        <f>T97+T99+T98</f>
        <v>16178</v>
      </c>
      <c r="U101" s="288"/>
      <c r="V101" s="337">
        <f>V97+V99+V98+V100</f>
        <v>6029</v>
      </c>
      <c r="W101" s="291"/>
      <c r="X101" s="5"/>
    </row>
    <row r="102" spans="1:25" ht="15.6" x14ac:dyDescent="0.3">
      <c r="A102" s="287"/>
      <c r="B102" s="343" t="s">
        <v>33</v>
      </c>
      <c r="C102" s="314"/>
      <c r="D102" s="314"/>
      <c r="E102" s="314"/>
      <c r="F102" s="314"/>
      <c r="G102" s="314"/>
      <c r="H102" s="314"/>
      <c r="I102" s="314"/>
      <c r="J102" s="314"/>
      <c r="K102" s="314"/>
      <c r="L102" s="314"/>
      <c r="M102" s="314"/>
      <c r="N102" s="314"/>
      <c r="O102" s="314"/>
      <c r="P102" s="314"/>
      <c r="Q102" s="314"/>
      <c r="R102" s="314"/>
      <c r="S102" s="314"/>
      <c r="T102" s="344"/>
      <c r="U102" s="314"/>
      <c r="V102" s="345"/>
      <c r="W102" s="318"/>
      <c r="X102" s="5"/>
    </row>
    <row r="103" spans="1:25" ht="15.6" x14ac:dyDescent="0.3">
      <c r="A103" s="340">
        <v>1</v>
      </c>
      <c r="B103" s="288" t="s">
        <v>34</v>
      </c>
      <c r="C103" s="288"/>
      <c r="D103" s="288"/>
      <c r="E103" s="288"/>
      <c r="F103" s="288"/>
      <c r="G103" s="288"/>
      <c r="H103" s="288"/>
      <c r="I103" s="288"/>
      <c r="J103" s="288"/>
      <c r="K103" s="288"/>
      <c r="L103" s="288"/>
      <c r="M103" s="288"/>
      <c r="N103" s="288"/>
      <c r="O103" s="288"/>
      <c r="P103" s="288"/>
      <c r="Q103" s="288"/>
      <c r="R103" s="288"/>
      <c r="S103" s="288"/>
      <c r="T103" s="288"/>
      <c r="U103" s="288"/>
      <c r="V103" s="338">
        <v>0</v>
      </c>
      <c r="W103" s="291"/>
      <c r="X103" s="5"/>
    </row>
    <row r="104" spans="1:25" ht="15.6" x14ac:dyDescent="0.3">
      <c r="A104" s="340">
        <f>+A103+1</f>
        <v>2</v>
      </c>
      <c r="B104" s="288" t="s">
        <v>330</v>
      </c>
      <c r="C104" s="288"/>
      <c r="D104" s="288"/>
      <c r="E104" s="288"/>
      <c r="F104" s="288"/>
      <c r="G104" s="288"/>
      <c r="H104" s="288"/>
      <c r="I104" s="288"/>
      <c r="J104" s="288"/>
      <c r="K104" s="288"/>
      <c r="L104" s="288"/>
      <c r="M104" s="288"/>
      <c r="N104" s="288"/>
      <c r="O104" s="288"/>
      <c r="P104" s="288"/>
      <c r="Q104" s="288"/>
      <c r="R104" s="288"/>
      <c r="S104" s="288"/>
      <c r="T104" s="288"/>
      <c r="U104" s="288"/>
      <c r="V104" s="338">
        <v>-2</v>
      </c>
      <c r="W104" s="291"/>
      <c r="X104" s="5"/>
    </row>
    <row r="105" spans="1:25" ht="15.6" x14ac:dyDescent="0.3">
      <c r="A105" s="340">
        <f>+A104+1</f>
        <v>3</v>
      </c>
      <c r="B105" s="288" t="s">
        <v>331</v>
      </c>
      <c r="C105" s="288"/>
      <c r="D105" s="288"/>
      <c r="E105" s="288"/>
      <c r="F105" s="288"/>
      <c r="G105" s="288"/>
      <c r="H105" s="288"/>
      <c r="I105" s="288"/>
      <c r="J105" s="288"/>
      <c r="K105" s="288"/>
      <c r="L105" s="288"/>
      <c r="M105" s="288"/>
      <c r="N105" s="288"/>
      <c r="O105" s="288"/>
      <c r="P105" s="288"/>
      <c r="Q105" s="288"/>
      <c r="R105" s="288"/>
      <c r="S105" s="288"/>
      <c r="T105" s="288"/>
      <c r="U105" s="288"/>
      <c r="V105" s="338">
        <f>-121-143-12</f>
        <v>-276</v>
      </c>
      <c r="W105" s="291"/>
      <c r="X105" s="5"/>
    </row>
    <row r="106" spans="1:25" ht="15.6" x14ac:dyDescent="0.3">
      <c r="A106" s="340" t="s">
        <v>127</v>
      </c>
      <c r="B106" s="288" t="s">
        <v>116</v>
      </c>
      <c r="C106" s="288"/>
      <c r="D106" s="288"/>
      <c r="E106" s="288"/>
      <c r="F106" s="288"/>
      <c r="G106" s="288"/>
      <c r="H106" s="288"/>
      <c r="I106" s="288"/>
      <c r="J106" s="288"/>
      <c r="K106" s="288"/>
      <c r="L106" s="288"/>
      <c r="M106" s="288"/>
      <c r="N106" s="288"/>
      <c r="O106" s="288"/>
      <c r="P106" s="288"/>
      <c r="Q106" s="288"/>
      <c r="R106" s="288"/>
      <c r="S106" s="288"/>
      <c r="T106" s="288"/>
      <c r="U106" s="288"/>
      <c r="V106" s="338">
        <v>0</v>
      </c>
      <c r="W106" s="291"/>
      <c r="X106" s="5"/>
    </row>
    <row r="107" spans="1:25" ht="15.6" x14ac:dyDescent="0.3">
      <c r="A107" s="340" t="s">
        <v>128</v>
      </c>
      <c r="B107" s="288" t="s">
        <v>222</v>
      </c>
      <c r="C107" s="288"/>
      <c r="D107" s="288"/>
      <c r="E107" s="288"/>
      <c r="F107" s="288"/>
      <c r="G107" s="288"/>
      <c r="H107" s="288"/>
      <c r="I107" s="288"/>
      <c r="J107" s="288"/>
      <c r="K107" s="288"/>
      <c r="L107" s="288"/>
      <c r="M107" s="288"/>
      <c r="N107" s="288"/>
      <c r="O107" s="288"/>
      <c r="P107" s="288"/>
      <c r="Q107" s="288"/>
      <c r="R107" s="288"/>
      <c r="S107" s="288"/>
      <c r="T107" s="288"/>
      <c r="U107" s="288"/>
      <c r="V107" s="338">
        <f>-1487+139</f>
        <v>-1348</v>
      </c>
      <c r="W107" s="291"/>
      <c r="X107" s="5"/>
      <c r="Y107" s="109"/>
    </row>
    <row r="108" spans="1:25" ht="15.6" x14ac:dyDescent="0.3">
      <c r="A108" s="340" t="s">
        <v>150</v>
      </c>
      <c r="B108" s="288" t="s">
        <v>184</v>
      </c>
      <c r="C108" s="288"/>
      <c r="D108" s="288"/>
      <c r="E108" s="288"/>
      <c r="F108" s="288"/>
      <c r="G108" s="288"/>
      <c r="H108" s="288"/>
      <c r="I108" s="288"/>
      <c r="J108" s="288"/>
      <c r="K108" s="288"/>
      <c r="L108" s="288"/>
      <c r="M108" s="288"/>
      <c r="N108" s="288"/>
      <c r="O108" s="288"/>
      <c r="P108" s="288"/>
      <c r="Q108" s="288"/>
      <c r="R108" s="288"/>
      <c r="S108" s="288"/>
      <c r="T108" s="288"/>
      <c r="U108" s="288"/>
      <c r="V108" s="338">
        <v>-139</v>
      </c>
      <c r="W108" s="291"/>
      <c r="X108" s="5"/>
      <c r="Y108" s="109"/>
    </row>
    <row r="109" spans="1:25" ht="15.6" x14ac:dyDescent="0.3">
      <c r="A109" s="340" t="s">
        <v>236</v>
      </c>
      <c r="B109" s="288" t="s">
        <v>238</v>
      </c>
      <c r="C109" s="288"/>
      <c r="D109" s="288"/>
      <c r="E109" s="288"/>
      <c r="F109" s="288"/>
      <c r="G109" s="288"/>
      <c r="H109" s="288"/>
      <c r="I109" s="288"/>
      <c r="J109" s="288"/>
      <c r="K109" s="288"/>
      <c r="L109" s="288"/>
      <c r="M109" s="288"/>
      <c r="N109" s="288"/>
      <c r="O109" s="288"/>
      <c r="P109" s="288"/>
      <c r="Q109" s="288"/>
      <c r="R109" s="288"/>
      <c r="S109" s="288"/>
      <c r="T109" s="288"/>
      <c r="U109" s="288"/>
      <c r="V109" s="338">
        <v>0</v>
      </c>
      <c r="W109" s="291"/>
      <c r="X109" s="5"/>
    </row>
    <row r="110" spans="1:25" ht="15.6" x14ac:dyDescent="0.3">
      <c r="A110" s="340" t="s">
        <v>205</v>
      </c>
      <c r="B110" s="288" t="s">
        <v>185</v>
      </c>
      <c r="C110" s="288"/>
      <c r="D110" s="288"/>
      <c r="E110" s="288"/>
      <c r="F110" s="288"/>
      <c r="G110" s="288"/>
      <c r="H110" s="288"/>
      <c r="I110" s="288"/>
      <c r="J110" s="288"/>
      <c r="K110" s="288"/>
      <c r="L110" s="288"/>
      <c r="M110" s="288"/>
      <c r="N110" s="288"/>
      <c r="O110" s="288"/>
      <c r="P110" s="288"/>
      <c r="Q110" s="288"/>
      <c r="R110" s="288"/>
      <c r="S110" s="288"/>
      <c r="T110" s="288"/>
      <c r="U110" s="288"/>
      <c r="V110" s="338">
        <v>-152</v>
      </c>
      <c r="W110" s="291"/>
      <c r="X110" s="5"/>
      <c r="Y110" s="109"/>
    </row>
    <row r="111" spans="1:25" ht="15.6" x14ac:dyDescent="0.3">
      <c r="A111" s="340" t="s">
        <v>206</v>
      </c>
      <c r="B111" s="288" t="s">
        <v>186</v>
      </c>
      <c r="C111" s="288"/>
      <c r="D111" s="288"/>
      <c r="E111" s="288"/>
      <c r="F111" s="288"/>
      <c r="G111" s="288"/>
      <c r="H111" s="288"/>
      <c r="I111" s="288"/>
      <c r="J111" s="288"/>
      <c r="K111" s="288"/>
      <c r="L111" s="288"/>
      <c r="M111" s="288"/>
      <c r="N111" s="288"/>
      <c r="O111" s="288"/>
      <c r="P111" s="288"/>
      <c r="Q111" s="288"/>
      <c r="R111" s="288"/>
      <c r="S111" s="288"/>
      <c r="T111" s="288"/>
      <c r="U111" s="288"/>
      <c r="V111" s="338">
        <v>-122</v>
      </c>
      <c r="W111" s="291"/>
      <c r="X111" s="179"/>
      <c r="Y111" s="109"/>
    </row>
    <row r="112" spans="1:25" ht="15.6" x14ac:dyDescent="0.3">
      <c r="A112" s="340" t="s">
        <v>207</v>
      </c>
      <c r="B112" s="288" t="s">
        <v>196</v>
      </c>
      <c r="C112" s="288"/>
      <c r="D112" s="288"/>
      <c r="E112" s="288"/>
      <c r="F112" s="288"/>
      <c r="G112" s="288"/>
      <c r="H112" s="288"/>
      <c r="I112" s="288"/>
      <c r="J112" s="288"/>
      <c r="K112" s="288"/>
      <c r="L112" s="288"/>
      <c r="M112" s="288"/>
      <c r="N112" s="288"/>
      <c r="O112" s="288"/>
      <c r="P112" s="288"/>
      <c r="Q112" s="288"/>
      <c r="R112" s="288"/>
      <c r="S112" s="288"/>
      <c r="T112" s="288"/>
      <c r="U112" s="288"/>
      <c r="V112" s="338">
        <v>-336</v>
      </c>
      <c r="W112" s="291"/>
      <c r="X112" s="5"/>
      <c r="Y112" s="109"/>
    </row>
    <row r="113" spans="1:25" ht="15.6" x14ac:dyDescent="0.3">
      <c r="A113" s="340" t="s">
        <v>224</v>
      </c>
      <c r="B113" s="288" t="s">
        <v>223</v>
      </c>
      <c r="C113" s="288"/>
      <c r="D113" s="288"/>
      <c r="E113" s="288"/>
      <c r="F113" s="288"/>
      <c r="G113" s="288"/>
      <c r="H113" s="288"/>
      <c r="I113" s="288"/>
      <c r="J113" s="288"/>
      <c r="K113" s="288"/>
      <c r="L113" s="288"/>
      <c r="M113" s="288"/>
      <c r="N113" s="288"/>
      <c r="O113" s="288"/>
      <c r="P113" s="288"/>
      <c r="Q113" s="288"/>
      <c r="R113" s="288"/>
      <c r="S113" s="288"/>
      <c r="T113" s="288"/>
      <c r="U113" s="288"/>
      <c r="V113" s="338">
        <v>-67</v>
      </c>
      <c r="W113" s="291"/>
      <c r="X113" s="5"/>
      <c r="Y113" s="109"/>
    </row>
    <row r="114" spans="1:25" ht="15.6" x14ac:dyDescent="0.3">
      <c r="A114" s="340">
        <v>7</v>
      </c>
      <c r="B114" s="288" t="s">
        <v>35</v>
      </c>
      <c r="C114" s="288"/>
      <c r="D114" s="288"/>
      <c r="E114" s="288"/>
      <c r="F114" s="288"/>
      <c r="G114" s="288"/>
      <c r="H114" s="288"/>
      <c r="I114" s="288"/>
      <c r="J114" s="288"/>
      <c r="K114" s="288"/>
      <c r="L114" s="288"/>
      <c r="M114" s="288"/>
      <c r="N114" s="288"/>
      <c r="O114" s="288"/>
      <c r="P114" s="288"/>
      <c r="Q114" s="288"/>
      <c r="R114" s="288"/>
      <c r="S114" s="288"/>
      <c r="T114" s="288"/>
      <c r="U114" s="288"/>
      <c r="V114" s="338">
        <v>-31</v>
      </c>
      <c r="W114" s="291"/>
      <c r="X114" s="5"/>
    </row>
    <row r="115" spans="1:25" ht="15.6" x14ac:dyDescent="0.3">
      <c r="A115" s="340">
        <f t="shared" ref="A115:A121" si="0">+A114+1</f>
        <v>8</v>
      </c>
      <c r="B115" s="288" t="s">
        <v>45</v>
      </c>
      <c r="C115" s="288"/>
      <c r="D115" s="288"/>
      <c r="E115" s="288"/>
      <c r="F115" s="288"/>
      <c r="G115" s="288"/>
      <c r="H115" s="288"/>
      <c r="I115" s="288"/>
      <c r="J115" s="288"/>
      <c r="K115" s="288"/>
      <c r="L115" s="288"/>
      <c r="M115" s="288"/>
      <c r="N115" s="288"/>
      <c r="O115" s="288"/>
      <c r="P115" s="288"/>
      <c r="Q115" s="288"/>
      <c r="R115" s="288"/>
      <c r="S115" s="288"/>
      <c r="T115" s="337">
        <f>-V115</f>
        <v>226</v>
      </c>
      <c r="U115" s="288"/>
      <c r="V115" s="338">
        <v>-226</v>
      </c>
      <c r="W115" s="291"/>
      <c r="X115" s="5"/>
    </row>
    <row r="116" spans="1:25" ht="15.6" x14ac:dyDescent="0.3">
      <c r="A116" s="340">
        <f t="shared" si="0"/>
        <v>9</v>
      </c>
      <c r="B116" s="288" t="s">
        <v>125</v>
      </c>
      <c r="C116" s="288"/>
      <c r="D116" s="288"/>
      <c r="E116" s="288"/>
      <c r="F116" s="288"/>
      <c r="G116" s="288"/>
      <c r="H116" s="288"/>
      <c r="I116" s="288"/>
      <c r="J116" s="288"/>
      <c r="K116" s="288"/>
      <c r="L116" s="288"/>
      <c r="M116" s="288"/>
      <c r="N116" s="288"/>
      <c r="O116" s="288"/>
      <c r="P116" s="288"/>
      <c r="Q116" s="288"/>
      <c r="R116" s="288"/>
      <c r="S116" s="288"/>
      <c r="T116" s="288"/>
      <c r="U116" s="288"/>
      <c r="V116" s="338">
        <v>0</v>
      </c>
      <c r="W116" s="291"/>
      <c r="X116" s="5"/>
    </row>
    <row r="117" spans="1:25" ht="15.6" x14ac:dyDescent="0.3">
      <c r="A117" s="340">
        <f t="shared" si="0"/>
        <v>10</v>
      </c>
      <c r="B117" s="288" t="s">
        <v>240</v>
      </c>
      <c r="C117" s="288"/>
      <c r="D117" s="288"/>
      <c r="E117" s="288"/>
      <c r="F117" s="288"/>
      <c r="G117" s="288"/>
      <c r="H117" s="288"/>
      <c r="I117" s="288"/>
      <c r="J117" s="288"/>
      <c r="K117" s="288"/>
      <c r="L117" s="288"/>
      <c r="M117" s="288"/>
      <c r="N117" s="288"/>
      <c r="O117" s="288"/>
      <c r="P117" s="288"/>
      <c r="Q117" s="288"/>
      <c r="R117" s="288"/>
      <c r="S117" s="288"/>
      <c r="T117" s="288"/>
      <c r="U117" s="288"/>
      <c r="V117" s="338">
        <v>0</v>
      </c>
      <c r="W117" s="291"/>
      <c r="X117" s="5"/>
    </row>
    <row r="118" spans="1:25" ht="15.6" x14ac:dyDescent="0.3">
      <c r="A118" s="340">
        <f t="shared" si="0"/>
        <v>11</v>
      </c>
      <c r="B118" s="288" t="s">
        <v>36</v>
      </c>
      <c r="C118" s="288"/>
      <c r="D118" s="288"/>
      <c r="E118" s="288"/>
      <c r="F118" s="288"/>
      <c r="G118" s="288"/>
      <c r="H118" s="288"/>
      <c r="I118" s="288"/>
      <c r="J118" s="288"/>
      <c r="K118" s="288"/>
      <c r="L118" s="288"/>
      <c r="M118" s="288"/>
      <c r="N118" s="288"/>
      <c r="O118" s="288"/>
      <c r="P118" s="288"/>
      <c r="Q118" s="288"/>
      <c r="R118" s="288"/>
      <c r="S118" s="288"/>
      <c r="T118" s="288"/>
      <c r="U118" s="288"/>
      <c r="V118" s="338">
        <v>0</v>
      </c>
      <c r="W118" s="291"/>
      <c r="X118" s="5"/>
    </row>
    <row r="119" spans="1:25" ht="15.6" x14ac:dyDescent="0.3">
      <c r="A119" s="340">
        <f t="shared" si="0"/>
        <v>12</v>
      </c>
      <c r="B119" s="288" t="s">
        <v>239</v>
      </c>
      <c r="C119" s="288"/>
      <c r="D119" s="288"/>
      <c r="E119" s="288"/>
      <c r="F119" s="288"/>
      <c r="G119" s="288"/>
      <c r="H119" s="288"/>
      <c r="I119" s="288"/>
      <c r="J119" s="288"/>
      <c r="K119" s="288"/>
      <c r="L119" s="288"/>
      <c r="M119" s="288"/>
      <c r="N119" s="288"/>
      <c r="O119" s="288"/>
      <c r="P119" s="288"/>
      <c r="Q119" s="288"/>
      <c r="R119" s="288"/>
      <c r="S119" s="288"/>
      <c r="T119" s="288"/>
      <c r="U119" s="288"/>
      <c r="V119" s="338">
        <v>0</v>
      </c>
      <c r="W119" s="291"/>
      <c r="X119" s="5"/>
    </row>
    <row r="120" spans="1:25" ht="15.6" x14ac:dyDescent="0.3">
      <c r="A120" s="340">
        <f t="shared" si="0"/>
        <v>13</v>
      </c>
      <c r="B120" s="288" t="s">
        <v>149</v>
      </c>
      <c r="C120" s="288"/>
      <c r="D120" s="288"/>
      <c r="E120" s="288"/>
      <c r="F120" s="288"/>
      <c r="G120" s="288"/>
      <c r="H120" s="288"/>
      <c r="I120" s="288"/>
      <c r="J120" s="288"/>
      <c r="K120" s="288"/>
      <c r="L120" s="288"/>
      <c r="M120" s="288"/>
      <c r="N120" s="288"/>
      <c r="O120" s="288"/>
      <c r="P120" s="288"/>
      <c r="Q120" s="288"/>
      <c r="R120" s="288"/>
      <c r="S120" s="288"/>
      <c r="T120" s="288"/>
      <c r="U120" s="288"/>
      <c r="V120" s="338">
        <f>-606</f>
        <v>-606</v>
      </c>
      <c r="W120" s="291"/>
      <c r="X120" s="5"/>
    </row>
    <row r="121" spans="1:25" ht="15.6" x14ac:dyDescent="0.3">
      <c r="A121" s="340">
        <f t="shared" si="0"/>
        <v>14</v>
      </c>
      <c r="B121" s="288" t="s">
        <v>126</v>
      </c>
      <c r="C121" s="288"/>
      <c r="D121" s="288"/>
      <c r="E121" s="288"/>
      <c r="F121" s="288"/>
      <c r="G121" s="288"/>
      <c r="H121" s="288"/>
      <c r="I121" s="288"/>
      <c r="J121" s="288"/>
      <c r="K121" s="288"/>
      <c r="L121" s="288"/>
      <c r="M121" s="288"/>
      <c r="N121" s="288"/>
      <c r="O121" s="288"/>
      <c r="P121" s="288"/>
      <c r="Q121" s="288"/>
      <c r="R121" s="288"/>
      <c r="S121" s="288"/>
      <c r="T121" s="288"/>
      <c r="U121" s="288"/>
      <c r="V121" s="338">
        <f>-V101-SUM(V103:V120)</f>
        <v>-2724</v>
      </c>
      <c r="W121" s="291"/>
      <c r="X121" s="5"/>
    </row>
    <row r="122" spans="1:25" ht="15.6" x14ac:dyDescent="0.3">
      <c r="A122" s="287"/>
      <c r="B122" s="343" t="s">
        <v>37</v>
      </c>
      <c r="C122" s="314"/>
      <c r="D122" s="314"/>
      <c r="E122" s="314"/>
      <c r="F122" s="314"/>
      <c r="G122" s="314"/>
      <c r="H122" s="314"/>
      <c r="I122" s="314"/>
      <c r="J122" s="314"/>
      <c r="K122" s="314"/>
      <c r="L122" s="314"/>
      <c r="M122" s="314"/>
      <c r="N122" s="314"/>
      <c r="O122" s="314"/>
      <c r="P122" s="314"/>
      <c r="Q122" s="314"/>
      <c r="R122" s="314"/>
      <c r="S122" s="314"/>
      <c r="T122" s="314"/>
      <c r="U122" s="314"/>
      <c r="V122" s="346"/>
      <c r="W122" s="318"/>
      <c r="X122" s="5"/>
    </row>
    <row r="123" spans="1:25" ht="15.6" x14ac:dyDescent="0.3">
      <c r="A123" s="340"/>
      <c r="B123" s="288" t="s">
        <v>173</v>
      </c>
      <c r="C123" s="288"/>
      <c r="D123" s="288"/>
      <c r="E123" s="288"/>
      <c r="F123" s="288"/>
      <c r="G123" s="288"/>
      <c r="H123" s="288"/>
      <c r="I123" s="288"/>
      <c r="J123" s="288"/>
      <c r="K123" s="288"/>
      <c r="L123" s="288"/>
      <c r="M123" s="288"/>
      <c r="N123" s="288"/>
      <c r="O123" s="288"/>
      <c r="P123" s="288"/>
      <c r="Q123" s="288"/>
      <c r="R123" s="288"/>
      <c r="S123" s="288"/>
      <c r="T123" s="337">
        <f>-T189</f>
        <v>0</v>
      </c>
      <c r="U123" s="337"/>
      <c r="V123" s="338"/>
      <c r="W123" s="291"/>
      <c r="X123" s="5"/>
    </row>
    <row r="124" spans="1:25" ht="15.6" x14ac:dyDescent="0.3">
      <c r="A124" s="340"/>
      <c r="B124" s="288" t="s">
        <v>174</v>
      </c>
      <c r="C124" s="288"/>
      <c r="D124" s="288"/>
      <c r="E124" s="288"/>
      <c r="F124" s="288"/>
      <c r="G124" s="288"/>
      <c r="H124" s="288"/>
      <c r="I124" s="288"/>
      <c r="J124" s="288"/>
      <c r="K124" s="288"/>
      <c r="L124" s="288"/>
      <c r="M124" s="288"/>
      <c r="N124" s="288"/>
      <c r="O124" s="288"/>
      <c r="P124" s="288"/>
      <c r="Q124" s="288"/>
      <c r="R124" s="288"/>
      <c r="S124" s="288"/>
      <c r="T124" s="337">
        <v>0</v>
      </c>
      <c r="U124" s="337"/>
      <c r="V124" s="338"/>
      <c r="W124" s="291"/>
      <c r="X124" s="5"/>
    </row>
    <row r="125" spans="1:25" ht="15.6" x14ac:dyDescent="0.3">
      <c r="A125" s="340"/>
      <c r="B125" s="288" t="s">
        <v>38</v>
      </c>
      <c r="C125" s="288"/>
      <c r="D125" s="288"/>
      <c r="E125" s="288"/>
      <c r="F125" s="288"/>
      <c r="G125" s="288"/>
      <c r="H125" s="288"/>
      <c r="I125" s="288"/>
      <c r="J125" s="288"/>
      <c r="K125" s="288"/>
      <c r="L125" s="288"/>
      <c r="M125" s="288"/>
      <c r="N125" s="288"/>
      <c r="O125" s="288"/>
      <c r="P125" s="288"/>
      <c r="Q125" s="288"/>
      <c r="R125" s="288"/>
      <c r="S125" s="288"/>
      <c r="T125" s="337">
        <f>-S189</f>
        <v>-145</v>
      </c>
      <c r="U125" s="337"/>
      <c r="V125" s="338"/>
      <c r="W125" s="291"/>
      <c r="X125" s="5"/>
    </row>
    <row r="126" spans="1:25" ht="15.6" x14ac:dyDescent="0.3">
      <c r="A126" s="340"/>
      <c r="B126" s="288" t="s">
        <v>197</v>
      </c>
      <c r="C126" s="288"/>
      <c r="D126" s="288"/>
      <c r="E126" s="288"/>
      <c r="F126" s="288"/>
      <c r="G126" s="288"/>
      <c r="H126" s="288"/>
      <c r="I126" s="288"/>
      <c r="J126" s="288"/>
      <c r="K126" s="288"/>
      <c r="L126" s="288"/>
      <c r="M126" s="288"/>
      <c r="N126" s="288"/>
      <c r="O126" s="288"/>
      <c r="P126" s="288"/>
      <c r="Q126" s="288"/>
      <c r="R126" s="288"/>
      <c r="S126" s="288"/>
      <c r="T126" s="337">
        <v>-9885</v>
      </c>
      <c r="U126" s="337"/>
      <c r="V126" s="338"/>
      <c r="W126" s="291"/>
      <c r="X126" s="5"/>
    </row>
    <row r="127" spans="1:25" ht="15.6" x14ac:dyDescent="0.3">
      <c r="A127" s="340"/>
      <c r="B127" s="288" t="s">
        <v>195</v>
      </c>
      <c r="C127" s="288"/>
      <c r="D127" s="288"/>
      <c r="E127" s="288"/>
      <c r="F127" s="288"/>
      <c r="G127" s="288"/>
      <c r="H127" s="288"/>
      <c r="I127" s="288"/>
      <c r="J127" s="288"/>
      <c r="K127" s="288"/>
      <c r="L127" s="288"/>
      <c r="M127" s="288"/>
      <c r="N127" s="288"/>
      <c r="O127" s="288"/>
      <c r="P127" s="288"/>
      <c r="Q127" s="288"/>
      <c r="R127" s="288"/>
      <c r="S127" s="288"/>
      <c r="T127" s="337">
        <v>-1594</v>
      </c>
      <c r="U127" s="337"/>
      <c r="V127" s="338"/>
      <c r="W127" s="291"/>
      <c r="X127" s="5"/>
    </row>
    <row r="128" spans="1:25" ht="15.6" x14ac:dyDescent="0.3">
      <c r="A128" s="340"/>
      <c r="B128" s="288" t="s">
        <v>194</v>
      </c>
      <c r="C128" s="288"/>
      <c r="D128" s="288"/>
      <c r="E128" s="288"/>
      <c r="F128" s="288"/>
      <c r="G128" s="288"/>
      <c r="H128" s="288"/>
      <c r="I128" s="288"/>
      <c r="J128" s="288"/>
      <c r="K128" s="288"/>
      <c r="L128" s="288"/>
      <c r="M128" s="288"/>
      <c r="N128" s="288"/>
      <c r="O128" s="288"/>
      <c r="P128" s="288"/>
      <c r="Q128" s="288"/>
      <c r="R128" s="288"/>
      <c r="S128" s="288"/>
      <c r="T128" s="337">
        <v>-2144</v>
      </c>
      <c r="U128" s="337"/>
      <c r="V128" s="338"/>
      <c r="W128" s="291"/>
      <c r="X128" s="5"/>
    </row>
    <row r="129" spans="1:24" ht="15.6" x14ac:dyDescent="0.3">
      <c r="A129" s="340"/>
      <c r="B129" s="288" t="s">
        <v>226</v>
      </c>
      <c r="C129" s="288"/>
      <c r="D129" s="288"/>
      <c r="E129" s="288"/>
      <c r="F129" s="288"/>
      <c r="G129" s="288"/>
      <c r="H129" s="288"/>
      <c r="I129" s="288"/>
      <c r="J129" s="288"/>
      <c r="K129" s="288"/>
      <c r="L129" s="288"/>
      <c r="M129" s="288"/>
      <c r="N129" s="288"/>
      <c r="O129" s="288"/>
      <c r="P129" s="288"/>
      <c r="Q129" s="288"/>
      <c r="R129" s="288"/>
      <c r="S129" s="288"/>
      <c r="T129" s="337">
        <v>-2636</v>
      </c>
      <c r="U129" s="337"/>
      <c r="V129" s="338"/>
      <c r="W129" s="291"/>
      <c r="X129" s="5"/>
    </row>
    <row r="130" spans="1:24" ht="15.6" x14ac:dyDescent="0.3">
      <c r="A130" s="340"/>
      <c r="B130" s="288" t="s">
        <v>189</v>
      </c>
      <c r="C130" s="288"/>
      <c r="D130" s="288"/>
      <c r="E130" s="288"/>
      <c r="F130" s="288"/>
      <c r="G130" s="288"/>
      <c r="H130" s="288"/>
      <c r="I130" s="288"/>
      <c r="J130" s="288"/>
      <c r="K130" s="288"/>
      <c r="L130" s="288"/>
      <c r="M130" s="288"/>
      <c r="N130" s="288"/>
      <c r="O130" s="288"/>
      <c r="P130" s="288"/>
      <c r="Q130" s="288"/>
      <c r="R130" s="288"/>
      <c r="S130" s="288"/>
      <c r="T130" s="337">
        <v>0</v>
      </c>
      <c r="U130" s="337"/>
      <c r="V130" s="338"/>
      <c r="W130" s="291"/>
      <c r="X130" s="5"/>
    </row>
    <row r="131" spans="1:24" ht="15.6" x14ac:dyDescent="0.3">
      <c r="A131" s="340"/>
      <c r="B131" s="288" t="s">
        <v>188</v>
      </c>
      <c r="C131" s="288"/>
      <c r="D131" s="288"/>
      <c r="E131" s="288"/>
      <c r="F131" s="288"/>
      <c r="G131" s="288"/>
      <c r="H131" s="288"/>
      <c r="I131" s="288"/>
      <c r="J131" s="288"/>
      <c r="K131" s="288"/>
      <c r="L131" s="288"/>
      <c r="M131" s="288"/>
      <c r="N131" s="288"/>
      <c r="O131" s="288"/>
      <c r="P131" s="288"/>
      <c r="Q131" s="288"/>
      <c r="R131" s="288"/>
      <c r="S131" s="288"/>
      <c r="T131" s="337">
        <v>0</v>
      </c>
      <c r="U131" s="337"/>
      <c r="V131" s="338"/>
      <c r="W131" s="291"/>
      <c r="X131" s="5"/>
    </row>
    <row r="132" spans="1:24" ht="15.6" x14ac:dyDescent="0.3">
      <c r="A132" s="340"/>
      <c r="B132" s="288" t="s">
        <v>227</v>
      </c>
      <c r="C132" s="288"/>
      <c r="D132" s="288"/>
      <c r="E132" s="288"/>
      <c r="F132" s="288"/>
      <c r="G132" s="288"/>
      <c r="H132" s="288"/>
      <c r="I132" s="288"/>
      <c r="J132" s="288"/>
      <c r="K132" s="288"/>
      <c r="L132" s="288"/>
      <c r="M132" s="288"/>
      <c r="N132" s="288"/>
      <c r="O132" s="288"/>
      <c r="P132" s="288"/>
      <c r="Q132" s="288"/>
      <c r="R132" s="288"/>
      <c r="S132" s="288"/>
      <c r="T132" s="337">
        <v>0</v>
      </c>
      <c r="U132" s="337"/>
      <c r="V132" s="338"/>
      <c r="W132" s="291"/>
      <c r="X132" s="5"/>
    </row>
    <row r="133" spans="1:24" ht="15.6" x14ac:dyDescent="0.3">
      <c r="A133" s="340"/>
      <c r="B133" s="288" t="s">
        <v>187</v>
      </c>
      <c r="C133" s="288"/>
      <c r="D133" s="288"/>
      <c r="E133" s="288"/>
      <c r="F133" s="288"/>
      <c r="G133" s="288"/>
      <c r="H133" s="288"/>
      <c r="I133" s="288"/>
      <c r="J133" s="288"/>
      <c r="K133" s="288"/>
      <c r="L133" s="288"/>
      <c r="M133" s="288"/>
      <c r="N133" s="288"/>
      <c r="O133" s="288"/>
      <c r="P133" s="288"/>
      <c r="Q133" s="288"/>
      <c r="R133" s="288"/>
      <c r="S133" s="288"/>
      <c r="T133" s="337">
        <v>0</v>
      </c>
      <c r="U133" s="337"/>
      <c r="V133" s="338"/>
      <c r="W133" s="291"/>
      <c r="X133" s="5"/>
    </row>
    <row r="134" spans="1:24" ht="15.6" x14ac:dyDescent="0.3">
      <c r="A134" s="340"/>
      <c r="B134" s="288" t="s">
        <v>39</v>
      </c>
      <c r="C134" s="288"/>
      <c r="D134" s="288"/>
      <c r="E134" s="288"/>
      <c r="F134" s="288"/>
      <c r="G134" s="288"/>
      <c r="H134" s="288"/>
      <c r="I134" s="288"/>
      <c r="J134" s="288"/>
      <c r="K134" s="288"/>
      <c r="L134" s="288"/>
      <c r="M134" s="288"/>
      <c r="N134" s="288"/>
      <c r="O134" s="288"/>
      <c r="P134" s="288"/>
      <c r="Q134" s="288"/>
      <c r="R134" s="288"/>
      <c r="S134" s="288"/>
      <c r="T134" s="337">
        <f>SUM(T123:T133)</f>
        <v>-16404</v>
      </c>
      <c r="U134" s="337"/>
      <c r="V134" s="337">
        <f>SUM(V102:V131)</f>
        <v>-6029</v>
      </c>
      <c r="W134" s="291"/>
      <c r="X134" s="5"/>
    </row>
    <row r="135" spans="1:24" ht="15.6" x14ac:dyDescent="0.3">
      <c r="A135" s="340"/>
      <c r="B135" s="288" t="s">
        <v>40</v>
      </c>
      <c r="C135" s="288"/>
      <c r="D135" s="288"/>
      <c r="E135" s="288"/>
      <c r="F135" s="288"/>
      <c r="G135" s="288"/>
      <c r="H135" s="288"/>
      <c r="I135" s="288"/>
      <c r="J135" s="288"/>
      <c r="K135" s="288"/>
      <c r="L135" s="288"/>
      <c r="M135" s="288"/>
      <c r="N135" s="288"/>
      <c r="O135" s="288"/>
      <c r="P135" s="288"/>
      <c r="Q135" s="288"/>
      <c r="R135" s="288"/>
      <c r="S135" s="288"/>
      <c r="T135" s="337">
        <f>T101+T134+T115</f>
        <v>0</v>
      </c>
      <c r="U135" s="337"/>
      <c r="V135" s="337">
        <f>V101+V134</f>
        <v>0</v>
      </c>
      <c r="W135" s="291"/>
      <c r="X135" s="5"/>
    </row>
    <row r="136" spans="1:24" ht="15.6" x14ac:dyDescent="0.3">
      <c r="A136" s="243"/>
      <c r="B136" s="284"/>
      <c r="C136" s="284"/>
      <c r="D136" s="284"/>
      <c r="E136" s="284"/>
      <c r="F136" s="284"/>
      <c r="G136" s="284"/>
      <c r="H136" s="284"/>
      <c r="I136" s="284"/>
      <c r="J136" s="284"/>
      <c r="K136" s="284"/>
      <c r="L136" s="284"/>
      <c r="M136" s="284"/>
      <c r="N136" s="284"/>
      <c r="O136" s="284"/>
      <c r="P136" s="284"/>
      <c r="Q136" s="284"/>
      <c r="R136" s="284"/>
      <c r="S136" s="284"/>
      <c r="T136" s="339"/>
      <c r="U136" s="339"/>
      <c r="V136" s="339"/>
      <c r="W136" s="284"/>
      <c r="X136" s="5"/>
    </row>
    <row r="137" spans="1:24" ht="15.6" x14ac:dyDescent="0.3">
      <c r="A137" s="243"/>
      <c r="B137" s="224"/>
      <c r="C137" s="224"/>
      <c r="D137" s="224"/>
      <c r="E137" s="224"/>
      <c r="F137" s="224"/>
      <c r="G137" s="224"/>
      <c r="H137" s="224"/>
      <c r="I137" s="224"/>
      <c r="J137" s="224"/>
      <c r="K137" s="224"/>
      <c r="L137" s="224"/>
      <c r="M137" s="224"/>
      <c r="N137" s="224"/>
      <c r="O137" s="224"/>
      <c r="P137" s="224"/>
      <c r="Q137" s="224"/>
      <c r="R137" s="224"/>
      <c r="S137" s="224"/>
      <c r="T137" s="224"/>
      <c r="U137" s="224"/>
      <c r="V137" s="244"/>
      <c r="W137" s="224"/>
      <c r="X137" s="5"/>
    </row>
    <row r="138" spans="1:24" ht="18" thickBot="1" x14ac:dyDescent="0.35">
      <c r="A138" s="245"/>
      <c r="B138" s="237" t="str">
        <f>B64</f>
        <v>PM14 INVESTOR REPORT QUARTER ENDING AUGUST 2016</v>
      </c>
      <c r="C138" s="238"/>
      <c r="D138" s="238"/>
      <c r="E138" s="238"/>
      <c r="F138" s="238"/>
      <c r="G138" s="238"/>
      <c r="H138" s="238"/>
      <c r="I138" s="238"/>
      <c r="J138" s="238"/>
      <c r="K138" s="238"/>
      <c r="L138" s="238"/>
      <c r="M138" s="238"/>
      <c r="N138" s="238"/>
      <c r="O138" s="238"/>
      <c r="P138" s="238"/>
      <c r="Q138" s="238"/>
      <c r="R138" s="238"/>
      <c r="S138" s="238"/>
      <c r="T138" s="238"/>
      <c r="U138" s="238"/>
      <c r="V138" s="246"/>
      <c r="W138" s="240"/>
      <c r="X138" s="5"/>
    </row>
    <row r="139" spans="1:24" ht="15.6" x14ac:dyDescent="0.3">
      <c r="A139" s="273"/>
      <c r="B139" s="403" t="s">
        <v>41</v>
      </c>
      <c r="C139" s="274"/>
      <c r="D139" s="274"/>
      <c r="E139" s="274"/>
      <c r="F139" s="274"/>
      <c r="G139" s="274"/>
      <c r="H139" s="274"/>
      <c r="I139" s="274"/>
      <c r="J139" s="274"/>
      <c r="K139" s="274"/>
      <c r="L139" s="274"/>
      <c r="M139" s="274"/>
      <c r="N139" s="274"/>
      <c r="O139" s="274"/>
      <c r="P139" s="274"/>
      <c r="Q139" s="274"/>
      <c r="R139" s="274"/>
      <c r="S139" s="274"/>
      <c r="T139" s="274"/>
      <c r="U139" s="274"/>
      <c r="V139" s="275"/>
      <c r="W139" s="274"/>
      <c r="X139" s="5"/>
    </row>
    <row r="140" spans="1:24" ht="15.6" x14ac:dyDescent="0.3">
      <c r="A140" s="183"/>
      <c r="B140" s="195"/>
      <c r="C140" s="185"/>
      <c r="D140" s="185"/>
      <c r="E140" s="185"/>
      <c r="F140" s="185"/>
      <c r="G140" s="185"/>
      <c r="H140" s="185"/>
      <c r="I140" s="185"/>
      <c r="J140" s="185"/>
      <c r="K140" s="185"/>
      <c r="L140" s="185"/>
      <c r="M140" s="185"/>
      <c r="N140" s="185"/>
      <c r="O140" s="185"/>
      <c r="P140" s="185"/>
      <c r="Q140" s="185"/>
      <c r="R140" s="185"/>
      <c r="S140" s="185"/>
      <c r="T140" s="185"/>
      <c r="U140" s="185"/>
      <c r="V140" s="201"/>
      <c r="W140" s="185"/>
      <c r="X140" s="5"/>
    </row>
    <row r="141" spans="1:24" ht="15.6" x14ac:dyDescent="0.3">
      <c r="A141" s="183"/>
      <c r="B141" s="208" t="s">
        <v>42</v>
      </c>
      <c r="C141" s="185"/>
      <c r="D141" s="185"/>
      <c r="E141" s="185"/>
      <c r="F141" s="185"/>
      <c r="G141" s="185"/>
      <c r="H141" s="185"/>
      <c r="I141" s="185"/>
      <c r="J141" s="185"/>
      <c r="K141" s="185"/>
      <c r="L141" s="185"/>
      <c r="M141" s="185"/>
      <c r="N141" s="185"/>
      <c r="O141" s="185"/>
      <c r="P141" s="185"/>
      <c r="Q141" s="185"/>
      <c r="R141" s="185"/>
      <c r="S141" s="185"/>
      <c r="T141" s="185"/>
      <c r="U141" s="185"/>
      <c r="V141" s="201"/>
      <c r="W141" s="185"/>
      <c r="X141" s="5"/>
    </row>
    <row r="142" spans="1:24" ht="15.6" x14ac:dyDescent="0.3">
      <c r="A142" s="287"/>
      <c r="B142" s="288" t="s">
        <v>43</v>
      </c>
      <c r="C142" s="288"/>
      <c r="D142" s="288"/>
      <c r="E142" s="288"/>
      <c r="F142" s="288"/>
      <c r="G142" s="288"/>
      <c r="H142" s="288"/>
      <c r="I142" s="288"/>
      <c r="J142" s="288"/>
      <c r="K142" s="288"/>
      <c r="L142" s="288"/>
      <c r="M142" s="288"/>
      <c r="N142" s="288"/>
      <c r="O142" s="288"/>
      <c r="P142" s="288"/>
      <c r="Q142" s="288"/>
      <c r="R142" s="288"/>
      <c r="S142" s="288"/>
      <c r="T142" s="288"/>
      <c r="U142" s="288"/>
      <c r="V142" s="338">
        <f>+V34*0.019</f>
        <v>28505.224999999999</v>
      </c>
      <c r="W142" s="291"/>
      <c r="X142" s="5"/>
    </row>
    <row r="143" spans="1:24" ht="15.6" x14ac:dyDescent="0.3">
      <c r="A143" s="287"/>
      <c r="B143" s="288" t="s">
        <v>44</v>
      </c>
      <c r="C143" s="288"/>
      <c r="D143" s="288"/>
      <c r="E143" s="288"/>
      <c r="F143" s="288"/>
      <c r="G143" s="288"/>
      <c r="H143" s="288"/>
      <c r="I143" s="288"/>
      <c r="J143" s="288"/>
      <c r="K143" s="288"/>
      <c r="L143" s="288"/>
      <c r="M143" s="288"/>
      <c r="N143" s="288"/>
      <c r="O143" s="288"/>
      <c r="P143" s="288"/>
      <c r="Q143" s="288"/>
      <c r="R143" s="288"/>
      <c r="S143" s="288"/>
      <c r="T143" s="288"/>
      <c r="U143" s="288"/>
      <c r="V143" s="338">
        <v>28505</v>
      </c>
      <c r="W143" s="291"/>
      <c r="X143" s="5"/>
    </row>
    <row r="144" spans="1:24" ht="15.6" x14ac:dyDescent="0.3">
      <c r="A144" s="287"/>
      <c r="B144" s="288" t="s">
        <v>136</v>
      </c>
      <c r="C144" s="288"/>
      <c r="D144" s="288"/>
      <c r="E144" s="288"/>
      <c r="F144" s="288"/>
      <c r="G144" s="288"/>
      <c r="H144" s="288"/>
      <c r="I144" s="288"/>
      <c r="J144" s="288"/>
      <c r="K144" s="288"/>
      <c r="L144" s="288"/>
      <c r="M144" s="288"/>
      <c r="N144" s="288"/>
      <c r="O144" s="288"/>
      <c r="P144" s="288"/>
      <c r="Q144" s="288"/>
      <c r="R144" s="288"/>
      <c r="S144" s="288"/>
      <c r="T144" s="288"/>
      <c r="U144" s="288"/>
      <c r="V144" s="338"/>
      <c r="W144" s="291"/>
      <c r="X144" s="5"/>
    </row>
    <row r="145" spans="1:25" ht="15.6" x14ac:dyDescent="0.3">
      <c r="A145" s="287"/>
      <c r="B145" s="288" t="s">
        <v>123</v>
      </c>
      <c r="C145" s="288"/>
      <c r="D145" s="288"/>
      <c r="E145" s="288"/>
      <c r="F145" s="288"/>
      <c r="G145" s="288"/>
      <c r="H145" s="288"/>
      <c r="I145" s="288"/>
      <c r="J145" s="288"/>
      <c r="K145" s="288"/>
      <c r="L145" s="288"/>
      <c r="M145" s="288"/>
      <c r="N145" s="288"/>
      <c r="O145" s="288"/>
      <c r="P145" s="288"/>
      <c r="Q145" s="288"/>
      <c r="R145" s="288"/>
      <c r="S145" s="288"/>
      <c r="T145" s="288"/>
      <c r="U145" s="288"/>
      <c r="V145" s="338">
        <v>0</v>
      </c>
      <c r="W145" s="291"/>
      <c r="X145" s="5"/>
    </row>
    <row r="146" spans="1:25" ht="15.6" x14ac:dyDescent="0.3">
      <c r="A146" s="287"/>
      <c r="B146" s="288" t="s">
        <v>124</v>
      </c>
      <c r="C146" s="288"/>
      <c r="D146" s="288"/>
      <c r="E146" s="288"/>
      <c r="F146" s="288"/>
      <c r="G146" s="288"/>
      <c r="H146" s="288"/>
      <c r="I146" s="288"/>
      <c r="J146" s="288"/>
      <c r="K146" s="288"/>
      <c r="L146" s="288"/>
      <c r="M146" s="288"/>
      <c r="N146" s="288"/>
      <c r="O146" s="288"/>
      <c r="P146" s="288"/>
      <c r="Q146" s="288"/>
      <c r="R146" s="288"/>
      <c r="S146" s="288"/>
      <c r="T146" s="288"/>
      <c r="U146" s="288"/>
      <c r="V146" s="338">
        <v>0</v>
      </c>
      <c r="W146" s="291"/>
      <c r="X146" s="5"/>
    </row>
    <row r="147" spans="1:25" ht="15.6" x14ac:dyDescent="0.3">
      <c r="A147" s="287"/>
      <c r="B147" s="288" t="s">
        <v>175</v>
      </c>
      <c r="C147" s="288"/>
      <c r="D147" s="288"/>
      <c r="E147" s="288"/>
      <c r="F147" s="288"/>
      <c r="G147" s="288"/>
      <c r="H147" s="288"/>
      <c r="I147" s="288"/>
      <c r="J147" s="288"/>
      <c r="K147" s="288"/>
      <c r="L147" s="288"/>
      <c r="M147" s="288"/>
      <c r="N147" s="288"/>
      <c r="O147" s="288"/>
      <c r="P147" s="288"/>
      <c r="Q147" s="288"/>
      <c r="R147" s="288"/>
      <c r="S147" s="288"/>
      <c r="T147" s="288"/>
      <c r="U147" s="288"/>
      <c r="V147" s="338">
        <v>0</v>
      </c>
      <c r="W147" s="291"/>
      <c r="X147" s="5"/>
    </row>
    <row r="148" spans="1:25" ht="15.6" x14ac:dyDescent="0.3">
      <c r="A148" s="287"/>
      <c r="B148" s="288" t="s">
        <v>45</v>
      </c>
      <c r="C148" s="288"/>
      <c r="D148" s="288"/>
      <c r="E148" s="288"/>
      <c r="F148" s="288"/>
      <c r="G148" s="288"/>
      <c r="H148" s="288"/>
      <c r="I148" s="288"/>
      <c r="J148" s="288"/>
      <c r="K148" s="288"/>
      <c r="L148" s="288"/>
      <c r="M148" s="288"/>
      <c r="N148" s="288"/>
      <c r="O148" s="288"/>
      <c r="P148" s="288"/>
      <c r="Q148" s="288"/>
      <c r="R148" s="288"/>
      <c r="S148" s="288"/>
      <c r="T148" s="288"/>
      <c r="U148" s="288"/>
      <c r="V148" s="338">
        <v>0</v>
      </c>
      <c r="W148" s="291"/>
      <c r="X148" s="5"/>
    </row>
    <row r="149" spans="1:25" ht="15.6" x14ac:dyDescent="0.3">
      <c r="A149" s="287"/>
      <c r="B149" s="288" t="s">
        <v>129</v>
      </c>
      <c r="C149" s="288"/>
      <c r="D149" s="288"/>
      <c r="E149" s="288"/>
      <c r="F149" s="288"/>
      <c r="G149" s="288"/>
      <c r="H149" s="288"/>
      <c r="I149" s="288"/>
      <c r="J149" s="288"/>
      <c r="K149" s="288"/>
      <c r="L149" s="288"/>
      <c r="M149" s="288"/>
      <c r="N149" s="288"/>
      <c r="O149" s="288"/>
      <c r="P149" s="288"/>
      <c r="Q149" s="288"/>
      <c r="R149" s="288"/>
      <c r="S149" s="288"/>
      <c r="T149" s="288"/>
      <c r="U149" s="288"/>
      <c r="V149" s="338">
        <v>0</v>
      </c>
      <c r="W149" s="291"/>
      <c r="X149" s="5"/>
    </row>
    <row r="150" spans="1:25" ht="15.6" x14ac:dyDescent="0.3">
      <c r="A150" s="287"/>
      <c r="B150" s="288" t="s">
        <v>267</v>
      </c>
      <c r="C150" s="288"/>
      <c r="D150" s="288"/>
      <c r="E150" s="288"/>
      <c r="F150" s="288"/>
      <c r="G150" s="288"/>
      <c r="H150" s="288"/>
      <c r="I150" s="288"/>
      <c r="J150" s="288"/>
      <c r="K150" s="288"/>
      <c r="L150" s="288"/>
      <c r="M150" s="288"/>
      <c r="N150" s="288"/>
      <c r="O150" s="288"/>
      <c r="P150" s="288"/>
      <c r="Q150" s="288"/>
      <c r="R150" s="288"/>
      <c r="S150" s="288"/>
      <c r="T150" s="288"/>
      <c r="U150" s="288"/>
      <c r="V150" s="338">
        <v>0</v>
      </c>
      <c r="W150" s="291"/>
      <c r="X150" s="5"/>
      <c r="Y150" s="109"/>
    </row>
    <row r="151" spans="1:25" ht="15.6" x14ac:dyDescent="0.3">
      <c r="A151" s="287"/>
      <c r="B151" s="288" t="s">
        <v>46</v>
      </c>
      <c r="C151" s="288"/>
      <c r="D151" s="288"/>
      <c r="E151" s="288"/>
      <c r="F151" s="288"/>
      <c r="G151" s="288"/>
      <c r="H151" s="288"/>
      <c r="I151" s="288"/>
      <c r="J151" s="288"/>
      <c r="K151" s="288"/>
      <c r="L151" s="288"/>
      <c r="M151" s="288"/>
      <c r="N151" s="288"/>
      <c r="O151" s="288"/>
      <c r="P151" s="288"/>
      <c r="Q151" s="288"/>
      <c r="R151" s="288"/>
      <c r="S151" s="288"/>
      <c r="T151" s="288"/>
      <c r="U151" s="288"/>
      <c r="V151" s="338">
        <f>SUM(V143:V150)</f>
        <v>28505</v>
      </c>
      <c r="W151" s="291"/>
      <c r="X151" s="5"/>
    </row>
    <row r="152" spans="1:25" ht="15.6" x14ac:dyDescent="0.3">
      <c r="A152" s="287"/>
      <c r="B152" s="314"/>
      <c r="C152" s="314"/>
      <c r="D152" s="314"/>
      <c r="E152" s="314"/>
      <c r="F152" s="314"/>
      <c r="G152" s="314"/>
      <c r="H152" s="314"/>
      <c r="I152" s="314"/>
      <c r="J152" s="314"/>
      <c r="K152" s="314"/>
      <c r="L152" s="314"/>
      <c r="M152" s="314"/>
      <c r="N152" s="314"/>
      <c r="O152" s="314"/>
      <c r="P152" s="314"/>
      <c r="Q152" s="314"/>
      <c r="R152" s="314"/>
      <c r="S152" s="314"/>
      <c r="T152" s="314"/>
      <c r="U152" s="314"/>
      <c r="V152" s="345"/>
      <c r="W152" s="318"/>
      <c r="X152" s="5"/>
    </row>
    <row r="153" spans="1:25" ht="15.6" x14ac:dyDescent="0.3">
      <c r="A153" s="287"/>
      <c r="B153" s="343" t="s">
        <v>237</v>
      </c>
      <c r="C153" s="314"/>
      <c r="D153" s="314"/>
      <c r="E153" s="314"/>
      <c r="F153" s="314"/>
      <c r="G153" s="314"/>
      <c r="H153" s="314"/>
      <c r="I153" s="314"/>
      <c r="J153" s="314"/>
      <c r="K153" s="314"/>
      <c r="L153" s="314"/>
      <c r="M153" s="314"/>
      <c r="N153" s="314"/>
      <c r="O153" s="314"/>
      <c r="P153" s="314"/>
      <c r="Q153" s="314"/>
      <c r="R153" s="314"/>
      <c r="S153" s="314"/>
      <c r="T153" s="314"/>
      <c r="U153" s="314"/>
      <c r="V153" s="345"/>
      <c r="W153" s="318"/>
      <c r="X153" s="5"/>
    </row>
    <row r="154" spans="1:25" ht="15.6" x14ac:dyDescent="0.3">
      <c r="A154" s="287"/>
      <c r="B154" s="288" t="s">
        <v>155</v>
      </c>
      <c r="C154" s="288"/>
      <c r="D154" s="288"/>
      <c r="E154" s="288"/>
      <c r="F154" s="288"/>
      <c r="G154" s="288"/>
      <c r="H154" s="288"/>
      <c r="I154" s="288"/>
      <c r="J154" s="288"/>
      <c r="K154" s="288"/>
      <c r="L154" s="288"/>
      <c r="M154" s="288"/>
      <c r="N154" s="288"/>
      <c r="O154" s="288"/>
      <c r="P154" s="288"/>
      <c r="Q154" s="288"/>
      <c r="R154" s="288"/>
      <c r="S154" s="288"/>
      <c r="T154" s="288"/>
      <c r="U154" s="288"/>
      <c r="V154" s="338">
        <v>7500</v>
      </c>
      <c r="W154" s="291"/>
      <c r="X154" s="5"/>
    </row>
    <row r="155" spans="1:25" ht="15.6" x14ac:dyDescent="0.3">
      <c r="A155" s="287"/>
      <c r="B155" s="288" t="s">
        <v>172</v>
      </c>
      <c r="C155" s="288"/>
      <c r="D155" s="288"/>
      <c r="E155" s="288"/>
      <c r="F155" s="288"/>
      <c r="G155" s="288"/>
      <c r="H155" s="288"/>
      <c r="I155" s="288"/>
      <c r="J155" s="288"/>
      <c r="K155" s="288"/>
      <c r="L155" s="288"/>
      <c r="M155" s="288"/>
      <c r="N155" s="288"/>
      <c r="O155" s="288"/>
      <c r="P155" s="288"/>
      <c r="Q155" s="288"/>
      <c r="R155" s="288"/>
      <c r="S155" s="288"/>
      <c r="T155" s="288"/>
      <c r="U155" s="288"/>
      <c r="V155" s="338">
        <v>0</v>
      </c>
      <c r="W155" s="291"/>
      <c r="X155" s="5"/>
    </row>
    <row r="156" spans="1:25" ht="15.6" x14ac:dyDescent="0.3">
      <c r="A156" s="287"/>
      <c r="B156" s="288" t="s">
        <v>344</v>
      </c>
      <c r="C156" s="288"/>
      <c r="D156" s="288"/>
      <c r="E156" s="288"/>
      <c r="F156" s="288"/>
      <c r="G156" s="288"/>
      <c r="H156" s="288"/>
      <c r="I156" s="288"/>
      <c r="J156" s="288"/>
      <c r="K156" s="288"/>
      <c r="L156" s="288"/>
      <c r="M156" s="288"/>
      <c r="N156" s="288"/>
      <c r="O156" s="288"/>
      <c r="P156" s="288"/>
      <c r="Q156" s="288"/>
      <c r="R156" s="288"/>
      <c r="S156" s="288"/>
      <c r="T156" s="288"/>
      <c r="U156" s="288"/>
      <c r="V156" s="338">
        <v>0</v>
      </c>
      <c r="W156" s="291"/>
      <c r="X156" s="5"/>
    </row>
    <row r="157" spans="1:25" ht="15.6" x14ac:dyDescent="0.3">
      <c r="A157" s="287"/>
      <c r="B157" s="288"/>
      <c r="C157" s="288"/>
      <c r="D157" s="288"/>
      <c r="E157" s="288"/>
      <c r="F157" s="288"/>
      <c r="G157" s="288"/>
      <c r="H157" s="288"/>
      <c r="I157" s="288"/>
      <c r="J157" s="288"/>
      <c r="K157" s="288"/>
      <c r="L157" s="288"/>
      <c r="M157" s="288"/>
      <c r="N157" s="288"/>
      <c r="O157" s="288"/>
      <c r="P157" s="288"/>
      <c r="Q157" s="288"/>
      <c r="R157" s="288"/>
      <c r="S157" s="288"/>
      <c r="T157" s="288"/>
      <c r="U157" s="288"/>
      <c r="V157" s="338"/>
      <c r="W157" s="291"/>
      <c r="X157" s="5"/>
    </row>
    <row r="158" spans="1:25" ht="15.6" x14ac:dyDescent="0.3">
      <c r="A158" s="183"/>
      <c r="B158" s="198"/>
      <c r="C158" s="198"/>
      <c r="D158" s="198"/>
      <c r="E158" s="198"/>
      <c r="F158" s="198"/>
      <c r="G158" s="198"/>
      <c r="H158" s="198"/>
      <c r="I158" s="198"/>
      <c r="J158" s="198"/>
      <c r="K158" s="198"/>
      <c r="L158" s="198"/>
      <c r="M158" s="198"/>
      <c r="N158" s="198"/>
      <c r="O158" s="198"/>
      <c r="P158" s="198"/>
      <c r="Q158" s="198"/>
      <c r="R158" s="198"/>
      <c r="S158" s="198"/>
      <c r="T158" s="198"/>
      <c r="U158" s="198"/>
      <c r="V158" s="347"/>
      <c r="W158" s="198"/>
      <c r="X158" s="5"/>
    </row>
    <row r="159" spans="1:25" ht="15.6" x14ac:dyDescent="0.3">
      <c r="A159" s="183"/>
      <c r="B159" s="208" t="s">
        <v>24</v>
      </c>
      <c r="C159" s="185"/>
      <c r="D159" s="185"/>
      <c r="E159" s="185"/>
      <c r="F159" s="185"/>
      <c r="G159" s="185"/>
      <c r="H159" s="185"/>
      <c r="I159" s="185"/>
      <c r="J159" s="185"/>
      <c r="K159" s="185"/>
      <c r="L159" s="185"/>
      <c r="M159" s="185"/>
      <c r="N159" s="185"/>
      <c r="O159" s="185"/>
      <c r="P159" s="185"/>
      <c r="Q159" s="185"/>
      <c r="R159" s="185"/>
      <c r="S159" s="185"/>
      <c r="T159" s="185"/>
      <c r="U159" s="185"/>
      <c r="V159" s="201"/>
      <c r="W159" s="185"/>
      <c r="X159" s="5"/>
    </row>
    <row r="160" spans="1:25" ht="15.6" x14ac:dyDescent="0.3">
      <c r="A160" s="287"/>
      <c r="B160" s="288" t="s">
        <v>47</v>
      </c>
      <c r="C160" s="288"/>
      <c r="D160" s="288"/>
      <c r="E160" s="288"/>
      <c r="F160" s="288"/>
      <c r="G160" s="288"/>
      <c r="H160" s="288"/>
      <c r="I160" s="288"/>
      <c r="J160" s="288"/>
      <c r="K160" s="288"/>
      <c r="L160" s="288"/>
      <c r="M160" s="288"/>
      <c r="N160" s="288"/>
      <c r="O160" s="288"/>
      <c r="P160" s="288"/>
      <c r="Q160" s="288"/>
      <c r="R160" s="288"/>
      <c r="S160" s="288"/>
      <c r="T160" s="288"/>
      <c r="U160" s="288"/>
      <c r="V160" s="348" t="s">
        <v>118</v>
      </c>
      <c r="W160" s="291"/>
      <c r="X160" s="5"/>
    </row>
    <row r="161" spans="1:256" ht="15.6" x14ac:dyDescent="0.3">
      <c r="A161" s="287"/>
      <c r="B161" s="288" t="s">
        <v>48</v>
      </c>
      <c r="C161" s="290"/>
      <c r="D161" s="290"/>
      <c r="E161" s="290"/>
      <c r="F161" s="290"/>
      <c r="G161" s="290"/>
      <c r="H161" s="290"/>
      <c r="I161" s="290"/>
      <c r="J161" s="290"/>
      <c r="K161" s="290"/>
      <c r="L161" s="290"/>
      <c r="M161" s="290"/>
      <c r="N161" s="290"/>
      <c r="O161" s="290"/>
      <c r="P161" s="290"/>
      <c r="Q161" s="290"/>
      <c r="R161" s="290"/>
      <c r="S161" s="290"/>
      <c r="T161" s="290"/>
      <c r="U161" s="290"/>
      <c r="V161" s="348" t="s">
        <v>118</v>
      </c>
      <c r="W161" s="291"/>
      <c r="X161" s="5"/>
    </row>
    <row r="162" spans="1:256" ht="15.6" x14ac:dyDescent="0.3">
      <c r="A162" s="287"/>
      <c r="B162" s="288" t="s">
        <v>49</v>
      </c>
      <c r="C162" s="288"/>
      <c r="D162" s="288"/>
      <c r="E162" s="288"/>
      <c r="F162" s="288"/>
      <c r="G162" s="288"/>
      <c r="H162" s="288"/>
      <c r="I162" s="288"/>
      <c r="J162" s="288"/>
      <c r="K162" s="288"/>
      <c r="L162" s="288"/>
      <c r="M162" s="288"/>
      <c r="N162" s="288"/>
      <c r="O162" s="288"/>
      <c r="P162" s="288"/>
      <c r="Q162" s="288"/>
      <c r="R162" s="288"/>
      <c r="S162" s="288"/>
      <c r="T162" s="288"/>
      <c r="U162" s="288"/>
      <c r="V162" s="348" t="s">
        <v>118</v>
      </c>
      <c r="W162" s="291"/>
      <c r="X162" s="5"/>
    </row>
    <row r="163" spans="1:256" ht="15.6" x14ac:dyDescent="0.3">
      <c r="A163" s="287"/>
      <c r="B163" s="288" t="s">
        <v>50</v>
      </c>
      <c r="C163" s="288"/>
      <c r="D163" s="288"/>
      <c r="E163" s="288"/>
      <c r="F163" s="288"/>
      <c r="G163" s="288"/>
      <c r="H163" s="288"/>
      <c r="I163" s="288"/>
      <c r="J163" s="288"/>
      <c r="K163" s="288"/>
      <c r="L163" s="288"/>
      <c r="M163" s="288"/>
      <c r="N163" s="288"/>
      <c r="O163" s="288"/>
      <c r="P163" s="288"/>
      <c r="Q163" s="288"/>
      <c r="R163" s="288"/>
      <c r="S163" s="288"/>
      <c r="T163" s="288"/>
      <c r="U163" s="288"/>
      <c r="V163" s="348" t="s">
        <v>118</v>
      </c>
      <c r="W163" s="291"/>
      <c r="X163" s="5"/>
    </row>
    <row r="164" spans="1:256" ht="15.6" x14ac:dyDescent="0.3">
      <c r="A164" s="183"/>
      <c r="B164" s="198"/>
      <c r="C164" s="198"/>
      <c r="D164" s="198"/>
      <c r="E164" s="198"/>
      <c r="F164" s="198"/>
      <c r="G164" s="198"/>
      <c r="H164" s="198"/>
      <c r="I164" s="198"/>
      <c r="J164" s="198"/>
      <c r="K164" s="198"/>
      <c r="L164" s="198"/>
      <c r="M164" s="198"/>
      <c r="N164" s="198"/>
      <c r="O164" s="198"/>
      <c r="P164" s="198"/>
      <c r="Q164" s="198"/>
      <c r="R164" s="198"/>
      <c r="S164" s="198"/>
      <c r="T164" s="198"/>
      <c r="U164" s="198"/>
      <c r="V164" s="347"/>
      <c r="W164" s="198"/>
      <c r="X164" s="5"/>
    </row>
    <row r="165" spans="1:256" ht="15.6" x14ac:dyDescent="0.3">
      <c r="A165" s="183"/>
      <c r="B165" s="208" t="s">
        <v>51</v>
      </c>
      <c r="C165" s="185"/>
      <c r="D165" s="185"/>
      <c r="E165" s="185"/>
      <c r="F165" s="185"/>
      <c r="G165" s="185"/>
      <c r="H165" s="185"/>
      <c r="I165" s="185"/>
      <c r="J165" s="185"/>
      <c r="K165" s="185"/>
      <c r="L165" s="185"/>
      <c r="M165" s="185"/>
      <c r="N165" s="185"/>
      <c r="O165" s="185"/>
      <c r="P165" s="185"/>
      <c r="Q165" s="185"/>
      <c r="R165" s="185"/>
      <c r="S165" s="185"/>
      <c r="T165" s="185"/>
      <c r="U165" s="185"/>
      <c r="V165" s="209"/>
      <c r="W165" s="185"/>
      <c r="X165" s="5"/>
    </row>
    <row r="166" spans="1:256" ht="15.6" x14ac:dyDescent="0.3">
      <c r="A166" s="287"/>
      <c r="B166" s="288" t="s">
        <v>52</v>
      </c>
      <c r="C166" s="288"/>
      <c r="D166" s="288"/>
      <c r="E166" s="288"/>
      <c r="F166" s="288"/>
      <c r="G166" s="288"/>
      <c r="H166" s="288"/>
      <c r="I166" s="288"/>
      <c r="J166" s="288"/>
      <c r="K166" s="288"/>
      <c r="L166" s="288"/>
      <c r="M166" s="288"/>
      <c r="N166" s="288"/>
      <c r="O166" s="288"/>
      <c r="P166" s="288"/>
      <c r="Q166" s="288"/>
      <c r="R166" s="288"/>
      <c r="S166" s="288"/>
      <c r="T166" s="288"/>
      <c r="U166" s="288"/>
      <c r="V166" s="338">
        <v>0</v>
      </c>
      <c r="W166" s="291"/>
      <c r="X166" s="5"/>
    </row>
    <row r="167" spans="1:256" ht="15.6" x14ac:dyDescent="0.3">
      <c r="A167" s="287"/>
      <c r="B167" s="288" t="s">
        <v>53</v>
      </c>
      <c r="C167" s="288"/>
      <c r="D167" s="288"/>
      <c r="E167" s="288"/>
      <c r="F167" s="288"/>
      <c r="G167" s="288"/>
      <c r="H167" s="288"/>
      <c r="I167" s="288"/>
      <c r="J167" s="288"/>
      <c r="K167" s="288"/>
      <c r="L167" s="288"/>
      <c r="M167" s="288"/>
      <c r="N167" s="288"/>
      <c r="O167" s="288"/>
      <c r="P167" s="288"/>
      <c r="Q167" s="288"/>
      <c r="R167" s="288"/>
      <c r="S167" s="288"/>
      <c r="T167" s="288"/>
      <c r="U167" s="288"/>
      <c r="V167" s="338">
        <v>226</v>
      </c>
      <c r="W167" s="291"/>
      <c r="X167" s="5"/>
    </row>
    <row r="168" spans="1:256" ht="15.6" x14ac:dyDescent="0.3">
      <c r="A168" s="287"/>
      <c r="B168" s="288" t="s">
        <v>54</v>
      </c>
      <c r="C168" s="288"/>
      <c r="D168" s="288"/>
      <c r="E168" s="288"/>
      <c r="F168" s="288"/>
      <c r="G168" s="288"/>
      <c r="H168" s="288"/>
      <c r="I168" s="288"/>
      <c r="J168" s="288"/>
      <c r="K168" s="288"/>
      <c r="L168" s="288"/>
      <c r="M168" s="288"/>
      <c r="N168" s="288"/>
      <c r="O168" s="288"/>
      <c r="P168" s="288"/>
      <c r="Q168" s="288"/>
      <c r="R168" s="288"/>
      <c r="S168" s="288"/>
      <c r="T168" s="288"/>
      <c r="U168" s="288"/>
      <c r="V168" s="338">
        <f>V167+V166</f>
        <v>226</v>
      </c>
      <c r="W168" s="291"/>
      <c r="X168" s="5"/>
    </row>
    <row r="169" spans="1:256" ht="15.6" x14ac:dyDescent="0.3">
      <c r="A169" s="287"/>
      <c r="B169" s="288" t="s">
        <v>315</v>
      </c>
      <c r="C169" s="288"/>
      <c r="D169" s="288"/>
      <c r="E169" s="288"/>
      <c r="F169" s="288"/>
      <c r="G169" s="288"/>
      <c r="H169" s="288"/>
      <c r="I169" s="288"/>
      <c r="J169" s="288"/>
      <c r="K169" s="288"/>
      <c r="L169" s="288"/>
      <c r="M169" s="288"/>
      <c r="N169" s="288"/>
      <c r="O169" s="288"/>
      <c r="P169" s="288"/>
      <c r="Q169" s="288"/>
      <c r="R169" s="288"/>
      <c r="S169" s="288"/>
      <c r="T169" s="288"/>
      <c r="U169" s="288"/>
      <c r="V169" s="338">
        <f>V115</f>
        <v>-226</v>
      </c>
      <c r="W169" s="291"/>
      <c r="X169" s="5"/>
    </row>
    <row r="170" spans="1:256" ht="15.6" x14ac:dyDescent="0.3">
      <c r="A170" s="287"/>
      <c r="B170" s="288" t="s">
        <v>55</v>
      </c>
      <c r="C170" s="288"/>
      <c r="D170" s="288"/>
      <c r="E170" s="288"/>
      <c r="F170" s="288"/>
      <c r="G170" s="288"/>
      <c r="H170" s="288"/>
      <c r="I170" s="288"/>
      <c r="J170" s="288"/>
      <c r="K170" s="288"/>
      <c r="L170" s="288"/>
      <c r="M170" s="288"/>
      <c r="N170" s="288"/>
      <c r="O170" s="288"/>
      <c r="P170" s="288"/>
      <c r="Q170" s="288"/>
      <c r="R170" s="288"/>
      <c r="S170" s="288"/>
      <c r="T170" s="288"/>
      <c r="U170" s="288"/>
      <c r="V170" s="338">
        <f>V168+V169</f>
        <v>0</v>
      </c>
      <c r="W170" s="291"/>
      <c r="X170" s="5"/>
    </row>
    <row r="171" spans="1:256" ht="15.6" x14ac:dyDescent="0.3">
      <c r="A171" s="287"/>
      <c r="B171" s="288" t="s">
        <v>283</v>
      </c>
      <c r="C171" s="288"/>
      <c r="D171" s="288"/>
      <c r="E171" s="288"/>
      <c r="F171" s="288"/>
      <c r="G171" s="288"/>
      <c r="H171" s="288"/>
      <c r="I171" s="288"/>
      <c r="J171" s="288"/>
      <c r="K171" s="288"/>
      <c r="L171" s="288"/>
      <c r="M171" s="288"/>
      <c r="N171" s="288"/>
      <c r="O171" s="288"/>
      <c r="P171" s="288"/>
      <c r="Q171" s="288"/>
      <c r="R171" s="288"/>
      <c r="S171" s="288"/>
      <c r="T171" s="288"/>
      <c r="U171" s="288"/>
      <c r="V171" s="338">
        <f>-V100</f>
        <v>176</v>
      </c>
      <c r="W171" s="291"/>
      <c r="X171" s="5"/>
    </row>
    <row r="172" spans="1:256" ht="16.2" thickBot="1" x14ac:dyDescent="0.35">
      <c r="A172" s="183"/>
      <c r="B172" s="284"/>
      <c r="C172" s="284"/>
      <c r="D172" s="284"/>
      <c r="E172" s="284"/>
      <c r="F172" s="284"/>
      <c r="G172" s="284"/>
      <c r="H172" s="284"/>
      <c r="I172" s="284"/>
      <c r="J172" s="284"/>
      <c r="K172" s="284"/>
      <c r="L172" s="284"/>
      <c r="M172" s="284"/>
      <c r="N172" s="284"/>
      <c r="O172" s="284"/>
      <c r="P172" s="284"/>
      <c r="Q172" s="284"/>
      <c r="R172" s="284"/>
      <c r="S172" s="284"/>
      <c r="T172" s="284"/>
      <c r="U172" s="284"/>
      <c r="V172" s="349"/>
      <c r="W172" s="284"/>
      <c r="X172" s="5"/>
    </row>
    <row r="173" spans="1:256" ht="15.6" x14ac:dyDescent="0.3">
      <c r="A173" s="180"/>
      <c r="B173" s="247"/>
      <c r="C173" s="247"/>
      <c r="D173" s="247"/>
      <c r="E173" s="247"/>
      <c r="F173" s="247"/>
      <c r="G173" s="247"/>
      <c r="H173" s="247"/>
      <c r="I173" s="247"/>
      <c r="J173" s="247"/>
      <c r="K173" s="247"/>
      <c r="L173" s="247"/>
      <c r="M173" s="247"/>
      <c r="N173" s="247"/>
      <c r="O173" s="247"/>
      <c r="P173" s="247"/>
      <c r="Q173" s="247"/>
      <c r="R173" s="247"/>
      <c r="S173" s="247"/>
      <c r="T173" s="247"/>
      <c r="U173" s="247"/>
      <c r="V173" s="248"/>
      <c r="W173" s="247"/>
      <c r="X173" s="5"/>
    </row>
    <row r="174" spans="1:256" s="161" customFormat="1" ht="15.6" x14ac:dyDescent="0.3">
      <c r="A174" s="183"/>
      <c r="B174" s="208" t="s">
        <v>269</v>
      </c>
      <c r="C174" s="198"/>
      <c r="D174" s="198"/>
      <c r="E174" s="198"/>
      <c r="F174" s="198"/>
      <c r="G174" s="198"/>
      <c r="H174" s="198"/>
      <c r="I174" s="198"/>
      <c r="J174" s="198"/>
      <c r="K174" s="198"/>
      <c r="L174" s="198"/>
      <c r="M174" s="198"/>
      <c r="N174" s="198"/>
      <c r="O174" s="198"/>
      <c r="P174" s="198"/>
      <c r="Q174" s="198"/>
      <c r="R174" s="198"/>
      <c r="S174" s="198"/>
      <c r="T174" s="198"/>
      <c r="U174" s="198"/>
      <c r="V174" s="210"/>
      <c r="W174" s="198"/>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5.6" x14ac:dyDescent="0.3">
      <c r="A175" s="287"/>
      <c r="B175" s="288" t="s">
        <v>270</v>
      </c>
      <c r="C175" s="288"/>
      <c r="D175" s="288"/>
      <c r="E175" s="288"/>
      <c r="F175" s="288"/>
      <c r="G175" s="288"/>
      <c r="H175" s="288"/>
      <c r="I175" s="288"/>
      <c r="J175" s="288"/>
      <c r="K175" s="288"/>
      <c r="L175" s="288"/>
      <c r="M175" s="288"/>
      <c r="N175" s="288"/>
      <c r="O175" s="288"/>
      <c r="P175" s="288"/>
      <c r="Q175" s="288"/>
      <c r="R175" s="288"/>
      <c r="S175" s="288"/>
      <c r="T175" s="288"/>
      <c r="U175" s="288"/>
      <c r="V175" s="338">
        <f>+'Aug 08'!V177</f>
        <v>0</v>
      </c>
      <c r="W175" s="291"/>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3" customFormat="1" ht="15.6" x14ac:dyDescent="0.3">
      <c r="A176" s="287"/>
      <c r="B176" s="288" t="s">
        <v>273</v>
      </c>
      <c r="C176" s="288"/>
      <c r="D176" s="288"/>
      <c r="E176" s="288"/>
      <c r="F176" s="288"/>
      <c r="G176" s="288"/>
      <c r="H176" s="288"/>
      <c r="I176" s="288"/>
      <c r="J176" s="288"/>
      <c r="K176" s="288"/>
      <c r="L176" s="288"/>
      <c r="M176" s="288"/>
      <c r="N176" s="288"/>
      <c r="O176" s="288"/>
      <c r="P176" s="288"/>
      <c r="Q176" s="288"/>
      <c r="R176" s="288"/>
      <c r="S176" s="288"/>
      <c r="T176" s="288"/>
      <c r="U176" s="288"/>
      <c r="V176" s="338">
        <f>+V94</f>
        <v>0</v>
      </c>
      <c r="W176" s="291"/>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s="163" customFormat="1" ht="15.6" x14ac:dyDescent="0.3">
      <c r="A177" s="287"/>
      <c r="B177" s="288" t="s">
        <v>271</v>
      </c>
      <c r="C177" s="288"/>
      <c r="D177" s="288"/>
      <c r="E177" s="288"/>
      <c r="F177" s="288"/>
      <c r="G177" s="288"/>
      <c r="H177" s="288"/>
      <c r="I177" s="288"/>
      <c r="J177" s="288"/>
      <c r="K177" s="288"/>
      <c r="L177" s="288"/>
      <c r="M177" s="288"/>
      <c r="N177" s="288"/>
      <c r="O177" s="288"/>
      <c r="P177" s="288"/>
      <c r="Q177" s="288"/>
      <c r="R177" s="288"/>
      <c r="S177" s="288"/>
      <c r="T177" s="288"/>
      <c r="U177" s="288"/>
      <c r="V177" s="338">
        <f>+V175-V176</f>
        <v>0</v>
      </c>
      <c r="W177" s="291"/>
      <c r="X177" s="5"/>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s="166" customFormat="1" ht="16.2" thickBot="1" x14ac:dyDescent="0.35">
      <c r="A178" s="199"/>
      <c r="B178" s="198"/>
      <c r="C178" s="198"/>
      <c r="D178" s="198"/>
      <c r="E178" s="198"/>
      <c r="F178" s="198"/>
      <c r="G178" s="198"/>
      <c r="H178" s="198"/>
      <c r="I178" s="198"/>
      <c r="J178" s="198"/>
      <c r="K178" s="198"/>
      <c r="L178" s="198"/>
      <c r="M178" s="198"/>
      <c r="N178" s="198"/>
      <c r="O178" s="198"/>
      <c r="P178" s="198"/>
      <c r="Q178" s="198"/>
      <c r="R178" s="198"/>
      <c r="S178" s="198"/>
      <c r="T178" s="198"/>
      <c r="U178" s="198"/>
      <c r="V178" s="347"/>
      <c r="W178" s="198"/>
      <c r="X178" s="5"/>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s="167" customFormat="1" ht="15.6" x14ac:dyDescent="0.3">
      <c r="A179" s="180"/>
      <c r="B179" s="181"/>
      <c r="C179" s="181"/>
      <c r="D179" s="181"/>
      <c r="E179" s="181"/>
      <c r="F179" s="181"/>
      <c r="G179" s="181"/>
      <c r="H179" s="181"/>
      <c r="I179" s="181"/>
      <c r="J179" s="181"/>
      <c r="K179" s="181"/>
      <c r="L179" s="181"/>
      <c r="M179" s="181"/>
      <c r="N179" s="181"/>
      <c r="O179" s="181"/>
      <c r="P179" s="181"/>
      <c r="Q179" s="181"/>
      <c r="R179" s="181"/>
      <c r="S179" s="181"/>
      <c r="T179" s="181"/>
      <c r="U179" s="181"/>
      <c r="V179" s="200"/>
      <c r="W179" s="181"/>
      <c r="X179" s="5"/>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ht="15.6" x14ac:dyDescent="0.3">
      <c r="A180" s="183"/>
      <c r="B180" s="208" t="s">
        <v>56</v>
      </c>
      <c r="C180" s="185"/>
      <c r="D180" s="185"/>
      <c r="E180" s="185"/>
      <c r="F180" s="185"/>
      <c r="G180" s="185"/>
      <c r="H180" s="185"/>
      <c r="I180" s="185"/>
      <c r="J180" s="185"/>
      <c r="K180" s="185"/>
      <c r="L180" s="185"/>
      <c r="M180" s="185"/>
      <c r="N180" s="185"/>
      <c r="O180" s="185"/>
      <c r="P180" s="185"/>
      <c r="Q180" s="185"/>
      <c r="R180" s="185"/>
      <c r="S180" s="185"/>
      <c r="T180" s="185"/>
      <c r="U180" s="185"/>
      <c r="V180" s="201"/>
      <c r="W180" s="185"/>
      <c r="X180" s="5"/>
    </row>
    <row r="181" spans="1:256" ht="15.6" x14ac:dyDescent="0.3">
      <c r="A181" s="183"/>
      <c r="B181" s="195"/>
      <c r="C181" s="185"/>
      <c r="D181" s="185"/>
      <c r="E181" s="185"/>
      <c r="F181" s="185"/>
      <c r="G181" s="185"/>
      <c r="H181" s="185"/>
      <c r="I181" s="185"/>
      <c r="J181" s="185"/>
      <c r="K181" s="185"/>
      <c r="L181" s="185"/>
      <c r="M181" s="185"/>
      <c r="N181" s="185"/>
      <c r="O181" s="185"/>
      <c r="P181" s="185"/>
      <c r="Q181" s="185"/>
      <c r="R181" s="185"/>
      <c r="S181" s="185"/>
      <c r="T181" s="185"/>
      <c r="U181" s="185"/>
      <c r="V181" s="201"/>
      <c r="W181" s="185"/>
      <c r="X181" s="5"/>
    </row>
    <row r="182" spans="1:256" ht="15.6" x14ac:dyDescent="0.3">
      <c r="A182" s="287"/>
      <c r="B182" s="288" t="s">
        <v>57</v>
      </c>
      <c r="C182" s="288"/>
      <c r="D182" s="288"/>
      <c r="E182" s="288"/>
      <c r="F182" s="288"/>
      <c r="G182" s="288"/>
      <c r="H182" s="288"/>
      <c r="I182" s="288"/>
      <c r="J182" s="288"/>
      <c r="K182" s="288"/>
      <c r="L182" s="288"/>
      <c r="M182" s="288"/>
      <c r="N182" s="288"/>
      <c r="O182" s="288"/>
      <c r="P182" s="288"/>
      <c r="Q182" s="288"/>
      <c r="R182" s="288"/>
      <c r="S182" s="288"/>
      <c r="T182" s="288"/>
      <c r="U182" s="288"/>
      <c r="V182" s="338">
        <f>V71</f>
        <v>937178</v>
      </c>
      <c r="W182" s="291"/>
      <c r="X182" s="5"/>
    </row>
    <row r="183" spans="1:256" ht="15.6" x14ac:dyDescent="0.3">
      <c r="A183" s="287"/>
      <c r="B183" s="288" t="s">
        <v>58</v>
      </c>
      <c r="C183" s="288"/>
      <c r="D183" s="288"/>
      <c r="E183" s="288"/>
      <c r="F183" s="288"/>
      <c r="G183" s="288"/>
      <c r="H183" s="288"/>
      <c r="I183" s="288"/>
      <c r="J183" s="288"/>
      <c r="K183" s="288"/>
      <c r="L183" s="288"/>
      <c r="M183" s="288"/>
      <c r="N183" s="288"/>
      <c r="O183" s="288"/>
      <c r="P183" s="288"/>
      <c r="Q183" s="288"/>
      <c r="R183" s="288"/>
      <c r="S183" s="288"/>
      <c r="T183" s="288"/>
      <c r="U183" s="288"/>
      <c r="V183" s="338">
        <f>V84</f>
        <v>937178</v>
      </c>
      <c r="W183" s="291"/>
      <c r="X183" s="5"/>
    </row>
    <row r="184" spans="1:256" ht="16.2" thickBot="1" x14ac:dyDescent="0.35">
      <c r="A184" s="183"/>
      <c r="B184" s="198"/>
      <c r="C184" s="198"/>
      <c r="D184" s="198"/>
      <c r="E184" s="198"/>
      <c r="F184" s="198"/>
      <c r="G184" s="198"/>
      <c r="H184" s="198"/>
      <c r="I184" s="198"/>
      <c r="J184" s="198"/>
      <c r="K184" s="198"/>
      <c r="L184" s="198"/>
      <c r="M184" s="198"/>
      <c r="N184" s="198"/>
      <c r="O184" s="198"/>
      <c r="P184" s="198"/>
      <c r="Q184" s="198"/>
      <c r="R184" s="198"/>
      <c r="S184" s="198"/>
      <c r="T184" s="198"/>
      <c r="U184" s="198"/>
      <c r="V184" s="347"/>
      <c r="W184" s="198"/>
      <c r="X184" s="5"/>
    </row>
    <row r="185" spans="1:256" ht="15.6" x14ac:dyDescent="0.3">
      <c r="A185" s="180"/>
      <c r="B185" s="181"/>
      <c r="C185" s="181"/>
      <c r="D185" s="181"/>
      <c r="E185" s="181"/>
      <c r="F185" s="181"/>
      <c r="G185" s="181"/>
      <c r="H185" s="181"/>
      <c r="I185" s="181"/>
      <c r="J185" s="181"/>
      <c r="K185" s="181"/>
      <c r="L185" s="181"/>
      <c r="M185" s="181"/>
      <c r="N185" s="181"/>
      <c r="O185" s="181"/>
      <c r="P185" s="181"/>
      <c r="Q185" s="181"/>
      <c r="R185" s="181"/>
      <c r="S185" s="181"/>
      <c r="T185" s="181"/>
      <c r="U185" s="181"/>
      <c r="V185" s="200"/>
      <c r="W185" s="181"/>
      <c r="X185" s="5"/>
    </row>
    <row r="186" spans="1:256" ht="15.6" x14ac:dyDescent="0.3">
      <c r="A186" s="183"/>
      <c r="B186" s="208" t="s">
        <v>59</v>
      </c>
      <c r="C186" s="205"/>
      <c r="D186" s="205"/>
      <c r="E186" s="205"/>
      <c r="F186" s="205"/>
      <c r="G186" s="205"/>
      <c r="H186" s="211"/>
      <c r="I186" s="211"/>
      <c r="J186" s="211"/>
      <c r="K186" s="211"/>
      <c r="L186" s="211"/>
      <c r="M186" s="211"/>
      <c r="N186" s="211"/>
      <c r="O186" s="211"/>
      <c r="P186" s="211"/>
      <c r="Q186" s="211"/>
      <c r="R186" s="211"/>
      <c r="S186" s="211" t="s">
        <v>101</v>
      </c>
      <c r="T186" s="211" t="s">
        <v>176</v>
      </c>
      <c r="U186" s="187"/>
      <c r="V186" s="212" t="s">
        <v>114</v>
      </c>
      <c r="W186" s="213"/>
      <c r="X186" s="5"/>
    </row>
    <row r="187" spans="1:256" ht="15.6" x14ac:dyDescent="0.3">
      <c r="A187" s="287"/>
      <c r="B187" s="288" t="s">
        <v>60</v>
      </c>
      <c r="C187" s="288"/>
      <c r="D187" s="288"/>
      <c r="E187" s="288"/>
      <c r="F187" s="288"/>
      <c r="G187" s="288"/>
      <c r="H187" s="288"/>
      <c r="I187" s="288"/>
      <c r="J187" s="288"/>
      <c r="K187" s="288"/>
      <c r="L187" s="288"/>
      <c r="M187" s="288"/>
      <c r="N187" s="288"/>
      <c r="O187" s="288"/>
      <c r="P187" s="288"/>
      <c r="Q187" s="288"/>
      <c r="R187" s="288"/>
      <c r="S187" s="338">
        <f>+V34*0.16</f>
        <v>240044</v>
      </c>
      <c r="T187" s="325"/>
      <c r="U187" s="288"/>
      <c r="V187" s="338"/>
      <c r="W187" s="291"/>
      <c r="X187" s="5"/>
    </row>
    <row r="188" spans="1:256" ht="15.6" x14ac:dyDescent="0.3">
      <c r="A188" s="287"/>
      <c r="B188" s="288" t="s">
        <v>61</v>
      </c>
      <c r="C188" s="288"/>
      <c r="D188" s="288"/>
      <c r="E188" s="288"/>
      <c r="F188" s="288"/>
      <c r="G188" s="288"/>
      <c r="H188" s="288"/>
      <c r="I188" s="288"/>
      <c r="J188" s="288"/>
      <c r="K188" s="288"/>
      <c r="L188" s="288"/>
      <c r="M188" s="288"/>
      <c r="N188" s="288"/>
      <c r="O188" s="288"/>
      <c r="P188" s="288"/>
      <c r="Q188" s="288"/>
      <c r="R188" s="288"/>
      <c r="S188" s="338">
        <f>+'May 16'!S190</f>
        <v>28210</v>
      </c>
      <c r="T188" s="338">
        <f>+'May 16'!T190</f>
        <v>6016</v>
      </c>
      <c r="U188" s="288"/>
      <c r="V188" s="338">
        <f>S188+T188</f>
        <v>34226</v>
      </c>
      <c r="W188" s="291"/>
      <c r="X188" s="5"/>
    </row>
    <row r="189" spans="1:256" ht="15.6" x14ac:dyDescent="0.3">
      <c r="A189" s="287"/>
      <c r="B189" s="288" t="s">
        <v>62</v>
      </c>
      <c r="C189" s="288"/>
      <c r="D189" s="288"/>
      <c r="E189" s="288"/>
      <c r="F189" s="288"/>
      <c r="G189" s="288"/>
      <c r="H189" s="288"/>
      <c r="I189" s="288"/>
      <c r="J189" s="288"/>
      <c r="K189" s="288"/>
      <c r="L189" s="288"/>
      <c r="M189" s="288"/>
      <c r="N189" s="288"/>
      <c r="O189" s="288"/>
      <c r="P189" s="288"/>
      <c r="Q189" s="288"/>
      <c r="R189" s="288"/>
      <c r="S189" s="337">
        <f>43+102</f>
        <v>145</v>
      </c>
      <c r="T189" s="337">
        <v>0</v>
      </c>
      <c r="U189" s="288"/>
      <c r="V189" s="338">
        <f>S189+T189</f>
        <v>145</v>
      </c>
      <c r="W189" s="291"/>
      <c r="X189" s="5"/>
    </row>
    <row r="190" spans="1:256" ht="15.6" x14ac:dyDescent="0.3">
      <c r="A190" s="287"/>
      <c r="B190" s="288" t="s">
        <v>63</v>
      </c>
      <c r="C190" s="288"/>
      <c r="D190" s="288"/>
      <c r="E190" s="288"/>
      <c r="F190" s="288"/>
      <c r="G190" s="288"/>
      <c r="H190" s="288"/>
      <c r="I190" s="288"/>
      <c r="J190" s="288"/>
      <c r="K190" s="288"/>
      <c r="L190" s="288"/>
      <c r="M190" s="288"/>
      <c r="N190" s="288"/>
      <c r="O190" s="288"/>
      <c r="P190" s="288"/>
      <c r="Q190" s="288"/>
      <c r="R190" s="288"/>
      <c r="S190" s="338">
        <f>S188+S189</f>
        <v>28355</v>
      </c>
      <c r="T190" s="338">
        <f>T189+T188</f>
        <v>6016</v>
      </c>
      <c r="U190" s="288"/>
      <c r="V190" s="338">
        <f>S190+T190</f>
        <v>34371</v>
      </c>
      <c r="W190" s="291"/>
      <c r="X190" s="5"/>
    </row>
    <row r="191" spans="1:256" ht="15.6" x14ac:dyDescent="0.3">
      <c r="A191" s="287"/>
      <c r="B191" s="288" t="s">
        <v>64</v>
      </c>
      <c r="C191" s="288"/>
      <c r="D191" s="288"/>
      <c r="E191" s="288"/>
      <c r="F191" s="288"/>
      <c r="G191" s="288"/>
      <c r="H191" s="288"/>
      <c r="I191" s="288"/>
      <c r="J191" s="288"/>
      <c r="K191" s="288"/>
      <c r="L191" s="288"/>
      <c r="M191" s="288"/>
      <c r="N191" s="288"/>
      <c r="O191" s="288"/>
      <c r="P191" s="288"/>
      <c r="Q191" s="288"/>
      <c r="R191" s="288"/>
      <c r="S191" s="338">
        <f>S187-S190-T190</f>
        <v>205673</v>
      </c>
      <c r="T191" s="325"/>
      <c r="U191" s="288"/>
      <c r="V191" s="338"/>
      <c r="W191" s="291"/>
      <c r="X191" s="5"/>
    </row>
    <row r="192" spans="1:256" ht="16.2" thickBot="1" x14ac:dyDescent="0.35">
      <c r="A192" s="183"/>
      <c r="B192" s="198"/>
      <c r="C192" s="198"/>
      <c r="D192" s="198"/>
      <c r="E192" s="198"/>
      <c r="F192" s="198"/>
      <c r="G192" s="198"/>
      <c r="H192" s="198"/>
      <c r="I192" s="198"/>
      <c r="J192" s="198"/>
      <c r="K192" s="198"/>
      <c r="L192" s="198"/>
      <c r="M192" s="198"/>
      <c r="N192" s="198"/>
      <c r="O192" s="198"/>
      <c r="P192" s="198"/>
      <c r="Q192" s="198"/>
      <c r="R192" s="198"/>
      <c r="S192" s="198"/>
      <c r="T192" s="198"/>
      <c r="U192" s="198"/>
      <c r="V192" s="347"/>
      <c r="W192" s="198"/>
      <c r="X192" s="5"/>
    </row>
    <row r="193" spans="1:24" ht="15.6" x14ac:dyDescent="0.3">
      <c r="A193" s="180"/>
      <c r="B193" s="181"/>
      <c r="C193" s="181"/>
      <c r="D193" s="181"/>
      <c r="E193" s="181"/>
      <c r="F193" s="181"/>
      <c r="G193" s="181"/>
      <c r="H193" s="181"/>
      <c r="I193" s="181"/>
      <c r="J193" s="181"/>
      <c r="K193" s="181"/>
      <c r="L193" s="181"/>
      <c r="M193" s="181"/>
      <c r="N193" s="181"/>
      <c r="O193" s="181"/>
      <c r="P193" s="181"/>
      <c r="Q193" s="181"/>
      <c r="R193" s="181"/>
      <c r="S193" s="181"/>
      <c r="T193" s="181"/>
      <c r="U193" s="181"/>
      <c r="V193" s="200"/>
      <c r="W193" s="181"/>
      <c r="X193" s="5"/>
    </row>
    <row r="194" spans="1:24" ht="15.6" x14ac:dyDescent="0.3">
      <c r="A194" s="183"/>
      <c r="B194" s="208" t="s">
        <v>65</v>
      </c>
      <c r="C194" s="185"/>
      <c r="D194" s="185"/>
      <c r="E194" s="185"/>
      <c r="F194" s="185"/>
      <c r="G194" s="185"/>
      <c r="H194" s="185"/>
      <c r="I194" s="185"/>
      <c r="J194" s="185"/>
      <c r="K194" s="185"/>
      <c r="L194" s="185"/>
      <c r="M194" s="185"/>
      <c r="N194" s="185"/>
      <c r="O194" s="185"/>
      <c r="P194" s="185"/>
      <c r="Q194" s="185"/>
      <c r="R194" s="185"/>
      <c r="S194" s="185"/>
      <c r="T194" s="185"/>
      <c r="U194" s="185"/>
      <c r="V194" s="214"/>
      <c r="W194" s="185"/>
      <c r="X194" s="5"/>
    </row>
    <row r="195" spans="1:24" ht="15.6" x14ac:dyDescent="0.3">
      <c r="A195" s="287"/>
      <c r="B195" s="288" t="s">
        <v>66</v>
      </c>
      <c r="C195" s="288"/>
      <c r="D195" s="288"/>
      <c r="E195" s="288"/>
      <c r="F195" s="288"/>
      <c r="G195" s="288"/>
      <c r="H195" s="288"/>
      <c r="I195" s="288"/>
      <c r="J195" s="288"/>
      <c r="K195" s="288"/>
      <c r="L195" s="288"/>
      <c r="M195" s="288"/>
      <c r="N195" s="288"/>
      <c r="O195" s="288"/>
      <c r="P195" s="288"/>
      <c r="Q195" s="288"/>
      <c r="R195" s="288"/>
      <c r="S195" s="288"/>
      <c r="T195" s="288"/>
      <c r="U195" s="288"/>
      <c r="V195" s="348">
        <f>(V101+V103+V104+V105+V106)/-(V107+V108)</f>
        <v>3.8675184936112981</v>
      </c>
      <c r="W195" s="291" t="s">
        <v>115</v>
      </c>
      <c r="X195" s="5"/>
    </row>
    <row r="196" spans="1:24" ht="15.6" x14ac:dyDescent="0.3">
      <c r="A196" s="287"/>
      <c r="B196" s="288" t="s">
        <v>67</v>
      </c>
      <c r="C196" s="288"/>
      <c r="D196" s="288"/>
      <c r="E196" s="288"/>
      <c r="F196" s="288"/>
      <c r="G196" s="288"/>
      <c r="H196" s="288"/>
      <c r="I196" s="288"/>
      <c r="J196" s="288"/>
      <c r="K196" s="288"/>
      <c r="L196" s="288"/>
      <c r="M196" s="288"/>
      <c r="N196" s="288"/>
      <c r="O196" s="288"/>
      <c r="P196" s="288"/>
      <c r="Q196" s="288"/>
      <c r="R196" s="288"/>
      <c r="S196" s="288"/>
      <c r="T196" s="288"/>
      <c r="U196" s="288"/>
      <c r="V196" s="350">
        <v>2</v>
      </c>
      <c r="W196" s="291" t="s">
        <v>115</v>
      </c>
      <c r="X196" s="5"/>
    </row>
    <row r="197" spans="1:24" ht="15.6" x14ac:dyDescent="0.3">
      <c r="A197" s="287"/>
      <c r="B197" s="288" t="s">
        <v>68</v>
      </c>
      <c r="C197" s="288"/>
      <c r="D197" s="288"/>
      <c r="E197" s="288"/>
      <c r="F197" s="288"/>
      <c r="G197" s="288"/>
      <c r="H197" s="288"/>
      <c r="I197" s="288"/>
      <c r="J197" s="288"/>
      <c r="K197" s="288"/>
      <c r="L197" s="288"/>
      <c r="M197" s="288"/>
      <c r="N197" s="288"/>
      <c r="O197" s="288"/>
      <c r="P197" s="288"/>
      <c r="Q197" s="288"/>
      <c r="R197" s="288"/>
      <c r="S197" s="288"/>
      <c r="T197" s="288"/>
      <c r="U197" s="288"/>
      <c r="V197" s="348">
        <f>(V101+V103+V104+V105+V106+V107+V108)/-(V110+V111)</f>
        <v>15.562043795620438</v>
      </c>
      <c r="W197" s="291" t="s">
        <v>115</v>
      </c>
      <c r="X197" s="5"/>
    </row>
    <row r="198" spans="1:24" ht="15.6" x14ac:dyDescent="0.3">
      <c r="A198" s="287"/>
      <c r="B198" s="288" t="s">
        <v>69</v>
      </c>
      <c r="C198" s="288"/>
      <c r="D198" s="288"/>
      <c r="E198" s="288"/>
      <c r="F198" s="288"/>
      <c r="G198" s="288"/>
      <c r="H198" s="288"/>
      <c r="I198" s="288"/>
      <c r="J198" s="288"/>
      <c r="K198" s="288"/>
      <c r="L198" s="288"/>
      <c r="M198" s="288"/>
      <c r="N198" s="288"/>
      <c r="O198" s="288"/>
      <c r="P198" s="288"/>
      <c r="Q198" s="288"/>
      <c r="R198" s="288"/>
      <c r="S198" s="288"/>
      <c r="T198" s="288"/>
      <c r="U198" s="288"/>
      <c r="V198" s="350">
        <v>9.08</v>
      </c>
      <c r="W198" s="291" t="s">
        <v>115</v>
      </c>
      <c r="X198" s="5"/>
    </row>
    <row r="199" spans="1:24" ht="15.6" x14ac:dyDescent="0.3">
      <c r="A199" s="287"/>
      <c r="B199" s="288" t="s">
        <v>198</v>
      </c>
      <c r="C199" s="288"/>
      <c r="D199" s="288"/>
      <c r="E199" s="288"/>
      <c r="F199" s="288"/>
      <c r="G199" s="288"/>
      <c r="H199" s="288"/>
      <c r="I199" s="288"/>
      <c r="J199" s="288"/>
      <c r="K199" s="288"/>
      <c r="L199" s="288"/>
      <c r="M199" s="288"/>
      <c r="N199" s="288"/>
      <c r="O199" s="288"/>
      <c r="P199" s="288"/>
      <c r="Q199" s="288"/>
      <c r="R199" s="288"/>
      <c r="S199" s="288"/>
      <c r="T199" s="288"/>
      <c r="U199" s="288"/>
      <c r="V199" s="348">
        <f>(V101+V103+V104+V105+V106+V107+V108+V110+V111)/-(V112+V113)</f>
        <v>9.9007444168734491</v>
      </c>
      <c r="W199" s="291" t="s">
        <v>115</v>
      </c>
      <c r="X199" s="5"/>
    </row>
    <row r="200" spans="1:24" ht="15.6" x14ac:dyDescent="0.3">
      <c r="A200" s="287"/>
      <c r="B200" s="288" t="s">
        <v>199</v>
      </c>
      <c r="C200" s="288"/>
      <c r="D200" s="288"/>
      <c r="E200" s="288"/>
      <c r="F200" s="288"/>
      <c r="G200" s="288"/>
      <c r="H200" s="288"/>
      <c r="I200" s="288"/>
      <c r="J200" s="288"/>
      <c r="K200" s="288"/>
      <c r="L200" s="288"/>
      <c r="M200" s="288"/>
      <c r="N200" s="288"/>
      <c r="O200" s="288"/>
      <c r="P200" s="288"/>
      <c r="Q200" s="288"/>
      <c r="R200" s="288"/>
      <c r="S200" s="288"/>
      <c r="T200" s="288"/>
      <c r="U200" s="288"/>
      <c r="V200" s="350">
        <v>6.94</v>
      </c>
      <c r="W200" s="291" t="s">
        <v>115</v>
      </c>
      <c r="X200" s="5"/>
    </row>
    <row r="201" spans="1:24" ht="15.6" x14ac:dyDescent="0.3">
      <c r="A201" s="287"/>
      <c r="B201" s="314"/>
      <c r="C201" s="314"/>
      <c r="D201" s="314"/>
      <c r="E201" s="314"/>
      <c r="F201" s="314"/>
      <c r="G201" s="314"/>
      <c r="H201" s="314"/>
      <c r="I201" s="314"/>
      <c r="J201" s="314"/>
      <c r="K201" s="314"/>
      <c r="L201" s="314"/>
      <c r="M201" s="314"/>
      <c r="N201" s="314"/>
      <c r="O201" s="314"/>
      <c r="P201" s="314"/>
      <c r="Q201" s="314"/>
      <c r="R201" s="314"/>
      <c r="S201" s="314"/>
      <c r="T201" s="314"/>
      <c r="U201" s="314"/>
      <c r="V201" s="314"/>
      <c r="W201" s="318"/>
      <c r="X201" s="5"/>
    </row>
    <row r="202" spans="1:24" ht="15.6" x14ac:dyDescent="0.3">
      <c r="A202" s="183"/>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5"/>
    </row>
    <row r="203" spans="1:24" ht="15.6" x14ac:dyDescent="0.3">
      <c r="A203" s="183"/>
      <c r="B203" s="185"/>
      <c r="C203" s="185"/>
      <c r="D203" s="185"/>
      <c r="E203" s="185"/>
      <c r="F203" s="185"/>
      <c r="G203" s="185"/>
      <c r="H203" s="185"/>
      <c r="I203" s="185"/>
      <c r="J203" s="185"/>
      <c r="K203" s="185"/>
      <c r="L203" s="185"/>
      <c r="M203" s="185"/>
      <c r="N203" s="185"/>
      <c r="O203" s="185"/>
      <c r="P203" s="185"/>
      <c r="Q203" s="185"/>
      <c r="R203" s="185"/>
      <c r="S203" s="185"/>
      <c r="T203" s="185"/>
      <c r="U203" s="185"/>
      <c r="V203" s="185"/>
      <c r="W203" s="185"/>
      <c r="X203" s="5"/>
    </row>
    <row r="204" spans="1:24" ht="18" thickBot="1" x14ac:dyDescent="0.35">
      <c r="A204" s="199"/>
      <c r="B204" s="237" t="str">
        <f>B138</f>
        <v>PM14 INVESTOR REPORT QUARTER ENDING AUGUST 2016</v>
      </c>
      <c r="C204" s="215"/>
      <c r="D204" s="215"/>
      <c r="E204" s="215"/>
      <c r="F204" s="215"/>
      <c r="G204" s="215"/>
      <c r="H204" s="215"/>
      <c r="I204" s="215"/>
      <c r="J204" s="215"/>
      <c r="K204" s="215"/>
      <c r="L204" s="215"/>
      <c r="M204" s="215"/>
      <c r="N204" s="215"/>
      <c r="O204" s="215"/>
      <c r="P204" s="215"/>
      <c r="Q204" s="215"/>
      <c r="R204" s="215"/>
      <c r="S204" s="215"/>
      <c r="T204" s="215"/>
      <c r="U204" s="215"/>
      <c r="V204" s="215"/>
      <c r="W204" s="216"/>
      <c r="X204" s="5"/>
    </row>
    <row r="205" spans="1:24" ht="15.6" x14ac:dyDescent="0.3">
      <c r="A205" s="273"/>
      <c r="B205" s="403" t="s">
        <v>70</v>
      </c>
      <c r="C205" s="404"/>
      <c r="D205" s="404"/>
      <c r="E205" s="404"/>
      <c r="F205" s="404"/>
      <c r="G205" s="405"/>
      <c r="H205" s="405"/>
      <c r="I205" s="405"/>
      <c r="J205" s="405"/>
      <c r="K205" s="405"/>
      <c r="L205" s="405"/>
      <c r="M205" s="405"/>
      <c r="N205" s="405"/>
      <c r="O205" s="405"/>
      <c r="P205" s="405"/>
      <c r="Q205" s="405"/>
      <c r="R205" s="405"/>
      <c r="S205" s="405"/>
      <c r="T205" s="405">
        <v>42613</v>
      </c>
      <c r="U205" s="274"/>
      <c r="V205" s="274"/>
      <c r="W205" s="274"/>
      <c r="X205" s="5"/>
    </row>
    <row r="206" spans="1:24" ht="15.6" x14ac:dyDescent="0.3">
      <c r="A206" s="217"/>
      <c r="B206" s="230"/>
      <c r="C206" s="249"/>
      <c r="D206" s="249"/>
      <c r="E206" s="249"/>
      <c r="F206" s="249"/>
      <c r="G206" s="229"/>
      <c r="H206" s="229"/>
      <c r="I206" s="229"/>
      <c r="J206" s="229"/>
      <c r="K206" s="229"/>
      <c r="L206" s="229"/>
      <c r="M206" s="229"/>
      <c r="N206" s="229"/>
      <c r="O206" s="229"/>
      <c r="P206" s="229"/>
      <c r="Q206" s="229"/>
      <c r="R206" s="229"/>
      <c r="S206" s="229"/>
      <c r="T206" s="229"/>
      <c r="U206" s="224"/>
      <c r="V206" s="224"/>
      <c r="W206" s="224"/>
      <c r="X206" s="5"/>
    </row>
    <row r="207" spans="1:24" ht="15.6" x14ac:dyDescent="0.3">
      <c r="A207" s="352"/>
      <c r="B207" s="288" t="s">
        <v>71</v>
      </c>
      <c r="C207" s="353"/>
      <c r="D207" s="353"/>
      <c r="E207" s="353"/>
      <c r="F207" s="353"/>
      <c r="G207" s="330"/>
      <c r="H207" s="330"/>
      <c r="I207" s="330"/>
      <c r="J207" s="330"/>
      <c r="K207" s="330"/>
      <c r="L207" s="330"/>
      <c r="M207" s="330"/>
      <c r="N207" s="330"/>
      <c r="O207" s="330"/>
      <c r="P207" s="330"/>
      <c r="Q207" s="330"/>
      <c r="R207" s="330"/>
      <c r="S207" s="330"/>
      <c r="T207" s="321">
        <v>5.2819999999999999E-2</v>
      </c>
      <c r="U207" s="288"/>
      <c r="V207" s="288"/>
      <c r="W207" s="291"/>
      <c r="X207" s="5"/>
    </row>
    <row r="208" spans="1:24" ht="15.6" x14ac:dyDescent="0.3">
      <c r="A208" s="352"/>
      <c r="B208" s="288" t="s">
        <v>151</v>
      </c>
      <c r="C208" s="353"/>
      <c r="D208" s="353"/>
      <c r="E208" s="353"/>
      <c r="F208" s="353"/>
      <c r="G208" s="330"/>
      <c r="H208" s="330"/>
      <c r="I208" s="330"/>
      <c r="J208" s="330"/>
      <c r="K208" s="330"/>
      <c r="L208" s="330"/>
      <c r="M208" s="330"/>
      <c r="N208" s="330"/>
      <c r="O208" s="330"/>
      <c r="P208" s="330"/>
      <c r="Q208" s="330"/>
      <c r="R208" s="330"/>
      <c r="S208" s="330"/>
      <c r="T208" s="321">
        <v>5.7799999999999997E-2</v>
      </c>
      <c r="U208" s="288"/>
      <c r="V208" s="288"/>
      <c r="W208" s="291"/>
      <c r="X208" s="5"/>
    </row>
    <row r="209" spans="1:24" ht="15.6" x14ac:dyDescent="0.3">
      <c r="A209" s="352"/>
      <c r="B209" s="288" t="s">
        <v>72</v>
      </c>
      <c r="C209" s="353"/>
      <c r="D209" s="353"/>
      <c r="E209" s="353"/>
      <c r="F209" s="353"/>
      <c r="G209" s="330"/>
      <c r="H209" s="330"/>
      <c r="I209" s="330"/>
      <c r="J209" s="330"/>
      <c r="K209" s="330"/>
      <c r="L209" s="330"/>
      <c r="M209" s="330"/>
      <c r="N209" s="330"/>
      <c r="O209" s="330"/>
      <c r="P209" s="330"/>
      <c r="Q209" s="330"/>
      <c r="R209" s="330"/>
      <c r="S209" s="330"/>
      <c r="T209" s="321">
        <f>T207-T208</f>
        <v>-4.9799999999999983E-3</v>
      </c>
      <c r="U209" s="288"/>
      <c r="V209" s="288"/>
      <c r="W209" s="291"/>
      <c r="X209" s="5"/>
    </row>
    <row r="210" spans="1:24" ht="15.6" x14ac:dyDescent="0.3">
      <c r="A210" s="352"/>
      <c r="B210" s="288" t="s">
        <v>73</v>
      </c>
      <c r="C210" s="353"/>
      <c r="D210" s="353"/>
      <c r="E210" s="353"/>
      <c r="F210" s="353"/>
      <c r="G210" s="330"/>
      <c r="H210" s="330"/>
      <c r="I210" s="330"/>
      <c r="J210" s="330"/>
      <c r="K210" s="330"/>
      <c r="L210" s="330"/>
      <c r="M210" s="330"/>
      <c r="N210" s="330"/>
      <c r="O210" s="330"/>
      <c r="P210" s="330"/>
      <c r="Q210" s="330"/>
      <c r="R210" s="330"/>
      <c r="S210" s="330"/>
      <c r="T210" s="321">
        <v>2.3900000000000001E-2</v>
      </c>
      <c r="U210" s="288"/>
      <c r="V210" s="288"/>
      <c r="W210" s="291"/>
      <c r="X210" s="5"/>
    </row>
    <row r="211" spans="1:24" ht="15.6" x14ac:dyDescent="0.3">
      <c r="A211" s="352"/>
      <c r="B211" s="288" t="s">
        <v>219</v>
      </c>
      <c r="C211" s="353"/>
      <c r="D211" s="353"/>
      <c r="E211" s="353"/>
      <c r="F211" s="353"/>
      <c r="G211" s="330"/>
      <c r="H211" s="330"/>
      <c r="I211" s="330"/>
      <c r="J211" s="330"/>
      <c r="K211" s="330"/>
      <c r="L211" s="330"/>
      <c r="M211" s="330"/>
      <c r="N211" s="330"/>
      <c r="O211" s="330"/>
      <c r="P211" s="330"/>
      <c r="Q211" s="330"/>
      <c r="R211" s="330"/>
      <c r="S211" s="330"/>
      <c r="T211" s="321">
        <f>V43</f>
        <v>9.0022252295767317E-3</v>
      </c>
      <c r="U211" s="288"/>
      <c r="V211" s="288"/>
      <c r="W211" s="291"/>
      <c r="X211" s="5"/>
    </row>
    <row r="212" spans="1:24" ht="15.6" x14ac:dyDescent="0.3">
      <c r="A212" s="352"/>
      <c r="B212" s="288" t="s">
        <v>74</v>
      </c>
      <c r="C212" s="353"/>
      <c r="D212" s="353"/>
      <c r="E212" s="353"/>
      <c r="F212" s="353"/>
      <c r="G212" s="330"/>
      <c r="H212" s="330"/>
      <c r="I212" s="330"/>
      <c r="J212" s="330"/>
      <c r="K212" s="330"/>
      <c r="L212" s="330"/>
      <c r="M212" s="330"/>
      <c r="N212" s="330"/>
      <c r="O212" s="330"/>
      <c r="P212" s="330"/>
      <c r="Q212" s="330"/>
      <c r="R212" s="330"/>
      <c r="S212" s="330"/>
      <c r="T212" s="321">
        <f>T210-T211</f>
        <v>1.4897774770423269E-2</v>
      </c>
      <c r="U212" s="288"/>
      <c r="V212" s="288"/>
      <c r="W212" s="291"/>
      <c r="X212" s="5"/>
    </row>
    <row r="213" spans="1:24" ht="15.6" x14ac:dyDescent="0.3">
      <c r="A213" s="352"/>
      <c r="B213" s="288" t="s">
        <v>242</v>
      </c>
      <c r="C213" s="353"/>
      <c r="D213" s="353"/>
      <c r="E213" s="353"/>
      <c r="F213" s="353"/>
      <c r="G213" s="330"/>
      <c r="H213" s="330"/>
      <c r="I213" s="330"/>
      <c r="J213" s="330"/>
      <c r="K213" s="330"/>
      <c r="L213" s="330"/>
      <c r="M213" s="330"/>
      <c r="N213" s="330"/>
      <c r="O213" s="330"/>
      <c r="P213" s="330"/>
      <c r="Q213" s="330"/>
      <c r="R213" s="330"/>
      <c r="S213" s="330"/>
      <c r="T213" s="321">
        <f>V101/N71</f>
        <v>6.3234382554903995E-3</v>
      </c>
      <c r="U213" s="288"/>
      <c r="V213" s="288"/>
      <c r="W213" s="291"/>
      <c r="X213" s="5"/>
    </row>
    <row r="214" spans="1:24" ht="15.6" x14ac:dyDescent="0.3">
      <c r="A214" s="352"/>
      <c r="B214" s="288" t="s">
        <v>208</v>
      </c>
      <c r="C214" s="353"/>
      <c r="D214" s="353"/>
      <c r="E214" s="353"/>
      <c r="F214" s="353"/>
      <c r="G214" s="330"/>
      <c r="H214" s="330"/>
      <c r="I214" s="330"/>
      <c r="J214" s="330"/>
      <c r="K214" s="330"/>
      <c r="L214" s="330"/>
      <c r="M214" s="330"/>
      <c r="N214" s="330"/>
      <c r="O214" s="330"/>
      <c r="P214" s="330"/>
      <c r="Q214" s="330"/>
      <c r="R214" s="330"/>
      <c r="S214" s="330"/>
      <c r="T214" s="354">
        <v>51014</v>
      </c>
      <c r="U214" s="288"/>
      <c r="V214" s="288"/>
      <c r="W214" s="291"/>
      <c r="X214" s="5"/>
    </row>
    <row r="215" spans="1:24" ht="15.6" x14ac:dyDescent="0.3">
      <c r="A215" s="352"/>
      <c r="B215" s="288" t="s">
        <v>209</v>
      </c>
      <c r="C215" s="353"/>
      <c r="D215" s="353"/>
      <c r="E215" s="353"/>
      <c r="F215" s="353"/>
      <c r="G215" s="330"/>
      <c r="H215" s="330"/>
      <c r="I215" s="330"/>
      <c r="J215" s="330"/>
      <c r="K215" s="330"/>
      <c r="L215" s="330"/>
      <c r="M215" s="330"/>
      <c r="N215" s="330"/>
      <c r="O215" s="330"/>
      <c r="P215" s="330"/>
      <c r="Q215" s="330"/>
      <c r="R215" s="330"/>
      <c r="S215" s="330"/>
      <c r="T215" s="354">
        <v>51014</v>
      </c>
      <c r="U215" s="288"/>
      <c r="V215" s="288"/>
      <c r="W215" s="291"/>
      <c r="X215" s="5"/>
    </row>
    <row r="216" spans="1:24" ht="15.6" x14ac:dyDescent="0.3">
      <c r="A216" s="352"/>
      <c r="B216" s="288" t="s">
        <v>210</v>
      </c>
      <c r="C216" s="353"/>
      <c r="D216" s="353"/>
      <c r="E216" s="353"/>
      <c r="F216" s="353"/>
      <c r="G216" s="330"/>
      <c r="H216" s="330"/>
      <c r="I216" s="330"/>
      <c r="J216" s="330"/>
      <c r="K216" s="330"/>
      <c r="L216" s="330"/>
      <c r="M216" s="330"/>
      <c r="N216" s="330"/>
      <c r="O216" s="330"/>
      <c r="P216" s="330"/>
      <c r="Q216" s="330"/>
      <c r="R216" s="330"/>
      <c r="S216" s="330"/>
      <c r="T216" s="354">
        <v>51014</v>
      </c>
      <c r="U216" s="288"/>
      <c r="V216" s="288"/>
      <c r="W216" s="291"/>
      <c r="X216" s="5"/>
    </row>
    <row r="217" spans="1:24" ht="15.6" x14ac:dyDescent="0.3">
      <c r="A217" s="352"/>
      <c r="B217" s="288" t="s">
        <v>75</v>
      </c>
      <c r="C217" s="353"/>
      <c r="D217" s="353"/>
      <c r="E217" s="353"/>
      <c r="F217" s="353"/>
      <c r="G217" s="330"/>
      <c r="H217" s="330"/>
      <c r="I217" s="330"/>
      <c r="J217" s="330"/>
      <c r="K217" s="330"/>
      <c r="L217" s="330"/>
      <c r="M217" s="330"/>
      <c r="N217" s="330"/>
      <c r="O217" s="330"/>
      <c r="P217" s="330"/>
      <c r="Q217" s="330"/>
      <c r="R217" s="330"/>
      <c r="S217" s="330"/>
      <c r="T217" s="327">
        <v>20.66</v>
      </c>
      <c r="U217" s="288" t="s">
        <v>110</v>
      </c>
      <c r="V217" s="288"/>
      <c r="W217" s="291"/>
      <c r="X217" s="5"/>
    </row>
    <row r="218" spans="1:24" ht="15.6" x14ac:dyDescent="0.3">
      <c r="A218" s="352"/>
      <c r="B218" s="288" t="s">
        <v>76</v>
      </c>
      <c r="C218" s="353"/>
      <c r="D218" s="353"/>
      <c r="E218" s="353"/>
      <c r="F218" s="353"/>
      <c r="G218" s="330"/>
      <c r="H218" s="330"/>
      <c r="I218" s="330"/>
      <c r="J218" s="330"/>
      <c r="K218" s="330"/>
      <c r="L218" s="330"/>
      <c r="M218" s="330"/>
      <c r="N218" s="330"/>
      <c r="O218" s="330"/>
      <c r="P218" s="330"/>
      <c r="Q218" s="330"/>
      <c r="R218" s="330"/>
      <c r="S218" s="330"/>
      <c r="T218" s="327">
        <v>12.15</v>
      </c>
      <c r="U218" s="288" t="s">
        <v>110</v>
      </c>
      <c r="V218" s="288"/>
      <c r="W218" s="291"/>
      <c r="X218" s="5"/>
    </row>
    <row r="219" spans="1:24" ht="15.6" x14ac:dyDescent="0.3">
      <c r="A219" s="352"/>
      <c r="B219" s="288" t="s">
        <v>77</v>
      </c>
      <c r="C219" s="353"/>
      <c r="D219" s="353"/>
      <c r="E219" s="353"/>
      <c r="F219" s="353"/>
      <c r="G219" s="330"/>
      <c r="H219" s="330"/>
      <c r="I219" s="330"/>
      <c r="J219" s="330"/>
      <c r="K219" s="330"/>
      <c r="L219" s="330"/>
      <c r="M219" s="330"/>
      <c r="N219" s="330"/>
      <c r="O219" s="330"/>
      <c r="P219" s="330"/>
      <c r="Q219" s="330"/>
      <c r="R219" s="330"/>
      <c r="S219" s="330"/>
      <c r="T219" s="321">
        <f>+P68/N68</f>
        <v>1.7205122100359016E-2</v>
      </c>
      <c r="U219" s="288"/>
      <c r="V219" s="288"/>
      <c r="W219" s="291"/>
      <c r="X219" s="5"/>
    </row>
    <row r="220" spans="1:24" ht="15.6" x14ac:dyDescent="0.3">
      <c r="A220" s="352"/>
      <c r="B220" s="288" t="s">
        <v>78</v>
      </c>
      <c r="C220" s="353"/>
      <c r="D220" s="353"/>
      <c r="E220" s="353"/>
      <c r="F220" s="353"/>
      <c r="G220" s="330"/>
      <c r="H220" s="330"/>
      <c r="I220" s="330"/>
      <c r="J220" s="330"/>
      <c r="K220" s="330"/>
      <c r="L220" s="330"/>
      <c r="M220" s="330"/>
      <c r="N220" s="330"/>
      <c r="O220" s="330"/>
      <c r="P220" s="330"/>
      <c r="Q220" s="330"/>
      <c r="R220" s="330"/>
      <c r="S220" s="330"/>
      <c r="T220" s="321">
        <v>5.1200000000000002E-2</v>
      </c>
      <c r="U220" s="288"/>
      <c r="V220" s="288"/>
      <c r="W220" s="291"/>
      <c r="X220" s="5"/>
    </row>
    <row r="221" spans="1:24" ht="15.6" x14ac:dyDescent="0.3">
      <c r="A221" s="217"/>
      <c r="B221" s="284"/>
      <c r="C221" s="284"/>
      <c r="D221" s="284"/>
      <c r="E221" s="284"/>
      <c r="F221" s="284"/>
      <c r="G221" s="284"/>
      <c r="H221" s="284"/>
      <c r="I221" s="284"/>
      <c r="J221" s="284"/>
      <c r="K221" s="284"/>
      <c r="L221" s="284"/>
      <c r="M221" s="284"/>
      <c r="N221" s="284"/>
      <c r="O221" s="284"/>
      <c r="P221" s="284"/>
      <c r="Q221" s="284"/>
      <c r="R221" s="284"/>
      <c r="S221" s="284"/>
      <c r="T221" s="349"/>
      <c r="U221" s="284"/>
      <c r="V221" s="351"/>
      <c r="W221" s="284"/>
      <c r="X221" s="5"/>
    </row>
    <row r="222" spans="1:24" ht="15.6" x14ac:dyDescent="0.3">
      <c r="A222" s="278"/>
      <c r="B222" s="399" t="s">
        <v>79</v>
      </c>
      <c r="C222" s="400"/>
      <c r="D222" s="400"/>
      <c r="E222" s="400"/>
      <c r="F222" s="406"/>
      <c r="G222" s="400"/>
      <c r="H222" s="400"/>
      <c r="I222" s="400"/>
      <c r="J222" s="400"/>
      <c r="K222" s="400"/>
      <c r="L222" s="400"/>
      <c r="M222" s="400"/>
      <c r="N222" s="400"/>
      <c r="O222" s="400"/>
      <c r="P222" s="400"/>
      <c r="Q222" s="400"/>
      <c r="R222" s="400"/>
      <c r="S222" s="400" t="s">
        <v>102</v>
      </c>
      <c r="T222" s="406" t="s">
        <v>108</v>
      </c>
      <c r="U222" s="263"/>
      <c r="V222" s="263"/>
      <c r="W222" s="263"/>
      <c r="X222" s="5"/>
    </row>
    <row r="223" spans="1:24" ht="15.6" x14ac:dyDescent="0.3">
      <c r="A223" s="218"/>
      <c r="B223" s="231" t="s">
        <v>80</v>
      </c>
      <c r="C223" s="234"/>
      <c r="D223" s="234"/>
      <c r="E223" s="234"/>
      <c r="F223" s="231"/>
      <c r="G223" s="231"/>
      <c r="H223" s="233"/>
      <c r="I223" s="233"/>
      <c r="J223" s="233"/>
      <c r="K223" s="233"/>
      <c r="L223" s="233"/>
      <c r="M223" s="233"/>
      <c r="N223" s="233"/>
      <c r="O223" s="233"/>
      <c r="P223" s="233"/>
      <c r="Q223" s="233"/>
      <c r="R223" s="233"/>
      <c r="S223" s="233">
        <v>2</v>
      </c>
      <c r="T223" s="251">
        <v>263</v>
      </c>
      <c r="U223" s="231"/>
      <c r="V223" s="250"/>
      <c r="W223" s="252"/>
      <c r="X223" s="5"/>
    </row>
    <row r="224" spans="1:24" ht="15.6" x14ac:dyDescent="0.3">
      <c r="A224" s="362"/>
      <c r="B224" s="288" t="s">
        <v>145</v>
      </c>
      <c r="C224" s="337"/>
      <c r="D224" s="337"/>
      <c r="E224" s="337"/>
      <c r="F224" s="288"/>
      <c r="G224" s="288"/>
      <c r="H224" s="296"/>
      <c r="I224" s="296"/>
      <c r="J224" s="296"/>
      <c r="K224" s="296"/>
      <c r="L224" s="296"/>
      <c r="M224" s="296"/>
      <c r="N224" s="296"/>
      <c r="O224" s="296"/>
      <c r="P224" s="296"/>
      <c r="Q224" s="296"/>
      <c r="R224" s="296"/>
      <c r="S224" s="363">
        <f>+R276</f>
        <v>130</v>
      </c>
      <c r="T224" s="364">
        <f>+T276</f>
        <v>19036</v>
      </c>
      <c r="U224" s="288"/>
      <c r="V224" s="365"/>
      <c r="W224" s="366"/>
      <c r="X224" s="5"/>
    </row>
    <row r="225" spans="1:24" ht="15.6" x14ac:dyDescent="0.3">
      <c r="A225" s="362"/>
      <c r="B225" s="288" t="s">
        <v>81</v>
      </c>
      <c r="C225" s="337"/>
      <c r="D225" s="337"/>
      <c r="E225" s="337"/>
      <c r="F225" s="288"/>
      <c r="G225" s="288"/>
      <c r="H225" s="296"/>
      <c r="I225" s="296"/>
      <c r="J225" s="296"/>
      <c r="K225" s="296"/>
      <c r="L225" s="296"/>
      <c r="M225" s="296"/>
      <c r="N225" s="296"/>
      <c r="O225" s="296"/>
      <c r="P225" s="296"/>
      <c r="Q225" s="296"/>
      <c r="R225" s="296"/>
      <c r="S225" s="363">
        <f>+R288</f>
        <v>0</v>
      </c>
      <c r="T225" s="364">
        <f>+T288</f>
        <v>0</v>
      </c>
      <c r="U225" s="288"/>
      <c r="V225" s="365"/>
      <c r="W225" s="366"/>
      <c r="X225" s="5"/>
    </row>
    <row r="226" spans="1:24" ht="15.6" x14ac:dyDescent="0.3">
      <c r="A226" s="362"/>
      <c r="B226" s="313" t="s">
        <v>82</v>
      </c>
      <c r="C226" s="367"/>
      <c r="D226" s="367"/>
      <c r="E226" s="367"/>
      <c r="F226" s="314"/>
      <c r="G226" s="314"/>
      <c r="H226" s="314"/>
      <c r="I226" s="314"/>
      <c r="J226" s="314"/>
      <c r="K226" s="314"/>
      <c r="L226" s="314"/>
      <c r="M226" s="314"/>
      <c r="N226" s="314"/>
      <c r="O226" s="314"/>
      <c r="P226" s="314"/>
      <c r="Q226" s="314"/>
      <c r="R226" s="314"/>
      <c r="S226" s="314"/>
      <c r="T226" s="364">
        <v>0</v>
      </c>
      <c r="U226" s="314"/>
      <c r="V226" s="369"/>
      <c r="W226" s="370"/>
      <c r="X226" s="5"/>
    </row>
    <row r="227" spans="1:24" ht="15.6" x14ac:dyDescent="0.3">
      <c r="A227" s="362"/>
      <c r="B227" s="313" t="s">
        <v>243</v>
      </c>
      <c r="C227" s="367"/>
      <c r="D227" s="367"/>
      <c r="E227" s="367"/>
      <c r="F227" s="314"/>
      <c r="G227" s="314"/>
      <c r="H227" s="314"/>
      <c r="I227" s="314"/>
      <c r="J227" s="314"/>
      <c r="K227" s="314"/>
      <c r="L227" s="314"/>
      <c r="M227" s="314"/>
      <c r="N227" s="314"/>
      <c r="O227" s="314"/>
      <c r="P227" s="314"/>
      <c r="Q227" s="314"/>
      <c r="R227" s="314"/>
      <c r="S227" s="314"/>
      <c r="T227" s="364">
        <f>+N81</f>
        <v>0</v>
      </c>
      <c r="U227" s="314"/>
      <c r="V227" s="369"/>
      <c r="W227" s="370"/>
      <c r="X227" s="5"/>
    </row>
    <row r="228" spans="1:24" ht="15.6" x14ac:dyDescent="0.3">
      <c r="A228" s="371"/>
      <c r="B228" s="313" t="s">
        <v>83</v>
      </c>
      <c r="C228" s="372"/>
      <c r="D228" s="372"/>
      <c r="E228" s="372"/>
      <c r="F228" s="372"/>
      <c r="G228" s="314"/>
      <c r="H228" s="314"/>
      <c r="I228" s="314"/>
      <c r="J228" s="314"/>
      <c r="K228" s="314"/>
      <c r="L228" s="314"/>
      <c r="M228" s="314"/>
      <c r="N228" s="314"/>
      <c r="O228" s="314"/>
      <c r="P228" s="314"/>
      <c r="Q228" s="314"/>
      <c r="R228" s="314"/>
      <c r="S228" s="314"/>
      <c r="T228" s="368"/>
      <c r="U228" s="314"/>
      <c r="V228" s="369"/>
      <c r="W228" s="373"/>
      <c r="X228" s="5"/>
    </row>
    <row r="229" spans="1:24" ht="15.6" x14ac:dyDescent="0.3">
      <c r="A229" s="371"/>
      <c r="B229" s="288" t="s">
        <v>84</v>
      </c>
      <c r="C229" s="288"/>
      <c r="D229" s="288"/>
      <c r="E229" s="288"/>
      <c r="F229" s="288"/>
      <c r="G229" s="288"/>
      <c r="H229" s="288"/>
      <c r="I229" s="288"/>
      <c r="J229" s="288"/>
      <c r="K229" s="288"/>
      <c r="L229" s="288"/>
      <c r="M229" s="288"/>
      <c r="N229" s="288"/>
      <c r="O229" s="288"/>
      <c r="P229" s="288"/>
      <c r="Q229" s="288"/>
      <c r="R229" s="288"/>
      <c r="S229" s="296"/>
      <c r="T229" s="364">
        <f>V167</f>
        <v>226</v>
      </c>
      <c r="U229" s="288"/>
      <c r="V229" s="365"/>
      <c r="W229" s="378"/>
      <c r="X229" s="5"/>
    </row>
    <row r="230" spans="1:24" ht="15.6" x14ac:dyDescent="0.3">
      <c r="A230" s="362"/>
      <c r="B230" s="288" t="s">
        <v>85</v>
      </c>
      <c r="C230" s="337"/>
      <c r="D230" s="337"/>
      <c r="E230" s="337"/>
      <c r="F230" s="337"/>
      <c r="G230" s="288"/>
      <c r="H230" s="288"/>
      <c r="I230" s="288"/>
      <c r="J230" s="288"/>
      <c r="K230" s="288"/>
      <c r="L230" s="288"/>
      <c r="M230" s="288"/>
      <c r="N230" s="288"/>
      <c r="O230" s="288"/>
      <c r="P230" s="288"/>
      <c r="Q230" s="288"/>
      <c r="R230" s="288"/>
      <c r="S230" s="296"/>
      <c r="T230" s="364">
        <f>'May 16'!T230+T229</f>
        <v>6913</v>
      </c>
      <c r="U230" s="288"/>
      <c r="V230" s="365"/>
      <c r="W230" s="378"/>
      <c r="X230" s="5"/>
    </row>
    <row r="231" spans="1:24" ht="15.6" x14ac:dyDescent="0.3">
      <c r="A231" s="371"/>
      <c r="B231" s="313" t="s">
        <v>295</v>
      </c>
      <c r="C231" s="372"/>
      <c r="D231" s="372"/>
      <c r="E231" s="372"/>
      <c r="F231" s="372"/>
      <c r="G231" s="314"/>
      <c r="H231" s="314"/>
      <c r="I231" s="314"/>
      <c r="J231" s="314"/>
      <c r="K231" s="314"/>
      <c r="L231" s="314"/>
      <c r="M231" s="314"/>
      <c r="N231" s="314"/>
      <c r="O231" s="314"/>
      <c r="P231" s="314"/>
      <c r="Q231" s="314"/>
      <c r="R231" s="314"/>
      <c r="S231" s="316"/>
      <c r="T231" s="368"/>
      <c r="U231" s="314"/>
      <c r="V231" s="369"/>
      <c r="W231" s="373"/>
      <c r="X231" s="5"/>
    </row>
    <row r="232" spans="1:24" ht="15.6" x14ac:dyDescent="0.3">
      <c r="A232" s="371"/>
      <c r="B232" s="288" t="s">
        <v>291</v>
      </c>
      <c r="C232" s="288"/>
      <c r="D232" s="288"/>
      <c r="E232" s="288"/>
      <c r="F232" s="288"/>
      <c r="G232" s="288"/>
      <c r="H232" s="288"/>
      <c r="I232" s="288"/>
      <c r="J232" s="288"/>
      <c r="K232" s="288"/>
      <c r="L232" s="288"/>
      <c r="M232" s="288"/>
      <c r="N232" s="288"/>
      <c r="O232" s="288"/>
      <c r="P232" s="288"/>
      <c r="Q232" s="288"/>
      <c r="R232" s="288"/>
      <c r="S232" s="296">
        <v>1</v>
      </c>
      <c r="T232" s="364">
        <v>127</v>
      </c>
      <c r="U232" s="288"/>
      <c r="V232" s="365"/>
      <c r="W232" s="378"/>
      <c r="X232" s="5"/>
    </row>
    <row r="233" spans="1:24" ht="15.6" x14ac:dyDescent="0.3">
      <c r="A233" s="362"/>
      <c r="B233" s="288" t="s">
        <v>86</v>
      </c>
      <c r="C233" s="325"/>
      <c r="D233" s="325"/>
      <c r="E233" s="325"/>
      <c r="F233" s="379"/>
      <c r="G233" s="288"/>
      <c r="H233" s="288"/>
      <c r="I233" s="288"/>
      <c r="J233" s="288"/>
      <c r="K233" s="288"/>
      <c r="L233" s="288"/>
      <c r="M233" s="288"/>
      <c r="N233" s="288"/>
      <c r="O233" s="288"/>
      <c r="P233" s="288"/>
      <c r="Q233" s="288"/>
      <c r="R233" s="288"/>
      <c r="S233" s="288"/>
      <c r="T233" s="380">
        <v>12.73</v>
      </c>
      <c r="U233" s="288"/>
      <c r="V233" s="365"/>
      <c r="W233" s="378"/>
      <c r="X233" s="5"/>
    </row>
    <row r="234" spans="1:24" ht="15.6" x14ac:dyDescent="0.3">
      <c r="A234" s="362"/>
      <c r="B234" s="288" t="s">
        <v>87</v>
      </c>
      <c r="C234" s="325"/>
      <c r="D234" s="325"/>
      <c r="E234" s="325"/>
      <c r="F234" s="379"/>
      <c r="G234" s="288"/>
      <c r="H234" s="288"/>
      <c r="I234" s="288"/>
      <c r="J234" s="288"/>
      <c r="K234" s="288"/>
      <c r="L234" s="288"/>
      <c r="M234" s="288"/>
      <c r="N234" s="288"/>
      <c r="O234" s="288"/>
      <c r="P234" s="288"/>
      <c r="Q234" s="288"/>
      <c r="R234" s="288"/>
      <c r="S234" s="288"/>
      <c r="T234" s="380">
        <v>4.99</v>
      </c>
      <c r="U234" s="288"/>
      <c r="V234" s="365"/>
      <c r="W234" s="378"/>
      <c r="X234" s="5"/>
    </row>
    <row r="235" spans="1:24" ht="15.6" x14ac:dyDescent="0.3">
      <c r="A235" s="362"/>
      <c r="B235" s="313" t="s">
        <v>217</v>
      </c>
      <c r="C235" s="381"/>
      <c r="D235" s="381"/>
      <c r="E235" s="381"/>
      <c r="F235" s="382"/>
      <c r="G235" s="314"/>
      <c r="H235" s="314"/>
      <c r="I235" s="314"/>
      <c r="J235" s="314"/>
      <c r="K235" s="314"/>
      <c r="L235" s="314"/>
      <c r="M235" s="314"/>
      <c r="N235" s="314"/>
      <c r="O235" s="314"/>
      <c r="P235" s="314"/>
      <c r="Q235" s="314"/>
      <c r="R235" s="314"/>
      <c r="S235" s="314"/>
      <c r="T235" s="383"/>
      <c r="U235" s="314"/>
      <c r="V235" s="369"/>
      <c r="W235" s="373"/>
      <c r="X235" s="5"/>
    </row>
    <row r="236" spans="1:24" ht="15.6" x14ac:dyDescent="0.3">
      <c r="A236" s="362"/>
      <c r="B236" s="288" t="s">
        <v>291</v>
      </c>
      <c r="C236" s="381"/>
      <c r="D236" s="381"/>
      <c r="E236" s="381"/>
      <c r="F236" s="382"/>
      <c r="G236" s="314"/>
      <c r="H236" s="314"/>
      <c r="I236" s="314"/>
      <c r="J236" s="314"/>
      <c r="K236" s="314"/>
      <c r="L236" s="314"/>
      <c r="M236" s="314"/>
      <c r="N236" s="314"/>
      <c r="O236" s="314"/>
      <c r="P236" s="314"/>
      <c r="Q236" s="314"/>
      <c r="R236" s="314"/>
      <c r="S236" s="296">
        <v>3</v>
      </c>
      <c r="T236" s="364">
        <v>507</v>
      </c>
      <c r="U236" s="314"/>
      <c r="V236" s="369"/>
      <c r="W236" s="373"/>
      <c r="X236" s="5"/>
    </row>
    <row r="237" spans="1:24" ht="15.6" x14ac:dyDescent="0.3">
      <c r="A237" s="362"/>
      <c r="B237" s="288" t="s">
        <v>218</v>
      </c>
      <c r="C237" s="381"/>
      <c r="D237" s="381"/>
      <c r="E237" s="381"/>
      <c r="F237" s="382"/>
      <c r="G237" s="314"/>
      <c r="H237" s="314"/>
      <c r="I237" s="314"/>
      <c r="J237" s="314"/>
      <c r="K237" s="314"/>
      <c r="L237" s="314"/>
      <c r="M237" s="314"/>
      <c r="N237" s="314"/>
      <c r="O237" s="314"/>
      <c r="P237" s="314"/>
      <c r="Q237" s="314"/>
      <c r="R237" s="314"/>
      <c r="S237" s="288"/>
      <c r="T237" s="380">
        <v>7.97</v>
      </c>
      <c r="U237" s="314"/>
      <c r="V237" s="369"/>
      <c r="W237" s="373"/>
      <c r="X237" s="5"/>
    </row>
    <row r="238" spans="1:24" ht="15.6" x14ac:dyDescent="0.3">
      <c r="A238" s="362"/>
      <c r="B238" s="372"/>
      <c r="C238" s="381"/>
      <c r="D238" s="381"/>
      <c r="E238" s="381"/>
      <c r="F238" s="382"/>
      <c r="G238" s="314"/>
      <c r="H238" s="314"/>
      <c r="I238" s="314"/>
      <c r="J238" s="314"/>
      <c r="K238" s="314"/>
      <c r="L238" s="314"/>
      <c r="M238" s="314"/>
      <c r="N238" s="314"/>
      <c r="O238" s="314"/>
      <c r="P238" s="314"/>
      <c r="Q238" s="314"/>
      <c r="R238" s="314"/>
      <c r="S238" s="314"/>
      <c r="T238" s="383"/>
      <c r="U238" s="314"/>
      <c r="V238" s="369"/>
      <c r="W238" s="373"/>
      <c r="X238" s="5"/>
    </row>
    <row r="239" spans="1:24" ht="15.6" x14ac:dyDescent="0.3">
      <c r="A239" s="362"/>
      <c r="B239" s="372"/>
      <c r="C239" s="381"/>
      <c r="D239" s="381"/>
      <c r="E239" s="381"/>
      <c r="F239" s="382"/>
      <c r="G239" s="314"/>
      <c r="H239" s="314"/>
      <c r="I239" s="314"/>
      <c r="J239" s="314"/>
      <c r="K239" s="314"/>
      <c r="L239" s="314"/>
      <c r="M239" s="314"/>
      <c r="N239" s="314"/>
      <c r="O239" s="314"/>
      <c r="P239" s="314"/>
      <c r="Q239" s="314"/>
      <c r="R239" s="314"/>
      <c r="S239" s="314"/>
      <c r="T239" s="383"/>
      <c r="U239" s="314"/>
      <c r="V239" s="369"/>
      <c r="W239" s="373"/>
      <c r="X239" s="5"/>
    </row>
    <row r="240" spans="1:24" ht="17.399999999999999" x14ac:dyDescent="0.3">
      <c r="A240" s="362"/>
      <c r="B240" s="384" t="s">
        <v>168</v>
      </c>
      <c r="C240" s="381"/>
      <c r="D240" s="381"/>
      <c r="E240" s="381"/>
      <c r="F240" s="382"/>
      <c r="G240" s="314"/>
      <c r="H240" s="314"/>
      <c r="I240" s="314"/>
      <c r="J240" s="314"/>
      <c r="K240" s="314"/>
      <c r="L240" s="314"/>
      <c r="M240" s="314"/>
      <c r="N240" s="314"/>
      <c r="O240" s="314"/>
      <c r="P240" s="385" t="s">
        <v>167</v>
      </c>
      <c r="Q240" s="314"/>
      <c r="R240" s="314"/>
      <c r="S240" s="314"/>
      <c r="T240" s="383"/>
      <c r="U240" s="314"/>
      <c r="V240" s="369"/>
      <c r="W240" s="373"/>
      <c r="X240" s="5"/>
    </row>
    <row r="241" spans="1:25" ht="15.6" x14ac:dyDescent="0.3">
      <c r="A241" s="355"/>
      <c r="B241" s="356"/>
      <c r="C241" s="357"/>
      <c r="D241" s="357"/>
      <c r="E241" s="357"/>
      <c r="F241" s="358"/>
      <c r="G241" s="198"/>
      <c r="H241" s="198"/>
      <c r="I241" s="198"/>
      <c r="J241" s="198"/>
      <c r="K241" s="198"/>
      <c r="L241" s="198"/>
      <c r="M241" s="198"/>
      <c r="N241" s="198"/>
      <c r="O241" s="198"/>
      <c r="P241" s="198"/>
      <c r="Q241" s="198"/>
      <c r="R241" s="198"/>
      <c r="S241" s="198"/>
      <c r="T241" s="359"/>
      <c r="U241" s="198"/>
      <c r="V241" s="360"/>
      <c r="W241" s="361"/>
      <c r="X241" s="5"/>
    </row>
    <row r="242" spans="1:25" ht="15.6" x14ac:dyDescent="0.3">
      <c r="A242" s="262"/>
      <c r="B242" s="399" t="s">
        <v>308</v>
      </c>
      <c r="C242" s="400"/>
      <c r="D242" s="400"/>
      <c r="E242" s="400"/>
      <c r="F242" s="406"/>
      <c r="G242" s="400"/>
      <c r="H242" s="400"/>
      <c r="I242" s="400"/>
      <c r="J242" s="400"/>
      <c r="K242" s="400"/>
      <c r="L242" s="400"/>
      <c r="M242" s="400"/>
      <c r="N242" s="400"/>
      <c r="O242" s="400"/>
      <c r="P242" s="400"/>
      <c r="Q242" s="400"/>
      <c r="R242" s="406" t="s">
        <v>102</v>
      </c>
      <c r="S242" s="400" t="s">
        <v>103</v>
      </c>
      <c r="T242" s="406" t="s">
        <v>109</v>
      </c>
      <c r="U242" s="400" t="s">
        <v>103</v>
      </c>
      <c r="V242" s="263"/>
      <c r="W242" s="399"/>
      <c r="X242" s="5"/>
    </row>
    <row r="243" spans="1:25" ht="15.6" x14ac:dyDescent="0.3">
      <c r="A243" s="197"/>
      <c r="B243" s="234" t="s">
        <v>88</v>
      </c>
      <c r="C243" s="253"/>
      <c r="D243" s="253"/>
      <c r="E243" s="253"/>
      <c r="F243" s="231"/>
      <c r="G243" s="253"/>
      <c r="H243" s="253"/>
      <c r="I243" s="253"/>
      <c r="J243" s="253"/>
      <c r="K243" s="253"/>
      <c r="L243" s="253"/>
      <c r="M243" s="253"/>
      <c r="N243" s="253"/>
      <c r="O243" s="253"/>
      <c r="P243" s="253"/>
      <c r="Q243" s="253"/>
      <c r="R243" s="234">
        <f t="shared" ref="R243:R250" si="1">+R255+R267+R279</f>
        <v>6786</v>
      </c>
      <c r="S243" s="254">
        <f t="shared" ref="S243:S250" si="2">R243/$R$252</f>
        <v>0.99589081303199301</v>
      </c>
      <c r="T243" s="241">
        <f t="shared" ref="T243:T250" si="3">+T255+T267+T279</f>
        <v>933000</v>
      </c>
      <c r="U243" s="254">
        <f t="shared" ref="U243:U250" si="4">T243/$T$252</f>
        <v>0.99554193547010283</v>
      </c>
      <c r="V243" s="250"/>
      <c r="W243" s="232"/>
      <c r="X243" s="5"/>
    </row>
    <row r="244" spans="1:25" ht="15.6" x14ac:dyDescent="0.3">
      <c r="A244" s="287"/>
      <c r="B244" s="337" t="s">
        <v>89</v>
      </c>
      <c r="C244" s="389"/>
      <c r="D244" s="389"/>
      <c r="E244" s="389"/>
      <c r="F244" s="288"/>
      <c r="G244" s="390"/>
      <c r="H244" s="389"/>
      <c r="I244" s="389"/>
      <c r="J244" s="389"/>
      <c r="K244" s="389"/>
      <c r="L244" s="389"/>
      <c r="M244" s="389"/>
      <c r="N244" s="389"/>
      <c r="O244" s="389"/>
      <c r="P244" s="389"/>
      <c r="Q244" s="389"/>
      <c r="R244" s="337">
        <f t="shared" si="1"/>
        <v>11</v>
      </c>
      <c r="S244" s="390">
        <f t="shared" si="2"/>
        <v>1.6143234517170531E-3</v>
      </c>
      <c r="T244" s="338">
        <f t="shared" si="3"/>
        <v>1784</v>
      </c>
      <c r="U244" s="390">
        <f t="shared" si="4"/>
        <v>1.9035871520671633E-3</v>
      </c>
      <c r="V244" s="365"/>
      <c r="W244" s="378"/>
      <c r="X244" s="5"/>
      <c r="Y244" s="109"/>
    </row>
    <row r="245" spans="1:25" ht="15.6" x14ac:dyDescent="0.3">
      <c r="A245" s="287"/>
      <c r="B245" s="337" t="s">
        <v>90</v>
      </c>
      <c r="C245" s="389"/>
      <c r="D245" s="389"/>
      <c r="E245" s="389"/>
      <c r="F245" s="288"/>
      <c r="G245" s="390"/>
      <c r="H245" s="389"/>
      <c r="I245" s="389"/>
      <c r="J245" s="389"/>
      <c r="K245" s="389"/>
      <c r="L245" s="389"/>
      <c r="M245" s="389"/>
      <c r="N245" s="389"/>
      <c r="O245" s="389"/>
      <c r="P245" s="389"/>
      <c r="Q245" s="389"/>
      <c r="R245" s="337">
        <f t="shared" si="1"/>
        <v>4</v>
      </c>
      <c r="S245" s="390">
        <f t="shared" si="2"/>
        <v>5.87026709715292E-4</v>
      </c>
      <c r="T245" s="338">
        <f t="shared" si="3"/>
        <v>570</v>
      </c>
      <c r="U245" s="390">
        <f t="shared" si="4"/>
        <v>6.0820889948334257E-4</v>
      </c>
      <c r="V245" s="365"/>
      <c r="W245" s="378"/>
      <c r="X245" s="5"/>
    </row>
    <row r="246" spans="1:25" ht="15.6" x14ac:dyDescent="0.3">
      <c r="A246" s="287"/>
      <c r="B246" s="337" t="s">
        <v>156</v>
      </c>
      <c r="C246" s="389"/>
      <c r="D246" s="389"/>
      <c r="E246" s="389"/>
      <c r="F246" s="288"/>
      <c r="G246" s="390"/>
      <c r="H246" s="389"/>
      <c r="I246" s="389"/>
      <c r="J246" s="389"/>
      <c r="K246" s="389"/>
      <c r="L246" s="389"/>
      <c r="M246" s="389"/>
      <c r="N246" s="389"/>
      <c r="O246" s="389"/>
      <c r="P246" s="389"/>
      <c r="Q246" s="389"/>
      <c r="R246" s="337">
        <f t="shared" si="1"/>
        <v>1</v>
      </c>
      <c r="S246" s="390">
        <f t="shared" si="2"/>
        <v>1.46756677428823E-4</v>
      </c>
      <c r="T246" s="338">
        <f t="shared" si="3"/>
        <v>99</v>
      </c>
      <c r="U246" s="390">
        <f t="shared" si="4"/>
        <v>1.0563628254184371E-4</v>
      </c>
      <c r="V246" s="365"/>
      <c r="W246" s="378"/>
      <c r="X246" s="5"/>
      <c r="Y246" s="109"/>
    </row>
    <row r="247" spans="1:25" ht="15.6" x14ac:dyDescent="0.3">
      <c r="A247" s="287"/>
      <c r="B247" s="337" t="s">
        <v>157</v>
      </c>
      <c r="C247" s="389"/>
      <c r="D247" s="389"/>
      <c r="E247" s="389"/>
      <c r="F247" s="288"/>
      <c r="G247" s="390"/>
      <c r="H247" s="389"/>
      <c r="I247" s="389"/>
      <c r="J247" s="389"/>
      <c r="K247" s="389"/>
      <c r="L247" s="389"/>
      <c r="M247" s="389"/>
      <c r="N247" s="389"/>
      <c r="O247" s="389"/>
      <c r="P247" s="389"/>
      <c r="Q247" s="389"/>
      <c r="R247" s="337">
        <f t="shared" si="1"/>
        <v>1</v>
      </c>
      <c r="S247" s="390">
        <f t="shared" si="2"/>
        <v>1.46756677428823E-4</v>
      </c>
      <c r="T247" s="338">
        <f t="shared" si="3"/>
        <v>190</v>
      </c>
      <c r="U247" s="390">
        <f t="shared" si="4"/>
        <v>2.0273629982778084E-4</v>
      </c>
      <c r="V247" s="365"/>
      <c r="W247" s="378"/>
      <c r="X247" s="5"/>
    </row>
    <row r="248" spans="1:25" ht="15.6" x14ac:dyDescent="0.3">
      <c r="A248" s="287"/>
      <c r="B248" s="337" t="s">
        <v>158</v>
      </c>
      <c r="C248" s="389"/>
      <c r="D248" s="389"/>
      <c r="E248" s="389"/>
      <c r="F248" s="288"/>
      <c r="G248" s="390"/>
      <c r="H248" s="389"/>
      <c r="I248" s="389"/>
      <c r="J248" s="389"/>
      <c r="K248" s="389"/>
      <c r="L248" s="389"/>
      <c r="M248" s="389"/>
      <c r="N248" s="389"/>
      <c r="O248" s="389"/>
      <c r="P248" s="389"/>
      <c r="Q248" s="389"/>
      <c r="R248" s="337">
        <f t="shared" si="1"/>
        <v>3</v>
      </c>
      <c r="S248" s="390">
        <f t="shared" si="2"/>
        <v>4.4027003228646906E-4</v>
      </c>
      <c r="T248" s="338">
        <f t="shared" si="3"/>
        <v>303</v>
      </c>
      <c r="U248" s="390">
        <f t="shared" si="4"/>
        <v>3.2331104656746105E-4</v>
      </c>
      <c r="V248" s="365"/>
      <c r="W248" s="378"/>
      <c r="X248" s="5"/>
      <c r="Y248" s="109"/>
    </row>
    <row r="249" spans="1:25" ht="15.6" x14ac:dyDescent="0.3">
      <c r="A249" s="287"/>
      <c r="B249" s="337" t="s">
        <v>159</v>
      </c>
      <c r="C249" s="389"/>
      <c r="D249" s="389"/>
      <c r="E249" s="389"/>
      <c r="F249" s="288"/>
      <c r="G249" s="390"/>
      <c r="H249" s="389"/>
      <c r="I249" s="389"/>
      <c r="J249" s="389"/>
      <c r="K249" s="389"/>
      <c r="L249" s="389"/>
      <c r="M249" s="389"/>
      <c r="N249" s="389"/>
      <c r="O249" s="389"/>
      <c r="P249" s="389"/>
      <c r="Q249" s="389"/>
      <c r="R249" s="337">
        <f t="shared" si="1"/>
        <v>0</v>
      </c>
      <c r="S249" s="390">
        <f t="shared" si="2"/>
        <v>0</v>
      </c>
      <c r="T249" s="338">
        <f t="shared" si="3"/>
        <v>0</v>
      </c>
      <c r="U249" s="390">
        <f t="shared" si="4"/>
        <v>0</v>
      </c>
      <c r="V249" s="365"/>
      <c r="W249" s="378"/>
      <c r="X249" s="5"/>
    </row>
    <row r="250" spans="1:25" ht="15.6" x14ac:dyDescent="0.3">
      <c r="A250" s="287"/>
      <c r="B250" s="337" t="s">
        <v>160</v>
      </c>
      <c r="C250" s="389"/>
      <c r="D250" s="389"/>
      <c r="E250" s="389"/>
      <c r="F250" s="288"/>
      <c r="G250" s="390"/>
      <c r="H250" s="389"/>
      <c r="I250" s="389"/>
      <c r="J250" s="389"/>
      <c r="K250" s="389"/>
      <c r="L250" s="389"/>
      <c r="M250" s="389"/>
      <c r="N250" s="389"/>
      <c r="O250" s="389"/>
      <c r="P250" s="389"/>
      <c r="Q250" s="389"/>
      <c r="R250" s="339">
        <f t="shared" si="1"/>
        <v>8</v>
      </c>
      <c r="S250" s="393">
        <f t="shared" si="2"/>
        <v>1.174053419430584E-3</v>
      </c>
      <c r="T250" s="394">
        <f t="shared" si="3"/>
        <v>1232</v>
      </c>
      <c r="U250" s="393">
        <f t="shared" si="4"/>
        <v>1.3145848494096105E-3</v>
      </c>
      <c r="V250" s="365"/>
      <c r="W250" s="378"/>
      <c r="X250" s="5"/>
      <c r="Y250" s="109"/>
    </row>
    <row r="251" spans="1:25" ht="15.6" x14ac:dyDescent="0.3">
      <c r="A251" s="287"/>
      <c r="B251" s="337"/>
      <c r="C251" s="389"/>
      <c r="D251" s="389"/>
      <c r="E251" s="389"/>
      <c r="F251" s="288"/>
      <c r="G251" s="390"/>
      <c r="H251" s="389"/>
      <c r="I251" s="389"/>
      <c r="J251" s="389"/>
      <c r="K251" s="389"/>
      <c r="L251" s="389"/>
      <c r="M251" s="389"/>
      <c r="N251" s="389"/>
      <c r="O251" s="389"/>
      <c r="P251" s="389"/>
      <c r="Q251" s="389"/>
      <c r="R251" s="337"/>
      <c r="S251" s="390"/>
      <c r="T251" s="338"/>
      <c r="U251" s="390"/>
      <c r="V251" s="365"/>
      <c r="W251" s="378"/>
      <c r="X251" s="5"/>
    </row>
    <row r="252" spans="1:25" ht="15.6" x14ac:dyDescent="0.3">
      <c r="A252" s="287"/>
      <c r="B252" s="288"/>
      <c r="C252" s="288"/>
      <c r="D252" s="288"/>
      <c r="E252" s="288"/>
      <c r="F252" s="288"/>
      <c r="G252" s="288"/>
      <c r="H252" s="391"/>
      <c r="I252" s="391"/>
      <c r="J252" s="391"/>
      <c r="K252" s="391"/>
      <c r="L252" s="391"/>
      <c r="M252" s="391"/>
      <c r="N252" s="391"/>
      <c r="O252" s="391"/>
      <c r="P252" s="391"/>
      <c r="Q252" s="391"/>
      <c r="R252" s="337">
        <f>SUM(R243:R251)</f>
        <v>6814</v>
      </c>
      <c r="S252" s="390">
        <f>SUM(S243:S251)</f>
        <v>1</v>
      </c>
      <c r="T252" s="338">
        <f>SUM(T243:T251)</f>
        <v>937178</v>
      </c>
      <c r="U252" s="390">
        <f>SUM(U243:U251)</f>
        <v>1.0000000000000002</v>
      </c>
      <c r="V252" s="288"/>
      <c r="W252" s="291"/>
      <c r="X252" s="5"/>
    </row>
    <row r="253" spans="1:25" ht="15.6" x14ac:dyDescent="0.3">
      <c r="A253" s="183"/>
      <c r="B253" s="198"/>
      <c r="C253" s="198"/>
      <c r="D253" s="198"/>
      <c r="E253" s="198"/>
      <c r="F253" s="198"/>
      <c r="G253" s="198"/>
      <c r="H253" s="386"/>
      <c r="I253" s="386"/>
      <c r="J253" s="386"/>
      <c r="K253" s="386"/>
      <c r="L253" s="386"/>
      <c r="M253" s="386"/>
      <c r="N253" s="386"/>
      <c r="O253" s="386"/>
      <c r="P253" s="386"/>
      <c r="Q253" s="386"/>
      <c r="R253" s="335"/>
      <c r="S253" s="387"/>
      <c r="T253" s="388"/>
      <c r="U253" s="387"/>
      <c r="V253" s="198"/>
      <c r="W253" s="198"/>
      <c r="X253" s="5"/>
    </row>
    <row r="254" spans="1:25" ht="15.6" x14ac:dyDescent="0.3">
      <c r="A254" s="262"/>
      <c r="B254" s="399" t="s">
        <v>162</v>
      </c>
      <c r="C254" s="400"/>
      <c r="D254" s="400"/>
      <c r="E254" s="400"/>
      <c r="F254" s="406"/>
      <c r="G254" s="400"/>
      <c r="H254" s="400"/>
      <c r="I254" s="400"/>
      <c r="J254" s="400"/>
      <c r="K254" s="400"/>
      <c r="L254" s="400"/>
      <c r="M254" s="400"/>
      <c r="N254" s="400"/>
      <c r="O254" s="400"/>
      <c r="P254" s="400"/>
      <c r="Q254" s="400"/>
      <c r="R254" s="406" t="s">
        <v>102</v>
      </c>
      <c r="S254" s="400" t="s">
        <v>103</v>
      </c>
      <c r="T254" s="406" t="s">
        <v>109</v>
      </c>
      <c r="U254" s="400" t="s">
        <v>103</v>
      </c>
      <c r="V254" s="263"/>
      <c r="W254" s="399"/>
      <c r="X254" s="5"/>
    </row>
    <row r="255" spans="1:25" ht="15.6" x14ac:dyDescent="0.3">
      <c r="A255" s="197"/>
      <c r="B255" s="234" t="s">
        <v>88</v>
      </c>
      <c r="C255" s="253"/>
      <c r="D255" s="253"/>
      <c r="E255" s="253"/>
      <c r="F255" s="231"/>
      <c r="G255" s="253"/>
      <c r="H255" s="253"/>
      <c r="I255" s="253"/>
      <c r="J255" s="253"/>
      <c r="K255" s="253"/>
      <c r="L255" s="253"/>
      <c r="M255" s="253"/>
      <c r="N255" s="253"/>
      <c r="O255" s="253"/>
      <c r="P255" s="253"/>
      <c r="Q255" s="253"/>
      <c r="R255" s="234">
        <v>6673</v>
      </c>
      <c r="S255" s="254">
        <f t="shared" ref="S255:S262" si="5">R255/$R$264</f>
        <v>0.99835427887492523</v>
      </c>
      <c r="T255" s="241">
        <v>916406</v>
      </c>
      <c r="U255" s="254">
        <f t="shared" ref="U255:U262" si="6">T255/$T$264</f>
        <v>0.99810922493470511</v>
      </c>
      <c r="V255" s="250"/>
      <c r="W255" s="232"/>
      <c r="X255" s="5"/>
    </row>
    <row r="256" spans="1:25" ht="15.6" x14ac:dyDescent="0.3">
      <c r="A256" s="287"/>
      <c r="B256" s="337" t="s">
        <v>89</v>
      </c>
      <c r="C256" s="389"/>
      <c r="D256" s="389"/>
      <c r="E256" s="389"/>
      <c r="F256" s="288"/>
      <c r="G256" s="390"/>
      <c r="H256" s="389"/>
      <c r="I256" s="389"/>
      <c r="J256" s="389"/>
      <c r="K256" s="389"/>
      <c r="L256" s="389"/>
      <c r="M256" s="389"/>
      <c r="N256" s="389"/>
      <c r="O256" s="389"/>
      <c r="P256" s="389"/>
      <c r="Q256" s="389"/>
      <c r="R256" s="337">
        <v>10</v>
      </c>
      <c r="S256" s="390">
        <f t="shared" si="5"/>
        <v>1.4961101137043686E-3</v>
      </c>
      <c r="T256" s="338">
        <v>1673</v>
      </c>
      <c r="U256" s="390">
        <f t="shared" si="6"/>
        <v>1.8221582282479181E-3</v>
      </c>
      <c r="V256" s="365"/>
      <c r="W256" s="378"/>
      <c r="X256" s="5"/>
      <c r="Y256" s="109"/>
    </row>
    <row r="257" spans="1:25" ht="15.6" x14ac:dyDescent="0.3">
      <c r="A257" s="287"/>
      <c r="B257" s="337" t="s">
        <v>90</v>
      </c>
      <c r="C257" s="389"/>
      <c r="D257" s="389"/>
      <c r="E257" s="389"/>
      <c r="F257" s="288"/>
      <c r="G257" s="390"/>
      <c r="H257" s="389"/>
      <c r="I257" s="389"/>
      <c r="J257" s="389"/>
      <c r="K257" s="389"/>
      <c r="L257" s="389"/>
      <c r="M257" s="389"/>
      <c r="N257" s="389"/>
      <c r="O257" s="389"/>
      <c r="P257" s="389"/>
      <c r="Q257" s="389"/>
      <c r="R257" s="337">
        <v>0</v>
      </c>
      <c r="S257" s="390">
        <f t="shared" si="5"/>
        <v>0</v>
      </c>
      <c r="T257" s="338">
        <v>0</v>
      </c>
      <c r="U257" s="390">
        <f t="shared" si="6"/>
        <v>0</v>
      </c>
      <c r="V257" s="365"/>
      <c r="W257" s="378"/>
      <c r="X257" s="5"/>
    </row>
    <row r="258" spans="1:25" ht="15.6" x14ac:dyDescent="0.3">
      <c r="A258" s="287"/>
      <c r="B258" s="337" t="s">
        <v>156</v>
      </c>
      <c r="C258" s="389"/>
      <c r="D258" s="389"/>
      <c r="E258" s="389"/>
      <c r="F258" s="288"/>
      <c r="G258" s="390"/>
      <c r="H258" s="389"/>
      <c r="I258" s="389"/>
      <c r="J258" s="389"/>
      <c r="K258" s="389"/>
      <c r="L258" s="389"/>
      <c r="M258" s="389"/>
      <c r="N258" s="389"/>
      <c r="O258" s="389"/>
      <c r="P258" s="389"/>
      <c r="Q258" s="389"/>
      <c r="R258" s="337">
        <v>0</v>
      </c>
      <c r="S258" s="390">
        <f t="shared" si="5"/>
        <v>0</v>
      </c>
      <c r="T258" s="338">
        <v>0</v>
      </c>
      <c r="U258" s="390">
        <f t="shared" si="6"/>
        <v>0</v>
      </c>
      <c r="V258" s="365"/>
      <c r="W258" s="378"/>
      <c r="X258" s="5"/>
      <c r="Y258" s="109"/>
    </row>
    <row r="259" spans="1:25" ht="15.6" x14ac:dyDescent="0.3">
      <c r="A259" s="287"/>
      <c r="B259" s="337" t="s">
        <v>157</v>
      </c>
      <c r="C259" s="389"/>
      <c r="D259" s="389"/>
      <c r="E259" s="389"/>
      <c r="F259" s="288"/>
      <c r="G259" s="390"/>
      <c r="H259" s="389"/>
      <c r="I259" s="389"/>
      <c r="J259" s="389"/>
      <c r="K259" s="389"/>
      <c r="L259" s="389"/>
      <c r="M259" s="389"/>
      <c r="N259" s="389"/>
      <c r="O259" s="389"/>
      <c r="P259" s="389"/>
      <c r="Q259" s="389"/>
      <c r="R259" s="337">
        <v>0</v>
      </c>
      <c r="S259" s="390">
        <f t="shared" si="5"/>
        <v>0</v>
      </c>
      <c r="T259" s="338">
        <v>0</v>
      </c>
      <c r="U259" s="390">
        <f t="shared" si="6"/>
        <v>0</v>
      </c>
      <c r="V259" s="365"/>
      <c r="W259" s="378"/>
      <c r="X259" s="5"/>
    </row>
    <row r="260" spans="1:25" ht="15.6" x14ac:dyDescent="0.3">
      <c r="A260" s="287"/>
      <c r="B260" s="337" t="s">
        <v>158</v>
      </c>
      <c r="C260" s="389"/>
      <c r="D260" s="389"/>
      <c r="E260" s="389"/>
      <c r="F260" s="288"/>
      <c r="G260" s="390"/>
      <c r="H260" s="389"/>
      <c r="I260" s="389"/>
      <c r="J260" s="389"/>
      <c r="K260" s="389"/>
      <c r="L260" s="389"/>
      <c r="M260" s="389"/>
      <c r="N260" s="389"/>
      <c r="O260" s="389"/>
      <c r="P260" s="389"/>
      <c r="Q260" s="389"/>
      <c r="R260" s="337">
        <v>0</v>
      </c>
      <c r="S260" s="390">
        <f t="shared" si="5"/>
        <v>0</v>
      </c>
      <c r="T260" s="338">
        <v>0</v>
      </c>
      <c r="U260" s="390">
        <f t="shared" si="6"/>
        <v>0</v>
      </c>
      <c r="V260" s="365"/>
      <c r="W260" s="378"/>
      <c r="X260" s="5"/>
      <c r="Y260" s="109"/>
    </row>
    <row r="261" spans="1:25" ht="15.6" x14ac:dyDescent="0.3">
      <c r="A261" s="287"/>
      <c r="B261" s="337" t="s">
        <v>159</v>
      </c>
      <c r="C261" s="389"/>
      <c r="D261" s="389"/>
      <c r="E261" s="389"/>
      <c r="F261" s="288"/>
      <c r="G261" s="390"/>
      <c r="H261" s="389"/>
      <c r="I261" s="389"/>
      <c r="J261" s="389"/>
      <c r="K261" s="389"/>
      <c r="L261" s="389"/>
      <c r="M261" s="389"/>
      <c r="N261" s="389"/>
      <c r="O261" s="389"/>
      <c r="P261" s="389"/>
      <c r="Q261" s="389"/>
      <c r="R261" s="337">
        <v>0</v>
      </c>
      <c r="S261" s="390">
        <f t="shared" si="5"/>
        <v>0</v>
      </c>
      <c r="T261" s="338">
        <v>0</v>
      </c>
      <c r="U261" s="390">
        <f t="shared" si="6"/>
        <v>0</v>
      </c>
      <c r="V261" s="365"/>
      <c r="W261" s="378"/>
      <c r="X261" s="5"/>
    </row>
    <row r="262" spans="1:25" ht="15.6" x14ac:dyDescent="0.3">
      <c r="A262" s="287"/>
      <c r="B262" s="337" t="s">
        <v>160</v>
      </c>
      <c r="C262" s="389"/>
      <c r="D262" s="389"/>
      <c r="E262" s="389"/>
      <c r="F262" s="288"/>
      <c r="G262" s="390"/>
      <c r="H262" s="389"/>
      <c r="I262" s="389"/>
      <c r="J262" s="389"/>
      <c r="K262" s="389"/>
      <c r="L262" s="389"/>
      <c r="M262" s="389"/>
      <c r="N262" s="389"/>
      <c r="O262" s="389"/>
      <c r="P262" s="389"/>
      <c r="Q262" s="389"/>
      <c r="R262" s="337">
        <v>1</v>
      </c>
      <c r="S262" s="390">
        <f t="shared" si="5"/>
        <v>1.4961101137043686E-4</v>
      </c>
      <c r="T262" s="338">
        <v>63</v>
      </c>
      <c r="U262" s="390">
        <f t="shared" si="6"/>
        <v>6.8616837046992735E-5</v>
      </c>
      <c r="V262" s="365"/>
      <c r="W262" s="378"/>
      <c r="X262" s="5"/>
      <c r="Y262" s="109"/>
    </row>
    <row r="263" spans="1:25" ht="15.6" x14ac:dyDescent="0.3">
      <c r="A263" s="287"/>
      <c r="B263" s="337"/>
      <c r="C263" s="389"/>
      <c r="D263" s="389"/>
      <c r="E263" s="389"/>
      <c r="F263" s="288"/>
      <c r="G263" s="390"/>
      <c r="H263" s="389"/>
      <c r="I263" s="389"/>
      <c r="J263" s="389"/>
      <c r="K263" s="389"/>
      <c r="L263" s="389"/>
      <c r="M263" s="389"/>
      <c r="N263" s="389"/>
      <c r="O263" s="389"/>
      <c r="P263" s="389"/>
      <c r="Q263" s="389"/>
      <c r="R263" s="337"/>
      <c r="S263" s="390"/>
      <c r="T263" s="338"/>
      <c r="U263" s="390"/>
      <c r="V263" s="365"/>
      <c r="W263" s="378"/>
      <c r="X263" s="5"/>
    </row>
    <row r="264" spans="1:25" ht="15.6" x14ac:dyDescent="0.3">
      <c r="A264" s="287"/>
      <c r="B264" s="288"/>
      <c r="C264" s="288"/>
      <c r="D264" s="288"/>
      <c r="E264" s="288"/>
      <c r="F264" s="288"/>
      <c r="G264" s="288"/>
      <c r="H264" s="391"/>
      <c r="I264" s="391"/>
      <c r="J264" s="391"/>
      <c r="K264" s="391"/>
      <c r="L264" s="391"/>
      <c r="M264" s="391"/>
      <c r="N264" s="391"/>
      <c r="O264" s="391"/>
      <c r="P264" s="391"/>
      <c r="Q264" s="391"/>
      <c r="R264" s="337">
        <f>SUM(R255:R263)</f>
        <v>6684</v>
      </c>
      <c r="S264" s="390">
        <f>SUM(S255:S263)</f>
        <v>1</v>
      </c>
      <c r="T264" s="338">
        <f>SUM(T255:T263)</f>
        <v>918142</v>
      </c>
      <c r="U264" s="390">
        <f>SUM(U255:U263)</f>
        <v>1</v>
      </c>
      <c r="V264" s="288"/>
      <c r="W264" s="291"/>
      <c r="X264" s="5"/>
    </row>
    <row r="265" spans="1:25" ht="15.6" x14ac:dyDescent="0.3">
      <c r="A265" s="183"/>
      <c r="B265" s="198"/>
      <c r="C265" s="198"/>
      <c r="D265" s="198"/>
      <c r="E265" s="198"/>
      <c r="F265" s="198"/>
      <c r="G265" s="198"/>
      <c r="H265" s="386"/>
      <c r="I265" s="386"/>
      <c r="J265" s="386"/>
      <c r="K265" s="386"/>
      <c r="L265" s="386"/>
      <c r="M265" s="386"/>
      <c r="N265" s="386"/>
      <c r="O265" s="386"/>
      <c r="P265" s="386"/>
      <c r="Q265" s="386"/>
      <c r="R265" s="335"/>
      <c r="S265" s="387"/>
      <c r="T265" s="388"/>
      <c r="U265" s="387"/>
      <c r="V265" s="198"/>
      <c r="W265" s="198"/>
      <c r="X265" s="5"/>
    </row>
    <row r="266" spans="1:25" ht="15.6" x14ac:dyDescent="0.3">
      <c r="A266" s="280"/>
      <c r="B266" s="399" t="s">
        <v>275</v>
      </c>
      <c r="C266" s="400"/>
      <c r="D266" s="400"/>
      <c r="E266" s="400"/>
      <c r="F266" s="406"/>
      <c r="G266" s="400"/>
      <c r="H266" s="400"/>
      <c r="I266" s="400"/>
      <c r="J266" s="400"/>
      <c r="K266" s="400"/>
      <c r="L266" s="400"/>
      <c r="M266" s="400"/>
      <c r="N266" s="400"/>
      <c r="O266" s="400"/>
      <c r="P266" s="400"/>
      <c r="Q266" s="400"/>
      <c r="R266" s="406" t="s">
        <v>102</v>
      </c>
      <c r="S266" s="400" t="s">
        <v>103</v>
      </c>
      <c r="T266" s="406" t="s">
        <v>109</v>
      </c>
      <c r="U266" s="400" t="s">
        <v>103</v>
      </c>
      <c r="V266" s="281"/>
      <c r="W266" s="282"/>
      <c r="X266" s="5"/>
    </row>
    <row r="267" spans="1:25" ht="15.6" x14ac:dyDescent="0.3">
      <c r="A267" s="197"/>
      <c r="B267" s="234" t="s">
        <v>88</v>
      </c>
      <c r="C267" s="253"/>
      <c r="D267" s="253"/>
      <c r="E267" s="253"/>
      <c r="F267" s="231"/>
      <c r="G267" s="253"/>
      <c r="H267" s="253"/>
      <c r="I267" s="253"/>
      <c r="J267" s="253"/>
      <c r="K267" s="253"/>
      <c r="L267" s="253"/>
      <c r="M267" s="253"/>
      <c r="N267" s="253"/>
      <c r="O267" s="253"/>
      <c r="P267" s="253"/>
      <c r="Q267" s="253"/>
      <c r="R267" s="234">
        <v>113</v>
      </c>
      <c r="S267" s="254">
        <f t="shared" ref="S267:S274" si="7">R267/$R$276</f>
        <v>0.86923076923076925</v>
      </c>
      <c r="T267" s="241">
        <v>16594</v>
      </c>
      <c r="U267" s="254">
        <f t="shared" ref="U267:U274" si="8">T267/$T$276</f>
        <v>0.87171674721580161</v>
      </c>
      <c r="V267" s="231"/>
      <c r="W267" s="231"/>
      <c r="X267" s="5"/>
    </row>
    <row r="268" spans="1:25" ht="15.6" x14ac:dyDescent="0.3">
      <c r="A268" s="287"/>
      <c r="B268" s="337" t="s">
        <v>89</v>
      </c>
      <c r="C268" s="389"/>
      <c r="D268" s="389"/>
      <c r="E268" s="389"/>
      <c r="F268" s="288"/>
      <c r="G268" s="390"/>
      <c r="H268" s="389"/>
      <c r="I268" s="389"/>
      <c r="J268" s="389"/>
      <c r="K268" s="389"/>
      <c r="L268" s="389"/>
      <c r="M268" s="389"/>
      <c r="N268" s="389"/>
      <c r="O268" s="389"/>
      <c r="P268" s="389"/>
      <c r="Q268" s="389"/>
      <c r="R268" s="337">
        <v>1</v>
      </c>
      <c r="S268" s="390">
        <f t="shared" si="7"/>
        <v>7.6923076923076927E-3</v>
      </c>
      <c r="T268" s="338">
        <v>111</v>
      </c>
      <c r="U268" s="390">
        <f t="shared" si="8"/>
        <v>5.8310569447362895E-3</v>
      </c>
      <c r="V268" s="288"/>
      <c r="W268" s="291"/>
      <c r="X268" s="5"/>
    </row>
    <row r="269" spans="1:25" ht="15.6" x14ac:dyDescent="0.3">
      <c r="A269" s="287"/>
      <c r="B269" s="337" t="s">
        <v>90</v>
      </c>
      <c r="C269" s="389"/>
      <c r="D269" s="389"/>
      <c r="E269" s="389"/>
      <c r="F269" s="288"/>
      <c r="G269" s="390"/>
      <c r="H269" s="389"/>
      <c r="I269" s="389"/>
      <c r="J269" s="389"/>
      <c r="K269" s="389"/>
      <c r="L269" s="389"/>
      <c r="M269" s="389"/>
      <c r="N269" s="389"/>
      <c r="O269" s="389"/>
      <c r="P269" s="389"/>
      <c r="Q269" s="389"/>
      <c r="R269" s="337">
        <v>4</v>
      </c>
      <c r="S269" s="390">
        <f t="shared" si="7"/>
        <v>3.0769230769230771E-2</v>
      </c>
      <c r="T269" s="338">
        <v>570</v>
      </c>
      <c r="U269" s="390">
        <f t="shared" si="8"/>
        <v>2.9943265391889053E-2</v>
      </c>
      <c r="V269" s="288"/>
      <c r="W269" s="291"/>
      <c r="X269" s="5"/>
    </row>
    <row r="270" spans="1:25" ht="15.6" x14ac:dyDescent="0.3">
      <c r="A270" s="287"/>
      <c r="B270" s="337" t="s">
        <v>156</v>
      </c>
      <c r="C270" s="389"/>
      <c r="D270" s="389"/>
      <c r="E270" s="389"/>
      <c r="F270" s="288"/>
      <c r="G270" s="390"/>
      <c r="H270" s="389"/>
      <c r="I270" s="389"/>
      <c r="J270" s="389"/>
      <c r="K270" s="389"/>
      <c r="L270" s="389"/>
      <c r="M270" s="389"/>
      <c r="N270" s="389"/>
      <c r="O270" s="389"/>
      <c r="P270" s="389"/>
      <c r="Q270" s="389"/>
      <c r="R270" s="337">
        <v>1</v>
      </c>
      <c r="S270" s="390">
        <f t="shared" si="7"/>
        <v>7.6923076923076927E-3</v>
      </c>
      <c r="T270" s="338">
        <v>99</v>
      </c>
      <c r="U270" s="390">
        <f t="shared" si="8"/>
        <v>5.2006724101702042E-3</v>
      </c>
      <c r="V270" s="288"/>
      <c r="W270" s="291"/>
      <c r="X270" s="5"/>
    </row>
    <row r="271" spans="1:25" ht="15.6" x14ac:dyDescent="0.3">
      <c r="A271" s="287"/>
      <c r="B271" s="337" t="s">
        <v>157</v>
      </c>
      <c r="C271" s="389"/>
      <c r="D271" s="389"/>
      <c r="E271" s="389"/>
      <c r="F271" s="288"/>
      <c r="G271" s="390"/>
      <c r="H271" s="389"/>
      <c r="I271" s="389"/>
      <c r="J271" s="389"/>
      <c r="K271" s="389"/>
      <c r="L271" s="389"/>
      <c r="M271" s="389"/>
      <c r="N271" s="389"/>
      <c r="O271" s="389"/>
      <c r="P271" s="389"/>
      <c r="Q271" s="389"/>
      <c r="R271" s="337">
        <v>1</v>
      </c>
      <c r="S271" s="390">
        <f t="shared" si="7"/>
        <v>7.6923076923076927E-3</v>
      </c>
      <c r="T271" s="338">
        <v>190</v>
      </c>
      <c r="U271" s="390">
        <f t="shared" si="8"/>
        <v>9.9810884639630181E-3</v>
      </c>
      <c r="V271" s="288"/>
      <c r="W271" s="291"/>
      <c r="X271" s="5"/>
    </row>
    <row r="272" spans="1:25" ht="15.6" x14ac:dyDescent="0.3">
      <c r="A272" s="287"/>
      <c r="B272" s="337" t="s">
        <v>158</v>
      </c>
      <c r="C272" s="389"/>
      <c r="D272" s="389"/>
      <c r="E272" s="389"/>
      <c r="F272" s="288"/>
      <c r="G272" s="390"/>
      <c r="H272" s="389"/>
      <c r="I272" s="389"/>
      <c r="J272" s="389"/>
      <c r="K272" s="389"/>
      <c r="L272" s="389"/>
      <c r="M272" s="389"/>
      <c r="N272" s="389"/>
      <c r="O272" s="389"/>
      <c r="P272" s="389"/>
      <c r="Q272" s="389"/>
      <c r="R272" s="337">
        <v>3</v>
      </c>
      <c r="S272" s="390">
        <f t="shared" si="7"/>
        <v>2.3076923076923078E-2</v>
      </c>
      <c r="T272" s="338">
        <v>303</v>
      </c>
      <c r="U272" s="390">
        <f t="shared" si="8"/>
        <v>1.5917209497793655E-2</v>
      </c>
      <c r="V272" s="288"/>
      <c r="W272" s="291"/>
      <c r="X272" s="5"/>
    </row>
    <row r="273" spans="1:24" ht="15.6" x14ac:dyDescent="0.3">
      <c r="A273" s="287"/>
      <c r="B273" s="337" t="s">
        <v>159</v>
      </c>
      <c r="C273" s="389"/>
      <c r="D273" s="389"/>
      <c r="E273" s="389"/>
      <c r="F273" s="288"/>
      <c r="G273" s="390"/>
      <c r="H273" s="389"/>
      <c r="I273" s="389"/>
      <c r="J273" s="389"/>
      <c r="K273" s="389"/>
      <c r="L273" s="389"/>
      <c r="M273" s="389"/>
      <c r="N273" s="389"/>
      <c r="O273" s="389"/>
      <c r="P273" s="389"/>
      <c r="Q273" s="389"/>
      <c r="R273" s="337">
        <v>0</v>
      </c>
      <c r="S273" s="390">
        <f t="shared" si="7"/>
        <v>0</v>
      </c>
      <c r="T273" s="338">
        <v>0</v>
      </c>
      <c r="U273" s="390">
        <f t="shared" si="8"/>
        <v>0</v>
      </c>
      <c r="V273" s="288"/>
      <c r="W273" s="291"/>
      <c r="X273" s="5"/>
    </row>
    <row r="274" spans="1:24" ht="15.6" x14ac:dyDescent="0.3">
      <c r="A274" s="287"/>
      <c r="B274" s="337" t="s">
        <v>160</v>
      </c>
      <c r="C274" s="389"/>
      <c r="D274" s="389"/>
      <c r="E274" s="389"/>
      <c r="F274" s="288"/>
      <c r="G274" s="390"/>
      <c r="H274" s="389"/>
      <c r="I274" s="389"/>
      <c r="J274" s="389"/>
      <c r="K274" s="389"/>
      <c r="L274" s="389"/>
      <c r="M274" s="389"/>
      <c r="N274" s="389"/>
      <c r="O274" s="389"/>
      <c r="P274" s="389"/>
      <c r="Q274" s="389"/>
      <c r="R274" s="337">
        <v>7</v>
      </c>
      <c r="S274" s="390">
        <f t="shared" si="7"/>
        <v>5.3846153846153849E-2</v>
      </c>
      <c r="T274" s="338">
        <v>1169</v>
      </c>
      <c r="U274" s="390">
        <f t="shared" si="8"/>
        <v>6.1409960075646142E-2</v>
      </c>
      <c r="V274" s="288"/>
      <c r="W274" s="291"/>
      <c r="X274" s="5"/>
    </row>
    <row r="275" spans="1:24" ht="15.6" x14ac:dyDescent="0.3">
      <c r="A275" s="287"/>
      <c r="B275" s="337"/>
      <c r="C275" s="389"/>
      <c r="D275" s="389"/>
      <c r="E275" s="389"/>
      <c r="F275" s="288"/>
      <c r="G275" s="390"/>
      <c r="H275" s="389"/>
      <c r="I275" s="389"/>
      <c r="J275" s="389"/>
      <c r="K275" s="389"/>
      <c r="L275" s="389"/>
      <c r="M275" s="389"/>
      <c r="N275" s="389"/>
      <c r="O275" s="389"/>
      <c r="P275" s="389"/>
      <c r="Q275" s="389"/>
      <c r="R275" s="337"/>
      <c r="S275" s="390"/>
      <c r="T275" s="338"/>
      <c r="U275" s="390"/>
      <c r="V275" s="288"/>
      <c r="W275" s="291"/>
      <c r="X275" s="5"/>
    </row>
    <row r="276" spans="1:24" ht="15.6" x14ac:dyDescent="0.3">
      <c r="A276" s="287"/>
      <c r="B276" s="288"/>
      <c r="C276" s="288"/>
      <c r="D276" s="288"/>
      <c r="E276" s="288"/>
      <c r="F276" s="288"/>
      <c r="G276" s="288"/>
      <c r="H276" s="391"/>
      <c r="I276" s="391"/>
      <c r="J276" s="391"/>
      <c r="K276" s="391"/>
      <c r="L276" s="391"/>
      <c r="M276" s="391"/>
      <c r="N276" s="391"/>
      <c r="O276" s="391"/>
      <c r="P276" s="391"/>
      <c r="Q276" s="391"/>
      <c r="R276" s="337">
        <f>SUM(R267:R275)</f>
        <v>130</v>
      </c>
      <c r="S276" s="390">
        <f>SUM(S267:S275)</f>
        <v>1</v>
      </c>
      <c r="T276" s="338">
        <f>SUM(T267:T275)</f>
        <v>19036</v>
      </c>
      <c r="U276" s="390">
        <f>SUM(U267:U275)</f>
        <v>1</v>
      </c>
      <c r="V276" s="288"/>
      <c r="W276" s="291"/>
      <c r="X276" s="5"/>
    </row>
    <row r="277" spans="1:24" ht="15.6" x14ac:dyDescent="0.3">
      <c r="A277" s="183"/>
      <c r="B277" s="284"/>
      <c r="C277" s="284"/>
      <c r="D277" s="284"/>
      <c r="E277" s="284"/>
      <c r="F277" s="284"/>
      <c r="G277" s="284"/>
      <c r="H277" s="392"/>
      <c r="I277" s="392"/>
      <c r="J277" s="392"/>
      <c r="K277" s="392"/>
      <c r="L277" s="392"/>
      <c r="M277" s="392"/>
      <c r="N277" s="392"/>
      <c r="O277" s="392"/>
      <c r="P277" s="392"/>
      <c r="Q277" s="392"/>
      <c r="R277" s="339"/>
      <c r="S277" s="393"/>
      <c r="T277" s="394"/>
      <c r="U277" s="393"/>
      <c r="V277" s="284"/>
      <c r="W277" s="284"/>
      <c r="X277" s="5"/>
    </row>
    <row r="278" spans="1:24" ht="15.6" x14ac:dyDescent="0.3">
      <c r="A278" s="280"/>
      <c r="B278" s="399" t="s">
        <v>163</v>
      </c>
      <c r="C278" s="281"/>
      <c r="D278" s="281"/>
      <c r="E278" s="281"/>
      <c r="F278" s="281"/>
      <c r="G278" s="281"/>
      <c r="H278" s="283"/>
      <c r="I278" s="283"/>
      <c r="J278" s="283"/>
      <c r="K278" s="283"/>
      <c r="L278" s="283"/>
      <c r="M278" s="283"/>
      <c r="N278" s="283"/>
      <c r="O278" s="283"/>
      <c r="P278" s="283"/>
      <c r="Q278" s="283"/>
      <c r="R278" s="406" t="s">
        <v>102</v>
      </c>
      <c r="S278" s="400" t="s">
        <v>103</v>
      </c>
      <c r="T278" s="406" t="s">
        <v>109</v>
      </c>
      <c r="U278" s="400" t="s">
        <v>103</v>
      </c>
      <c r="V278" s="281"/>
      <c r="W278" s="282"/>
      <c r="X278" s="5"/>
    </row>
    <row r="279" spans="1:24" ht="15.6" x14ac:dyDescent="0.3">
      <c r="A279" s="197"/>
      <c r="B279" s="234" t="s">
        <v>88</v>
      </c>
      <c r="C279" s="231"/>
      <c r="D279" s="231"/>
      <c r="E279" s="231"/>
      <c r="F279" s="231"/>
      <c r="G279" s="231"/>
      <c r="H279" s="255"/>
      <c r="I279" s="255"/>
      <c r="J279" s="255"/>
      <c r="K279" s="255"/>
      <c r="L279" s="255"/>
      <c r="M279" s="255"/>
      <c r="N279" s="255"/>
      <c r="O279" s="255"/>
      <c r="P279" s="255"/>
      <c r="Q279" s="255"/>
      <c r="R279" s="234">
        <v>0</v>
      </c>
      <c r="S279" s="254">
        <v>0</v>
      </c>
      <c r="T279" s="241">
        <v>0</v>
      </c>
      <c r="U279" s="254">
        <v>0</v>
      </c>
      <c r="V279" s="231"/>
      <c r="W279" s="231"/>
      <c r="X279" s="5"/>
    </row>
    <row r="280" spans="1:24" ht="15.6" x14ac:dyDescent="0.3">
      <c r="A280" s="287"/>
      <c r="B280" s="337" t="s">
        <v>89</v>
      </c>
      <c r="C280" s="288"/>
      <c r="D280" s="288"/>
      <c r="E280" s="288"/>
      <c r="F280" s="288"/>
      <c r="G280" s="288"/>
      <c r="H280" s="391"/>
      <c r="I280" s="391"/>
      <c r="J280" s="391"/>
      <c r="K280" s="391"/>
      <c r="L280" s="391"/>
      <c r="M280" s="391"/>
      <c r="N280" s="391"/>
      <c r="O280" s="391"/>
      <c r="P280" s="391"/>
      <c r="Q280" s="391"/>
      <c r="R280" s="337">
        <v>0</v>
      </c>
      <c r="S280" s="390">
        <v>0</v>
      </c>
      <c r="T280" s="338">
        <v>0</v>
      </c>
      <c r="U280" s="390">
        <v>0</v>
      </c>
      <c r="V280" s="288"/>
      <c r="W280" s="291"/>
      <c r="X280" s="5"/>
    </row>
    <row r="281" spans="1:24" ht="15.6" x14ac:dyDescent="0.3">
      <c r="A281" s="287"/>
      <c r="B281" s="337" t="s">
        <v>90</v>
      </c>
      <c r="C281" s="288"/>
      <c r="D281" s="288"/>
      <c r="E281" s="288"/>
      <c r="F281" s="288"/>
      <c r="G281" s="288"/>
      <c r="H281" s="391"/>
      <c r="I281" s="391"/>
      <c r="J281" s="391"/>
      <c r="K281" s="391"/>
      <c r="L281" s="391"/>
      <c r="M281" s="391"/>
      <c r="N281" s="391"/>
      <c r="O281" s="391"/>
      <c r="P281" s="391"/>
      <c r="Q281" s="391"/>
      <c r="R281" s="337">
        <v>0</v>
      </c>
      <c r="S281" s="390">
        <v>0</v>
      </c>
      <c r="T281" s="338">
        <v>0</v>
      </c>
      <c r="U281" s="390">
        <v>0</v>
      </c>
      <c r="V281" s="288"/>
      <c r="W281" s="291"/>
      <c r="X281" s="5"/>
    </row>
    <row r="282" spans="1:24" ht="15.6" x14ac:dyDescent="0.3">
      <c r="A282" s="287"/>
      <c r="B282" s="337" t="s">
        <v>156</v>
      </c>
      <c r="C282" s="288"/>
      <c r="D282" s="288"/>
      <c r="E282" s="288"/>
      <c r="F282" s="288"/>
      <c r="G282" s="288"/>
      <c r="H282" s="391"/>
      <c r="I282" s="391"/>
      <c r="J282" s="391"/>
      <c r="K282" s="391"/>
      <c r="L282" s="391"/>
      <c r="M282" s="391"/>
      <c r="N282" s="391"/>
      <c r="O282" s="391"/>
      <c r="P282" s="391"/>
      <c r="Q282" s="391"/>
      <c r="R282" s="337">
        <v>0</v>
      </c>
      <c r="S282" s="390">
        <v>0</v>
      </c>
      <c r="T282" s="338">
        <v>0</v>
      </c>
      <c r="U282" s="390">
        <v>0</v>
      </c>
      <c r="V282" s="288"/>
      <c r="W282" s="291"/>
      <c r="X282" s="5"/>
    </row>
    <row r="283" spans="1:24" ht="15.6" x14ac:dyDescent="0.3">
      <c r="A283" s="287"/>
      <c r="B283" s="337" t="s">
        <v>157</v>
      </c>
      <c r="C283" s="288"/>
      <c r="D283" s="288"/>
      <c r="E283" s="288"/>
      <c r="F283" s="288"/>
      <c r="G283" s="288"/>
      <c r="H283" s="391"/>
      <c r="I283" s="391"/>
      <c r="J283" s="391"/>
      <c r="K283" s="391"/>
      <c r="L283" s="391"/>
      <c r="M283" s="391"/>
      <c r="N283" s="391"/>
      <c r="O283" s="391"/>
      <c r="P283" s="391"/>
      <c r="Q283" s="391"/>
      <c r="R283" s="337">
        <v>0</v>
      </c>
      <c r="S283" s="390">
        <v>0</v>
      </c>
      <c r="T283" s="338">
        <v>0</v>
      </c>
      <c r="U283" s="390">
        <v>0</v>
      </c>
      <c r="V283" s="288"/>
      <c r="W283" s="291"/>
      <c r="X283" s="5"/>
    </row>
    <row r="284" spans="1:24" ht="15.6" x14ac:dyDescent="0.3">
      <c r="A284" s="287"/>
      <c r="B284" s="337" t="s">
        <v>158</v>
      </c>
      <c r="C284" s="288"/>
      <c r="D284" s="288"/>
      <c r="E284" s="288"/>
      <c r="F284" s="288"/>
      <c r="G284" s="288"/>
      <c r="H284" s="391"/>
      <c r="I284" s="391"/>
      <c r="J284" s="391"/>
      <c r="K284" s="391"/>
      <c r="L284" s="391"/>
      <c r="M284" s="391"/>
      <c r="N284" s="391"/>
      <c r="O284" s="391"/>
      <c r="P284" s="391"/>
      <c r="Q284" s="391"/>
      <c r="R284" s="337">
        <v>0</v>
      </c>
      <c r="S284" s="390">
        <v>0</v>
      </c>
      <c r="T284" s="338">
        <v>0</v>
      </c>
      <c r="U284" s="390">
        <v>0</v>
      </c>
      <c r="V284" s="288"/>
      <c r="W284" s="291"/>
      <c r="X284" s="5"/>
    </row>
    <row r="285" spans="1:24" ht="15.6" x14ac:dyDescent="0.3">
      <c r="A285" s="287"/>
      <c r="B285" s="337" t="s">
        <v>159</v>
      </c>
      <c r="C285" s="288"/>
      <c r="D285" s="288"/>
      <c r="E285" s="288"/>
      <c r="F285" s="288"/>
      <c r="G285" s="288"/>
      <c r="H285" s="391"/>
      <c r="I285" s="391"/>
      <c r="J285" s="391"/>
      <c r="K285" s="391"/>
      <c r="L285" s="391"/>
      <c r="M285" s="391"/>
      <c r="N285" s="391"/>
      <c r="O285" s="391"/>
      <c r="P285" s="391"/>
      <c r="Q285" s="391"/>
      <c r="R285" s="337">
        <v>0</v>
      </c>
      <c r="S285" s="390">
        <v>0</v>
      </c>
      <c r="T285" s="338">
        <v>0</v>
      </c>
      <c r="U285" s="390">
        <v>0</v>
      </c>
      <c r="V285" s="288"/>
      <c r="W285" s="291"/>
      <c r="X285" s="5"/>
    </row>
    <row r="286" spans="1:24" ht="15.6" x14ac:dyDescent="0.3">
      <c r="A286" s="287"/>
      <c r="B286" s="337" t="s">
        <v>160</v>
      </c>
      <c r="C286" s="288"/>
      <c r="D286" s="288"/>
      <c r="E286" s="288"/>
      <c r="F286" s="288"/>
      <c r="G286" s="288"/>
      <c r="H286" s="391"/>
      <c r="I286" s="391"/>
      <c r="J286" s="391"/>
      <c r="K286" s="391"/>
      <c r="L286" s="391"/>
      <c r="M286" s="391"/>
      <c r="N286" s="391"/>
      <c r="O286" s="391"/>
      <c r="P286" s="391"/>
      <c r="Q286" s="391"/>
      <c r="R286" s="337">
        <v>0</v>
      </c>
      <c r="S286" s="390">
        <v>0</v>
      </c>
      <c r="T286" s="338">
        <v>0</v>
      </c>
      <c r="U286" s="390">
        <v>0</v>
      </c>
      <c r="V286" s="288"/>
      <c r="W286" s="291"/>
      <c r="X286" s="5"/>
    </row>
    <row r="287" spans="1:24" ht="15.6" x14ac:dyDescent="0.3">
      <c r="A287" s="287"/>
      <c r="B287" s="337"/>
      <c r="C287" s="288"/>
      <c r="D287" s="288"/>
      <c r="E287" s="288"/>
      <c r="F287" s="288"/>
      <c r="G287" s="288"/>
      <c r="H287" s="391"/>
      <c r="I287" s="391"/>
      <c r="J287" s="391"/>
      <c r="K287" s="391"/>
      <c r="L287" s="391"/>
      <c r="M287" s="391"/>
      <c r="N287" s="391"/>
      <c r="O287" s="391"/>
      <c r="P287" s="391"/>
      <c r="Q287" s="391"/>
      <c r="R287" s="337"/>
      <c r="S287" s="390"/>
      <c r="T287" s="338"/>
      <c r="U287" s="390"/>
      <c r="V287" s="288"/>
      <c r="W287" s="291"/>
      <c r="X287" s="5"/>
    </row>
    <row r="288" spans="1:24" ht="15.6" x14ac:dyDescent="0.3">
      <c r="A288" s="287"/>
      <c r="B288" s="288" t="s">
        <v>114</v>
      </c>
      <c r="C288" s="288"/>
      <c r="D288" s="288"/>
      <c r="E288" s="288"/>
      <c r="F288" s="288"/>
      <c r="G288" s="288"/>
      <c r="H288" s="391"/>
      <c r="I288" s="391"/>
      <c r="J288" s="391"/>
      <c r="K288" s="391"/>
      <c r="L288" s="391"/>
      <c r="M288" s="391"/>
      <c r="N288" s="391"/>
      <c r="O288" s="391"/>
      <c r="P288" s="391"/>
      <c r="Q288" s="391"/>
      <c r="R288" s="337">
        <f>SUM(R279:R286)</f>
        <v>0</v>
      </c>
      <c r="S288" s="390">
        <f>SUM(S279:S287)</f>
        <v>0</v>
      </c>
      <c r="T288" s="338">
        <f>SUM(T279:T286)</f>
        <v>0</v>
      </c>
      <c r="U288" s="390">
        <f>SUM(U279:U287)</f>
        <v>0</v>
      </c>
      <c r="V288" s="288"/>
      <c r="W288" s="291"/>
      <c r="X288" s="5"/>
    </row>
    <row r="289" spans="1:24" ht="15.6" x14ac:dyDescent="0.3">
      <c r="A289" s="287"/>
      <c r="B289" s="288"/>
      <c r="C289" s="288"/>
      <c r="D289" s="288"/>
      <c r="E289" s="288"/>
      <c r="F289" s="288"/>
      <c r="G289" s="288"/>
      <c r="H289" s="391"/>
      <c r="I289" s="391"/>
      <c r="J289" s="391"/>
      <c r="K289" s="391"/>
      <c r="L289" s="391"/>
      <c r="M289" s="391"/>
      <c r="N289" s="391"/>
      <c r="O289" s="391"/>
      <c r="P289" s="391"/>
      <c r="Q289" s="391"/>
      <c r="R289" s="337"/>
      <c r="S289" s="390"/>
      <c r="T289" s="338"/>
      <c r="U289" s="390"/>
      <c r="V289" s="288"/>
      <c r="W289" s="291"/>
      <c r="X289" s="5"/>
    </row>
    <row r="290" spans="1:24" ht="15.6" x14ac:dyDescent="0.3">
      <c r="A290" s="287"/>
      <c r="B290" s="295" t="s">
        <v>164</v>
      </c>
      <c r="C290" s="288"/>
      <c r="D290" s="288"/>
      <c r="E290" s="288"/>
      <c r="F290" s="288"/>
      <c r="G290" s="288"/>
      <c r="H290" s="391"/>
      <c r="I290" s="391"/>
      <c r="J290" s="391"/>
      <c r="K290" s="391"/>
      <c r="L290" s="391"/>
      <c r="M290" s="391"/>
      <c r="N290" s="391"/>
      <c r="O290" s="391"/>
      <c r="P290" s="391"/>
      <c r="Q290" s="391"/>
      <c r="R290" s="407">
        <f>R288+R276+R264</f>
        <v>6814</v>
      </c>
      <c r="S290" s="390"/>
      <c r="T290" s="396">
        <f>+T288+T276+T264</f>
        <v>937178</v>
      </c>
      <c r="U290" s="390"/>
      <c r="V290" s="288"/>
      <c r="W290" s="291"/>
      <c r="X290" s="5"/>
    </row>
    <row r="291" spans="1:24" ht="15.6" x14ac:dyDescent="0.3">
      <c r="A291" s="183"/>
      <c r="B291" s="284"/>
      <c r="C291" s="284"/>
      <c r="D291" s="284"/>
      <c r="E291" s="284"/>
      <c r="F291" s="284"/>
      <c r="G291" s="284"/>
      <c r="H291" s="392"/>
      <c r="I291" s="392"/>
      <c r="J291" s="392"/>
      <c r="K291" s="392"/>
      <c r="L291" s="392"/>
      <c r="M291" s="392"/>
      <c r="N291" s="392"/>
      <c r="O291" s="392"/>
      <c r="P291" s="392"/>
      <c r="Q291" s="392"/>
      <c r="R291" s="392"/>
      <c r="S291" s="392"/>
      <c r="T291" s="394"/>
      <c r="U291" s="392"/>
      <c r="V291" s="284"/>
      <c r="W291" s="284"/>
      <c r="X291" s="5"/>
    </row>
    <row r="292" spans="1:24" ht="15.6" x14ac:dyDescent="0.3">
      <c r="A292" s="183"/>
      <c r="B292" s="224"/>
      <c r="C292" s="224"/>
      <c r="D292" s="224"/>
      <c r="E292" s="224"/>
      <c r="F292" s="224"/>
      <c r="G292" s="224"/>
      <c r="H292" s="256"/>
      <c r="I292" s="256"/>
      <c r="J292" s="256"/>
      <c r="K292" s="256"/>
      <c r="L292" s="256"/>
      <c r="M292" s="256"/>
      <c r="N292" s="256"/>
      <c r="O292" s="256"/>
      <c r="P292" s="256"/>
      <c r="Q292" s="256"/>
      <c r="R292" s="256"/>
      <c r="S292" s="256"/>
      <c r="T292" s="257"/>
      <c r="U292" s="256"/>
      <c r="V292" s="224"/>
      <c r="W292" s="224"/>
      <c r="X292" s="5"/>
    </row>
    <row r="293" spans="1:24" ht="15.6" x14ac:dyDescent="0.3">
      <c r="A293" s="219"/>
      <c r="B293" s="222" t="s">
        <v>91</v>
      </c>
      <c r="C293" s="224"/>
      <c r="D293" s="224"/>
      <c r="E293" s="224"/>
      <c r="F293" s="228" t="s">
        <v>97</v>
      </c>
      <c r="G293" s="224"/>
      <c r="H293" s="222" t="s">
        <v>99</v>
      </c>
      <c r="I293" s="222"/>
      <c r="J293" s="222"/>
      <c r="K293" s="258"/>
      <c r="L293" s="258"/>
      <c r="M293" s="258"/>
      <c r="N293" s="258"/>
      <c r="O293" s="258"/>
      <c r="P293" s="258"/>
      <c r="Q293" s="258"/>
      <c r="R293" s="258"/>
      <c r="S293" s="258"/>
      <c r="T293" s="258"/>
      <c r="U293" s="258"/>
      <c r="V293" s="258"/>
      <c r="W293" s="258"/>
      <c r="X293" s="5"/>
    </row>
    <row r="294" spans="1:24" ht="15.6" x14ac:dyDescent="0.3">
      <c r="A294" s="219"/>
      <c r="B294" s="258"/>
      <c r="C294" s="224"/>
      <c r="D294" s="224"/>
      <c r="E294" s="224"/>
      <c r="F294" s="224"/>
      <c r="G294" s="224"/>
      <c r="H294" s="224"/>
      <c r="I294" s="224"/>
      <c r="J294" s="224"/>
      <c r="K294" s="258"/>
      <c r="L294" s="258"/>
      <c r="M294" s="258"/>
      <c r="N294" s="258"/>
      <c r="O294" s="258"/>
      <c r="P294" s="258"/>
      <c r="Q294" s="258"/>
      <c r="R294" s="258"/>
      <c r="S294" s="258"/>
      <c r="T294" s="258"/>
      <c r="U294" s="258"/>
      <c r="V294" s="258"/>
      <c r="W294" s="258"/>
      <c r="X294" s="5"/>
    </row>
    <row r="295" spans="1:24" ht="15.6" x14ac:dyDescent="0.3">
      <c r="A295" s="219"/>
      <c r="B295" s="222" t="s">
        <v>338</v>
      </c>
      <c r="C295" s="222"/>
      <c r="D295" s="222"/>
      <c r="E295" s="222"/>
      <c r="F295" s="259" t="s">
        <v>148</v>
      </c>
      <c r="G295" s="222"/>
      <c r="H295" s="222" t="s">
        <v>152</v>
      </c>
      <c r="I295" s="222"/>
      <c r="J295" s="222"/>
      <c r="K295" s="258"/>
      <c r="L295" s="258"/>
      <c r="M295" s="258"/>
      <c r="N295" s="258"/>
      <c r="O295" s="258"/>
      <c r="P295" s="258"/>
      <c r="Q295" s="258"/>
      <c r="R295" s="258"/>
      <c r="S295" s="258"/>
      <c r="T295" s="258"/>
      <c r="U295" s="258"/>
      <c r="V295" s="258"/>
      <c r="W295" s="258"/>
      <c r="X295" s="5"/>
    </row>
    <row r="296" spans="1:24" ht="15.6" x14ac:dyDescent="0.3">
      <c r="A296" s="219"/>
      <c r="B296" s="222" t="s">
        <v>339</v>
      </c>
      <c r="C296" s="222"/>
      <c r="D296" s="222"/>
      <c r="E296" s="222"/>
      <c r="F296" s="259" t="s">
        <v>278</v>
      </c>
      <c r="G296" s="222"/>
      <c r="H296" s="222" t="s">
        <v>279</v>
      </c>
      <c r="I296" s="258"/>
      <c r="J296" s="222"/>
      <c r="K296" s="258"/>
      <c r="L296" s="258"/>
      <c r="M296" s="258"/>
      <c r="N296" s="258"/>
      <c r="O296" s="258"/>
      <c r="P296" s="258"/>
      <c r="Q296" s="258"/>
      <c r="R296" s="258"/>
      <c r="S296" s="258"/>
      <c r="T296" s="258"/>
      <c r="U296" s="258"/>
      <c r="V296" s="258"/>
      <c r="W296" s="258"/>
      <c r="X296" s="5"/>
    </row>
    <row r="297" spans="1:24" ht="15.6" x14ac:dyDescent="0.3">
      <c r="A297" s="219"/>
      <c r="B297" s="222" t="s">
        <v>340</v>
      </c>
      <c r="C297" s="222"/>
      <c r="D297" s="222"/>
      <c r="E297" s="222"/>
      <c r="F297" s="259" t="s">
        <v>147</v>
      </c>
      <c r="G297" s="222"/>
      <c r="H297" s="222" t="s">
        <v>153</v>
      </c>
      <c r="I297" s="222"/>
      <c r="J297" s="222"/>
      <c r="K297" s="258"/>
      <c r="L297" s="258"/>
      <c r="M297" s="258"/>
      <c r="N297" s="258"/>
      <c r="O297" s="258"/>
      <c r="P297" s="258"/>
      <c r="Q297" s="258"/>
      <c r="R297" s="258"/>
      <c r="S297" s="258"/>
      <c r="T297" s="258"/>
      <c r="U297" s="258"/>
      <c r="V297" s="258"/>
      <c r="W297" s="258"/>
      <c r="X297" s="5"/>
    </row>
    <row r="298" spans="1:24" ht="15.6" x14ac:dyDescent="0.3">
      <c r="A298" s="219"/>
      <c r="B298" s="222"/>
      <c r="C298" s="222"/>
      <c r="D298" s="222"/>
      <c r="E298" s="222"/>
      <c r="F298" s="222"/>
      <c r="G298" s="260"/>
      <c r="H298" s="258"/>
      <c r="I298" s="258"/>
      <c r="J298" s="258"/>
      <c r="K298" s="258"/>
      <c r="L298" s="258"/>
      <c r="M298" s="258"/>
      <c r="N298" s="258"/>
      <c r="O298" s="258"/>
      <c r="P298" s="258"/>
      <c r="Q298" s="258"/>
      <c r="R298" s="258"/>
      <c r="S298" s="258"/>
      <c r="T298" s="258"/>
      <c r="U298" s="258"/>
      <c r="V298" s="258"/>
      <c r="W298" s="258"/>
      <c r="X298" s="5"/>
    </row>
    <row r="299" spans="1:24" ht="15.6" x14ac:dyDescent="0.3">
      <c r="A299" s="219"/>
      <c r="B299" s="222"/>
      <c r="C299" s="222"/>
      <c r="D299" s="222"/>
      <c r="E299" s="222"/>
      <c r="F299" s="222"/>
      <c r="G299" s="260"/>
      <c r="H299" s="258"/>
      <c r="I299" s="258"/>
      <c r="J299" s="258"/>
      <c r="K299" s="258"/>
      <c r="L299" s="258"/>
      <c r="M299" s="258"/>
      <c r="N299" s="258"/>
      <c r="O299" s="258"/>
      <c r="P299" s="258"/>
      <c r="Q299" s="258"/>
      <c r="R299" s="258"/>
      <c r="S299" s="258"/>
      <c r="T299" s="258"/>
      <c r="U299" s="258"/>
      <c r="V299" s="258"/>
      <c r="W299" s="258"/>
      <c r="X299" s="5"/>
    </row>
    <row r="300" spans="1:24" ht="18" thickBot="1" x14ac:dyDescent="0.35">
      <c r="A300" s="219"/>
      <c r="B300" s="261" t="str">
        <f>B204</f>
        <v>PM14 INVESTOR REPORT QUARTER ENDING AUGUST 2016</v>
      </c>
      <c r="C300" s="222"/>
      <c r="D300" s="222"/>
      <c r="E300" s="222"/>
      <c r="F300" s="222"/>
      <c r="G300" s="260"/>
      <c r="H300" s="258"/>
      <c r="I300" s="258"/>
      <c r="J300" s="258"/>
      <c r="K300" s="258"/>
      <c r="L300" s="258"/>
      <c r="M300" s="258"/>
      <c r="N300" s="258"/>
      <c r="O300" s="258"/>
      <c r="P300" s="258"/>
      <c r="Q300" s="258"/>
      <c r="R300" s="258"/>
      <c r="S300" s="258"/>
      <c r="T300" s="258"/>
      <c r="U300" s="258"/>
      <c r="V300" s="258"/>
      <c r="W300" s="258"/>
      <c r="X300" s="5"/>
    </row>
    <row r="301" spans="1:24" x14ac:dyDescent="0.25">
      <c r="A301" s="100"/>
      <c r="B301" s="100"/>
      <c r="C301" s="100"/>
      <c r="D301" s="100"/>
      <c r="E301" s="100"/>
      <c r="F301" s="100"/>
      <c r="G301" s="100"/>
      <c r="H301" s="100"/>
      <c r="I301" s="100"/>
      <c r="J301" s="100"/>
      <c r="K301" s="100"/>
      <c r="L301" s="100"/>
      <c r="M301" s="100"/>
      <c r="N301" s="100"/>
      <c r="O301" s="100"/>
      <c r="P301" s="100"/>
      <c r="Q301" s="100"/>
      <c r="R301" s="100"/>
      <c r="S301" s="100"/>
      <c r="T301" s="100"/>
      <c r="U301" s="100"/>
      <c r="V301" s="100"/>
      <c r="W301" s="100"/>
    </row>
  </sheetData>
  <hyperlinks>
    <hyperlink ref="P240" r:id="rId1" xr:uid="{00000000-0004-0000-2400-000000000000}"/>
    <hyperlink ref="I9" r:id="rId2" xr:uid="{00000000-0004-0000-24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8" max="14" man="1"/>
    <brk id="204" max="14" man="1"/>
  </rowBreaks>
  <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4"/>
  </sheetPr>
  <dimension ref="A1:IV301"/>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80"/>
      <c r="B1" s="220" t="s">
        <v>244</v>
      </c>
      <c r="C1" s="181"/>
      <c r="D1" s="181"/>
      <c r="E1" s="181"/>
      <c r="F1" s="181"/>
      <c r="G1" s="181"/>
      <c r="H1" s="181"/>
      <c r="I1" s="181"/>
      <c r="J1" s="181"/>
      <c r="K1" s="181"/>
      <c r="L1" s="181"/>
      <c r="M1" s="181"/>
      <c r="N1" s="181"/>
      <c r="O1" s="181"/>
      <c r="P1" s="181"/>
      <c r="Q1" s="181"/>
      <c r="R1" s="181"/>
      <c r="S1" s="181"/>
      <c r="T1" s="181"/>
      <c r="U1" s="181"/>
      <c r="V1" s="181"/>
      <c r="W1" s="181"/>
      <c r="X1" s="5"/>
    </row>
    <row r="2" spans="1:24" ht="15.6" x14ac:dyDescent="0.3">
      <c r="A2" s="183"/>
      <c r="B2" s="184"/>
      <c r="C2" s="185"/>
      <c r="D2" s="185"/>
      <c r="E2" s="185"/>
      <c r="F2" s="185"/>
      <c r="G2" s="185"/>
      <c r="H2" s="185"/>
      <c r="I2" s="185"/>
      <c r="J2" s="185"/>
      <c r="K2" s="185"/>
      <c r="L2" s="185"/>
      <c r="M2" s="185"/>
      <c r="N2" s="185"/>
      <c r="O2" s="185"/>
      <c r="P2" s="185"/>
      <c r="Q2" s="185"/>
      <c r="R2" s="185"/>
      <c r="S2" s="185"/>
      <c r="T2" s="185"/>
      <c r="U2" s="185"/>
      <c r="V2" s="185"/>
      <c r="W2" s="185"/>
      <c r="X2" s="5"/>
    </row>
    <row r="3" spans="1:24" ht="15.6" x14ac:dyDescent="0.3">
      <c r="A3" s="186"/>
      <c r="B3" s="187" t="s">
        <v>245</v>
      </c>
      <c r="C3" s="185"/>
      <c r="D3" s="185"/>
      <c r="E3" s="185"/>
      <c r="F3" s="185"/>
      <c r="G3" s="185"/>
      <c r="H3" s="185"/>
      <c r="I3" s="185"/>
      <c r="J3" s="185"/>
      <c r="K3" s="185"/>
      <c r="L3" s="185"/>
      <c r="M3" s="185"/>
      <c r="N3" s="185"/>
      <c r="O3" s="185"/>
      <c r="P3" s="185"/>
      <c r="Q3" s="185"/>
      <c r="R3" s="185"/>
      <c r="S3" s="185"/>
      <c r="T3" s="185"/>
      <c r="U3" s="185"/>
      <c r="V3" s="185"/>
      <c r="W3" s="185"/>
      <c r="X3" s="5"/>
    </row>
    <row r="4" spans="1:24" ht="15.6" x14ac:dyDescent="0.3">
      <c r="A4" s="183"/>
      <c r="B4" s="184"/>
      <c r="C4" s="185"/>
      <c r="D4" s="185"/>
      <c r="E4" s="185"/>
      <c r="F4" s="185"/>
      <c r="G4" s="185"/>
      <c r="H4" s="185"/>
      <c r="I4" s="185"/>
      <c r="J4" s="185"/>
      <c r="K4" s="185"/>
      <c r="L4" s="185"/>
      <c r="M4" s="185"/>
      <c r="N4" s="185"/>
      <c r="O4" s="185"/>
      <c r="P4" s="185"/>
      <c r="Q4" s="185"/>
      <c r="R4" s="185"/>
      <c r="S4" s="185"/>
      <c r="T4" s="185"/>
      <c r="U4" s="185"/>
      <c r="V4" s="185"/>
      <c r="W4" s="185"/>
      <c r="X4" s="5"/>
    </row>
    <row r="5" spans="1:24" ht="15.6" x14ac:dyDescent="0.3">
      <c r="A5" s="183"/>
      <c r="B5" s="221" t="s">
        <v>137</v>
      </c>
      <c r="C5" s="185"/>
      <c r="D5" s="185"/>
      <c r="E5" s="185"/>
      <c r="F5" s="185"/>
      <c r="G5" s="185"/>
      <c r="H5" s="185"/>
      <c r="I5" s="185"/>
      <c r="J5" s="185"/>
      <c r="K5" s="185"/>
      <c r="L5" s="185"/>
      <c r="M5" s="185"/>
      <c r="N5" s="185"/>
      <c r="O5" s="185"/>
      <c r="P5" s="185"/>
      <c r="Q5" s="185"/>
      <c r="R5" s="185"/>
      <c r="S5" s="185"/>
      <c r="T5" s="185"/>
      <c r="U5" s="185"/>
      <c r="V5" s="185"/>
      <c r="W5" s="185"/>
      <c r="X5" s="5"/>
    </row>
    <row r="6" spans="1:24" ht="15.6" x14ac:dyDescent="0.3">
      <c r="A6" s="183"/>
      <c r="B6" s="221" t="s">
        <v>139</v>
      </c>
      <c r="C6" s="185"/>
      <c r="D6" s="185"/>
      <c r="E6" s="185"/>
      <c r="F6" s="185"/>
      <c r="G6" s="185"/>
      <c r="H6" s="185"/>
      <c r="I6" s="185"/>
      <c r="J6" s="185"/>
      <c r="K6" s="185"/>
      <c r="L6" s="185"/>
      <c r="M6" s="185"/>
      <c r="N6" s="185"/>
      <c r="O6" s="185"/>
      <c r="P6" s="185"/>
      <c r="Q6" s="185"/>
      <c r="R6" s="185"/>
      <c r="S6" s="185"/>
      <c r="T6" s="185"/>
      <c r="U6" s="185"/>
      <c r="V6" s="185"/>
      <c r="W6" s="185"/>
      <c r="X6" s="5"/>
    </row>
    <row r="7" spans="1:24" ht="15.6" x14ac:dyDescent="0.3">
      <c r="A7" s="183"/>
      <c r="B7" s="221" t="s">
        <v>138</v>
      </c>
      <c r="C7" s="185"/>
      <c r="D7" s="185"/>
      <c r="E7" s="185"/>
      <c r="F7" s="185"/>
      <c r="G7" s="185"/>
      <c r="H7" s="185"/>
      <c r="I7" s="185"/>
      <c r="J7" s="185"/>
      <c r="K7" s="185"/>
      <c r="L7" s="185"/>
      <c r="M7" s="185"/>
      <c r="N7" s="185"/>
      <c r="O7" s="185"/>
      <c r="P7" s="185"/>
      <c r="Q7" s="185"/>
      <c r="R7" s="185"/>
      <c r="S7" s="185"/>
      <c r="T7" s="185"/>
      <c r="U7" s="185"/>
      <c r="V7" s="185"/>
      <c r="W7" s="185"/>
      <c r="X7" s="5"/>
    </row>
    <row r="8" spans="1:24" ht="15.6" x14ac:dyDescent="0.3">
      <c r="A8" s="183"/>
      <c r="B8" s="188"/>
      <c r="C8" s="185"/>
      <c r="D8" s="185"/>
      <c r="E8" s="185"/>
      <c r="F8" s="185"/>
      <c r="G8" s="185"/>
      <c r="H8" s="185"/>
      <c r="I8" s="185"/>
      <c r="J8" s="185"/>
      <c r="K8" s="185"/>
      <c r="L8" s="185"/>
      <c r="M8" s="185"/>
      <c r="N8" s="185"/>
      <c r="O8" s="185"/>
      <c r="P8" s="185"/>
      <c r="Q8" s="185"/>
      <c r="R8" s="185"/>
      <c r="S8" s="185"/>
      <c r="T8" s="185"/>
      <c r="U8" s="185"/>
      <c r="V8" s="185"/>
      <c r="W8" s="185"/>
      <c r="X8" s="5"/>
    </row>
    <row r="9" spans="1:24" ht="17.399999999999999" x14ac:dyDescent="0.3">
      <c r="A9" s="183"/>
      <c r="B9" s="189" t="s">
        <v>166</v>
      </c>
      <c r="C9" s="185"/>
      <c r="D9" s="185"/>
      <c r="E9" s="185"/>
      <c r="F9" s="185"/>
      <c r="G9" s="185"/>
      <c r="H9" s="185"/>
      <c r="I9" s="190" t="s">
        <v>167</v>
      </c>
      <c r="J9" s="185"/>
      <c r="K9" s="185"/>
      <c r="L9" s="190"/>
      <c r="M9" s="185"/>
      <c r="N9" s="190"/>
      <c r="O9" s="185"/>
      <c r="P9" s="185"/>
      <c r="Q9" s="185"/>
      <c r="R9" s="185"/>
      <c r="S9" s="185"/>
      <c r="T9" s="185"/>
      <c r="U9" s="185"/>
      <c r="V9" s="185"/>
      <c r="W9" s="185"/>
      <c r="X9" s="5"/>
    </row>
    <row r="10" spans="1:24" ht="15.6" x14ac:dyDescent="0.3">
      <c r="A10" s="183"/>
      <c r="B10" s="188"/>
      <c r="C10" s="191"/>
      <c r="D10" s="191"/>
      <c r="E10" s="191"/>
      <c r="F10" s="185"/>
      <c r="G10" s="185"/>
      <c r="H10" s="185"/>
      <c r="I10" s="185"/>
      <c r="J10" s="185"/>
      <c r="K10" s="185"/>
      <c r="L10" s="185"/>
      <c r="M10" s="185"/>
      <c r="N10" s="185"/>
      <c r="O10" s="185"/>
      <c r="P10" s="185"/>
      <c r="Q10" s="185"/>
      <c r="R10" s="185"/>
      <c r="S10" s="185"/>
      <c r="T10" s="185"/>
      <c r="U10" s="185"/>
      <c r="V10" s="185"/>
      <c r="W10" s="185"/>
      <c r="X10" s="5"/>
    </row>
    <row r="11" spans="1:24" ht="15.6" x14ac:dyDescent="0.3">
      <c r="A11" s="183"/>
      <c r="B11" s="222" t="s">
        <v>0</v>
      </c>
      <c r="C11" s="185"/>
      <c r="D11" s="185"/>
      <c r="E11" s="185"/>
      <c r="F11" s="185"/>
      <c r="G11" s="185"/>
      <c r="H11" s="185"/>
      <c r="I11" s="185"/>
      <c r="J11" s="185"/>
      <c r="K11" s="185"/>
      <c r="L11" s="185"/>
      <c r="M11" s="185"/>
      <c r="N11" s="185"/>
      <c r="O11" s="185"/>
      <c r="P11" s="185"/>
      <c r="Q11" s="185"/>
      <c r="R11" s="185"/>
      <c r="S11" s="185"/>
      <c r="T11" s="185"/>
      <c r="U11" s="185"/>
      <c r="V11" s="185"/>
      <c r="W11" s="185"/>
      <c r="X11" s="5"/>
    </row>
    <row r="12" spans="1:24" ht="16.2" thickBot="1" x14ac:dyDescent="0.35">
      <c r="A12" s="183"/>
      <c r="B12" s="191"/>
      <c r="C12" s="185"/>
      <c r="D12" s="185"/>
      <c r="E12" s="185"/>
      <c r="F12" s="185"/>
      <c r="G12" s="185"/>
      <c r="H12" s="185"/>
      <c r="I12" s="185"/>
      <c r="J12" s="185"/>
      <c r="K12" s="185"/>
      <c r="L12" s="185"/>
      <c r="M12" s="185"/>
      <c r="N12" s="185"/>
      <c r="O12" s="185"/>
      <c r="P12" s="185"/>
      <c r="Q12" s="185"/>
      <c r="R12" s="185"/>
      <c r="S12" s="185"/>
      <c r="T12" s="185"/>
      <c r="U12" s="185"/>
      <c r="V12" s="185"/>
      <c r="W12" s="185"/>
      <c r="X12" s="5"/>
    </row>
    <row r="13" spans="1:24" ht="15.6" x14ac:dyDescent="0.3">
      <c r="A13" s="180"/>
      <c r="B13" s="181"/>
      <c r="C13" s="181"/>
      <c r="D13" s="181"/>
      <c r="E13" s="181"/>
      <c r="F13" s="181"/>
      <c r="G13" s="181"/>
      <c r="H13" s="181"/>
      <c r="I13" s="181"/>
      <c r="J13" s="181"/>
      <c r="K13" s="181"/>
      <c r="L13" s="181"/>
      <c r="M13" s="181"/>
      <c r="N13" s="181"/>
      <c r="O13" s="181"/>
      <c r="P13" s="181"/>
      <c r="Q13" s="181"/>
      <c r="R13" s="181"/>
      <c r="S13" s="181"/>
      <c r="T13" s="181"/>
      <c r="U13" s="181"/>
      <c r="V13" s="181"/>
      <c r="W13" s="181"/>
      <c r="X13" s="5"/>
    </row>
    <row r="14" spans="1:24" ht="15.6" x14ac:dyDescent="0.3">
      <c r="A14" s="183"/>
      <c r="B14" s="222" t="s">
        <v>1</v>
      </c>
      <c r="C14" s="192"/>
      <c r="D14" s="192"/>
      <c r="E14" s="192"/>
      <c r="F14" s="192"/>
      <c r="G14" s="192"/>
      <c r="H14" s="192"/>
      <c r="I14" s="192"/>
      <c r="J14" s="192"/>
      <c r="K14" s="192"/>
      <c r="L14" s="192"/>
      <c r="M14" s="192"/>
      <c r="N14" s="192"/>
      <c r="O14" s="192"/>
      <c r="P14" s="192"/>
      <c r="Q14" s="192"/>
      <c r="R14" s="224"/>
      <c r="S14" s="224"/>
      <c r="T14" s="224"/>
      <c r="U14" s="224"/>
      <c r="V14" s="225" t="s">
        <v>246</v>
      </c>
      <c r="W14" s="192"/>
      <c r="X14" s="5"/>
    </row>
    <row r="15" spans="1:24" ht="15.6" x14ac:dyDescent="0.3">
      <c r="A15" s="183"/>
      <c r="B15" s="222" t="s">
        <v>2</v>
      </c>
      <c r="C15" s="192"/>
      <c r="D15" s="192"/>
      <c r="E15" s="192"/>
      <c r="F15" s="192"/>
      <c r="G15" s="192"/>
      <c r="H15" s="193"/>
      <c r="I15" s="193"/>
      <c r="J15" s="193"/>
      <c r="K15" s="193"/>
      <c r="L15" s="193"/>
      <c r="M15" s="193"/>
      <c r="N15" s="193"/>
      <c r="O15" s="193"/>
      <c r="P15" s="193"/>
      <c r="Q15" s="193"/>
      <c r="R15" s="226" t="s">
        <v>104</v>
      </c>
      <c r="S15" s="227">
        <v>0.38300000000000001</v>
      </c>
      <c r="T15" s="228" t="s">
        <v>140</v>
      </c>
      <c r="U15" s="227">
        <v>0.61699999999999999</v>
      </c>
      <c r="V15" s="225"/>
      <c r="W15" s="192"/>
      <c r="X15" s="5"/>
    </row>
    <row r="16" spans="1:24" ht="15.6" x14ac:dyDescent="0.3">
      <c r="A16" s="183"/>
      <c r="B16" s="222" t="s">
        <v>3</v>
      </c>
      <c r="C16" s="192"/>
      <c r="D16" s="192"/>
      <c r="E16" s="192"/>
      <c r="F16" s="192"/>
      <c r="G16" s="192"/>
      <c r="H16" s="193"/>
      <c r="I16" s="193"/>
      <c r="J16" s="193"/>
      <c r="K16" s="193"/>
      <c r="L16" s="193"/>
      <c r="M16" s="193"/>
      <c r="N16" s="193"/>
      <c r="O16" s="193"/>
      <c r="P16" s="193"/>
      <c r="Q16" s="193"/>
      <c r="R16" s="226" t="s">
        <v>104</v>
      </c>
      <c r="S16" s="227">
        <v>0.48299999999999998</v>
      </c>
      <c r="T16" s="228" t="s">
        <v>140</v>
      </c>
      <c r="U16" s="227">
        <v>0.51700000000000002</v>
      </c>
      <c r="V16" s="225"/>
      <c r="W16" s="192"/>
      <c r="X16" s="5"/>
    </row>
    <row r="17" spans="1:24" ht="15.6" x14ac:dyDescent="0.3">
      <c r="A17" s="183"/>
      <c r="B17" s="222" t="s">
        <v>4</v>
      </c>
      <c r="C17" s="192"/>
      <c r="D17" s="192"/>
      <c r="E17" s="192"/>
      <c r="F17" s="192"/>
      <c r="G17" s="192"/>
      <c r="H17" s="192"/>
      <c r="I17" s="192"/>
      <c r="J17" s="192"/>
      <c r="K17" s="192"/>
      <c r="L17" s="192"/>
      <c r="M17" s="192"/>
      <c r="N17" s="192"/>
      <c r="O17" s="192"/>
      <c r="P17" s="192"/>
      <c r="Q17" s="192"/>
      <c r="R17" s="224"/>
      <c r="S17" s="224"/>
      <c r="T17" s="224"/>
      <c r="U17" s="224"/>
      <c r="V17" s="229">
        <v>39163</v>
      </c>
      <c r="W17" s="192"/>
      <c r="X17" s="5"/>
    </row>
    <row r="18" spans="1:24" ht="15.6" x14ac:dyDescent="0.3">
      <c r="A18" s="183"/>
      <c r="B18" s="222" t="s">
        <v>5</v>
      </c>
      <c r="C18" s="192"/>
      <c r="D18" s="192"/>
      <c r="E18" s="192"/>
      <c r="F18" s="192"/>
      <c r="G18" s="192"/>
      <c r="H18" s="192"/>
      <c r="I18" s="192"/>
      <c r="J18" s="192"/>
      <c r="K18" s="192"/>
      <c r="L18" s="192"/>
      <c r="M18" s="192"/>
      <c r="N18" s="192"/>
      <c r="O18" s="192"/>
      <c r="P18" s="192"/>
      <c r="Q18" s="192"/>
      <c r="R18" s="224"/>
      <c r="S18" s="224"/>
      <c r="T18" s="224"/>
      <c r="U18" s="224"/>
      <c r="V18" s="229">
        <v>42724</v>
      </c>
      <c r="W18" s="192"/>
      <c r="X18" s="5"/>
    </row>
    <row r="19" spans="1:24" ht="15.6" x14ac:dyDescent="0.3">
      <c r="A19" s="183"/>
      <c r="B19" s="185"/>
      <c r="C19" s="185"/>
      <c r="D19" s="185"/>
      <c r="E19" s="185"/>
      <c r="F19" s="185"/>
      <c r="G19" s="185"/>
      <c r="H19" s="185"/>
      <c r="I19" s="185"/>
      <c r="J19" s="185"/>
      <c r="K19" s="185"/>
      <c r="L19" s="185"/>
      <c r="M19" s="185"/>
      <c r="N19" s="185"/>
      <c r="O19" s="185"/>
      <c r="P19" s="185"/>
      <c r="Q19" s="185"/>
      <c r="R19" s="185"/>
      <c r="S19" s="185"/>
      <c r="T19" s="185"/>
      <c r="U19" s="185"/>
      <c r="V19" s="194"/>
      <c r="W19" s="185"/>
      <c r="X19" s="5"/>
    </row>
    <row r="20" spans="1:24" ht="15.6" x14ac:dyDescent="0.3">
      <c r="A20" s="183"/>
      <c r="B20" s="230" t="s">
        <v>6</v>
      </c>
      <c r="C20" s="185"/>
      <c r="D20" s="185"/>
      <c r="E20" s="185"/>
      <c r="F20" s="185"/>
      <c r="G20" s="185"/>
      <c r="H20" s="185"/>
      <c r="I20" s="185"/>
      <c r="J20" s="185"/>
      <c r="K20" s="185"/>
      <c r="L20" s="185"/>
      <c r="M20" s="185"/>
      <c r="N20" s="185"/>
      <c r="O20" s="185"/>
      <c r="P20" s="185"/>
      <c r="Q20" s="185"/>
      <c r="R20" s="185"/>
      <c r="S20" s="185"/>
      <c r="T20" s="223" t="s">
        <v>105</v>
      </c>
      <c r="U20" s="185"/>
      <c r="V20" s="182"/>
      <c r="W20" s="185"/>
      <c r="X20" s="5"/>
    </row>
    <row r="21" spans="1:24" ht="15.6" x14ac:dyDescent="0.3">
      <c r="A21" s="183"/>
      <c r="B21" s="185"/>
      <c r="C21" s="185"/>
      <c r="D21" s="185"/>
      <c r="E21" s="185"/>
      <c r="F21" s="185"/>
      <c r="G21" s="185"/>
      <c r="H21" s="185"/>
      <c r="I21" s="185"/>
      <c r="J21" s="185"/>
      <c r="K21" s="185"/>
      <c r="L21" s="185"/>
      <c r="M21" s="185"/>
      <c r="N21" s="185"/>
      <c r="O21" s="185"/>
      <c r="P21" s="185"/>
      <c r="Q21" s="185"/>
      <c r="R21" s="185"/>
      <c r="S21" s="185"/>
      <c r="T21" s="185"/>
      <c r="U21" s="185"/>
      <c r="V21" s="196"/>
      <c r="W21" s="185"/>
      <c r="X21" s="5"/>
    </row>
    <row r="22" spans="1:24" ht="15.6" x14ac:dyDescent="0.3">
      <c r="A22" s="262"/>
      <c r="B22" s="263"/>
      <c r="C22" s="264"/>
      <c r="D22" s="264" t="s">
        <v>177</v>
      </c>
      <c r="E22" s="264"/>
      <c r="F22" s="264" t="s">
        <v>178</v>
      </c>
      <c r="G22" s="264"/>
      <c r="H22" s="264" t="s">
        <v>179</v>
      </c>
      <c r="I22" s="264"/>
      <c r="J22" s="264" t="s">
        <v>220</v>
      </c>
      <c r="K22" s="264"/>
      <c r="L22" s="264" t="s">
        <v>180</v>
      </c>
      <c r="M22" s="264"/>
      <c r="N22" s="264" t="s">
        <v>181</v>
      </c>
      <c r="O22" s="264"/>
      <c r="P22" s="264" t="s">
        <v>221</v>
      </c>
      <c r="Q22" s="264"/>
      <c r="R22" s="264" t="s">
        <v>182</v>
      </c>
      <c r="S22" s="266"/>
      <c r="T22" s="266"/>
      <c r="U22" s="267"/>
      <c r="V22" s="267"/>
      <c r="W22" s="263"/>
      <c r="X22" s="5"/>
    </row>
    <row r="23" spans="1:24" ht="15.6" x14ac:dyDescent="0.3">
      <c r="A23" s="287"/>
      <c r="B23" s="288" t="s">
        <v>7</v>
      </c>
      <c r="C23" s="289"/>
      <c r="D23" s="289" t="s">
        <v>213</v>
      </c>
      <c r="E23" s="289"/>
      <c r="F23" s="289" t="s">
        <v>141</v>
      </c>
      <c r="G23" s="289"/>
      <c r="H23" s="289" t="s">
        <v>141</v>
      </c>
      <c r="I23" s="289"/>
      <c r="J23" s="289" t="s">
        <v>141</v>
      </c>
      <c r="K23" s="289"/>
      <c r="L23" s="289" t="s">
        <v>183</v>
      </c>
      <c r="M23" s="289"/>
      <c r="N23" s="289" t="s">
        <v>183</v>
      </c>
      <c r="O23" s="289"/>
      <c r="P23" s="289" t="s">
        <v>142</v>
      </c>
      <c r="Q23" s="289"/>
      <c r="R23" s="289" t="s">
        <v>142</v>
      </c>
      <c r="S23" s="289"/>
      <c r="T23" s="289"/>
      <c r="U23" s="290"/>
      <c r="V23" s="290"/>
      <c r="W23" s="291"/>
      <c r="X23" s="5"/>
    </row>
    <row r="24" spans="1:24" ht="15.6" x14ac:dyDescent="0.3">
      <c r="A24" s="287"/>
      <c r="B24" s="288" t="s">
        <v>8</v>
      </c>
      <c r="C24" s="289"/>
      <c r="D24" s="289" t="s">
        <v>214</v>
      </c>
      <c r="E24" s="289"/>
      <c r="F24" s="289" t="s">
        <v>143</v>
      </c>
      <c r="G24" s="289"/>
      <c r="H24" s="289" t="s">
        <v>143</v>
      </c>
      <c r="I24" s="289"/>
      <c r="J24" s="289" t="s">
        <v>143</v>
      </c>
      <c r="K24" s="289"/>
      <c r="L24" s="289" t="s">
        <v>165</v>
      </c>
      <c r="M24" s="289"/>
      <c r="N24" s="289" t="s">
        <v>165</v>
      </c>
      <c r="O24" s="289"/>
      <c r="P24" s="289" t="s">
        <v>144</v>
      </c>
      <c r="Q24" s="289"/>
      <c r="R24" s="289" t="s">
        <v>144</v>
      </c>
      <c r="S24" s="289"/>
      <c r="T24" s="289"/>
      <c r="U24" s="290"/>
      <c r="V24" s="290"/>
      <c r="W24" s="291"/>
      <c r="X24" s="5"/>
    </row>
    <row r="25" spans="1:24" ht="15.6" x14ac:dyDescent="0.3">
      <c r="A25" s="292"/>
      <c r="B25" s="288" t="s">
        <v>190</v>
      </c>
      <c r="C25" s="398"/>
      <c r="D25" s="289" t="s">
        <v>215</v>
      </c>
      <c r="E25" s="289"/>
      <c r="F25" s="289" t="s">
        <v>143</v>
      </c>
      <c r="G25" s="289"/>
      <c r="H25" s="289" t="s">
        <v>143</v>
      </c>
      <c r="I25" s="289"/>
      <c r="J25" s="289" t="s">
        <v>143</v>
      </c>
      <c r="K25" s="289"/>
      <c r="L25" s="289" t="s">
        <v>293</v>
      </c>
      <c r="M25" s="289"/>
      <c r="N25" s="289" t="s">
        <v>293</v>
      </c>
      <c r="O25" s="289"/>
      <c r="P25" s="289" t="s">
        <v>144</v>
      </c>
      <c r="Q25" s="289"/>
      <c r="R25" s="289" t="s">
        <v>144</v>
      </c>
      <c r="S25" s="398"/>
      <c r="T25" s="289"/>
      <c r="U25" s="290"/>
      <c r="V25" s="290"/>
      <c r="W25" s="291"/>
      <c r="X25" s="5"/>
    </row>
    <row r="26" spans="1:24" ht="15.6" x14ac:dyDescent="0.3">
      <c r="A26" s="292"/>
      <c r="B26" s="295" t="s">
        <v>9</v>
      </c>
      <c r="C26" s="398"/>
      <c r="D26" s="398" t="s">
        <v>333</v>
      </c>
      <c r="E26" s="398"/>
      <c r="F26" s="398" t="s">
        <v>333</v>
      </c>
      <c r="G26" s="398"/>
      <c r="H26" s="398" t="s">
        <v>333</v>
      </c>
      <c r="I26" s="398"/>
      <c r="J26" s="398" t="s">
        <v>333</v>
      </c>
      <c r="K26" s="398"/>
      <c r="L26" s="398" t="s">
        <v>333</v>
      </c>
      <c r="M26" s="398"/>
      <c r="N26" s="398" t="s">
        <v>333</v>
      </c>
      <c r="O26" s="398"/>
      <c r="P26" s="398" t="s">
        <v>334</v>
      </c>
      <c r="Q26" s="398"/>
      <c r="R26" s="398" t="s">
        <v>334</v>
      </c>
      <c r="S26" s="398"/>
      <c r="T26" s="289"/>
      <c r="U26" s="290"/>
      <c r="V26" s="290"/>
      <c r="W26" s="291"/>
      <c r="X26" s="5"/>
    </row>
    <row r="27" spans="1:24" ht="15.6" x14ac:dyDescent="0.3">
      <c r="A27" s="287"/>
      <c r="B27" s="295" t="s">
        <v>191</v>
      </c>
      <c r="C27" s="289"/>
      <c r="D27" s="398" t="s">
        <v>352</v>
      </c>
      <c r="E27" s="398"/>
      <c r="F27" s="398" t="s">
        <v>143</v>
      </c>
      <c r="G27" s="398"/>
      <c r="H27" s="398" t="s">
        <v>143</v>
      </c>
      <c r="I27" s="398"/>
      <c r="J27" s="398" t="s">
        <v>143</v>
      </c>
      <c r="K27" s="398"/>
      <c r="L27" s="398" t="s">
        <v>319</v>
      </c>
      <c r="M27" s="398"/>
      <c r="N27" s="398" t="s">
        <v>319</v>
      </c>
      <c r="O27" s="398"/>
      <c r="P27" s="398" t="s">
        <v>320</v>
      </c>
      <c r="Q27" s="398"/>
      <c r="R27" s="398" t="s">
        <v>320</v>
      </c>
      <c r="S27" s="289"/>
      <c r="T27" s="296"/>
      <c r="U27" s="290"/>
      <c r="V27" s="290"/>
      <c r="W27" s="291"/>
      <c r="X27" s="5"/>
    </row>
    <row r="28" spans="1:24" ht="15.6" x14ac:dyDescent="0.3">
      <c r="A28" s="287"/>
      <c r="B28" s="295" t="s">
        <v>192</v>
      </c>
      <c r="C28" s="289"/>
      <c r="D28" s="398" t="s">
        <v>350</v>
      </c>
      <c r="E28" s="398"/>
      <c r="F28" s="398" t="s">
        <v>143</v>
      </c>
      <c r="G28" s="398"/>
      <c r="H28" s="398" t="s">
        <v>143</v>
      </c>
      <c r="I28" s="398"/>
      <c r="J28" s="398" t="s">
        <v>143</v>
      </c>
      <c r="K28" s="398"/>
      <c r="L28" s="398" t="s">
        <v>143</v>
      </c>
      <c r="M28" s="398"/>
      <c r="N28" s="398" t="s">
        <v>143</v>
      </c>
      <c r="O28" s="398"/>
      <c r="P28" s="398" t="s">
        <v>337</v>
      </c>
      <c r="Q28" s="398"/>
      <c r="R28" s="398" t="s">
        <v>337</v>
      </c>
      <c r="S28" s="289"/>
      <c r="T28" s="296"/>
      <c r="U28" s="290"/>
      <c r="V28" s="290"/>
      <c r="W28" s="291"/>
      <c r="X28" s="5"/>
    </row>
    <row r="29" spans="1:24" ht="15.6" x14ac:dyDescent="0.3">
      <c r="A29" s="287"/>
      <c r="B29" s="288" t="s">
        <v>10</v>
      </c>
      <c r="C29" s="298"/>
      <c r="D29" s="289" t="s">
        <v>249</v>
      </c>
      <c r="E29" s="289"/>
      <c r="F29" s="296" t="s">
        <v>250</v>
      </c>
      <c r="G29" s="289"/>
      <c r="H29" s="289" t="s">
        <v>251</v>
      </c>
      <c r="I29" s="289"/>
      <c r="J29" s="289" t="s">
        <v>253</v>
      </c>
      <c r="K29" s="289"/>
      <c r="L29" s="289" t="s">
        <v>254</v>
      </c>
      <c r="M29" s="289"/>
      <c r="N29" s="289" t="s">
        <v>255</v>
      </c>
      <c r="O29" s="289"/>
      <c r="P29" s="289" t="s">
        <v>256</v>
      </c>
      <c r="Q29" s="289"/>
      <c r="R29" s="289" t="s">
        <v>257</v>
      </c>
      <c r="S29" s="299"/>
      <c r="T29" s="299"/>
      <c r="U29" s="300"/>
      <c r="V29" s="299"/>
      <c r="W29" s="301"/>
      <c r="X29" s="5"/>
    </row>
    <row r="30" spans="1:24" ht="15.6" x14ac:dyDescent="0.3">
      <c r="A30" s="287"/>
      <c r="B30" s="288" t="s">
        <v>10</v>
      </c>
      <c r="C30" s="298"/>
      <c r="D30" s="289" t="s">
        <v>248</v>
      </c>
      <c r="E30" s="289"/>
      <c r="F30" s="296" t="s">
        <v>118</v>
      </c>
      <c r="G30" s="289"/>
      <c r="H30" s="289" t="s">
        <v>118</v>
      </c>
      <c r="I30" s="289"/>
      <c r="J30" s="289" t="s">
        <v>252</v>
      </c>
      <c r="K30" s="289"/>
      <c r="L30" s="289" t="s">
        <v>118</v>
      </c>
      <c r="M30" s="289"/>
      <c r="N30" s="289" t="s">
        <v>118</v>
      </c>
      <c r="O30" s="289"/>
      <c r="P30" s="289" t="s">
        <v>118</v>
      </c>
      <c r="Q30" s="289"/>
      <c r="R30" s="289" t="s">
        <v>118</v>
      </c>
      <c r="S30" s="299"/>
      <c r="T30" s="299"/>
      <c r="U30" s="300"/>
      <c r="V30" s="299"/>
      <c r="W30" s="301"/>
      <c r="X30" s="5"/>
    </row>
    <row r="31" spans="1:24" ht="15.6" x14ac:dyDescent="0.3">
      <c r="A31" s="292"/>
      <c r="B31" s="288" t="s">
        <v>133</v>
      </c>
      <c r="C31" s="302"/>
      <c r="D31" s="303">
        <v>1500000</v>
      </c>
      <c r="E31" s="298"/>
      <c r="F31" s="299">
        <v>125000</v>
      </c>
      <c r="G31" s="299"/>
      <c r="H31" s="304">
        <v>246000</v>
      </c>
      <c r="I31" s="304"/>
      <c r="J31" s="303">
        <v>400000</v>
      </c>
      <c r="K31" s="299"/>
      <c r="L31" s="299">
        <v>51900</v>
      </c>
      <c r="M31" s="299"/>
      <c r="N31" s="304">
        <v>88800</v>
      </c>
      <c r="O31" s="299"/>
      <c r="P31" s="299">
        <v>20000</v>
      </c>
      <c r="Q31" s="299"/>
      <c r="R31" s="304">
        <v>135500</v>
      </c>
      <c r="S31" s="305"/>
      <c r="T31" s="305"/>
      <c r="U31" s="306"/>
      <c r="V31" s="305"/>
      <c r="W31" s="301"/>
      <c r="X31" s="5"/>
    </row>
    <row r="32" spans="1:24" ht="15.6" x14ac:dyDescent="0.3">
      <c r="A32" s="287"/>
      <c r="B32" s="288" t="s">
        <v>132</v>
      </c>
      <c r="C32" s="298"/>
      <c r="D32" s="303">
        <f>D31*D38</f>
        <v>837564</v>
      </c>
      <c r="E32" s="298"/>
      <c r="F32" s="299">
        <f>F31*F38</f>
        <v>69797.2</v>
      </c>
      <c r="G32" s="299"/>
      <c r="H32" s="304">
        <f>H31*H38</f>
        <v>137360.88959999999</v>
      </c>
      <c r="I32" s="304"/>
      <c r="J32" s="303">
        <f>J31*J38</f>
        <v>223350.39999999999</v>
      </c>
      <c r="K32" s="299"/>
      <c r="L32" s="299">
        <f>+L31</f>
        <v>51900</v>
      </c>
      <c r="M32" s="299"/>
      <c r="N32" s="304">
        <f>+N31</f>
        <v>88800</v>
      </c>
      <c r="O32" s="299"/>
      <c r="P32" s="299">
        <f>+P31</f>
        <v>20000</v>
      </c>
      <c r="Q32" s="299"/>
      <c r="R32" s="304">
        <f>+R31</f>
        <v>135500</v>
      </c>
      <c r="S32" s="299"/>
      <c r="T32" s="299"/>
      <c r="U32" s="300"/>
      <c r="V32" s="299"/>
      <c r="W32" s="301"/>
      <c r="X32" s="5"/>
    </row>
    <row r="33" spans="1:24" ht="15.6" x14ac:dyDescent="0.3">
      <c r="A33" s="287"/>
      <c r="B33" s="295" t="s">
        <v>134</v>
      </c>
      <c r="C33" s="298"/>
      <c r="D33" s="307">
        <f>D37*D31</f>
        <v>819848.7</v>
      </c>
      <c r="E33" s="302"/>
      <c r="F33" s="305">
        <f>F37*F31</f>
        <v>68320.925000000003</v>
      </c>
      <c r="G33" s="305"/>
      <c r="H33" s="308">
        <f>H31*H37</f>
        <v>134455.58040000001</v>
      </c>
      <c r="I33" s="308"/>
      <c r="J33" s="307">
        <f>J37*J31</f>
        <v>218626.32</v>
      </c>
      <c r="K33" s="305"/>
      <c r="L33" s="305">
        <f>L31*L37</f>
        <v>51900</v>
      </c>
      <c r="M33" s="305"/>
      <c r="N33" s="308">
        <f>N31*N37</f>
        <v>88800</v>
      </c>
      <c r="O33" s="305"/>
      <c r="P33" s="305">
        <f>P31*P37</f>
        <v>20000</v>
      </c>
      <c r="Q33" s="305"/>
      <c r="R33" s="308">
        <f>R31*R37</f>
        <v>135500</v>
      </c>
      <c r="S33" s="299"/>
      <c r="T33" s="299"/>
      <c r="U33" s="300"/>
      <c r="V33" s="299"/>
      <c r="W33" s="301"/>
      <c r="X33" s="5"/>
    </row>
    <row r="34" spans="1:24" ht="15.6" x14ac:dyDescent="0.3">
      <c r="A34" s="292"/>
      <c r="B34" s="288" t="s">
        <v>296</v>
      </c>
      <c r="C34" s="302"/>
      <c r="D34" s="299">
        <v>775194</v>
      </c>
      <c r="E34" s="298"/>
      <c r="F34" s="299">
        <v>125000</v>
      </c>
      <c r="G34" s="299"/>
      <c r="H34" s="299">
        <v>168148</v>
      </c>
      <c r="I34" s="299"/>
      <c r="J34" s="299">
        <v>206718</v>
      </c>
      <c r="K34" s="299"/>
      <c r="L34" s="299">
        <v>51900</v>
      </c>
      <c r="M34" s="299"/>
      <c r="N34" s="299">
        <v>60697</v>
      </c>
      <c r="O34" s="299"/>
      <c r="P34" s="299">
        <v>20000</v>
      </c>
      <c r="Q34" s="299"/>
      <c r="R34" s="299">
        <v>92618</v>
      </c>
      <c r="S34" s="305"/>
      <c r="T34" s="305"/>
      <c r="U34" s="306"/>
      <c r="V34" s="299">
        <f>SUM(C34:R34)</f>
        <v>1500275</v>
      </c>
      <c r="W34" s="301"/>
      <c r="X34" s="5"/>
    </row>
    <row r="35" spans="1:24" ht="15.6" x14ac:dyDescent="0.3">
      <c r="A35" s="292"/>
      <c r="B35" s="288" t="s">
        <v>297</v>
      </c>
      <c r="C35" s="302"/>
      <c r="D35" s="299">
        <f>D34*D38</f>
        <v>432849.72494400002</v>
      </c>
      <c r="E35" s="298"/>
      <c r="F35" s="299">
        <f>F34*F38</f>
        <v>69797.2</v>
      </c>
      <c r="G35" s="299"/>
      <c r="H35" s="299">
        <f>H34*H38</f>
        <v>93890.076684800006</v>
      </c>
      <c r="I35" s="299"/>
      <c r="J35" s="299">
        <f>J34*J38</f>
        <v>115426.369968</v>
      </c>
      <c r="K35" s="299"/>
      <c r="L35" s="299">
        <f>+L34</f>
        <v>51900</v>
      </c>
      <c r="M35" s="299"/>
      <c r="N35" s="299">
        <f>+N34</f>
        <v>60697</v>
      </c>
      <c r="O35" s="299"/>
      <c r="P35" s="299">
        <f>+P34</f>
        <v>20000</v>
      </c>
      <c r="Q35" s="299"/>
      <c r="R35" s="299">
        <f>+R34</f>
        <v>92618</v>
      </c>
      <c r="S35" s="299"/>
      <c r="T35" s="299"/>
      <c r="U35" s="300"/>
      <c r="V35" s="299">
        <f>SUM(C35:R35)</f>
        <v>937178.37159680005</v>
      </c>
      <c r="W35" s="301"/>
      <c r="X35" s="5"/>
    </row>
    <row r="36" spans="1:24" ht="15.6" x14ac:dyDescent="0.3">
      <c r="A36" s="292"/>
      <c r="B36" s="295" t="s">
        <v>298</v>
      </c>
      <c r="C36" s="302"/>
      <c r="D36" s="305">
        <f>D34*D37</f>
        <v>423694.5287652</v>
      </c>
      <c r="E36" s="302"/>
      <c r="F36" s="305">
        <f>F34*F37</f>
        <v>68320.925000000003</v>
      </c>
      <c r="G36" s="305"/>
      <c r="H36" s="305">
        <f>H34*H37</f>
        <v>91904.215175200006</v>
      </c>
      <c r="I36" s="305"/>
      <c r="J36" s="305">
        <f>J34*J37</f>
        <v>112984.9890444</v>
      </c>
      <c r="K36" s="305"/>
      <c r="L36" s="305">
        <f>L34*L37</f>
        <v>51900</v>
      </c>
      <c r="M36" s="305"/>
      <c r="N36" s="305">
        <f>N34*N37</f>
        <v>60697</v>
      </c>
      <c r="O36" s="305"/>
      <c r="P36" s="305">
        <f>P34*P37</f>
        <v>20000</v>
      </c>
      <c r="Q36" s="305"/>
      <c r="R36" s="305">
        <f>R34*R37</f>
        <v>92618</v>
      </c>
      <c r="S36" s="328"/>
      <c r="T36" s="328"/>
      <c r="U36" s="300"/>
      <c r="V36" s="305">
        <f>SUM(C36:R36)</f>
        <v>922119.65798480005</v>
      </c>
      <c r="W36" s="301"/>
      <c r="X36" s="5"/>
    </row>
    <row r="37" spans="1:24" ht="15.6" x14ac:dyDescent="0.3">
      <c r="A37" s="287"/>
      <c r="B37" s="313" t="s">
        <v>130</v>
      </c>
      <c r="C37" s="314"/>
      <c r="D37" s="315">
        <v>0.54656579999999999</v>
      </c>
      <c r="E37" s="315"/>
      <c r="F37" s="315">
        <v>0.54656740000000004</v>
      </c>
      <c r="G37" s="315"/>
      <c r="H37" s="315">
        <v>0.54656740000000004</v>
      </c>
      <c r="I37" s="315"/>
      <c r="J37" s="315">
        <v>0.54656579999999999</v>
      </c>
      <c r="K37" s="315"/>
      <c r="L37" s="315">
        <v>1</v>
      </c>
      <c r="M37" s="315"/>
      <c r="N37" s="315">
        <v>1</v>
      </c>
      <c r="O37" s="315"/>
      <c r="P37" s="315">
        <v>1</v>
      </c>
      <c r="Q37" s="315"/>
      <c r="R37" s="315">
        <v>1</v>
      </c>
      <c r="S37" s="316"/>
      <c r="T37" s="316"/>
      <c r="U37" s="317"/>
      <c r="V37" s="317"/>
      <c r="W37" s="318"/>
      <c r="X37" s="5"/>
    </row>
    <row r="38" spans="1:24" ht="15.6" x14ac:dyDescent="0.3">
      <c r="A38" s="287"/>
      <c r="B38" s="313" t="s">
        <v>131</v>
      </c>
      <c r="C38" s="314"/>
      <c r="D38" s="315">
        <v>0.55837599999999998</v>
      </c>
      <c r="E38" s="315"/>
      <c r="F38" s="315">
        <v>0.55837760000000003</v>
      </c>
      <c r="G38" s="315"/>
      <c r="H38" s="315">
        <v>0.55837760000000003</v>
      </c>
      <c r="I38" s="315"/>
      <c r="J38" s="315">
        <v>0.55837599999999998</v>
      </c>
      <c r="K38" s="315"/>
      <c r="L38" s="315">
        <v>1</v>
      </c>
      <c r="M38" s="315"/>
      <c r="N38" s="315">
        <v>1</v>
      </c>
      <c r="O38" s="315"/>
      <c r="P38" s="315">
        <v>1</v>
      </c>
      <c r="Q38" s="315"/>
      <c r="R38" s="315">
        <v>1</v>
      </c>
      <c r="S38" s="319"/>
      <c r="T38" s="320"/>
      <c r="U38" s="317"/>
      <c r="V38" s="319"/>
      <c r="W38" s="318"/>
      <c r="X38" s="5"/>
    </row>
    <row r="39" spans="1:24" ht="15.6" x14ac:dyDescent="0.3">
      <c r="A39" s="287"/>
      <c r="B39" s="288" t="s">
        <v>11</v>
      </c>
      <c r="C39" s="288"/>
      <c r="D39" s="296" t="s">
        <v>321</v>
      </c>
      <c r="E39" s="288"/>
      <c r="F39" s="296" t="s">
        <v>231</v>
      </c>
      <c r="G39" s="296"/>
      <c r="H39" s="296" t="s">
        <v>231</v>
      </c>
      <c r="I39" s="296"/>
      <c r="J39" s="296" t="s">
        <v>231</v>
      </c>
      <c r="K39" s="296"/>
      <c r="L39" s="296" t="s">
        <v>265</v>
      </c>
      <c r="M39" s="296"/>
      <c r="N39" s="296" t="s">
        <v>265</v>
      </c>
      <c r="O39" s="296"/>
      <c r="P39" s="296" t="s">
        <v>266</v>
      </c>
      <c r="Q39" s="296"/>
      <c r="R39" s="296" t="s">
        <v>266</v>
      </c>
      <c r="S39" s="321"/>
      <c r="T39" s="322"/>
      <c r="U39" s="290"/>
      <c r="V39" s="290"/>
      <c r="W39" s="291"/>
      <c r="X39" s="5"/>
    </row>
    <row r="40" spans="1:24" ht="15.6" x14ac:dyDescent="0.3">
      <c r="A40" s="287"/>
      <c r="B40" s="288" t="s">
        <v>12</v>
      </c>
      <c r="C40" s="288"/>
      <c r="D40" s="322">
        <v>7.3816999999999997E-3</v>
      </c>
      <c r="E40" s="288"/>
      <c r="F40" s="322">
        <v>5.8187999999999998E-3</v>
      </c>
      <c r="G40" s="321"/>
      <c r="H40" s="322">
        <v>0</v>
      </c>
      <c r="I40" s="322"/>
      <c r="J40" s="322">
        <v>1.05028E-2</v>
      </c>
      <c r="K40" s="321"/>
      <c r="L40" s="322">
        <v>7.4187999999999997E-3</v>
      </c>
      <c r="M40" s="321"/>
      <c r="N40" s="322">
        <v>5.8E-4</v>
      </c>
      <c r="O40" s="321"/>
      <c r="P40" s="322">
        <v>1.14188E-2</v>
      </c>
      <c r="Q40" s="321"/>
      <c r="R40" s="322">
        <v>4.5799999999999999E-3</v>
      </c>
      <c r="S40" s="321"/>
      <c r="T40" s="322"/>
      <c r="U40" s="290"/>
      <c r="V40" s="296"/>
      <c r="W40" s="291"/>
      <c r="X40" s="5"/>
    </row>
    <row r="41" spans="1:24" ht="15.6" x14ac:dyDescent="0.3">
      <c r="A41" s="287"/>
      <c r="B41" s="288" t="s">
        <v>13</v>
      </c>
      <c r="C41" s="288"/>
      <c r="D41" s="322">
        <v>7.0765000000000003E-3</v>
      </c>
      <c r="E41" s="288"/>
      <c r="F41" s="322">
        <v>7.7187999999999996E-3</v>
      </c>
      <c r="G41" s="321"/>
      <c r="H41" s="322">
        <v>0</v>
      </c>
      <c r="I41" s="322"/>
      <c r="J41" s="322">
        <v>8.5249999999999996E-3</v>
      </c>
      <c r="K41" s="321"/>
      <c r="L41" s="322">
        <v>9.3188000000000003E-3</v>
      </c>
      <c r="M41" s="321"/>
      <c r="N41" s="322">
        <v>9.7000000000000005E-4</v>
      </c>
      <c r="O41" s="321"/>
      <c r="P41" s="322">
        <v>1.33188E-2</v>
      </c>
      <c r="Q41" s="321"/>
      <c r="R41" s="322">
        <v>4.9699999999999996E-3</v>
      </c>
      <c r="S41" s="321"/>
      <c r="T41" s="322"/>
      <c r="U41" s="290"/>
      <c r="V41" s="321" t="s">
        <v>193</v>
      </c>
      <c r="W41" s="291"/>
      <c r="X41" s="5"/>
    </row>
    <row r="42" spans="1:24" ht="15.6" x14ac:dyDescent="0.3">
      <c r="A42" s="287"/>
      <c r="B42" s="288" t="s">
        <v>299</v>
      </c>
      <c r="C42" s="288"/>
      <c r="D42" s="296" t="s">
        <v>322</v>
      </c>
      <c r="E42" s="288"/>
      <c r="F42" s="296" t="s">
        <v>231</v>
      </c>
      <c r="G42" s="296"/>
      <c r="H42" s="296" t="s">
        <v>323</v>
      </c>
      <c r="I42" s="296"/>
      <c r="J42" s="296" t="s">
        <v>324</v>
      </c>
      <c r="K42" s="296"/>
      <c r="L42" s="296" t="s">
        <v>265</v>
      </c>
      <c r="M42" s="296"/>
      <c r="N42" s="296" t="s">
        <v>234</v>
      </c>
      <c r="O42" s="296"/>
      <c r="P42" s="296" t="s">
        <v>266</v>
      </c>
      <c r="Q42" s="296"/>
      <c r="R42" s="296" t="s">
        <v>264</v>
      </c>
      <c r="S42" s="321"/>
      <c r="T42" s="322"/>
      <c r="U42" s="290"/>
      <c r="V42" s="290"/>
      <c r="W42" s="291"/>
      <c r="X42" s="5"/>
    </row>
    <row r="43" spans="1:24" ht="15.6" x14ac:dyDescent="0.3">
      <c r="A43" s="287"/>
      <c r="B43" s="288" t="s">
        <v>300</v>
      </c>
      <c r="C43" s="323"/>
      <c r="D43" s="322">
        <v>6.1928E-3</v>
      </c>
      <c r="E43" s="322"/>
      <c r="F43" s="322">
        <f>+F40</f>
        <v>5.8187999999999998E-3</v>
      </c>
      <c r="G43" s="322"/>
      <c r="H43" s="322">
        <v>6.0987999999999997E-3</v>
      </c>
      <c r="I43" s="322"/>
      <c r="J43" s="322">
        <v>6.5447999999999999E-3</v>
      </c>
      <c r="K43" s="322"/>
      <c r="L43" s="322">
        <f>+L40</f>
        <v>7.4187999999999997E-3</v>
      </c>
      <c r="M43" s="322"/>
      <c r="N43" s="322">
        <v>8.0108000000000002E-3</v>
      </c>
      <c r="O43" s="322"/>
      <c r="P43" s="322">
        <f>+P40</f>
        <v>1.14188E-2</v>
      </c>
      <c r="Q43" s="321"/>
      <c r="R43" s="322">
        <v>1.2484800000000001E-2</v>
      </c>
      <c r="S43" s="296"/>
      <c r="T43" s="296"/>
      <c r="U43" s="290"/>
      <c r="V43" s="321">
        <f>SUMPRODUCT(D43:R43,D35:R35)/V35</f>
        <v>7.117863243556532E-3</v>
      </c>
      <c r="W43" s="291"/>
      <c r="X43" s="5"/>
    </row>
    <row r="44" spans="1:24" ht="15.6" x14ac:dyDescent="0.3">
      <c r="A44" s="287"/>
      <c r="B44" s="288" t="s">
        <v>301</v>
      </c>
      <c r="C44" s="323"/>
      <c r="D44" s="322">
        <v>8.0928000000000007E-3</v>
      </c>
      <c r="E44" s="322"/>
      <c r="F44" s="322">
        <f>+F41</f>
        <v>7.7187999999999996E-3</v>
      </c>
      <c r="G44" s="322"/>
      <c r="H44" s="322">
        <v>7.9988000000000004E-3</v>
      </c>
      <c r="I44" s="322"/>
      <c r="J44" s="322">
        <v>8.4448000000000006E-3</v>
      </c>
      <c r="K44" s="322"/>
      <c r="L44" s="322">
        <f>+L41</f>
        <v>9.3188000000000003E-3</v>
      </c>
      <c r="M44" s="322"/>
      <c r="N44" s="322">
        <v>9.9108000000000009E-3</v>
      </c>
      <c r="O44" s="322"/>
      <c r="P44" s="322">
        <f>+P41</f>
        <v>1.33188E-2</v>
      </c>
      <c r="Q44" s="321"/>
      <c r="R44" s="322">
        <v>1.43848E-2</v>
      </c>
      <c r="S44" s="296"/>
      <c r="T44" s="296"/>
      <c r="U44" s="290"/>
      <c r="V44" s="290"/>
      <c r="W44" s="291"/>
      <c r="X44" s="5"/>
    </row>
    <row r="45" spans="1:24" ht="15.6" x14ac:dyDescent="0.3">
      <c r="A45" s="287"/>
      <c r="B45" s="288" t="s">
        <v>14</v>
      </c>
      <c r="C45" s="288"/>
      <c r="D45" s="323">
        <v>40617</v>
      </c>
      <c r="E45" s="323"/>
      <c r="F45" s="323">
        <v>40617</v>
      </c>
      <c r="G45" s="323"/>
      <c r="H45" s="323">
        <v>40617</v>
      </c>
      <c r="I45" s="323"/>
      <c r="J45" s="323">
        <v>40617</v>
      </c>
      <c r="K45" s="323"/>
      <c r="L45" s="323">
        <v>40617</v>
      </c>
      <c r="M45" s="323"/>
      <c r="N45" s="323">
        <v>40617</v>
      </c>
      <c r="O45" s="323"/>
      <c r="P45" s="323">
        <v>40617</v>
      </c>
      <c r="Q45" s="323"/>
      <c r="R45" s="323">
        <v>40617</v>
      </c>
      <c r="S45" s="296"/>
      <c r="T45" s="296"/>
      <c r="U45" s="290"/>
      <c r="V45" s="290"/>
      <c r="W45" s="291"/>
      <c r="X45" s="5"/>
    </row>
    <row r="46" spans="1:24" ht="15.6" x14ac:dyDescent="0.3">
      <c r="A46" s="287"/>
      <c r="B46" s="288" t="s">
        <v>15</v>
      </c>
      <c r="C46" s="288"/>
      <c r="D46" s="323">
        <v>40983</v>
      </c>
      <c r="E46" s="323"/>
      <c r="F46" s="323">
        <v>40983</v>
      </c>
      <c r="G46" s="323"/>
      <c r="H46" s="323">
        <v>40983</v>
      </c>
      <c r="I46" s="323"/>
      <c r="J46" s="323">
        <v>40983</v>
      </c>
      <c r="K46" s="296"/>
      <c r="L46" s="323">
        <v>40983</v>
      </c>
      <c r="M46" s="296"/>
      <c r="N46" s="323">
        <v>40983</v>
      </c>
      <c r="O46" s="296"/>
      <c r="P46" s="323">
        <v>40983</v>
      </c>
      <c r="Q46" s="296"/>
      <c r="R46" s="323">
        <v>40983</v>
      </c>
      <c r="S46" s="296"/>
      <c r="T46" s="296"/>
      <c r="U46" s="290"/>
      <c r="V46" s="290"/>
      <c r="W46" s="291"/>
      <c r="X46" s="5"/>
    </row>
    <row r="47" spans="1:24" ht="15.6" x14ac:dyDescent="0.3">
      <c r="A47" s="287"/>
      <c r="B47" s="288" t="s">
        <v>119</v>
      </c>
      <c r="C47" s="288"/>
      <c r="D47" s="296" t="s">
        <v>231</v>
      </c>
      <c r="E47" s="288"/>
      <c r="F47" s="296" t="s">
        <v>231</v>
      </c>
      <c r="G47" s="296"/>
      <c r="H47" s="296" t="s">
        <v>231</v>
      </c>
      <c r="I47" s="296"/>
      <c r="J47" s="296" t="s">
        <v>231</v>
      </c>
      <c r="K47" s="296"/>
      <c r="L47" s="296" t="s">
        <v>265</v>
      </c>
      <c r="M47" s="296"/>
      <c r="N47" s="296" t="s">
        <v>265</v>
      </c>
      <c r="O47" s="296"/>
      <c r="P47" s="296" t="s">
        <v>266</v>
      </c>
      <c r="Q47" s="296"/>
      <c r="R47" s="296" t="s">
        <v>266</v>
      </c>
      <c r="S47" s="325"/>
      <c r="T47" s="325"/>
      <c r="U47" s="325"/>
      <c r="V47" s="325"/>
      <c r="W47" s="291"/>
      <c r="X47" s="5"/>
    </row>
    <row r="48" spans="1:24" ht="15.6" x14ac:dyDescent="0.3">
      <c r="A48" s="287"/>
      <c r="B48" s="288" t="s">
        <v>302</v>
      </c>
      <c r="C48" s="288"/>
      <c r="D48" s="296" t="s">
        <v>325</v>
      </c>
      <c r="E48" s="288"/>
      <c r="F48" s="296" t="s">
        <v>231</v>
      </c>
      <c r="G48" s="296"/>
      <c r="H48" s="296" t="s">
        <v>262</v>
      </c>
      <c r="I48" s="296"/>
      <c r="J48" s="296" t="s">
        <v>263</v>
      </c>
      <c r="K48" s="296"/>
      <c r="L48" s="296" t="s">
        <v>265</v>
      </c>
      <c r="M48" s="296"/>
      <c r="N48" s="296" t="s">
        <v>234</v>
      </c>
      <c r="O48" s="296"/>
      <c r="P48" s="296" t="s">
        <v>266</v>
      </c>
      <c r="Q48" s="296"/>
      <c r="R48" s="296" t="s">
        <v>264</v>
      </c>
      <c r="S48" s="288"/>
      <c r="T48" s="288"/>
      <c r="U48" s="288"/>
      <c r="V48" s="321"/>
      <c r="W48" s="291"/>
      <c r="X48" s="5"/>
    </row>
    <row r="49" spans="1:25" ht="15.6" x14ac:dyDescent="0.3">
      <c r="A49" s="287"/>
      <c r="B49" s="288"/>
      <c r="C49" s="288"/>
      <c r="D49" s="296"/>
      <c r="E49" s="288"/>
      <c r="F49" s="296"/>
      <c r="G49" s="296"/>
      <c r="H49" s="296"/>
      <c r="I49" s="296"/>
      <c r="J49" s="296"/>
      <c r="K49" s="296"/>
      <c r="L49" s="296"/>
      <c r="M49" s="296"/>
      <c r="N49" s="296"/>
      <c r="O49" s="296"/>
      <c r="P49" s="296"/>
      <c r="Q49" s="296"/>
      <c r="R49" s="296"/>
      <c r="S49" s="288"/>
      <c r="T49" s="288"/>
      <c r="U49" s="288"/>
      <c r="V49" s="321" t="s">
        <v>193</v>
      </c>
      <c r="W49" s="291"/>
      <c r="X49" s="5"/>
    </row>
    <row r="50" spans="1:25" ht="15.6" x14ac:dyDescent="0.3">
      <c r="A50" s="287"/>
      <c r="B50" s="288" t="s">
        <v>169</v>
      </c>
      <c r="C50" s="288"/>
      <c r="D50" s="296"/>
      <c r="E50" s="288"/>
      <c r="F50" s="296"/>
      <c r="G50" s="296"/>
      <c r="H50" s="296"/>
      <c r="I50" s="296"/>
      <c r="J50" s="296"/>
      <c r="K50" s="296"/>
      <c r="L50" s="296"/>
      <c r="M50" s="296"/>
      <c r="N50" s="296"/>
      <c r="O50" s="296"/>
      <c r="P50" s="296"/>
      <c r="Q50" s="296"/>
      <c r="R50" s="296"/>
      <c r="S50" s="288"/>
      <c r="T50" s="288"/>
      <c r="U50" s="288"/>
      <c r="V50" s="321">
        <f>SUM(L34:R34)/SUM(D34:J34)</f>
        <v>0.17663090364375009</v>
      </c>
      <c r="W50" s="291"/>
      <c r="X50" s="5"/>
    </row>
    <row r="51" spans="1:25" ht="15.6" x14ac:dyDescent="0.3">
      <c r="A51" s="287"/>
      <c r="B51" s="288" t="s">
        <v>170</v>
      </c>
      <c r="C51" s="288"/>
      <c r="D51" s="288"/>
      <c r="E51" s="288"/>
      <c r="F51" s="326"/>
      <c r="G51" s="288"/>
      <c r="H51" s="288"/>
      <c r="I51" s="288"/>
      <c r="J51" s="288"/>
      <c r="K51" s="288"/>
      <c r="L51" s="288"/>
      <c r="M51" s="288"/>
      <c r="N51" s="288"/>
      <c r="O51" s="288"/>
      <c r="P51" s="288"/>
      <c r="Q51" s="288"/>
      <c r="R51" s="288"/>
      <c r="S51" s="288"/>
      <c r="T51" s="288"/>
      <c r="U51" s="288"/>
      <c r="V51" s="321">
        <f>SUM(L36:R36)/SUM(D36:J36)</f>
        <v>0.32316472191654094</v>
      </c>
      <c r="W51" s="291"/>
      <c r="X51" s="5"/>
    </row>
    <row r="52" spans="1:25" ht="15.6" x14ac:dyDescent="0.3">
      <c r="A52" s="287"/>
      <c r="B52" s="288" t="s">
        <v>171</v>
      </c>
      <c r="C52" s="288"/>
      <c r="D52" s="288"/>
      <c r="E52" s="288"/>
      <c r="F52" s="288"/>
      <c r="G52" s="288"/>
      <c r="H52" s="288"/>
      <c r="I52" s="288"/>
      <c r="J52" s="288"/>
      <c r="K52" s="288"/>
      <c r="L52" s="288"/>
      <c r="M52" s="288"/>
      <c r="N52" s="288"/>
      <c r="O52" s="288"/>
      <c r="P52" s="288"/>
      <c r="Q52" s="288"/>
      <c r="R52" s="288"/>
      <c r="S52" s="288"/>
      <c r="T52" s="296"/>
      <c r="U52" s="296"/>
      <c r="V52" s="299" t="s">
        <v>276</v>
      </c>
      <c r="W52" s="291"/>
      <c r="X52" s="5"/>
    </row>
    <row r="53" spans="1:25" ht="15.6" x14ac:dyDescent="0.3">
      <c r="A53" s="287"/>
      <c r="B53" s="288"/>
      <c r="C53" s="288"/>
      <c r="D53" s="288"/>
      <c r="E53" s="288"/>
      <c r="F53" s="288"/>
      <c r="G53" s="288"/>
      <c r="H53" s="288"/>
      <c r="I53" s="288"/>
      <c r="J53" s="288"/>
      <c r="K53" s="288"/>
      <c r="L53" s="288"/>
      <c r="M53" s="288"/>
      <c r="N53" s="288"/>
      <c r="O53" s="288"/>
      <c r="P53" s="288"/>
      <c r="Q53" s="288"/>
      <c r="R53" s="288"/>
      <c r="S53" s="288"/>
      <c r="T53" s="288"/>
      <c r="U53" s="288"/>
      <c r="V53" s="327"/>
      <c r="W53" s="291"/>
      <c r="X53" s="5"/>
    </row>
    <row r="54" spans="1:25" ht="15.6" x14ac:dyDescent="0.3">
      <c r="A54" s="287"/>
      <c r="B54" s="288" t="s">
        <v>202</v>
      </c>
      <c r="C54" s="288"/>
      <c r="D54" s="288"/>
      <c r="E54" s="288"/>
      <c r="F54" s="288"/>
      <c r="G54" s="288"/>
      <c r="H54" s="288"/>
      <c r="I54" s="288"/>
      <c r="J54" s="288"/>
      <c r="K54" s="288"/>
      <c r="L54" s="288"/>
      <c r="M54" s="288"/>
      <c r="N54" s="288"/>
      <c r="O54" s="288"/>
      <c r="P54" s="288"/>
      <c r="Q54" s="288"/>
      <c r="R54" s="288"/>
      <c r="S54" s="288"/>
      <c r="T54" s="288"/>
      <c r="U54" s="288"/>
      <c r="V54" s="328" t="s">
        <v>203</v>
      </c>
      <c r="W54" s="291"/>
      <c r="X54" s="5"/>
    </row>
    <row r="55" spans="1:25" ht="15.6" x14ac:dyDescent="0.3">
      <c r="A55" s="287"/>
      <c r="B55" s="288" t="s">
        <v>280</v>
      </c>
      <c r="C55" s="288"/>
      <c r="D55" s="288"/>
      <c r="E55" s="288"/>
      <c r="F55" s="288"/>
      <c r="G55" s="288"/>
      <c r="H55" s="288"/>
      <c r="I55" s="288"/>
      <c r="J55" s="288"/>
      <c r="K55" s="288"/>
      <c r="L55" s="288"/>
      <c r="M55" s="288"/>
      <c r="N55" s="288"/>
      <c r="O55" s="288"/>
      <c r="P55" s="288"/>
      <c r="Q55" s="288"/>
      <c r="R55" s="288"/>
      <c r="S55" s="288"/>
      <c r="T55" s="296"/>
      <c r="U55" s="296"/>
      <c r="V55" s="329" t="s">
        <v>111</v>
      </c>
      <c r="W55" s="291"/>
      <c r="X55" s="5"/>
    </row>
    <row r="56" spans="1:25" ht="15.6" x14ac:dyDescent="0.3">
      <c r="A56" s="287"/>
      <c r="B56" s="295" t="s">
        <v>201</v>
      </c>
      <c r="C56" s="295"/>
      <c r="D56" s="295"/>
      <c r="E56" s="295"/>
      <c r="F56" s="295"/>
      <c r="G56" s="295"/>
      <c r="H56" s="295"/>
      <c r="I56" s="295"/>
      <c r="J56" s="295"/>
      <c r="K56" s="295"/>
      <c r="L56" s="295"/>
      <c r="M56" s="295"/>
      <c r="N56" s="295"/>
      <c r="O56" s="295"/>
      <c r="P56" s="295"/>
      <c r="Q56" s="295"/>
      <c r="R56" s="295"/>
      <c r="S56" s="295"/>
      <c r="T56" s="330"/>
      <c r="U56" s="330"/>
      <c r="V56" s="331">
        <v>42719</v>
      </c>
      <c r="W56" s="291"/>
      <c r="X56" s="5"/>
    </row>
    <row r="57" spans="1:25" ht="15.6" x14ac:dyDescent="0.3">
      <c r="A57" s="287"/>
      <c r="B57" s="288" t="s">
        <v>121</v>
      </c>
      <c r="C57" s="288"/>
      <c r="D57" s="288"/>
      <c r="E57" s="288"/>
      <c r="F57" s="288"/>
      <c r="G57" s="288"/>
      <c r="H57" s="332"/>
      <c r="I57" s="332"/>
      <c r="J57" s="332"/>
      <c r="K57" s="332"/>
      <c r="L57" s="332"/>
      <c r="M57" s="332"/>
      <c r="N57" s="332"/>
      <c r="O57" s="332"/>
      <c r="P57" s="332"/>
      <c r="Q57" s="332"/>
      <c r="R57" s="288">
        <f>+V57-T57+1</f>
        <v>92</v>
      </c>
      <c r="S57" s="332"/>
      <c r="T57" s="333">
        <v>42536</v>
      </c>
      <c r="U57" s="334"/>
      <c r="V57" s="333">
        <v>42627</v>
      </c>
      <c r="W57" s="291"/>
      <c r="X57" s="5"/>
    </row>
    <row r="58" spans="1:25" ht="15.6" x14ac:dyDescent="0.3">
      <c r="A58" s="287"/>
      <c r="B58" s="288" t="s">
        <v>122</v>
      </c>
      <c r="C58" s="288"/>
      <c r="D58" s="288"/>
      <c r="E58" s="288"/>
      <c r="F58" s="288"/>
      <c r="G58" s="288"/>
      <c r="H58" s="288"/>
      <c r="I58" s="288"/>
      <c r="J58" s="288"/>
      <c r="K58" s="288"/>
      <c r="L58" s="288"/>
      <c r="M58" s="288"/>
      <c r="N58" s="288"/>
      <c r="O58" s="288"/>
      <c r="P58" s="288"/>
      <c r="Q58" s="288"/>
      <c r="R58" s="288">
        <f>+V58-T58+1</f>
        <v>91</v>
      </c>
      <c r="S58" s="288"/>
      <c r="T58" s="333">
        <v>42628</v>
      </c>
      <c r="U58" s="334"/>
      <c r="V58" s="333">
        <v>42718</v>
      </c>
      <c r="W58" s="291"/>
      <c r="X58" s="5"/>
    </row>
    <row r="59" spans="1:25" ht="15.6" x14ac:dyDescent="0.3">
      <c r="A59" s="287"/>
      <c r="B59" s="288" t="s">
        <v>229</v>
      </c>
      <c r="C59" s="288"/>
      <c r="D59" s="288"/>
      <c r="E59" s="288"/>
      <c r="F59" s="288"/>
      <c r="G59" s="288"/>
      <c r="H59" s="288"/>
      <c r="I59" s="288"/>
      <c r="J59" s="288"/>
      <c r="K59" s="288"/>
      <c r="L59" s="288"/>
      <c r="M59" s="288"/>
      <c r="N59" s="288"/>
      <c r="O59" s="288"/>
      <c r="P59" s="288"/>
      <c r="Q59" s="288"/>
      <c r="R59" s="288"/>
      <c r="S59" s="288"/>
      <c r="T59" s="333"/>
      <c r="U59" s="334"/>
      <c r="V59" s="333" t="s">
        <v>120</v>
      </c>
      <c r="W59" s="291"/>
      <c r="X59" s="5"/>
    </row>
    <row r="60" spans="1:25" ht="15.6" x14ac:dyDescent="0.3">
      <c r="A60" s="287"/>
      <c r="B60" s="288" t="s">
        <v>228</v>
      </c>
      <c r="C60" s="288"/>
      <c r="D60" s="288"/>
      <c r="E60" s="288"/>
      <c r="F60" s="288"/>
      <c r="G60" s="288"/>
      <c r="H60" s="288"/>
      <c r="I60" s="288"/>
      <c r="J60" s="288"/>
      <c r="K60" s="288"/>
      <c r="L60" s="288"/>
      <c r="M60" s="288"/>
      <c r="N60" s="288"/>
      <c r="O60" s="288"/>
      <c r="P60" s="288"/>
      <c r="Q60" s="288"/>
      <c r="R60" s="288"/>
      <c r="S60" s="288"/>
      <c r="T60" s="333"/>
      <c r="U60" s="334"/>
      <c r="V60" s="333" t="s">
        <v>154</v>
      </c>
      <c r="W60" s="291"/>
      <c r="X60" s="5"/>
      <c r="Y60" s="134"/>
    </row>
    <row r="61" spans="1:25" ht="15.6" x14ac:dyDescent="0.3">
      <c r="A61" s="287"/>
      <c r="B61" s="288" t="s">
        <v>16</v>
      </c>
      <c r="C61" s="288"/>
      <c r="D61" s="288"/>
      <c r="E61" s="288"/>
      <c r="F61" s="288"/>
      <c r="G61" s="288"/>
      <c r="H61" s="288"/>
      <c r="I61" s="288"/>
      <c r="J61" s="288"/>
      <c r="K61" s="288"/>
      <c r="L61" s="288"/>
      <c r="M61" s="288"/>
      <c r="N61" s="288"/>
      <c r="O61" s="288"/>
      <c r="P61" s="288"/>
      <c r="Q61" s="288"/>
      <c r="R61" s="288"/>
      <c r="S61" s="288"/>
      <c r="T61" s="333"/>
      <c r="U61" s="334"/>
      <c r="V61" s="333">
        <v>42705</v>
      </c>
      <c r="W61" s="291"/>
      <c r="X61" s="5"/>
    </row>
    <row r="62" spans="1:25" ht="15.6" x14ac:dyDescent="0.3">
      <c r="A62" s="183"/>
      <c r="B62" s="284"/>
      <c r="C62" s="284"/>
      <c r="D62" s="284"/>
      <c r="E62" s="284"/>
      <c r="F62" s="284"/>
      <c r="G62" s="284"/>
      <c r="H62" s="284"/>
      <c r="I62" s="284"/>
      <c r="J62" s="284"/>
      <c r="K62" s="284"/>
      <c r="L62" s="284"/>
      <c r="M62" s="284"/>
      <c r="N62" s="284"/>
      <c r="O62" s="284"/>
      <c r="P62" s="284"/>
      <c r="Q62" s="284"/>
      <c r="R62" s="284"/>
      <c r="S62" s="284"/>
      <c r="T62" s="285"/>
      <c r="U62" s="286"/>
      <c r="V62" s="285"/>
      <c r="W62" s="284"/>
      <c r="X62" s="5"/>
    </row>
    <row r="63" spans="1:25" ht="15.6" x14ac:dyDescent="0.3">
      <c r="A63" s="183"/>
      <c r="B63" s="224"/>
      <c r="C63" s="224"/>
      <c r="D63" s="224"/>
      <c r="E63" s="224"/>
      <c r="F63" s="224"/>
      <c r="G63" s="224"/>
      <c r="H63" s="224"/>
      <c r="I63" s="224"/>
      <c r="J63" s="224"/>
      <c r="K63" s="224"/>
      <c r="L63" s="224"/>
      <c r="M63" s="224"/>
      <c r="N63" s="224"/>
      <c r="O63" s="224"/>
      <c r="P63" s="224"/>
      <c r="Q63" s="224"/>
      <c r="R63" s="224"/>
      <c r="S63" s="224"/>
      <c r="T63" s="235"/>
      <c r="U63" s="236"/>
      <c r="V63" s="235"/>
      <c r="W63" s="224"/>
      <c r="X63" s="5"/>
    </row>
    <row r="64" spans="1:25" ht="18" thickBot="1" x14ac:dyDescent="0.35">
      <c r="A64" s="199"/>
      <c r="B64" s="237" t="s">
        <v>357</v>
      </c>
      <c r="C64" s="238"/>
      <c r="D64" s="238"/>
      <c r="E64" s="238"/>
      <c r="F64" s="238"/>
      <c r="G64" s="238"/>
      <c r="H64" s="238"/>
      <c r="I64" s="238"/>
      <c r="J64" s="238"/>
      <c r="K64" s="238"/>
      <c r="L64" s="238"/>
      <c r="M64" s="238"/>
      <c r="N64" s="238"/>
      <c r="O64" s="238"/>
      <c r="P64" s="238"/>
      <c r="Q64" s="238"/>
      <c r="R64" s="238"/>
      <c r="S64" s="238"/>
      <c r="T64" s="238"/>
      <c r="U64" s="238"/>
      <c r="V64" s="239"/>
      <c r="W64" s="240"/>
      <c r="X64" s="5"/>
    </row>
    <row r="65" spans="1:24" ht="15.6" x14ac:dyDescent="0.3">
      <c r="A65" s="262"/>
      <c r="B65" s="399" t="s">
        <v>17</v>
      </c>
      <c r="C65" s="263"/>
      <c r="D65" s="263"/>
      <c r="E65" s="263"/>
      <c r="F65" s="263"/>
      <c r="G65" s="263"/>
      <c r="H65" s="263"/>
      <c r="I65" s="263"/>
      <c r="J65" s="263"/>
      <c r="K65" s="263"/>
      <c r="L65" s="263"/>
      <c r="M65" s="263"/>
      <c r="N65" s="263"/>
      <c r="O65" s="263"/>
      <c r="P65" s="263"/>
      <c r="Q65" s="263"/>
      <c r="R65" s="263"/>
      <c r="S65" s="263"/>
      <c r="T65" s="263"/>
      <c r="U65" s="263"/>
      <c r="V65" s="268"/>
      <c r="W65" s="263"/>
      <c r="X65" s="5"/>
    </row>
    <row r="66" spans="1:24" ht="15.6" x14ac:dyDescent="0.3">
      <c r="A66" s="183"/>
      <c r="B66" s="191"/>
      <c r="C66" s="185"/>
      <c r="D66" s="185"/>
      <c r="E66" s="185"/>
      <c r="F66" s="185"/>
      <c r="G66" s="185"/>
      <c r="H66" s="185"/>
      <c r="I66" s="185"/>
      <c r="J66" s="185"/>
      <c r="K66" s="185"/>
      <c r="L66" s="185"/>
      <c r="M66" s="185"/>
      <c r="N66" s="185"/>
      <c r="O66" s="185"/>
      <c r="P66" s="185"/>
      <c r="Q66" s="185"/>
      <c r="R66" s="185"/>
      <c r="S66" s="185"/>
      <c r="T66" s="185"/>
      <c r="U66" s="185"/>
      <c r="V66" s="201"/>
      <c r="W66" s="185"/>
      <c r="X66" s="5"/>
    </row>
    <row r="67" spans="1:24" ht="46.8" x14ac:dyDescent="0.3">
      <c r="A67" s="183"/>
      <c r="B67" s="202" t="s">
        <v>18</v>
      </c>
      <c r="C67" s="203"/>
      <c r="D67" s="203"/>
      <c r="E67" s="203"/>
      <c r="F67" s="203"/>
      <c r="G67" s="203"/>
      <c r="H67" s="203"/>
      <c r="I67" s="203"/>
      <c r="J67" s="203"/>
      <c r="K67" s="203"/>
      <c r="L67" s="203" t="s">
        <v>94</v>
      </c>
      <c r="M67" s="203"/>
      <c r="N67" s="203" t="s">
        <v>96</v>
      </c>
      <c r="O67" s="203"/>
      <c r="P67" s="203" t="s">
        <v>98</v>
      </c>
      <c r="Q67" s="203"/>
      <c r="R67" s="203" t="s">
        <v>100</v>
      </c>
      <c r="S67" s="203"/>
      <c r="T67" s="203" t="s">
        <v>106</v>
      </c>
      <c r="U67" s="203"/>
      <c r="V67" s="204" t="s">
        <v>112</v>
      </c>
      <c r="W67" s="205"/>
      <c r="X67" s="5"/>
    </row>
    <row r="68" spans="1:24" ht="15.6" x14ac:dyDescent="0.3">
      <c r="A68" s="287"/>
      <c r="B68" s="288" t="s">
        <v>19</v>
      </c>
      <c r="C68" s="337"/>
      <c r="D68" s="337"/>
      <c r="E68" s="337"/>
      <c r="F68" s="337"/>
      <c r="G68" s="337"/>
      <c r="H68" s="337"/>
      <c r="I68" s="337"/>
      <c r="J68" s="337"/>
      <c r="K68" s="337"/>
      <c r="L68" s="337">
        <v>1158015</v>
      </c>
      <c r="M68" s="337"/>
      <c r="N68" s="338">
        <v>937178</v>
      </c>
      <c r="O68" s="337"/>
      <c r="P68" s="337">
        <f>15059+3+2152+131-1</f>
        <v>17344</v>
      </c>
      <c r="Q68" s="337"/>
      <c r="R68" s="337">
        <f>131+2152+3</f>
        <v>2286</v>
      </c>
      <c r="S68" s="337"/>
      <c r="T68" s="337">
        <v>0</v>
      </c>
      <c r="U68" s="337"/>
      <c r="V68" s="338">
        <f>+N68-P68+R68-T68</f>
        <v>922120</v>
      </c>
      <c r="W68" s="291"/>
      <c r="X68" s="5"/>
    </row>
    <row r="69" spans="1:24" ht="15.6" x14ac:dyDescent="0.3">
      <c r="A69" s="287"/>
      <c r="B69" s="288" t="s">
        <v>20</v>
      </c>
      <c r="C69" s="337"/>
      <c r="D69" s="337"/>
      <c r="E69" s="337"/>
      <c r="F69" s="337"/>
      <c r="G69" s="337"/>
      <c r="H69" s="337"/>
      <c r="I69" s="337"/>
      <c r="J69" s="337"/>
      <c r="K69" s="337"/>
      <c r="L69" s="337">
        <v>15</v>
      </c>
      <c r="M69" s="337"/>
      <c r="N69" s="338">
        <v>0</v>
      </c>
      <c r="O69" s="337"/>
      <c r="P69" s="337">
        <v>0</v>
      </c>
      <c r="Q69" s="337"/>
      <c r="R69" s="337">
        <v>0</v>
      </c>
      <c r="S69" s="337"/>
      <c r="T69" s="337">
        <v>0</v>
      </c>
      <c r="U69" s="337"/>
      <c r="V69" s="338">
        <v>0</v>
      </c>
      <c r="W69" s="291"/>
      <c r="X69" s="5"/>
    </row>
    <row r="70" spans="1:24" ht="15.6" x14ac:dyDescent="0.3">
      <c r="A70" s="287"/>
      <c r="B70" s="288"/>
      <c r="C70" s="337"/>
      <c r="D70" s="337"/>
      <c r="E70" s="337"/>
      <c r="F70" s="337"/>
      <c r="G70" s="337"/>
      <c r="H70" s="337"/>
      <c r="I70" s="337"/>
      <c r="J70" s="337"/>
      <c r="K70" s="337"/>
      <c r="L70" s="337"/>
      <c r="M70" s="337"/>
      <c r="N70" s="338"/>
      <c r="O70" s="337"/>
      <c r="P70" s="337"/>
      <c r="Q70" s="337"/>
      <c r="R70" s="337"/>
      <c r="S70" s="337"/>
      <c r="T70" s="337"/>
      <c r="U70" s="337"/>
      <c r="V70" s="338"/>
      <c r="W70" s="291"/>
      <c r="X70" s="5"/>
    </row>
    <row r="71" spans="1:24" ht="15.6" x14ac:dyDescent="0.3">
      <c r="A71" s="287"/>
      <c r="B71" s="288" t="s">
        <v>21</v>
      </c>
      <c r="C71" s="337"/>
      <c r="D71" s="337"/>
      <c r="E71" s="337"/>
      <c r="F71" s="337"/>
      <c r="G71" s="337"/>
      <c r="H71" s="337"/>
      <c r="I71" s="337"/>
      <c r="J71" s="337"/>
      <c r="K71" s="337"/>
      <c r="L71" s="337">
        <f>SUM(L68:L70)</f>
        <v>1158030</v>
      </c>
      <c r="M71" s="337"/>
      <c r="N71" s="337">
        <f>N68+N69</f>
        <v>937178</v>
      </c>
      <c r="O71" s="337"/>
      <c r="P71" s="337">
        <f>SUM(P68:P70)</f>
        <v>17344</v>
      </c>
      <c r="Q71" s="337"/>
      <c r="R71" s="337">
        <f>SUM(R68:R70)</f>
        <v>2286</v>
      </c>
      <c r="S71" s="337"/>
      <c r="T71" s="337">
        <f>SUM(T68:T70)</f>
        <v>0</v>
      </c>
      <c r="U71" s="337"/>
      <c r="V71" s="337">
        <f>SUM(V68:V70)</f>
        <v>922120</v>
      </c>
      <c r="W71" s="291"/>
      <c r="X71" s="5"/>
    </row>
    <row r="72" spans="1:24" ht="15.6" x14ac:dyDescent="0.3">
      <c r="A72" s="183"/>
      <c r="B72" s="198"/>
      <c r="C72" s="335"/>
      <c r="D72" s="335"/>
      <c r="E72" s="335"/>
      <c r="F72" s="335"/>
      <c r="G72" s="335"/>
      <c r="H72" s="335"/>
      <c r="I72" s="335"/>
      <c r="J72" s="335"/>
      <c r="K72" s="335"/>
      <c r="L72" s="335"/>
      <c r="M72" s="335"/>
      <c r="N72" s="335"/>
      <c r="O72" s="335"/>
      <c r="P72" s="335"/>
      <c r="Q72" s="335"/>
      <c r="R72" s="335"/>
      <c r="S72" s="335"/>
      <c r="T72" s="335"/>
      <c r="U72" s="335"/>
      <c r="V72" s="336"/>
      <c r="W72" s="198"/>
      <c r="X72" s="5"/>
    </row>
    <row r="73" spans="1:24" ht="15.6" x14ac:dyDescent="0.3">
      <c r="A73" s="183"/>
      <c r="B73" s="187" t="s">
        <v>22</v>
      </c>
      <c r="C73" s="206"/>
      <c r="D73" s="206"/>
      <c r="E73" s="206"/>
      <c r="F73" s="206"/>
      <c r="G73" s="206"/>
      <c r="H73" s="206"/>
      <c r="I73" s="206"/>
      <c r="J73" s="206"/>
      <c r="K73" s="206"/>
      <c r="L73" s="206"/>
      <c r="M73" s="206"/>
      <c r="N73" s="206"/>
      <c r="O73" s="206"/>
      <c r="P73" s="206"/>
      <c r="Q73" s="206"/>
      <c r="R73" s="206"/>
      <c r="S73" s="206"/>
      <c r="T73" s="206"/>
      <c r="U73" s="206"/>
      <c r="V73" s="207"/>
      <c r="W73" s="185"/>
      <c r="X73" s="5"/>
    </row>
    <row r="74" spans="1:24" ht="15.6" x14ac:dyDescent="0.3">
      <c r="A74" s="183"/>
      <c r="B74" s="185"/>
      <c r="C74" s="206"/>
      <c r="D74" s="206"/>
      <c r="E74" s="206"/>
      <c r="F74" s="206"/>
      <c r="G74" s="206"/>
      <c r="H74" s="206"/>
      <c r="I74" s="206"/>
      <c r="J74" s="206"/>
      <c r="K74" s="206"/>
      <c r="L74" s="206"/>
      <c r="M74" s="206"/>
      <c r="N74" s="206"/>
      <c r="O74" s="206"/>
      <c r="P74" s="206"/>
      <c r="Q74" s="206"/>
      <c r="R74" s="206"/>
      <c r="S74" s="206"/>
      <c r="T74" s="206"/>
      <c r="U74" s="206"/>
      <c r="V74" s="207"/>
      <c r="W74" s="185"/>
      <c r="X74" s="5"/>
    </row>
    <row r="75" spans="1:24" ht="15.6" x14ac:dyDescent="0.3">
      <c r="A75" s="340"/>
      <c r="B75" s="288" t="s">
        <v>19</v>
      </c>
      <c r="C75" s="337"/>
      <c r="D75" s="337"/>
      <c r="E75" s="337"/>
      <c r="F75" s="337"/>
      <c r="G75" s="337"/>
      <c r="H75" s="337"/>
      <c r="I75" s="337"/>
      <c r="J75" s="337"/>
      <c r="K75" s="337"/>
      <c r="L75" s="337"/>
      <c r="M75" s="337"/>
      <c r="N75" s="337"/>
      <c r="O75" s="337"/>
      <c r="P75" s="337"/>
      <c r="Q75" s="337"/>
      <c r="R75" s="337"/>
      <c r="S75" s="337"/>
      <c r="T75" s="337"/>
      <c r="U75" s="337"/>
      <c r="V75" s="337"/>
      <c r="W75" s="291"/>
      <c r="X75" s="5"/>
    </row>
    <row r="76" spans="1:24" ht="15.6" x14ac:dyDescent="0.3">
      <c r="A76" s="340"/>
      <c r="B76" s="288" t="s">
        <v>20</v>
      </c>
      <c r="C76" s="337"/>
      <c r="D76" s="337"/>
      <c r="E76" s="337"/>
      <c r="F76" s="337"/>
      <c r="G76" s="337"/>
      <c r="H76" s="337"/>
      <c r="I76" s="337"/>
      <c r="J76" s="337"/>
      <c r="K76" s="337"/>
      <c r="L76" s="337"/>
      <c r="M76" s="337"/>
      <c r="N76" s="337"/>
      <c r="O76" s="337"/>
      <c r="P76" s="337"/>
      <c r="Q76" s="337"/>
      <c r="R76" s="337"/>
      <c r="S76" s="337"/>
      <c r="T76" s="337"/>
      <c r="U76" s="337"/>
      <c r="V76" s="337"/>
      <c r="W76" s="291"/>
      <c r="X76" s="5"/>
    </row>
    <row r="77" spans="1:24" ht="15.6" x14ac:dyDescent="0.3">
      <c r="A77" s="340"/>
      <c r="B77" s="288"/>
      <c r="C77" s="337"/>
      <c r="D77" s="337"/>
      <c r="E77" s="337"/>
      <c r="F77" s="337"/>
      <c r="G77" s="337"/>
      <c r="H77" s="337"/>
      <c r="I77" s="337"/>
      <c r="J77" s="337"/>
      <c r="K77" s="337"/>
      <c r="L77" s="337"/>
      <c r="M77" s="337"/>
      <c r="N77" s="337"/>
      <c r="O77" s="337"/>
      <c r="P77" s="337"/>
      <c r="Q77" s="337"/>
      <c r="R77" s="337"/>
      <c r="S77" s="337"/>
      <c r="T77" s="337"/>
      <c r="U77" s="337"/>
      <c r="V77" s="337"/>
      <c r="W77" s="291"/>
      <c r="X77" s="5"/>
    </row>
    <row r="78" spans="1:24" ht="15.6" x14ac:dyDescent="0.3">
      <c r="A78" s="340"/>
      <c r="B78" s="288" t="s">
        <v>21</v>
      </c>
      <c r="C78" s="337"/>
      <c r="D78" s="337"/>
      <c r="E78" s="337"/>
      <c r="F78" s="337"/>
      <c r="G78" s="337"/>
      <c r="H78" s="337"/>
      <c r="I78" s="337"/>
      <c r="J78" s="337"/>
      <c r="K78" s="337"/>
      <c r="L78" s="337"/>
      <c r="M78" s="337"/>
      <c r="N78" s="337"/>
      <c r="O78" s="337"/>
      <c r="P78" s="337"/>
      <c r="Q78" s="337"/>
      <c r="R78" s="337"/>
      <c r="S78" s="337"/>
      <c r="T78" s="337"/>
      <c r="U78" s="337"/>
      <c r="V78" s="337"/>
      <c r="W78" s="291"/>
      <c r="X78" s="5"/>
    </row>
    <row r="79" spans="1:24" ht="15.6" x14ac:dyDescent="0.3">
      <c r="A79" s="340"/>
      <c r="B79" s="288"/>
      <c r="C79" s="337"/>
      <c r="D79" s="337"/>
      <c r="E79" s="337"/>
      <c r="F79" s="337"/>
      <c r="G79" s="337"/>
      <c r="H79" s="337"/>
      <c r="I79" s="337"/>
      <c r="J79" s="337"/>
      <c r="K79" s="337"/>
      <c r="L79" s="337"/>
      <c r="M79" s="337"/>
      <c r="N79" s="337"/>
      <c r="O79" s="337"/>
      <c r="P79" s="337"/>
      <c r="Q79" s="337"/>
      <c r="R79" s="337"/>
      <c r="S79" s="337"/>
      <c r="T79" s="337"/>
      <c r="U79" s="337"/>
      <c r="V79" s="337"/>
      <c r="W79" s="291"/>
      <c r="X79" s="5"/>
    </row>
    <row r="80" spans="1:24" ht="15.6" x14ac:dyDescent="0.3">
      <c r="A80" s="340"/>
      <c r="B80" s="288" t="s">
        <v>23</v>
      </c>
      <c r="C80" s="337"/>
      <c r="D80" s="337"/>
      <c r="E80" s="337"/>
      <c r="F80" s="337"/>
      <c r="G80" s="337"/>
      <c r="H80" s="337"/>
      <c r="I80" s="337"/>
      <c r="J80" s="337"/>
      <c r="K80" s="337"/>
      <c r="L80" s="337">
        <v>0</v>
      </c>
      <c r="M80" s="337"/>
      <c r="N80" s="337">
        <v>0</v>
      </c>
      <c r="O80" s="337"/>
      <c r="P80" s="337"/>
      <c r="Q80" s="337"/>
      <c r="R80" s="337"/>
      <c r="S80" s="337"/>
      <c r="T80" s="337"/>
      <c r="U80" s="337"/>
      <c r="V80" s="338">
        <v>0</v>
      </c>
      <c r="W80" s="291"/>
      <c r="X80" s="5"/>
    </row>
    <row r="81" spans="1:24" ht="15.6" x14ac:dyDescent="0.3">
      <c r="A81" s="340"/>
      <c r="B81" s="288" t="s">
        <v>117</v>
      </c>
      <c r="C81" s="337"/>
      <c r="D81" s="337"/>
      <c r="E81" s="337"/>
      <c r="F81" s="337"/>
      <c r="G81" s="337"/>
      <c r="H81" s="337"/>
      <c r="I81" s="337"/>
      <c r="J81" s="337"/>
      <c r="K81" s="337"/>
      <c r="L81" s="337">
        <v>342245</v>
      </c>
      <c r="M81" s="337"/>
      <c r="N81" s="337">
        <v>0</v>
      </c>
      <c r="O81" s="337"/>
      <c r="P81" s="337">
        <v>0</v>
      </c>
      <c r="Q81" s="337"/>
      <c r="R81" s="337"/>
      <c r="S81" s="337"/>
      <c r="T81" s="337"/>
      <c r="U81" s="337"/>
      <c r="V81" s="337">
        <f>SUM(N81:R81)</f>
        <v>0</v>
      </c>
      <c r="W81" s="291"/>
      <c r="X81" s="5"/>
    </row>
    <row r="82" spans="1:24" ht="15.6" x14ac:dyDescent="0.3">
      <c r="A82" s="340"/>
      <c r="B82" s="288" t="s">
        <v>146</v>
      </c>
      <c r="C82" s="337"/>
      <c r="D82" s="337"/>
      <c r="E82" s="337"/>
      <c r="F82" s="337"/>
      <c r="G82" s="337"/>
      <c r="H82" s="337"/>
      <c r="I82" s="337"/>
      <c r="J82" s="337"/>
      <c r="K82" s="337"/>
      <c r="L82" s="337">
        <v>0</v>
      </c>
      <c r="M82" s="337"/>
      <c r="N82" s="337">
        <v>0</v>
      </c>
      <c r="O82" s="337"/>
      <c r="P82" s="337">
        <v>0</v>
      </c>
      <c r="Q82" s="337"/>
      <c r="R82" s="337"/>
      <c r="S82" s="337"/>
      <c r="T82" s="337"/>
      <c r="U82" s="337"/>
      <c r="V82" s="337">
        <f>+N82+P82</f>
        <v>0</v>
      </c>
      <c r="W82" s="291"/>
      <c r="X82" s="5"/>
    </row>
    <row r="83" spans="1:24" ht="15.6" x14ac:dyDescent="0.3">
      <c r="A83" s="340"/>
      <c r="B83" s="288" t="s">
        <v>25</v>
      </c>
      <c r="C83" s="337"/>
      <c r="D83" s="337"/>
      <c r="E83" s="337"/>
      <c r="F83" s="337"/>
      <c r="G83" s="337"/>
      <c r="H83" s="337"/>
      <c r="I83" s="337"/>
      <c r="J83" s="337"/>
      <c r="K83" s="337"/>
      <c r="L83" s="337">
        <v>0</v>
      </c>
      <c r="M83" s="337"/>
      <c r="N83" s="337">
        <v>0</v>
      </c>
      <c r="O83" s="337"/>
      <c r="P83" s="337"/>
      <c r="Q83" s="337"/>
      <c r="R83" s="337"/>
      <c r="S83" s="337"/>
      <c r="T83" s="337"/>
      <c r="U83" s="337"/>
      <c r="V83" s="337">
        <v>0</v>
      </c>
      <c r="W83" s="291"/>
      <c r="X83" s="5"/>
    </row>
    <row r="84" spans="1:24" ht="15.6" x14ac:dyDescent="0.3">
      <c r="A84" s="340"/>
      <c r="B84" s="288" t="s">
        <v>26</v>
      </c>
      <c r="C84" s="337"/>
      <c r="D84" s="337"/>
      <c r="E84" s="337"/>
      <c r="F84" s="337"/>
      <c r="G84" s="337"/>
      <c r="H84" s="337"/>
      <c r="I84" s="337"/>
      <c r="J84" s="337"/>
      <c r="K84" s="337"/>
      <c r="L84" s="337">
        <f>SUM(L71:L83)</f>
        <v>1500275</v>
      </c>
      <c r="M84" s="337"/>
      <c r="N84" s="337">
        <f>SUM(N71:N83)</f>
        <v>937178</v>
      </c>
      <c r="O84" s="337"/>
      <c r="P84" s="337"/>
      <c r="Q84" s="337"/>
      <c r="R84" s="337"/>
      <c r="S84" s="337"/>
      <c r="T84" s="337"/>
      <c r="U84" s="337"/>
      <c r="V84" s="337">
        <f>SUM(V71:V83)</f>
        <v>922120</v>
      </c>
      <c r="W84" s="291"/>
      <c r="X84" s="5"/>
    </row>
    <row r="85" spans="1:24" ht="15.6" x14ac:dyDescent="0.3">
      <c r="A85" s="243"/>
      <c r="B85" s="284"/>
      <c r="C85" s="339"/>
      <c r="D85" s="339"/>
      <c r="E85" s="339"/>
      <c r="F85" s="339"/>
      <c r="G85" s="339"/>
      <c r="H85" s="339"/>
      <c r="I85" s="339"/>
      <c r="J85" s="339"/>
      <c r="K85" s="339"/>
      <c r="L85" s="339"/>
      <c r="M85" s="339"/>
      <c r="N85" s="339"/>
      <c r="O85" s="339"/>
      <c r="P85" s="339"/>
      <c r="Q85" s="339"/>
      <c r="R85" s="339"/>
      <c r="S85" s="339"/>
      <c r="T85" s="339"/>
      <c r="U85" s="339"/>
      <c r="V85" s="339"/>
      <c r="W85" s="284"/>
      <c r="X85" s="5"/>
    </row>
    <row r="86" spans="1:24" ht="15.6" x14ac:dyDescent="0.3">
      <c r="A86" s="243"/>
      <c r="B86" s="224"/>
      <c r="C86" s="224"/>
      <c r="D86" s="224"/>
      <c r="E86" s="224"/>
      <c r="F86" s="224"/>
      <c r="G86" s="224"/>
      <c r="H86" s="224"/>
      <c r="I86" s="224"/>
      <c r="J86" s="224"/>
      <c r="K86" s="224"/>
      <c r="L86" s="224"/>
      <c r="M86" s="224"/>
      <c r="N86" s="224"/>
      <c r="O86" s="224"/>
      <c r="P86" s="224"/>
      <c r="Q86" s="224"/>
      <c r="R86" s="224"/>
      <c r="S86" s="224"/>
      <c r="T86" s="224"/>
      <c r="U86" s="224"/>
      <c r="V86" s="224"/>
      <c r="W86" s="224"/>
      <c r="X86" s="5"/>
    </row>
    <row r="87" spans="1:24" ht="15.6" x14ac:dyDescent="0.3">
      <c r="A87" s="262"/>
      <c r="B87" s="399" t="s">
        <v>27</v>
      </c>
      <c r="C87" s="399"/>
      <c r="D87" s="399"/>
      <c r="E87" s="399"/>
      <c r="F87" s="399"/>
      <c r="G87" s="399"/>
      <c r="H87" s="400"/>
      <c r="I87" s="400"/>
      <c r="J87" s="400"/>
      <c r="K87" s="400"/>
      <c r="L87" s="401" t="s">
        <v>95</v>
      </c>
      <c r="M87" s="400"/>
      <c r="N87" s="402">
        <f>+T205</f>
        <v>42704</v>
      </c>
      <c r="O87" s="400"/>
      <c r="P87" s="400"/>
      <c r="Q87" s="400"/>
      <c r="R87" s="400"/>
      <c r="S87" s="400"/>
      <c r="T87" s="400" t="s">
        <v>107</v>
      </c>
      <c r="U87" s="400"/>
      <c r="V87" s="400" t="s">
        <v>113</v>
      </c>
      <c r="W87" s="263"/>
      <c r="X87" s="5"/>
    </row>
    <row r="88" spans="1:24" ht="15.6" x14ac:dyDescent="0.3">
      <c r="A88" s="242"/>
      <c r="B88" s="231" t="s">
        <v>28</v>
      </c>
      <c r="C88" s="231"/>
      <c r="D88" s="231"/>
      <c r="E88" s="231"/>
      <c r="F88" s="231"/>
      <c r="G88" s="231"/>
      <c r="H88" s="231"/>
      <c r="I88" s="231"/>
      <c r="J88" s="231"/>
      <c r="K88" s="231"/>
      <c r="L88" s="231"/>
      <c r="M88" s="231"/>
      <c r="N88" s="231"/>
      <c r="O88" s="231"/>
      <c r="P88" s="231"/>
      <c r="Q88" s="231"/>
      <c r="R88" s="231"/>
      <c r="S88" s="231"/>
      <c r="T88" s="234">
        <v>0</v>
      </c>
      <c r="U88" s="231"/>
      <c r="V88" s="241">
        <v>0</v>
      </c>
      <c r="W88" s="231"/>
      <c r="X88" s="5"/>
    </row>
    <row r="89" spans="1:24" ht="15.6" x14ac:dyDescent="0.3">
      <c r="A89" s="340"/>
      <c r="B89" s="288" t="s">
        <v>29</v>
      </c>
      <c r="C89" s="288"/>
      <c r="D89" s="288"/>
      <c r="E89" s="288"/>
      <c r="F89" s="288"/>
      <c r="G89" s="288"/>
      <c r="H89" s="325"/>
      <c r="I89" s="325"/>
      <c r="J89" s="325"/>
      <c r="K89" s="341"/>
      <c r="L89" s="325"/>
      <c r="M89" s="288"/>
      <c r="N89" s="342"/>
      <c r="O89" s="288"/>
      <c r="P89" s="288"/>
      <c r="Q89" s="288"/>
      <c r="R89" s="288"/>
      <c r="S89" s="288"/>
      <c r="T89" s="337">
        <f>17344-386</f>
        <v>16958</v>
      </c>
      <c r="U89" s="288"/>
      <c r="V89" s="338"/>
      <c r="W89" s="291"/>
      <c r="X89" s="5"/>
    </row>
    <row r="90" spans="1:24" ht="15.6" x14ac:dyDescent="0.3">
      <c r="A90" s="340"/>
      <c r="B90" s="288" t="s">
        <v>216</v>
      </c>
      <c r="C90" s="288"/>
      <c r="D90" s="288"/>
      <c r="E90" s="288"/>
      <c r="F90" s="288"/>
      <c r="G90" s="288"/>
      <c r="H90" s="325"/>
      <c r="I90" s="325"/>
      <c r="J90" s="325"/>
      <c r="K90" s="341"/>
      <c r="L90" s="325"/>
      <c r="M90" s="288"/>
      <c r="N90" s="342"/>
      <c r="O90" s="288"/>
      <c r="P90" s="288"/>
      <c r="Q90" s="288"/>
      <c r="R90" s="288"/>
      <c r="S90" s="288"/>
      <c r="T90" s="337"/>
      <c r="U90" s="288"/>
      <c r="V90" s="338">
        <f>3203+3780-656-1054</f>
        <v>5273</v>
      </c>
      <c r="W90" s="291"/>
      <c r="X90" s="5"/>
    </row>
    <row r="91" spans="1:24" ht="15.6" x14ac:dyDescent="0.3">
      <c r="A91" s="340"/>
      <c r="B91" s="288" t="s">
        <v>211</v>
      </c>
      <c r="C91" s="288"/>
      <c r="D91" s="288"/>
      <c r="E91" s="288"/>
      <c r="F91" s="288"/>
      <c r="G91" s="288"/>
      <c r="H91" s="325"/>
      <c r="I91" s="325"/>
      <c r="J91" s="325"/>
      <c r="K91" s="341"/>
      <c r="L91" s="325"/>
      <c r="M91" s="288"/>
      <c r="N91" s="342"/>
      <c r="O91" s="288"/>
      <c r="P91" s="288"/>
      <c r="Q91" s="288"/>
      <c r="R91" s="288"/>
      <c r="S91" s="288"/>
      <c r="T91" s="337"/>
      <c r="U91" s="288"/>
      <c r="V91" s="338">
        <f>98+70</f>
        <v>168</v>
      </c>
      <c r="W91" s="291"/>
      <c r="X91" s="5"/>
    </row>
    <row r="92" spans="1:24" ht="15.6" x14ac:dyDescent="0.3">
      <c r="A92" s="340"/>
      <c r="B92" s="288" t="s">
        <v>212</v>
      </c>
      <c r="C92" s="288"/>
      <c r="D92" s="288"/>
      <c r="E92" s="288"/>
      <c r="F92" s="288"/>
      <c r="G92" s="288"/>
      <c r="H92" s="325"/>
      <c r="I92" s="325"/>
      <c r="J92" s="325"/>
      <c r="K92" s="341"/>
      <c r="L92" s="325"/>
      <c r="M92" s="288"/>
      <c r="N92" s="342"/>
      <c r="O92" s="288"/>
      <c r="P92" s="288"/>
      <c r="Q92" s="288"/>
      <c r="R92" s="288"/>
      <c r="S92" s="288"/>
      <c r="T92" s="337"/>
      <c r="U92" s="288"/>
      <c r="V92" s="338">
        <v>51</v>
      </c>
      <c r="W92" s="291"/>
      <c r="X92" s="5"/>
    </row>
    <row r="93" spans="1:24" ht="15.6" x14ac:dyDescent="0.3">
      <c r="A93" s="340"/>
      <c r="B93" s="288" t="s">
        <v>272</v>
      </c>
      <c r="C93" s="288"/>
      <c r="D93" s="288"/>
      <c r="E93" s="288"/>
      <c r="F93" s="288"/>
      <c r="G93" s="288"/>
      <c r="H93" s="325"/>
      <c r="I93" s="325"/>
      <c r="J93" s="325"/>
      <c r="K93" s="341"/>
      <c r="L93" s="325"/>
      <c r="M93" s="288"/>
      <c r="N93" s="342"/>
      <c r="O93" s="288"/>
      <c r="P93" s="288"/>
      <c r="Q93" s="288"/>
      <c r="R93" s="288"/>
      <c r="S93" s="288"/>
      <c r="T93" s="337"/>
      <c r="U93" s="288"/>
      <c r="V93" s="338">
        <v>0</v>
      </c>
      <c r="W93" s="291"/>
      <c r="X93" s="5"/>
    </row>
    <row r="94" spans="1:24" ht="15.6" x14ac:dyDescent="0.3">
      <c r="A94" s="340"/>
      <c r="B94" s="288" t="s">
        <v>274</v>
      </c>
      <c r="C94" s="288"/>
      <c r="D94" s="288"/>
      <c r="E94" s="288"/>
      <c r="F94" s="288"/>
      <c r="G94" s="288"/>
      <c r="H94" s="325"/>
      <c r="I94" s="325"/>
      <c r="J94" s="325"/>
      <c r="K94" s="341"/>
      <c r="L94" s="325"/>
      <c r="M94" s="288"/>
      <c r="N94" s="342"/>
      <c r="O94" s="288"/>
      <c r="P94" s="288"/>
      <c r="Q94" s="288"/>
      <c r="R94" s="288"/>
      <c r="S94" s="288"/>
      <c r="T94" s="337"/>
      <c r="U94" s="288"/>
      <c r="V94" s="338">
        <v>0</v>
      </c>
      <c r="W94" s="291"/>
      <c r="X94" s="5"/>
    </row>
    <row r="95" spans="1:24" ht="15.6" x14ac:dyDescent="0.3">
      <c r="A95" s="340"/>
      <c r="B95" s="288" t="s">
        <v>135</v>
      </c>
      <c r="C95" s="288"/>
      <c r="D95" s="288"/>
      <c r="E95" s="288"/>
      <c r="F95" s="288"/>
      <c r="G95" s="288"/>
      <c r="H95" s="288"/>
      <c r="I95" s="288"/>
      <c r="J95" s="288"/>
      <c r="K95" s="288"/>
      <c r="L95" s="288"/>
      <c r="M95" s="288"/>
      <c r="N95" s="288"/>
      <c r="O95" s="288"/>
      <c r="P95" s="288"/>
      <c r="Q95" s="288"/>
      <c r="R95" s="288"/>
      <c r="S95" s="288"/>
      <c r="T95" s="337"/>
      <c r="U95" s="288"/>
      <c r="V95" s="338">
        <v>0</v>
      </c>
      <c r="W95" s="291"/>
      <c r="X95" s="5"/>
    </row>
    <row r="96" spans="1:24" ht="15.6" x14ac:dyDescent="0.3">
      <c r="A96" s="340"/>
      <c r="B96" s="288" t="s">
        <v>268</v>
      </c>
      <c r="C96" s="288"/>
      <c r="D96" s="288"/>
      <c r="E96" s="288"/>
      <c r="F96" s="288"/>
      <c r="G96" s="288"/>
      <c r="H96" s="288"/>
      <c r="I96" s="288"/>
      <c r="J96" s="288"/>
      <c r="K96" s="288"/>
      <c r="L96" s="288"/>
      <c r="M96" s="288"/>
      <c r="N96" s="288"/>
      <c r="O96" s="288"/>
      <c r="P96" s="288"/>
      <c r="Q96" s="288"/>
      <c r="R96" s="288"/>
      <c r="S96" s="288"/>
      <c r="T96" s="337"/>
      <c r="U96" s="288"/>
      <c r="V96" s="338">
        <v>218</v>
      </c>
      <c r="W96" s="291"/>
      <c r="X96" s="5"/>
    </row>
    <row r="97" spans="1:25" ht="15.6" x14ac:dyDescent="0.3">
      <c r="A97" s="340"/>
      <c r="B97" s="288" t="s">
        <v>30</v>
      </c>
      <c r="C97" s="288"/>
      <c r="D97" s="288"/>
      <c r="E97" s="288"/>
      <c r="F97" s="288"/>
      <c r="G97" s="288"/>
      <c r="H97" s="288"/>
      <c r="I97" s="288"/>
      <c r="J97" s="288"/>
      <c r="K97" s="288"/>
      <c r="L97" s="288"/>
      <c r="M97" s="288"/>
      <c r="N97" s="288"/>
      <c r="O97" s="288"/>
      <c r="P97" s="288"/>
      <c r="Q97" s="288"/>
      <c r="R97" s="288"/>
      <c r="S97" s="288"/>
      <c r="T97" s="337">
        <f>SUM(T88:T96)</f>
        <v>16958</v>
      </c>
      <c r="U97" s="288"/>
      <c r="V97" s="337">
        <f>SUM(V88:V96)</f>
        <v>5710</v>
      </c>
      <c r="W97" s="291"/>
      <c r="X97" s="5"/>
    </row>
    <row r="98" spans="1:25" ht="15.6" x14ac:dyDescent="0.3">
      <c r="A98" s="340"/>
      <c r="B98" s="288" t="s">
        <v>161</v>
      </c>
      <c r="C98" s="288"/>
      <c r="D98" s="288"/>
      <c r="E98" s="288"/>
      <c r="F98" s="288"/>
      <c r="G98" s="288"/>
      <c r="H98" s="288"/>
      <c r="I98" s="288"/>
      <c r="J98" s="288"/>
      <c r="K98" s="288"/>
      <c r="L98" s="288"/>
      <c r="M98" s="288"/>
      <c r="N98" s="288"/>
      <c r="O98" s="288"/>
      <c r="P98" s="288"/>
      <c r="Q98" s="288"/>
      <c r="R98" s="288"/>
      <c r="S98" s="288"/>
      <c r="T98" s="337">
        <f>-V98</f>
        <v>0</v>
      </c>
      <c r="U98" s="288"/>
      <c r="V98" s="337">
        <v>0</v>
      </c>
      <c r="W98" s="291"/>
      <c r="X98" s="5"/>
    </row>
    <row r="99" spans="1:25" ht="15.6" x14ac:dyDescent="0.3">
      <c r="A99" s="340"/>
      <c r="B99" s="288" t="s">
        <v>31</v>
      </c>
      <c r="C99" s="288"/>
      <c r="D99" s="288"/>
      <c r="E99" s="288"/>
      <c r="F99" s="288"/>
      <c r="G99" s="288"/>
      <c r="H99" s="288"/>
      <c r="I99" s="288"/>
      <c r="J99" s="288"/>
      <c r="K99" s="288"/>
      <c r="L99" s="288"/>
      <c r="M99" s="288"/>
      <c r="N99" s="288"/>
      <c r="O99" s="288"/>
      <c r="P99" s="288"/>
      <c r="Q99" s="288"/>
      <c r="R99" s="288"/>
      <c r="S99" s="288"/>
      <c r="T99" s="337">
        <f>-V99</f>
        <v>0</v>
      </c>
      <c r="U99" s="288"/>
      <c r="V99" s="338">
        <v>0</v>
      </c>
      <c r="W99" s="291"/>
      <c r="X99" s="5"/>
    </row>
    <row r="100" spans="1:25" ht="15.6" x14ac:dyDescent="0.3">
      <c r="A100" s="340"/>
      <c r="B100" s="288" t="s">
        <v>283</v>
      </c>
      <c r="C100" s="288"/>
      <c r="D100" s="288"/>
      <c r="E100" s="288"/>
      <c r="F100" s="288"/>
      <c r="G100" s="288"/>
      <c r="H100" s="288"/>
      <c r="I100" s="288"/>
      <c r="J100" s="288"/>
      <c r="K100" s="288"/>
      <c r="L100" s="288"/>
      <c r="M100" s="288"/>
      <c r="N100" s="288"/>
      <c r="O100" s="288"/>
      <c r="P100" s="288"/>
      <c r="Q100" s="288"/>
      <c r="R100" s="288"/>
      <c r="S100" s="288"/>
      <c r="T100" s="337"/>
      <c r="U100" s="288"/>
      <c r="V100" s="338">
        <v>173</v>
      </c>
      <c r="W100" s="291"/>
      <c r="X100" s="5"/>
    </row>
    <row r="101" spans="1:25" ht="15.6" x14ac:dyDescent="0.3">
      <c r="A101" s="340"/>
      <c r="B101" s="288" t="s">
        <v>32</v>
      </c>
      <c r="C101" s="288"/>
      <c r="D101" s="288"/>
      <c r="E101" s="288"/>
      <c r="F101" s="288"/>
      <c r="G101" s="288"/>
      <c r="H101" s="288"/>
      <c r="I101" s="288"/>
      <c r="J101" s="288"/>
      <c r="K101" s="288"/>
      <c r="L101" s="288"/>
      <c r="M101" s="288"/>
      <c r="N101" s="288"/>
      <c r="O101" s="288"/>
      <c r="P101" s="288"/>
      <c r="Q101" s="288"/>
      <c r="R101" s="288"/>
      <c r="S101" s="288"/>
      <c r="T101" s="337">
        <f>T97+T99+T98</f>
        <v>16958</v>
      </c>
      <c r="U101" s="288"/>
      <c r="V101" s="337">
        <f>V97+V99+V98+V100</f>
        <v>5883</v>
      </c>
      <c r="W101" s="291"/>
      <c r="X101" s="5"/>
    </row>
    <row r="102" spans="1:25" ht="15.6" x14ac:dyDescent="0.3">
      <c r="A102" s="287"/>
      <c r="B102" s="343" t="s">
        <v>33</v>
      </c>
      <c r="C102" s="314"/>
      <c r="D102" s="314"/>
      <c r="E102" s="314"/>
      <c r="F102" s="314"/>
      <c r="G102" s="314"/>
      <c r="H102" s="314"/>
      <c r="I102" s="314"/>
      <c r="J102" s="314"/>
      <c r="K102" s="314"/>
      <c r="L102" s="314"/>
      <c r="M102" s="314"/>
      <c r="N102" s="314"/>
      <c r="O102" s="314"/>
      <c r="P102" s="314"/>
      <c r="Q102" s="314"/>
      <c r="R102" s="314"/>
      <c r="S102" s="314"/>
      <c r="T102" s="344"/>
      <c r="U102" s="314"/>
      <c r="V102" s="345"/>
      <c r="W102" s="318"/>
      <c r="X102" s="5"/>
    </row>
    <row r="103" spans="1:25" ht="15.6" x14ac:dyDescent="0.3">
      <c r="A103" s="340">
        <v>1</v>
      </c>
      <c r="B103" s="288" t="s">
        <v>34</v>
      </c>
      <c r="C103" s="288"/>
      <c r="D103" s="288"/>
      <c r="E103" s="288"/>
      <c r="F103" s="288"/>
      <c r="G103" s="288"/>
      <c r="H103" s="288"/>
      <c r="I103" s="288"/>
      <c r="J103" s="288"/>
      <c r="K103" s="288"/>
      <c r="L103" s="288"/>
      <c r="M103" s="288"/>
      <c r="N103" s="288"/>
      <c r="O103" s="288"/>
      <c r="P103" s="288"/>
      <c r="Q103" s="288"/>
      <c r="R103" s="288"/>
      <c r="S103" s="288"/>
      <c r="T103" s="288"/>
      <c r="U103" s="288"/>
      <c r="V103" s="338">
        <v>0</v>
      </c>
      <c r="W103" s="291"/>
      <c r="X103" s="5"/>
    </row>
    <row r="104" spans="1:25" ht="15.6" x14ac:dyDescent="0.3">
      <c r="A104" s="340">
        <f>+A103+1</f>
        <v>2</v>
      </c>
      <c r="B104" s="288" t="s">
        <v>330</v>
      </c>
      <c r="C104" s="288"/>
      <c r="D104" s="288"/>
      <c r="E104" s="288"/>
      <c r="F104" s="288"/>
      <c r="G104" s="288"/>
      <c r="H104" s="288"/>
      <c r="I104" s="288"/>
      <c r="J104" s="288"/>
      <c r="K104" s="288"/>
      <c r="L104" s="288"/>
      <c r="M104" s="288"/>
      <c r="N104" s="288"/>
      <c r="O104" s="288"/>
      <c r="P104" s="288"/>
      <c r="Q104" s="288"/>
      <c r="R104" s="288"/>
      <c r="S104" s="288"/>
      <c r="T104" s="288"/>
      <c r="U104" s="288"/>
      <c r="V104" s="338">
        <v>-2</v>
      </c>
      <c r="W104" s="291"/>
      <c r="X104" s="5"/>
    </row>
    <row r="105" spans="1:25" ht="15.6" x14ac:dyDescent="0.3">
      <c r="A105" s="340">
        <f>+A104+1</f>
        <v>3</v>
      </c>
      <c r="B105" s="288" t="s">
        <v>331</v>
      </c>
      <c r="C105" s="288"/>
      <c r="D105" s="288"/>
      <c r="E105" s="288"/>
      <c r="F105" s="288"/>
      <c r="G105" s="288"/>
      <c r="H105" s="288"/>
      <c r="I105" s="288"/>
      <c r="J105" s="288"/>
      <c r="K105" s="288"/>
      <c r="L105" s="288"/>
      <c r="M105" s="288"/>
      <c r="N105" s="288"/>
      <c r="O105" s="288"/>
      <c r="P105" s="288"/>
      <c r="Q105" s="288"/>
      <c r="R105" s="288"/>
      <c r="S105" s="288"/>
      <c r="T105" s="288"/>
      <c r="U105" s="288"/>
      <c r="V105" s="338">
        <f>-118-178-12</f>
        <v>-308</v>
      </c>
      <c r="W105" s="291"/>
      <c r="X105" s="5"/>
    </row>
    <row r="106" spans="1:25" ht="15.6" x14ac:dyDescent="0.3">
      <c r="A106" s="340" t="s">
        <v>127</v>
      </c>
      <c r="B106" s="288" t="s">
        <v>116</v>
      </c>
      <c r="C106" s="288"/>
      <c r="D106" s="288"/>
      <c r="E106" s="288"/>
      <c r="F106" s="288"/>
      <c r="G106" s="288"/>
      <c r="H106" s="288"/>
      <c r="I106" s="288"/>
      <c r="J106" s="288"/>
      <c r="K106" s="288"/>
      <c r="L106" s="288"/>
      <c r="M106" s="288"/>
      <c r="N106" s="288"/>
      <c r="O106" s="288"/>
      <c r="P106" s="288"/>
      <c r="Q106" s="288"/>
      <c r="R106" s="288"/>
      <c r="S106" s="288"/>
      <c r="T106" s="288"/>
      <c r="U106" s="288"/>
      <c r="V106" s="338">
        <v>0</v>
      </c>
      <c r="W106" s="291"/>
      <c r="X106" s="5"/>
    </row>
    <row r="107" spans="1:25" ht="15.6" x14ac:dyDescent="0.3">
      <c r="A107" s="340" t="s">
        <v>128</v>
      </c>
      <c r="B107" s="288" t="s">
        <v>222</v>
      </c>
      <c r="C107" s="288"/>
      <c r="D107" s="288"/>
      <c r="E107" s="288"/>
      <c r="F107" s="288"/>
      <c r="G107" s="288"/>
      <c r="H107" s="288"/>
      <c r="I107" s="288"/>
      <c r="J107" s="288"/>
      <c r="K107" s="288"/>
      <c r="L107" s="288"/>
      <c r="M107" s="288"/>
      <c r="N107" s="288"/>
      <c r="O107" s="288"/>
      <c r="P107" s="288"/>
      <c r="Q107" s="288"/>
      <c r="R107" s="288"/>
      <c r="S107" s="288"/>
      <c r="T107" s="288"/>
      <c r="U107" s="288"/>
      <c r="V107" s="338">
        <f>-1101+101</f>
        <v>-1000</v>
      </c>
      <c r="W107" s="291"/>
      <c r="X107" s="5"/>
      <c r="Y107" s="109"/>
    </row>
    <row r="108" spans="1:25" ht="15.6" x14ac:dyDescent="0.3">
      <c r="A108" s="340" t="s">
        <v>150</v>
      </c>
      <c r="B108" s="288" t="s">
        <v>184</v>
      </c>
      <c r="C108" s="288"/>
      <c r="D108" s="288"/>
      <c r="E108" s="288"/>
      <c r="F108" s="288"/>
      <c r="G108" s="288"/>
      <c r="H108" s="288"/>
      <c r="I108" s="288"/>
      <c r="J108" s="288"/>
      <c r="K108" s="288"/>
      <c r="L108" s="288"/>
      <c r="M108" s="288"/>
      <c r="N108" s="288"/>
      <c r="O108" s="288"/>
      <c r="P108" s="288"/>
      <c r="Q108" s="288"/>
      <c r="R108" s="288"/>
      <c r="S108" s="288"/>
      <c r="T108" s="288"/>
      <c r="U108" s="288"/>
      <c r="V108" s="338">
        <v>-101</v>
      </c>
      <c r="W108" s="291"/>
      <c r="X108" s="5"/>
      <c r="Y108" s="109"/>
    </row>
    <row r="109" spans="1:25" ht="15.6" x14ac:dyDescent="0.3">
      <c r="A109" s="340" t="s">
        <v>236</v>
      </c>
      <c r="B109" s="288" t="s">
        <v>238</v>
      </c>
      <c r="C109" s="288"/>
      <c r="D109" s="288"/>
      <c r="E109" s="288"/>
      <c r="F109" s="288"/>
      <c r="G109" s="288"/>
      <c r="H109" s="288"/>
      <c r="I109" s="288"/>
      <c r="J109" s="288"/>
      <c r="K109" s="288"/>
      <c r="L109" s="288"/>
      <c r="M109" s="288"/>
      <c r="N109" s="288"/>
      <c r="O109" s="288"/>
      <c r="P109" s="288"/>
      <c r="Q109" s="288"/>
      <c r="R109" s="288"/>
      <c r="S109" s="288"/>
      <c r="T109" s="288"/>
      <c r="U109" s="288"/>
      <c r="V109" s="338">
        <v>0</v>
      </c>
      <c r="W109" s="291"/>
      <c r="X109" s="5"/>
    </row>
    <row r="110" spans="1:25" ht="15.6" x14ac:dyDescent="0.3">
      <c r="A110" s="340" t="s">
        <v>205</v>
      </c>
      <c r="B110" s="288" t="s">
        <v>185</v>
      </c>
      <c r="C110" s="288"/>
      <c r="D110" s="288"/>
      <c r="E110" s="288"/>
      <c r="F110" s="288"/>
      <c r="G110" s="288"/>
      <c r="H110" s="288"/>
      <c r="I110" s="288"/>
      <c r="J110" s="288"/>
      <c r="K110" s="288"/>
      <c r="L110" s="288"/>
      <c r="M110" s="288"/>
      <c r="N110" s="288"/>
      <c r="O110" s="288"/>
      <c r="P110" s="288"/>
      <c r="Q110" s="288"/>
      <c r="R110" s="288"/>
      <c r="S110" s="288"/>
      <c r="T110" s="288"/>
      <c r="U110" s="288"/>
      <c r="V110" s="338">
        <v>-121</v>
      </c>
      <c r="W110" s="291"/>
      <c r="X110" s="5"/>
      <c r="Y110" s="109"/>
    </row>
    <row r="111" spans="1:25" ht="15.6" x14ac:dyDescent="0.3">
      <c r="A111" s="340" t="s">
        <v>206</v>
      </c>
      <c r="B111" s="288" t="s">
        <v>186</v>
      </c>
      <c r="C111" s="288"/>
      <c r="D111" s="288"/>
      <c r="E111" s="288"/>
      <c r="F111" s="288"/>
      <c r="G111" s="288"/>
      <c r="H111" s="288"/>
      <c r="I111" s="288"/>
      <c r="J111" s="288"/>
      <c r="K111" s="288"/>
      <c r="L111" s="288"/>
      <c r="M111" s="288"/>
      <c r="N111" s="288"/>
      <c r="O111" s="288"/>
      <c r="P111" s="288"/>
      <c r="Q111" s="288"/>
      <c r="R111" s="288"/>
      <c r="S111" s="288"/>
      <c r="T111" s="288"/>
      <c r="U111" s="288"/>
      <c r="V111" s="338">
        <v>-96</v>
      </c>
      <c r="W111" s="291"/>
      <c r="X111" s="179"/>
      <c r="Y111" s="109"/>
    </row>
    <row r="112" spans="1:25" ht="15.6" x14ac:dyDescent="0.3">
      <c r="A112" s="340" t="s">
        <v>207</v>
      </c>
      <c r="B112" s="288" t="s">
        <v>196</v>
      </c>
      <c r="C112" s="288"/>
      <c r="D112" s="288"/>
      <c r="E112" s="288"/>
      <c r="F112" s="288"/>
      <c r="G112" s="288"/>
      <c r="H112" s="288"/>
      <c r="I112" s="288"/>
      <c r="J112" s="288"/>
      <c r="K112" s="288"/>
      <c r="L112" s="288"/>
      <c r="M112" s="288"/>
      <c r="N112" s="288"/>
      <c r="O112" s="288"/>
      <c r="P112" s="288"/>
      <c r="Q112" s="288"/>
      <c r="R112" s="288"/>
      <c r="S112" s="288"/>
      <c r="T112" s="288"/>
      <c r="U112" s="288"/>
      <c r="V112" s="338">
        <v>-288</v>
      </c>
      <c r="W112" s="291"/>
      <c r="X112" s="5"/>
      <c r="Y112" s="109"/>
    </row>
    <row r="113" spans="1:25" ht="15.6" x14ac:dyDescent="0.3">
      <c r="A113" s="340" t="s">
        <v>224</v>
      </c>
      <c r="B113" s="288" t="s">
        <v>223</v>
      </c>
      <c r="C113" s="288"/>
      <c r="D113" s="288"/>
      <c r="E113" s="288"/>
      <c r="F113" s="288"/>
      <c r="G113" s="288"/>
      <c r="H113" s="288"/>
      <c r="I113" s="288"/>
      <c r="J113" s="288"/>
      <c r="K113" s="288"/>
      <c r="L113" s="288"/>
      <c r="M113" s="288"/>
      <c r="N113" s="288"/>
      <c r="O113" s="288"/>
      <c r="P113" s="288"/>
      <c r="Q113" s="288"/>
      <c r="R113" s="288"/>
      <c r="S113" s="288"/>
      <c r="T113" s="288"/>
      <c r="U113" s="288"/>
      <c r="V113" s="338">
        <v>-57</v>
      </c>
      <c r="W113" s="291"/>
      <c r="X113" s="5"/>
      <c r="Y113" s="109"/>
    </row>
    <row r="114" spans="1:25" ht="15.6" x14ac:dyDescent="0.3">
      <c r="A114" s="340">
        <v>7</v>
      </c>
      <c r="B114" s="288" t="s">
        <v>35</v>
      </c>
      <c r="C114" s="288"/>
      <c r="D114" s="288"/>
      <c r="E114" s="288"/>
      <c r="F114" s="288"/>
      <c r="G114" s="288"/>
      <c r="H114" s="288"/>
      <c r="I114" s="288"/>
      <c r="J114" s="288"/>
      <c r="K114" s="288"/>
      <c r="L114" s="288"/>
      <c r="M114" s="288"/>
      <c r="N114" s="288"/>
      <c r="O114" s="288"/>
      <c r="P114" s="288"/>
      <c r="Q114" s="288"/>
      <c r="R114" s="288"/>
      <c r="S114" s="288"/>
      <c r="T114" s="288"/>
      <c r="U114" s="288"/>
      <c r="V114" s="338">
        <v>-43</v>
      </c>
      <c r="W114" s="291"/>
      <c r="X114" s="5"/>
    </row>
    <row r="115" spans="1:25" ht="15.6" x14ac:dyDescent="0.3">
      <c r="A115" s="340">
        <f t="shared" ref="A115:A121" si="0">+A114+1</f>
        <v>8</v>
      </c>
      <c r="B115" s="288" t="s">
        <v>45</v>
      </c>
      <c r="C115" s="288"/>
      <c r="D115" s="288"/>
      <c r="E115" s="288"/>
      <c r="F115" s="288"/>
      <c r="G115" s="288"/>
      <c r="H115" s="288"/>
      <c r="I115" s="288"/>
      <c r="J115" s="288"/>
      <c r="K115" s="288"/>
      <c r="L115" s="288"/>
      <c r="M115" s="288"/>
      <c r="N115" s="288"/>
      <c r="O115" s="288"/>
      <c r="P115" s="288"/>
      <c r="Q115" s="288"/>
      <c r="R115" s="288"/>
      <c r="S115" s="288"/>
      <c r="T115" s="337">
        <f>-V115</f>
        <v>386</v>
      </c>
      <c r="U115" s="288"/>
      <c r="V115" s="338">
        <v>-386</v>
      </c>
      <c r="W115" s="291"/>
      <c r="X115" s="5"/>
    </row>
    <row r="116" spans="1:25" ht="15.6" x14ac:dyDescent="0.3">
      <c r="A116" s="340">
        <f t="shared" si="0"/>
        <v>9</v>
      </c>
      <c r="B116" s="288" t="s">
        <v>125</v>
      </c>
      <c r="C116" s="288"/>
      <c r="D116" s="288"/>
      <c r="E116" s="288"/>
      <c r="F116" s="288"/>
      <c r="G116" s="288"/>
      <c r="H116" s="288"/>
      <c r="I116" s="288"/>
      <c r="J116" s="288"/>
      <c r="K116" s="288"/>
      <c r="L116" s="288"/>
      <c r="M116" s="288"/>
      <c r="N116" s="288"/>
      <c r="O116" s="288"/>
      <c r="P116" s="288"/>
      <c r="Q116" s="288"/>
      <c r="R116" s="288"/>
      <c r="S116" s="288"/>
      <c r="T116" s="288"/>
      <c r="U116" s="288"/>
      <c r="V116" s="338">
        <v>0</v>
      </c>
      <c r="W116" s="291"/>
      <c r="X116" s="5"/>
    </row>
    <row r="117" spans="1:25" ht="15.6" x14ac:dyDescent="0.3">
      <c r="A117" s="340">
        <f t="shared" si="0"/>
        <v>10</v>
      </c>
      <c r="B117" s="288" t="s">
        <v>240</v>
      </c>
      <c r="C117" s="288"/>
      <c r="D117" s="288"/>
      <c r="E117" s="288"/>
      <c r="F117" s="288"/>
      <c r="G117" s="288"/>
      <c r="H117" s="288"/>
      <c r="I117" s="288"/>
      <c r="J117" s="288"/>
      <c r="K117" s="288"/>
      <c r="L117" s="288"/>
      <c r="M117" s="288"/>
      <c r="N117" s="288"/>
      <c r="O117" s="288"/>
      <c r="P117" s="288"/>
      <c r="Q117" s="288"/>
      <c r="R117" s="288"/>
      <c r="S117" s="288"/>
      <c r="T117" s="288"/>
      <c r="U117" s="288"/>
      <c r="V117" s="338">
        <v>0</v>
      </c>
      <c r="W117" s="291"/>
      <c r="X117" s="5"/>
    </row>
    <row r="118" spans="1:25" ht="15.6" x14ac:dyDescent="0.3">
      <c r="A118" s="340">
        <f t="shared" si="0"/>
        <v>11</v>
      </c>
      <c r="B118" s="288" t="s">
        <v>36</v>
      </c>
      <c r="C118" s="288"/>
      <c r="D118" s="288"/>
      <c r="E118" s="288"/>
      <c r="F118" s="288"/>
      <c r="G118" s="288"/>
      <c r="H118" s="288"/>
      <c r="I118" s="288"/>
      <c r="J118" s="288"/>
      <c r="K118" s="288"/>
      <c r="L118" s="288"/>
      <c r="M118" s="288"/>
      <c r="N118" s="288"/>
      <c r="O118" s="288"/>
      <c r="P118" s="288"/>
      <c r="Q118" s="288"/>
      <c r="R118" s="288"/>
      <c r="S118" s="288"/>
      <c r="T118" s="288"/>
      <c r="U118" s="288"/>
      <c r="V118" s="338">
        <v>0</v>
      </c>
      <c r="W118" s="291"/>
      <c r="X118" s="5"/>
    </row>
    <row r="119" spans="1:25" ht="15.6" x14ac:dyDescent="0.3">
      <c r="A119" s="340">
        <f t="shared" si="0"/>
        <v>12</v>
      </c>
      <c r="B119" s="288" t="s">
        <v>239</v>
      </c>
      <c r="C119" s="288"/>
      <c r="D119" s="288"/>
      <c r="E119" s="288"/>
      <c r="F119" s="288"/>
      <c r="G119" s="288"/>
      <c r="H119" s="288"/>
      <c r="I119" s="288"/>
      <c r="J119" s="288"/>
      <c r="K119" s="288"/>
      <c r="L119" s="288"/>
      <c r="M119" s="288"/>
      <c r="N119" s="288"/>
      <c r="O119" s="288"/>
      <c r="P119" s="288"/>
      <c r="Q119" s="288"/>
      <c r="R119" s="288"/>
      <c r="S119" s="288"/>
      <c r="T119" s="288"/>
      <c r="U119" s="288"/>
      <c r="V119" s="338">
        <v>0</v>
      </c>
      <c r="W119" s="291"/>
      <c r="X119" s="5"/>
    </row>
    <row r="120" spans="1:25" ht="15.6" x14ac:dyDescent="0.3">
      <c r="A120" s="340">
        <f t="shared" si="0"/>
        <v>13</v>
      </c>
      <c r="B120" s="288" t="s">
        <v>149</v>
      </c>
      <c r="C120" s="288"/>
      <c r="D120" s="288"/>
      <c r="E120" s="288"/>
      <c r="F120" s="288"/>
      <c r="G120" s="288"/>
      <c r="H120" s="288"/>
      <c r="I120" s="288"/>
      <c r="J120" s="288"/>
      <c r="K120" s="288"/>
      <c r="L120" s="288"/>
      <c r="M120" s="288"/>
      <c r="N120" s="288"/>
      <c r="O120" s="288"/>
      <c r="P120" s="288"/>
      <c r="Q120" s="288"/>
      <c r="R120" s="288"/>
      <c r="S120" s="288"/>
      <c r="T120" s="288"/>
      <c r="U120" s="288"/>
      <c r="V120" s="338">
        <v>-589</v>
      </c>
      <c r="W120" s="291"/>
      <c r="X120" s="5"/>
    </row>
    <row r="121" spans="1:25" ht="15.6" x14ac:dyDescent="0.3">
      <c r="A121" s="340">
        <f t="shared" si="0"/>
        <v>14</v>
      </c>
      <c r="B121" s="288" t="s">
        <v>126</v>
      </c>
      <c r="C121" s="288"/>
      <c r="D121" s="288"/>
      <c r="E121" s="288"/>
      <c r="F121" s="288"/>
      <c r="G121" s="288"/>
      <c r="H121" s="288"/>
      <c r="I121" s="288"/>
      <c r="J121" s="288"/>
      <c r="K121" s="288"/>
      <c r="L121" s="288"/>
      <c r="M121" s="288"/>
      <c r="N121" s="288"/>
      <c r="O121" s="288"/>
      <c r="P121" s="288"/>
      <c r="Q121" s="288"/>
      <c r="R121" s="288"/>
      <c r="S121" s="288"/>
      <c r="T121" s="288"/>
      <c r="U121" s="288"/>
      <c r="V121" s="338">
        <f>-V101-SUM(V103:V120)</f>
        <v>-2892</v>
      </c>
      <c r="W121" s="291"/>
      <c r="X121" s="5"/>
    </row>
    <row r="122" spans="1:25" ht="15.6" x14ac:dyDescent="0.3">
      <c r="A122" s="287"/>
      <c r="B122" s="343" t="s">
        <v>37</v>
      </c>
      <c r="C122" s="314"/>
      <c r="D122" s="314"/>
      <c r="E122" s="314"/>
      <c r="F122" s="314"/>
      <c r="G122" s="314"/>
      <c r="H122" s="314"/>
      <c r="I122" s="314"/>
      <c r="J122" s="314"/>
      <c r="K122" s="314"/>
      <c r="L122" s="314"/>
      <c r="M122" s="314"/>
      <c r="N122" s="314"/>
      <c r="O122" s="314"/>
      <c r="P122" s="314"/>
      <c r="Q122" s="314"/>
      <c r="R122" s="314"/>
      <c r="S122" s="314"/>
      <c r="T122" s="314"/>
      <c r="U122" s="314"/>
      <c r="V122" s="346"/>
      <c r="W122" s="318"/>
      <c r="X122" s="5"/>
    </row>
    <row r="123" spans="1:25" ht="15.6" x14ac:dyDescent="0.3">
      <c r="A123" s="340"/>
      <c r="B123" s="288" t="s">
        <v>173</v>
      </c>
      <c r="C123" s="288"/>
      <c r="D123" s="288"/>
      <c r="E123" s="288"/>
      <c r="F123" s="288"/>
      <c r="G123" s="288"/>
      <c r="H123" s="288"/>
      <c r="I123" s="288"/>
      <c r="J123" s="288"/>
      <c r="K123" s="288"/>
      <c r="L123" s="288"/>
      <c r="M123" s="288"/>
      <c r="N123" s="288"/>
      <c r="O123" s="288"/>
      <c r="P123" s="288"/>
      <c r="Q123" s="288"/>
      <c r="R123" s="288"/>
      <c r="S123" s="288"/>
      <c r="T123" s="337">
        <f>-T189</f>
        <v>-3</v>
      </c>
      <c r="U123" s="337"/>
      <c r="V123" s="338"/>
      <c r="W123" s="291"/>
      <c r="X123" s="5"/>
    </row>
    <row r="124" spans="1:25" ht="15.6" x14ac:dyDescent="0.3">
      <c r="A124" s="340"/>
      <c r="B124" s="288" t="s">
        <v>174</v>
      </c>
      <c r="C124" s="288"/>
      <c r="D124" s="288"/>
      <c r="E124" s="288"/>
      <c r="F124" s="288"/>
      <c r="G124" s="288"/>
      <c r="H124" s="288"/>
      <c r="I124" s="288"/>
      <c r="J124" s="288"/>
      <c r="K124" s="288"/>
      <c r="L124" s="288"/>
      <c r="M124" s="288"/>
      <c r="N124" s="288"/>
      <c r="O124" s="288"/>
      <c r="P124" s="288"/>
      <c r="Q124" s="288"/>
      <c r="R124" s="288"/>
      <c r="S124" s="288"/>
      <c r="T124" s="337">
        <v>0</v>
      </c>
      <c r="U124" s="337"/>
      <c r="V124" s="338"/>
      <c r="W124" s="291"/>
      <c r="X124" s="5"/>
    </row>
    <row r="125" spans="1:25" ht="15.6" x14ac:dyDescent="0.3">
      <c r="A125" s="340"/>
      <c r="B125" s="288" t="s">
        <v>38</v>
      </c>
      <c r="C125" s="288"/>
      <c r="D125" s="288"/>
      <c r="E125" s="288"/>
      <c r="F125" s="288"/>
      <c r="G125" s="288"/>
      <c r="H125" s="288"/>
      <c r="I125" s="288"/>
      <c r="J125" s="288"/>
      <c r="K125" s="288"/>
      <c r="L125" s="288"/>
      <c r="M125" s="288"/>
      <c r="N125" s="288"/>
      <c r="O125" s="288"/>
      <c r="P125" s="288"/>
      <c r="Q125" s="288"/>
      <c r="R125" s="288"/>
      <c r="S125" s="288"/>
      <c r="T125" s="337">
        <f>-S189</f>
        <v>-2283</v>
      </c>
      <c r="U125" s="337"/>
      <c r="V125" s="338"/>
      <c r="W125" s="291"/>
      <c r="X125" s="5"/>
    </row>
    <row r="126" spans="1:25" ht="15.6" x14ac:dyDescent="0.3">
      <c r="A126" s="340"/>
      <c r="B126" s="288" t="s">
        <v>197</v>
      </c>
      <c r="C126" s="288"/>
      <c r="D126" s="288"/>
      <c r="E126" s="288"/>
      <c r="F126" s="288"/>
      <c r="G126" s="288"/>
      <c r="H126" s="288"/>
      <c r="I126" s="288"/>
      <c r="J126" s="288"/>
      <c r="K126" s="288"/>
      <c r="L126" s="288"/>
      <c r="M126" s="288"/>
      <c r="N126" s="288"/>
      <c r="O126" s="288"/>
      <c r="P126" s="288"/>
      <c r="Q126" s="288"/>
      <c r="R126" s="288"/>
      <c r="S126" s="288"/>
      <c r="T126" s="337">
        <v>-9155</v>
      </c>
      <c r="U126" s="337"/>
      <c r="V126" s="338"/>
      <c r="W126" s="291"/>
      <c r="X126" s="5"/>
    </row>
    <row r="127" spans="1:25" ht="15.6" x14ac:dyDescent="0.3">
      <c r="A127" s="340"/>
      <c r="B127" s="288" t="s">
        <v>195</v>
      </c>
      <c r="C127" s="288"/>
      <c r="D127" s="288"/>
      <c r="E127" s="288"/>
      <c r="F127" s="288"/>
      <c r="G127" s="288"/>
      <c r="H127" s="288"/>
      <c r="I127" s="288"/>
      <c r="J127" s="288"/>
      <c r="K127" s="288"/>
      <c r="L127" s="288"/>
      <c r="M127" s="288"/>
      <c r="N127" s="288"/>
      <c r="O127" s="288"/>
      <c r="P127" s="288"/>
      <c r="Q127" s="288"/>
      <c r="R127" s="288"/>
      <c r="S127" s="288"/>
      <c r="T127" s="337">
        <v>-1476</v>
      </c>
      <c r="U127" s="337"/>
      <c r="V127" s="338"/>
      <c r="W127" s="291"/>
      <c r="X127" s="5"/>
    </row>
    <row r="128" spans="1:25" ht="15.6" x14ac:dyDescent="0.3">
      <c r="A128" s="340"/>
      <c r="B128" s="288" t="s">
        <v>194</v>
      </c>
      <c r="C128" s="288"/>
      <c r="D128" s="288"/>
      <c r="E128" s="288"/>
      <c r="F128" s="288"/>
      <c r="G128" s="288"/>
      <c r="H128" s="288"/>
      <c r="I128" s="288"/>
      <c r="J128" s="288"/>
      <c r="K128" s="288"/>
      <c r="L128" s="288"/>
      <c r="M128" s="288"/>
      <c r="N128" s="288"/>
      <c r="O128" s="288"/>
      <c r="P128" s="288"/>
      <c r="Q128" s="288"/>
      <c r="R128" s="288"/>
      <c r="S128" s="288"/>
      <c r="T128" s="337">
        <v>-1986</v>
      </c>
      <c r="U128" s="337"/>
      <c r="V128" s="338"/>
      <c r="W128" s="291"/>
      <c r="X128" s="5"/>
    </row>
    <row r="129" spans="1:24" ht="15.6" x14ac:dyDescent="0.3">
      <c r="A129" s="340"/>
      <c r="B129" s="288" t="s">
        <v>226</v>
      </c>
      <c r="C129" s="288"/>
      <c r="D129" s="288"/>
      <c r="E129" s="288"/>
      <c r="F129" s="288"/>
      <c r="G129" s="288"/>
      <c r="H129" s="288"/>
      <c r="I129" s="288"/>
      <c r="J129" s="288"/>
      <c r="K129" s="288"/>
      <c r="L129" s="288"/>
      <c r="M129" s="288"/>
      <c r="N129" s="288"/>
      <c r="O129" s="288"/>
      <c r="P129" s="288"/>
      <c r="Q129" s="288"/>
      <c r="R129" s="288"/>
      <c r="S129" s="288"/>
      <c r="T129" s="337">
        <v>-2441</v>
      </c>
      <c r="U129" s="337"/>
      <c r="V129" s="338"/>
      <c r="W129" s="291"/>
      <c r="X129" s="5"/>
    </row>
    <row r="130" spans="1:24" ht="15.6" x14ac:dyDescent="0.3">
      <c r="A130" s="340"/>
      <c r="B130" s="288" t="s">
        <v>189</v>
      </c>
      <c r="C130" s="288"/>
      <c r="D130" s="288"/>
      <c r="E130" s="288"/>
      <c r="F130" s="288"/>
      <c r="G130" s="288"/>
      <c r="H130" s="288"/>
      <c r="I130" s="288"/>
      <c r="J130" s="288"/>
      <c r="K130" s="288"/>
      <c r="L130" s="288"/>
      <c r="M130" s="288"/>
      <c r="N130" s="288"/>
      <c r="O130" s="288"/>
      <c r="P130" s="288"/>
      <c r="Q130" s="288"/>
      <c r="R130" s="288"/>
      <c r="S130" s="288"/>
      <c r="T130" s="337">
        <v>0</v>
      </c>
      <c r="U130" s="337"/>
      <c r="V130" s="338"/>
      <c r="W130" s="291"/>
      <c r="X130" s="5"/>
    </row>
    <row r="131" spans="1:24" ht="15.6" x14ac:dyDescent="0.3">
      <c r="A131" s="340"/>
      <c r="B131" s="288" t="s">
        <v>188</v>
      </c>
      <c r="C131" s="288"/>
      <c r="D131" s="288"/>
      <c r="E131" s="288"/>
      <c r="F131" s="288"/>
      <c r="G131" s="288"/>
      <c r="H131" s="288"/>
      <c r="I131" s="288"/>
      <c r="J131" s="288"/>
      <c r="K131" s="288"/>
      <c r="L131" s="288"/>
      <c r="M131" s="288"/>
      <c r="N131" s="288"/>
      <c r="O131" s="288"/>
      <c r="P131" s="288"/>
      <c r="Q131" s="288"/>
      <c r="R131" s="288"/>
      <c r="S131" s="288"/>
      <c r="T131" s="337">
        <v>0</v>
      </c>
      <c r="U131" s="337"/>
      <c r="V131" s="338"/>
      <c r="W131" s="291"/>
      <c r="X131" s="5"/>
    </row>
    <row r="132" spans="1:24" ht="15.6" x14ac:dyDescent="0.3">
      <c r="A132" s="340"/>
      <c r="B132" s="288" t="s">
        <v>227</v>
      </c>
      <c r="C132" s="288"/>
      <c r="D132" s="288"/>
      <c r="E132" s="288"/>
      <c r="F132" s="288"/>
      <c r="G132" s="288"/>
      <c r="H132" s="288"/>
      <c r="I132" s="288"/>
      <c r="J132" s="288"/>
      <c r="K132" s="288"/>
      <c r="L132" s="288"/>
      <c r="M132" s="288"/>
      <c r="N132" s="288"/>
      <c r="O132" s="288"/>
      <c r="P132" s="288"/>
      <c r="Q132" s="288"/>
      <c r="R132" s="288"/>
      <c r="S132" s="288"/>
      <c r="T132" s="337">
        <v>0</v>
      </c>
      <c r="U132" s="337"/>
      <c r="V132" s="338"/>
      <c r="W132" s="291"/>
      <c r="X132" s="5"/>
    </row>
    <row r="133" spans="1:24" ht="15.6" x14ac:dyDescent="0.3">
      <c r="A133" s="340"/>
      <c r="B133" s="288" t="s">
        <v>187</v>
      </c>
      <c r="C133" s="288"/>
      <c r="D133" s="288"/>
      <c r="E133" s="288"/>
      <c r="F133" s="288"/>
      <c r="G133" s="288"/>
      <c r="H133" s="288"/>
      <c r="I133" s="288"/>
      <c r="J133" s="288"/>
      <c r="K133" s="288"/>
      <c r="L133" s="288"/>
      <c r="M133" s="288"/>
      <c r="N133" s="288"/>
      <c r="O133" s="288"/>
      <c r="P133" s="288"/>
      <c r="Q133" s="288"/>
      <c r="R133" s="288"/>
      <c r="S133" s="288"/>
      <c r="T133" s="337">
        <v>0</v>
      </c>
      <c r="U133" s="337"/>
      <c r="V133" s="338"/>
      <c r="W133" s="291"/>
      <c r="X133" s="5"/>
    </row>
    <row r="134" spans="1:24" ht="15.6" x14ac:dyDescent="0.3">
      <c r="A134" s="340"/>
      <c r="B134" s="288" t="s">
        <v>39</v>
      </c>
      <c r="C134" s="288"/>
      <c r="D134" s="288"/>
      <c r="E134" s="288"/>
      <c r="F134" s="288"/>
      <c r="G134" s="288"/>
      <c r="H134" s="288"/>
      <c r="I134" s="288"/>
      <c r="J134" s="288"/>
      <c r="K134" s="288"/>
      <c r="L134" s="288"/>
      <c r="M134" s="288"/>
      <c r="N134" s="288"/>
      <c r="O134" s="288"/>
      <c r="P134" s="288"/>
      <c r="Q134" s="288"/>
      <c r="R134" s="288"/>
      <c r="S134" s="288"/>
      <c r="T134" s="337">
        <f>SUM(T123:T133)</f>
        <v>-17344</v>
      </c>
      <c r="U134" s="337"/>
      <c r="V134" s="337">
        <f>SUM(V102:V131)</f>
        <v>-5883</v>
      </c>
      <c r="W134" s="291"/>
      <c r="X134" s="5"/>
    </row>
    <row r="135" spans="1:24" ht="15.6" x14ac:dyDescent="0.3">
      <c r="A135" s="340"/>
      <c r="B135" s="288" t="s">
        <v>40</v>
      </c>
      <c r="C135" s="288"/>
      <c r="D135" s="288"/>
      <c r="E135" s="288"/>
      <c r="F135" s="288"/>
      <c r="G135" s="288"/>
      <c r="H135" s="288"/>
      <c r="I135" s="288"/>
      <c r="J135" s="288"/>
      <c r="K135" s="288"/>
      <c r="L135" s="288"/>
      <c r="M135" s="288"/>
      <c r="N135" s="288"/>
      <c r="O135" s="288"/>
      <c r="P135" s="288"/>
      <c r="Q135" s="288"/>
      <c r="R135" s="288"/>
      <c r="S135" s="288"/>
      <c r="T135" s="337">
        <f>T101+T134+T115</f>
        <v>0</v>
      </c>
      <c r="U135" s="337"/>
      <c r="V135" s="337">
        <f>V101+V134</f>
        <v>0</v>
      </c>
      <c r="W135" s="291"/>
      <c r="X135" s="5"/>
    </row>
    <row r="136" spans="1:24" ht="15.6" x14ac:dyDescent="0.3">
      <c r="A136" s="243"/>
      <c r="B136" s="284"/>
      <c r="C136" s="284"/>
      <c r="D136" s="284"/>
      <c r="E136" s="284"/>
      <c r="F136" s="284"/>
      <c r="G136" s="284"/>
      <c r="H136" s="284"/>
      <c r="I136" s="284"/>
      <c r="J136" s="284"/>
      <c r="K136" s="284"/>
      <c r="L136" s="284"/>
      <c r="M136" s="284"/>
      <c r="N136" s="284"/>
      <c r="O136" s="284"/>
      <c r="P136" s="284"/>
      <c r="Q136" s="284"/>
      <c r="R136" s="284"/>
      <c r="S136" s="284"/>
      <c r="T136" s="339"/>
      <c r="U136" s="339"/>
      <c r="V136" s="339"/>
      <c r="W136" s="284"/>
      <c r="X136" s="5"/>
    </row>
    <row r="137" spans="1:24" ht="15.6" x14ac:dyDescent="0.3">
      <c r="A137" s="243"/>
      <c r="B137" s="224"/>
      <c r="C137" s="224"/>
      <c r="D137" s="224"/>
      <c r="E137" s="224"/>
      <c r="F137" s="224"/>
      <c r="G137" s="224"/>
      <c r="H137" s="224"/>
      <c r="I137" s="224"/>
      <c r="J137" s="224"/>
      <c r="K137" s="224"/>
      <c r="L137" s="224"/>
      <c r="M137" s="224"/>
      <c r="N137" s="224"/>
      <c r="O137" s="224"/>
      <c r="P137" s="224"/>
      <c r="Q137" s="224"/>
      <c r="R137" s="224"/>
      <c r="S137" s="224"/>
      <c r="T137" s="224"/>
      <c r="U137" s="224"/>
      <c r="V137" s="244"/>
      <c r="W137" s="224"/>
      <c r="X137" s="5"/>
    </row>
    <row r="138" spans="1:24" ht="18" thickBot="1" x14ac:dyDescent="0.35">
      <c r="A138" s="245"/>
      <c r="B138" s="237" t="str">
        <f>B64</f>
        <v>PM14 INVESTOR REPORT QUARTER ENDING NOVEMBER 2016</v>
      </c>
      <c r="C138" s="238"/>
      <c r="D138" s="238"/>
      <c r="E138" s="238"/>
      <c r="F138" s="238"/>
      <c r="G138" s="238"/>
      <c r="H138" s="238"/>
      <c r="I138" s="238"/>
      <c r="J138" s="238"/>
      <c r="K138" s="238"/>
      <c r="L138" s="238"/>
      <c r="M138" s="238"/>
      <c r="N138" s="238"/>
      <c r="O138" s="238"/>
      <c r="P138" s="238"/>
      <c r="Q138" s="238"/>
      <c r="R138" s="238"/>
      <c r="S138" s="238"/>
      <c r="T138" s="238"/>
      <c r="U138" s="238"/>
      <c r="V138" s="246"/>
      <c r="W138" s="240"/>
      <c r="X138" s="5"/>
    </row>
    <row r="139" spans="1:24" ht="15.6" x14ac:dyDescent="0.3">
      <c r="A139" s="273"/>
      <c r="B139" s="403" t="s">
        <v>41</v>
      </c>
      <c r="C139" s="274"/>
      <c r="D139" s="274"/>
      <c r="E139" s="274"/>
      <c r="F139" s="274"/>
      <c r="G139" s="274"/>
      <c r="H139" s="274"/>
      <c r="I139" s="274"/>
      <c r="J139" s="274"/>
      <c r="K139" s="274"/>
      <c r="L139" s="274"/>
      <c r="M139" s="274"/>
      <c r="N139" s="274"/>
      <c r="O139" s="274"/>
      <c r="P139" s="274"/>
      <c r="Q139" s="274"/>
      <c r="R139" s="274"/>
      <c r="S139" s="274"/>
      <c r="T139" s="274"/>
      <c r="U139" s="274"/>
      <c r="V139" s="275"/>
      <c r="W139" s="274"/>
      <c r="X139" s="5"/>
    </row>
    <row r="140" spans="1:24" ht="15.6" x14ac:dyDescent="0.3">
      <c r="A140" s="183"/>
      <c r="B140" s="195"/>
      <c r="C140" s="185"/>
      <c r="D140" s="185"/>
      <c r="E140" s="185"/>
      <c r="F140" s="185"/>
      <c r="G140" s="185"/>
      <c r="H140" s="185"/>
      <c r="I140" s="185"/>
      <c r="J140" s="185"/>
      <c r="K140" s="185"/>
      <c r="L140" s="185"/>
      <c r="M140" s="185"/>
      <c r="N140" s="185"/>
      <c r="O140" s="185"/>
      <c r="P140" s="185"/>
      <c r="Q140" s="185"/>
      <c r="R140" s="185"/>
      <c r="S140" s="185"/>
      <c r="T140" s="185"/>
      <c r="U140" s="185"/>
      <c r="V140" s="201"/>
      <c r="W140" s="185"/>
      <c r="X140" s="5"/>
    </row>
    <row r="141" spans="1:24" ht="15.6" x14ac:dyDescent="0.3">
      <c r="A141" s="183"/>
      <c r="B141" s="208" t="s">
        <v>42</v>
      </c>
      <c r="C141" s="185"/>
      <c r="D141" s="185"/>
      <c r="E141" s="185"/>
      <c r="F141" s="185"/>
      <c r="G141" s="185"/>
      <c r="H141" s="185"/>
      <c r="I141" s="185"/>
      <c r="J141" s="185"/>
      <c r="K141" s="185"/>
      <c r="L141" s="185"/>
      <c r="M141" s="185"/>
      <c r="N141" s="185"/>
      <c r="O141" s="185"/>
      <c r="P141" s="185"/>
      <c r="Q141" s="185"/>
      <c r="R141" s="185"/>
      <c r="S141" s="185"/>
      <c r="T141" s="185"/>
      <c r="U141" s="185"/>
      <c r="V141" s="201"/>
      <c r="W141" s="185"/>
      <c r="X141" s="5"/>
    </row>
    <row r="142" spans="1:24" ht="15.6" x14ac:dyDescent="0.3">
      <c r="A142" s="287"/>
      <c r="B142" s="288" t="s">
        <v>43</v>
      </c>
      <c r="C142" s="288"/>
      <c r="D142" s="288"/>
      <c r="E142" s="288"/>
      <c r="F142" s="288"/>
      <c r="G142" s="288"/>
      <c r="H142" s="288"/>
      <c r="I142" s="288"/>
      <c r="J142" s="288"/>
      <c r="K142" s="288"/>
      <c r="L142" s="288"/>
      <c r="M142" s="288"/>
      <c r="N142" s="288"/>
      <c r="O142" s="288"/>
      <c r="P142" s="288"/>
      <c r="Q142" s="288"/>
      <c r="R142" s="288"/>
      <c r="S142" s="288"/>
      <c r="T142" s="288"/>
      <c r="U142" s="288"/>
      <c r="V142" s="338">
        <f>+V34*0.019</f>
        <v>28505.224999999999</v>
      </c>
      <c r="W142" s="291"/>
      <c r="X142" s="5"/>
    </row>
    <row r="143" spans="1:24" ht="15.6" x14ac:dyDescent="0.3">
      <c r="A143" s="287"/>
      <c r="B143" s="288" t="s">
        <v>44</v>
      </c>
      <c r="C143" s="288"/>
      <c r="D143" s="288"/>
      <c r="E143" s="288"/>
      <c r="F143" s="288"/>
      <c r="G143" s="288"/>
      <c r="H143" s="288"/>
      <c r="I143" s="288"/>
      <c r="J143" s="288"/>
      <c r="K143" s="288"/>
      <c r="L143" s="288"/>
      <c r="M143" s="288"/>
      <c r="N143" s="288"/>
      <c r="O143" s="288"/>
      <c r="P143" s="288"/>
      <c r="Q143" s="288"/>
      <c r="R143" s="288"/>
      <c r="S143" s="288"/>
      <c r="T143" s="288"/>
      <c r="U143" s="288"/>
      <c r="V143" s="338">
        <v>28505</v>
      </c>
      <c r="W143" s="291"/>
      <c r="X143" s="5"/>
    </row>
    <row r="144" spans="1:24" ht="15.6" x14ac:dyDescent="0.3">
      <c r="A144" s="287"/>
      <c r="B144" s="288" t="s">
        <v>136</v>
      </c>
      <c r="C144" s="288"/>
      <c r="D144" s="288"/>
      <c r="E144" s="288"/>
      <c r="F144" s="288"/>
      <c r="G144" s="288"/>
      <c r="H144" s="288"/>
      <c r="I144" s="288"/>
      <c r="J144" s="288"/>
      <c r="K144" s="288"/>
      <c r="L144" s="288"/>
      <c r="M144" s="288"/>
      <c r="N144" s="288"/>
      <c r="O144" s="288"/>
      <c r="P144" s="288"/>
      <c r="Q144" s="288"/>
      <c r="R144" s="288"/>
      <c r="S144" s="288"/>
      <c r="T144" s="288"/>
      <c r="U144" s="288"/>
      <c r="V144" s="338"/>
      <c r="W144" s="291"/>
      <c r="X144" s="5"/>
    </row>
    <row r="145" spans="1:25" ht="15.6" x14ac:dyDescent="0.3">
      <c r="A145" s="287"/>
      <c r="B145" s="288" t="s">
        <v>123</v>
      </c>
      <c r="C145" s="288"/>
      <c r="D145" s="288"/>
      <c r="E145" s="288"/>
      <c r="F145" s="288"/>
      <c r="G145" s="288"/>
      <c r="H145" s="288"/>
      <c r="I145" s="288"/>
      <c r="J145" s="288"/>
      <c r="K145" s="288"/>
      <c r="L145" s="288"/>
      <c r="M145" s="288"/>
      <c r="N145" s="288"/>
      <c r="O145" s="288"/>
      <c r="P145" s="288"/>
      <c r="Q145" s="288"/>
      <c r="R145" s="288"/>
      <c r="S145" s="288"/>
      <c r="T145" s="288"/>
      <c r="U145" s="288"/>
      <c r="V145" s="338">
        <v>0</v>
      </c>
      <c r="W145" s="291"/>
      <c r="X145" s="5"/>
    </row>
    <row r="146" spans="1:25" ht="15.6" x14ac:dyDescent="0.3">
      <c r="A146" s="287"/>
      <c r="B146" s="288" t="s">
        <v>124</v>
      </c>
      <c r="C146" s="288"/>
      <c r="D146" s="288"/>
      <c r="E146" s="288"/>
      <c r="F146" s="288"/>
      <c r="G146" s="288"/>
      <c r="H146" s="288"/>
      <c r="I146" s="288"/>
      <c r="J146" s="288"/>
      <c r="K146" s="288"/>
      <c r="L146" s="288"/>
      <c r="M146" s="288"/>
      <c r="N146" s="288"/>
      <c r="O146" s="288"/>
      <c r="P146" s="288"/>
      <c r="Q146" s="288"/>
      <c r="R146" s="288"/>
      <c r="S146" s="288"/>
      <c r="T146" s="288"/>
      <c r="U146" s="288"/>
      <c r="V146" s="338">
        <v>0</v>
      </c>
      <c r="W146" s="291"/>
      <c r="X146" s="5"/>
    </row>
    <row r="147" spans="1:25" ht="15.6" x14ac:dyDescent="0.3">
      <c r="A147" s="287"/>
      <c r="B147" s="288" t="s">
        <v>175</v>
      </c>
      <c r="C147" s="288"/>
      <c r="D147" s="288"/>
      <c r="E147" s="288"/>
      <c r="F147" s="288"/>
      <c r="G147" s="288"/>
      <c r="H147" s="288"/>
      <c r="I147" s="288"/>
      <c r="J147" s="288"/>
      <c r="K147" s="288"/>
      <c r="L147" s="288"/>
      <c r="M147" s="288"/>
      <c r="N147" s="288"/>
      <c r="O147" s="288"/>
      <c r="P147" s="288"/>
      <c r="Q147" s="288"/>
      <c r="R147" s="288"/>
      <c r="S147" s="288"/>
      <c r="T147" s="288"/>
      <c r="U147" s="288"/>
      <c r="V147" s="338">
        <v>0</v>
      </c>
      <c r="W147" s="291"/>
      <c r="X147" s="5"/>
    </row>
    <row r="148" spans="1:25" ht="15.6" x14ac:dyDescent="0.3">
      <c r="A148" s="287"/>
      <c r="B148" s="288" t="s">
        <v>45</v>
      </c>
      <c r="C148" s="288"/>
      <c r="D148" s="288"/>
      <c r="E148" s="288"/>
      <c r="F148" s="288"/>
      <c r="G148" s="288"/>
      <c r="H148" s="288"/>
      <c r="I148" s="288"/>
      <c r="J148" s="288"/>
      <c r="K148" s="288"/>
      <c r="L148" s="288"/>
      <c r="M148" s="288"/>
      <c r="N148" s="288"/>
      <c r="O148" s="288"/>
      <c r="P148" s="288"/>
      <c r="Q148" s="288"/>
      <c r="R148" s="288"/>
      <c r="S148" s="288"/>
      <c r="T148" s="288"/>
      <c r="U148" s="288"/>
      <c r="V148" s="338">
        <v>0</v>
      </c>
      <c r="W148" s="291"/>
      <c r="X148" s="5"/>
    </row>
    <row r="149" spans="1:25" ht="15.6" x14ac:dyDescent="0.3">
      <c r="A149" s="287"/>
      <c r="B149" s="288" t="s">
        <v>129</v>
      </c>
      <c r="C149" s="288"/>
      <c r="D149" s="288"/>
      <c r="E149" s="288"/>
      <c r="F149" s="288"/>
      <c r="G149" s="288"/>
      <c r="H149" s="288"/>
      <c r="I149" s="288"/>
      <c r="J149" s="288"/>
      <c r="K149" s="288"/>
      <c r="L149" s="288"/>
      <c r="M149" s="288"/>
      <c r="N149" s="288"/>
      <c r="O149" s="288"/>
      <c r="P149" s="288"/>
      <c r="Q149" s="288"/>
      <c r="R149" s="288"/>
      <c r="S149" s="288"/>
      <c r="T149" s="288"/>
      <c r="U149" s="288"/>
      <c r="V149" s="338">
        <v>0</v>
      </c>
      <c r="W149" s="291"/>
      <c r="X149" s="5"/>
    </row>
    <row r="150" spans="1:25" ht="15.6" x14ac:dyDescent="0.3">
      <c r="A150" s="287"/>
      <c r="B150" s="288" t="s">
        <v>267</v>
      </c>
      <c r="C150" s="288"/>
      <c r="D150" s="288"/>
      <c r="E150" s="288"/>
      <c r="F150" s="288"/>
      <c r="G150" s="288"/>
      <c r="H150" s="288"/>
      <c r="I150" s="288"/>
      <c r="J150" s="288"/>
      <c r="K150" s="288"/>
      <c r="L150" s="288"/>
      <c r="M150" s="288"/>
      <c r="N150" s="288"/>
      <c r="O150" s="288"/>
      <c r="P150" s="288"/>
      <c r="Q150" s="288"/>
      <c r="R150" s="288"/>
      <c r="S150" s="288"/>
      <c r="T150" s="288"/>
      <c r="U150" s="288"/>
      <c r="V150" s="338">
        <v>0</v>
      </c>
      <c r="W150" s="291"/>
      <c r="X150" s="5"/>
      <c r="Y150" s="109"/>
    </row>
    <row r="151" spans="1:25" ht="15.6" x14ac:dyDescent="0.3">
      <c r="A151" s="287"/>
      <c r="B151" s="288" t="s">
        <v>46</v>
      </c>
      <c r="C151" s="288"/>
      <c r="D151" s="288"/>
      <c r="E151" s="288"/>
      <c r="F151" s="288"/>
      <c r="G151" s="288"/>
      <c r="H151" s="288"/>
      <c r="I151" s="288"/>
      <c r="J151" s="288"/>
      <c r="K151" s="288"/>
      <c r="L151" s="288"/>
      <c r="M151" s="288"/>
      <c r="N151" s="288"/>
      <c r="O151" s="288"/>
      <c r="P151" s="288"/>
      <c r="Q151" s="288"/>
      <c r="R151" s="288"/>
      <c r="S151" s="288"/>
      <c r="T151" s="288"/>
      <c r="U151" s="288"/>
      <c r="V151" s="338">
        <f>SUM(V143:V150)</f>
        <v>28505</v>
      </c>
      <c r="W151" s="291"/>
      <c r="X151" s="5"/>
    </row>
    <row r="152" spans="1:25" ht="15.6" x14ac:dyDescent="0.3">
      <c r="A152" s="287"/>
      <c r="B152" s="314"/>
      <c r="C152" s="314"/>
      <c r="D152" s="314"/>
      <c r="E152" s="314"/>
      <c r="F152" s="314"/>
      <c r="G152" s="314"/>
      <c r="H152" s="314"/>
      <c r="I152" s="314"/>
      <c r="J152" s="314"/>
      <c r="K152" s="314"/>
      <c r="L152" s="314"/>
      <c r="M152" s="314"/>
      <c r="N152" s="314"/>
      <c r="O152" s="314"/>
      <c r="P152" s="314"/>
      <c r="Q152" s="314"/>
      <c r="R152" s="314"/>
      <c r="S152" s="314"/>
      <c r="T152" s="314"/>
      <c r="U152" s="314"/>
      <c r="V152" s="345"/>
      <c r="W152" s="318"/>
      <c r="X152" s="5"/>
    </row>
    <row r="153" spans="1:25" ht="15.6" x14ac:dyDescent="0.3">
      <c r="A153" s="287"/>
      <c r="B153" s="343" t="s">
        <v>237</v>
      </c>
      <c r="C153" s="314"/>
      <c r="D153" s="314"/>
      <c r="E153" s="314"/>
      <c r="F153" s="314"/>
      <c r="G153" s="314"/>
      <c r="H153" s="314"/>
      <c r="I153" s="314"/>
      <c r="J153" s="314"/>
      <c r="K153" s="314"/>
      <c r="L153" s="314"/>
      <c r="M153" s="314"/>
      <c r="N153" s="314"/>
      <c r="O153" s="314"/>
      <c r="P153" s="314"/>
      <c r="Q153" s="314"/>
      <c r="R153" s="314"/>
      <c r="S153" s="314"/>
      <c r="T153" s="314"/>
      <c r="U153" s="314"/>
      <c r="V153" s="345"/>
      <c r="W153" s="318"/>
      <c r="X153" s="5"/>
    </row>
    <row r="154" spans="1:25" ht="15.6" x14ac:dyDescent="0.3">
      <c r="A154" s="287"/>
      <c r="B154" s="288" t="s">
        <v>155</v>
      </c>
      <c r="C154" s="288"/>
      <c r="D154" s="288"/>
      <c r="E154" s="288"/>
      <c r="F154" s="288"/>
      <c r="G154" s="288"/>
      <c r="H154" s="288"/>
      <c r="I154" s="288"/>
      <c r="J154" s="288"/>
      <c r="K154" s="288"/>
      <c r="L154" s="288"/>
      <c r="M154" s="288"/>
      <c r="N154" s="288"/>
      <c r="O154" s="288"/>
      <c r="P154" s="288"/>
      <c r="Q154" s="288"/>
      <c r="R154" s="288"/>
      <c r="S154" s="288"/>
      <c r="T154" s="288"/>
      <c r="U154" s="288"/>
      <c r="V154" s="338">
        <v>7500</v>
      </c>
      <c r="W154" s="291"/>
      <c r="X154" s="5"/>
    </row>
    <row r="155" spans="1:25" ht="15.6" x14ac:dyDescent="0.3">
      <c r="A155" s="287"/>
      <c r="B155" s="288" t="s">
        <v>172</v>
      </c>
      <c r="C155" s="288"/>
      <c r="D155" s="288"/>
      <c r="E155" s="288"/>
      <c r="F155" s="288"/>
      <c r="G155" s="288"/>
      <c r="H155" s="288"/>
      <c r="I155" s="288"/>
      <c r="J155" s="288"/>
      <c r="K155" s="288"/>
      <c r="L155" s="288"/>
      <c r="M155" s="288"/>
      <c r="N155" s="288"/>
      <c r="O155" s="288"/>
      <c r="P155" s="288"/>
      <c r="Q155" s="288"/>
      <c r="R155" s="288"/>
      <c r="S155" s="288"/>
      <c r="T155" s="288"/>
      <c r="U155" s="288"/>
      <c r="V155" s="338">
        <v>0</v>
      </c>
      <c r="W155" s="291"/>
      <c r="X155" s="5"/>
    </row>
    <row r="156" spans="1:25" ht="15.6" x14ac:dyDescent="0.3">
      <c r="A156" s="287"/>
      <c r="B156" s="288" t="s">
        <v>344</v>
      </c>
      <c r="C156" s="288"/>
      <c r="D156" s="288"/>
      <c r="E156" s="288"/>
      <c r="F156" s="288"/>
      <c r="G156" s="288"/>
      <c r="H156" s="288"/>
      <c r="I156" s="288"/>
      <c r="J156" s="288"/>
      <c r="K156" s="288"/>
      <c r="L156" s="288"/>
      <c r="M156" s="288"/>
      <c r="N156" s="288"/>
      <c r="O156" s="288"/>
      <c r="P156" s="288"/>
      <c r="Q156" s="288"/>
      <c r="R156" s="288"/>
      <c r="S156" s="288"/>
      <c r="T156" s="288"/>
      <c r="U156" s="288"/>
      <c r="V156" s="338">
        <v>0</v>
      </c>
      <c r="W156" s="291"/>
      <c r="X156" s="5"/>
    </row>
    <row r="157" spans="1:25" ht="15.6" x14ac:dyDescent="0.3">
      <c r="A157" s="287"/>
      <c r="B157" s="288"/>
      <c r="C157" s="288"/>
      <c r="D157" s="288"/>
      <c r="E157" s="288"/>
      <c r="F157" s="288"/>
      <c r="G157" s="288"/>
      <c r="H157" s="288"/>
      <c r="I157" s="288"/>
      <c r="J157" s="288"/>
      <c r="K157" s="288"/>
      <c r="L157" s="288"/>
      <c r="M157" s="288"/>
      <c r="N157" s="288"/>
      <c r="O157" s="288"/>
      <c r="P157" s="288"/>
      <c r="Q157" s="288"/>
      <c r="R157" s="288"/>
      <c r="S157" s="288"/>
      <c r="T157" s="288"/>
      <c r="U157" s="288"/>
      <c r="V157" s="338"/>
      <c r="W157" s="291"/>
      <c r="X157" s="5"/>
    </row>
    <row r="158" spans="1:25" ht="15.6" x14ac:dyDescent="0.3">
      <c r="A158" s="183"/>
      <c r="B158" s="198"/>
      <c r="C158" s="198"/>
      <c r="D158" s="198"/>
      <c r="E158" s="198"/>
      <c r="F158" s="198"/>
      <c r="G158" s="198"/>
      <c r="H158" s="198"/>
      <c r="I158" s="198"/>
      <c r="J158" s="198"/>
      <c r="K158" s="198"/>
      <c r="L158" s="198"/>
      <c r="M158" s="198"/>
      <c r="N158" s="198"/>
      <c r="O158" s="198"/>
      <c r="P158" s="198"/>
      <c r="Q158" s="198"/>
      <c r="R158" s="198"/>
      <c r="S158" s="198"/>
      <c r="T158" s="198"/>
      <c r="U158" s="198"/>
      <c r="V158" s="347"/>
      <c r="W158" s="198"/>
      <c r="X158" s="5"/>
    </row>
    <row r="159" spans="1:25" ht="15.6" x14ac:dyDescent="0.3">
      <c r="A159" s="183"/>
      <c r="B159" s="208" t="s">
        <v>24</v>
      </c>
      <c r="C159" s="185"/>
      <c r="D159" s="185"/>
      <c r="E159" s="185"/>
      <c r="F159" s="185"/>
      <c r="G159" s="185"/>
      <c r="H159" s="185"/>
      <c r="I159" s="185"/>
      <c r="J159" s="185"/>
      <c r="K159" s="185"/>
      <c r="L159" s="185"/>
      <c r="M159" s="185"/>
      <c r="N159" s="185"/>
      <c r="O159" s="185"/>
      <c r="P159" s="185"/>
      <c r="Q159" s="185"/>
      <c r="R159" s="185"/>
      <c r="S159" s="185"/>
      <c r="T159" s="185"/>
      <c r="U159" s="185"/>
      <c r="V159" s="201"/>
      <c r="W159" s="185"/>
      <c r="X159" s="5"/>
    </row>
    <row r="160" spans="1:25" ht="15.6" x14ac:dyDescent="0.3">
      <c r="A160" s="287"/>
      <c r="B160" s="288" t="s">
        <v>47</v>
      </c>
      <c r="C160" s="288"/>
      <c r="D160" s="288"/>
      <c r="E160" s="288"/>
      <c r="F160" s="288"/>
      <c r="G160" s="288"/>
      <c r="H160" s="288"/>
      <c r="I160" s="288"/>
      <c r="J160" s="288"/>
      <c r="K160" s="288"/>
      <c r="L160" s="288"/>
      <c r="M160" s="288"/>
      <c r="N160" s="288"/>
      <c r="O160" s="288"/>
      <c r="P160" s="288"/>
      <c r="Q160" s="288"/>
      <c r="R160" s="288"/>
      <c r="S160" s="288"/>
      <c r="T160" s="288"/>
      <c r="U160" s="288"/>
      <c r="V160" s="348" t="s">
        <v>118</v>
      </c>
      <c r="W160" s="291"/>
      <c r="X160" s="5"/>
    </row>
    <row r="161" spans="1:256" ht="15.6" x14ac:dyDescent="0.3">
      <c r="A161" s="287"/>
      <c r="B161" s="288" t="s">
        <v>48</v>
      </c>
      <c r="C161" s="290"/>
      <c r="D161" s="290"/>
      <c r="E161" s="290"/>
      <c r="F161" s="290"/>
      <c r="G161" s="290"/>
      <c r="H161" s="290"/>
      <c r="I161" s="290"/>
      <c r="J161" s="290"/>
      <c r="K161" s="290"/>
      <c r="L161" s="290"/>
      <c r="M161" s="290"/>
      <c r="N161" s="290"/>
      <c r="O161" s="290"/>
      <c r="P161" s="290"/>
      <c r="Q161" s="290"/>
      <c r="R161" s="290"/>
      <c r="S161" s="290"/>
      <c r="T161" s="290"/>
      <c r="U161" s="290"/>
      <c r="V161" s="348" t="s">
        <v>118</v>
      </c>
      <c r="W161" s="291"/>
      <c r="X161" s="5"/>
    </row>
    <row r="162" spans="1:256" ht="15.6" x14ac:dyDescent="0.3">
      <c r="A162" s="287"/>
      <c r="B162" s="288" t="s">
        <v>49</v>
      </c>
      <c r="C162" s="288"/>
      <c r="D162" s="288"/>
      <c r="E162" s="288"/>
      <c r="F162" s="288"/>
      <c r="G162" s="288"/>
      <c r="H162" s="288"/>
      <c r="I162" s="288"/>
      <c r="J162" s="288"/>
      <c r="K162" s="288"/>
      <c r="L162" s="288"/>
      <c r="M162" s="288"/>
      <c r="N162" s="288"/>
      <c r="O162" s="288"/>
      <c r="P162" s="288"/>
      <c r="Q162" s="288"/>
      <c r="R162" s="288"/>
      <c r="S162" s="288"/>
      <c r="T162" s="288"/>
      <c r="U162" s="288"/>
      <c r="V162" s="348" t="s">
        <v>118</v>
      </c>
      <c r="W162" s="291"/>
      <c r="X162" s="5"/>
    </row>
    <row r="163" spans="1:256" ht="15.6" x14ac:dyDescent="0.3">
      <c r="A163" s="287"/>
      <c r="B163" s="288" t="s">
        <v>50</v>
      </c>
      <c r="C163" s="288"/>
      <c r="D163" s="288"/>
      <c r="E163" s="288"/>
      <c r="F163" s="288"/>
      <c r="G163" s="288"/>
      <c r="H163" s="288"/>
      <c r="I163" s="288"/>
      <c r="J163" s="288"/>
      <c r="K163" s="288"/>
      <c r="L163" s="288"/>
      <c r="M163" s="288"/>
      <c r="N163" s="288"/>
      <c r="O163" s="288"/>
      <c r="P163" s="288"/>
      <c r="Q163" s="288"/>
      <c r="R163" s="288"/>
      <c r="S163" s="288"/>
      <c r="T163" s="288"/>
      <c r="U163" s="288"/>
      <c r="V163" s="348" t="s">
        <v>118</v>
      </c>
      <c r="W163" s="291"/>
      <c r="X163" s="5"/>
    </row>
    <row r="164" spans="1:256" ht="15.6" x14ac:dyDescent="0.3">
      <c r="A164" s="183"/>
      <c r="B164" s="198"/>
      <c r="C164" s="198"/>
      <c r="D164" s="198"/>
      <c r="E164" s="198"/>
      <c r="F164" s="198"/>
      <c r="G164" s="198"/>
      <c r="H164" s="198"/>
      <c r="I164" s="198"/>
      <c r="J164" s="198"/>
      <c r="K164" s="198"/>
      <c r="L164" s="198"/>
      <c r="M164" s="198"/>
      <c r="N164" s="198"/>
      <c r="O164" s="198"/>
      <c r="P164" s="198"/>
      <c r="Q164" s="198"/>
      <c r="R164" s="198"/>
      <c r="S164" s="198"/>
      <c r="T164" s="198"/>
      <c r="U164" s="198"/>
      <c r="V164" s="347"/>
      <c r="W164" s="198"/>
      <c r="X164" s="5"/>
    </row>
    <row r="165" spans="1:256" ht="15.6" x14ac:dyDescent="0.3">
      <c r="A165" s="183"/>
      <c r="B165" s="208" t="s">
        <v>51</v>
      </c>
      <c r="C165" s="185"/>
      <c r="D165" s="185"/>
      <c r="E165" s="185"/>
      <c r="F165" s="185"/>
      <c r="G165" s="185"/>
      <c r="H165" s="185"/>
      <c r="I165" s="185"/>
      <c r="J165" s="185"/>
      <c r="K165" s="185"/>
      <c r="L165" s="185"/>
      <c r="M165" s="185"/>
      <c r="N165" s="185"/>
      <c r="O165" s="185"/>
      <c r="P165" s="185"/>
      <c r="Q165" s="185"/>
      <c r="R165" s="185"/>
      <c r="S165" s="185"/>
      <c r="T165" s="185"/>
      <c r="U165" s="185"/>
      <c r="V165" s="209"/>
      <c r="W165" s="185"/>
      <c r="X165" s="5"/>
    </row>
    <row r="166" spans="1:256" ht="15.6" x14ac:dyDescent="0.3">
      <c r="A166" s="287"/>
      <c r="B166" s="288" t="s">
        <v>52</v>
      </c>
      <c r="C166" s="288"/>
      <c r="D166" s="288"/>
      <c r="E166" s="288"/>
      <c r="F166" s="288"/>
      <c r="G166" s="288"/>
      <c r="H166" s="288"/>
      <c r="I166" s="288"/>
      <c r="J166" s="288"/>
      <c r="K166" s="288"/>
      <c r="L166" s="288"/>
      <c r="M166" s="288"/>
      <c r="N166" s="288"/>
      <c r="O166" s="288"/>
      <c r="P166" s="288"/>
      <c r="Q166" s="288"/>
      <c r="R166" s="288"/>
      <c r="S166" s="288"/>
      <c r="T166" s="288"/>
      <c r="U166" s="288"/>
      <c r="V166" s="338">
        <v>0</v>
      </c>
      <c r="W166" s="291"/>
      <c r="X166" s="5"/>
    </row>
    <row r="167" spans="1:256" ht="15.6" x14ac:dyDescent="0.3">
      <c r="A167" s="287"/>
      <c r="B167" s="288" t="s">
        <v>53</v>
      </c>
      <c r="C167" s="288"/>
      <c r="D167" s="288"/>
      <c r="E167" s="288"/>
      <c r="F167" s="288"/>
      <c r="G167" s="288"/>
      <c r="H167" s="288"/>
      <c r="I167" s="288"/>
      <c r="J167" s="288"/>
      <c r="K167" s="288"/>
      <c r="L167" s="288"/>
      <c r="M167" s="288"/>
      <c r="N167" s="288"/>
      <c r="O167" s="288"/>
      <c r="P167" s="288"/>
      <c r="Q167" s="288"/>
      <c r="R167" s="288"/>
      <c r="S167" s="288"/>
      <c r="T167" s="288"/>
      <c r="U167" s="288"/>
      <c r="V167" s="338">
        <v>386</v>
      </c>
      <c r="W167" s="291"/>
      <c r="X167" s="5"/>
    </row>
    <row r="168" spans="1:256" ht="15.6" x14ac:dyDescent="0.3">
      <c r="A168" s="287"/>
      <c r="B168" s="288" t="s">
        <v>54</v>
      </c>
      <c r="C168" s="288"/>
      <c r="D168" s="288"/>
      <c r="E168" s="288"/>
      <c r="F168" s="288"/>
      <c r="G168" s="288"/>
      <c r="H168" s="288"/>
      <c r="I168" s="288"/>
      <c r="J168" s="288"/>
      <c r="K168" s="288"/>
      <c r="L168" s="288"/>
      <c r="M168" s="288"/>
      <c r="N168" s="288"/>
      <c r="O168" s="288"/>
      <c r="P168" s="288"/>
      <c r="Q168" s="288"/>
      <c r="R168" s="288"/>
      <c r="S168" s="288"/>
      <c r="T168" s="288"/>
      <c r="U168" s="288"/>
      <c r="V168" s="338">
        <f>V167+V166</f>
        <v>386</v>
      </c>
      <c r="W168" s="291"/>
      <c r="X168" s="5"/>
    </row>
    <row r="169" spans="1:256" ht="15.6" x14ac:dyDescent="0.3">
      <c r="A169" s="287"/>
      <c r="B169" s="288" t="s">
        <v>315</v>
      </c>
      <c r="C169" s="288"/>
      <c r="D169" s="288"/>
      <c r="E169" s="288"/>
      <c r="F169" s="288"/>
      <c r="G169" s="288"/>
      <c r="H169" s="288"/>
      <c r="I169" s="288"/>
      <c r="J169" s="288"/>
      <c r="K169" s="288"/>
      <c r="L169" s="288"/>
      <c r="M169" s="288"/>
      <c r="N169" s="288"/>
      <c r="O169" s="288"/>
      <c r="P169" s="288"/>
      <c r="Q169" s="288"/>
      <c r="R169" s="288"/>
      <c r="S169" s="288"/>
      <c r="T169" s="288"/>
      <c r="U169" s="288"/>
      <c r="V169" s="338">
        <f>V115</f>
        <v>-386</v>
      </c>
      <c r="W169" s="291"/>
      <c r="X169" s="5"/>
    </row>
    <row r="170" spans="1:256" ht="15.6" x14ac:dyDescent="0.3">
      <c r="A170" s="287"/>
      <c r="B170" s="288" t="s">
        <v>55</v>
      </c>
      <c r="C170" s="288"/>
      <c r="D170" s="288"/>
      <c r="E170" s="288"/>
      <c r="F170" s="288"/>
      <c r="G170" s="288"/>
      <c r="H170" s="288"/>
      <c r="I170" s="288"/>
      <c r="J170" s="288"/>
      <c r="K170" s="288"/>
      <c r="L170" s="288"/>
      <c r="M170" s="288"/>
      <c r="N170" s="288"/>
      <c r="O170" s="288"/>
      <c r="P170" s="288"/>
      <c r="Q170" s="288"/>
      <c r="R170" s="288"/>
      <c r="S170" s="288"/>
      <c r="T170" s="288"/>
      <c r="U170" s="288"/>
      <c r="V170" s="338">
        <f>V168+V169</f>
        <v>0</v>
      </c>
      <c r="W170" s="291"/>
      <c r="X170" s="5"/>
    </row>
    <row r="171" spans="1:256" ht="15.6" x14ac:dyDescent="0.3">
      <c r="A171" s="287"/>
      <c r="B171" s="288" t="s">
        <v>283</v>
      </c>
      <c r="C171" s="288"/>
      <c r="D171" s="288"/>
      <c r="E171" s="288"/>
      <c r="F171" s="288"/>
      <c r="G171" s="288"/>
      <c r="H171" s="288"/>
      <c r="I171" s="288"/>
      <c r="J171" s="288"/>
      <c r="K171" s="288"/>
      <c r="L171" s="288"/>
      <c r="M171" s="288"/>
      <c r="N171" s="288"/>
      <c r="O171" s="288"/>
      <c r="P171" s="288"/>
      <c r="Q171" s="288"/>
      <c r="R171" s="288"/>
      <c r="S171" s="288"/>
      <c r="T171" s="288"/>
      <c r="U171" s="288"/>
      <c r="V171" s="338">
        <v>0</v>
      </c>
      <c r="W171" s="291"/>
      <c r="X171" s="5"/>
    </row>
    <row r="172" spans="1:256" ht="16.2" thickBot="1" x14ac:dyDescent="0.35">
      <c r="A172" s="183"/>
      <c r="B172" s="284"/>
      <c r="C172" s="284"/>
      <c r="D172" s="284"/>
      <c r="E172" s="284"/>
      <c r="F172" s="284"/>
      <c r="G172" s="284"/>
      <c r="H172" s="284"/>
      <c r="I172" s="284"/>
      <c r="J172" s="284"/>
      <c r="K172" s="284"/>
      <c r="L172" s="284"/>
      <c r="M172" s="284"/>
      <c r="N172" s="284"/>
      <c r="O172" s="284"/>
      <c r="P172" s="284"/>
      <c r="Q172" s="284"/>
      <c r="R172" s="284"/>
      <c r="S172" s="284"/>
      <c r="T172" s="284"/>
      <c r="U172" s="284"/>
      <c r="V172" s="349"/>
      <c r="W172" s="284"/>
      <c r="X172" s="5"/>
    </row>
    <row r="173" spans="1:256" ht="15.6" x14ac:dyDescent="0.3">
      <c r="A173" s="180"/>
      <c r="B173" s="247"/>
      <c r="C173" s="247"/>
      <c r="D173" s="247"/>
      <c r="E173" s="247"/>
      <c r="F173" s="247"/>
      <c r="G173" s="247"/>
      <c r="H173" s="247"/>
      <c r="I173" s="247"/>
      <c r="J173" s="247"/>
      <c r="K173" s="247"/>
      <c r="L173" s="247"/>
      <c r="M173" s="247"/>
      <c r="N173" s="247"/>
      <c r="O173" s="247"/>
      <c r="P173" s="247"/>
      <c r="Q173" s="247"/>
      <c r="R173" s="247"/>
      <c r="S173" s="247"/>
      <c r="T173" s="247"/>
      <c r="U173" s="247"/>
      <c r="V173" s="248"/>
      <c r="W173" s="247"/>
      <c r="X173" s="5"/>
    </row>
    <row r="174" spans="1:256" s="161" customFormat="1" ht="15.6" x14ac:dyDescent="0.3">
      <c r="A174" s="183"/>
      <c r="B174" s="208" t="s">
        <v>269</v>
      </c>
      <c r="C174" s="198"/>
      <c r="D174" s="198"/>
      <c r="E174" s="198"/>
      <c r="F174" s="198"/>
      <c r="G174" s="198"/>
      <c r="H174" s="198"/>
      <c r="I174" s="198"/>
      <c r="J174" s="198"/>
      <c r="K174" s="198"/>
      <c r="L174" s="198"/>
      <c r="M174" s="198"/>
      <c r="N174" s="198"/>
      <c r="O174" s="198"/>
      <c r="P174" s="198"/>
      <c r="Q174" s="198"/>
      <c r="R174" s="198"/>
      <c r="S174" s="198"/>
      <c r="T174" s="198"/>
      <c r="U174" s="198"/>
      <c r="V174" s="210"/>
      <c r="W174" s="198"/>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5.6" x14ac:dyDescent="0.3">
      <c r="A175" s="287"/>
      <c r="B175" s="288" t="s">
        <v>270</v>
      </c>
      <c r="C175" s="288"/>
      <c r="D175" s="288"/>
      <c r="E175" s="288"/>
      <c r="F175" s="288"/>
      <c r="G175" s="288"/>
      <c r="H175" s="288"/>
      <c r="I175" s="288"/>
      <c r="J175" s="288"/>
      <c r="K175" s="288"/>
      <c r="L175" s="288"/>
      <c r="M175" s="288"/>
      <c r="N175" s="288"/>
      <c r="O175" s="288"/>
      <c r="P175" s="288"/>
      <c r="Q175" s="288"/>
      <c r="R175" s="288"/>
      <c r="S175" s="288"/>
      <c r="T175" s="288"/>
      <c r="U175" s="288"/>
      <c r="V175" s="338">
        <f>+'Aug 08'!V177</f>
        <v>0</v>
      </c>
      <c r="W175" s="291"/>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3" customFormat="1" ht="15.6" x14ac:dyDescent="0.3">
      <c r="A176" s="287"/>
      <c r="B176" s="288" t="s">
        <v>273</v>
      </c>
      <c r="C176" s="288"/>
      <c r="D176" s="288"/>
      <c r="E176" s="288"/>
      <c r="F176" s="288"/>
      <c r="G176" s="288"/>
      <c r="H176" s="288"/>
      <c r="I176" s="288"/>
      <c r="J176" s="288"/>
      <c r="K176" s="288"/>
      <c r="L176" s="288"/>
      <c r="M176" s="288"/>
      <c r="N176" s="288"/>
      <c r="O176" s="288"/>
      <c r="P176" s="288"/>
      <c r="Q176" s="288"/>
      <c r="R176" s="288"/>
      <c r="S176" s="288"/>
      <c r="T176" s="288"/>
      <c r="U176" s="288"/>
      <c r="V176" s="338">
        <f>+V94</f>
        <v>0</v>
      </c>
      <c r="W176" s="291"/>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s="163" customFormat="1" ht="15.6" x14ac:dyDescent="0.3">
      <c r="A177" s="287"/>
      <c r="B177" s="288" t="s">
        <v>271</v>
      </c>
      <c r="C177" s="288"/>
      <c r="D177" s="288"/>
      <c r="E177" s="288"/>
      <c r="F177" s="288"/>
      <c r="G177" s="288"/>
      <c r="H177" s="288"/>
      <c r="I177" s="288"/>
      <c r="J177" s="288"/>
      <c r="K177" s="288"/>
      <c r="L177" s="288"/>
      <c r="M177" s="288"/>
      <c r="N177" s="288"/>
      <c r="O177" s="288"/>
      <c r="P177" s="288"/>
      <c r="Q177" s="288"/>
      <c r="R177" s="288"/>
      <c r="S177" s="288"/>
      <c r="T177" s="288"/>
      <c r="U177" s="288"/>
      <c r="V177" s="338">
        <f>+V175-V176</f>
        <v>0</v>
      </c>
      <c r="W177" s="291"/>
      <c r="X177" s="5"/>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s="166" customFormat="1" ht="16.2" thickBot="1" x14ac:dyDescent="0.35">
      <c r="A178" s="199"/>
      <c r="B178" s="198"/>
      <c r="C178" s="198"/>
      <c r="D178" s="198"/>
      <c r="E178" s="198"/>
      <c r="F178" s="198"/>
      <c r="G178" s="198"/>
      <c r="H178" s="198"/>
      <c r="I178" s="198"/>
      <c r="J178" s="198"/>
      <c r="K178" s="198"/>
      <c r="L178" s="198"/>
      <c r="M178" s="198"/>
      <c r="N178" s="198"/>
      <c r="O178" s="198"/>
      <c r="P178" s="198"/>
      <c r="Q178" s="198"/>
      <c r="R178" s="198"/>
      <c r="S178" s="198"/>
      <c r="T178" s="198"/>
      <c r="U178" s="198"/>
      <c r="V178" s="347"/>
      <c r="W178" s="198"/>
      <c r="X178" s="5"/>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s="167" customFormat="1" ht="15.6" x14ac:dyDescent="0.3">
      <c r="A179" s="180"/>
      <c r="B179" s="181"/>
      <c r="C179" s="181"/>
      <c r="D179" s="181"/>
      <c r="E179" s="181"/>
      <c r="F179" s="181"/>
      <c r="G179" s="181"/>
      <c r="H179" s="181"/>
      <c r="I179" s="181"/>
      <c r="J179" s="181"/>
      <c r="K179" s="181"/>
      <c r="L179" s="181"/>
      <c r="M179" s="181"/>
      <c r="N179" s="181"/>
      <c r="O179" s="181"/>
      <c r="P179" s="181"/>
      <c r="Q179" s="181"/>
      <c r="R179" s="181"/>
      <c r="S179" s="181"/>
      <c r="T179" s="181"/>
      <c r="U179" s="181"/>
      <c r="V179" s="200"/>
      <c r="W179" s="181"/>
      <c r="X179" s="5"/>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ht="15.6" x14ac:dyDescent="0.3">
      <c r="A180" s="183"/>
      <c r="B180" s="208" t="s">
        <v>56</v>
      </c>
      <c r="C180" s="185"/>
      <c r="D180" s="185"/>
      <c r="E180" s="185"/>
      <c r="F180" s="185"/>
      <c r="G180" s="185"/>
      <c r="H180" s="185"/>
      <c r="I180" s="185"/>
      <c r="J180" s="185"/>
      <c r="K180" s="185"/>
      <c r="L180" s="185"/>
      <c r="M180" s="185"/>
      <c r="N180" s="185"/>
      <c r="O180" s="185"/>
      <c r="P180" s="185"/>
      <c r="Q180" s="185"/>
      <c r="R180" s="185"/>
      <c r="S180" s="185"/>
      <c r="T180" s="185"/>
      <c r="U180" s="185"/>
      <c r="V180" s="201"/>
      <c r="W180" s="185"/>
      <c r="X180" s="5"/>
    </row>
    <row r="181" spans="1:256" ht="15.6" x14ac:dyDescent="0.3">
      <c r="A181" s="183"/>
      <c r="B181" s="195"/>
      <c r="C181" s="185"/>
      <c r="D181" s="185"/>
      <c r="E181" s="185"/>
      <c r="F181" s="185"/>
      <c r="G181" s="185"/>
      <c r="H181" s="185"/>
      <c r="I181" s="185"/>
      <c r="J181" s="185"/>
      <c r="K181" s="185"/>
      <c r="L181" s="185"/>
      <c r="M181" s="185"/>
      <c r="N181" s="185"/>
      <c r="O181" s="185"/>
      <c r="P181" s="185"/>
      <c r="Q181" s="185"/>
      <c r="R181" s="185"/>
      <c r="S181" s="185"/>
      <c r="T181" s="185"/>
      <c r="U181" s="185"/>
      <c r="V181" s="201"/>
      <c r="W181" s="185"/>
      <c r="X181" s="5"/>
    </row>
    <row r="182" spans="1:256" ht="15.6" x14ac:dyDescent="0.3">
      <c r="A182" s="287"/>
      <c r="B182" s="288" t="s">
        <v>57</v>
      </c>
      <c r="C182" s="288"/>
      <c r="D182" s="288"/>
      <c r="E182" s="288"/>
      <c r="F182" s="288"/>
      <c r="G182" s="288"/>
      <c r="H182" s="288"/>
      <c r="I182" s="288"/>
      <c r="J182" s="288"/>
      <c r="K182" s="288"/>
      <c r="L182" s="288"/>
      <c r="M182" s="288"/>
      <c r="N182" s="288"/>
      <c r="O182" s="288"/>
      <c r="P182" s="288"/>
      <c r="Q182" s="288"/>
      <c r="R182" s="288"/>
      <c r="S182" s="288"/>
      <c r="T182" s="288"/>
      <c r="U182" s="288"/>
      <c r="V182" s="338">
        <f>V71</f>
        <v>922120</v>
      </c>
      <c r="W182" s="291"/>
      <c r="X182" s="5"/>
    </row>
    <row r="183" spans="1:256" ht="15.6" x14ac:dyDescent="0.3">
      <c r="A183" s="287"/>
      <c r="B183" s="288" t="s">
        <v>58</v>
      </c>
      <c r="C183" s="288"/>
      <c r="D183" s="288"/>
      <c r="E183" s="288"/>
      <c r="F183" s="288"/>
      <c r="G183" s="288"/>
      <c r="H183" s="288"/>
      <c r="I183" s="288"/>
      <c r="J183" s="288"/>
      <c r="K183" s="288"/>
      <c r="L183" s="288"/>
      <c r="M183" s="288"/>
      <c r="N183" s="288"/>
      <c r="O183" s="288"/>
      <c r="P183" s="288"/>
      <c r="Q183" s="288"/>
      <c r="R183" s="288"/>
      <c r="S183" s="288"/>
      <c r="T183" s="288"/>
      <c r="U183" s="288"/>
      <c r="V183" s="338">
        <f>V84</f>
        <v>922120</v>
      </c>
      <c r="W183" s="291"/>
      <c r="X183" s="5"/>
    </row>
    <row r="184" spans="1:256" ht="16.2" thickBot="1" x14ac:dyDescent="0.35">
      <c r="A184" s="183"/>
      <c r="B184" s="198"/>
      <c r="C184" s="198"/>
      <c r="D184" s="198"/>
      <c r="E184" s="198"/>
      <c r="F184" s="198"/>
      <c r="G184" s="198"/>
      <c r="H184" s="198"/>
      <c r="I184" s="198"/>
      <c r="J184" s="198"/>
      <c r="K184" s="198"/>
      <c r="L184" s="198"/>
      <c r="M184" s="198"/>
      <c r="N184" s="198"/>
      <c r="O184" s="198"/>
      <c r="P184" s="198"/>
      <c r="Q184" s="198"/>
      <c r="R184" s="198"/>
      <c r="S184" s="198"/>
      <c r="T184" s="198"/>
      <c r="U184" s="198"/>
      <c r="V184" s="347"/>
      <c r="W184" s="198"/>
      <c r="X184" s="5"/>
    </row>
    <row r="185" spans="1:256" ht="15.6" x14ac:dyDescent="0.3">
      <c r="A185" s="180"/>
      <c r="B185" s="181"/>
      <c r="C185" s="181"/>
      <c r="D185" s="181"/>
      <c r="E185" s="181"/>
      <c r="F185" s="181"/>
      <c r="G185" s="181"/>
      <c r="H185" s="181"/>
      <c r="I185" s="181"/>
      <c r="J185" s="181"/>
      <c r="K185" s="181"/>
      <c r="L185" s="181"/>
      <c r="M185" s="181"/>
      <c r="N185" s="181"/>
      <c r="O185" s="181"/>
      <c r="P185" s="181"/>
      <c r="Q185" s="181"/>
      <c r="R185" s="181"/>
      <c r="S185" s="181"/>
      <c r="T185" s="181"/>
      <c r="U185" s="181"/>
      <c r="V185" s="200"/>
      <c r="W185" s="181"/>
      <c r="X185" s="5"/>
    </row>
    <row r="186" spans="1:256" ht="15.6" x14ac:dyDescent="0.3">
      <c r="A186" s="183"/>
      <c r="B186" s="208" t="s">
        <v>59</v>
      </c>
      <c r="C186" s="205"/>
      <c r="D186" s="205"/>
      <c r="E186" s="205"/>
      <c r="F186" s="205"/>
      <c r="G186" s="205"/>
      <c r="H186" s="211"/>
      <c r="I186" s="211"/>
      <c r="J186" s="211"/>
      <c r="K186" s="211"/>
      <c r="L186" s="211"/>
      <c r="M186" s="211"/>
      <c r="N186" s="211"/>
      <c r="O186" s="211"/>
      <c r="P186" s="211"/>
      <c r="Q186" s="211"/>
      <c r="R186" s="211"/>
      <c r="S186" s="211" t="s">
        <v>101</v>
      </c>
      <c r="T186" s="211" t="s">
        <v>176</v>
      </c>
      <c r="U186" s="187"/>
      <c r="V186" s="212" t="s">
        <v>114</v>
      </c>
      <c r="W186" s="213"/>
      <c r="X186" s="5"/>
    </row>
    <row r="187" spans="1:256" ht="15.6" x14ac:dyDescent="0.3">
      <c r="A187" s="287"/>
      <c r="B187" s="288" t="s">
        <v>60</v>
      </c>
      <c r="C187" s="288"/>
      <c r="D187" s="288"/>
      <c r="E187" s="288"/>
      <c r="F187" s="288"/>
      <c r="G187" s="288"/>
      <c r="H187" s="288"/>
      <c r="I187" s="288"/>
      <c r="J187" s="288"/>
      <c r="K187" s="288"/>
      <c r="L187" s="288"/>
      <c r="M187" s="288"/>
      <c r="N187" s="288"/>
      <c r="O187" s="288"/>
      <c r="P187" s="288"/>
      <c r="Q187" s="288"/>
      <c r="R187" s="288"/>
      <c r="S187" s="338">
        <f>+V34*0.16</f>
        <v>240044</v>
      </c>
      <c r="T187" s="325"/>
      <c r="U187" s="288"/>
      <c r="V187" s="338"/>
      <c r="W187" s="291"/>
      <c r="X187" s="5"/>
    </row>
    <row r="188" spans="1:256" ht="15.6" x14ac:dyDescent="0.3">
      <c r="A188" s="287"/>
      <c r="B188" s="288" t="s">
        <v>61</v>
      </c>
      <c r="C188" s="288"/>
      <c r="D188" s="288"/>
      <c r="E188" s="288"/>
      <c r="F188" s="288"/>
      <c r="G188" s="288"/>
      <c r="H188" s="288"/>
      <c r="I188" s="288"/>
      <c r="J188" s="288"/>
      <c r="K188" s="288"/>
      <c r="L188" s="288"/>
      <c r="M188" s="288"/>
      <c r="N188" s="288"/>
      <c r="O188" s="288"/>
      <c r="P188" s="288"/>
      <c r="Q188" s="288"/>
      <c r="R188" s="288"/>
      <c r="S188" s="338">
        <f>+'Aug 16'!S190</f>
        <v>28355</v>
      </c>
      <c r="T188" s="338">
        <f>+'Aug 16'!T190</f>
        <v>6016</v>
      </c>
      <c r="U188" s="288"/>
      <c r="V188" s="338">
        <f>S188+T188</f>
        <v>34371</v>
      </c>
      <c r="W188" s="291"/>
      <c r="X188" s="5"/>
    </row>
    <row r="189" spans="1:256" ht="15.6" x14ac:dyDescent="0.3">
      <c r="A189" s="287"/>
      <c r="B189" s="288" t="s">
        <v>62</v>
      </c>
      <c r="C189" s="288"/>
      <c r="D189" s="288"/>
      <c r="E189" s="288"/>
      <c r="F189" s="288"/>
      <c r="G189" s="288"/>
      <c r="H189" s="288"/>
      <c r="I189" s="288"/>
      <c r="J189" s="288"/>
      <c r="K189" s="288"/>
      <c r="L189" s="288"/>
      <c r="M189" s="288"/>
      <c r="N189" s="288"/>
      <c r="O189" s="288"/>
      <c r="P189" s="288"/>
      <c r="Q189" s="288"/>
      <c r="R189" s="288"/>
      <c r="S189" s="337">
        <f>2152+131</f>
        <v>2283</v>
      </c>
      <c r="T189" s="337">
        <v>3</v>
      </c>
      <c r="U189" s="288"/>
      <c r="V189" s="338">
        <f>S189+T189</f>
        <v>2286</v>
      </c>
      <c r="W189" s="291"/>
      <c r="X189" s="5"/>
    </row>
    <row r="190" spans="1:256" ht="15.6" x14ac:dyDescent="0.3">
      <c r="A190" s="287"/>
      <c r="B190" s="288" t="s">
        <v>63</v>
      </c>
      <c r="C190" s="288"/>
      <c r="D190" s="288"/>
      <c r="E190" s="288"/>
      <c r="F190" s="288"/>
      <c r="G190" s="288"/>
      <c r="H190" s="288"/>
      <c r="I190" s="288"/>
      <c r="J190" s="288"/>
      <c r="K190" s="288"/>
      <c r="L190" s="288"/>
      <c r="M190" s="288"/>
      <c r="N190" s="288"/>
      <c r="O190" s="288"/>
      <c r="P190" s="288"/>
      <c r="Q190" s="288"/>
      <c r="R190" s="288"/>
      <c r="S190" s="338">
        <f>S188+S189</f>
        <v>30638</v>
      </c>
      <c r="T190" s="338">
        <f>T189+T188</f>
        <v>6019</v>
      </c>
      <c r="U190" s="288"/>
      <c r="V190" s="338">
        <f>S190+T190</f>
        <v>36657</v>
      </c>
      <c r="W190" s="291"/>
      <c r="X190" s="5"/>
    </row>
    <row r="191" spans="1:256" ht="15.6" x14ac:dyDescent="0.3">
      <c r="A191" s="287"/>
      <c r="B191" s="288" t="s">
        <v>64</v>
      </c>
      <c r="C191" s="288"/>
      <c r="D191" s="288"/>
      <c r="E191" s="288"/>
      <c r="F191" s="288"/>
      <c r="G191" s="288"/>
      <c r="H191" s="288"/>
      <c r="I191" s="288"/>
      <c r="J191" s="288"/>
      <c r="K191" s="288"/>
      <c r="L191" s="288"/>
      <c r="M191" s="288"/>
      <c r="N191" s="288"/>
      <c r="O191" s="288"/>
      <c r="P191" s="288"/>
      <c r="Q191" s="288"/>
      <c r="R191" s="288"/>
      <c r="S191" s="338">
        <f>S187-S190-T190</f>
        <v>203387</v>
      </c>
      <c r="T191" s="325"/>
      <c r="U191" s="288"/>
      <c r="V191" s="338"/>
      <c r="W191" s="291"/>
      <c r="X191" s="5"/>
    </row>
    <row r="192" spans="1:256" ht="16.2" thickBot="1" x14ac:dyDescent="0.35">
      <c r="A192" s="183"/>
      <c r="B192" s="198"/>
      <c r="C192" s="198"/>
      <c r="D192" s="198"/>
      <c r="E192" s="198"/>
      <c r="F192" s="198"/>
      <c r="G192" s="198"/>
      <c r="H192" s="198"/>
      <c r="I192" s="198"/>
      <c r="J192" s="198"/>
      <c r="K192" s="198"/>
      <c r="L192" s="198"/>
      <c r="M192" s="198"/>
      <c r="N192" s="198"/>
      <c r="O192" s="198"/>
      <c r="P192" s="198"/>
      <c r="Q192" s="198"/>
      <c r="R192" s="198"/>
      <c r="S192" s="198"/>
      <c r="T192" s="198"/>
      <c r="U192" s="198"/>
      <c r="V192" s="347"/>
      <c r="W192" s="198"/>
      <c r="X192" s="5"/>
    </row>
    <row r="193" spans="1:24" ht="15.6" x14ac:dyDescent="0.3">
      <c r="A193" s="180"/>
      <c r="B193" s="181"/>
      <c r="C193" s="181"/>
      <c r="D193" s="181"/>
      <c r="E193" s="181"/>
      <c r="F193" s="181"/>
      <c r="G193" s="181"/>
      <c r="H193" s="181"/>
      <c r="I193" s="181"/>
      <c r="J193" s="181"/>
      <c r="K193" s="181"/>
      <c r="L193" s="181"/>
      <c r="M193" s="181"/>
      <c r="N193" s="181"/>
      <c r="O193" s="181"/>
      <c r="P193" s="181"/>
      <c r="Q193" s="181"/>
      <c r="R193" s="181"/>
      <c r="S193" s="181"/>
      <c r="T193" s="181"/>
      <c r="U193" s="181"/>
      <c r="V193" s="200"/>
      <c r="W193" s="181"/>
      <c r="X193" s="5"/>
    </row>
    <row r="194" spans="1:24" ht="15.6" x14ac:dyDescent="0.3">
      <c r="A194" s="183"/>
      <c r="B194" s="208" t="s">
        <v>65</v>
      </c>
      <c r="C194" s="185"/>
      <c r="D194" s="185"/>
      <c r="E194" s="185"/>
      <c r="F194" s="185"/>
      <c r="G194" s="185"/>
      <c r="H194" s="185"/>
      <c r="I194" s="185"/>
      <c r="J194" s="185"/>
      <c r="K194" s="185"/>
      <c r="L194" s="185"/>
      <c r="M194" s="185"/>
      <c r="N194" s="185"/>
      <c r="O194" s="185"/>
      <c r="P194" s="185"/>
      <c r="Q194" s="185"/>
      <c r="R194" s="185"/>
      <c r="S194" s="185"/>
      <c r="T194" s="185"/>
      <c r="U194" s="185"/>
      <c r="V194" s="214"/>
      <c r="W194" s="185"/>
      <c r="X194" s="5"/>
    </row>
    <row r="195" spans="1:24" ht="15.6" x14ac:dyDescent="0.3">
      <c r="A195" s="287"/>
      <c r="B195" s="288" t="s">
        <v>66</v>
      </c>
      <c r="C195" s="288"/>
      <c r="D195" s="288"/>
      <c r="E195" s="288"/>
      <c r="F195" s="288"/>
      <c r="G195" s="288"/>
      <c r="H195" s="288"/>
      <c r="I195" s="288"/>
      <c r="J195" s="288"/>
      <c r="K195" s="288"/>
      <c r="L195" s="288"/>
      <c r="M195" s="288"/>
      <c r="N195" s="288"/>
      <c r="O195" s="288"/>
      <c r="P195" s="288"/>
      <c r="Q195" s="288"/>
      <c r="R195" s="288"/>
      <c r="S195" s="288"/>
      <c r="T195" s="288"/>
      <c r="U195" s="288"/>
      <c r="V195" s="348">
        <f>(V101+V103+V104+V105+V106)/-(V107+V108)</f>
        <v>5.0617620345140777</v>
      </c>
      <c r="W195" s="291" t="s">
        <v>115</v>
      </c>
      <c r="X195" s="5"/>
    </row>
    <row r="196" spans="1:24" ht="15.6" x14ac:dyDescent="0.3">
      <c r="A196" s="287"/>
      <c r="B196" s="288" t="s">
        <v>67</v>
      </c>
      <c r="C196" s="288"/>
      <c r="D196" s="288"/>
      <c r="E196" s="288"/>
      <c r="F196" s="288"/>
      <c r="G196" s="288"/>
      <c r="H196" s="288"/>
      <c r="I196" s="288"/>
      <c r="J196" s="288"/>
      <c r="K196" s="288"/>
      <c r="L196" s="288"/>
      <c r="M196" s="288"/>
      <c r="N196" s="288"/>
      <c r="O196" s="288"/>
      <c r="P196" s="288"/>
      <c r="Q196" s="288"/>
      <c r="R196" s="288"/>
      <c r="S196" s="288"/>
      <c r="T196" s="288"/>
      <c r="U196" s="288"/>
      <c r="V196" s="350">
        <v>2.02</v>
      </c>
      <c r="W196" s="291" t="s">
        <v>115</v>
      </c>
      <c r="X196" s="5"/>
    </row>
    <row r="197" spans="1:24" ht="15.6" x14ac:dyDescent="0.3">
      <c r="A197" s="287"/>
      <c r="B197" s="288" t="s">
        <v>68</v>
      </c>
      <c r="C197" s="288"/>
      <c r="D197" s="288"/>
      <c r="E197" s="288"/>
      <c r="F197" s="288"/>
      <c r="G197" s="288"/>
      <c r="H197" s="288"/>
      <c r="I197" s="288"/>
      <c r="J197" s="288"/>
      <c r="K197" s="288"/>
      <c r="L197" s="288"/>
      <c r="M197" s="288"/>
      <c r="N197" s="288"/>
      <c r="O197" s="288"/>
      <c r="P197" s="288"/>
      <c r="Q197" s="288"/>
      <c r="R197" s="288"/>
      <c r="S197" s="288"/>
      <c r="T197" s="288"/>
      <c r="U197" s="288"/>
      <c r="V197" s="348">
        <f>(V101+V103+V104+V105+V106+V107+V108)/-(V110+V111)</f>
        <v>20.608294930875577</v>
      </c>
      <c r="W197" s="291" t="s">
        <v>115</v>
      </c>
      <c r="X197" s="5"/>
    </row>
    <row r="198" spans="1:24" ht="15.6" x14ac:dyDescent="0.3">
      <c r="A198" s="287"/>
      <c r="B198" s="288" t="s">
        <v>69</v>
      </c>
      <c r="C198" s="288"/>
      <c r="D198" s="288"/>
      <c r="E198" s="288"/>
      <c r="F198" s="288"/>
      <c r="G198" s="288"/>
      <c r="H198" s="288"/>
      <c r="I198" s="288"/>
      <c r="J198" s="288"/>
      <c r="K198" s="288"/>
      <c r="L198" s="288"/>
      <c r="M198" s="288"/>
      <c r="N198" s="288"/>
      <c r="O198" s="288"/>
      <c r="P198" s="288"/>
      <c r="Q198" s="288"/>
      <c r="R198" s="288"/>
      <c r="S198" s="288"/>
      <c r="T198" s="288"/>
      <c r="U198" s="288"/>
      <c r="V198" s="350">
        <v>9.19</v>
      </c>
      <c r="W198" s="291" t="s">
        <v>115</v>
      </c>
      <c r="X198" s="5"/>
    </row>
    <row r="199" spans="1:24" ht="15.6" x14ac:dyDescent="0.3">
      <c r="A199" s="287"/>
      <c r="B199" s="288" t="s">
        <v>198</v>
      </c>
      <c r="C199" s="288"/>
      <c r="D199" s="288"/>
      <c r="E199" s="288"/>
      <c r="F199" s="288"/>
      <c r="G199" s="288"/>
      <c r="H199" s="288"/>
      <c r="I199" s="288"/>
      <c r="J199" s="288"/>
      <c r="K199" s="288"/>
      <c r="L199" s="288"/>
      <c r="M199" s="288"/>
      <c r="N199" s="288"/>
      <c r="O199" s="288"/>
      <c r="P199" s="288"/>
      <c r="Q199" s="288"/>
      <c r="R199" s="288"/>
      <c r="S199" s="288"/>
      <c r="T199" s="288"/>
      <c r="U199" s="288"/>
      <c r="V199" s="348">
        <f>(V101+V103+V104+V105+V106+V107+V108+V110+V111)/-(V112+V113)</f>
        <v>12.333333333333334</v>
      </c>
      <c r="W199" s="291" t="s">
        <v>115</v>
      </c>
      <c r="X199" s="5"/>
    </row>
    <row r="200" spans="1:24" ht="15.6" x14ac:dyDescent="0.3">
      <c r="A200" s="287"/>
      <c r="B200" s="288" t="s">
        <v>199</v>
      </c>
      <c r="C200" s="288"/>
      <c r="D200" s="288"/>
      <c r="E200" s="288"/>
      <c r="F200" s="288"/>
      <c r="G200" s="288"/>
      <c r="H200" s="288"/>
      <c r="I200" s="288"/>
      <c r="J200" s="288"/>
      <c r="K200" s="288"/>
      <c r="L200" s="288"/>
      <c r="M200" s="288"/>
      <c r="N200" s="288"/>
      <c r="O200" s="288"/>
      <c r="P200" s="288"/>
      <c r="Q200" s="288"/>
      <c r="R200" s="288"/>
      <c r="S200" s="288"/>
      <c r="T200" s="288"/>
      <c r="U200" s="288"/>
      <c r="V200" s="350">
        <v>7.01</v>
      </c>
      <c r="W200" s="291" t="s">
        <v>115</v>
      </c>
      <c r="X200" s="5"/>
    </row>
    <row r="201" spans="1:24" ht="15.6" x14ac:dyDescent="0.3">
      <c r="A201" s="287"/>
      <c r="B201" s="314"/>
      <c r="C201" s="314"/>
      <c r="D201" s="314"/>
      <c r="E201" s="314"/>
      <c r="F201" s="314"/>
      <c r="G201" s="314"/>
      <c r="H201" s="314"/>
      <c r="I201" s="314"/>
      <c r="J201" s="314"/>
      <c r="K201" s="314"/>
      <c r="L201" s="314"/>
      <c r="M201" s="314"/>
      <c r="N201" s="314"/>
      <c r="O201" s="314"/>
      <c r="P201" s="314"/>
      <c r="Q201" s="314"/>
      <c r="R201" s="314"/>
      <c r="S201" s="314"/>
      <c r="T201" s="314"/>
      <c r="U201" s="314"/>
      <c r="V201" s="314"/>
      <c r="W201" s="318"/>
      <c r="X201" s="5"/>
    </row>
    <row r="202" spans="1:24" ht="15.6" x14ac:dyDescent="0.3">
      <c r="A202" s="183"/>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5"/>
    </row>
    <row r="203" spans="1:24" ht="15.6" x14ac:dyDescent="0.3">
      <c r="A203" s="183"/>
      <c r="B203" s="185"/>
      <c r="C203" s="185"/>
      <c r="D203" s="185"/>
      <c r="E203" s="185"/>
      <c r="F203" s="185"/>
      <c r="G203" s="185"/>
      <c r="H203" s="185"/>
      <c r="I203" s="185"/>
      <c r="J203" s="185"/>
      <c r="K203" s="185"/>
      <c r="L203" s="185"/>
      <c r="M203" s="185"/>
      <c r="N203" s="185"/>
      <c r="O203" s="185"/>
      <c r="P203" s="185"/>
      <c r="Q203" s="185"/>
      <c r="R203" s="185"/>
      <c r="S203" s="185"/>
      <c r="T203" s="185"/>
      <c r="U203" s="185"/>
      <c r="V203" s="185"/>
      <c r="W203" s="185"/>
      <c r="X203" s="5"/>
    </row>
    <row r="204" spans="1:24" ht="18" thickBot="1" x14ac:dyDescent="0.35">
      <c r="A204" s="199"/>
      <c r="B204" s="237" t="str">
        <f>B138</f>
        <v>PM14 INVESTOR REPORT QUARTER ENDING NOVEMBER 2016</v>
      </c>
      <c r="C204" s="215"/>
      <c r="D204" s="215"/>
      <c r="E204" s="215"/>
      <c r="F204" s="215"/>
      <c r="G204" s="215"/>
      <c r="H204" s="215"/>
      <c r="I204" s="215"/>
      <c r="J204" s="215"/>
      <c r="K204" s="215"/>
      <c r="L204" s="215"/>
      <c r="M204" s="215"/>
      <c r="N204" s="215"/>
      <c r="O204" s="215"/>
      <c r="P204" s="215"/>
      <c r="Q204" s="215"/>
      <c r="R204" s="215"/>
      <c r="S204" s="215"/>
      <c r="T204" s="215"/>
      <c r="U204" s="215"/>
      <c r="V204" s="215"/>
      <c r="W204" s="216"/>
      <c r="X204" s="5"/>
    </row>
    <row r="205" spans="1:24" ht="15.6" x14ac:dyDescent="0.3">
      <c r="A205" s="273"/>
      <c r="B205" s="403" t="s">
        <v>70</v>
      </c>
      <c r="C205" s="404"/>
      <c r="D205" s="404"/>
      <c r="E205" s="404"/>
      <c r="F205" s="404"/>
      <c r="G205" s="405"/>
      <c r="H205" s="405"/>
      <c r="I205" s="405"/>
      <c r="J205" s="405"/>
      <c r="K205" s="405"/>
      <c r="L205" s="405"/>
      <c r="M205" s="405"/>
      <c r="N205" s="405"/>
      <c r="O205" s="405"/>
      <c r="P205" s="405"/>
      <c r="Q205" s="405"/>
      <c r="R205" s="405"/>
      <c r="S205" s="405"/>
      <c r="T205" s="405">
        <v>42704</v>
      </c>
      <c r="U205" s="274"/>
      <c r="V205" s="274"/>
      <c r="W205" s="274"/>
      <c r="X205" s="5"/>
    </row>
    <row r="206" spans="1:24" ht="15.6" x14ac:dyDescent="0.3">
      <c r="A206" s="217"/>
      <c r="B206" s="230"/>
      <c r="C206" s="249"/>
      <c r="D206" s="249"/>
      <c r="E206" s="249"/>
      <c r="F206" s="249"/>
      <c r="G206" s="229"/>
      <c r="H206" s="229"/>
      <c r="I206" s="229"/>
      <c r="J206" s="229"/>
      <c r="K206" s="229"/>
      <c r="L206" s="229"/>
      <c r="M206" s="229"/>
      <c r="N206" s="229"/>
      <c r="O206" s="229"/>
      <c r="P206" s="229"/>
      <c r="Q206" s="229"/>
      <c r="R206" s="229"/>
      <c r="S206" s="229"/>
      <c r="T206" s="229"/>
      <c r="U206" s="224"/>
      <c r="V206" s="224"/>
      <c r="W206" s="224"/>
      <c r="X206" s="5"/>
    </row>
    <row r="207" spans="1:24" ht="15.6" x14ac:dyDescent="0.3">
      <c r="A207" s="352"/>
      <c r="B207" s="288" t="s">
        <v>71</v>
      </c>
      <c r="C207" s="353"/>
      <c r="D207" s="353"/>
      <c r="E207" s="353"/>
      <c r="F207" s="353"/>
      <c r="G207" s="330"/>
      <c r="H207" s="330"/>
      <c r="I207" s="330"/>
      <c r="J207" s="330"/>
      <c r="K207" s="330"/>
      <c r="L207" s="330"/>
      <c r="M207" s="330"/>
      <c r="N207" s="330"/>
      <c r="O207" s="330"/>
      <c r="P207" s="330"/>
      <c r="Q207" s="330"/>
      <c r="R207" s="330"/>
      <c r="S207" s="330"/>
      <c r="T207" s="321">
        <v>5.2819999999999999E-2</v>
      </c>
      <c r="U207" s="288"/>
      <c r="V207" s="288"/>
      <c r="W207" s="291"/>
      <c r="X207" s="5"/>
    </row>
    <row r="208" spans="1:24" ht="15.6" x14ac:dyDescent="0.3">
      <c r="A208" s="352"/>
      <c r="B208" s="288" t="s">
        <v>151</v>
      </c>
      <c r="C208" s="353"/>
      <c r="D208" s="353"/>
      <c r="E208" s="353"/>
      <c r="F208" s="353"/>
      <c r="G208" s="330"/>
      <c r="H208" s="330"/>
      <c r="I208" s="330"/>
      <c r="J208" s="330"/>
      <c r="K208" s="330"/>
      <c r="L208" s="330"/>
      <c r="M208" s="330"/>
      <c r="N208" s="330"/>
      <c r="O208" s="330"/>
      <c r="P208" s="330"/>
      <c r="Q208" s="330"/>
      <c r="R208" s="330"/>
      <c r="S208" s="330"/>
      <c r="T208" s="321">
        <v>5.7799999999999997E-2</v>
      </c>
      <c r="U208" s="288"/>
      <c r="V208" s="288"/>
      <c r="W208" s="291"/>
      <c r="X208" s="5"/>
    </row>
    <row r="209" spans="1:24" ht="15.6" x14ac:dyDescent="0.3">
      <c r="A209" s="352"/>
      <c r="B209" s="288" t="s">
        <v>72</v>
      </c>
      <c r="C209" s="353"/>
      <c r="D209" s="353"/>
      <c r="E209" s="353"/>
      <c r="F209" s="353"/>
      <c r="G209" s="330"/>
      <c r="H209" s="330"/>
      <c r="I209" s="330"/>
      <c r="J209" s="330"/>
      <c r="K209" s="330"/>
      <c r="L209" s="330"/>
      <c r="M209" s="330"/>
      <c r="N209" s="330"/>
      <c r="O209" s="330"/>
      <c r="P209" s="330"/>
      <c r="Q209" s="330"/>
      <c r="R209" s="330"/>
      <c r="S209" s="330"/>
      <c r="T209" s="321">
        <f>T207-T208</f>
        <v>-4.9799999999999983E-3</v>
      </c>
      <c r="U209" s="288"/>
      <c r="V209" s="288"/>
      <c r="W209" s="291"/>
      <c r="X209" s="5"/>
    </row>
    <row r="210" spans="1:24" ht="15.6" x14ac:dyDescent="0.3">
      <c r="A210" s="352"/>
      <c r="B210" s="288" t="s">
        <v>73</v>
      </c>
      <c r="C210" s="353"/>
      <c r="D210" s="353"/>
      <c r="E210" s="353"/>
      <c r="F210" s="353"/>
      <c r="G210" s="330"/>
      <c r="H210" s="330"/>
      <c r="I210" s="330"/>
      <c r="J210" s="330"/>
      <c r="K210" s="330"/>
      <c r="L210" s="330"/>
      <c r="M210" s="330"/>
      <c r="N210" s="330"/>
      <c r="O210" s="330"/>
      <c r="P210" s="330"/>
      <c r="Q210" s="330"/>
      <c r="R210" s="330"/>
      <c r="S210" s="330"/>
      <c r="T210" s="321">
        <v>2.1729999999999999E-2</v>
      </c>
      <c r="U210" s="288"/>
      <c r="V210" s="288"/>
      <c r="W210" s="291"/>
      <c r="X210" s="5"/>
    </row>
    <row r="211" spans="1:24" ht="15.6" x14ac:dyDescent="0.3">
      <c r="A211" s="352"/>
      <c r="B211" s="288" t="s">
        <v>219</v>
      </c>
      <c r="C211" s="353"/>
      <c r="D211" s="353"/>
      <c r="E211" s="353"/>
      <c r="F211" s="353"/>
      <c r="G211" s="330"/>
      <c r="H211" s="330"/>
      <c r="I211" s="330"/>
      <c r="J211" s="330"/>
      <c r="K211" s="330"/>
      <c r="L211" s="330"/>
      <c r="M211" s="330"/>
      <c r="N211" s="330"/>
      <c r="O211" s="330"/>
      <c r="P211" s="330"/>
      <c r="Q211" s="330"/>
      <c r="R211" s="330"/>
      <c r="S211" s="330"/>
      <c r="T211" s="321">
        <f>V43</f>
        <v>7.117863243556532E-3</v>
      </c>
      <c r="U211" s="288"/>
      <c r="V211" s="288"/>
      <c r="W211" s="291"/>
      <c r="X211" s="5"/>
    </row>
    <row r="212" spans="1:24" ht="15.6" x14ac:dyDescent="0.3">
      <c r="A212" s="352"/>
      <c r="B212" s="288" t="s">
        <v>74</v>
      </c>
      <c r="C212" s="353"/>
      <c r="D212" s="353"/>
      <c r="E212" s="353"/>
      <c r="F212" s="353"/>
      <c r="G212" s="330"/>
      <c r="H212" s="330"/>
      <c r="I212" s="330"/>
      <c r="J212" s="330"/>
      <c r="K212" s="330"/>
      <c r="L212" s="330"/>
      <c r="M212" s="330"/>
      <c r="N212" s="330"/>
      <c r="O212" s="330"/>
      <c r="P212" s="330"/>
      <c r="Q212" s="330"/>
      <c r="R212" s="330"/>
      <c r="S212" s="330"/>
      <c r="T212" s="321">
        <f>T210-T211</f>
        <v>1.4612136756443468E-2</v>
      </c>
      <c r="U212" s="288"/>
      <c r="V212" s="288"/>
      <c r="W212" s="291"/>
      <c r="X212" s="5"/>
    </row>
    <row r="213" spans="1:24" ht="15.6" x14ac:dyDescent="0.3">
      <c r="A213" s="352"/>
      <c r="B213" s="288" t="s">
        <v>242</v>
      </c>
      <c r="C213" s="353"/>
      <c r="D213" s="353"/>
      <c r="E213" s="353"/>
      <c r="F213" s="353"/>
      <c r="G213" s="330"/>
      <c r="H213" s="330"/>
      <c r="I213" s="330"/>
      <c r="J213" s="330"/>
      <c r="K213" s="330"/>
      <c r="L213" s="330"/>
      <c r="M213" s="330"/>
      <c r="N213" s="330"/>
      <c r="O213" s="330"/>
      <c r="P213" s="330"/>
      <c r="Q213" s="330"/>
      <c r="R213" s="330"/>
      <c r="S213" s="330"/>
      <c r="T213" s="321">
        <f>V101/N71</f>
        <v>6.2773560625622882E-3</v>
      </c>
      <c r="U213" s="288"/>
      <c r="V213" s="288"/>
      <c r="W213" s="291"/>
      <c r="X213" s="5"/>
    </row>
    <row r="214" spans="1:24" ht="15.6" x14ac:dyDescent="0.3">
      <c r="A214" s="352"/>
      <c r="B214" s="288" t="s">
        <v>208</v>
      </c>
      <c r="C214" s="353"/>
      <c r="D214" s="353"/>
      <c r="E214" s="353"/>
      <c r="F214" s="353"/>
      <c r="G214" s="330"/>
      <c r="H214" s="330"/>
      <c r="I214" s="330"/>
      <c r="J214" s="330"/>
      <c r="K214" s="330"/>
      <c r="L214" s="330"/>
      <c r="M214" s="330"/>
      <c r="N214" s="330"/>
      <c r="O214" s="330"/>
      <c r="P214" s="330"/>
      <c r="Q214" s="330"/>
      <c r="R214" s="330"/>
      <c r="S214" s="330"/>
      <c r="T214" s="354">
        <v>51014</v>
      </c>
      <c r="U214" s="288"/>
      <c r="V214" s="288"/>
      <c r="W214" s="291"/>
      <c r="X214" s="5"/>
    </row>
    <row r="215" spans="1:24" ht="15.6" x14ac:dyDescent="0.3">
      <c r="A215" s="352"/>
      <c r="B215" s="288" t="s">
        <v>209</v>
      </c>
      <c r="C215" s="353"/>
      <c r="D215" s="353"/>
      <c r="E215" s="353"/>
      <c r="F215" s="353"/>
      <c r="G215" s="330"/>
      <c r="H215" s="330"/>
      <c r="I215" s="330"/>
      <c r="J215" s="330"/>
      <c r="K215" s="330"/>
      <c r="L215" s="330"/>
      <c r="M215" s="330"/>
      <c r="N215" s="330"/>
      <c r="O215" s="330"/>
      <c r="P215" s="330"/>
      <c r="Q215" s="330"/>
      <c r="R215" s="330"/>
      <c r="S215" s="330"/>
      <c r="T215" s="354">
        <v>51014</v>
      </c>
      <c r="U215" s="288"/>
      <c r="V215" s="288"/>
      <c r="W215" s="291"/>
      <c r="X215" s="5"/>
    </row>
    <row r="216" spans="1:24" ht="15.6" x14ac:dyDescent="0.3">
      <c r="A216" s="352"/>
      <c r="B216" s="288" t="s">
        <v>210</v>
      </c>
      <c r="C216" s="353"/>
      <c r="D216" s="353"/>
      <c r="E216" s="353"/>
      <c r="F216" s="353"/>
      <c r="G216" s="330"/>
      <c r="H216" s="330"/>
      <c r="I216" s="330"/>
      <c r="J216" s="330"/>
      <c r="K216" s="330"/>
      <c r="L216" s="330"/>
      <c r="M216" s="330"/>
      <c r="N216" s="330"/>
      <c r="O216" s="330"/>
      <c r="P216" s="330"/>
      <c r="Q216" s="330"/>
      <c r="R216" s="330"/>
      <c r="S216" s="330"/>
      <c r="T216" s="354">
        <v>51014</v>
      </c>
      <c r="U216" s="288"/>
      <c r="V216" s="288"/>
      <c r="W216" s="291"/>
      <c r="X216" s="5"/>
    </row>
    <row r="217" spans="1:24" ht="15.6" x14ac:dyDescent="0.3">
      <c r="A217" s="352"/>
      <c r="B217" s="288" t="s">
        <v>75</v>
      </c>
      <c r="C217" s="353"/>
      <c r="D217" s="353"/>
      <c r="E217" s="353"/>
      <c r="F217" s="353"/>
      <c r="G217" s="330"/>
      <c r="H217" s="330"/>
      <c r="I217" s="330"/>
      <c r="J217" s="330"/>
      <c r="K217" s="330"/>
      <c r="L217" s="330"/>
      <c r="M217" s="330"/>
      <c r="N217" s="330"/>
      <c r="O217" s="330"/>
      <c r="P217" s="330"/>
      <c r="Q217" s="330"/>
      <c r="R217" s="330"/>
      <c r="S217" s="330"/>
      <c r="T217" s="327">
        <v>20.66</v>
      </c>
      <c r="U217" s="288" t="s">
        <v>110</v>
      </c>
      <c r="V217" s="288"/>
      <c r="W217" s="291"/>
      <c r="X217" s="5"/>
    </row>
    <row r="218" spans="1:24" ht="15.6" x14ac:dyDescent="0.3">
      <c r="A218" s="352"/>
      <c r="B218" s="288" t="s">
        <v>76</v>
      </c>
      <c r="C218" s="353"/>
      <c r="D218" s="353"/>
      <c r="E218" s="353"/>
      <c r="F218" s="353"/>
      <c r="G218" s="330"/>
      <c r="H218" s="330"/>
      <c r="I218" s="330"/>
      <c r="J218" s="330"/>
      <c r="K218" s="330"/>
      <c r="L218" s="330"/>
      <c r="M218" s="330"/>
      <c r="N218" s="330"/>
      <c r="O218" s="330"/>
      <c r="P218" s="330"/>
      <c r="Q218" s="330"/>
      <c r="R218" s="330"/>
      <c r="S218" s="330"/>
      <c r="T218" s="327">
        <v>11.98</v>
      </c>
      <c r="U218" s="288" t="s">
        <v>110</v>
      </c>
      <c r="V218" s="288"/>
      <c r="W218" s="291"/>
      <c r="X218" s="5"/>
    </row>
    <row r="219" spans="1:24" ht="15.6" x14ac:dyDescent="0.3">
      <c r="A219" s="352"/>
      <c r="B219" s="288" t="s">
        <v>77</v>
      </c>
      <c r="C219" s="353"/>
      <c r="D219" s="353"/>
      <c r="E219" s="353"/>
      <c r="F219" s="353"/>
      <c r="G219" s="330"/>
      <c r="H219" s="330"/>
      <c r="I219" s="330"/>
      <c r="J219" s="330"/>
      <c r="K219" s="330"/>
      <c r="L219" s="330"/>
      <c r="M219" s="330"/>
      <c r="N219" s="330"/>
      <c r="O219" s="330"/>
      <c r="P219" s="330"/>
      <c r="Q219" s="330"/>
      <c r="R219" s="330"/>
      <c r="S219" s="330"/>
      <c r="T219" s="321">
        <f>+P68/N68</f>
        <v>1.8506623074805426E-2</v>
      </c>
      <c r="U219" s="288"/>
      <c r="V219" s="288"/>
      <c r="W219" s="291"/>
      <c r="X219" s="5"/>
    </row>
    <row r="220" spans="1:24" ht="15.6" x14ac:dyDescent="0.3">
      <c r="A220" s="352"/>
      <c r="B220" s="288" t="s">
        <v>78</v>
      </c>
      <c r="C220" s="353"/>
      <c r="D220" s="353"/>
      <c r="E220" s="353"/>
      <c r="F220" s="353"/>
      <c r="G220" s="330"/>
      <c r="H220" s="330"/>
      <c r="I220" s="330"/>
      <c r="J220" s="330"/>
      <c r="K220" s="330"/>
      <c r="L220" s="330"/>
      <c r="M220" s="330"/>
      <c r="N220" s="330"/>
      <c r="O220" s="330"/>
      <c r="P220" s="330"/>
      <c r="Q220" s="330"/>
      <c r="R220" s="330"/>
      <c r="S220" s="330"/>
      <c r="T220" s="321">
        <v>5.1799999999999999E-2</v>
      </c>
      <c r="U220" s="288"/>
      <c r="V220" s="288"/>
      <c r="W220" s="291"/>
      <c r="X220" s="5"/>
    </row>
    <row r="221" spans="1:24" ht="15.6" x14ac:dyDescent="0.3">
      <c r="A221" s="217"/>
      <c r="B221" s="284"/>
      <c r="C221" s="284"/>
      <c r="D221" s="284"/>
      <c r="E221" s="284"/>
      <c r="F221" s="284"/>
      <c r="G221" s="284"/>
      <c r="H221" s="284"/>
      <c r="I221" s="284"/>
      <c r="J221" s="284"/>
      <c r="K221" s="284"/>
      <c r="L221" s="284"/>
      <c r="M221" s="284"/>
      <c r="N221" s="284"/>
      <c r="O221" s="284"/>
      <c r="P221" s="284"/>
      <c r="Q221" s="284"/>
      <c r="R221" s="284"/>
      <c r="S221" s="284"/>
      <c r="T221" s="349"/>
      <c r="U221" s="284"/>
      <c r="V221" s="351"/>
      <c r="W221" s="284"/>
      <c r="X221" s="5"/>
    </row>
    <row r="222" spans="1:24" ht="15.6" x14ac:dyDescent="0.3">
      <c r="A222" s="278"/>
      <c r="B222" s="399" t="s">
        <v>79</v>
      </c>
      <c r="C222" s="400"/>
      <c r="D222" s="400"/>
      <c r="E222" s="400"/>
      <c r="F222" s="406"/>
      <c r="G222" s="400"/>
      <c r="H222" s="400"/>
      <c r="I222" s="400"/>
      <c r="J222" s="400"/>
      <c r="K222" s="400"/>
      <c r="L222" s="400"/>
      <c r="M222" s="400"/>
      <c r="N222" s="400"/>
      <c r="O222" s="400"/>
      <c r="P222" s="400"/>
      <c r="Q222" s="400"/>
      <c r="R222" s="400"/>
      <c r="S222" s="400" t="s">
        <v>102</v>
      </c>
      <c r="T222" s="406" t="s">
        <v>108</v>
      </c>
      <c r="U222" s="263"/>
      <c r="V222" s="263"/>
      <c r="W222" s="263"/>
      <c r="X222" s="5"/>
    </row>
    <row r="223" spans="1:24" ht="15.6" x14ac:dyDescent="0.3">
      <c r="A223" s="218"/>
      <c r="B223" s="231" t="s">
        <v>80</v>
      </c>
      <c r="C223" s="234"/>
      <c r="D223" s="234"/>
      <c r="E223" s="234"/>
      <c r="F223" s="231"/>
      <c r="G223" s="231"/>
      <c r="H223" s="233"/>
      <c r="I223" s="233"/>
      <c r="J223" s="233"/>
      <c r="K223" s="233"/>
      <c r="L223" s="233"/>
      <c r="M223" s="233"/>
      <c r="N223" s="233"/>
      <c r="O223" s="233"/>
      <c r="P223" s="233"/>
      <c r="Q223" s="233"/>
      <c r="R223" s="233"/>
      <c r="S223" s="233">
        <v>1</v>
      </c>
      <c r="T223" s="251">
        <v>202</v>
      </c>
      <c r="U223" s="231"/>
      <c r="V223" s="250"/>
      <c r="W223" s="252"/>
      <c r="X223" s="5"/>
    </row>
    <row r="224" spans="1:24" ht="15.6" x14ac:dyDescent="0.3">
      <c r="A224" s="362"/>
      <c r="B224" s="288" t="s">
        <v>145</v>
      </c>
      <c r="C224" s="337"/>
      <c r="D224" s="337"/>
      <c r="E224" s="337"/>
      <c r="F224" s="288"/>
      <c r="G224" s="288"/>
      <c r="H224" s="296"/>
      <c r="I224" s="296"/>
      <c r="J224" s="296"/>
      <c r="K224" s="296"/>
      <c r="L224" s="296"/>
      <c r="M224" s="296"/>
      <c r="N224" s="296"/>
      <c r="O224" s="296"/>
      <c r="P224" s="296"/>
      <c r="Q224" s="296"/>
      <c r="R224" s="296"/>
      <c r="S224" s="363">
        <f>+R276</f>
        <v>128</v>
      </c>
      <c r="T224" s="364">
        <f>+T276</f>
        <v>18871</v>
      </c>
      <c r="U224" s="288"/>
      <c r="V224" s="365"/>
      <c r="W224" s="366"/>
      <c r="X224" s="5"/>
    </row>
    <row r="225" spans="1:24" ht="15.6" x14ac:dyDescent="0.3">
      <c r="A225" s="362"/>
      <c r="B225" s="288" t="s">
        <v>81</v>
      </c>
      <c r="C225" s="337"/>
      <c r="D225" s="337"/>
      <c r="E225" s="337"/>
      <c r="F225" s="288"/>
      <c r="G225" s="288"/>
      <c r="H225" s="296"/>
      <c r="I225" s="296"/>
      <c r="J225" s="296"/>
      <c r="K225" s="296"/>
      <c r="L225" s="296"/>
      <c r="M225" s="296"/>
      <c r="N225" s="296"/>
      <c r="O225" s="296"/>
      <c r="P225" s="296"/>
      <c r="Q225" s="296"/>
      <c r="R225" s="296"/>
      <c r="S225" s="363">
        <f>+R288</f>
        <v>0</v>
      </c>
      <c r="T225" s="364">
        <f>+T288</f>
        <v>0</v>
      </c>
      <c r="U225" s="288"/>
      <c r="V225" s="365"/>
      <c r="W225" s="366"/>
      <c r="X225" s="5"/>
    </row>
    <row r="226" spans="1:24" ht="15.6" x14ac:dyDescent="0.3">
      <c r="A226" s="362"/>
      <c r="B226" s="313" t="s">
        <v>82</v>
      </c>
      <c r="C226" s="367"/>
      <c r="D226" s="367"/>
      <c r="E226" s="367"/>
      <c r="F226" s="314"/>
      <c r="G226" s="314"/>
      <c r="H226" s="314"/>
      <c r="I226" s="314"/>
      <c r="J226" s="314"/>
      <c r="K226" s="314"/>
      <c r="L226" s="314"/>
      <c r="M226" s="314"/>
      <c r="N226" s="314"/>
      <c r="O226" s="314"/>
      <c r="P226" s="314"/>
      <c r="Q226" s="314"/>
      <c r="R226" s="314"/>
      <c r="S226" s="314"/>
      <c r="T226" s="364">
        <v>0</v>
      </c>
      <c r="U226" s="314"/>
      <c r="V226" s="369"/>
      <c r="W226" s="370"/>
      <c r="X226" s="5"/>
    </row>
    <row r="227" spans="1:24" ht="15.6" x14ac:dyDescent="0.3">
      <c r="A227" s="362"/>
      <c r="B227" s="313" t="s">
        <v>243</v>
      </c>
      <c r="C227" s="367"/>
      <c r="D227" s="367"/>
      <c r="E227" s="367"/>
      <c r="F227" s="314"/>
      <c r="G227" s="314"/>
      <c r="H227" s="314"/>
      <c r="I227" s="314"/>
      <c r="J227" s="314"/>
      <c r="K227" s="314"/>
      <c r="L227" s="314"/>
      <c r="M227" s="314"/>
      <c r="N227" s="314"/>
      <c r="O227" s="314"/>
      <c r="P227" s="314"/>
      <c r="Q227" s="314"/>
      <c r="R227" s="314"/>
      <c r="S227" s="314"/>
      <c r="T227" s="364">
        <f>+N81</f>
        <v>0</v>
      </c>
      <c r="U227" s="314"/>
      <c r="V227" s="369"/>
      <c r="W227" s="370"/>
      <c r="X227" s="5"/>
    </row>
    <row r="228" spans="1:24" ht="15.6" x14ac:dyDescent="0.3">
      <c r="A228" s="371"/>
      <c r="B228" s="313" t="s">
        <v>83</v>
      </c>
      <c r="C228" s="372"/>
      <c r="D228" s="372"/>
      <c r="E228" s="372"/>
      <c r="F228" s="372"/>
      <c r="G228" s="314"/>
      <c r="H228" s="314"/>
      <c r="I228" s="314"/>
      <c r="J228" s="314"/>
      <c r="K228" s="314"/>
      <c r="L228" s="314"/>
      <c r="M228" s="314"/>
      <c r="N228" s="314"/>
      <c r="O228" s="314"/>
      <c r="P228" s="314"/>
      <c r="Q228" s="314"/>
      <c r="R228" s="314"/>
      <c r="S228" s="314"/>
      <c r="T228" s="368"/>
      <c r="U228" s="314"/>
      <c r="V228" s="369"/>
      <c r="W228" s="373"/>
      <c r="X228" s="5"/>
    </row>
    <row r="229" spans="1:24" ht="15.6" x14ac:dyDescent="0.3">
      <c r="A229" s="371"/>
      <c r="B229" s="288" t="s">
        <v>84</v>
      </c>
      <c r="C229" s="288"/>
      <c r="D229" s="288"/>
      <c r="E229" s="288"/>
      <c r="F229" s="288"/>
      <c r="G229" s="288"/>
      <c r="H229" s="288"/>
      <c r="I229" s="288"/>
      <c r="J229" s="288"/>
      <c r="K229" s="288"/>
      <c r="L229" s="288"/>
      <c r="M229" s="288"/>
      <c r="N229" s="288"/>
      <c r="O229" s="288"/>
      <c r="P229" s="288"/>
      <c r="Q229" s="288"/>
      <c r="R229" s="288"/>
      <c r="S229" s="296"/>
      <c r="T229" s="364">
        <f>V167</f>
        <v>386</v>
      </c>
      <c r="U229" s="288"/>
      <c r="V229" s="365"/>
      <c r="W229" s="378"/>
      <c r="X229" s="5"/>
    </row>
    <row r="230" spans="1:24" ht="15.6" x14ac:dyDescent="0.3">
      <c r="A230" s="362"/>
      <c r="B230" s="288" t="s">
        <v>85</v>
      </c>
      <c r="C230" s="337"/>
      <c r="D230" s="337"/>
      <c r="E230" s="337"/>
      <c r="F230" s="337"/>
      <c r="G230" s="288"/>
      <c r="H230" s="288"/>
      <c r="I230" s="288"/>
      <c r="J230" s="288"/>
      <c r="K230" s="288"/>
      <c r="L230" s="288"/>
      <c r="M230" s="288"/>
      <c r="N230" s="288"/>
      <c r="O230" s="288"/>
      <c r="P230" s="288"/>
      <c r="Q230" s="288"/>
      <c r="R230" s="288"/>
      <c r="S230" s="296"/>
      <c r="T230" s="364">
        <f>'Aug 16'!T230+T229</f>
        <v>7299</v>
      </c>
      <c r="U230" s="288"/>
      <c r="V230" s="365"/>
      <c r="W230" s="378"/>
      <c r="X230" s="5"/>
    </row>
    <row r="231" spans="1:24" ht="15.6" x14ac:dyDescent="0.3">
      <c r="A231" s="371"/>
      <c r="B231" s="313" t="s">
        <v>295</v>
      </c>
      <c r="C231" s="372"/>
      <c r="D231" s="372"/>
      <c r="E231" s="372"/>
      <c r="F231" s="372"/>
      <c r="G231" s="314"/>
      <c r="H231" s="314"/>
      <c r="I231" s="314"/>
      <c r="J231" s="314"/>
      <c r="K231" s="314"/>
      <c r="L231" s="314"/>
      <c r="M231" s="314"/>
      <c r="N231" s="314"/>
      <c r="O231" s="314"/>
      <c r="P231" s="314"/>
      <c r="Q231" s="314"/>
      <c r="R231" s="314"/>
      <c r="S231" s="316"/>
      <c r="T231" s="368"/>
      <c r="U231" s="314"/>
      <c r="V231" s="369"/>
      <c r="W231" s="373"/>
      <c r="X231" s="5"/>
    </row>
    <row r="232" spans="1:24" ht="15.6" x14ac:dyDescent="0.3">
      <c r="A232" s="371"/>
      <c r="B232" s="288" t="s">
        <v>291</v>
      </c>
      <c r="C232" s="288"/>
      <c r="D232" s="288"/>
      <c r="E232" s="288"/>
      <c r="F232" s="288"/>
      <c r="G232" s="288"/>
      <c r="H232" s="288"/>
      <c r="I232" s="288"/>
      <c r="J232" s="288"/>
      <c r="K232" s="288"/>
      <c r="L232" s="288"/>
      <c r="M232" s="288"/>
      <c r="N232" s="288"/>
      <c r="O232" s="288"/>
      <c r="P232" s="288"/>
      <c r="Q232" s="288"/>
      <c r="R232" s="288"/>
      <c r="S232" s="296">
        <v>0</v>
      </c>
      <c r="T232" s="364">
        <v>0</v>
      </c>
      <c r="U232" s="288"/>
      <c r="V232" s="365"/>
      <c r="W232" s="378"/>
      <c r="X232" s="5"/>
    </row>
    <row r="233" spans="1:24" ht="15.6" x14ac:dyDescent="0.3">
      <c r="A233" s="362"/>
      <c r="B233" s="288" t="s">
        <v>86</v>
      </c>
      <c r="C233" s="325"/>
      <c r="D233" s="325"/>
      <c r="E233" s="325"/>
      <c r="F233" s="379"/>
      <c r="G233" s="288"/>
      <c r="H233" s="288"/>
      <c r="I233" s="288"/>
      <c r="J233" s="288"/>
      <c r="K233" s="288"/>
      <c r="L233" s="288"/>
      <c r="M233" s="288"/>
      <c r="N233" s="288"/>
      <c r="O233" s="288"/>
      <c r="P233" s="288"/>
      <c r="Q233" s="288"/>
      <c r="R233" s="288"/>
      <c r="S233" s="288"/>
      <c r="T233" s="380">
        <v>0</v>
      </c>
      <c r="U233" s="288"/>
      <c r="V233" s="365"/>
      <c r="W233" s="378"/>
      <c r="X233" s="5"/>
    </row>
    <row r="234" spans="1:24" ht="15.6" x14ac:dyDescent="0.3">
      <c r="A234" s="362"/>
      <c r="B234" s="288" t="s">
        <v>87</v>
      </c>
      <c r="C234" s="325"/>
      <c r="D234" s="325"/>
      <c r="E234" s="325"/>
      <c r="F234" s="379"/>
      <c r="G234" s="288"/>
      <c r="H234" s="288"/>
      <c r="I234" s="288"/>
      <c r="J234" s="288"/>
      <c r="K234" s="288"/>
      <c r="L234" s="288"/>
      <c r="M234" s="288"/>
      <c r="N234" s="288"/>
      <c r="O234" s="288"/>
      <c r="P234" s="288"/>
      <c r="Q234" s="288"/>
      <c r="R234" s="288"/>
      <c r="S234" s="288"/>
      <c r="T234" s="380">
        <v>0</v>
      </c>
      <c r="U234" s="288"/>
      <c r="V234" s="365"/>
      <c r="W234" s="378"/>
      <c r="X234" s="5"/>
    </row>
    <row r="235" spans="1:24" ht="15.6" x14ac:dyDescent="0.3">
      <c r="A235" s="362"/>
      <c r="B235" s="313" t="s">
        <v>217</v>
      </c>
      <c r="C235" s="381"/>
      <c r="D235" s="381"/>
      <c r="E235" s="381"/>
      <c r="F235" s="382"/>
      <c r="G235" s="314"/>
      <c r="H235" s="314"/>
      <c r="I235" s="314"/>
      <c r="J235" s="314"/>
      <c r="K235" s="314"/>
      <c r="L235" s="314"/>
      <c r="M235" s="314"/>
      <c r="N235" s="314"/>
      <c r="O235" s="314"/>
      <c r="P235" s="314"/>
      <c r="Q235" s="314"/>
      <c r="R235" s="314"/>
      <c r="S235" s="314"/>
      <c r="T235" s="383"/>
      <c r="U235" s="314"/>
      <c r="V235" s="369"/>
      <c r="W235" s="373"/>
      <c r="X235" s="5"/>
    </row>
    <row r="236" spans="1:24" ht="15.6" x14ac:dyDescent="0.3">
      <c r="A236" s="362"/>
      <c r="B236" s="288" t="s">
        <v>291</v>
      </c>
      <c r="C236" s="381"/>
      <c r="D236" s="381"/>
      <c r="E236" s="381"/>
      <c r="F236" s="382"/>
      <c r="G236" s="314"/>
      <c r="H236" s="314"/>
      <c r="I236" s="314"/>
      <c r="J236" s="314"/>
      <c r="K236" s="314"/>
      <c r="L236" s="314"/>
      <c r="M236" s="314"/>
      <c r="N236" s="314"/>
      <c r="O236" s="314"/>
      <c r="P236" s="314"/>
      <c r="Q236" s="314"/>
      <c r="R236" s="314"/>
      <c r="S236" s="296">
        <v>9</v>
      </c>
      <c r="T236" s="364">
        <v>1329</v>
      </c>
      <c r="U236" s="314"/>
      <c r="V236" s="369"/>
      <c r="W236" s="373"/>
      <c r="X236" s="5"/>
    </row>
    <row r="237" spans="1:24" ht="15.6" x14ac:dyDescent="0.3">
      <c r="A237" s="362"/>
      <c r="B237" s="288" t="s">
        <v>218</v>
      </c>
      <c r="C237" s="381"/>
      <c r="D237" s="381"/>
      <c r="E237" s="381"/>
      <c r="F237" s="382"/>
      <c r="G237" s="314"/>
      <c r="H237" s="314"/>
      <c r="I237" s="314"/>
      <c r="J237" s="314"/>
      <c r="K237" s="314"/>
      <c r="L237" s="314"/>
      <c r="M237" s="314"/>
      <c r="N237" s="314"/>
      <c r="O237" s="314"/>
      <c r="P237" s="314"/>
      <c r="Q237" s="314"/>
      <c r="R237" s="314"/>
      <c r="S237" s="288"/>
      <c r="T237" s="380">
        <v>2.38</v>
      </c>
      <c r="U237" s="314"/>
      <c r="V237" s="369"/>
      <c r="W237" s="373"/>
      <c r="X237" s="5"/>
    </row>
    <row r="238" spans="1:24" ht="15.6" x14ac:dyDescent="0.3">
      <c r="A238" s="362"/>
      <c r="B238" s="372"/>
      <c r="C238" s="381"/>
      <c r="D238" s="381"/>
      <c r="E238" s="381"/>
      <c r="F238" s="382"/>
      <c r="G238" s="314"/>
      <c r="H238" s="314"/>
      <c r="I238" s="314"/>
      <c r="J238" s="314"/>
      <c r="K238" s="314"/>
      <c r="L238" s="314"/>
      <c r="M238" s="314"/>
      <c r="N238" s="314"/>
      <c r="O238" s="314"/>
      <c r="P238" s="314"/>
      <c r="Q238" s="314"/>
      <c r="R238" s="314"/>
      <c r="S238" s="314"/>
      <c r="T238" s="383"/>
      <c r="U238" s="314"/>
      <c r="V238" s="369"/>
      <c r="W238" s="373"/>
      <c r="X238" s="5"/>
    </row>
    <row r="239" spans="1:24" ht="15.6" x14ac:dyDescent="0.3">
      <c r="A239" s="362"/>
      <c r="B239" s="372"/>
      <c r="C239" s="381"/>
      <c r="D239" s="381"/>
      <c r="E239" s="381"/>
      <c r="F239" s="382"/>
      <c r="G239" s="314"/>
      <c r="H239" s="314"/>
      <c r="I239" s="314"/>
      <c r="J239" s="314"/>
      <c r="K239" s="314"/>
      <c r="L239" s="314"/>
      <c r="M239" s="314"/>
      <c r="N239" s="314"/>
      <c r="O239" s="314"/>
      <c r="P239" s="314"/>
      <c r="Q239" s="314"/>
      <c r="R239" s="314"/>
      <c r="S239" s="314"/>
      <c r="T239" s="383"/>
      <c r="U239" s="314"/>
      <c r="V239" s="369"/>
      <c r="W239" s="373"/>
      <c r="X239" s="5"/>
    </row>
    <row r="240" spans="1:24" ht="17.399999999999999" x14ac:dyDescent="0.3">
      <c r="A240" s="362"/>
      <c r="B240" s="384" t="s">
        <v>168</v>
      </c>
      <c r="C240" s="381"/>
      <c r="D240" s="381"/>
      <c r="E240" s="381"/>
      <c r="F240" s="382"/>
      <c r="G240" s="314"/>
      <c r="H240" s="314"/>
      <c r="I240" s="314"/>
      <c r="J240" s="314"/>
      <c r="K240" s="314"/>
      <c r="L240" s="314"/>
      <c r="M240" s="314"/>
      <c r="N240" s="314"/>
      <c r="O240" s="314"/>
      <c r="P240" s="385" t="s">
        <v>167</v>
      </c>
      <c r="Q240" s="314"/>
      <c r="R240" s="314"/>
      <c r="S240" s="314"/>
      <c r="T240" s="383"/>
      <c r="U240" s="314"/>
      <c r="V240" s="369"/>
      <c r="W240" s="373"/>
      <c r="X240" s="5"/>
    </row>
    <row r="241" spans="1:25" ht="15.6" x14ac:dyDescent="0.3">
      <c r="A241" s="355"/>
      <c r="B241" s="356"/>
      <c r="C241" s="357"/>
      <c r="D241" s="357"/>
      <c r="E241" s="357"/>
      <c r="F241" s="358"/>
      <c r="G241" s="198"/>
      <c r="H241" s="198"/>
      <c r="I241" s="198"/>
      <c r="J241" s="198"/>
      <c r="K241" s="198"/>
      <c r="L241" s="198"/>
      <c r="M241" s="198"/>
      <c r="N241" s="198"/>
      <c r="O241" s="198"/>
      <c r="P241" s="198"/>
      <c r="Q241" s="198"/>
      <c r="R241" s="198"/>
      <c r="S241" s="198"/>
      <c r="T241" s="359"/>
      <c r="U241" s="198"/>
      <c r="V241" s="360"/>
      <c r="W241" s="361"/>
      <c r="X241" s="5"/>
    </row>
    <row r="242" spans="1:25" ht="15.6" x14ac:dyDescent="0.3">
      <c r="A242" s="262"/>
      <c r="B242" s="399" t="s">
        <v>308</v>
      </c>
      <c r="C242" s="400"/>
      <c r="D242" s="400"/>
      <c r="E242" s="400"/>
      <c r="F242" s="406"/>
      <c r="G242" s="400"/>
      <c r="H242" s="400"/>
      <c r="I242" s="400"/>
      <c r="J242" s="400"/>
      <c r="K242" s="400"/>
      <c r="L242" s="400"/>
      <c r="M242" s="400"/>
      <c r="N242" s="400"/>
      <c r="O242" s="400"/>
      <c r="P242" s="400"/>
      <c r="Q242" s="400"/>
      <c r="R242" s="406" t="s">
        <v>102</v>
      </c>
      <c r="S242" s="400" t="s">
        <v>103</v>
      </c>
      <c r="T242" s="406" t="s">
        <v>109</v>
      </c>
      <c r="U242" s="400" t="s">
        <v>103</v>
      </c>
      <c r="V242" s="263"/>
      <c r="W242" s="399"/>
      <c r="X242" s="5"/>
    </row>
    <row r="243" spans="1:25" ht="15.6" x14ac:dyDescent="0.3">
      <c r="A243" s="197"/>
      <c r="B243" s="234" t="s">
        <v>88</v>
      </c>
      <c r="C243" s="253"/>
      <c r="D243" s="253"/>
      <c r="E243" s="253"/>
      <c r="F243" s="231"/>
      <c r="G243" s="253"/>
      <c r="H243" s="253"/>
      <c r="I243" s="253"/>
      <c r="J243" s="253"/>
      <c r="K243" s="253"/>
      <c r="L243" s="253"/>
      <c r="M243" s="253"/>
      <c r="N243" s="253"/>
      <c r="O243" s="253"/>
      <c r="P243" s="253"/>
      <c r="Q243" s="253"/>
      <c r="R243" s="234">
        <f t="shared" ref="R243:R250" si="1">+R255+R267+R279</f>
        <v>6668</v>
      </c>
      <c r="S243" s="254">
        <f t="shared" ref="S243:S250" si="2">R243/$R$252</f>
        <v>0.99596713965646</v>
      </c>
      <c r="T243" s="241">
        <f t="shared" ref="T243:T250" si="3">+T255+T267+T279</f>
        <v>917595</v>
      </c>
      <c r="U243" s="254">
        <f t="shared" ref="U243:U250" si="4">T243/$T$252</f>
        <v>0.99509282956665079</v>
      </c>
      <c r="V243" s="250"/>
      <c r="W243" s="232"/>
      <c r="X243" s="5"/>
    </row>
    <row r="244" spans="1:25" ht="15.6" x14ac:dyDescent="0.3">
      <c r="A244" s="287"/>
      <c r="B244" s="337" t="s">
        <v>89</v>
      </c>
      <c r="C244" s="389"/>
      <c r="D244" s="389"/>
      <c r="E244" s="389"/>
      <c r="F244" s="288"/>
      <c r="G244" s="390"/>
      <c r="H244" s="389"/>
      <c r="I244" s="389"/>
      <c r="J244" s="389"/>
      <c r="K244" s="389"/>
      <c r="L244" s="389"/>
      <c r="M244" s="389"/>
      <c r="N244" s="389"/>
      <c r="O244" s="389"/>
      <c r="P244" s="389"/>
      <c r="Q244" s="389"/>
      <c r="R244" s="337">
        <f t="shared" si="1"/>
        <v>6</v>
      </c>
      <c r="S244" s="390">
        <f t="shared" si="2"/>
        <v>8.9619118745332333E-4</v>
      </c>
      <c r="T244" s="338">
        <f t="shared" si="3"/>
        <v>910</v>
      </c>
      <c r="U244" s="390">
        <f t="shared" si="4"/>
        <v>9.8685637444150443E-4</v>
      </c>
      <c r="V244" s="365"/>
      <c r="W244" s="378"/>
      <c r="X244" s="5"/>
      <c r="Y244" s="109"/>
    </row>
    <row r="245" spans="1:25" ht="15.6" x14ac:dyDescent="0.3">
      <c r="A245" s="287"/>
      <c r="B245" s="337" t="s">
        <v>90</v>
      </c>
      <c r="C245" s="389"/>
      <c r="D245" s="389"/>
      <c r="E245" s="389"/>
      <c r="F245" s="288"/>
      <c r="G245" s="390"/>
      <c r="H245" s="389"/>
      <c r="I245" s="389"/>
      <c r="J245" s="389"/>
      <c r="K245" s="389"/>
      <c r="L245" s="389"/>
      <c r="M245" s="389"/>
      <c r="N245" s="389"/>
      <c r="O245" s="389"/>
      <c r="P245" s="389"/>
      <c r="Q245" s="389"/>
      <c r="R245" s="337">
        <f t="shared" si="1"/>
        <v>10</v>
      </c>
      <c r="S245" s="390">
        <f t="shared" si="2"/>
        <v>1.4936519790888724E-3</v>
      </c>
      <c r="T245" s="338">
        <f t="shared" si="3"/>
        <v>1798</v>
      </c>
      <c r="U245" s="390">
        <f t="shared" si="4"/>
        <v>1.9498546826877195E-3</v>
      </c>
      <c r="V245" s="365"/>
      <c r="W245" s="378"/>
      <c r="X245" s="5"/>
    </row>
    <row r="246" spans="1:25" ht="15.6" x14ac:dyDescent="0.3">
      <c r="A246" s="287"/>
      <c r="B246" s="337" t="s">
        <v>156</v>
      </c>
      <c r="C246" s="389"/>
      <c r="D246" s="389"/>
      <c r="E246" s="389"/>
      <c r="F246" s="288"/>
      <c r="G246" s="390"/>
      <c r="H246" s="389"/>
      <c r="I246" s="389"/>
      <c r="J246" s="389"/>
      <c r="K246" s="389"/>
      <c r="L246" s="389"/>
      <c r="M246" s="389"/>
      <c r="N246" s="389"/>
      <c r="O246" s="389"/>
      <c r="P246" s="389"/>
      <c r="Q246" s="389"/>
      <c r="R246" s="337">
        <f t="shared" si="1"/>
        <v>0</v>
      </c>
      <c r="S246" s="390">
        <f t="shared" si="2"/>
        <v>0</v>
      </c>
      <c r="T246" s="338">
        <f t="shared" si="3"/>
        <v>0</v>
      </c>
      <c r="U246" s="390">
        <f t="shared" si="4"/>
        <v>0</v>
      </c>
      <c r="V246" s="365"/>
      <c r="W246" s="378"/>
      <c r="X246" s="5"/>
      <c r="Y246" s="109"/>
    </row>
    <row r="247" spans="1:25" ht="15.6" x14ac:dyDescent="0.3">
      <c r="A247" s="287"/>
      <c r="B247" s="337" t="s">
        <v>157</v>
      </c>
      <c r="C247" s="389"/>
      <c r="D247" s="389"/>
      <c r="E247" s="389"/>
      <c r="F247" s="288"/>
      <c r="G247" s="390"/>
      <c r="H247" s="389"/>
      <c r="I247" s="389"/>
      <c r="J247" s="389"/>
      <c r="K247" s="389"/>
      <c r="L247" s="389"/>
      <c r="M247" s="389"/>
      <c r="N247" s="389"/>
      <c r="O247" s="389"/>
      <c r="P247" s="389"/>
      <c r="Q247" s="389"/>
      <c r="R247" s="337">
        <f t="shared" si="1"/>
        <v>2</v>
      </c>
      <c r="S247" s="390">
        <f t="shared" si="2"/>
        <v>2.9873039581777448E-4</v>
      </c>
      <c r="T247" s="338">
        <f t="shared" si="3"/>
        <v>321</v>
      </c>
      <c r="U247" s="390">
        <f t="shared" si="4"/>
        <v>3.4811087494035481E-4</v>
      </c>
      <c r="V247" s="365"/>
      <c r="W247" s="378"/>
      <c r="X247" s="5"/>
    </row>
    <row r="248" spans="1:25" ht="15.6" x14ac:dyDescent="0.3">
      <c r="A248" s="287"/>
      <c r="B248" s="337" t="s">
        <v>158</v>
      </c>
      <c r="C248" s="389"/>
      <c r="D248" s="389"/>
      <c r="E248" s="389"/>
      <c r="F248" s="288"/>
      <c r="G248" s="390"/>
      <c r="H248" s="389"/>
      <c r="I248" s="389"/>
      <c r="J248" s="389"/>
      <c r="K248" s="389"/>
      <c r="L248" s="389"/>
      <c r="M248" s="389"/>
      <c r="N248" s="389"/>
      <c r="O248" s="389"/>
      <c r="P248" s="389"/>
      <c r="Q248" s="389"/>
      <c r="R248" s="337">
        <f t="shared" si="1"/>
        <v>0</v>
      </c>
      <c r="S248" s="390">
        <f t="shared" si="2"/>
        <v>0</v>
      </c>
      <c r="T248" s="338">
        <f t="shared" si="3"/>
        <v>0</v>
      </c>
      <c r="U248" s="390">
        <f t="shared" si="4"/>
        <v>0</v>
      </c>
      <c r="V248" s="365"/>
      <c r="W248" s="378"/>
      <c r="X248" s="5"/>
      <c r="Y248" s="109"/>
    </row>
    <row r="249" spans="1:25" ht="15.6" x14ac:dyDescent="0.3">
      <c r="A249" s="287"/>
      <c r="B249" s="337" t="s">
        <v>159</v>
      </c>
      <c r="C249" s="389"/>
      <c r="D249" s="389"/>
      <c r="E249" s="389"/>
      <c r="F249" s="288"/>
      <c r="G249" s="390"/>
      <c r="H249" s="389"/>
      <c r="I249" s="389"/>
      <c r="J249" s="389"/>
      <c r="K249" s="389"/>
      <c r="L249" s="389"/>
      <c r="M249" s="389"/>
      <c r="N249" s="389"/>
      <c r="O249" s="389"/>
      <c r="P249" s="389"/>
      <c r="Q249" s="389"/>
      <c r="R249" s="337">
        <f t="shared" si="1"/>
        <v>4</v>
      </c>
      <c r="S249" s="390">
        <f t="shared" si="2"/>
        <v>5.9746079163554896E-4</v>
      </c>
      <c r="T249" s="338">
        <f t="shared" si="3"/>
        <v>605</v>
      </c>
      <c r="U249" s="390">
        <f t="shared" si="4"/>
        <v>6.5609682037045072E-4</v>
      </c>
      <c r="V249" s="365"/>
      <c r="W249" s="378"/>
      <c r="X249" s="5"/>
    </row>
    <row r="250" spans="1:25" ht="15.6" x14ac:dyDescent="0.3">
      <c r="A250" s="287"/>
      <c r="B250" s="337" t="s">
        <v>160</v>
      </c>
      <c r="C250" s="389"/>
      <c r="D250" s="389"/>
      <c r="E250" s="389"/>
      <c r="F250" s="288"/>
      <c r="G250" s="390"/>
      <c r="H250" s="389"/>
      <c r="I250" s="389"/>
      <c r="J250" s="389"/>
      <c r="K250" s="389"/>
      <c r="L250" s="389"/>
      <c r="M250" s="389"/>
      <c r="N250" s="389"/>
      <c r="O250" s="389"/>
      <c r="P250" s="389"/>
      <c r="Q250" s="389"/>
      <c r="R250" s="339">
        <f t="shared" si="1"/>
        <v>5</v>
      </c>
      <c r="S250" s="393">
        <f t="shared" si="2"/>
        <v>7.468259895444362E-4</v>
      </c>
      <c r="T250" s="394">
        <f t="shared" si="3"/>
        <v>891</v>
      </c>
      <c r="U250" s="393">
        <f t="shared" si="4"/>
        <v>9.6625168090920923E-4</v>
      </c>
      <c r="V250" s="365"/>
      <c r="W250" s="378"/>
      <c r="X250" s="5"/>
      <c r="Y250" s="109"/>
    </row>
    <row r="251" spans="1:25" ht="15.6" x14ac:dyDescent="0.3">
      <c r="A251" s="287"/>
      <c r="B251" s="337"/>
      <c r="C251" s="389"/>
      <c r="D251" s="389"/>
      <c r="E251" s="389"/>
      <c r="F251" s="288"/>
      <c r="G251" s="390"/>
      <c r="H251" s="389"/>
      <c r="I251" s="389"/>
      <c r="J251" s="389"/>
      <c r="K251" s="389"/>
      <c r="L251" s="389"/>
      <c r="M251" s="389"/>
      <c r="N251" s="389"/>
      <c r="O251" s="389"/>
      <c r="P251" s="389"/>
      <c r="Q251" s="389"/>
      <c r="R251" s="337"/>
      <c r="S251" s="390"/>
      <c r="T251" s="338"/>
      <c r="U251" s="390"/>
      <c r="V251" s="365"/>
      <c r="W251" s="378"/>
      <c r="X251" s="5"/>
    </row>
    <row r="252" spans="1:25" ht="15.6" x14ac:dyDescent="0.3">
      <c r="A252" s="287"/>
      <c r="B252" s="288"/>
      <c r="C252" s="288"/>
      <c r="D252" s="288"/>
      <c r="E252" s="288"/>
      <c r="F252" s="288"/>
      <c r="G252" s="288"/>
      <c r="H252" s="391"/>
      <c r="I252" s="391"/>
      <c r="J252" s="391"/>
      <c r="K252" s="391"/>
      <c r="L252" s="391"/>
      <c r="M252" s="391"/>
      <c r="N252" s="391"/>
      <c r="O252" s="391"/>
      <c r="P252" s="391"/>
      <c r="Q252" s="391"/>
      <c r="R252" s="337">
        <f>SUM(R243:R251)</f>
        <v>6695</v>
      </c>
      <c r="S252" s="390">
        <f>SUM(S243:S251)</f>
        <v>1</v>
      </c>
      <c r="T252" s="338">
        <f>SUM(T243:T251)</f>
        <v>922120</v>
      </c>
      <c r="U252" s="390">
        <f>SUM(U243:U251)</f>
        <v>1</v>
      </c>
      <c r="V252" s="288"/>
      <c r="W252" s="291"/>
      <c r="X252" s="5"/>
    </row>
    <row r="253" spans="1:25" ht="15.6" x14ac:dyDescent="0.3">
      <c r="A253" s="183"/>
      <c r="B253" s="198"/>
      <c r="C253" s="198"/>
      <c r="D253" s="198"/>
      <c r="E253" s="198"/>
      <c r="F253" s="198"/>
      <c r="G253" s="198"/>
      <c r="H253" s="386"/>
      <c r="I253" s="386"/>
      <c r="J253" s="386"/>
      <c r="K253" s="386"/>
      <c r="L253" s="386"/>
      <c r="M253" s="386"/>
      <c r="N253" s="386"/>
      <c r="O253" s="386"/>
      <c r="P253" s="386"/>
      <c r="Q253" s="386"/>
      <c r="R253" s="335"/>
      <c r="S253" s="387"/>
      <c r="T253" s="388"/>
      <c r="U253" s="387"/>
      <c r="V253" s="198"/>
      <c r="W253" s="198"/>
      <c r="X253" s="5"/>
    </row>
    <row r="254" spans="1:25" ht="15.6" x14ac:dyDescent="0.3">
      <c r="A254" s="262"/>
      <c r="B254" s="399" t="s">
        <v>162</v>
      </c>
      <c r="C254" s="400"/>
      <c r="D254" s="400"/>
      <c r="E254" s="400"/>
      <c r="F254" s="406"/>
      <c r="G254" s="400"/>
      <c r="H254" s="400"/>
      <c r="I254" s="400"/>
      <c r="J254" s="400"/>
      <c r="K254" s="400"/>
      <c r="L254" s="400"/>
      <c r="M254" s="400"/>
      <c r="N254" s="400"/>
      <c r="O254" s="400"/>
      <c r="P254" s="400"/>
      <c r="Q254" s="400"/>
      <c r="R254" s="406" t="s">
        <v>102</v>
      </c>
      <c r="S254" s="400" t="s">
        <v>103</v>
      </c>
      <c r="T254" s="406" t="s">
        <v>109</v>
      </c>
      <c r="U254" s="400" t="s">
        <v>103</v>
      </c>
      <c r="V254" s="263"/>
      <c r="W254" s="399"/>
      <c r="X254" s="5"/>
    </row>
    <row r="255" spans="1:25" ht="15.6" x14ac:dyDescent="0.3">
      <c r="A255" s="197"/>
      <c r="B255" s="234" t="s">
        <v>88</v>
      </c>
      <c r="C255" s="253"/>
      <c r="D255" s="253"/>
      <c r="E255" s="253"/>
      <c r="F255" s="231"/>
      <c r="G255" s="253"/>
      <c r="H255" s="253"/>
      <c r="I255" s="253"/>
      <c r="J255" s="253"/>
      <c r="K255" s="253"/>
      <c r="L255" s="253"/>
      <c r="M255" s="253"/>
      <c r="N255" s="253"/>
      <c r="O255" s="253"/>
      <c r="P255" s="253"/>
      <c r="Q255" s="253"/>
      <c r="R255" s="234">
        <v>6559</v>
      </c>
      <c r="S255" s="254">
        <f t="shared" ref="S255:S262" si="5">R255/$R$264</f>
        <v>0.99878178772651138</v>
      </c>
      <c r="T255" s="241">
        <v>901796</v>
      </c>
      <c r="U255" s="254">
        <f t="shared" ref="U255:U262" si="6">T255/$T$264</f>
        <v>0.99839136273607831</v>
      </c>
      <c r="V255" s="250"/>
      <c r="W255" s="232"/>
      <c r="X255" s="5"/>
    </row>
    <row r="256" spans="1:25" ht="15.6" x14ac:dyDescent="0.3">
      <c r="A256" s="287"/>
      <c r="B256" s="337" t="s">
        <v>89</v>
      </c>
      <c r="C256" s="389"/>
      <c r="D256" s="389"/>
      <c r="E256" s="389"/>
      <c r="F256" s="288"/>
      <c r="G256" s="390"/>
      <c r="H256" s="389"/>
      <c r="I256" s="389"/>
      <c r="J256" s="389"/>
      <c r="K256" s="389"/>
      <c r="L256" s="389"/>
      <c r="M256" s="389"/>
      <c r="N256" s="389"/>
      <c r="O256" s="389"/>
      <c r="P256" s="389"/>
      <c r="Q256" s="389"/>
      <c r="R256" s="337">
        <v>6</v>
      </c>
      <c r="S256" s="390">
        <f t="shared" si="5"/>
        <v>9.1365920511649154E-4</v>
      </c>
      <c r="T256" s="338">
        <v>910</v>
      </c>
      <c r="U256" s="390">
        <f t="shared" si="6"/>
        <v>1.0074741295036031E-3</v>
      </c>
      <c r="V256" s="365"/>
      <c r="W256" s="378"/>
      <c r="X256" s="5"/>
      <c r="Y256" s="109"/>
    </row>
    <row r="257" spans="1:25" ht="15.6" x14ac:dyDescent="0.3">
      <c r="A257" s="287"/>
      <c r="B257" s="337" t="s">
        <v>90</v>
      </c>
      <c r="C257" s="389"/>
      <c r="D257" s="389"/>
      <c r="E257" s="389"/>
      <c r="F257" s="288"/>
      <c r="G257" s="390"/>
      <c r="H257" s="389"/>
      <c r="I257" s="389"/>
      <c r="J257" s="389"/>
      <c r="K257" s="389"/>
      <c r="L257" s="389"/>
      <c r="M257" s="389"/>
      <c r="N257" s="389"/>
      <c r="O257" s="389"/>
      <c r="P257" s="389"/>
      <c r="Q257" s="389"/>
      <c r="R257" s="337">
        <v>1</v>
      </c>
      <c r="S257" s="390">
        <f t="shared" si="5"/>
        <v>1.5227653418608191E-4</v>
      </c>
      <c r="T257" s="338">
        <v>341</v>
      </c>
      <c r="U257" s="390">
        <f t="shared" si="6"/>
        <v>3.7752601995684471E-4</v>
      </c>
      <c r="V257" s="365"/>
      <c r="W257" s="378"/>
      <c r="X257" s="5"/>
    </row>
    <row r="258" spans="1:25" ht="15.6" x14ac:dyDescent="0.3">
      <c r="A258" s="287"/>
      <c r="B258" s="337" t="s">
        <v>156</v>
      </c>
      <c r="C258" s="389"/>
      <c r="D258" s="389"/>
      <c r="E258" s="389"/>
      <c r="F258" s="288"/>
      <c r="G258" s="390"/>
      <c r="H258" s="389"/>
      <c r="I258" s="389"/>
      <c r="J258" s="389"/>
      <c r="K258" s="389"/>
      <c r="L258" s="389"/>
      <c r="M258" s="389"/>
      <c r="N258" s="389"/>
      <c r="O258" s="389"/>
      <c r="P258" s="389"/>
      <c r="Q258" s="389"/>
      <c r="R258" s="337">
        <v>0</v>
      </c>
      <c r="S258" s="390">
        <f t="shared" si="5"/>
        <v>0</v>
      </c>
      <c r="T258" s="338">
        <v>0</v>
      </c>
      <c r="U258" s="390">
        <f t="shared" si="6"/>
        <v>0</v>
      </c>
      <c r="V258" s="365"/>
      <c r="W258" s="378"/>
      <c r="X258" s="5"/>
      <c r="Y258" s="109"/>
    </row>
    <row r="259" spans="1:25" ht="15.6" x14ac:dyDescent="0.3">
      <c r="A259" s="287"/>
      <c r="B259" s="337" t="s">
        <v>157</v>
      </c>
      <c r="C259" s="389"/>
      <c r="D259" s="389"/>
      <c r="E259" s="389"/>
      <c r="F259" s="288"/>
      <c r="G259" s="390"/>
      <c r="H259" s="389"/>
      <c r="I259" s="389"/>
      <c r="J259" s="389"/>
      <c r="K259" s="389"/>
      <c r="L259" s="389"/>
      <c r="M259" s="389"/>
      <c r="N259" s="389"/>
      <c r="O259" s="389"/>
      <c r="P259" s="389"/>
      <c r="Q259" s="389"/>
      <c r="R259" s="337">
        <v>1</v>
      </c>
      <c r="S259" s="390">
        <f t="shared" si="5"/>
        <v>1.5227653418608191E-4</v>
      </c>
      <c r="T259" s="338">
        <v>202</v>
      </c>
      <c r="U259" s="390">
        <f t="shared" si="6"/>
        <v>2.2363711446123937E-4</v>
      </c>
      <c r="V259" s="365"/>
      <c r="W259" s="378"/>
      <c r="X259" s="5"/>
    </row>
    <row r="260" spans="1:25" ht="15.6" x14ac:dyDescent="0.3">
      <c r="A260" s="287"/>
      <c r="B260" s="337" t="s">
        <v>158</v>
      </c>
      <c r="C260" s="389"/>
      <c r="D260" s="389"/>
      <c r="E260" s="389"/>
      <c r="F260" s="288"/>
      <c r="G260" s="390"/>
      <c r="H260" s="389"/>
      <c r="I260" s="389"/>
      <c r="J260" s="389"/>
      <c r="K260" s="389"/>
      <c r="L260" s="389"/>
      <c r="M260" s="389"/>
      <c r="N260" s="389"/>
      <c r="O260" s="389"/>
      <c r="P260" s="389"/>
      <c r="Q260" s="389"/>
      <c r="R260" s="337">
        <v>0</v>
      </c>
      <c r="S260" s="390">
        <f t="shared" si="5"/>
        <v>0</v>
      </c>
      <c r="T260" s="338">
        <v>0</v>
      </c>
      <c r="U260" s="390">
        <f t="shared" si="6"/>
        <v>0</v>
      </c>
      <c r="V260" s="365"/>
      <c r="W260" s="378"/>
      <c r="X260" s="5"/>
      <c r="Y260" s="109"/>
    </row>
    <row r="261" spans="1:25" ht="15.6" x14ac:dyDescent="0.3">
      <c r="A261" s="287"/>
      <c r="B261" s="337" t="s">
        <v>159</v>
      </c>
      <c r="C261" s="389"/>
      <c r="D261" s="389"/>
      <c r="E261" s="389"/>
      <c r="F261" s="288"/>
      <c r="G261" s="390"/>
      <c r="H261" s="389"/>
      <c r="I261" s="389"/>
      <c r="J261" s="389"/>
      <c r="K261" s="389"/>
      <c r="L261" s="389"/>
      <c r="M261" s="389"/>
      <c r="N261" s="389"/>
      <c r="O261" s="389"/>
      <c r="P261" s="389"/>
      <c r="Q261" s="389"/>
      <c r="R261" s="337">
        <v>0</v>
      </c>
      <c r="S261" s="390">
        <f t="shared" si="5"/>
        <v>0</v>
      </c>
      <c r="T261" s="338">
        <v>0</v>
      </c>
      <c r="U261" s="390">
        <f t="shared" si="6"/>
        <v>0</v>
      </c>
      <c r="V261" s="365"/>
      <c r="W261" s="378"/>
      <c r="X261" s="5"/>
    </row>
    <row r="262" spans="1:25" ht="15.6" x14ac:dyDescent="0.3">
      <c r="A262" s="287"/>
      <c r="B262" s="337" t="s">
        <v>160</v>
      </c>
      <c r="C262" s="389"/>
      <c r="D262" s="389"/>
      <c r="E262" s="389"/>
      <c r="F262" s="288"/>
      <c r="G262" s="390"/>
      <c r="H262" s="389"/>
      <c r="I262" s="389"/>
      <c r="J262" s="389"/>
      <c r="K262" s="389"/>
      <c r="L262" s="389"/>
      <c r="M262" s="389"/>
      <c r="N262" s="389"/>
      <c r="O262" s="389"/>
      <c r="P262" s="389"/>
      <c r="Q262" s="389"/>
      <c r="R262" s="337">
        <v>0</v>
      </c>
      <c r="S262" s="390">
        <f t="shared" si="5"/>
        <v>0</v>
      </c>
      <c r="T262" s="338">
        <v>0</v>
      </c>
      <c r="U262" s="390">
        <f t="shared" si="6"/>
        <v>0</v>
      </c>
      <c r="V262" s="365"/>
      <c r="W262" s="378"/>
      <c r="X262" s="5"/>
      <c r="Y262" s="109"/>
    </row>
    <row r="263" spans="1:25" ht="15.6" x14ac:dyDescent="0.3">
      <c r="A263" s="287"/>
      <c r="B263" s="337"/>
      <c r="C263" s="389"/>
      <c r="D263" s="389"/>
      <c r="E263" s="389"/>
      <c r="F263" s="288"/>
      <c r="G263" s="390"/>
      <c r="H263" s="389"/>
      <c r="I263" s="389"/>
      <c r="J263" s="389"/>
      <c r="K263" s="389"/>
      <c r="L263" s="389"/>
      <c r="M263" s="389"/>
      <c r="N263" s="389"/>
      <c r="O263" s="389"/>
      <c r="P263" s="389"/>
      <c r="Q263" s="389"/>
      <c r="R263" s="337"/>
      <c r="S263" s="390"/>
      <c r="T263" s="338"/>
      <c r="U263" s="390"/>
      <c r="V263" s="365"/>
      <c r="W263" s="378"/>
      <c r="X263" s="5"/>
    </row>
    <row r="264" spans="1:25" ht="15.6" x14ac:dyDescent="0.3">
      <c r="A264" s="287"/>
      <c r="B264" s="288"/>
      <c r="C264" s="288"/>
      <c r="D264" s="288"/>
      <c r="E264" s="288"/>
      <c r="F264" s="288"/>
      <c r="G264" s="288"/>
      <c r="H264" s="391"/>
      <c r="I264" s="391"/>
      <c r="J264" s="391"/>
      <c r="K264" s="391"/>
      <c r="L264" s="391"/>
      <c r="M264" s="391"/>
      <c r="N264" s="391"/>
      <c r="O264" s="391"/>
      <c r="P264" s="391"/>
      <c r="Q264" s="391"/>
      <c r="R264" s="337">
        <f>SUM(R255:R263)</f>
        <v>6567</v>
      </c>
      <c r="S264" s="390">
        <f>SUM(S255:S263)</f>
        <v>1</v>
      </c>
      <c r="T264" s="338">
        <f>SUM(T255:T263)</f>
        <v>903249</v>
      </c>
      <c r="U264" s="390">
        <f>SUM(U255:U263)</f>
        <v>1</v>
      </c>
      <c r="V264" s="288"/>
      <c r="W264" s="291"/>
      <c r="X264" s="5"/>
    </row>
    <row r="265" spans="1:25" ht="15.6" x14ac:dyDescent="0.3">
      <c r="A265" s="183"/>
      <c r="B265" s="198"/>
      <c r="C265" s="198"/>
      <c r="D265" s="198"/>
      <c r="E265" s="198"/>
      <c r="F265" s="198"/>
      <c r="G265" s="198"/>
      <c r="H265" s="386"/>
      <c r="I265" s="386"/>
      <c r="J265" s="386"/>
      <c r="K265" s="386"/>
      <c r="L265" s="386"/>
      <c r="M265" s="386"/>
      <c r="N265" s="386"/>
      <c r="O265" s="386"/>
      <c r="P265" s="386"/>
      <c r="Q265" s="386"/>
      <c r="R265" s="335"/>
      <c r="S265" s="387"/>
      <c r="T265" s="388"/>
      <c r="U265" s="387"/>
      <c r="V265" s="198"/>
      <c r="W265" s="198"/>
      <c r="X265" s="5"/>
    </row>
    <row r="266" spans="1:25" ht="15.6" x14ac:dyDescent="0.3">
      <c r="A266" s="280"/>
      <c r="B266" s="399" t="s">
        <v>275</v>
      </c>
      <c r="C266" s="400"/>
      <c r="D266" s="400"/>
      <c r="E266" s="400"/>
      <c r="F266" s="406"/>
      <c r="G266" s="400"/>
      <c r="H266" s="400"/>
      <c r="I266" s="400"/>
      <c r="J266" s="400"/>
      <c r="K266" s="400"/>
      <c r="L266" s="400"/>
      <c r="M266" s="400"/>
      <c r="N266" s="400"/>
      <c r="O266" s="400"/>
      <c r="P266" s="400"/>
      <c r="Q266" s="400"/>
      <c r="R266" s="406" t="s">
        <v>102</v>
      </c>
      <c r="S266" s="400" t="s">
        <v>103</v>
      </c>
      <c r="T266" s="406" t="s">
        <v>109</v>
      </c>
      <c r="U266" s="400" t="s">
        <v>103</v>
      </c>
      <c r="V266" s="281"/>
      <c r="W266" s="282"/>
      <c r="X266" s="5"/>
    </row>
    <row r="267" spans="1:25" ht="15.6" x14ac:dyDescent="0.3">
      <c r="A267" s="197"/>
      <c r="B267" s="234" t="s">
        <v>88</v>
      </c>
      <c r="C267" s="253"/>
      <c r="D267" s="253"/>
      <c r="E267" s="253"/>
      <c r="F267" s="231"/>
      <c r="G267" s="253"/>
      <c r="H267" s="253"/>
      <c r="I267" s="253"/>
      <c r="J267" s="253"/>
      <c r="K267" s="253"/>
      <c r="L267" s="253"/>
      <c r="M267" s="253"/>
      <c r="N267" s="253"/>
      <c r="O267" s="253"/>
      <c r="P267" s="253"/>
      <c r="Q267" s="253"/>
      <c r="R267" s="234">
        <v>109</v>
      </c>
      <c r="S267" s="254">
        <f t="shared" ref="S267:S274" si="7">R267/$R$276</f>
        <v>0.8515625</v>
      </c>
      <c r="T267" s="241">
        <v>15799</v>
      </c>
      <c r="U267" s="254">
        <f t="shared" ref="U267:U274" si="8">T267/$T$276</f>
        <v>0.83721053468284667</v>
      </c>
      <c r="V267" s="231"/>
      <c r="W267" s="231"/>
      <c r="X267" s="5"/>
    </row>
    <row r="268" spans="1:25" ht="15.6" x14ac:dyDescent="0.3">
      <c r="A268" s="287"/>
      <c r="B268" s="337" t="s">
        <v>89</v>
      </c>
      <c r="C268" s="389"/>
      <c r="D268" s="389"/>
      <c r="E268" s="389"/>
      <c r="F268" s="288"/>
      <c r="G268" s="390"/>
      <c r="H268" s="389"/>
      <c r="I268" s="389"/>
      <c r="J268" s="389"/>
      <c r="K268" s="389"/>
      <c r="L268" s="389"/>
      <c r="M268" s="389"/>
      <c r="N268" s="389"/>
      <c r="O268" s="389"/>
      <c r="P268" s="389"/>
      <c r="Q268" s="389"/>
      <c r="R268" s="337">
        <v>0</v>
      </c>
      <c r="S268" s="390">
        <f t="shared" si="7"/>
        <v>0</v>
      </c>
      <c r="T268" s="338">
        <v>0</v>
      </c>
      <c r="U268" s="390">
        <f t="shared" si="8"/>
        <v>0</v>
      </c>
      <c r="V268" s="288"/>
      <c r="W268" s="291"/>
      <c r="X268" s="5"/>
    </row>
    <row r="269" spans="1:25" ht="15.6" x14ac:dyDescent="0.3">
      <c r="A269" s="287"/>
      <c r="B269" s="337" t="s">
        <v>90</v>
      </c>
      <c r="C269" s="389"/>
      <c r="D269" s="389"/>
      <c r="E269" s="389"/>
      <c r="F269" s="288"/>
      <c r="G269" s="390"/>
      <c r="H269" s="389"/>
      <c r="I269" s="389"/>
      <c r="J269" s="389"/>
      <c r="K269" s="389"/>
      <c r="L269" s="389"/>
      <c r="M269" s="389"/>
      <c r="N269" s="389"/>
      <c r="O269" s="389"/>
      <c r="P269" s="389"/>
      <c r="Q269" s="389"/>
      <c r="R269" s="337">
        <v>9</v>
      </c>
      <c r="S269" s="390">
        <f t="shared" si="7"/>
        <v>7.03125E-2</v>
      </c>
      <c r="T269" s="338">
        <v>1457</v>
      </c>
      <c r="U269" s="390">
        <f t="shared" si="8"/>
        <v>7.720841502835038E-2</v>
      </c>
      <c r="V269" s="288"/>
      <c r="W269" s="291"/>
      <c r="X269" s="5"/>
    </row>
    <row r="270" spans="1:25" ht="15.6" x14ac:dyDescent="0.3">
      <c r="A270" s="287"/>
      <c r="B270" s="337" t="s">
        <v>156</v>
      </c>
      <c r="C270" s="389"/>
      <c r="D270" s="389"/>
      <c r="E270" s="389"/>
      <c r="F270" s="288"/>
      <c r="G270" s="390"/>
      <c r="H270" s="389"/>
      <c r="I270" s="389"/>
      <c r="J270" s="389"/>
      <c r="K270" s="389"/>
      <c r="L270" s="389"/>
      <c r="M270" s="389"/>
      <c r="N270" s="389"/>
      <c r="O270" s="389"/>
      <c r="P270" s="389"/>
      <c r="Q270" s="389"/>
      <c r="R270" s="337">
        <v>0</v>
      </c>
      <c r="S270" s="390">
        <f t="shared" si="7"/>
        <v>0</v>
      </c>
      <c r="T270" s="338">
        <v>0</v>
      </c>
      <c r="U270" s="390">
        <f t="shared" si="8"/>
        <v>0</v>
      </c>
      <c r="V270" s="288"/>
      <c r="W270" s="291"/>
      <c r="X270" s="5"/>
    </row>
    <row r="271" spans="1:25" ht="15.6" x14ac:dyDescent="0.3">
      <c r="A271" s="287"/>
      <c r="B271" s="337" t="s">
        <v>157</v>
      </c>
      <c r="C271" s="389"/>
      <c r="D271" s="389"/>
      <c r="E271" s="389"/>
      <c r="F271" s="288"/>
      <c r="G271" s="390"/>
      <c r="H271" s="389"/>
      <c r="I271" s="389"/>
      <c r="J271" s="389"/>
      <c r="K271" s="389"/>
      <c r="L271" s="389"/>
      <c r="M271" s="389"/>
      <c r="N271" s="389"/>
      <c r="O271" s="389"/>
      <c r="P271" s="389"/>
      <c r="Q271" s="389"/>
      <c r="R271" s="337">
        <v>1</v>
      </c>
      <c r="S271" s="390">
        <f t="shared" si="7"/>
        <v>7.8125E-3</v>
      </c>
      <c r="T271" s="338">
        <v>119</v>
      </c>
      <c r="U271" s="390">
        <f t="shared" si="8"/>
        <v>6.3059721265433738E-3</v>
      </c>
      <c r="V271" s="288"/>
      <c r="W271" s="291"/>
      <c r="X271" s="5"/>
    </row>
    <row r="272" spans="1:25" ht="15.6" x14ac:dyDescent="0.3">
      <c r="A272" s="287"/>
      <c r="B272" s="337" t="s">
        <v>158</v>
      </c>
      <c r="C272" s="389"/>
      <c r="D272" s="389"/>
      <c r="E272" s="389"/>
      <c r="F272" s="288"/>
      <c r="G272" s="390"/>
      <c r="H272" s="389"/>
      <c r="I272" s="389"/>
      <c r="J272" s="389"/>
      <c r="K272" s="389"/>
      <c r="L272" s="389"/>
      <c r="M272" s="389"/>
      <c r="N272" s="389"/>
      <c r="O272" s="389"/>
      <c r="P272" s="389"/>
      <c r="Q272" s="389"/>
      <c r="R272" s="337">
        <v>0</v>
      </c>
      <c r="S272" s="390">
        <f t="shared" si="7"/>
        <v>0</v>
      </c>
      <c r="T272" s="338">
        <v>0</v>
      </c>
      <c r="U272" s="390">
        <f t="shared" si="8"/>
        <v>0</v>
      </c>
      <c r="V272" s="288"/>
      <c r="W272" s="291"/>
      <c r="X272" s="5"/>
    </row>
    <row r="273" spans="1:24" ht="15.6" x14ac:dyDescent="0.3">
      <c r="A273" s="287"/>
      <c r="B273" s="337" t="s">
        <v>159</v>
      </c>
      <c r="C273" s="389"/>
      <c r="D273" s="389"/>
      <c r="E273" s="389"/>
      <c r="F273" s="288"/>
      <c r="G273" s="390"/>
      <c r="H273" s="389"/>
      <c r="I273" s="389"/>
      <c r="J273" s="389"/>
      <c r="K273" s="389"/>
      <c r="L273" s="389"/>
      <c r="M273" s="389"/>
      <c r="N273" s="389"/>
      <c r="O273" s="389"/>
      <c r="P273" s="389"/>
      <c r="Q273" s="389"/>
      <c r="R273" s="337">
        <v>4</v>
      </c>
      <c r="S273" s="390">
        <f t="shared" si="7"/>
        <v>3.125E-2</v>
      </c>
      <c r="T273" s="338">
        <v>605</v>
      </c>
      <c r="U273" s="390">
        <f t="shared" si="8"/>
        <v>3.2059774256796139E-2</v>
      </c>
      <c r="V273" s="288"/>
      <c r="W273" s="291"/>
      <c r="X273" s="5"/>
    </row>
    <row r="274" spans="1:24" ht="15.6" x14ac:dyDescent="0.3">
      <c r="A274" s="287"/>
      <c r="B274" s="337" t="s">
        <v>160</v>
      </c>
      <c r="C274" s="389"/>
      <c r="D274" s="389"/>
      <c r="E274" s="389"/>
      <c r="F274" s="288"/>
      <c r="G274" s="390"/>
      <c r="H274" s="389"/>
      <c r="I274" s="389"/>
      <c r="J274" s="389"/>
      <c r="K274" s="389"/>
      <c r="L274" s="389"/>
      <c r="M274" s="389"/>
      <c r="N274" s="389"/>
      <c r="O274" s="389"/>
      <c r="P274" s="389"/>
      <c r="Q274" s="389"/>
      <c r="R274" s="337">
        <v>5</v>
      </c>
      <c r="S274" s="390">
        <f t="shared" si="7"/>
        <v>3.90625E-2</v>
      </c>
      <c r="T274" s="338">
        <v>891</v>
      </c>
      <c r="U274" s="390">
        <f t="shared" si="8"/>
        <v>4.7215303905463413E-2</v>
      </c>
      <c r="V274" s="288"/>
      <c r="W274" s="291"/>
      <c r="X274" s="5"/>
    </row>
    <row r="275" spans="1:24" ht="15.6" x14ac:dyDescent="0.3">
      <c r="A275" s="287"/>
      <c r="B275" s="337"/>
      <c r="C275" s="389"/>
      <c r="D275" s="389"/>
      <c r="E275" s="389"/>
      <c r="F275" s="288"/>
      <c r="G275" s="390"/>
      <c r="H275" s="389"/>
      <c r="I275" s="389"/>
      <c r="J275" s="389"/>
      <c r="K275" s="389"/>
      <c r="L275" s="389"/>
      <c r="M275" s="389"/>
      <c r="N275" s="389"/>
      <c r="O275" s="389"/>
      <c r="P275" s="389"/>
      <c r="Q275" s="389"/>
      <c r="R275" s="337"/>
      <c r="S275" s="390"/>
      <c r="T275" s="338"/>
      <c r="U275" s="390"/>
      <c r="V275" s="288"/>
      <c r="W275" s="291"/>
      <c r="X275" s="5"/>
    </row>
    <row r="276" spans="1:24" ht="15.6" x14ac:dyDescent="0.3">
      <c r="A276" s="287"/>
      <c r="B276" s="288"/>
      <c r="C276" s="288"/>
      <c r="D276" s="288"/>
      <c r="E276" s="288"/>
      <c r="F276" s="288"/>
      <c r="G276" s="288"/>
      <c r="H276" s="391"/>
      <c r="I276" s="391"/>
      <c r="J276" s="391"/>
      <c r="K276" s="391"/>
      <c r="L276" s="391"/>
      <c r="M276" s="391"/>
      <c r="N276" s="391"/>
      <c r="O276" s="391"/>
      <c r="P276" s="391"/>
      <c r="Q276" s="391"/>
      <c r="R276" s="337">
        <f>SUM(R267:R275)</f>
        <v>128</v>
      </c>
      <c r="S276" s="390">
        <f>SUM(S267:S275)</f>
        <v>1</v>
      </c>
      <c r="T276" s="338">
        <f>SUM(T267:T275)</f>
        <v>18871</v>
      </c>
      <c r="U276" s="390">
        <f>SUM(U267:U275)</f>
        <v>1</v>
      </c>
      <c r="V276" s="288"/>
      <c r="W276" s="291"/>
      <c r="X276" s="5"/>
    </row>
    <row r="277" spans="1:24" ht="15.6" x14ac:dyDescent="0.3">
      <c r="A277" s="183"/>
      <c r="B277" s="284"/>
      <c r="C277" s="284"/>
      <c r="D277" s="284"/>
      <c r="E277" s="284"/>
      <c r="F277" s="284"/>
      <c r="G277" s="284"/>
      <c r="H277" s="392"/>
      <c r="I277" s="392"/>
      <c r="J277" s="392"/>
      <c r="K277" s="392"/>
      <c r="L277" s="392"/>
      <c r="M277" s="392"/>
      <c r="N277" s="392"/>
      <c r="O277" s="392"/>
      <c r="P277" s="392"/>
      <c r="Q277" s="392"/>
      <c r="R277" s="339"/>
      <c r="S277" s="393"/>
      <c r="T277" s="394"/>
      <c r="U277" s="393"/>
      <c r="V277" s="284"/>
      <c r="W277" s="284"/>
      <c r="X277" s="5"/>
    </row>
    <row r="278" spans="1:24" ht="15.6" x14ac:dyDescent="0.3">
      <c r="A278" s="280"/>
      <c r="B278" s="399" t="s">
        <v>163</v>
      </c>
      <c r="C278" s="281"/>
      <c r="D278" s="281"/>
      <c r="E278" s="281"/>
      <c r="F278" s="281"/>
      <c r="G278" s="281"/>
      <c r="H278" s="283"/>
      <c r="I278" s="283"/>
      <c r="J278" s="283"/>
      <c r="K278" s="283"/>
      <c r="L278" s="283"/>
      <c r="M278" s="283"/>
      <c r="N278" s="283"/>
      <c r="O278" s="283"/>
      <c r="P278" s="283"/>
      <c r="Q278" s="283"/>
      <c r="R278" s="406" t="s">
        <v>102</v>
      </c>
      <c r="S278" s="400" t="s">
        <v>103</v>
      </c>
      <c r="T278" s="406" t="s">
        <v>109</v>
      </c>
      <c r="U278" s="400" t="s">
        <v>103</v>
      </c>
      <c r="V278" s="281"/>
      <c r="W278" s="282"/>
      <c r="X278" s="5"/>
    </row>
    <row r="279" spans="1:24" ht="15.6" x14ac:dyDescent="0.3">
      <c r="A279" s="197"/>
      <c r="B279" s="234" t="s">
        <v>88</v>
      </c>
      <c r="C279" s="231"/>
      <c r="D279" s="231"/>
      <c r="E279" s="231"/>
      <c r="F279" s="231"/>
      <c r="G279" s="231"/>
      <c r="H279" s="255"/>
      <c r="I279" s="255"/>
      <c r="J279" s="255"/>
      <c r="K279" s="255"/>
      <c r="L279" s="255"/>
      <c r="M279" s="255"/>
      <c r="N279" s="255"/>
      <c r="O279" s="255"/>
      <c r="P279" s="255"/>
      <c r="Q279" s="255"/>
      <c r="R279" s="234">
        <v>0</v>
      </c>
      <c r="S279" s="254">
        <v>0</v>
      </c>
      <c r="T279" s="241">
        <v>0</v>
      </c>
      <c r="U279" s="254">
        <v>0</v>
      </c>
      <c r="V279" s="231"/>
      <c r="W279" s="231"/>
      <c r="X279" s="5"/>
    </row>
    <row r="280" spans="1:24" ht="15.6" x14ac:dyDescent="0.3">
      <c r="A280" s="287"/>
      <c r="B280" s="337" t="s">
        <v>89</v>
      </c>
      <c r="C280" s="288"/>
      <c r="D280" s="288"/>
      <c r="E280" s="288"/>
      <c r="F280" s="288"/>
      <c r="G280" s="288"/>
      <c r="H280" s="391"/>
      <c r="I280" s="391"/>
      <c r="J280" s="391"/>
      <c r="K280" s="391"/>
      <c r="L280" s="391"/>
      <c r="M280" s="391"/>
      <c r="N280" s="391"/>
      <c r="O280" s="391"/>
      <c r="P280" s="391"/>
      <c r="Q280" s="391"/>
      <c r="R280" s="337">
        <v>0</v>
      </c>
      <c r="S280" s="390">
        <v>0</v>
      </c>
      <c r="T280" s="338">
        <v>0</v>
      </c>
      <c r="U280" s="390">
        <v>0</v>
      </c>
      <c r="V280" s="288"/>
      <c r="W280" s="291"/>
      <c r="X280" s="5"/>
    </row>
    <row r="281" spans="1:24" ht="15.6" x14ac:dyDescent="0.3">
      <c r="A281" s="287"/>
      <c r="B281" s="337" t="s">
        <v>90</v>
      </c>
      <c r="C281" s="288"/>
      <c r="D281" s="288"/>
      <c r="E281" s="288"/>
      <c r="F281" s="288"/>
      <c r="G281" s="288"/>
      <c r="H281" s="391"/>
      <c r="I281" s="391"/>
      <c r="J281" s="391"/>
      <c r="K281" s="391"/>
      <c r="L281" s="391"/>
      <c r="M281" s="391"/>
      <c r="N281" s="391"/>
      <c r="O281" s="391"/>
      <c r="P281" s="391"/>
      <c r="Q281" s="391"/>
      <c r="R281" s="337">
        <v>0</v>
      </c>
      <c r="S281" s="390">
        <v>0</v>
      </c>
      <c r="T281" s="338">
        <v>0</v>
      </c>
      <c r="U281" s="390">
        <v>0</v>
      </c>
      <c r="V281" s="288"/>
      <c r="W281" s="291"/>
      <c r="X281" s="5"/>
    </row>
    <row r="282" spans="1:24" ht="15.6" x14ac:dyDescent="0.3">
      <c r="A282" s="287"/>
      <c r="B282" s="337" t="s">
        <v>156</v>
      </c>
      <c r="C282" s="288"/>
      <c r="D282" s="288"/>
      <c r="E282" s="288"/>
      <c r="F282" s="288"/>
      <c r="G282" s="288"/>
      <c r="H282" s="391"/>
      <c r="I282" s="391"/>
      <c r="J282" s="391"/>
      <c r="K282" s="391"/>
      <c r="L282" s="391"/>
      <c r="M282" s="391"/>
      <c r="N282" s="391"/>
      <c r="O282" s="391"/>
      <c r="P282" s="391"/>
      <c r="Q282" s="391"/>
      <c r="R282" s="337">
        <v>0</v>
      </c>
      <c r="S282" s="390">
        <v>0</v>
      </c>
      <c r="T282" s="338">
        <v>0</v>
      </c>
      <c r="U282" s="390">
        <v>0</v>
      </c>
      <c r="V282" s="288"/>
      <c r="W282" s="291"/>
      <c r="X282" s="5"/>
    </row>
    <row r="283" spans="1:24" ht="15.6" x14ac:dyDescent="0.3">
      <c r="A283" s="287"/>
      <c r="B283" s="337" t="s">
        <v>157</v>
      </c>
      <c r="C283" s="288"/>
      <c r="D283" s="288"/>
      <c r="E283" s="288"/>
      <c r="F283" s="288"/>
      <c r="G283" s="288"/>
      <c r="H283" s="391"/>
      <c r="I283" s="391"/>
      <c r="J283" s="391"/>
      <c r="K283" s="391"/>
      <c r="L283" s="391"/>
      <c r="M283" s="391"/>
      <c r="N283" s="391"/>
      <c r="O283" s="391"/>
      <c r="P283" s="391"/>
      <c r="Q283" s="391"/>
      <c r="R283" s="337">
        <v>0</v>
      </c>
      <c r="S283" s="390">
        <v>0</v>
      </c>
      <c r="T283" s="338">
        <v>0</v>
      </c>
      <c r="U283" s="390">
        <v>0</v>
      </c>
      <c r="V283" s="288"/>
      <c r="W283" s="291"/>
      <c r="X283" s="5"/>
    </row>
    <row r="284" spans="1:24" ht="15.6" x14ac:dyDescent="0.3">
      <c r="A284" s="287"/>
      <c r="B284" s="337" t="s">
        <v>158</v>
      </c>
      <c r="C284" s="288"/>
      <c r="D284" s="288"/>
      <c r="E284" s="288"/>
      <c r="F284" s="288"/>
      <c r="G284" s="288"/>
      <c r="H284" s="391"/>
      <c r="I284" s="391"/>
      <c r="J284" s="391"/>
      <c r="K284" s="391"/>
      <c r="L284" s="391"/>
      <c r="M284" s="391"/>
      <c r="N284" s="391"/>
      <c r="O284" s="391"/>
      <c r="P284" s="391"/>
      <c r="Q284" s="391"/>
      <c r="R284" s="337">
        <v>0</v>
      </c>
      <c r="S284" s="390">
        <v>0</v>
      </c>
      <c r="T284" s="338">
        <v>0</v>
      </c>
      <c r="U284" s="390">
        <v>0</v>
      </c>
      <c r="V284" s="288"/>
      <c r="W284" s="291"/>
      <c r="X284" s="5"/>
    </row>
    <row r="285" spans="1:24" ht="15.6" x14ac:dyDescent="0.3">
      <c r="A285" s="287"/>
      <c r="B285" s="337" t="s">
        <v>159</v>
      </c>
      <c r="C285" s="288"/>
      <c r="D285" s="288"/>
      <c r="E285" s="288"/>
      <c r="F285" s="288"/>
      <c r="G285" s="288"/>
      <c r="H285" s="391"/>
      <c r="I285" s="391"/>
      <c r="J285" s="391"/>
      <c r="K285" s="391"/>
      <c r="L285" s="391"/>
      <c r="M285" s="391"/>
      <c r="N285" s="391"/>
      <c r="O285" s="391"/>
      <c r="P285" s="391"/>
      <c r="Q285" s="391"/>
      <c r="R285" s="337">
        <v>0</v>
      </c>
      <c r="S285" s="390">
        <v>0</v>
      </c>
      <c r="T285" s="338">
        <v>0</v>
      </c>
      <c r="U285" s="390">
        <v>0</v>
      </c>
      <c r="V285" s="288"/>
      <c r="W285" s="291"/>
      <c r="X285" s="5"/>
    </row>
    <row r="286" spans="1:24" ht="15.6" x14ac:dyDescent="0.3">
      <c r="A286" s="287"/>
      <c r="B286" s="337" t="s">
        <v>160</v>
      </c>
      <c r="C286" s="288"/>
      <c r="D286" s="288"/>
      <c r="E286" s="288"/>
      <c r="F286" s="288"/>
      <c r="G286" s="288"/>
      <c r="H286" s="391"/>
      <c r="I286" s="391"/>
      <c r="J286" s="391"/>
      <c r="K286" s="391"/>
      <c r="L286" s="391"/>
      <c r="M286" s="391"/>
      <c r="N286" s="391"/>
      <c r="O286" s="391"/>
      <c r="P286" s="391"/>
      <c r="Q286" s="391"/>
      <c r="R286" s="337">
        <v>0</v>
      </c>
      <c r="S286" s="390">
        <v>0</v>
      </c>
      <c r="T286" s="338">
        <v>0</v>
      </c>
      <c r="U286" s="390">
        <v>0</v>
      </c>
      <c r="V286" s="288"/>
      <c r="W286" s="291"/>
      <c r="X286" s="5"/>
    </row>
    <row r="287" spans="1:24" ht="15.6" x14ac:dyDescent="0.3">
      <c r="A287" s="287"/>
      <c r="B287" s="337"/>
      <c r="C287" s="288"/>
      <c r="D287" s="288"/>
      <c r="E287" s="288"/>
      <c r="F287" s="288"/>
      <c r="G287" s="288"/>
      <c r="H287" s="391"/>
      <c r="I287" s="391"/>
      <c r="J287" s="391"/>
      <c r="K287" s="391"/>
      <c r="L287" s="391"/>
      <c r="M287" s="391"/>
      <c r="N287" s="391"/>
      <c r="O287" s="391"/>
      <c r="P287" s="391"/>
      <c r="Q287" s="391"/>
      <c r="R287" s="337"/>
      <c r="S287" s="390"/>
      <c r="T287" s="338"/>
      <c r="U287" s="390"/>
      <c r="V287" s="288"/>
      <c r="W287" s="291"/>
      <c r="X287" s="5"/>
    </row>
    <row r="288" spans="1:24" ht="15.6" x14ac:dyDescent="0.3">
      <c r="A288" s="287"/>
      <c r="B288" s="288" t="s">
        <v>114</v>
      </c>
      <c r="C288" s="288"/>
      <c r="D288" s="288"/>
      <c r="E288" s="288"/>
      <c r="F288" s="288"/>
      <c r="G288" s="288"/>
      <c r="H288" s="391"/>
      <c r="I288" s="391"/>
      <c r="J288" s="391"/>
      <c r="K288" s="391"/>
      <c r="L288" s="391"/>
      <c r="M288" s="391"/>
      <c r="N288" s="391"/>
      <c r="O288" s="391"/>
      <c r="P288" s="391"/>
      <c r="Q288" s="391"/>
      <c r="R288" s="337">
        <f>SUM(R279:R286)</f>
        <v>0</v>
      </c>
      <c r="S288" s="390">
        <f>SUM(S279:S287)</f>
        <v>0</v>
      </c>
      <c r="T288" s="338">
        <f>SUM(T279:T286)</f>
        <v>0</v>
      </c>
      <c r="U288" s="390">
        <f>SUM(U279:U287)</f>
        <v>0</v>
      </c>
      <c r="V288" s="288"/>
      <c r="W288" s="291"/>
      <c r="X288" s="5"/>
    </row>
    <row r="289" spans="1:24" ht="15.6" x14ac:dyDescent="0.3">
      <c r="A289" s="287"/>
      <c r="B289" s="288"/>
      <c r="C289" s="288"/>
      <c r="D289" s="288"/>
      <c r="E289" s="288"/>
      <c r="F289" s="288"/>
      <c r="G289" s="288"/>
      <c r="H289" s="391"/>
      <c r="I289" s="391"/>
      <c r="J289" s="391"/>
      <c r="K289" s="391"/>
      <c r="L289" s="391"/>
      <c r="M289" s="391"/>
      <c r="N289" s="391"/>
      <c r="O289" s="391"/>
      <c r="P289" s="391"/>
      <c r="Q289" s="391"/>
      <c r="R289" s="337"/>
      <c r="S289" s="390"/>
      <c r="T289" s="338"/>
      <c r="U289" s="390"/>
      <c r="V289" s="288"/>
      <c r="W289" s="291"/>
      <c r="X289" s="5"/>
    </row>
    <row r="290" spans="1:24" ht="15.6" x14ac:dyDescent="0.3">
      <c r="A290" s="287"/>
      <c r="B290" s="295" t="s">
        <v>164</v>
      </c>
      <c r="C290" s="288"/>
      <c r="D290" s="288"/>
      <c r="E290" s="288"/>
      <c r="F290" s="288"/>
      <c r="G290" s="288"/>
      <c r="H290" s="391"/>
      <c r="I290" s="391"/>
      <c r="J290" s="391"/>
      <c r="K290" s="391"/>
      <c r="L290" s="391"/>
      <c r="M290" s="391"/>
      <c r="N290" s="391"/>
      <c r="O290" s="391"/>
      <c r="P290" s="391"/>
      <c r="Q290" s="391"/>
      <c r="R290" s="407">
        <f>R288+R276+R264</f>
        <v>6695</v>
      </c>
      <c r="S290" s="390"/>
      <c r="T290" s="396">
        <f>+T288+T276+T264</f>
        <v>922120</v>
      </c>
      <c r="U290" s="390"/>
      <c r="V290" s="288"/>
      <c r="W290" s="291"/>
      <c r="X290" s="5"/>
    </row>
    <row r="291" spans="1:24" ht="15.6" x14ac:dyDescent="0.3">
      <c r="A291" s="183"/>
      <c r="B291" s="284"/>
      <c r="C291" s="284"/>
      <c r="D291" s="284"/>
      <c r="E291" s="284"/>
      <c r="F291" s="284"/>
      <c r="G291" s="284"/>
      <c r="H291" s="392"/>
      <c r="I291" s="392"/>
      <c r="J291" s="392"/>
      <c r="K291" s="392"/>
      <c r="L291" s="392"/>
      <c r="M291" s="392"/>
      <c r="N291" s="392"/>
      <c r="O291" s="392"/>
      <c r="P291" s="392"/>
      <c r="Q291" s="392"/>
      <c r="R291" s="392"/>
      <c r="S291" s="392"/>
      <c r="T291" s="394"/>
      <c r="U291" s="392"/>
      <c r="V291" s="284"/>
      <c r="W291" s="284"/>
      <c r="X291" s="5"/>
    </row>
    <row r="292" spans="1:24" ht="15.6" x14ac:dyDescent="0.3">
      <c r="A292" s="183"/>
      <c r="B292" s="224"/>
      <c r="C292" s="224"/>
      <c r="D292" s="224"/>
      <c r="E292" s="224"/>
      <c r="F292" s="224"/>
      <c r="G292" s="224"/>
      <c r="H292" s="256"/>
      <c r="I292" s="256"/>
      <c r="J292" s="256"/>
      <c r="K292" s="256"/>
      <c r="L292" s="256"/>
      <c r="M292" s="256"/>
      <c r="N292" s="256"/>
      <c r="O292" s="256"/>
      <c r="P292" s="256"/>
      <c r="Q292" s="256"/>
      <c r="R292" s="256"/>
      <c r="S292" s="256"/>
      <c r="T292" s="257"/>
      <c r="U292" s="256"/>
      <c r="V292" s="224"/>
      <c r="W292" s="224"/>
      <c r="X292" s="5"/>
    </row>
    <row r="293" spans="1:24" ht="15.6" x14ac:dyDescent="0.3">
      <c r="A293" s="219"/>
      <c r="B293" s="222" t="s">
        <v>91</v>
      </c>
      <c r="C293" s="224"/>
      <c r="D293" s="224"/>
      <c r="E293" s="224"/>
      <c r="F293" s="228" t="s">
        <v>97</v>
      </c>
      <c r="G293" s="224"/>
      <c r="H293" s="222" t="s">
        <v>99</v>
      </c>
      <c r="I293" s="222"/>
      <c r="J293" s="222"/>
      <c r="K293" s="258"/>
      <c r="L293" s="258"/>
      <c r="M293" s="258"/>
      <c r="N293" s="258"/>
      <c r="O293" s="258"/>
      <c r="P293" s="258"/>
      <c r="Q293" s="258"/>
      <c r="R293" s="258"/>
      <c r="S293" s="258"/>
      <c r="T293" s="258"/>
      <c r="U293" s="258"/>
      <c r="V293" s="258"/>
      <c r="W293" s="258"/>
      <c r="X293" s="5"/>
    </row>
    <row r="294" spans="1:24" ht="15.6" x14ac:dyDescent="0.3">
      <c r="A294" s="219"/>
      <c r="B294" s="258"/>
      <c r="C294" s="224"/>
      <c r="D294" s="224"/>
      <c r="E294" s="224"/>
      <c r="F294" s="224"/>
      <c r="G294" s="224"/>
      <c r="H294" s="224"/>
      <c r="I294" s="224"/>
      <c r="J294" s="224"/>
      <c r="K294" s="258"/>
      <c r="L294" s="258"/>
      <c r="M294" s="258"/>
      <c r="N294" s="258"/>
      <c r="O294" s="258"/>
      <c r="P294" s="258"/>
      <c r="Q294" s="258"/>
      <c r="R294" s="258"/>
      <c r="S294" s="258"/>
      <c r="T294" s="258"/>
      <c r="U294" s="258"/>
      <c r="V294" s="258"/>
      <c r="W294" s="258"/>
      <c r="X294" s="5"/>
    </row>
    <row r="295" spans="1:24" ht="15.6" x14ac:dyDescent="0.3">
      <c r="A295" s="219"/>
      <c r="B295" s="222" t="s">
        <v>338</v>
      </c>
      <c r="C295" s="222"/>
      <c r="D295" s="222"/>
      <c r="E295" s="222"/>
      <c r="F295" s="259" t="s">
        <v>148</v>
      </c>
      <c r="G295" s="222"/>
      <c r="H295" s="222" t="s">
        <v>152</v>
      </c>
      <c r="I295" s="222"/>
      <c r="J295" s="222"/>
      <c r="K295" s="258"/>
      <c r="L295" s="258"/>
      <c r="M295" s="258"/>
      <c r="N295" s="258"/>
      <c r="O295" s="258"/>
      <c r="P295" s="258"/>
      <c r="Q295" s="258"/>
      <c r="R295" s="258"/>
      <c r="S295" s="258"/>
      <c r="T295" s="258"/>
      <c r="U295" s="258"/>
      <c r="V295" s="258"/>
      <c r="W295" s="258"/>
      <c r="X295" s="5"/>
    </row>
    <row r="296" spans="1:24" ht="15.6" x14ac:dyDescent="0.3">
      <c r="A296" s="219"/>
      <c r="B296" s="222" t="s">
        <v>339</v>
      </c>
      <c r="C296" s="222"/>
      <c r="D296" s="222"/>
      <c r="E296" s="222"/>
      <c r="F296" s="259" t="s">
        <v>278</v>
      </c>
      <c r="G296" s="222"/>
      <c r="H296" s="222" t="s">
        <v>279</v>
      </c>
      <c r="I296" s="258"/>
      <c r="J296" s="222"/>
      <c r="K296" s="258"/>
      <c r="L296" s="258"/>
      <c r="M296" s="258"/>
      <c r="N296" s="258"/>
      <c r="O296" s="258"/>
      <c r="P296" s="258"/>
      <c r="Q296" s="258"/>
      <c r="R296" s="258"/>
      <c r="S296" s="258"/>
      <c r="T296" s="258"/>
      <c r="U296" s="258"/>
      <c r="V296" s="258"/>
      <c r="W296" s="258"/>
      <c r="X296" s="5"/>
    </row>
    <row r="297" spans="1:24" ht="15.6" x14ac:dyDescent="0.3">
      <c r="A297" s="219"/>
      <c r="B297" s="222" t="s">
        <v>340</v>
      </c>
      <c r="C297" s="222"/>
      <c r="D297" s="222"/>
      <c r="E297" s="222"/>
      <c r="F297" s="259" t="s">
        <v>147</v>
      </c>
      <c r="G297" s="222"/>
      <c r="H297" s="222" t="s">
        <v>153</v>
      </c>
      <c r="I297" s="222"/>
      <c r="J297" s="222"/>
      <c r="K297" s="258"/>
      <c r="L297" s="258"/>
      <c r="M297" s="258"/>
      <c r="N297" s="258"/>
      <c r="O297" s="258"/>
      <c r="P297" s="258"/>
      <c r="Q297" s="258"/>
      <c r="R297" s="258"/>
      <c r="S297" s="258"/>
      <c r="T297" s="258"/>
      <c r="U297" s="258"/>
      <c r="V297" s="258"/>
      <c r="W297" s="258"/>
      <c r="X297" s="5"/>
    </row>
    <row r="298" spans="1:24" ht="15.6" x14ac:dyDescent="0.3">
      <c r="A298" s="219"/>
      <c r="B298" s="222"/>
      <c r="C298" s="222"/>
      <c r="D298" s="222"/>
      <c r="E298" s="222"/>
      <c r="F298" s="222"/>
      <c r="G298" s="260"/>
      <c r="H298" s="258"/>
      <c r="I298" s="258"/>
      <c r="J298" s="258"/>
      <c r="K298" s="258"/>
      <c r="L298" s="258"/>
      <c r="M298" s="258"/>
      <c r="N298" s="258"/>
      <c r="O298" s="258"/>
      <c r="P298" s="258"/>
      <c r="Q298" s="258"/>
      <c r="R298" s="258"/>
      <c r="S298" s="258"/>
      <c r="T298" s="258"/>
      <c r="U298" s="258"/>
      <c r="V298" s="258"/>
      <c r="W298" s="258"/>
      <c r="X298" s="5"/>
    </row>
    <row r="299" spans="1:24" ht="15.6" x14ac:dyDescent="0.3">
      <c r="A299" s="219"/>
      <c r="B299" s="222"/>
      <c r="C299" s="222"/>
      <c r="D299" s="222"/>
      <c r="E299" s="222"/>
      <c r="F299" s="222"/>
      <c r="G299" s="260"/>
      <c r="H299" s="258"/>
      <c r="I299" s="258"/>
      <c r="J299" s="258"/>
      <c r="K299" s="258"/>
      <c r="L299" s="258"/>
      <c r="M299" s="258"/>
      <c r="N299" s="258"/>
      <c r="O299" s="258"/>
      <c r="P299" s="258"/>
      <c r="Q299" s="258"/>
      <c r="R299" s="258"/>
      <c r="S299" s="258"/>
      <c r="T299" s="258"/>
      <c r="U299" s="258"/>
      <c r="V299" s="258"/>
      <c r="W299" s="258"/>
      <c r="X299" s="5"/>
    </row>
    <row r="300" spans="1:24" ht="18" thickBot="1" x14ac:dyDescent="0.35">
      <c r="A300" s="219"/>
      <c r="B300" s="261" t="str">
        <f>B204</f>
        <v>PM14 INVESTOR REPORT QUARTER ENDING NOVEMBER 2016</v>
      </c>
      <c r="C300" s="222"/>
      <c r="D300" s="222"/>
      <c r="E300" s="222"/>
      <c r="F300" s="222"/>
      <c r="G300" s="260"/>
      <c r="H300" s="258"/>
      <c r="I300" s="258"/>
      <c r="J300" s="258"/>
      <c r="K300" s="258"/>
      <c r="L300" s="258"/>
      <c r="M300" s="258"/>
      <c r="N300" s="258"/>
      <c r="O300" s="258"/>
      <c r="P300" s="258"/>
      <c r="Q300" s="258"/>
      <c r="R300" s="258"/>
      <c r="S300" s="258"/>
      <c r="T300" s="258"/>
      <c r="U300" s="258"/>
      <c r="V300" s="258"/>
      <c r="W300" s="258"/>
      <c r="X300" s="5"/>
    </row>
    <row r="301" spans="1:24" x14ac:dyDescent="0.25">
      <c r="A301" s="100"/>
      <c r="B301" s="100"/>
      <c r="C301" s="100"/>
      <c r="D301" s="100"/>
      <c r="E301" s="100"/>
      <c r="F301" s="100"/>
      <c r="G301" s="100"/>
      <c r="H301" s="100"/>
      <c r="I301" s="100"/>
      <c r="J301" s="100"/>
      <c r="K301" s="100"/>
      <c r="L301" s="100"/>
      <c r="M301" s="100"/>
      <c r="N301" s="100"/>
      <c r="O301" s="100"/>
      <c r="P301" s="100"/>
      <c r="Q301" s="100"/>
      <c r="R301" s="100"/>
      <c r="S301" s="100"/>
      <c r="T301" s="100"/>
      <c r="U301" s="100"/>
      <c r="V301" s="100"/>
      <c r="W301" s="100"/>
    </row>
  </sheetData>
  <hyperlinks>
    <hyperlink ref="P240" r:id="rId1" xr:uid="{00000000-0004-0000-2500-000000000000}"/>
    <hyperlink ref="I9" r:id="rId2" xr:uid="{00000000-0004-0000-25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23" man="1"/>
    <brk id="138" max="14" man="1"/>
    <brk id="204" max="14" man="1"/>
  </rowBreaks>
  <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6"/>
  </sheetPr>
  <dimension ref="A1:IV304"/>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80"/>
      <c r="B1" s="220" t="s">
        <v>244</v>
      </c>
      <c r="C1" s="181"/>
      <c r="D1" s="181"/>
      <c r="E1" s="181"/>
      <c r="F1" s="181"/>
      <c r="G1" s="181"/>
      <c r="H1" s="181"/>
      <c r="I1" s="181"/>
      <c r="J1" s="181"/>
      <c r="K1" s="181"/>
      <c r="L1" s="181"/>
      <c r="M1" s="181"/>
      <c r="N1" s="181"/>
      <c r="O1" s="181"/>
      <c r="P1" s="181"/>
      <c r="Q1" s="181"/>
      <c r="R1" s="181"/>
      <c r="S1" s="181"/>
      <c r="T1" s="181"/>
      <c r="U1" s="181"/>
      <c r="V1" s="181"/>
      <c r="W1" s="181"/>
      <c r="X1" s="5"/>
    </row>
    <row r="2" spans="1:24" ht="15.6" x14ac:dyDescent="0.3">
      <c r="A2" s="183"/>
      <c r="B2" s="184"/>
      <c r="C2" s="185"/>
      <c r="D2" s="185"/>
      <c r="E2" s="185"/>
      <c r="F2" s="185"/>
      <c r="G2" s="185"/>
      <c r="H2" s="185"/>
      <c r="I2" s="185"/>
      <c r="J2" s="185"/>
      <c r="K2" s="185"/>
      <c r="L2" s="185"/>
      <c r="M2" s="185"/>
      <c r="N2" s="185"/>
      <c r="O2" s="185"/>
      <c r="P2" s="185"/>
      <c r="Q2" s="185"/>
      <c r="R2" s="185"/>
      <c r="S2" s="185"/>
      <c r="T2" s="185"/>
      <c r="U2" s="185"/>
      <c r="V2" s="185"/>
      <c r="W2" s="185"/>
      <c r="X2" s="5"/>
    </row>
    <row r="3" spans="1:24" ht="15.6" x14ac:dyDescent="0.3">
      <c r="A3" s="186"/>
      <c r="B3" s="187" t="s">
        <v>245</v>
      </c>
      <c r="C3" s="185"/>
      <c r="D3" s="185"/>
      <c r="E3" s="185"/>
      <c r="F3" s="185"/>
      <c r="G3" s="185"/>
      <c r="H3" s="185"/>
      <c r="I3" s="185"/>
      <c r="J3" s="185"/>
      <c r="K3" s="185"/>
      <c r="L3" s="185"/>
      <c r="M3" s="185"/>
      <c r="N3" s="185"/>
      <c r="O3" s="185"/>
      <c r="P3" s="185"/>
      <c r="Q3" s="185"/>
      <c r="R3" s="185"/>
      <c r="S3" s="185"/>
      <c r="T3" s="185"/>
      <c r="U3" s="185"/>
      <c r="V3" s="185"/>
      <c r="W3" s="185"/>
      <c r="X3" s="5"/>
    </row>
    <row r="4" spans="1:24" ht="15.6" x14ac:dyDescent="0.3">
      <c r="A4" s="183"/>
      <c r="B4" s="184"/>
      <c r="C4" s="185"/>
      <c r="D4" s="185"/>
      <c r="E4" s="185"/>
      <c r="F4" s="185"/>
      <c r="G4" s="185"/>
      <c r="H4" s="185"/>
      <c r="I4" s="185"/>
      <c r="J4" s="185"/>
      <c r="K4" s="185"/>
      <c r="L4" s="185"/>
      <c r="M4" s="185"/>
      <c r="N4" s="185"/>
      <c r="O4" s="185"/>
      <c r="P4" s="185"/>
      <c r="Q4" s="185"/>
      <c r="R4" s="185"/>
      <c r="S4" s="185"/>
      <c r="T4" s="185"/>
      <c r="U4" s="185"/>
      <c r="V4" s="185"/>
      <c r="W4" s="185"/>
      <c r="X4" s="5"/>
    </row>
    <row r="5" spans="1:24" ht="15.6" x14ac:dyDescent="0.3">
      <c r="A5" s="183"/>
      <c r="B5" s="221" t="s">
        <v>137</v>
      </c>
      <c r="C5" s="185"/>
      <c r="D5" s="185"/>
      <c r="E5" s="185"/>
      <c r="F5" s="185"/>
      <c r="G5" s="185"/>
      <c r="H5" s="185"/>
      <c r="I5" s="185"/>
      <c r="J5" s="185"/>
      <c r="K5" s="185"/>
      <c r="L5" s="185"/>
      <c r="M5" s="185"/>
      <c r="N5" s="185"/>
      <c r="O5" s="185"/>
      <c r="P5" s="185"/>
      <c r="Q5" s="185"/>
      <c r="R5" s="185"/>
      <c r="S5" s="185"/>
      <c r="T5" s="185"/>
      <c r="U5" s="185"/>
      <c r="V5" s="185"/>
      <c r="W5" s="185"/>
      <c r="X5" s="5"/>
    </row>
    <row r="6" spans="1:24" ht="15.6" x14ac:dyDescent="0.3">
      <c r="A6" s="183"/>
      <c r="B6" s="221" t="s">
        <v>139</v>
      </c>
      <c r="C6" s="185"/>
      <c r="D6" s="185"/>
      <c r="E6" s="185"/>
      <c r="F6" s="185"/>
      <c r="G6" s="185"/>
      <c r="H6" s="185"/>
      <c r="I6" s="185"/>
      <c r="J6" s="185"/>
      <c r="K6" s="185"/>
      <c r="L6" s="185"/>
      <c r="M6" s="185"/>
      <c r="N6" s="185"/>
      <c r="O6" s="185"/>
      <c r="P6" s="185"/>
      <c r="Q6" s="185"/>
      <c r="R6" s="185"/>
      <c r="S6" s="185"/>
      <c r="T6" s="185"/>
      <c r="U6" s="185"/>
      <c r="V6" s="185"/>
      <c r="W6" s="185"/>
      <c r="X6" s="5"/>
    </row>
    <row r="7" spans="1:24" ht="15.6" x14ac:dyDescent="0.3">
      <c r="A7" s="183"/>
      <c r="B7" s="221" t="s">
        <v>138</v>
      </c>
      <c r="C7" s="185"/>
      <c r="D7" s="185"/>
      <c r="E7" s="185"/>
      <c r="F7" s="185"/>
      <c r="G7" s="185"/>
      <c r="H7" s="185"/>
      <c r="I7" s="185"/>
      <c r="J7" s="185"/>
      <c r="K7" s="185"/>
      <c r="L7" s="185"/>
      <c r="M7" s="185"/>
      <c r="N7" s="185"/>
      <c r="O7" s="185"/>
      <c r="P7" s="185"/>
      <c r="Q7" s="185"/>
      <c r="R7" s="185"/>
      <c r="S7" s="185"/>
      <c r="T7" s="185"/>
      <c r="U7" s="185"/>
      <c r="V7" s="185"/>
      <c r="W7" s="185"/>
      <c r="X7" s="5"/>
    </row>
    <row r="8" spans="1:24" ht="15.6" x14ac:dyDescent="0.3">
      <c r="A8" s="183"/>
      <c r="B8" s="188"/>
      <c r="C8" s="185"/>
      <c r="D8" s="185"/>
      <c r="E8" s="185"/>
      <c r="F8" s="185"/>
      <c r="G8" s="185"/>
      <c r="H8" s="185"/>
      <c r="I8" s="185"/>
      <c r="J8" s="185"/>
      <c r="K8" s="185"/>
      <c r="L8" s="185"/>
      <c r="M8" s="185"/>
      <c r="N8" s="185"/>
      <c r="O8" s="185"/>
      <c r="P8" s="185"/>
      <c r="Q8" s="185"/>
      <c r="R8" s="185"/>
      <c r="S8" s="185"/>
      <c r="T8" s="185"/>
      <c r="U8" s="185"/>
      <c r="V8" s="185"/>
      <c r="W8" s="185"/>
      <c r="X8" s="5"/>
    </row>
    <row r="9" spans="1:24" ht="17.399999999999999" x14ac:dyDescent="0.3">
      <c r="A9" s="183"/>
      <c r="B9" s="189" t="s">
        <v>166</v>
      </c>
      <c r="C9" s="185"/>
      <c r="D9" s="185"/>
      <c r="E9" s="185"/>
      <c r="F9" s="185"/>
      <c r="G9" s="185"/>
      <c r="H9" s="185"/>
      <c r="I9" s="190" t="s">
        <v>167</v>
      </c>
      <c r="J9" s="185"/>
      <c r="K9" s="185"/>
      <c r="L9" s="190"/>
      <c r="M9" s="185"/>
      <c r="N9" s="190"/>
      <c r="O9" s="185"/>
      <c r="P9" s="185"/>
      <c r="Q9" s="185"/>
      <c r="R9" s="185"/>
      <c r="S9" s="185"/>
      <c r="T9" s="185"/>
      <c r="U9" s="185"/>
      <c r="V9" s="185"/>
      <c r="W9" s="185"/>
      <c r="X9" s="5"/>
    </row>
    <row r="10" spans="1:24" ht="15.6" x14ac:dyDescent="0.3">
      <c r="A10" s="183"/>
      <c r="B10" s="188"/>
      <c r="C10" s="191"/>
      <c r="D10" s="191"/>
      <c r="E10" s="191"/>
      <c r="F10" s="185"/>
      <c r="G10" s="185"/>
      <c r="H10" s="185"/>
      <c r="I10" s="185"/>
      <c r="J10" s="185"/>
      <c r="K10" s="185"/>
      <c r="L10" s="185"/>
      <c r="M10" s="185"/>
      <c r="N10" s="185"/>
      <c r="O10" s="185"/>
      <c r="P10" s="185"/>
      <c r="Q10" s="185"/>
      <c r="R10" s="185"/>
      <c r="S10" s="185"/>
      <c r="T10" s="185"/>
      <c r="U10" s="185"/>
      <c r="V10" s="185"/>
      <c r="W10" s="185"/>
      <c r="X10" s="5"/>
    </row>
    <row r="11" spans="1:24" ht="15.6" x14ac:dyDescent="0.3">
      <c r="A11" s="183"/>
      <c r="B11" s="222" t="s">
        <v>0</v>
      </c>
      <c r="C11" s="185"/>
      <c r="D11" s="185"/>
      <c r="E11" s="185"/>
      <c r="F11" s="185"/>
      <c r="G11" s="185"/>
      <c r="H11" s="185"/>
      <c r="I11" s="185"/>
      <c r="J11" s="185"/>
      <c r="K11" s="185"/>
      <c r="L11" s="185"/>
      <c r="M11" s="185"/>
      <c r="N11" s="185"/>
      <c r="O11" s="185"/>
      <c r="P11" s="185"/>
      <c r="Q11" s="185"/>
      <c r="R11" s="185"/>
      <c r="S11" s="185"/>
      <c r="T11" s="185"/>
      <c r="U11" s="185"/>
      <c r="V11" s="185"/>
      <c r="W11" s="185"/>
      <c r="X11" s="5"/>
    </row>
    <row r="12" spans="1:24" ht="16.2" thickBot="1" x14ac:dyDescent="0.35">
      <c r="A12" s="183"/>
      <c r="B12" s="191"/>
      <c r="C12" s="185"/>
      <c r="D12" s="185"/>
      <c r="E12" s="185"/>
      <c r="F12" s="185"/>
      <c r="G12" s="185"/>
      <c r="H12" s="185"/>
      <c r="I12" s="185"/>
      <c r="J12" s="185"/>
      <c r="K12" s="185"/>
      <c r="L12" s="185"/>
      <c r="M12" s="185"/>
      <c r="N12" s="185"/>
      <c r="O12" s="185"/>
      <c r="P12" s="185"/>
      <c r="Q12" s="185"/>
      <c r="R12" s="185"/>
      <c r="S12" s="185"/>
      <c r="T12" s="185"/>
      <c r="U12" s="185"/>
      <c r="V12" s="185"/>
      <c r="W12" s="185"/>
      <c r="X12" s="5"/>
    </row>
    <row r="13" spans="1:24" ht="15.6" x14ac:dyDescent="0.3">
      <c r="A13" s="180"/>
      <c r="B13" s="181"/>
      <c r="C13" s="181"/>
      <c r="D13" s="181"/>
      <c r="E13" s="181"/>
      <c r="F13" s="181"/>
      <c r="G13" s="181"/>
      <c r="H13" s="181"/>
      <c r="I13" s="181"/>
      <c r="J13" s="181"/>
      <c r="K13" s="181"/>
      <c r="L13" s="181"/>
      <c r="M13" s="181"/>
      <c r="N13" s="181"/>
      <c r="O13" s="181"/>
      <c r="P13" s="181"/>
      <c r="Q13" s="181"/>
      <c r="R13" s="181"/>
      <c r="S13" s="181"/>
      <c r="T13" s="181"/>
      <c r="U13" s="181"/>
      <c r="V13" s="181"/>
      <c r="W13" s="181"/>
      <c r="X13" s="5"/>
    </row>
    <row r="14" spans="1:24" ht="15.6" x14ac:dyDescent="0.3">
      <c r="A14" s="183"/>
      <c r="B14" s="222" t="s">
        <v>1</v>
      </c>
      <c r="C14" s="192"/>
      <c r="D14" s="192"/>
      <c r="E14" s="192"/>
      <c r="F14" s="192"/>
      <c r="G14" s="192"/>
      <c r="H14" s="192"/>
      <c r="I14" s="192"/>
      <c r="J14" s="192"/>
      <c r="K14" s="192"/>
      <c r="L14" s="192"/>
      <c r="M14" s="192"/>
      <c r="N14" s="192"/>
      <c r="O14" s="192"/>
      <c r="P14" s="192"/>
      <c r="Q14" s="192"/>
      <c r="R14" s="224"/>
      <c r="S14" s="224"/>
      <c r="T14" s="224"/>
      <c r="U14" s="224"/>
      <c r="V14" s="225" t="s">
        <v>246</v>
      </c>
      <c r="W14" s="192"/>
      <c r="X14" s="5"/>
    </row>
    <row r="15" spans="1:24" ht="15.6" x14ac:dyDescent="0.3">
      <c r="A15" s="183"/>
      <c r="B15" s="222" t="s">
        <v>2</v>
      </c>
      <c r="C15" s="192"/>
      <c r="D15" s="192"/>
      <c r="E15" s="192"/>
      <c r="F15" s="192"/>
      <c r="G15" s="192"/>
      <c r="H15" s="193"/>
      <c r="I15" s="193"/>
      <c r="J15" s="193"/>
      <c r="K15" s="193"/>
      <c r="L15" s="193"/>
      <c r="M15" s="193"/>
      <c r="N15" s="193"/>
      <c r="O15" s="193"/>
      <c r="P15" s="193"/>
      <c r="Q15" s="193"/>
      <c r="R15" s="226" t="s">
        <v>104</v>
      </c>
      <c r="S15" s="227">
        <v>0.38300000000000001</v>
      </c>
      <c r="T15" s="228" t="s">
        <v>140</v>
      </c>
      <c r="U15" s="227">
        <v>0.61699999999999999</v>
      </c>
      <c r="V15" s="225"/>
      <c r="W15" s="192"/>
      <c r="X15" s="5"/>
    </row>
    <row r="16" spans="1:24" ht="15.6" x14ac:dyDescent="0.3">
      <c r="A16" s="183"/>
      <c r="B16" s="222" t="s">
        <v>3</v>
      </c>
      <c r="C16" s="192"/>
      <c r="D16" s="192"/>
      <c r="E16" s="192"/>
      <c r="F16" s="192"/>
      <c r="G16" s="192"/>
      <c r="H16" s="193"/>
      <c r="I16" s="193"/>
      <c r="J16" s="193"/>
      <c r="K16" s="193"/>
      <c r="L16" s="193"/>
      <c r="M16" s="193"/>
      <c r="N16" s="193"/>
      <c r="O16" s="193"/>
      <c r="P16" s="193"/>
      <c r="Q16" s="193"/>
      <c r="R16" s="226" t="s">
        <v>104</v>
      </c>
      <c r="S16" s="227">
        <v>0.48420000000000002</v>
      </c>
      <c r="T16" s="228" t="s">
        <v>140</v>
      </c>
      <c r="U16" s="227">
        <v>0.51580000000000004</v>
      </c>
      <c r="V16" s="225"/>
      <c r="W16" s="192"/>
      <c r="X16" s="5"/>
    </row>
    <row r="17" spans="1:24" ht="15.6" x14ac:dyDescent="0.3">
      <c r="A17" s="183"/>
      <c r="B17" s="222" t="s">
        <v>4</v>
      </c>
      <c r="C17" s="192"/>
      <c r="D17" s="192"/>
      <c r="E17" s="192"/>
      <c r="F17" s="192"/>
      <c r="G17" s="192"/>
      <c r="H17" s="192"/>
      <c r="I17" s="192"/>
      <c r="J17" s="192"/>
      <c r="K17" s="192"/>
      <c r="L17" s="192"/>
      <c r="M17" s="192"/>
      <c r="N17" s="192"/>
      <c r="O17" s="192"/>
      <c r="P17" s="192"/>
      <c r="Q17" s="192"/>
      <c r="R17" s="224"/>
      <c r="S17" s="224"/>
      <c r="T17" s="224"/>
      <c r="U17" s="224"/>
      <c r="V17" s="229">
        <v>39163</v>
      </c>
      <c r="W17" s="192"/>
      <c r="X17" s="5"/>
    </row>
    <row r="18" spans="1:24" ht="15.6" x14ac:dyDescent="0.3">
      <c r="A18" s="183"/>
      <c r="B18" s="222" t="s">
        <v>5</v>
      </c>
      <c r="C18" s="192"/>
      <c r="D18" s="192"/>
      <c r="E18" s="192"/>
      <c r="F18" s="192"/>
      <c r="G18" s="192"/>
      <c r="H18" s="192"/>
      <c r="I18" s="192"/>
      <c r="J18" s="192"/>
      <c r="K18" s="192"/>
      <c r="L18" s="192"/>
      <c r="M18" s="192"/>
      <c r="N18" s="192"/>
      <c r="O18" s="192"/>
      <c r="P18" s="192"/>
      <c r="Q18" s="192"/>
      <c r="R18" s="224"/>
      <c r="S18" s="224"/>
      <c r="T18" s="224"/>
      <c r="U18" s="224"/>
      <c r="V18" s="229">
        <v>42814</v>
      </c>
      <c r="W18" s="192"/>
      <c r="X18" s="5"/>
    </row>
    <row r="19" spans="1:24" ht="15.6" x14ac:dyDescent="0.3">
      <c r="A19" s="183"/>
      <c r="B19" s="185"/>
      <c r="C19" s="185"/>
      <c r="D19" s="185"/>
      <c r="E19" s="185"/>
      <c r="F19" s="185"/>
      <c r="G19" s="185"/>
      <c r="H19" s="185"/>
      <c r="I19" s="185"/>
      <c r="J19" s="185"/>
      <c r="K19" s="185"/>
      <c r="L19" s="185"/>
      <c r="M19" s="185"/>
      <c r="N19" s="185"/>
      <c r="O19" s="185"/>
      <c r="P19" s="185"/>
      <c r="Q19" s="185"/>
      <c r="R19" s="185"/>
      <c r="S19" s="185"/>
      <c r="T19" s="185"/>
      <c r="U19" s="185"/>
      <c r="V19" s="194"/>
      <c r="W19" s="185"/>
      <c r="X19" s="5"/>
    </row>
    <row r="20" spans="1:24" ht="15.6" x14ac:dyDescent="0.3">
      <c r="A20" s="183"/>
      <c r="B20" s="230" t="s">
        <v>6</v>
      </c>
      <c r="C20" s="185"/>
      <c r="D20" s="185"/>
      <c r="E20" s="185"/>
      <c r="F20" s="185"/>
      <c r="G20" s="185"/>
      <c r="H20" s="185"/>
      <c r="I20" s="185"/>
      <c r="J20" s="185"/>
      <c r="K20" s="185"/>
      <c r="L20" s="185"/>
      <c r="M20" s="185"/>
      <c r="N20" s="185"/>
      <c r="O20" s="185"/>
      <c r="P20" s="185"/>
      <c r="Q20" s="185"/>
      <c r="R20" s="185"/>
      <c r="S20" s="185"/>
      <c r="T20" s="223" t="s">
        <v>105</v>
      </c>
      <c r="U20" s="185"/>
      <c r="V20" s="182"/>
      <c r="W20" s="185"/>
      <c r="X20" s="5"/>
    </row>
    <row r="21" spans="1:24" ht="15.6" x14ac:dyDescent="0.3">
      <c r="A21" s="183"/>
      <c r="B21" s="185"/>
      <c r="C21" s="185"/>
      <c r="D21" s="185"/>
      <c r="E21" s="185"/>
      <c r="F21" s="185"/>
      <c r="G21" s="185"/>
      <c r="H21" s="185"/>
      <c r="I21" s="185"/>
      <c r="J21" s="185"/>
      <c r="K21" s="185"/>
      <c r="L21" s="185"/>
      <c r="M21" s="185"/>
      <c r="N21" s="185"/>
      <c r="O21" s="185"/>
      <c r="P21" s="185"/>
      <c r="Q21" s="185"/>
      <c r="R21" s="185"/>
      <c r="S21" s="185"/>
      <c r="T21" s="185"/>
      <c r="U21" s="185"/>
      <c r="V21" s="196"/>
      <c r="W21" s="185"/>
      <c r="X21" s="5"/>
    </row>
    <row r="22" spans="1:24" ht="15.6" x14ac:dyDescent="0.3">
      <c r="A22" s="262"/>
      <c r="B22" s="263"/>
      <c r="C22" s="264"/>
      <c r="D22" s="264" t="s">
        <v>177</v>
      </c>
      <c r="E22" s="264"/>
      <c r="F22" s="264" t="s">
        <v>178</v>
      </c>
      <c r="G22" s="264"/>
      <c r="H22" s="264" t="s">
        <v>179</v>
      </c>
      <c r="I22" s="264"/>
      <c r="J22" s="264" t="s">
        <v>220</v>
      </c>
      <c r="K22" s="264"/>
      <c r="L22" s="264" t="s">
        <v>180</v>
      </c>
      <c r="M22" s="264"/>
      <c r="N22" s="264" t="s">
        <v>181</v>
      </c>
      <c r="O22" s="264"/>
      <c r="P22" s="264" t="s">
        <v>221</v>
      </c>
      <c r="Q22" s="264"/>
      <c r="R22" s="264" t="s">
        <v>182</v>
      </c>
      <c r="S22" s="266"/>
      <c r="T22" s="266"/>
      <c r="U22" s="267"/>
      <c r="V22" s="267"/>
      <c r="W22" s="263"/>
      <c r="X22" s="5"/>
    </row>
    <row r="23" spans="1:24" ht="15.6" x14ac:dyDescent="0.3">
      <c r="A23" s="287"/>
      <c r="B23" s="288" t="s">
        <v>7</v>
      </c>
      <c r="C23" s="289"/>
      <c r="D23" s="289" t="s">
        <v>213</v>
      </c>
      <c r="E23" s="289"/>
      <c r="F23" s="289" t="s">
        <v>141</v>
      </c>
      <c r="G23" s="289"/>
      <c r="H23" s="289" t="s">
        <v>141</v>
      </c>
      <c r="I23" s="289"/>
      <c r="J23" s="289" t="s">
        <v>141</v>
      </c>
      <c r="K23" s="289"/>
      <c r="L23" s="289" t="s">
        <v>183</v>
      </c>
      <c r="M23" s="289"/>
      <c r="N23" s="289" t="s">
        <v>183</v>
      </c>
      <c r="O23" s="289"/>
      <c r="P23" s="289" t="s">
        <v>142</v>
      </c>
      <c r="Q23" s="289"/>
      <c r="R23" s="289" t="s">
        <v>142</v>
      </c>
      <c r="S23" s="289"/>
      <c r="T23" s="289"/>
      <c r="U23" s="290"/>
      <c r="V23" s="290"/>
      <c r="W23" s="291"/>
      <c r="X23" s="5"/>
    </row>
    <row r="24" spans="1:24" ht="15.6" x14ac:dyDescent="0.3">
      <c r="A24" s="287"/>
      <c r="B24" s="288" t="s">
        <v>8</v>
      </c>
      <c r="C24" s="289"/>
      <c r="D24" s="289" t="s">
        <v>214</v>
      </c>
      <c r="E24" s="289"/>
      <c r="F24" s="289" t="s">
        <v>143</v>
      </c>
      <c r="G24" s="289"/>
      <c r="H24" s="289" t="s">
        <v>143</v>
      </c>
      <c r="I24" s="289"/>
      <c r="J24" s="289" t="s">
        <v>143</v>
      </c>
      <c r="K24" s="289"/>
      <c r="L24" s="289" t="s">
        <v>165</v>
      </c>
      <c r="M24" s="289"/>
      <c r="N24" s="289" t="s">
        <v>165</v>
      </c>
      <c r="O24" s="289"/>
      <c r="P24" s="289" t="s">
        <v>144</v>
      </c>
      <c r="Q24" s="289"/>
      <c r="R24" s="289" t="s">
        <v>144</v>
      </c>
      <c r="S24" s="289"/>
      <c r="T24" s="289"/>
      <c r="U24" s="290"/>
      <c r="V24" s="290"/>
      <c r="W24" s="291"/>
      <c r="X24" s="5"/>
    </row>
    <row r="25" spans="1:24" ht="15.6" x14ac:dyDescent="0.3">
      <c r="A25" s="292"/>
      <c r="B25" s="288" t="s">
        <v>190</v>
      </c>
      <c r="C25" s="398"/>
      <c r="D25" s="289" t="s">
        <v>215</v>
      </c>
      <c r="E25" s="289"/>
      <c r="F25" s="289" t="s">
        <v>143</v>
      </c>
      <c r="G25" s="289"/>
      <c r="H25" s="289" t="s">
        <v>143</v>
      </c>
      <c r="I25" s="289"/>
      <c r="J25" s="289" t="s">
        <v>143</v>
      </c>
      <c r="K25" s="289"/>
      <c r="L25" s="289" t="s">
        <v>293</v>
      </c>
      <c r="M25" s="289"/>
      <c r="N25" s="289" t="s">
        <v>293</v>
      </c>
      <c r="O25" s="289"/>
      <c r="P25" s="289" t="s">
        <v>144</v>
      </c>
      <c r="Q25" s="289"/>
      <c r="R25" s="289" t="s">
        <v>144</v>
      </c>
      <c r="S25" s="398"/>
      <c r="T25" s="289"/>
      <c r="U25" s="290"/>
      <c r="V25" s="290"/>
      <c r="W25" s="291"/>
      <c r="X25" s="5"/>
    </row>
    <row r="26" spans="1:24" ht="15.6" x14ac:dyDescent="0.3">
      <c r="A26" s="292"/>
      <c r="B26" s="295" t="s">
        <v>9</v>
      </c>
      <c r="C26" s="398"/>
      <c r="D26" s="398" t="s">
        <v>333</v>
      </c>
      <c r="E26" s="398"/>
      <c r="F26" s="398" t="s">
        <v>333</v>
      </c>
      <c r="G26" s="398"/>
      <c r="H26" s="398" t="s">
        <v>333</v>
      </c>
      <c r="I26" s="398"/>
      <c r="J26" s="398" t="s">
        <v>333</v>
      </c>
      <c r="K26" s="398"/>
      <c r="L26" s="398" t="s">
        <v>333</v>
      </c>
      <c r="M26" s="398"/>
      <c r="N26" s="398" t="s">
        <v>333</v>
      </c>
      <c r="O26" s="398"/>
      <c r="P26" s="398" t="s">
        <v>334</v>
      </c>
      <c r="Q26" s="398"/>
      <c r="R26" s="398" t="s">
        <v>334</v>
      </c>
      <c r="S26" s="398"/>
      <c r="T26" s="289"/>
      <c r="U26" s="290"/>
      <c r="V26" s="290"/>
      <c r="W26" s="291"/>
      <c r="X26" s="5"/>
    </row>
    <row r="27" spans="1:24" ht="15.6" x14ac:dyDescent="0.3">
      <c r="A27" s="287"/>
      <c r="B27" s="295" t="s">
        <v>191</v>
      </c>
      <c r="C27" s="289"/>
      <c r="D27" s="398" t="s">
        <v>352</v>
      </c>
      <c r="E27" s="398"/>
      <c r="F27" s="398" t="s">
        <v>143</v>
      </c>
      <c r="G27" s="398"/>
      <c r="H27" s="398" t="s">
        <v>143</v>
      </c>
      <c r="I27" s="398"/>
      <c r="J27" s="398" t="s">
        <v>143</v>
      </c>
      <c r="K27" s="398"/>
      <c r="L27" s="398" t="s">
        <v>319</v>
      </c>
      <c r="M27" s="398"/>
      <c r="N27" s="398" t="s">
        <v>319</v>
      </c>
      <c r="O27" s="398"/>
      <c r="P27" s="398" t="s">
        <v>320</v>
      </c>
      <c r="Q27" s="398"/>
      <c r="R27" s="398" t="s">
        <v>320</v>
      </c>
      <c r="S27" s="289"/>
      <c r="T27" s="296"/>
      <c r="U27" s="290"/>
      <c r="V27" s="290"/>
      <c r="W27" s="291"/>
      <c r="X27" s="5"/>
    </row>
    <row r="28" spans="1:24" ht="15.6" x14ac:dyDescent="0.3">
      <c r="A28" s="287"/>
      <c r="B28" s="295" t="s">
        <v>192</v>
      </c>
      <c r="C28" s="289"/>
      <c r="D28" s="398" t="s">
        <v>143</v>
      </c>
      <c r="E28" s="398"/>
      <c r="F28" s="398" t="s">
        <v>143</v>
      </c>
      <c r="G28" s="398"/>
      <c r="H28" s="398" t="s">
        <v>143</v>
      </c>
      <c r="I28" s="398"/>
      <c r="J28" s="398" t="s">
        <v>143</v>
      </c>
      <c r="K28" s="398"/>
      <c r="L28" s="398" t="s">
        <v>143</v>
      </c>
      <c r="M28" s="398"/>
      <c r="N28" s="398" t="s">
        <v>143</v>
      </c>
      <c r="O28" s="398"/>
      <c r="P28" s="398" t="s">
        <v>337</v>
      </c>
      <c r="Q28" s="398"/>
      <c r="R28" s="398" t="s">
        <v>337</v>
      </c>
      <c r="S28" s="289"/>
      <c r="T28" s="296"/>
      <c r="U28" s="290"/>
      <c r="V28" s="290"/>
      <c r="W28" s="291"/>
      <c r="X28" s="5"/>
    </row>
    <row r="29" spans="1:24" ht="15.6" x14ac:dyDescent="0.3">
      <c r="A29" s="287"/>
      <c r="B29" s="288" t="s">
        <v>10</v>
      </c>
      <c r="C29" s="298"/>
      <c r="D29" s="289" t="s">
        <v>249</v>
      </c>
      <c r="E29" s="289"/>
      <c r="F29" s="296" t="s">
        <v>250</v>
      </c>
      <c r="G29" s="289"/>
      <c r="H29" s="289" t="s">
        <v>251</v>
      </c>
      <c r="I29" s="289"/>
      <c r="J29" s="289" t="s">
        <v>253</v>
      </c>
      <c r="K29" s="289"/>
      <c r="L29" s="289" t="s">
        <v>254</v>
      </c>
      <c r="M29" s="289"/>
      <c r="N29" s="289" t="s">
        <v>255</v>
      </c>
      <c r="O29" s="289"/>
      <c r="P29" s="289" t="s">
        <v>256</v>
      </c>
      <c r="Q29" s="289"/>
      <c r="R29" s="289" t="s">
        <v>257</v>
      </c>
      <c r="S29" s="299"/>
      <c r="T29" s="299"/>
      <c r="U29" s="300"/>
      <c r="V29" s="299"/>
      <c r="W29" s="301"/>
      <c r="X29" s="5"/>
    </row>
    <row r="30" spans="1:24" ht="15.6" x14ac:dyDescent="0.3">
      <c r="A30" s="287"/>
      <c r="B30" s="288" t="s">
        <v>10</v>
      </c>
      <c r="C30" s="298"/>
      <c r="D30" s="289" t="s">
        <v>248</v>
      </c>
      <c r="E30" s="289"/>
      <c r="F30" s="296" t="s">
        <v>118</v>
      </c>
      <c r="G30" s="289"/>
      <c r="H30" s="289" t="s">
        <v>118</v>
      </c>
      <c r="I30" s="289"/>
      <c r="J30" s="289" t="s">
        <v>252</v>
      </c>
      <c r="K30" s="289"/>
      <c r="L30" s="289" t="s">
        <v>118</v>
      </c>
      <c r="M30" s="289"/>
      <c r="N30" s="289" t="s">
        <v>118</v>
      </c>
      <c r="O30" s="289"/>
      <c r="P30" s="289" t="s">
        <v>118</v>
      </c>
      <c r="Q30" s="289"/>
      <c r="R30" s="289" t="s">
        <v>118</v>
      </c>
      <c r="S30" s="299"/>
      <c r="T30" s="299"/>
      <c r="U30" s="300"/>
      <c r="V30" s="299"/>
      <c r="W30" s="301"/>
      <c r="X30" s="5"/>
    </row>
    <row r="31" spans="1:24" ht="15.6" x14ac:dyDescent="0.3">
      <c r="A31" s="292"/>
      <c r="B31" s="288" t="s">
        <v>133</v>
      </c>
      <c r="C31" s="302"/>
      <c r="D31" s="303">
        <v>1500000</v>
      </c>
      <c r="E31" s="298"/>
      <c r="F31" s="299">
        <v>125000</v>
      </c>
      <c r="G31" s="299"/>
      <c r="H31" s="304">
        <v>246000</v>
      </c>
      <c r="I31" s="304"/>
      <c r="J31" s="303">
        <v>400000</v>
      </c>
      <c r="K31" s="299"/>
      <c r="L31" s="299">
        <v>51900</v>
      </c>
      <c r="M31" s="299"/>
      <c r="N31" s="304">
        <v>88800</v>
      </c>
      <c r="O31" s="299"/>
      <c r="P31" s="299">
        <v>20000</v>
      </c>
      <c r="Q31" s="299"/>
      <c r="R31" s="304">
        <v>135500</v>
      </c>
      <c r="S31" s="305"/>
      <c r="T31" s="305"/>
      <c r="U31" s="306"/>
      <c r="V31" s="305"/>
      <c r="W31" s="301"/>
      <c r="X31" s="5"/>
    </row>
    <row r="32" spans="1:24" ht="15.6" x14ac:dyDescent="0.3">
      <c r="A32" s="287"/>
      <c r="B32" s="288" t="s">
        <v>132</v>
      </c>
      <c r="C32" s="298"/>
      <c r="D32" s="408">
        <f>D34*D38</f>
        <v>423694.5287652</v>
      </c>
      <c r="E32" s="298"/>
      <c r="F32" s="299">
        <f>F31*F38</f>
        <v>68320.925000000003</v>
      </c>
      <c r="G32" s="299"/>
      <c r="H32" s="304">
        <f>H31*H38</f>
        <v>134455.58040000001</v>
      </c>
      <c r="I32" s="304"/>
      <c r="J32" s="303">
        <f>J31*J38</f>
        <v>218626.32</v>
      </c>
      <c r="K32" s="299"/>
      <c r="L32" s="299">
        <f>+L31</f>
        <v>51900</v>
      </c>
      <c r="M32" s="299"/>
      <c r="N32" s="304">
        <f>+N31</f>
        <v>88800</v>
      </c>
      <c r="O32" s="299"/>
      <c r="P32" s="299">
        <f>+P31</f>
        <v>20000</v>
      </c>
      <c r="Q32" s="299"/>
      <c r="R32" s="304">
        <f>+R31</f>
        <v>135500</v>
      </c>
      <c r="S32" s="299"/>
      <c r="T32" s="299"/>
      <c r="U32" s="300"/>
      <c r="V32" s="299"/>
      <c r="W32" s="301"/>
      <c r="X32" s="5"/>
    </row>
    <row r="33" spans="1:24" ht="15.6" x14ac:dyDescent="0.3">
      <c r="A33" s="287"/>
      <c r="B33" s="295" t="s">
        <v>134</v>
      </c>
      <c r="C33" s="298"/>
      <c r="D33" s="409">
        <f>D34*D37</f>
        <v>414115.68906539999</v>
      </c>
      <c r="E33" s="302"/>
      <c r="F33" s="305">
        <f>F37*F31</f>
        <v>66776.349999999991</v>
      </c>
      <c r="G33" s="305"/>
      <c r="H33" s="308">
        <f>H31*H37</f>
        <v>131415.85680000001</v>
      </c>
      <c r="I33" s="308"/>
      <c r="J33" s="307">
        <f>J37*J31</f>
        <v>213683.63999999998</v>
      </c>
      <c r="K33" s="305"/>
      <c r="L33" s="305">
        <f>L31*L37</f>
        <v>51900</v>
      </c>
      <c r="M33" s="305"/>
      <c r="N33" s="308">
        <f>N31*N37</f>
        <v>88800</v>
      </c>
      <c r="O33" s="305"/>
      <c r="P33" s="305">
        <f>P31*P37</f>
        <v>20000</v>
      </c>
      <c r="Q33" s="305"/>
      <c r="R33" s="308">
        <f>R31*R37</f>
        <v>135500</v>
      </c>
      <c r="S33" s="299"/>
      <c r="T33" s="299"/>
      <c r="U33" s="300"/>
      <c r="V33" s="299"/>
      <c r="W33" s="301"/>
      <c r="X33" s="5"/>
    </row>
    <row r="34" spans="1:24" ht="15.6" x14ac:dyDescent="0.3">
      <c r="A34" s="292"/>
      <c r="B34" s="288" t="s">
        <v>296</v>
      </c>
      <c r="C34" s="302"/>
      <c r="D34" s="299">
        <v>775194</v>
      </c>
      <c r="E34" s="298"/>
      <c r="F34" s="299">
        <v>125000</v>
      </c>
      <c r="G34" s="299"/>
      <c r="H34" s="299">
        <v>168148</v>
      </c>
      <c r="I34" s="299"/>
      <c r="J34" s="299">
        <v>206718</v>
      </c>
      <c r="K34" s="299"/>
      <c r="L34" s="299">
        <v>51900</v>
      </c>
      <c r="M34" s="299"/>
      <c r="N34" s="299">
        <v>60697</v>
      </c>
      <c r="O34" s="299"/>
      <c r="P34" s="299">
        <v>20000</v>
      </c>
      <c r="Q34" s="299"/>
      <c r="R34" s="299">
        <v>92618</v>
      </c>
      <c r="S34" s="305"/>
      <c r="T34" s="305"/>
      <c r="U34" s="306"/>
      <c r="V34" s="299">
        <f>SUM(C34:R34)</f>
        <v>1500275</v>
      </c>
      <c r="W34" s="301"/>
      <c r="X34" s="5"/>
    </row>
    <row r="35" spans="1:24" ht="15.6" x14ac:dyDescent="0.3">
      <c r="A35" s="292"/>
      <c r="B35" s="288" t="s">
        <v>297</v>
      </c>
      <c r="C35" s="302"/>
      <c r="D35" s="299">
        <f>D34*D38</f>
        <v>423694.5287652</v>
      </c>
      <c r="E35" s="298"/>
      <c r="F35" s="299">
        <f>F34*F38</f>
        <v>68320.925000000003</v>
      </c>
      <c r="G35" s="299"/>
      <c r="H35" s="299">
        <f>H34*H38</f>
        <v>91904.215175200006</v>
      </c>
      <c r="I35" s="299"/>
      <c r="J35" s="299">
        <f>J34*J38</f>
        <v>112984.9890444</v>
      </c>
      <c r="K35" s="299"/>
      <c r="L35" s="299">
        <f>+L34</f>
        <v>51900</v>
      </c>
      <c r="M35" s="299"/>
      <c r="N35" s="299">
        <f>+N34</f>
        <v>60697</v>
      </c>
      <c r="O35" s="299"/>
      <c r="P35" s="299">
        <f>+P34</f>
        <v>20000</v>
      </c>
      <c r="Q35" s="299"/>
      <c r="R35" s="299">
        <f>+R34</f>
        <v>92618</v>
      </c>
      <c r="S35" s="299"/>
      <c r="T35" s="299"/>
      <c r="U35" s="300"/>
      <c r="V35" s="299">
        <f>SUM(C35:R35)</f>
        <v>922119.65798480005</v>
      </c>
      <c r="W35" s="301"/>
      <c r="X35" s="5"/>
    </row>
    <row r="36" spans="1:24" ht="15.6" x14ac:dyDescent="0.3">
      <c r="A36" s="292"/>
      <c r="B36" s="295" t="s">
        <v>298</v>
      </c>
      <c r="C36" s="302"/>
      <c r="D36" s="305">
        <f>D34*D37</f>
        <v>414115.68906539999</v>
      </c>
      <c r="E36" s="302"/>
      <c r="F36" s="305">
        <f>F34*F37</f>
        <v>66776.349999999991</v>
      </c>
      <c r="G36" s="305"/>
      <c r="H36" s="305">
        <f>H34*H37</f>
        <v>89826.477598400001</v>
      </c>
      <c r="I36" s="305"/>
      <c r="J36" s="305">
        <f>J34*J37</f>
        <v>110430.6367338</v>
      </c>
      <c r="K36" s="305"/>
      <c r="L36" s="305">
        <f>L34*L37</f>
        <v>51900</v>
      </c>
      <c r="M36" s="305"/>
      <c r="N36" s="305">
        <f>N34*N37</f>
        <v>60697</v>
      </c>
      <c r="O36" s="305"/>
      <c r="P36" s="305">
        <f>P34*P37</f>
        <v>20000</v>
      </c>
      <c r="Q36" s="305"/>
      <c r="R36" s="305">
        <f>R34*R37</f>
        <v>92618</v>
      </c>
      <c r="S36" s="328"/>
      <c r="T36" s="328"/>
      <c r="U36" s="300"/>
      <c r="V36" s="305">
        <f>SUM(C36:R36)</f>
        <v>906364.15339759993</v>
      </c>
      <c r="W36" s="301"/>
      <c r="X36" s="5"/>
    </row>
    <row r="37" spans="1:24" ht="15.6" x14ac:dyDescent="0.3">
      <c r="A37" s="287"/>
      <c r="B37" s="313" t="s">
        <v>130</v>
      </c>
      <c r="C37" s="314"/>
      <c r="D37" s="315">
        <v>0.53420909999999999</v>
      </c>
      <c r="E37" s="315"/>
      <c r="F37" s="315">
        <v>0.53421079999999999</v>
      </c>
      <c r="G37" s="315"/>
      <c r="H37" s="315">
        <v>0.53421079999999999</v>
      </c>
      <c r="I37" s="315"/>
      <c r="J37" s="315">
        <v>0.53420909999999999</v>
      </c>
      <c r="K37" s="315"/>
      <c r="L37" s="315">
        <v>1</v>
      </c>
      <c r="M37" s="315"/>
      <c r="N37" s="315">
        <v>1</v>
      </c>
      <c r="O37" s="315"/>
      <c r="P37" s="315">
        <v>1</v>
      </c>
      <c r="Q37" s="315"/>
      <c r="R37" s="315">
        <v>1</v>
      </c>
      <c r="S37" s="316"/>
      <c r="T37" s="316"/>
      <c r="U37" s="317"/>
      <c r="V37" s="317"/>
      <c r="W37" s="318"/>
      <c r="X37" s="5"/>
    </row>
    <row r="38" spans="1:24" ht="15.6" x14ac:dyDescent="0.3">
      <c r="A38" s="287"/>
      <c r="B38" s="313" t="s">
        <v>131</v>
      </c>
      <c r="C38" s="314"/>
      <c r="D38" s="315">
        <v>0.54656579999999999</v>
      </c>
      <c r="E38" s="315"/>
      <c r="F38" s="315">
        <v>0.54656740000000004</v>
      </c>
      <c r="G38" s="315"/>
      <c r="H38" s="315">
        <v>0.54656740000000004</v>
      </c>
      <c r="I38" s="315"/>
      <c r="J38" s="315">
        <v>0.54656579999999999</v>
      </c>
      <c r="K38" s="315"/>
      <c r="L38" s="315">
        <v>1</v>
      </c>
      <c r="M38" s="315"/>
      <c r="N38" s="315">
        <v>1</v>
      </c>
      <c r="O38" s="315"/>
      <c r="P38" s="315">
        <v>1</v>
      </c>
      <c r="Q38" s="315"/>
      <c r="R38" s="315">
        <v>1</v>
      </c>
      <c r="S38" s="319"/>
      <c r="T38" s="320"/>
      <c r="U38" s="317"/>
      <c r="V38" s="319"/>
      <c r="W38" s="318"/>
      <c r="X38" s="5"/>
    </row>
    <row r="39" spans="1:24" ht="15.6" x14ac:dyDescent="0.3">
      <c r="A39" s="287"/>
      <c r="B39" s="288" t="s">
        <v>11</v>
      </c>
      <c r="C39" s="288"/>
      <c r="D39" s="296" t="s">
        <v>321</v>
      </c>
      <c r="E39" s="288"/>
      <c r="F39" s="296" t="s">
        <v>231</v>
      </c>
      <c r="G39" s="296"/>
      <c r="H39" s="296" t="s">
        <v>231</v>
      </c>
      <c r="I39" s="296"/>
      <c r="J39" s="296" t="s">
        <v>231</v>
      </c>
      <c r="K39" s="296"/>
      <c r="L39" s="296" t="s">
        <v>265</v>
      </c>
      <c r="M39" s="296"/>
      <c r="N39" s="296" t="s">
        <v>265</v>
      </c>
      <c r="O39" s="296"/>
      <c r="P39" s="296" t="s">
        <v>266</v>
      </c>
      <c r="Q39" s="296"/>
      <c r="R39" s="296" t="s">
        <v>266</v>
      </c>
      <c r="S39" s="321"/>
      <c r="T39" s="322"/>
      <c r="U39" s="290"/>
      <c r="V39" s="290"/>
      <c r="W39" s="291"/>
      <c r="X39" s="5"/>
    </row>
    <row r="40" spans="1:24" ht="15.6" x14ac:dyDescent="0.3">
      <c r="A40" s="287"/>
      <c r="B40" s="288" t="s">
        <v>12</v>
      </c>
      <c r="C40" s="288"/>
      <c r="D40" s="322">
        <v>5.7688000000000001E-3</v>
      </c>
      <c r="E40" s="288"/>
      <c r="F40" s="322">
        <v>5.7312999999999999E-3</v>
      </c>
      <c r="G40" s="321"/>
      <c r="H40" s="322">
        <v>0</v>
      </c>
      <c r="I40" s="322"/>
      <c r="J40" s="322">
        <v>1.16344E-2</v>
      </c>
      <c r="K40" s="321"/>
      <c r="L40" s="322">
        <v>7.3312999999999998E-3</v>
      </c>
      <c r="M40" s="321"/>
      <c r="N40" s="322">
        <v>4.4000000000000002E-4</v>
      </c>
      <c r="O40" s="321"/>
      <c r="P40" s="322">
        <v>1.1331300000000001E-2</v>
      </c>
      <c r="Q40" s="321"/>
      <c r="R40" s="322">
        <v>4.4400000000000004E-3</v>
      </c>
      <c r="S40" s="321"/>
      <c r="T40" s="322"/>
      <c r="U40" s="290"/>
      <c r="V40" s="296"/>
      <c r="W40" s="291"/>
      <c r="X40" s="5"/>
    </row>
    <row r="41" spans="1:24" ht="15.6" x14ac:dyDescent="0.3">
      <c r="A41" s="287"/>
      <c r="B41" s="288" t="s">
        <v>13</v>
      </c>
      <c r="C41" s="288"/>
      <c r="D41" s="322">
        <v>7.3816999999999997E-3</v>
      </c>
      <c r="E41" s="288"/>
      <c r="F41" s="322">
        <v>5.8187999999999998E-3</v>
      </c>
      <c r="G41" s="321"/>
      <c r="H41" s="322">
        <v>0</v>
      </c>
      <c r="I41" s="322"/>
      <c r="J41" s="322">
        <v>1.05028E-2</v>
      </c>
      <c r="K41" s="321"/>
      <c r="L41" s="322">
        <v>7.4187999999999997E-3</v>
      </c>
      <c r="M41" s="321"/>
      <c r="N41" s="322">
        <v>5.8E-4</v>
      </c>
      <c r="O41" s="321"/>
      <c r="P41" s="322">
        <v>1.14188E-2</v>
      </c>
      <c r="Q41" s="321"/>
      <c r="R41" s="322">
        <v>4.5799999999999999E-3</v>
      </c>
      <c r="S41" s="321"/>
      <c r="T41" s="322"/>
      <c r="U41" s="290"/>
      <c r="V41" s="321" t="s">
        <v>193</v>
      </c>
      <c r="W41" s="291"/>
      <c r="X41" s="5"/>
    </row>
    <row r="42" spans="1:24" ht="15.6" x14ac:dyDescent="0.3">
      <c r="A42" s="287"/>
      <c r="B42" s="288" t="s">
        <v>299</v>
      </c>
      <c r="C42" s="288"/>
      <c r="D42" s="296" t="s">
        <v>321</v>
      </c>
      <c r="E42" s="288"/>
      <c r="F42" s="296" t="s">
        <v>231</v>
      </c>
      <c r="G42" s="296"/>
      <c r="H42" s="296" t="s">
        <v>323</v>
      </c>
      <c r="I42" s="296"/>
      <c r="J42" s="296" t="s">
        <v>324</v>
      </c>
      <c r="K42" s="296"/>
      <c r="L42" s="296" t="s">
        <v>265</v>
      </c>
      <c r="M42" s="296"/>
      <c r="N42" s="296" t="s">
        <v>234</v>
      </c>
      <c r="O42" s="296"/>
      <c r="P42" s="296" t="s">
        <v>266</v>
      </c>
      <c r="Q42" s="296"/>
      <c r="R42" s="296" t="s">
        <v>264</v>
      </c>
      <c r="S42" s="321"/>
      <c r="T42" s="322"/>
      <c r="U42" s="290"/>
      <c r="V42" s="290"/>
      <c r="W42" s="291"/>
      <c r="X42" s="5"/>
    </row>
    <row r="43" spans="1:24" ht="15.6" x14ac:dyDescent="0.3">
      <c r="A43" s="287"/>
      <c r="B43" s="288" t="s">
        <v>300</v>
      </c>
      <c r="C43" s="323"/>
      <c r="D43" s="322">
        <f>D40</f>
        <v>5.7688000000000001E-3</v>
      </c>
      <c r="E43" s="322"/>
      <c r="F43" s="322">
        <f>+F40</f>
        <v>5.7312999999999999E-3</v>
      </c>
      <c r="G43" s="322"/>
      <c r="H43" s="322">
        <v>6.0112999999999998E-3</v>
      </c>
      <c r="I43" s="322"/>
      <c r="J43" s="322">
        <v>6.4573E-3</v>
      </c>
      <c r="K43" s="322"/>
      <c r="L43" s="322">
        <f>+L40</f>
        <v>7.3312999999999998E-3</v>
      </c>
      <c r="M43" s="322"/>
      <c r="N43" s="322">
        <v>7.9232999999999994E-3</v>
      </c>
      <c r="O43" s="322"/>
      <c r="P43" s="322">
        <f>+P40</f>
        <v>1.1331300000000001E-2</v>
      </c>
      <c r="Q43" s="321"/>
      <c r="R43" s="322">
        <v>1.23973E-2</v>
      </c>
      <c r="S43" s="296"/>
      <c r="T43" s="296"/>
      <c r="U43" s="290"/>
      <c r="V43" s="321">
        <f>SUMPRODUCT(D43:R43,D35:R35)/V35</f>
        <v>6.8907246254986659E-3</v>
      </c>
      <c r="W43" s="291"/>
      <c r="X43" s="5"/>
    </row>
    <row r="44" spans="1:24" ht="15.6" x14ac:dyDescent="0.3">
      <c r="A44" s="287"/>
      <c r="B44" s="288" t="s">
        <v>301</v>
      </c>
      <c r="C44" s="323"/>
      <c r="D44" s="322">
        <v>6.1928E-3</v>
      </c>
      <c r="E44" s="322"/>
      <c r="F44" s="322">
        <f>+F41</f>
        <v>5.8187999999999998E-3</v>
      </c>
      <c r="G44" s="322"/>
      <c r="H44" s="322">
        <v>6.0987999999999997E-3</v>
      </c>
      <c r="I44" s="322"/>
      <c r="J44" s="322">
        <v>6.5447999999999999E-3</v>
      </c>
      <c r="K44" s="322"/>
      <c r="L44" s="322">
        <f>+L41</f>
        <v>7.4187999999999997E-3</v>
      </c>
      <c r="M44" s="322"/>
      <c r="N44" s="322">
        <v>8.0108000000000002E-3</v>
      </c>
      <c r="O44" s="322"/>
      <c r="P44" s="322">
        <f>+P41</f>
        <v>1.14188E-2</v>
      </c>
      <c r="Q44" s="321"/>
      <c r="R44" s="322">
        <v>1.2484800000000001E-2</v>
      </c>
      <c r="S44" s="296"/>
      <c r="T44" s="296"/>
      <c r="U44" s="290"/>
      <c r="V44" s="290"/>
      <c r="W44" s="291"/>
      <c r="X44" s="5"/>
    </row>
    <row r="45" spans="1:24" ht="15.6" x14ac:dyDescent="0.3">
      <c r="A45" s="287"/>
      <c r="B45" s="288" t="s">
        <v>14</v>
      </c>
      <c r="C45" s="288"/>
      <c r="D45" s="323">
        <v>40617</v>
      </c>
      <c r="E45" s="323"/>
      <c r="F45" s="323">
        <v>40617</v>
      </c>
      <c r="G45" s="323"/>
      <c r="H45" s="323">
        <v>40617</v>
      </c>
      <c r="I45" s="323"/>
      <c r="J45" s="323">
        <v>40617</v>
      </c>
      <c r="K45" s="323"/>
      <c r="L45" s="323">
        <v>40617</v>
      </c>
      <c r="M45" s="323"/>
      <c r="N45" s="323">
        <v>40617</v>
      </c>
      <c r="O45" s="323"/>
      <c r="P45" s="323">
        <v>40617</v>
      </c>
      <c r="Q45" s="323"/>
      <c r="R45" s="323">
        <v>40617</v>
      </c>
      <c r="S45" s="296"/>
      <c r="T45" s="296"/>
      <c r="U45" s="290"/>
      <c r="V45" s="290"/>
      <c r="W45" s="291"/>
      <c r="X45" s="5"/>
    </row>
    <row r="46" spans="1:24" ht="15.6" x14ac:dyDescent="0.3">
      <c r="A46" s="287"/>
      <c r="B46" s="288" t="s">
        <v>15</v>
      </c>
      <c r="C46" s="288"/>
      <c r="D46" s="323">
        <v>40983</v>
      </c>
      <c r="E46" s="323"/>
      <c r="F46" s="323">
        <v>40983</v>
      </c>
      <c r="G46" s="323"/>
      <c r="H46" s="323">
        <v>40983</v>
      </c>
      <c r="I46" s="323"/>
      <c r="J46" s="323">
        <v>40983</v>
      </c>
      <c r="K46" s="296"/>
      <c r="L46" s="323">
        <v>40983</v>
      </c>
      <c r="M46" s="296"/>
      <c r="N46" s="323">
        <v>40983</v>
      </c>
      <c r="O46" s="296"/>
      <c r="P46" s="323">
        <v>40983</v>
      </c>
      <c r="Q46" s="296"/>
      <c r="R46" s="323">
        <v>40983</v>
      </c>
      <c r="S46" s="296"/>
      <c r="T46" s="296"/>
      <c r="U46" s="290"/>
      <c r="V46" s="290"/>
      <c r="W46" s="291"/>
      <c r="X46" s="5"/>
    </row>
    <row r="47" spans="1:24" ht="15.6" x14ac:dyDescent="0.3">
      <c r="A47" s="287"/>
      <c r="B47" s="288" t="s">
        <v>119</v>
      </c>
      <c r="C47" s="288"/>
      <c r="D47" s="296" t="s">
        <v>231</v>
      </c>
      <c r="E47" s="288"/>
      <c r="F47" s="296" t="s">
        <v>231</v>
      </c>
      <c r="G47" s="296"/>
      <c r="H47" s="296" t="s">
        <v>231</v>
      </c>
      <c r="I47" s="296"/>
      <c r="J47" s="296" t="s">
        <v>231</v>
      </c>
      <c r="K47" s="296"/>
      <c r="L47" s="296" t="s">
        <v>265</v>
      </c>
      <c r="M47" s="296"/>
      <c r="N47" s="296" t="s">
        <v>265</v>
      </c>
      <c r="O47" s="296"/>
      <c r="P47" s="296" t="s">
        <v>266</v>
      </c>
      <c r="Q47" s="296"/>
      <c r="R47" s="296" t="s">
        <v>266</v>
      </c>
      <c r="S47" s="325"/>
      <c r="T47" s="325"/>
      <c r="U47" s="325"/>
      <c r="V47" s="325"/>
      <c r="W47" s="291"/>
      <c r="X47" s="5"/>
    </row>
    <row r="48" spans="1:24" ht="15.6" x14ac:dyDescent="0.3">
      <c r="A48" s="287"/>
      <c r="B48" s="288" t="s">
        <v>302</v>
      </c>
      <c r="C48" s="288"/>
      <c r="D48" s="296" t="s">
        <v>325</v>
      </c>
      <c r="E48" s="288"/>
      <c r="F48" s="296" t="s">
        <v>231</v>
      </c>
      <c r="G48" s="296"/>
      <c r="H48" s="296" t="s">
        <v>262</v>
      </c>
      <c r="I48" s="296"/>
      <c r="J48" s="296" t="s">
        <v>263</v>
      </c>
      <c r="K48" s="296"/>
      <c r="L48" s="296" t="s">
        <v>265</v>
      </c>
      <c r="M48" s="296"/>
      <c r="N48" s="296" t="s">
        <v>234</v>
      </c>
      <c r="O48" s="296"/>
      <c r="P48" s="296" t="s">
        <v>266</v>
      </c>
      <c r="Q48" s="296"/>
      <c r="R48" s="296" t="s">
        <v>264</v>
      </c>
      <c r="S48" s="288"/>
      <c r="T48" s="288"/>
      <c r="U48" s="288"/>
      <c r="V48" s="321"/>
      <c r="W48" s="291"/>
      <c r="X48" s="5"/>
    </row>
    <row r="49" spans="1:25" ht="15.6" x14ac:dyDescent="0.3">
      <c r="A49" s="287"/>
      <c r="B49" s="288"/>
      <c r="C49" s="288"/>
      <c r="D49" s="296"/>
      <c r="E49" s="288"/>
      <c r="F49" s="296"/>
      <c r="G49" s="296"/>
      <c r="H49" s="296"/>
      <c r="I49" s="296"/>
      <c r="J49" s="296"/>
      <c r="K49" s="296"/>
      <c r="L49" s="296"/>
      <c r="M49" s="296"/>
      <c r="N49" s="296"/>
      <c r="O49" s="296"/>
      <c r="P49" s="296"/>
      <c r="Q49" s="296"/>
      <c r="R49" s="296"/>
      <c r="S49" s="288"/>
      <c r="T49" s="288"/>
      <c r="U49" s="288"/>
      <c r="V49" s="321" t="s">
        <v>193</v>
      </c>
      <c r="W49" s="291"/>
      <c r="X49" s="5"/>
    </row>
    <row r="50" spans="1:25" ht="15.6" x14ac:dyDescent="0.3">
      <c r="A50" s="287"/>
      <c r="B50" s="288" t="s">
        <v>169</v>
      </c>
      <c r="C50" s="288"/>
      <c r="D50" s="296"/>
      <c r="E50" s="288"/>
      <c r="F50" s="296"/>
      <c r="G50" s="296"/>
      <c r="H50" s="296"/>
      <c r="I50" s="296"/>
      <c r="J50" s="296"/>
      <c r="K50" s="296"/>
      <c r="L50" s="296"/>
      <c r="M50" s="296"/>
      <c r="N50" s="296"/>
      <c r="O50" s="296"/>
      <c r="P50" s="296"/>
      <c r="Q50" s="296"/>
      <c r="R50" s="296"/>
      <c r="S50" s="288"/>
      <c r="T50" s="288"/>
      <c r="U50" s="288"/>
      <c r="V50" s="321">
        <f>SUM(L34:R34)/SUM(D34:J34)</f>
        <v>0.17663090364375009</v>
      </c>
      <c r="W50" s="291"/>
      <c r="X50" s="5"/>
    </row>
    <row r="51" spans="1:25" ht="15.6" x14ac:dyDescent="0.3">
      <c r="A51" s="287"/>
      <c r="B51" s="288" t="s">
        <v>170</v>
      </c>
      <c r="C51" s="288"/>
      <c r="D51" s="288"/>
      <c r="E51" s="288"/>
      <c r="F51" s="326"/>
      <c r="G51" s="288"/>
      <c r="H51" s="288"/>
      <c r="I51" s="288"/>
      <c r="J51" s="288"/>
      <c r="K51" s="288"/>
      <c r="L51" s="288"/>
      <c r="M51" s="288"/>
      <c r="N51" s="288"/>
      <c r="O51" s="288"/>
      <c r="P51" s="288"/>
      <c r="Q51" s="288"/>
      <c r="R51" s="288"/>
      <c r="S51" s="288"/>
      <c r="T51" s="288"/>
      <c r="U51" s="288"/>
      <c r="V51" s="321">
        <f>SUM(L36:R36)/SUM(D36:J36)</f>
        <v>0.33063977085872948</v>
      </c>
      <c r="W51" s="291"/>
      <c r="X51" s="5"/>
    </row>
    <row r="52" spans="1:25" ht="15.6" x14ac:dyDescent="0.3">
      <c r="A52" s="287"/>
      <c r="B52" s="288" t="s">
        <v>171</v>
      </c>
      <c r="C52" s="288"/>
      <c r="D52" s="288"/>
      <c r="E52" s="288"/>
      <c r="F52" s="288"/>
      <c r="G52" s="288"/>
      <c r="H52" s="288"/>
      <c r="I52" s="288"/>
      <c r="J52" s="288"/>
      <c r="K52" s="288"/>
      <c r="L52" s="288"/>
      <c r="M52" s="288"/>
      <c r="N52" s="288"/>
      <c r="O52" s="288"/>
      <c r="P52" s="288"/>
      <c r="Q52" s="288"/>
      <c r="R52" s="288"/>
      <c r="S52" s="288"/>
      <c r="T52" s="296"/>
      <c r="U52" s="296"/>
      <c r="V52" s="299" t="s">
        <v>276</v>
      </c>
      <c r="W52" s="291"/>
      <c r="X52" s="5"/>
    </row>
    <row r="53" spans="1:25" ht="15.6" x14ac:dyDescent="0.3">
      <c r="A53" s="287"/>
      <c r="B53" s="288"/>
      <c r="C53" s="288"/>
      <c r="D53" s="288"/>
      <c r="E53" s="288"/>
      <c r="F53" s="288"/>
      <c r="G53" s="288"/>
      <c r="H53" s="288"/>
      <c r="I53" s="288"/>
      <c r="J53" s="288"/>
      <c r="K53" s="288"/>
      <c r="L53" s="288"/>
      <c r="M53" s="288"/>
      <c r="N53" s="288"/>
      <c r="O53" s="288"/>
      <c r="P53" s="288"/>
      <c r="Q53" s="288"/>
      <c r="R53" s="288"/>
      <c r="S53" s="288"/>
      <c r="T53" s="288"/>
      <c r="U53" s="288"/>
      <c r="V53" s="327"/>
      <c r="W53" s="291"/>
      <c r="X53" s="5"/>
    </row>
    <row r="54" spans="1:25" ht="15.6" x14ac:dyDescent="0.3">
      <c r="A54" s="287"/>
      <c r="B54" s="288" t="s">
        <v>361</v>
      </c>
      <c r="C54" s="288"/>
      <c r="D54" s="288"/>
      <c r="E54" s="288"/>
      <c r="F54" s="288"/>
      <c r="G54" s="288"/>
      <c r="H54" s="288"/>
      <c r="I54" s="288"/>
      <c r="J54" s="288"/>
      <c r="K54" s="288"/>
      <c r="L54" s="288"/>
      <c r="M54" s="288"/>
      <c r="N54" s="288"/>
      <c r="O54" s="288"/>
      <c r="P54" s="288"/>
      <c r="Q54" s="288"/>
      <c r="R54" s="288"/>
      <c r="S54" s="288"/>
      <c r="T54" s="296"/>
      <c r="U54" s="296"/>
      <c r="V54" s="329" t="s">
        <v>111</v>
      </c>
      <c r="W54" s="291"/>
      <c r="X54" s="5"/>
    </row>
    <row r="55" spans="1:25" ht="15.6" x14ac:dyDescent="0.3">
      <c r="A55" s="287"/>
      <c r="B55" s="295" t="s">
        <v>201</v>
      </c>
      <c r="C55" s="295"/>
      <c r="D55" s="295"/>
      <c r="E55" s="295"/>
      <c r="F55" s="295"/>
      <c r="G55" s="295"/>
      <c r="H55" s="295"/>
      <c r="I55" s="295"/>
      <c r="J55" s="295"/>
      <c r="K55" s="295"/>
      <c r="L55" s="295"/>
      <c r="M55" s="295"/>
      <c r="N55" s="295"/>
      <c r="O55" s="295"/>
      <c r="P55" s="295"/>
      <c r="Q55" s="295"/>
      <c r="R55" s="295"/>
      <c r="S55" s="295"/>
      <c r="T55" s="330"/>
      <c r="U55" s="330"/>
      <c r="V55" s="331">
        <v>42809</v>
      </c>
      <c r="W55" s="291"/>
      <c r="X55" s="5"/>
    </row>
    <row r="56" spans="1:25" ht="15.6" x14ac:dyDescent="0.3">
      <c r="A56" s="287"/>
      <c r="B56" s="288" t="s">
        <v>121</v>
      </c>
      <c r="C56" s="288"/>
      <c r="D56" s="288"/>
      <c r="E56" s="288"/>
      <c r="F56" s="288"/>
      <c r="G56" s="288"/>
      <c r="H56" s="332"/>
      <c r="I56" s="332"/>
      <c r="J56" s="332"/>
      <c r="K56" s="332"/>
      <c r="L56" s="332"/>
      <c r="M56" s="332"/>
      <c r="N56" s="332"/>
      <c r="O56" s="332"/>
      <c r="P56" s="332"/>
      <c r="Q56" s="332"/>
      <c r="R56" s="288">
        <f>+V56-T56+1</f>
        <v>91</v>
      </c>
      <c r="S56" s="332"/>
      <c r="T56" s="333">
        <v>42628</v>
      </c>
      <c r="U56" s="334"/>
      <c r="V56" s="333">
        <v>42718</v>
      </c>
      <c r="W56" s="291"/>
      <c r="X56" s="5"/>
    </row>
    <row r="57" spans="1:25" ht="15.6" x14ac:dyDescent="0.3">
      <c r="A57" s="287"/>
      <c r="B57" s="288" t="s">
        <v>122</v>
      </c>
      <c r="C57" s="288"/>
      <c r="D57" s="288"/>
      <c r="E57" s="288"/>
      <c r="F57" s="288"/>
      <c r="G57" s="288"/>
      <c r="H57" s="288"/>
      <c r="I57" s="288"/>
      <c r="J57" s="288"/>
      <c r="K57" s="288"/>
      <c r="L57" s="288"/>
      <c r="M57" s="288"/>
      <c r="N57" s="288"/>
      <c r="O57" s="288"/>
      <c r="P57" s="288"/>
      <c r="Q57" s="288"/>
      <c r="R57" s="288">
        <f>+V57-T57+1</f>
        <v>90</v>
      </c>
      <c r="S57" s="288"/>
      <c r="T57" s="333">
        <v>42719</v>
      </c>
      <c r="U57" s="334"/>
      <c r="V57" s="333">
        <v>42808</v>
      </c>
      <c r="W57" s="291"/>
      <c r="X57" s="5"/>
    </row>
    <row r="58" spans="1:25" ht="15.6" x14ac:dyDescent="0.3">
      <c r="A58" s="287"/>
      <c r="B58" s="288" t="s">
        <v>360</v>
      </c>
      <c r="C58" s="288"/>
      <c r="D58" s="288"/>
      <c r="E58" s="288"/>
      <c r="F58" s="288"/>
      <c r="G58" s="288"/>
      <c r="H58" s="288"/>
      <c r="I58" s="288"/>
      <c r="J58" s="288"/>
      <c r="K58" s="288"/>
      <c r="L58" s="288"/>
      <c r="M58" s="288"/>
      <c r="N58" s="288"/>
      <c r="O58" s="288"/>
      <c r="P58" s="288"/>
      <c r="Q58" s="288"/>
      <c r="R58" s="288"/>
      <c r="S58" s="288"/>
      <c r="T58" s="333"/>
      <c r="U58" s="334"/>
      <c r="V58" s="333" t="s">
        <v>120</v>
      </c>
      <c r="W58" s="291"/>
      <c r="X58" s="5"/>
    </row>
    <row r="59" spans="1:25" ht="15.6" x14ac:dyDescent="0.3">
      <c r="A59" s="287"/>
      <c r="B59" s="288" t="s">
        <v>359</v>
      </c>
      <c r="C59" s="288"/>
      <c r="D59" s="288"/>
      <c r="E59" s="288"/>
      <c r="F59" s="288"/>
      <c r="G59" s="288"/>
      <c r="H59" s="288"/>
      <c r="I59" s="288"/>
      <c r="J59" s="288"/>
      <c r="K59" s="288"/>
      <c r="L59" s="288"/>
      <c r="M59" s="288"/>
      <c r="N59" s="288"/>
      <c r="O59" s="288"/>
      <c r="P59" s="288"/>
      <c r="Q59" s="288"/>
      <c r="R59" s="288"/>
      <c r="S59" s="288"/>
      <c r="T59" s="333"/>
      <c r="U59" s="334"/>
      <c r="V59" s="333" t="s">
        <v>154</v>
      </c>
      <c r="W59" s="291"/>
      <c r="X59" s="5"/>
      <c r="Y59" s="134"/>
    </row>
    <row r="60" spans="1:25" ht="15.6" x14ac:dyDescent="0.3">
      <c r="A60" s="287"/>
      <c r="B60" s="288" t="s">
        <v>16</v>
      </c>
      <c r="C60" s="288"/>
      <c r="D60" s="288"/>
      <c r="E60" s="288"/>
      <c r="F60" s="288"/>
      <c r="G60" s="288"/>
      <c r="H60" s="288"/>
      <c r="I60" s="288"/>
      <c r="J60" s="288"/>
      <c r="K60" s="288"/>
      <c r="L60" s="288"/>
      <c r="M60" s="288"/>
      <c r="N60" s="288"/>
      <c r="O60" s="288"/>
      <c r="P60" s="288"/>
      <c r="Q60" s="288"/>
      <c r="R60" s="288"/>
      <c r="S60" s="288"/>
      <c r="T60" s="333"/>
      <c r="U60" s="334"/>
      <c r="V60" s="333">
        <v>42795</v>
      </c>
      <c r="W60" s="291"/>
      <c r="X60" s="5"/>
    </row>
    <row r="61" spans="1:25" ht="15.6" x14ac:dyDescent="0.3">
      <c r="A61" s="183"/>
      <c r="B61" s="284"/>
      <c r="C61" s="284"/>
      <c r="D61" s="284"/>
      <c r="E61" s="284"/>
      <c r="F61" s="284"/>
      <c r="G61" s="284"/>
      <c r="H61" s="284"/>
      <c r="I61" s="284"/>
      <c r="J61" s="284"/>
      <c r="K61" s="284"/>
      <c r="L61" s="284"/>
      <c r="M61" s="284"/>
      <c r="N61" s="284"/>
      <c r="O61" s="284"/>
      <c r="P61" s="284"/>
      <c r="Q61" s="284"/>
      <c r="R61" s="284"/>
      <c r="S61" s="284"/>
      <c r="T61" s="285"/>
      <c r="U61" s="286"/>
      <c r="V61" s="285"/>
      <c r="W61" s="284"/>
      <c r="X61" s="5"/>
    </row>
    <row r="62" spans="1:25" ht="15.6" x14ac:dyDescent="0.3">
      <c r="A62" s="183"/>
      <c r="B62" s="224"/>
      <c r="C62" s="224"/>
      <c r="D62" s="224"/>
      <c r="E62" s="224"/>
      <c r="F62" s="224"/>
      <c r="G62" s="224"/>
      <c r="H62" s="224"/>
      <c r="I62" s="224"/>
      <c r="J62" s="224"/>
      <c r="K62" s="224"/>
      <c r="L62" s="224"/>
      <c r="M62" s="224"/>
      <c r="N62" s="224"/>
      <c r="O62" s="224"/>
      <c r="P62" s="224"/>
      <c r="Q62" s="224"/>
      <c r="R62" s="224"/>
      <c r="S62" s="224"/>
      <c r="T62" s="235"/>
      <c r="U62" s="236"/>
      <c r="V62" s="235"/>
      <c r="W62" s="224"/>
      <c r="X62" s="5"/>
    </row>
    <row r="63" spans="1:25" ht="18" thickBot="1" x14ac:dyDescent="0.35">
      <c r="A63" s="199"/>
      <c r="B63" s="237" t="s">
        <v>358</v>
      </c>
      <c r="C63" s="238"/>
      <c r="D63" s="238"/>
      <c r="E63" s="238"/>
      <c r="F63" s="238"/>
      <c r="G63" s="238"/>
      <c r="H63" s="238"/>
      <c r="I63" s="238"/>
      <c r="J63" s="238"/>
      <c r="K63" s="238"/>
      <c r="L63" s="238"/>
      <c r="M63" s="238"/>
      <c r="N63" s="238"/>
      <c r="O63" s="238"/>
      <c r="P63" s="238"/>
      <c r="Q63" s="238"/>
      <c r="R63" s="238"/>
      <c r="S63" s="238"/>
      <c r="T63" s="238"/>
      <c r="U63" s="238"/>
      <c r="V63" s="239"/>
      <c r="W63" s="240"/>
      <c r="X63" s="5"/>
    </row>
    <row r="64" spans="1:25" ht="15.6" x14ac:dyDescent="0.3">
      <c r="A64" s="262"/>
      <c r="B64" s="399" t="s">
        <v>17</v>
      </c>
      <c r="C64" s="263"/>
      <c r="D64" s="263"/>
      <c r="E64" s="263"/>
      <c r="F64" s="263"/>
      <c r="G64" s="263"/>
      <c r="H64" s="263"/>
      <c r="I64" s="263"/>
      <c r="J64" s="263"/>
      <c r="K64" s="263"/>
      <c r="L64" s="263"/>
      <c r="M64" s="263"/>
      <c r="N64" s="263"/>
      <c r="O64" s="263"/>
      <c r="P64" s="263"/>
      <c r="Q64" s="263"/>
      <c r="R64" s="263"/>
      <c r="S64" s="263"/>
      <c r="T64" s="263"/>
      <c r="U64" s="263"/>
      <c r="V64" s="268"/>
      <c r="W64" s="263"/>
      <c r="X64" s="5"/>
    </row>
    <row r="65" spans="1:24" ht="15.6" x14ac:dyDescent="0.3">
      <c r="A65" s="183"/>
      <c r="B65" s="191"/>
      <c r="C65" s="185"/>
      <c r="D65" s="185"/>
      <c r="E65" s="185"/>
      <c r="F65" s="185"/>
      <c r="G65" s="185"/>
      <c r="H65" s="185"/>
      <c r="I65" s="185"/>
      <c r="J65" s="185"/>
      <c r="K65" s="185"/>
      <c r="L65" s="185"/>
      <c r="M65" s="185"/>
      <c r="N65" s="185"/>
      <c r="O65" s="185"/>
      <c r="P65" s="185"/>
      <c r="Q65" s="185"/>
      <c r="R65" s="185"/>
      <c r="S65" s="185"/>
      <c r="T65" s="185"/>
      <c r="U65" s="185"/>
      <c r="V65" s="201"/>
      <c r="W65" s="185"/>
      <c r="X65" s="5"/>
    </row>
    <row r="66" spans="1:24" ht="46.8" x14ac:dyDescent="0.3">
      <c r="A66" s="183"/>
      <c r="B66" s="202" t="s">
        <v>18</v>
      </c>
      <c r="C66" s="203"/>
      <c r="D66" s="203"/>
      <c r="E66" s="203"/>
      <c r="F66" s="203"/>
      <c r="G66" s="203"/>
      <c r="H66" s="203"/>
      <c r="I66" s="203"/>
      <c r="J66" s="203"/>
      <c r="K66" s="203"/>
      <c r="L66" s="203" t="s">
        <v>94</v>
      </c>
      <c r="M66" s="203"/>
      <c r="N66" s="203" t="s">
        <v>96</v>
      </c>
      <c r="O66" s="203"/>
      <c r="P66" s="203" t="s">
        <v>98</v>
      </c>
      <c r="Q66" s="203"/>
      <c r="R66" s="203" t="s">
        <v>100</v>
      </c>
      <c r="S66" s="203"/>
      <c r="T66" s="203" t="s">
        <v>106</v>
      </c>
      <c r="U66" s="203"/>
      <c r="V66" s="204" t="s">
        <v>112</v>
      </c>
      <c r="W66" s="205"/>
      <c r="X66" s="5"/>
    </row>
    <row r="67" spans="1:24" ht="15.6" x14ac:dyDescent="0.3">
      <c r="A67" s="287"/>
      <c r="B67" s="288" t="s">
        <v>19</v>
      </c>
      <c r="C67" s="337"/>
      <c r="D67" s="337"/>
      <c r="E67" s="337"/>
      <c r="F67" s="337"/>
      <c r="G67" s="337"/>
      <c r="H67" s="337"/>
      <c r="I67" s="337"/>
      <c r="J67" s="337"/>
      <c r="K67" s="337"/>
      <c r="L67" s="337">
        <v>1158015</v>
      </c>
      <c r="M67" s="337"/>
      <c r="N67" s="338">
        <v>922120</v>
      </c>
      <c r="O67" s="337"/>
      <c r="P67" s="337">
        <f>15756+92+66</f>
        <v>15914</v>
      </c>
      <c r="Q67" s="337"/>
      <c r="R67" s="337">
        <f>92+66</f>
        <v>158</v>
      </c>
      <c r="S67" s="337"/>
      <c r="T67" s="337">
        <v>0</v>
      </c>
      <c r="U67" s="337"/>
      <c r="V67" s="338">
        <f>+N67-P67+R67-T67</f>
        <v>906364</v>
      </c>
      <c r="W67" s="291"/>
      <c r="X67" s="5"/>
    </row>
    <row r="68" spans="1:24" ht="15.6" x14ac:dyDescent="0.3">
      <c r="A68" s="287"/>
      <c r="B68" s="288" t="s">
        <v>20</v>
      </c>
      <c r="C68" s="337"/>
      <c r="D68" s="337"/>
      <c r="E68" s="337"/>
      <c r="F68" s="337"/>
      <c r="G68" s="337"/>
      <c r="H68" s="337"/>
      <c r="I68" s="337"/>
      <c r="J68" s="337"/>
      <c r="K68" s="337"/>
      <c r="L68" s="337">
        <v>15</v>
      </c>
      <c r="M68" s="337"/>
      <c r="N68" s="338">
        <v>0</v>
      </c>
      <c r="O68" s="337"/>
      <c r="P68" s="337">
        <v>0</v>
      </c>
      <c r="Q68" s="337"/>
      <c r="R68" s="337">
        <v>0</v>
      </c>
      <c r="S68" s="337"/>
      <c r="T68" s="337">
        <v>0</v>
      </c>
      <c r="U68" s="337"/>
      <c r="V68" s="338">
        <v>0</v>
      </c>
      <c r="W68" s="291"/>
      <c r="X68" s="5"/>
    </row>
    <row r="69" spans="1:24" ht="15.6" x14ac:dyDescent="0.3">
      <c r="A69" s="287"/>
      <c r="B69" s="288"/>
      <c r="C69" s="337"/>
      <c r="D69" s="337"/>
      <c r="E69" s="337"/>
      <c r="F69" s="337"/>
      <c r="G69" s="337"/>
      <c r="H69" s="337"/>
      <c r="I69" s="337"/>
      <c r="J69" s="337"/>
      <c r="K69" s="337"/>
      <c r="L69" s="337"/>
      <c r="M69" s="337"/>
      <c r="N69" s="338"/>
      <c r="O69" s="337"/>
      <c r="P69" s="337"/>
      <c r="Q69" s="337"/>
      <c r="R69" s="337"/>
      <c r="S69" s="337"/>
      <c r="T69" s="337"/>
      <c r="U69" s="337"/>
      <c r="V69" s="338"/>
      <c r="W69" s="291"/>
      <c r="X69" s="5"/>
    </row>
    <row r="70" spans="1:24" ht="15.6" x14ac:dyDescent="0.3">
      <c r="A70" s="287"/>
      <c r="B70" s="288" t="s">
        <v>21</v>
      </c>
      <c r="C70" s="337"/>
      <c r="D70" s="337"/>
      <c r="E70" s="337"/>
      <c r="F70" s="337"/>
      <c r="G70" s="337"/>
      <c r="H70" s="337"/>
      <c r="I70" s="337"/>
      <c r="J70" s="337"/>
      <c r="K70" s="337"/>
      <c r="L70" s="337">
        <f>SUM(L67:L69)</f>
        <v>1158030</v>
      </c>
      <c r="M70" s="337"/>
      <c r="N70" s="337">
        <f>N67+N68</f>
        <v>922120</v>
      </c>
      <c r="O70" s="337"/>
      <c r="P70" s="337">
        <f>SUM(P67:P69)</f>
        <v>15914</v>
      </c>
      <c r="Q70" s="337"/>
      <c r="R70" s="337">
        <f>SUM(R67:R69)</f>
        <v>158</v>
      </c>
      <c r="S70" s="337"/>
      <c r="T70" s="337">
        <f>SUM(T67:T69)</f>
        <v>0</v>
      </c>
      <c r="U70" s="337"/>
      <c r="V70" s="337">
        <f>SUM(V67:V69)</f>
        <v>906364</v>
      </c>
      <c r="W70" s="291"/>
      <c r="X70" s="5"/>
    </row>
    <row r="71" spans="1:24" ht="15.6" x14ac:dyDescent="0.3">
      <c r="A71" s="183"/>
      <c r="B71" s="198"/>
      <c r="C71" s="335"/>
      <c r="D71" s="335"/>
      <c r="E71" s="335"/>
      <c r="F71" s="335"/>
      <c r="G71" s="335"/>
      <c r="H71" s="335"/>
      <c r="I71" s="335"/>
      <c r="J71" s="335"/>
      <c r="K71" s="335"/>
      <c r="L71" s="335"/>
      <c r="M71" s="335"/>
      <c r="N71" s="335"/>
      <c r="O71" s="335"/>
      <c r="P71" s="335"/>
      <c r="Q71" s="335"/>
      <c r="R71" s="335"/>
      <c r="S71" s="335"/>
      <c r="T71" s="335"/>
      <c r="U71" s="335"/>
      <c r="V71" s="336"/>
      <c r="W71" s="198"/>
      <c r="X71" s="5"/>
    </row>
    <row r="72" spans="1:24" ht="15.6" x14ac:dyDescent="0.3">
      <c r="A72" s="183"/>
      <c r="B72" s="187" t="s">
        <v>22</v>
      </c>
      <c r="C72" s="206"/>
      <c r="D72" s="206"/>
      <c r="E72" s="206"/>
      <c r="F72" s="206"/>
      <c r="G72" s="206"/>
      <c r="H72" s="206"/>
      <c r="I72" s="206"/>
      <c r="J72" s="206"/>
      <c r="K72" s="206"/>
      <c r="L72" s="206"/>
      <c r="M72" s="206"/>
      <c r="N72" s="206"/>
      <c r="O72" s="206"/>
      <c r="P72" s="206"/>
      <c r="Q72" s="206"/>
      <c r="R72" s="206"/>
      <c r="S72" s="206"/>
      <c r="T72" s="206"/>
      <c r="U72" s="206"/>
      <c r="V72" s="207"/>
      <c r="W72" s="185"/>
      <c r="X72" s="5"/>
    </row>
    <row r="73" spans="1:24" ht="15.6" x14ac:dyDescent="0.3">
      <c r="A73" s="183"/>
      <c r="B73" s="185"/>
      <c r="C73" s="206"/>
      <c r="D73" s="206"/>
      <c r="E73" s="206"/>
      <c r="F73" s="206"/>
      <c r="G73" s="206"/>
      <c r="H73" s="206"/>
      <c r="I73" s="206"/>
      <c r="J73" s="206"/>
      <c r="K73" s="206"/>
      <c r="L73" s="206"/>
      <c r="M73" s="206"/>
      <c r="N73" s="206"/>
      <c r="O73" s="206"/>
      <c r="P73" s="206"/>
      <c r="Q73" s="206"/>
      <c r="R73" s="206"/>
      <c r="S73" s="206"/>
      <c r="T73" s="206"/>
      <c r="U73" s="206"/>
      <c r="V73" s="207"/>
      <c r="W73" s="185"/>
      <c r="X73" s="5"/>
    </row>
    <row r="74" spans="1:24" ht="15.6" x14ac:dyDescent="0.3">
      <c r="A74" s="340"/>
      <c r="B74" s="288" t="s">
        <v>19</v>
      </c>
      <c r="C74" s="337"/>
      <c r="D74" s="337"/>
      <c r="E74" s="337"/>
      <c r="F74" s="337"/>
      <c r="G74" s="337"/>
      <c r="H74" s="337"/>
      <c r="I74" s="337"/>
      <c r="J74" s="337"/>
      <c r="K74" s="337"/>
      <c r="L74" s="337"/>
      <c r="M74" s="337"/>
      <c r="N74" s="337"/>
      <c r="O74" s="337"/>
      <c r="P74" s="337"/>
      <c r="Q74" s="337"/>
      <c r="R74" s="337"/>
      <c r="S74" s="337"/>
      <c r="T74" s="337"/>
      <c r="U74" s="337"/>
      <c r="V74" s="337"/>
      <c r="W74" s="291"/>
      <c r="X74" s="5"/>
    </row>
    <row r="75" spans="1:24" ht="15.6" x14ac:dyDescent="0.3">
      <c r="A75" s="340"/>
      <c r="B75" s="288" t="s">
        <v>20</v>
      </c>
      <c r="C75" s="337"/>
      <c r="D75" s="337"/>
      <c r="E75" s="337"/>
      <c r="F75" s="337"/>
      <c r="G75" s="337"/>
      <c r="H75" s="337"/>
      <c r="I75" s="337"/>
      <c r="J75" s="337"/>
      <c r="K75" s="337"/>
      <c r="L75" s="337"/>
      <c r="M75" s="337"/>
      <c r="N75" s="337"/>
      <c r="O75" s="337"/>
      <c r="P75" s="337"/>
      <c r="Q75" s="337"/>
      <c r="R75" s="337"/>
      <c r="S75" s="337"/>
      <c r="T75" s="337"/>
      <c r="U75" s="337"/>
      <c r="V75" s="337"/>
      <c r="W75" s="291"/>
      <c r="X75" s="5"/>
    </row>
    <row r="76" spans="1:24" ht="15.6" x14ac:dyDescent="0.3">
      <c r="A76" s="340"/>
      <c r="B76" s="288"/>
      <c r="C76" s="337"/>
      <c r="D76" s="337"/>
      <c r="E76" s="337"/>
      <c r="F76" s="337"/>
      <c r="G76" s="337"/>
      <c r="H76" s="337"/>
      <c r="I76" s="337"/>
      <c r="J76" s="337"/>
      <c r="K76" s="337"/>
      <c r="L76" s="337"/>
      <c r="M76" s="337"/>
      <c r="N76" s="337"/>
      <c r="O76" s="337"/>
      <c r="P76" s="337"/>
      <c r="Q76" s="337"/>
      <c r="R76" s="337"/>
      <c r="S76" s="337"/>
      <c r="T76" s="337"/>
      <c r="U76" s="337"/>
      <c r="V76" s="337"/>
      <c r="W76" s="291"/>
      <c r="X76" s="5"/>
    </row>
    <row r="77" spans="1:24" ht="15.6" x14ac:dyDescent="0.3">
      <c r="A77" s="340"/>
      <c r="B77" s="288" t="s">
        <v>21</v>
      </c>
      <c r="C77" s="337"/>
      <c r="D77" s="337"/>
      <c r="E77" s="337"/>
      <c r="F77" s="337"/>
      <c r="G77" s="337"/>
      <c r="H77" s="337"/>
      <c r="I77" s="337"/>
      <c r="J77" s="337"/>
      <c r="K77" s="337"/>
      <c r="L77" s="337"/>
      <c r="M77" s="337"/>
      <c r="N77" s="337"/>
      <c r="O77" s="337"/>
      <c r="P77" s="337"/>
      <c r="Q77" s="337"/>
      <c r="R77" s="337"/>
      <c r="S77" s="337"/>
      <c r="T77" s="337"/>
      <c r="U77" s="337"/>
      <c r="V77" s="337"/>
      <c r="W77" s="291"/>
      <c r="X77" s="5"/>
    </row>
    <row r="78" spans="1:24" ht="15.6" x14ac:dyDescent="0.3">
      <c r="A78" s="340"/>
      <c r="B78" s="288"/>
      <c r="C78" s="337"/>
      <c r="D78" s="337"/>
      <c r="E78" s="337"/>
      <c r="F78" s="337"/>
      <c r="G78" s="337"/>
      <c r="H78" s="337"/>
      <c r="I78" s="337"/>
      <c r="J78" s="337"/>
      <c r="K78" s="337"/>
      <c r="L78" s="337"/>
      <c r="M78" s="337"/>
      <c r="N78" s="337"/>
      <c r="O78" s="337"/>
      <c r="P78" s="337"/>
      <c r="Q78" s="337"/>
      <c r="R78" s="337"/>
      <c r="S78" s="337"/>
      <c r="T78" s="337"/>
      <c r="U78" s="337"/>
      <c r="V78" s="337"/>
      <c r="W78" s="291"/>
      <c r="X78" s="5"/>
    </row>
    <row r="79" spans="1:24" ht="15.6" x14ac:dyDescent="0.3">
      <c r="A79" s="340"/>
      <c r="B79" s="288" t="s">
        <v>23</v>
      </c>
      <c r="C79" s="337"/>
      <c r="D79" s="337"/>
      <c r="E79" s="337"/>
      <c r="F79" s="337"/>
      <c r="G79" s="337"/>
      <c r="H79" s="337"/>
      <c r="I79" s="337"/>
      <c r="J79" s="337"/>
      <c r="K79" s="337"/>
      <c r="L79" s="337">
        <v>0</v>
      </c>
      <c r="M79" s="337"/>
      <c r="N79" s="337">
        <v>0</v>
      </c>
      <c r="O79" s="337"/>
      <c r="P79" s="337"/>
      <c r="Q79" s="337"/>
      <c r="R79" s="337"/>
      <c r="S79" s="337"/>
      <c r="T79" s="337"/>
      <c r="U79" s="337"/>
      <c r="V79" s="338">
        <v>0</v>
      </c>
      <c r="W79" s="291"/>
      <c r="X79" s="5"/>
    </row>
    <row r="80" spans="1:24" ht="15.6" x14ac:dyDescent="0.3">
      <c r="A80" s="340"/>
      <c r="B80" s="288" t="s">
        <v>117</v>
      </c>
      <c r="C80" s="337"/>
      <c r="D80" s="337"/>
      <c r="E80" s="337"/>
      <c r="F80" s="337"/>
      <c r="G80" s="337"/>
      <c r="H80" s="337"/>
      <c r="I80" s="337"/>
      <c r="J80" s="337"/>
      <c r="K80" s="337"/>
      <c r="L80" s="337">
        <v>342245</v>
      </c>
      <c r="M80" s="337"/>
      <c r="N80" s="337">
        <v>0</v>
      </c>
      <c r="O80" s="337"/>
      <c r="P80" s="337">
        <v>0</v>
      </c>
      <c r="Q80" s="337"/>
      <c r="R80" s="337"/>
      <c r="S80" s="337"/>
      <c r="T80" s="337"/>
      <c r="U80" s="337"/>
      <c r="V80" s="337">
        <f>SUM(N80:R80)</f>
        <v>0</v>
      </c>
      <c r="W80" s="291"/>
      <c r="X80" s="5"/>
    </row>
    <row r="81" spans="1:24" ht="15.6" x14ac:dyDescent="0.3">
      <c r="A81" s="340"/>
      <c r="B81" s="288" t="s">
        <v>146</v>
      </c>
      <c r="C81" s="337"/>
      <c r="D81" s="337"/>
      <c r="E81" s="337"/>
      <c r="F81" s="337"/>
      <c r="G81" s="337"/>
      <c r="H81" s="337"/>
      <c r="I81" s="337"/>
      <c r="J81" s="337"/>
      <c r="K81" s="337"/>
      <c r="L81" s="337">
        <v>0</v>
      </c>
      <c r="M81" s="337"/>
      <c r="N81" s="337">
        <v>0</v>
      </c>
      <c r="O81" s="337"/>
      <c r="P81" s="337">
        <v>0</v>
      </c>
      <c r="Q81" s="337"/>
      <c r="R81" s="337"/>
      <c r="S81" s="337"/>
      <c r="T81" s="337"/>
      <c r="U81" s="337"/>
      <c r="V81" s="337">
        <f>+N81+P81</f>
        <v>0</v>
      </c>
      <c r="W81" s="291"/>
      <c r="X81" s="5"/>
    </row>
    <row r="82" spans="1:24" ht="15.6" x14ac:dyDescent="0.3">
      <c r="A82" s="340"/>
      <c r="B82" s="288" t="s">
        <v>25</v>
      </c>
      <c r="C82" s="337"/>
      <c r="D82" s="337"/>
      <c r="E82" s="337"/>
      <c r="F82" s="337"/>
      <c r="G82" s="337"/>
      <c r="H82" s="337"/>
      <c r="I82" s="337"/>
      <c r="J82" s="337"/>
      <c r="K82" s="337"/>
      <c r="L82" s="337">
        <v>0</v>
      </c>
      <c r="M82" s="337"/>
      <c r="N82" s="337">
        <v>0</v>
      </c>
      <c r="O82" s="337"/>
      <c r="P82" s="337"/>
      <c r="Q82" s="337"/>
      <c r="R82" s="337"/>
      <c r="S82" s="337"/>
      <c r="T82" s="337"/>
      <c r="U82" s="337"/>
      <c r="V82" s="337">
        <v>0</v>
      </c>
      <c r="W82" s="291"/>
      <c r="X82" s="5"/>
    </row>
    <row r="83" spans="1:24" ht="15.6" x14ac:dyDescent="0.3">
      <c r="A83" s="340"/>
      <c r="B83" s="288" t="s">
        <v>26</v>
      </c>
      <c r="C83" s="337"/>
      <c r="D83" s="337"/>
      <c r="E83" s="337"/>
      <c r="F83" s="337"/>
      <c r="G83" s="337"/>
      <c r="H83" s="337"/>
      <c r="I83" s="337"/>
      <c r="J83" s="337"/>
      <c r="K83" s="337"/>
      <c r="L83" s="337">
        <f>SUM(L70:L82)</f>
        <v>1500275</v>
      </c>
      <c r="M83" s="337"/>
      <c r="N83" s="337">
        <f>SUM(N70:N82)</f>
        <v>922120</v>
      </c>
      <c r="O83" s="337"/>
      <c r="P83" s="337"/>
      <c r="Q83" s="337"/>
      <c r="R83" s="337"/>
      <c r="S83" s="337"/>
      <c r="T83" s="337"/>
      <c r="U83" s="337"/>
      <c r="V83" s="337">
        <f>SUM(V70:V82)</f>
        <v>906364</v>
      </c>
      <c r="W83" s="291"/>
      <c r="X83" s="5"/>
    </row>
    <row r="84" spans="1:24" ht="15.6" x14ac:dyDescent="0.3">
      <c r="A84" s="243"/>
      <c r="B84" s="284"/>
      <c r="C84" s="339"/>
      <c r="D84" s="339"/>
      <c r="E84" s="339"/>
      <c r="F84" s="339"/>
      <c r="G84" s="339"/>
      <c r="H84" s="339"/>
      <c r="I84" s="339"/>
      <c r="J84" s="339"/>
      <c r="K84" s="339"/>
      <c r="L84" s="339"/>
      <c r="M84" s="339"/>
      <c r="N84" s="339"/>
      <c r="O84" s="339"/>
      <c r="P84" s="339"/>
      <c r="Q84" s="339"/>
      <c r="R84" s="339"/>
      <c r="S84" s="339"/>
      <c r="T84" s="339"/>
      <c r="U84" s="339"/>
      <c r="V84" s="339"/>
      <c r="W84" s="284"/>
      <c r="X84" s="5"/>
    </row>
    <row r="85" spans="1:24" ht="15.6" x14ac:dyDescent="0.3">
      <c r="A85" s="243"/>
      <c r="B85" s="224"/>
      <c r="C85" s="224"/>
      <c r="D85" s="224"/>
      <c r="E85" s="224"/>
      <c r="F85" s="224"/>
      <c r="G85" s="224"/>
      <c r="H85" s="224"/>
      <c r="I85" s="224"/>
      <c r="J85" s="224"/>
      <c r="K85" s="224"/>
      <c r="L85" s="224"/>
      <c r="M85" s="224"/>
      <c r="N85" s="224"/>
      <c r="O85" s="224"/>
      <c r="P85" s="224"/>
      <c r="Q85" s="224"/>
      <c r="R85" s="224"/>
      <c r="S85" s="224"/>
      <c r="T85" s="224"/>
      <c r="U85" s="224"/>
      <c r="V85" s="224"/>
      <c r="W85" s="224"/>
      <c r="X85" s="5"/>
    </row>
    <row r="86" spans="1:24" ht="15.6" x14ac:dyDescent="0.3">
      <c r="A86" s="262"/>
      <c r="B86" s="399" t="s">
        <v>27</v>
      </c>
      <c r="C86" s="399"/>
      <c r="D86" s="399"/>
      <c r="E86" s="399"/>
      <c r="F86" s="399"/>
      <c r="G86" s="399"/>
      <c r="H86" s="400"/>
      <c r="I86" s="400"/>
      <c r="J86" s="400"/>
      <c r="K86" s="400"/>
      <c r="L86" s="401" t="s">
        <v>95</v>
      </c>
      <c r="M86" s="400"/>
      <c r="N86" s="402">
        <f>+T204</f>
        <v>42794</v>
      </c>
      <c r="O86" s="400"/>
      <c r="P86" s="400"/>
      <c r="Q86" s="400"/>
      <c r="R86" s="400"/>
      <c r="S86" s="400"/>
      <c r="T86" s="400" t="s">
        <v>107</v>
      </c>
      <c r="U86" s="400"/>
      <c r="V86" s="400" t="s">
        <v>113</v>
      </c>
      <c r="W86" s="263"/>
      <c r="X86" s="5"/>
    </row>
    <row r="87" spans="1:24" ht="15.6" x14ac:dyDescent="0.3">
      <c r="A87" s="242"/>
      <c r="B87" s="231" t="s">
        <v>28</v>
      </c>
      <c r="C87" s="231"/>
      <c r="D87" s="231"/>
      <c r="E87" s="231"/>
      <c r="F87" s="231"/>
      <c r="G87" s="231"/>
      <c r="H87" s="231"/>
      <c r="I87" s="231"/>
      <c r="J87" s="231"/>
      <c r="K87" s="231"/>
      <c r="L87" s="231"/>
      <c r="M87" s="231"/>
      <c r="N87" s="231"/>
      <c r="O87" s="231"/>
      <c r="P87" s="231"/>
      <c r="Q87" s="231"/>
      <c r="R87" s="231"/>
      <c r="S87" s="231"/>
      <c r="T87" s="234">
        <v>0</v>
      </c>
      <c r="U87" s="231"/>
      <c r="V87" s="241">
        <v>0</v>
      </c>
      <c r="W87" s="231"/>
      <c r="X87" s="5"/>
    </row>
    <row r="88" spans="1:24" ht="15.6" x14ac:dyDescent="0.3">
      <c r="A88" s="340"/>
      <c r="B88" s="288" t="s">
        <v>29</v>
      </c>
      <c r="C88" s="288"/>
      <c r="D88" s="288"/>
      <c r="E88" s="288"/>
      <c r="F88" s="288"/>
      <c r="G88" s="288"/>
      <c r="H88" s="325"/>
      <c r="I88" s="325"/>
      <c r="J88" s="325"/>
      <c r="K88" s="341"/>
      <c r="L88" s="325"/>
      <c r="M88" s="288"/>
      <c r="N88" s="342"/>
      <c r="O88" s="288"/>
      <c r="P88" s="288"/>
      <c r="Q88" s="288"/>
      <c r="R88" s="288"/>
      <c r="S88" s="288"/>
      <c r="T88" s="337">
        <f>15914-398</f>
        <v>15516</v>
      </c>
      <c r="U88" s="288"/>
      <c r="V88" s="338"/>
      <c r="W88" s="291"/>
      <c r="X88" s="5"/>
    </row>
    <row r="89" spans="1:24" ht="15.6" x14ac:dyDescent="0.3">
      <c r="A89" s="340"/>
      <c r="B89" s="288" t="s">
        <v>216</v>
      </c>
      <c r="C89" s="288"/>
      <c r="D89" s="288"/>
      <c r="E89" s="288"/>
      <c r="F89" s="288"/>
      <c r="G89" s="288"/>
      <c r="H89" s="325"/>
      <c r="I89" s="325"/>
      <c r="J89" s="325"/>
      <c r="K89" s="341"/>
      <c r="L89" s="325"/>
      <c r="M89" s="288"/>
      <c r="N89" s="342"/>
      <c r="O89" s="288"/>
      <c r="P89" s="288"/>
      <c r="Q89" s="288"/>
      <c r="R89" s="288"/>
      <c r="S89" s="288"/>
      <c r="T89" s="337"/>
      <c r="U89" s="288"/>
      <c r="V89" s="338">
        <f>3032+3655-600-975</f>
        <v>5112</v>
      </c>
      <c r="W89" s="291"/>
      <c r="X89" s="5"/>
    </row>
    <row r="90" spans="1:24" ht="15.6" x14ac:dyDescent="0.3">
      <c r="A90" s="340"/>
      <c r="B90" s="288" t="s">
        <v>211</v>
      </c>
      <c r="C90" s="288"/>
      <c r="D90" s="288"/>
      <c r="E90" s="288"/>
      <c r="F90" s="288"/>
      <c r="G90" s="288"/>
      <c r="H90" s="325"/>
      <c r="I90" s="325"/>
      <c r="J90" s="325"/>
      <c r="K90" s="341"/>
      <c r="L90" s="325"/>
      <c r="M90" s="288"/>
      <c r="N90" s="342"/>
      <c r="O90" s="288"/>
      <c r="P90" s="288"/>
      <c r="Q90" s="288"/>
      <c r="R90" s="288"/>
      <c r="S90" s="288"/>
      <c r="T90" s="337"/>
      <c r="U90" s="288"/>
      <c r="V90" s="338">
        <f>120+35</f>
        <v>155</v>
      </c>
      <c r="W90" s="291"/>
      <c r="X90" s="5"/>
    </row>
    <row r="91" spans="1:24" ht="15.6" x14ac:dyDescent="0.3">
      <c r="A91" s="340"/>
      <c r="B91" s="288" t="s">
        <v>212</v>
      </c>
      <c r="C91" s="288"/>
      <c r="D91" s="288"/>
      <c r="E91" s="288"/>
      <c r="F91" s="288"/>
      <c r="G91" s="288"/>
      <c r="H91" s="325"/>
      <c r="I91" s="325"/>
      <c r="J91" s="325"/>
      <c r="K91" s="341"/>
      <c r="L91" s="325"/>
      <c r="M91" s="288"/>
      <c r="N91" s="342"/>
      <c r="O91" s="288"/>
      <c r="P91" s="288"/>
      <c r="Q91" s="288"/>
      <c r="R91" s="288"/>
      <c r="S91" s="288"/>
      <c r="T91" s="337"/>
      <c r="U91" s="288"/>
      <c r="V91" s="338">
        <v>30</v>
      </c>
      <c r="W91" s="291"/>
      <c r="X91" s="5"/>
    </row>
    <row r="92" spans="1:24" ht="15.6" x14ac:dyDescent="0.3">
      <c r="A92" s="340"/>
      <c r="B92" s="288" t="s">
        <v>272</v>
      </c>
      <c r="C92" s="288"/>
      <c r="D92" s="288"/>
      <c r="E92" s="288"/>
      <c r="F92" s="288"/>
      <c r="G92" s="288"/>
      <c r="H92" s="325"/>
      <c r="I92" s="325"/>
      <c r="J92" s="325"/>
      <c r="K92" s="341"/>
      <c r="L92" s="325"/>
      <c r="M92" s="288"/>
      <c r="N92" s="342"/>
      <c r="O92" s="288"/>
      <c r="P92" s="288"/>
      <c r="Q92" s="288"/>
      <c r="R92" s="288"/>
      <c r="S92" s="288"/>
      <c r="T92" s="337"/>
      <c r="U92" s="288"/>
      <c r="V92" s="338">
        <v>0</v>
      </c>
      <c r="W92" s="291"/>
      <c r="X92" s="5"/>
    </row>
    <row r="93" spans="1:24" ht="15.6" x14ac:dyDescent="0.3">
      <c r="A93" s="340"/>
      <c r="B93" s="288" t="s">
        <v>274</v>
      </c>
      <c r="C93" s="288"/>
      <c r="D93" s="288"/>
      <c r="E93" s="288"/>
      <c r="F93" s="288"/>
      <c r="G93" s="288"/>
      <c r="H93" s="325"/>
      <c r="I93" s="325"/>
      <c r="J93" s="325"/>
      <c r="K93" s="341"/>
      <c r="L93" s="325"/>
      <c r="M93" s="288"/>
      <c r="N93" s="342"/>
      <c r="O93" s="288"/>
      <c r="P93" s="288"/>
      <c r="Q93" s="288"/>
      <c r="R93" s="288"/>
      <c r="S93" s="288"/>
      <c r="T93" s="337"/>
      <c r="U93" s="288"/>
      <c r="V93" s="338">
        <v>0</v>
      </c>
      <c r="W93" s="291"/>
      <c r="X93" s="5"/>
    </row>
    <row r="94" spans="1:24" ht="15.6" x14ac:dyDescent="0.3">
      <c r="A94" s="340"/>
      <c r="B94" s="288" t="s">
        <v>135</v>
      </c>
      <c r="C94" s="288"/>
      <c r="D94" s="288"/>
      <c r="E94" s="288"/>
      <c r="F94" s="288"/>
      <c r="G94" s="288"/>
      <c r="H94" s="288"/>
      <c r="I94" s="288"/>
      <c r="J94" s="288"/>
      <c r="K94" s="288"/>
      <c r="L94" s="288"/>
      <c r="M94" s="288"/>
      <c r="N94" s="288"/>
      <c r="O94" s="288"/>
      <c r="P94" s="288"/>
      <c r="Q94" s="288"/>
      <c r="R94" s="288"/>
      <c r="S94" s="288"/>
      <c r="T94" s="337"/>
      <c r="U94" s="288"/>
      <c r="V94" s="338">
        <v>0</v>
      </c>
      <c r="W94" s="291"/>
      <c r="X94" s="5"/>
    </row>
    <row r="95" spans="1:24" ht="15.6" x14ac:dyDescent="0.3">
      <c r="A95" s="340"/>
      <c r="B95" s="288" t="s">
        <v>268</v>
      </c>
      <c r="C95" s="288"/>
      <c r="D95" s="288"/>
      <c r="E95" s="288"/>
      <c r="F95" s="288"/>
      <c r="G95" s="288"/>
      <c r="H95" s="288"/>
      <c r="I95" s="288"/>
      <c r="J95" s="288"/>
      <c r="K95" s="288"/>
      <c r="L95" s="288"/>
      <c r="M95" s="288"/>
      <c r="N95" s="288"/>
      <c r="O95" s="288"/>
      <c r="P95" s="288"/>
      <c r="Q95" s="288"/>
      <c r="R95" s="288"/>
      <c r="S95" s="288"/>
      <c r="T95" s="337"/>
      <c r="U95" s="288"/>
      <c r="V95" s="338">
        <v>241</v>
      </c>
      <c r="W95" s="291"/>
      <c r="X95" s="5"/>
    </row>
    <row r="96" spans="1:24" ht="15.6" x14ac:dyDescent="0.3">
      <c r="A96" s="340"/>
      <c r="B96" s="288" t="s">
        <v>30</v>
      </c>
      <c r="C96" s="288"/>
      <c r="D96" s="288"/>
      <c r="E96" s="288"/>
      <c r="F96" s="288"/>
      <c r="G96" s="288"/>
      <c r="H96" s="288"/>
      <c r="I96" s="288"/>
      <c r="J96" s="288"/>
      <c r="K96" s="288"/>
      <c r="L96" s="288"/>
      <c r="M96" s="288"/>
      <c r="N96" s="288"/>
      <c r="O96" s="288"/>
      <c r="P96" s="288"/>
      <c r="Q96" s="288"/>
      <c r="R96" s="288"/>
      <c r="S96" s="288"/>
      <c r="T96" s="337">
        <f>SUM(T87:T95)</f>
        <v>15516</v>
      </c>
      <c r="U96" s="288"/>
      <c r="V96" s="337">
        <f>SUM(V87:V95)</f>
        <v>5538</v>
      </c>
      <c r="W96" s="291"/>
      <c r="X96" s="5"/>
    </row>
    <row r="97" spans="1:25" ht="15.6" x14ac:dyDescent="0.3">
      <c r="A97" s="340"/>
      <c r="B97" s="288" t="s">
        <v>161</v>
      </c>
      <c r="C97" s="288"/>
      <c r="D97" s="288"/>
      <c r="E97" s="288"/>
      <c r="F97" s="288"/>
      <c r="G97" s="288"/>
      <c r="H97" s="288"/>
      <c r="I97" s="288"/>
      <c r="J97" s="288"/>
      <c r="K97" s="288"/>
      <c r="L97" s="288"/>
      <c r="M97" s="288"/>
      <c r="N97" s="288"/>
      <c r="O97" s="288"/>
      <c r="P97" s="288"/>
      <c r="Q97" s="288"/>
      <c r="R97" s="288"/>
      <c r="S97" s="288"/>
      <c r="T97" s="337">
        <f>-V97</f>
        <v>0</v>
      </c>
      <c r="U97" s="288"/>
      <c r="V97" s="337">
        <v>0</v>
      </c>
      <c r="W97" s="291"/>
      <c r="X97" s="5"/>
    </row>
    <row r="98" spans="1:25" ht="15.6" x14ac:dyDescent="0.3">
      <c r="A98" s="340"/>
      <c r="B98" s="288" t="s">
        <v>31</v>
      </c>
      <c r="C98" s="288"/>
      <c r="D98" s="288"/>
      <c r="E98" s="288"/>
      <c r="F98" s="288"/>
      <c r="G98" s="288"/>
      <c r="H98" s="288"/>
      <c r="I98" s="288"/>
      <c r="J98" s="288"/>
      <c r="K98" s="288"/>
      <c r="L98" s="288"/>
      <c r="M98" s="288"/>
      <c r="N98" s="288"/>
      <c r="O98" s="288"/>
      <c r="P98" s="288"/>
      <c r="Q98" s="288"/>
      <c r="R98" s="288"/>
      <c r="S98" s="288"/>
      <c r="T98" s="337">
        <f>-V98</f>
        <v>0</v>
      </c>
      <c r="U98" s="288"/>
      <c r="V98" s="338">
        <v>0</v>
      </c>
      <c r="W98" s="291"/>
      <c r="X98" s="5"/>
    </row>
    <row r="99" spans="1:25" ht="15.6" x14ac:dyDescent="0.3">
      <c r="A99" s="340"/>
      <c r="B99" s="288" t="s">
        <v>283</v>
      </c>
      <c r="C99" s="288"/>
      <c r="D99" s="288"/>
      <c r="E99" s="288"/>
      <c r="F99" s="288"/>
      <c r="G99" s="288"/>
      <c r="H99" s="288"/>
      <c r="I99" s="288"/>
      <c r="J99" s="288"/>
      <c r="K99" s="288"/>
      <c r="L99" s="288"/>
      <c r="M99" s="288"/>
      <c r="N99" s="288"/>
      <c r="O99" s="288"/>
      <c r="P99" s="288"/>
      <c r="Q99" s="288"/>
      <c r="R99" s="288"/>
      <c r="S99" s="288"/>
      <c r="T99" s="337"/>
      <c r="U99" s="288"/>
      <c r="V99" s="338">
        <v>187</v>
      </c>
      <c r="W99" s="291"/>
      <c r="X99" s="5"/>
    </row>
    <row r="100" spans="1:25" ht="15.6" x14ac:dyDescent="0.3">
      <c r="A100" s="340"/>
      <c r="B100" s="288" t="s">
        <v>32</v>
      </c>
      <c r="C100" s="288"/>
      <c r="D100" s="288"/>
      <c r="E100" s="288"/>
      <c r="F100" s="288"/>
      <c r="G100" s="288"/>
      <c r="H100" s="288"/>
      <c r="I100" s="288"/>
      <c r="J100" s="288"/>
      <c r="K100" s="288"/>
      <c r="L100" s="288"/>
      <c r="M100" s="288"/>
      <c r="N100" s="288"/>
      <c r="O100" s="288"/>
      <c r="P100" s="288"/>
      <c r="Q100" s="288"/>
      <c r="R100" s="288"/>
      <c r="S100" s="288"/>
      <c r="T100" s="337">
        <f>T96+T98+T97</f>
        <v>15516</v>
      </c>
      <c r="U100" s="288"/>
      <c r="V100" s="337">
        <f>V96+V98+V97+V99</f>
        <v>5725</v>
      </c>
      <c r="W100" s="291"/>
      <c r="X100" s="5"/>
    </row>
    <row r="101" spans="1:25" ht="15.6" x14ac:dyDescent="0.3">
      <c r="A101" s="287"/>
      <c r="B101" s="343" t="s">
        <v>33</v>
      </c>
      <c r="C101" s="314"/>
      <c r="D101" s="314"/>
      <c r="E101" s="314"/>
      <c r="F101" s="314"/>
      <c r="G101" s="314"/>
      <c r="H101" s="314"/>
      <c r="I101" s="314"/>
      <c r="J101" s="314"/>
      <c r="K101" s="314"/>
      <c r="L101" s="314"/>
      <c r="M101" s="314"/>
      <c r="N101" s="314"/>
      <c r="O101" s="314"/>
      <c r="P101" s="314"/>
      <c r="Q101" s="314"/>
      <c r="R101" s="314"/>
      <c r="S101" s="314"/>
      <c r="T101" s="344"/>
      <c r="U101" s="314"/>
      <c r="V101" s="345"/>
      <c r="W101" s="318"/>
      <c r="X101" s="5"/>
    </row>
    <row r="102" spans="1:25" ht="15.6" x14ac:dyDescent="0.3">
      <c r="A102" s="340">
        <v>1</v>
      </c>
      <c r="B102" s="288" t="s">
        <v>34</v>
      </c>
      <c r="C102" s="288"/>
      <c r="D102" s="288"/>
      <c r="E102" s="288"/>
      <c r="F102" s="288"/>
      <c r="G102" s="288"/>
      <c r="H102" s="288"/>
      <c r="I102" s="288"/>
      <c r="J102" s="288"/>
      <c r="K102" s="288"/>
      <c r="L102" s="288"/>
      <c r="M102" s="288"/>
      <c r="N102" s="288"/>
      <c r="O102" s="288"/>
      <c r="P102" s="288"/>
      <c r="Q102" s="288"/>
      <c r="R102" s="288"/>
      <c r="S102" s="288"/>
      <c r="T102" s="288"/>
      <c r="U102" s="288"/>
      <c r="V102" s="338">
        <v>0</v>
      </c>
      <c r="W102" s="291"/>
      <c r="X102" s="5"/>
    </row>
    <row r="103" spans="1:25" ht="15.6" x14ac:dyDescent="0.3">
      <c r="A103" s="340">
        <f>+A102+1</f>
        <v>2</v>
      </c>
      <c r="B103" s="288" t="s">
        <v>330</v>
      </c>
      <c r="C103" s="288"/>
      <c r="D103" s="288"/>
      <c r="E103" s="288"/>
      <c r="F103" s="288"/>
      <c r="G103" s="288"/>
      <c r="H103" s="288"/>
      <c r="I103" s="288"/>
      <c r="J103" s="288"/>
      <c r="K103" s="288"/>
      <c r="L103" s="288"/>
      <c r="M103" s="288"/>
      <c r="N103" s="288"/>
      <c r="O103" s="288"/>
      <c r="P103" s="288"/>
      <c r="Q103" s="288"/>
      <c r="R103" s="288"/>
      <c r="S103" s="288"/>
      <c r="T103" s="288"/>
      <c r="U103" s="288"/>
      <c r="V103" s="338">
        <v>-2</v>
      </c>
      <c r="W103" s="291"/>
      <c r="X103" s="5"/>
    </row>
    <row r="104" spans="1:25" ht="15.6" x14ac:dyDescent="0.3">
      <c r="A104" s="340">
        <f>+A103+1</f>
        <v>3</v>
      </c>
      <c r="B104" s="288" t="s">
        <v>331</v>
      </c>
      <c r="C104" s="288"/>
      <c r="D104" s="288"/>
      <c r="E104" s="288"/>
      <c r="F104" s="288"/>
      <c r="G104" s="288"/>
      <c r="H104" s="288"/>
      <c r="I104" s="288"/>
      <c r="J104" s="288"/>
      <c r="K104" s="288"/>
      <c r="L104" s="288"/>
      <c r="M104" s="288"/>
      <c r="N104" s="288"/>
      <c r="O104" s="288"/>
      <c r="P104" s="288"/>
      <c r="Q104" s="288"/>
      <c r="R104" s="288"/>
      <c r="S104" s="288"/>
      <c r="T104" s="288"/>
      <c r="U104" s="288"/>
      <c r="V104" s="338">
        <f>-115-171-11</f>
        <v>-297</v>
      </c>
      <c r="W104" s="291"/>
      <c r="X104" s="5"/>
    </row>
    <row r="105" spans="1:25" ht="15.6" x14ac:dyDescent="0.3">
      <c r="A105" s="340" t="s">
        <v>127</v>
      </c>
      <c r="B105" s="288" t="s">
        <v>116</v>
      </c>
      <c r="C105" s="288"/>
      <c r="D105" s="288"/>
      <c r="E105" s="288"/>
      <c r="F105" s="288"/>
      <c r="G105" s="288"/>
      <c r="H105" s="288"/>
      <c r="I105" s="288"/>
      <c r="J105" s="288"/>
      <c r="K105" s="288"/>
      <c r="L105" s="288"/>
      <c r="M105" s="288"/>
      <c r="N105" s="288"/>
      <c r="O105" s="288"/>
      <c r="P105" s="288"/>
      <c r="Q105" s="288"/>
      <c r="R105" s="288"/>
      <c r="S105" s="288"/>
      <c r="T105" s="288"/>
      <c r="U105" s="288"/>
      <c r="V105" s="338">
        <v>0</v>
      </c>
      <c r="W105" s="291"/>
      <c r="X105" s="5"/>
    </row>
    <row r="106" spans="1:25" ht="15.6" x14ac:dyDescent="0.3">
      <c r="A106" s="340" t="s">
        <v>128</v>
      </c>
      <c r="B106" s="288" t="s">
        <v>363</v>
      </c>
      <c r="C106" s="288"/>
      <c r="D106" s="288"/>
      <c r="E106" s="288"/>
      <c r="F106" s="288"/>
      <c r="G106" s="288"/>
      <c r="H106" s="288"/>
      <c r="I106" s="288"/>
      <c r="J106" s="288"/>
      <c r="K106" s="288"/>
      <c r="L106" s="288"/>
      <c r="M106" s="288"/>
      <c r="N106" s="288"/>
      <c r="O106" s="288"/>
      <c r="P106" s="288"/>
      <c r="Q106" s="288"/>
      <c r="R106" s="288"/>
      <c r="S106" s="288"/>
      <c r="T106" s="288"/>
      <c r="U106" s="288"/>
      <c r="V106" s="338">
        <f>-603-97</f>
        <v>-700</v>
      </c>
      <c r="W106" s="291"/>
      <c r="X106" s="5"/>
      <c r="Y106" s="109"/>
    </row>
    <row r="107" spans="1:25" ht="15.6" x14ac:dyDescent="0.3">
      <c r="A107" s="340" t="s">
        <v>150</v>
      </c>
      <c r="B107" s="288" t="s">
        <v>364</v>
      </c>
      <c r="C107" s="288"/>
      <c r="D107" s="288"/>
      <c r="E107" s="288"/>
      <c r="F107" s="288"/>
      <c r="G107" s="288"/>
      <c r="H107" s="288"/>
      <c r="I107" s="288"/>
      <c r="J107" s="288"/>
      <c r="K107" s="288"/>
      <c r="L107" s="288"/>
      <c r="M107" s="288"/>
      <c r="N107" s="288"/>
      <c r="O107" s="288"/>
      <c r="P107" s="288"/>
      <c r="Q107" s="288"/>
      <c r="R107" s="288"/>
      <c r="S107" s="288"/>
      <c r="T107" s="288"/>
      <c r="U107" s="288"/>
      <c r="V107" s="338">
        <f>-136-180</f>
        <v>-316</v>
      </c>
      <c r="W107" s="291"/>
      <c r="X107" s="5"/>
      <c r="Y107" s="109"/>
    </row>
    <row r="108" spans="1:25" ht="15.6" x14ac:dyDescent="0.3">
      <c r="A108" s="340" t="s">
        <v>236</v>
      </c>
      <c r="B108" s="288" t="s">
        <v>238</v>
      </c>
      <c r="C108" s="288"/>
      <c r="D108" s="288"/>
      <c r="E108" s="288"/>
      <c r="F108" s="288"/>
      <c r="G108" s="288"/>
      <c r="H108" s="288"/>
      <c r="I108" s="288"/>
      <c r="J108" s="288"/>
      <c r="K108" s="288"/>
      <c r="L108" s="288"/>
      <c r="M108" s="288"/>
      <c r="N108" s="288"/>
      <c r="O108" s="288"/>
      <c r="P108" s="288"/>
      <c r="Q108" s="288"/>
      <c r="R108" s="288"/>
      <c r="S108" s="288"/>
      <c r="T108" s="288"/>
      <c r="U108" s="288"/>
      <c r="V108" s="338">
        <v>0</v>
      </c>
      <c r="W108" s="291"/>
      <c r="X108" s="5"/>
    </row>
    <row r="109" spans="1:25" ht="15.6" x14ac:dyDescent="0.3">
      <c r="A109" s="340" t="s">
        <v>205</v>
      </c>
      <c r="B109" s="288" t="s">
        <v>185</v>
      </c>
      <c r="C109" s="288"/>
      <c r="D109" s="288"/>
      <c r="E109" s="288"/>
      <c r="F109" s="288"/>
      <c r="G109" s="288"/>
      <c r="H109" s="288"/>
      <c r="I109" s="288"/>
      <c r="J109" s="288"/>
      <c r="K109" s="288"/>
      <c r="L109" s="288"/>
      <c r="M109" s="288"/>
      <c r="N109" s="288"/>
      <c r="O109" s="288"/>
      <c r="P109" s="288"/>
      <c r="Q109" s="288"/>
      <c r="R109" s="288"/>
      <c r="S109" s="288"/>
      <c r="T109" s="288"/>
      <c r="U109" s="288"/>
      <c r="V109" s="338">
        <v>-119</v>
      </c>
      <c r="W109" s="291"/>
      <c r="X109" s="5"/>
      <c r="Y109" s="109"/>
    </row>
    <row r="110" spans="1:25" ht="15.6" x14ac:dyDescent="0.3">
      <c r="A110" s="340" t="s">
        <v>206</v>
      </c>
      <c r="B110" s="288" t="s">
        <v>186</v>
      </c>
      <c r="C110" s="288"/>
      <c r="D110" s="288"/>
      <c r="E110" s="288"/>
      <c r="F110" s="288"/>
      <c r="G110" s="288"/>
      <c r="H110" s="288"/>
      <c r="I110" s="288"/>
      <c r="J110" s="288"/>
      <c r="K110" s="288"/>
      <c r="L110" s="288"/>
      <c r="M110" s="288"/>
      <c r="N110" s="288"/>
      <c r="O110" s="288"/>
      <c r="P110" s="288"/>
      <c r="Q110" s="288"/>
      <c r="R110" s="288"/>
      <c r="S110" s="288"/>
      <c r="T110" s="288"/>
      <c r="U110" s="288"/>
      <c r="V110" s="338">
        <v>-94</v>
      </c>
      <c r="W110" s="291"/>
      <c r="X110" s="179"/>
      <c r="Y110" s="109"/>
    </row>
    <row r="111" spans="1:25" ht="15.6" x14ac:dyDescent="0.3">
      <c r="A111" s="340" t="s">
        <v>207</v>
      </c>
      <c r="B111" s="288" t="s">
        <v>196</v>
      </c>
      <c r="C111" s="288"/>
      <c r="D111" s="288"/>
      <c r="E111" s="288"/>
      <c r="F111" s="288"/>
      <c r="G111" s="288"/>
      <c r="H111" s="288"/>
      <c r="I111" s="288"/>
      <c r="J111" s="288"/>
      <c r="K111" s="288"/>
      <c r="L111" s="288"/>
      <c r="M111" s="288"/>
      <c r="N111" s="288"/>
      <c r="O111" s="288"/>
      <c r="P111" s="288"/>
      <c r="Q111" s="288"/>
      <c r="R111" s="288"/>
      <c r="S111" s="288"/>
      <c r="T111" s="288"/>
      <c r="U111" s="288"/>
      <c r="V111" s="338">
        <v>-283</v>
      </c>
      <c r="W111" s="291"/>
      <c r="X111" s="5"/>
      <c r="Y111" s="109"/>
    </row>
    <row r="112" spans="1:25" ht="15.6" x14ac:dyDescent="0.3">
      <c r="A112" s="340" t="s">
        <v>224</v>
      </c>
      <c r="B112" s="288" t="s">
        <v>223</v>
      </c>
      <c r="C112" s="288"/>
      <c r="D112" s="288"/>
      <c r="E112" s="288"/>
      <c r="F112" s="288"/>
      <c r="G112" s="288"/>
      <c r="H112" s="288"/>
      <c r="I112" s="288"/>
      <c r="J112" s="288"/>
      <c r="K112" s="288"/>
      <c r="L112" s="288"/>
      <c r="M112" s="288"/>
      <c r="N112" s="288"/>
      <c r="O112" s="288"/>
      <c r="P112" s="288"/>
      <c r="Q112" s="288"/>
      <c r="R112" s="288"/>
      <c r="S112" s="288"/>
      <c r="T112" s="288"/>
      <c r="U112" s="288"/>
      <c r="V112" s="338">
        <v>-56</v>
      </c>
      <c r="W112" s="291"/>
      <c r="X112" s="5"/>
      <c r="Y112" s="109"/>
    </row>
    <row r="113" spans="1:24" ht="15.6" x14ac:dyDescent="0.3">
      <c r="A113" s="340">
        <v>7</v>
      </c>
      <c r="B113" s="288" t="s">
        <v>35</v>
      </c>
      <c r="C113" s="288"/>
      <c r="D113" s="288"/>
      <c r="E113" s="288"/>
      <c r="F113" s="288"/>
      <c r="G113" s="288"/>
      <c r="H113" s="288"/>
      <c r="I113" s="288"/>
      <c r="J113" s="288"/>
      <c r="K113" s="288"/>
      <c r="L113" s="288"/>
      <c r="M113" s="288"/>
      <c r="N113" s="288"/>
      <c r="O113" s="288"/>
      <c r="P113" s="288"/>
      <c r="Q113" s="288"/>
      <c r="R113" s="288"/>
      <c r="S113" s="288"/>
      <c r="T113" s="288"/>
      <c r="U113" s="288"/>
      <c r="V113" s="338">
        <v>-41</v>
      </c>
      <c r="W113" s="291"/>
      <c r="X113" s="5"/>
    </row>
    <row r="114" spans="1:24" ht="15.6" x14ac:dyDescent="0.3">
      <c r="A114" s="340">
        <f t="shared" ref="A114:A120" si="0">+A113+1</f>
        <v>8</v>
      </c>
      <c r="B114" s="288" t="s">
        <v>45</v>
      </c>
      <c r="C114" s="288"/>
      <c r="D114" s="288"/>
      <c r="E114" s="288"/>
      <c r="F114" s="288"/>
      <c r="G114" s="288"/>
      <c r="H114" s="288"/>
      <c r="I114" s="288"/>
      <c r="J114" s="288"/>
      <c r="K114" s="288"/>
      <c r="L114" s="288"/>
      <c r="M114" s="288"/>
      <c r="N114" s="288"/>
      <c r="O114" s="288"/>
      <c r="P114" s="288"/>
      <c r="Q114" s="288"/>
      <c r="R114" s="288"/>
      <c r="S114" s="288"/>
      <c r="T114" s="337">
        <f>-V114</f>
        <v>398</v>
      </c>
      <c r="U114" s="288"/>
      <c r="V114" s="338">
        <v>-398</v>
      </c>
      <c r="W114" s="291"/>
      <c r="X114" s="5"/>
    </row>
    <row r="115" spans="1:24" ht="15.6" x14ac:dyDescent="0.3">
      <c r="A115" s="340">
        <f t="shared" si="0"/>
        <v>9</v>
      </c>
      <c r="B115" s="288" t="s">
        <v>125</v>
      </c>
      <c r="C115" s="288"/>
      <c r="D115" s="288"/>
      <c r="E115" s="288"/>
      <c r="F115" s="288"/>
      <c r="G115" s="288"/>
      <c r="H115" s="288"/>
      <c r="I115" s="288"/>
      <c r="J115" s="288"/>
      <c r="K115" s="288"/>
      <c r="L115" s="288"/>
      <c r="M115" s="288"/>
      <c r="N115" s="288"/>
      <c r="O115" s="288"/>
      <c r="P115" s="288"/>
      <c r="Q115" s="288"/>
      <c r="R115" s="288"/>
      <c r="S115" s="288"/>
      <c r="T115" s="288"/>
      <c r="U115" s="288"/>
      <c r="V115" s="338">
        <v>0</v>
      </c>
      <c r="W115" s="291"/>
      <c r="X115" s="5"/>
    </row>
    <row r="116" spans="1:24" ht="15.6" x14ac:dyDescent="0.3">
      <c r="A116" s="340">
        <f t="shared" si="0"/>
        <v>10</v>
      </c>
      <c r="B116" s="288" t="s">
        <v>240</v>
      </c>
      <c r="C116" s="288"/>
      <c r="D116" s="288"/>
      <c r="E116" s="288"/>
      <c r="F116" s="288"/>
      <c r="G116" s="288"/>
      <c r="H116" s="288"/>
      <c r="I116" s="288"/>
      <c r="J116" s="288"/>
      <c r="K116" s="288"/>
      <c r="L116" s="288"/>
      <c r="M116" s="288"/>
      <c r="N116" s="288"/>
      <c r="O116" s="288"/>
      <c r="P116" s="288"/>
      <c r="Q116" s="288"/>
      <c r="R116" s="288"/>
      <c r="S116" s="288"/>
      <c r="T116" s="288"/>
      <c r="U116" s="288"/>
      <c r="V116" s="338">
        <v>0</v>
      </c>
      <c r="W116" s="291"/>
      <c r="X116" s="5"/>
    </row>
    <row r="117" spans="1:24" ht="15.6" x14ac:dyDescent="0.3">
      <c r="A117" s="340">
        <f t="shared" si="0"/>
        <v>11</v>
      </c>
      <c r="B117" s="288" t="s">
        <v>36</v>
      </c>
      <c r="C117" s="288"/>
      <c r="D117" s="288"/>
      <c r="E117" s="288"/>
      <c r="F117" s="288"/>
      <c r="G117" s="288"/>
      <c r="H117" s="288"/>
      <c r="I117" s="288"/>
      <c r="J117" s="288"/>
      <c r="K117" s="288"/>
      <c r="L117" s="288"/>
      <c r="M117" s="288"/>
      <c r="N117" s="288"/>
      <c r="O117" s="288"/>
      <c r="P117" s="288"/>
      <c r="Q117" s="288"/>
      <c r="R117" s="288"/>
      <c r="S117" s="288"/>
      <c r="T117" s="288"/>
      <c r="U117" s="288"/>
      <c r="V117" s="338">
        <v>0</v>
      </c>
      <c r="W117" s="291"/>
      <c r="X117" s="5"/>
    </row>
    <row r="118" spans="1:24" ht="15.6" x14ac:dyDescent="0.3">
      <c r="A118" s="340">
        <f t="shared" si="0"/>
        <v>12</v>
      </c>
      <c r="B118" s="288" t="s">
        <v>239</v>
      </c>
      <c r="C118" s="288"/>
      <c r="D118" s="288"/>
      <c r="E118" s="288"/>
      <c r="F118" s="288"/>
      <c r="G118" s="288"/>
      <c r="H118" s="288"/>
      <c r="I118" s="288"/>
      <c r="J118" s="288"/>
      <c r="K118" s="288"/>
      <c r="L118" s="288"/>
      <c r="M118" s="288"/>
      <c r="N118" s="288"/>
      <c r="O118" s="288"/>
      <c r="P118" s="288"/>
      <c r="Q118" s="288"/>
      <c r="R118" s="288"/>
      <c r="S118" s="288"/>
      <c r="T118" s="288"/>
      <c r="U118" s="288"/>
      <c r="V118" s="338">
        <v>0</v>
      </c>
      <c r="W118" s="291"/>
      <c r="X118" s="5"/>
    </row>
    <row r="119" spans="1:24" ht="15.6" x14ac:dyDescent="0.3">
      <c r="A119" s="340">
        <f t="shared" si="0"/>
        <v>13</v>
      </c>
      <c r="B119" s="288" t="s">
        <v>149</v>
      </c>
      <c r="C119" s="288"/>
      <c r="D119" s="288"/>
      <c r="E119" s="288"/>
      <c r="F119" s="288"/>
      <c r="G119" s="288"/>
      <c r="H119" s="288"/>
      <c r="I119" s="288"/>
      <c r="J119" s="288"/>
      <c r="K119" s="288"/>
      <c r="L119" s="288"/>
      <c r="M119" s="288"/>
      <c r="N119" s="288"/>
      <c r="O119" s="288"/>
      <c r="P119" s="288"/>
      <c r="Q119" s="288"/>
      <c r="R119" s="288"/>
      <c r="S119" s="288"/>
      <c r="T119" s="288"/>
      <c r="U119" s="288"/>
      <c r="V119" s="338">
        <v>-574</v>
      </c>
      <c r="W119" s="291"/>
      <c r="X119" s="5"/>
    </row>
    <row r="120" spans="1:24" ht="15.6" x14ac:dyDescent="0.3">
      <c r="A120" s="340">
        <f t="shared" si="0"/>
        <v>14</v>
      </c>
      <c r="B120" s="288" t="s">
        <v>126</v>
      </c>
      <c r="C120" s="288"/>
      <c r="D120" s="288"/>
      <c r="E120" s="288"/>
      <c r="F120" s="288"/>
      <c r="G120" s="288"/>
      <c r="H120" s="288"/>
      <c r="I120" s="288"/>
      <c r="J120" s="288"/>
      <c r="K120" s="288"/>
      <c r="L120" s="288"/>
      <c r="M120" s="288"/>
      <c r="N120" s="288"/>
      <c r="O120" s="288"/>
      <c r="P120" s="288"/>
      <c r="Q120" s="288"/>
      <c r="R120" s="288"/>
      <c r="S120" s="288"/>
      <c r="T120" s="288"/>
      <c r="U120" s="288"/>
      <c r="V120" s="338">
        <f>-V100-SUM(V102:V119)</f>
        <v>-2845</v>
      </c>
      <c r="W120" s="291"/>
      <c r="X120" s="5"/>
    </row>
    <row r="121" spans="1:24" ht="15.6" x14ac:dyDescent="0.3">
      <c r="A121" s="287"/>
      <c r="B121" s="343" t="s">
        <v>37</v>
      </c>
      <c r="C121" s="314"/>
      <c r="D121" s="314"/>
      <c r="E121" s="314"/>
      <c r="F121" s="314"/>
      <c r="G121" s="314"/>
      <c r="H121" s="314"/>
      <c r="I121" s="314"/>
      <c r="J121" s="314"/>
      <c r="K121" s="314"/>
      <c r="L121" s="314"/>
      <c r="M121" s="314"/>
      <c r="N121" s="314"/>
      <c r="O121" s="314"/>
      <c r="P121" s="314"/>
      <c r="Q121" s="314"/>
      <c r="R121" s="314"/>
      <c r="S121" s="314"/>
      <c r="T121" s="314"/>
      <c r="U121" s="314"/>
      <c r="V121" s="346"/>
      <c r="W121" s="318"/>
      <c r="X121" s="5"/>
    </row>
    <row r="122" spans="1:24" ht="15.6" x14ac:dyDescent="0.3">
      <c r="A122" s="340"/>
      <c r="B122" s="288" t="s">
        <v>173</v>
      </c>
      <c r="C122" s="288"/>
      <c r="D122" s="288"/>
      <c r="E122" s="288"/>
      <c r="F122" s="288"/>
      <c r="G122" s="288"/>
      <c r="H122" s="288"/>
      <c r="I122" s="288"/>
      <c r="J122" s="288"/>
      <c r="K122" s="288"/>
      <c r="L122" s="288"/>
      <c r="M122" s="288"/>
      <c r="N122" s="288"/>
      <c r="O122" s="288"/>
      <c r="P122" s="288"/>
      <c r="Q122" s="288"/>
      <c r="R122" s="288"/>
      <c r="S122" s="288"/>
      <c r="T122" s="337">
        <f>-T188</f>
        <v>0</v>
      </c>
      <c r="U122" s="337"/>
      <c r="V122" s="338"/>
      <c r="W122" s="291"/>
      <c r="X122" s="5"/>
    </row>
    <row r="123" spans="1:24" ht="15.6" x14ac:dyDescent="0.3">
      <c r="A123" s="340"/>
      <c r="B123" s="288" t="s">
        <v>174</v>
      </c>
      <c r="C123" s="288"/>
      <c r="D123" s="288"/>
      <c r="E123" s="288"/>
      <c r="F123" s="288"/>
      <c r="G123" s="288"/>
      <c r="H123" s="288"/>
      <c r="I123" s="288"/>
      <c r="J123" s="288"/>
      <c r="K123" s="288"/>
      <c r="L123" s="288"/>
      <c r="M123" s="288"/>
      <c r="N123" s="288"/>
      <c r="O123" s="288"/>
      <c r="P123" s="288"/>
      <c r="Q123" s="288"/>
      <c r="R123" s="288"/>
      <c r="S123" s="288"/>
      <c r="T123" s="337">
        <v>0</v>
      </c>
      <c r="U123" s="337"/>
      <c r="V123" s="338"/>
      <c r="W123" s="291"/>
      <c r="X123" s="5"/>
    </row>
    <row r="124" spans="1:24" ht="15.6" x14ac:dyDescent="0.3">
      <c r="A124" s="340"/>
      <c r="B124" s="288" t="s">
        <v>38</v>
      </c>
      <c r="C124" s="288"/>
      <c r="D124" s="288"/>
      <c r="E124" s="288"/>
      <c r="F124" s="288"/>
      <c r="G124" s="288"/>
      <c r="H124" s="288"/>
      <c r="I124" s="288"/>
      <c r="J124" s="288"/>
      <c r="K124" s="288"/>
      <c r="L124" s="288"/>
      <c r="M124" s="288"/>
      <c r="N124" s="288"/>
      <c r="O124" s="288"/>
      <c r="P124" s="288"/>
      <c r="Q124" s="288"/>
      <c r="R124" s="288"/>
      <c r="S124" s="288"/>
      <c r="T124" s="337">
        <f>-S188</f>
        <v>-158</v>
      </c>
      <c r="U124" s="337"/>
      <c r="V124" s="338"/>
      <c r="W124" s="291"/>
      <c r="X124" s="5"/>
    </row>
    <row r="125" spans="1:24" ht="15.6" x14ac:dyDescent="0.3">
      <c r="A125" s="340"/>
      <c r="B125" s="288" t="s">
        <v>388</v>
      </c>
      <c r="C125" s="288"/>
      <c r="D125" s="288"/>
      <c r="E125" s="288"/>
      <c r="F125" s="288"/>
      <c r="G125" s="288"/>
      <c r="H125" s="288"/>
      <c r="I125" s="288"/>
      <c r="J125" s="288"/>
      <c r="K125" s="288"/>
      <c r="L125" s="288"/>
      <c r="M125" s="288"/>
      <c r="N125" s="288"/>
      <c r="O125" s="288"/>
      <c r="P125" s="288"/>
      <c r="Q125" s="288"/>
      <c r="R125" s="288"/>
      <c r="S125" s="288"/>
      <c r="T125" s="337">
        <v>-9579</v>
      </c>
      <c r="U125" s="337"/>
      <c r="V125" s="338"/>
      <c r="W125" s="291"/>
      <c r="X125" s="5"/>
    </row>
    <row r="126" spans="1:24" ht="15.6" x14ac:dyDescent="0.3">
      <c r="A126" s="340"/>
      <c r="B126" s="288" t="s">
        <v>195</v>
      </c>
      <c r="C126" s="288"/>
      <c r="D126" s="288"/>
      <c r="E126" s="288"/>
      <c r="F126" s="288"/>
      <c r="G126" s="288"/>
      <c r="H126" s="288"/>
      <c r="I126" s="288"/>
      <c r="J126" s="288"/>
      <c r="K126" s="288"/>
      <c r="L126" s="288"/>
      <c r="M126" s="288"/>
      <c r="N126" s="288"/>
      <c r="O126" s="288"/>
      <c r="P126" s="288"/>
      <c r="Q126" s="288"/>
      <c r="R126" s="288"/>
      <c r="S126" s="288"/>
      <c r="T126" s="337">
        <v>-1545</v>
      </c>
      <c r="U126" s="337"/>
      <c r="V126" s="338"/>
      <c r="W126" s="291"/>
      <c r="X126" s="5"/>
    </row>
    <row r="127" spans="1:24" ht="15.6" x14ac:dyDescent="0.3">
      <c r="A127" s="340"/>
      <c r="B127" s="288" t="s">
        <v>194</v>
      </c>
      <c r="C127" s="288"/>
      <c r="D127" s="288"/>
      <c r="E127" s="288"/>
      <c r="F127" s="288"/>
      <c r="G127" s="288"/>
      <c r="H127" s="288"/>
      <c r="I127" s="288"/>
      <c r="J127" s="288"/>
      <c r="K127" s="288"/>
      <c r="L127" s="288"/>
      <c r="M127" s="288"/>
      <c r="N127" s="288"/>
      <c r="O127" s="288"/>
      <c r="P127" s="288"/>
      <c r="Q127" s="288"/>
      <c r="R127" s="288"/>
      <c r="S127" s="288"/>
      <c r="T127" s="337">
        <v>-2078</v>
      </c>
      <c r="U127" s="337"/>
      <c r="V127" s="338"/>
      <c r="W127" s="291"/>
      <c r="X127" s="5"/>
    </row>
    <row r="128" spans="1:24" ht="15.6" x14ac:dyDescent="0.3">
      <c r="A128" s="340"/>
      <c r="B128" s="288" t="s">
        <v>226</v>
      </c>
      <c r="C128" s="288"/>
      <c r="D128" s="288"/>
      <c r="E128" s="288"/>
      <c r="F128" s="288"/>
      <c r="G128" s="288"/>
      <c r="H128" s="288"/>
      <c r="I128" s="288"/>
      <c r="J128" s="288"/>
      <c r="K128" s="288"/>
      <c r="L128" s="288"/>
      <c r="M128" s="288"/>
      <c r="N128" s="288"/>
      <c r="O128" s="288"/>
      <c r="P128" s="288"/>
      <c r="Q128" s="288"/>
      <c r="R128" s="288"/>
      <c r="S128" s="288"/>
      <c r="T128" s="337">
        <v>-2554</v>
      </c>
      <c r="U128" s="337"/>
      <c r="V128" s="338"/>
      <c r="W128" s="291"/>
      <c r="X128" s="5"/>
    </row>
    <row r="129" spans="1:24" ht="15.6" x14ac:dyDescent="0.3">
      <c r="A129" s="340"/>
      <c r="B129" s="288" t="s">
        <v>189</v>
      </c>
      <c r="C129" s="288"/>
      <c r="D129" s="288"/>
      <c r="E129" s="288"/>
      <c r="F129" s="288"/>
      <c r="G129" s="288"/>
      <c r="H129" s="288"/>
      <c r="I129" s="288"/>
      <c r="J129" s="288"/>
      <c r="K129" s="288"/>
      <c r="L129" s="288"/>
      <c r="M129" s="288"/>
      <c r="N129" s="288"/>
      <c r="O129" s="288"/>
      <c r="P129" s="288"/>
      <c r="Q129" s="288"/>
      <c r="R129" s="288"/>
      <c r="S129" s="288"/>
      <c r="T129" s="337">
        <v>0</v>
      </c>
      <c r="U129" s="337"/>
      <c r="V129" s="338"/>
      <c r="W129" s="291"/>
      <c r="X129" s="5"/>
    </row>
    <row r="130" spans="1:24" ht="15.6" x14ac:dyDescent="0.3">
      <c r="A130" s="340"/>
      <c r="B130" s="288" t="s">
        <v>188</v>
      </c>
      <c r="C130" s="288"/>
      <c r="D130" s="288"/>
      <c r="E130" s="288"/>
      <c r="F130" s="288"/>
      <c r="G130" s="288"/>
      <c r="H130" s="288"/>
      <c r="I130" s="288"/>
      <c r="J130" s="288"/>
      <c r="K130" s="288"/>
      <c r="L130" s="288"/>
      <c r="M130" s="288"/>
      <c r="N130" s="288"/>
      <c r="O130" s="288"/>
      <c r="P130" s="288"/>
      <c r="Q130" s="288"/>
      <c r="R130" s="288"/>
      <c r="S130" s="288"/>
      <c r="T130" s="337">
        <v>0</v>
      </c>
      <c r="U130" s="337"/>
      <c r="V130" s="338"/>
      <c r="W130" s="291"/>
      <c r="X130" s="5"/>
    </row>
    <row r="131" spans="1:24" ht="15.6" x14ac:dyDescent="0.3">
      <c r="A131" s="340"/>
      <c r="B131" s="288" t="s">
        <v>227</v>
      </c>
      <c r="C131" s="288"/>
      <c r="D131" s="288"/>
      <c r="E131" s="288"/>
      <c r="F131" s="288"/>
      <c r="G131" s="288"/>
      <c r="H131" s="288"/>
      <c r="I131" s="288"/>
      <c r="J131" s="288"/>
      <c r="K131" s="288"/>
      <c r="L131" s="288"/>
      <c r="M131" s="288"/>
      <c r="N131" s="288"/>
      <c r="O131" s="288"/>
      <c r="P131" s="288"/>
      <c r="Q131" s="288"/>
      <c r="R131" s="288"/>
      <c r="S131" s="288"/>
      <c r="T131" s="337">
        <v>0</v>
      </c>
      <c r="U131" s="337"/>
      <c r="V131" s="338"/>
      <c r="W131" s="291"/>
      <c r="X131" s="5"/>
    </row>
    <row r="132" spans="1:24" ht="15.6" x14ac:dyDescent="0.3">
      <c r="A132" s="340"/>
      <c r="B132" s="288" t="s">
        <v>187</v>
      </c>
      <c r="C132" s="288"/>
      <c r="D132" s="288"/>
      <c r="E132" s="288"/>
      <c r="F132" s="288"/>
      <c r="G132" s="288"/>
      <c r="H132" s="288"/>
      <c r="I132" s="288"/>
      <c r="J132" s="288"/>
      <c r="K132" s="288"/>
      <c r="L132" s="288"/>
      <c r="M132" s="288"/>
      <c r="N132" s="288"/>
      <c r="O132" s="288"/>
      <c r="P132" s="288"/>
      <c r="Q132" s="288"/>
      <c r="R132" s="288"/>
      <c r="S132" s="288"/>
      <c r="T132" s="337">
        <v>0</v>
      </c>
      <c r="U132" s="337"/>
      <c r="V132" s="338"/>
      <c r="W132" s="291"/>
      <c r="X132" s="5"/>
    </row>
    <row r="133" spans="1:24" ht="15.6" x14ac:dyDescent="0.3">
      <c r="A133" s="340"/>
      <c r="B133" s="288" t="s">
        <v>39</v>
      </c>
      <c r="C133" s="288"/>
      <c r="D133" s="288"/>
      <c r="E133" s="288"/>
      <c r="F133" s="288"/>
      <c r="G133" s="288"/>
      <c r="H133" s="288"/>
      <c r="I133" s="288"/>
      <c r="J133" s="288"/>
      <c r="K133" s="288"/>
      <c r="L133" s="288"/>
      <c r="M133" s="288"/>
      <c r="N133" s="288"/>
      <c r="O133" s="288"/>
      <c r="P133" s="288"/>
      <c r="Q133" s="288"/>
      <c r="R133" s="288"/>
      <c r="S133" s="288"/>
      <c r="T133" s="337">
        <f>SUM(T122:T132)</f>
        <v>-15914</v>
      </c>
      <c r="U133" s="337"/>
      <c r="V133" s="337">
        <f>SUM(V101:V130)</f>
        <v>-5725</v>
      </c>
      <c r="W133" s="291"/>
      <c r="X133" s="5"/>
    </row>
    <row r="134" spans="1:24" ht="15.6" x14ac:dyDescent="0.3">
      <c r="A134" s="340"/>
      <c r="B134" s="288" t="s">
        <v>40</v>
      </c>
      <c r="C134" s="288"/>
      <c r="D134" s="288"/>
      <c r="E134" s="288"/>
      <c r="F134" s="288"/>
      <c r="G134" s="288"/>
      <c r="H134" s="288"/>
      <c r="I134" s="288"/>
      <c r="J134" s="288"/>
      <c r="K134" s="288"/>
      <c r="L134" s="288"/>
      <c r="M134" s="288"/>
      <c r="N134" s="288"/>
      <c r="O134" s="288"/>
      <c r="P134" s="288"/>
      <c r="Q134" s="288"/>
      <c r="R134" s="288"/>
      <c r="S134" s="288"/>
      <c r="T134" s="337">
        <f>T100+T133+T114</f>
        <v>0</v>
      </c>
      <c r="U134" s="337"/>
      <c r="V134" s="337">
        <f>V100+V133</f>
        <v>0</v>
      </c>
      <c r="W134" s="291"/>
      <c r="X134" s="5"/>
    </row>
    <row r="135" spans="1:24" ht="15.6" x14ac:dyDescent="0.3">
      <c r="A135" s="243"/>
      <c r="B135" s="284"/>
      <c r="C135" s="284"/>
      <c r="D135" s="284"/>
      <c r="E135" s="284"/>
      <c r="F135" s="284"/>
      <c r="G135" s="284"/>
      <c r="H135" s="284"/>
      <c r="I135" s="284"/>
      <c r="J135" s="284"/>
      <c r="K135" s="284"/>
      <c r="L135" s="284"/>
      <c r="M135" s="284"/>
      <c r="N135" s="284"/>
      <c r="O135" s="284"/>
      <c r="P135" s="284"/>
      <c r="Q135" s="284"/>
      <c r="R135" s="284"/>
      <c r="S135" s="284"/>
      <c r="T135" s="339"/>
      <c r="U135" s="339"/>
      <c r="V135" s="339"/>
      <c r="W135" s="284"/>
      <c r="X135" s="5"/>
    </row>
    <row r="136" spans="1:24" ht="15.6" x14ac:dyDescent="0.3">
      <c r="A136" s="243"/>
      <c r="B136" s="224"/>
      <c r="C136" s="224"/>
      <c r="D136" s="224"/>
      <c r="E136" s="224"/>
      <c r="F136" s="224"/>
      <c r="G136" s="224"/>
      <c r="H136" s="224"/>
      <c r="I136" s="224"/>
      <c r="J136" s="224"/>
      <c r="K136" s="224"/>
      <c r="L136" s="224"/>
      <c r="M136" s="224"/>
      <c r="N136" s="224"/>
      <c r="O136" s="224"/>
      <c r="P136" s="224"/>
      <c r="Q136" s="224"/>
      <c r="R136" s="224"/>
      <c r="S136" s="224"/>
      <c r="T136" s="224"/>
      <c r="U136" s="224"/>
      <c r="V136" s="244"/>
      <c r="W136" s="224"/>
      <c r="X136" s="5"/>
    </row>
    <row r="137" spans="1:24" ht="18" thickBot="1" x14ac:dyDescent="0.35">
      <c r="A137" s="245"/>
      <c r="B137" s="237" t="str">
        <f>B63</f>
        <v>PM14 INVESTOR REPORT QUARTER ENDING FEBRUARY 2017</v>
      </c>
      <c r="C137" s="238"/>
      <c r="D137" s="238"/>
      <c r="E137" s="238"/>
      <c r="F137" s="238"/>
      <c r="G137" s="238"/>
      <c r="H137" s="238"/>
      <c r="I137" s="238"/>
      <c r="J137" s="238"/>
      <c r="K137" s="238"/>
      <c r="L137" s="238"/>
      <c r="M137" s="238"/>
      <c r="N137" s="238"/>
      <c r="O137" s="238"/>
      <c r="P137" s="238"/>
      <c r="Q137" s="238"/>
      <c r="R137" s="238"/>
      <c r="S137" s="238"/>
      <c r="T137" s="238"/>
      <c r="U137" s="238"/>
      <c r="V137" s="246"/>
      <c r="W137" s="240"/>
      <c r="X137" s="5"/>
    </row>
    <row r="138" spans="1:24" ht="15.6" x14ac:dyDescent="0.3">
      <c r="A138" s="273"/>
      <c r="B138" s="403" t="s">
        <v>41</v>
      </c>
      <c r="C138" s="274"/>
      <c r="D138" s="274"/>
      <c r="E138" s="274"/>
      <c r="F138" s="274"/>
      <c r="G138" s="274"/>
      <c r="H138" s="274"/>
      <c r="I138" s="274"/>
      <c r="J138" s="274"/>
      <c r="K138" s="274"/>
      <c r="L138" s="274"/>
      <c r="M138" s="274"/>
      <c r="N138" s="274"/>
      <c r="O138" s="274"/>
      <c r="P138" s="274"/>
      <c r="Q138" s="274"/>
      <c r="R138" s="274"/>
      <c r="S138" s="274"/>
      <c r="T138" s="274"/>
      <c r="U138" s="274"/>
      <c r="V138" s="275"/>
      <c r="W138" s="274"/>
      <c r="X138" s="5"/>
    </row>
    <row r="139" spans="1:24" ht="15.6" x14ac:dyDescent="0.3">
      <c r="A139" s="183"/>
      <c r="B139" s="195"/>
      <c r="C139" s="185"/>
      <c r="D139" s="185"/>
      <c r="E139" s="185"/>
      <c r="F139" s="185"/>
      <c r="G139" s="185"/>
      <c r="H139" s="185"/>
      <c r="I139" s="185"/>
      <c r="J139" s="185"/>
      <c r="K139" s="185"/>
      <c r="L139" s="185"/>
      <c r="M139" s="185"/>
      <c r="N139" s="185"/>
      <c r="O139" s="185"/>
      <c r="P139" s="185"/>
      <c r="Q139" s="185"/>
      <c r="R139" s="185"/>
      <c r="S139" s="185"/>
      <c r="T139" s="185"/>
      <c r="U139" s="185"/>
      <c r="V139" s="201"/>
      <c r="W139" s="185"/>
      <c r="X139" s="5"/>
    </row>
    <row r="140" spans="1:24" ht="15.6" x14ac:dyDescent="0.3">
      <c r="A140" s="183"/>
      <c r="B140" s="208" t="s">
        <v>42</v>
      </c>
      <c r="C140" s="185"/>
      <c r="D140" s="185"/>
      <c r="E140" s="185"/>
      <c r="F140" s="185"/>
      <c r="G140" s="185"/>
      <c r="H140" s="185"/>
      <c r="I140" s="185"/>
      <c r="J140" s="185"/>
      <c r="K140" s="185"/>
      <c r="L140" s="185"/>
      <c r="M140" s="185"/>
      <c r="N140" s="185"/>
      <c r="O140" s="185"/>
      <c r="P140" s="185"/>
      <c r="Q140" s="185"/>
      <c r="R140" s="185"/>
      <c r="S140" s="185"/>
      <c r="T140" s="185"/>
      <c r="U140" s="185"/>
      <c r="V140" s="201"/>
      <c r="W140" s="185"/>
      <c r="X140" s="5"/>
    </row>
    <row r="141" spans="1:24" ht="15.6" x14ac:dyDescent="0.3">
      <c r="A141" s="287"/>
      <c r="B141" s="288" t="s">
        <v>43</v>
      </c>
      <c r="C141" s="288"/>
      <c r="D141" s="288"/>
      <c r="E141" s="288"/>
      <c r="F141" s="288"/>
      <c r="G141" s="288"/>
      <c r="H141" s="288"/>
      <c r="I141" s="288"/>
      <c r="J141" s="288"/>
      <c r="K141" s="288"/>
      <c r="L141" s="288"/>
      <c r="M141" s="288"/>
      <c r="N141" s="288"/>
      <c r="O141" s="288"/>
      <c r="P141" s="288"/>
      <c r="Q141" s="288"/>
      <c r="R141" s="288"/>
      <c r="S141" s="288"/>
      <c r="T141" s="288"/>
      <c r="U141" s="288"/>
      <c r="V141" s="338">
        <f>+V34*0.019</f>
        <v>28505.224999999999</v>
      </c>
      <c r="W141" s="291"/>
      <c r="X141" s="5"/>
    </row>
    <row r="142" spans="1:24" ht="15.6" x14ac:dyDescent="0.3">
      <c r="A142" s="287"/>
      <c r="B142" s="288" t="s">
        <v>44</v>
      </c>
      <c r="C142" s="288"/>
      <c r="D142" s="288"/>
      <c r="E142" s="288"/>
      <c r="F142" s="288"/>
      <c r="G142" s="288"/>
      <c r="H142" s="288"/>
      <c r="I142" s="288"/>
      <c r="J142" s="288"/>
      <c r="K142" s="288"/>
      <c r="L142" s="288"/>
      <c r="M142" s="288"/>
      <c r="N142" s="288"/>
      <c r="O142" s="288"/>
      <c r="P142" s="288"/>
      <c r="Q142" s="288"/>
      <c r="R142" s="288"/>
      <c r="S142" s="288"/>
      <c r="T142" s="288"/>
      <c r="U142" s="288"/>
      <c r="V142" s="338">
        <v>28505</v>
      </c>
      <c r="W142" s="291"/>
      <c r="X142" s="5"/>
    </row>
    <row r="143" spans="1:24" ht="15.6" x14ac:dyDescent="0.3">
      <c r="A143" s="287"/>
      <c r="B143" s="288" t="s">
        <v>136</v>
      </c>
      <c r="C143" s="288"/>
      <c r="D143" s="288"/>
      <c r="E143" s="288"/>
      <c r="F143" s="288"/>
      <c r="G143" s="288"/>
      <c r="H143" s="288"/>
      <c r="I143" s="288"/>
      <c r="J143" s="288"/>
      <c r="K143" s="288"/>
      <c r="L143" s="288"/>
      <c r="M143" s="288"/>
      <c r="N143" s="288"/>
      <c r="O143" s="288"/>
      <c r="P143" s="288"/>
      <c r="Q143" s="288"/>
      <c r="R143" s="288"/>
      <c r="S143" s="288"/>
      <c r="T143" s="288"/>
      <c r="U143" s="288"/>
      <c r="V143" s="338"/>
      <c r="W143" s="291"/>
      <c r="X143" s="5"/>
    </row>
    <row r="144" spans="1:24" ht="15.6" x14ac:dyDescent="0.3">
      <c r="A144" s="287"/>
      <c r="B144" s="288" t="s">
        <v>123</v>
      </c>
      <c r="C144" s="288"/>
      <c r="D144" s="288"/>
      <c r="E144" s="288"/>
      <c r="F144" s="288"/>
      <c r="G144" s="288"/>
      <c r="H144" s="288"/>
      <c r="I144" s="288"/>
      <c r="J144" s="288"/>
      <c r="K144" s="288"/>
      <c r="L144" s="288"/>
      <c r="M144" s="288"/>
      <c r="N144" s="288"/>
      <c r="O144" s="288"/>
      <c r="P144" s="288"/>
      <c r="Q144" s="288"/>
      <c r="R144" s="288"/>
      <c r="S144" s="288"/>
      <c r="T144" s="288"/>
      <c r="U144" s="288"/>
      <c r="V144" s="338">
        <v>0</v>
      </c>
      <c r="W144" s="291"/>
      <c r="X144" s="5"/>
    </row>
    <row r="145" spans="1:25" ht="15.6" x14ac:dyDescent="0.3">
      <c r="A145" s="287"/>
      <c r="B145" s="288" t="s">
        <v>124</v>
      </c>
      <c r="C145" s="288"/>
      <c r="D145" s="288"/>
      <c r="E145" s="288"/>
      <c r="F145" s="288"/>
      <c r="G145" s="288"/>
      <c r="H145" s="288"/>
      <c r="I145" s="288"/>
      <c r="J145" s="288"/>
      <c r="K145" s="288"/>
      <c r="L145" s="288"/>
      <c r="M145" s="288"/>
      <c r="N145" s="288"/>
      <c r="O145" s="288"/>
      <c r="P145" s="288"/>
      <c r="Q145" s="288"/>
      <c r="R145" s="288"/>
      <c r="S145" s="288"/>
      <c r="T145" s="288"/>
      <c r="U145" s="288"/>
      <c r="V145" s="338">
        <v>0</v>
      </c>
      <c r="W145" s="291"/>
      <c r="X145" s="5"/>
    </row>
    <row r="146" spans="1:25" ht="15.6" x14ac:dyDescent="0.3">
      <c r="A146" s="287"/>
      <c r="B146" s="288" t="s">
        <v>175</v>
      </c>
      <c r="C146" s="288"/>
      <c r="D146" s="288"/>
      <c r="E146" s="288"/>
      <c r="F146" s="288"/>
      <c r="G146" s="288"/>
      <c r="H146" s="288"/>
      <c r="I146" s="288"/>
      <c r="J146" s="288"/>
      <c r="K146" s="288"/>
      <c r="L146" s="288"/>
      <c r="M146" s="288"/>
      <c r="N146" s="288"/>
      <c r="O146" s="288"/>
      <c r="P146" s="288"/>
      <c r="Q146" s="288"/>
      <c r="R146" s="288"/>
      <c r="S146" s="288"/>
      <c r="T146" s="288"/>
      <c r="U146" s="288"/>
      <c r="V146" s="338">
        <v>0</v>
      </c>
      <c r="W146" s="291"/>
      <c r="X146" s="5"/>
    </row>
    <row r="147" spans="1:25" ht="15.6" x14ac:dyDescent="0.3">
      <c r="A147" s="287"/>
      <c r="B147" s="288" t="s">
        <v>45</v>
      </c>
      <c r="C147" s="288"/>
      <c r="D147" s="288"/>
      <c r="E147" s="288"/>
      <c r="F147" s="288"/>
      <c r="G147" s="288"/>
      <c r="H147" s="288"/>
      <c r="I147" s="288"/>
      <c r="J147" s="288"/>
      <c r="K147" s="288"/>
      <c r="L147" s="288"/>
      <c r="M147" s="288"/>
      <c r="N147" s="288"/>
      <c r="O147" s="288"/>
      <c r="P147" s="288"/>
      <c r="Q147" s="288"/>
      <c r="R147" s="288"/>
      <c r="S147" s="288"/>
      <c r="T147" s="288"/>
      <c r="U147" s="288"/>
      <c r="V147" s="338">
        <v>0</v>
      </c>
      <c r="W147" s="291"/>
      <c r="X147" s="5"/>
    </row>
    <row r="148" spans="1:25" ht="15.6" x14ac:dyDescent="0.3">
      <c r="A148" s="287"/>
      <c r="B148" s="288" t="s">
        <v>129</v>
      </c>
      <c r="C148" s="288"/>
      <c r="D148" s="288"/>
      <c r="E148" s="288"/>
      <c r="F148" s="288"/>
      <c r="G148" s="288"/>
      <c r="H148" s="288"/>
      <c r="I148" s="288"/>
      <c r="J148" s="288"/>
      <c r="K148" s="288"/>
      <c r="L148" s="288"/>
      <c r="M148" s="288"/>
      <c r="N148" s="288"/>
      <c r="O148" s="288"/>
      <c r="P148" s="288"/>
      <c r="Q148" s="288"/>
      <c r="R148" s="288"/>
      <c r="S148" s="288"/>
      <c r="T148" s="288"/>
      <c r="U148" s="288"/>
      <c r="V148" s="338">
        <v>0</v>
      </c>
      <c r="W148" s="291"/>
      <c r="X148" s="5"/>
    </row>
    <row r="149" spans="1:25" ht="15.6" x14ac:dyDescent="0.3">
      <c r="A149" s="287"/>
      <c r="B149" s="288" t="s">
        <v>267</v>
      </c>
      <c r="C149" s="288"/>
      <c r="D149" s="288"/>
      <c r="E149" s="288"/>
      <c r="F149" s="288"/>
      <c r="G149" s="288"/>
      <c r="H149" s="288"/>
      <c r="I149" s="288"/>
      <c r="J149" s="288"/>
      <c r="K149" s="288"/>
      <c r="L149" s="288"/>
      <c r="M149" s="288"/>
      <c r="N149" s="288"/>
      <c r="O149" s="288"/>
      <c r="P149" s="288"/>
      <c r="Q149" s="288"/>
      <c r="R149" s="288"/>
      <c r="S149" s="288"/>
      <c r="T149" s="288"/>
      <c r="U149" s="288"/>
      <c r="V149" s="338">
        <v>0</v>
      </c>
      <c r="W149" s="291"/>
      <c r="X149" s="5"/>
      <c r="Y149" s="109"/>
    </row>
    <row r="150" spans="1:25" ht="15.6" x14ac:dyDescent="0.3">
      <c r="A150" s="287"/>
      <c r="B150" s="288" t="s">
        <v>46</v>
      </c>
      <c r="C150" s="288"/>
      <c r="D150" s="288"/>
      <c r="E150" s="288"/>
      <c r="F150" s="288"/>
      <c r="G150" s="288"/>
      <c r="H150" s="288"/>
      <c r="I150" s="288"/>
      <c r="J150" s="288"/>
      <c r="K150" s="288"/>
      <c r="L150" s="288"/>
      <c r="M150" s="288"/>
      <c r="N150" s="288"/>
      <c r="O150" s="288"/>
      <c r="P150" s="288"/>
      <c r="Q150" s="288"/>
      <c r="R150" s="288"/>
      <c r="S150" s="288"/>
      <c r="T150" s="288"/>
      <c r="U150" s="288"/>
      <c r="V150" s="338">
        <f>SUM(V142:V149)</f>
        <v>28505</v>
      </c>
      <c r="W150" s="291"/>
      <c r="X150" s="5"/>
    </row>
    <row r="151" spans="1:25" ht="15.6" x14ac:dyDescent="0.3">
      <c r="A151" s="287"/>
      <c r="B151" s="314"/>
      <c r="C151" s="314"/>
      <c r="D151" s="314"/>
      <c r="E151" s="314"/>
      <c r="F151" s="314"/>
      <c r="G151" s="314"/>
      <c r="H151" s="314"/>
      <c r="I151" s="314"/>
      <c r="J151" s="314"/>
      <c r="K151" s="314"/>
      <c r="L151" s="314"/>
      <c r="M151" s="314"/>
      <c r="N151" s="314"/>
      <c r="O151" s="314"/>
      <c r="P151" s="314"/>
      <c r="Q151" s="314"/>
      <c r="R151" s="314"/>
      <c r="S151" s="314"/>
      <c r="T151" s="314"/>
      <c r="U151" s="314"/>
      <c r="V151" s="345"/>
      <c r="W151" s="318"/>
      <c r="X151" s="5"/>
    </row>
    <row r="152" spans="1:25" ht="15.6" x14ac:dyDescent="0.3">
      <c r="A152" s="287"/>
      <c r="B152" s="343" t="s">
        <v>237</v>
      </c>
      <c r="C152" s="314"/>
      <c r="D152" s="314"/>
      <c r="E152" s="314"/>
      <c r="F152" s="314"/>
      <c r="G152" s="314"/>
      <c r="H152" s="314"/>
      <c r="I152" s="314"/>
      <c r="J152" s="314"/>
      <c r="K152" s="314"/>
      <c r="L152" s="314"/>
      <c r="M152" s="314"/>
      <c r="N152" s="314"/>
      <c r="O152" s="314"/>
      <c r="P152" s="314"/>
      <c r="Q152" s="314"/>
      <c r="R152" s="314"/>
      <c r="S152" s="314"/>
      <c r="T152" s="314"/>
      <c r="U152" s="314"/>
      <c r="V152" s="345"/>
      <c r="W152" s="318"/>
      <c r="X152" s="5"/>
    </row>
    <row r="153" spans="1:25" ht="15.6" x14ac:dyDescent="0.3">
      <c r="A153" s="287"/>
      <c r="B153" s="288" t="s">
        <v>155</v>
      </c>
      <c r="C153" s="288"/>
      <c r="D153" s="288"/>
      <c r="E153" s="288"/>
      <c r="F153" s="288"/>
      <c r="G153" s="288"/>
      <c r="H153" s="288"/>
      <c r="I153" s="288"/>
      <c r="J153" s="288"/>
      <c r="K153" s="288"/>
      <c r="L153" s="288"/>
      <c r="M153" s="288"/>
      <c r="N153" s="288"/>
      <c r="O153" s="288"/>
      <c r="P153" s="288"/>
      <c r="Q153" s="288"/>
      <c r="R153" s="288"/>
      <c r="S153" s="288"/>
      <c r="T153" s="288"/>
      <c r="U153" s="288"/>
      <c r="V153" s="338">
        <v>7500</v>
      </c>
      <c r="W153" s="291"/>
      <c r="X153" s="5"/>
    </row>
    <row r="154" spans="1:25" ht="15.6" x14ac:dyDescent="0.3">
      <c r="A154" s="287"/>
      <c r="B154" s="288" t="s">
        <v>172</v>
      </c>
      <c r="C154" s="288"/>
      <c r="D154" s="288"/>
      <c r="E154" s="288"/>
      <c r="F154" s="288"/>
      <c r="G154" s="288"/>
      <c r="H154" s="288"/>
      <c r="I154" s="288"/>
      <c r="J154" s="288"/>
      <c r="K154" s="288"/>
      <c r="L154" s="288"/>
      <c r="M154" s="288"/>
      <c r="N154" s="288"/>
      <c r="O154" s="288"/>
      <c r="P154" s="288"/>
      <c r="Q154" s="288"/>
      <c r="R154" s="288"/>
      <c r="S154" s="288"/>
      <c r="T154" s="288"/>
      <c r="U154" s="288"/>
      <c r="V154" s="338">
        <v>0</v>
      </c>
      <c r="W154" s="291"/>
      <c r="X154" s="5"/>
    </row>
    <row r="155" spans="1:25" ht="15.6" x14ac:dyDescent="0.3">
      <c r="A155" s="287"/>
      <c r="B155" s="288" t="s">
        <v>344</v>
      </c>
      <c r="C155" s="288"/>
      <c r="D155" s="288"/>
      <c r="E155" s="288"/>
      <c r="F155" s="288"/>
      <c r="G155" s="288"/>
      <c r="H155" s="288"/>
      <c r="I155" s="288"/>
      <c r="J155" s="288"/>
      <c r="K155" s="288"/>
      <c r="L155" s="288"/>
      <c r="M155" s="288"/>
      <c r="N155" s="288"/>
      <c r="O155" s="288"/>
      <c r="P155" s="288"/>
      <c r="Q155" s="288"/>
      <c r="R155" s="288"/>
      <c r="S155" s="288"/>
      <c r="T155" s="288"/>
      <c r="U155" s="288"/>
      <c r="V155" s="338">
        <v>0</v>
      </c>
      <c r="W155" s="291"/>
      <c r="X155" s="5"/>
    </row>
    <row r="156" spans="1:25" ht="15.6" x14ac:dyDescent="0.3">
      <c r="A156" s="287"/>
      <c r="B156" s="288"/>
      <c r="C156" s="288"/>
      <c r="D156" s="288"/>
      <c r="E156" s="288"/>
      <c r="F156" s="288"/>
      <c r="G156" s="288"/>
      <c r="H156" s="288"/>
      <c r="I156" s="288"/>
      <c r="J156" s="288"/>
      <c r="K156" s="288"/>
      <c r="L156" s="288"/>
      <c r="M156" s="288"/>
      <c r="N156" s="288"/>
      <c r="O156" s="288"/>
      <c r="P156" s="288"/>
      <c r="Q156" s="288"/>
      <c r="R156" s="288"/>
      <c r="S156" s="288"/>
      <c r="T156" s="288"/>
      <c r="U156" s="288"/>
      <c r="V156" s="338"/>
      <c r="W156" s="291"/>
      <c r="X156" s="5"/>
    </row>
    <row r="157" spans="1:25" ht="15.6" x14ac:dyDescent="0.3">
      <c r="A157" s="183"/>
      <c r="B157" s="198"/>
      <c r="C157" s="198"/>
      <c r="D157" s="198"/>
      <c r="E157" s="198"/>
      <c r="F157" s="198"/>
      <c r="G157" s="198"/>
      <c r="H157" s="198"/>
      <c r="I157" s="198"/>
      <c r="J157" s="198"/>
      <c r="K157" s="198"/>
      <c r="L157" s="198"/>
      <c r="M157" s="198"/>
      <c r="N157" s="198"/>
      <c r="O157" s="198"/>
      <c r="P157" s="198"/>
      <c r="Q157" s="198"/>
      <c r="R157" s="198"/>
      <c r="S157" s="198"/>
      <c r="T157" s="198"/>
      <c r="U157" s="198"/>
      <c r="V157" s="347"/>
      <c r="W157" s="198"/>
      <c r="X157" s="5"/>
    </row>
    <row r="158" spans="1:25" ht="15.6" x14ac:dyDescent="0.3">
      <c r="A158" s="183"/>
      <c r="B158" s="208" t="s">
        <v>24</v>
      </c>
      <c r="C158" s="185"/>
      <c r="D158" s="185"/>
      <c r="E158" s="185"/>
      <c r="F158" s="185"/>
      <c r="G158" s="185"/>
      <c r="H158" s="185"/>
      <c r="I158" s="185"/>
      <c r="J158" s="185"/>
      <c r="K158" s="185"/>
      <c r="L158" s="185"/>
      <c r="M158" s="185"/>
      <c r="N158" s="185"/>
      <c r="O158" s="185"/>
      <c r="P158" s="185"/>
      <c r="Q158" s="185"/>
      <c r="R158" s="185"/>
      <c r="S158" s="185"/>
      <c r="T158" s="185"/>
      <c r="U158" s="185"/>
      <c r="V158" s="201"/>
      <c r="W158" s="185"/>
      <c r="X158" s="5"/>
    </row>
    <row r="159" spans="1:25" ht="15.6" x14ac:dyDescent="0.3">
      <c r="A159" s="287"/>
      <c r="B159" s="288" t="s">
        <v>47</v>
      </c>
      <c r="C159" s="288"/>
      <c r="D159" s="288"/>
      <c r="E159" s="288"/>
      <c r="F159" s="288"/>
      <c r="G159" s="288"/>
      <c r="H159" s="288"/>
      <c r="I159" s="288"/>
      <c r="J159" s="288"/>
      <c r="K159" s="288"/>
      <c r="L159" s="288"/>
      <c r="M159" s="288"/>
      <c r="N159" s="288"/>
      <c r="O159" s="288"/>
      <c r="P159" s="288"/>
      <c r="Q159" s="288"/>
      <c r="R159" s="288"/>
      <c r="S159" s="288"/>
      <c r="T159" s="288"/>
      <c r="U159" s="288"/>
      <c r="V159" s="348" t="s">
        <v>118</v>
      </c>
      <c r="W159" s="291"/>
      <c r="X159" s="5"/>
    </row>
    <row r="160" spans="1:25" ht="15.6" x14ac:dyDescent="0.3">
      <c r="A160" s="287"/>
      <c r="B160" s="288" t="s">
        <v>48</v>
      </c>
      <c r="C160" s="290"/>
      <c r="D160" s="290"/>
      <c r="E160" s="290"/>
      <c r="F160" s="290"/>
      <c r="G160" s="290"/>
      <c r="H160" s="290"/>
      <c r="I160" s="290"/>
      <c r="J160" s="290"/>
      <c r="K160" s="290"/>
      <c r="L160" s="290"/>
      <c r="M160" s="290"/>
      <c r="N160" s="290"/>
      <c r="O160" s="290"/>
      <c r="P160" s="290"/>
      <c r="Q160" s="290"/>
      <c r="R160" s="290"/>
      <c r="S160" s="290"/>
      <c r="T160" s="290"/>
      <c r="U160" s="290"/>
      <c r="V160" s="348" t="s">
        <v>118</v>
      </c>
      <c r="W160" s="291"/>
      <c r="X160" s="5"/>
    </row>
    <row r="161" spans="1:256" ht="15.6" x14ac:dyDescent="0.3">
      <c r="A161" s="287"/>
      <c r="B161" s="288" t="s">
        <v>49</v>
      </c>
      <c r="C161" s="288"/>
      <c r="D161" s="288"/>
      <c r="E161" s="288"/>
      <c r="F161" s="288"/>
      <c r="G161" s="288"/>
      <c r="H161" s="288"/>
      <c r="I161" s="288"/>
      <c r="J161" s="288"/>
      <c r="K161" s="288"/>
      <c r="L161" s="288"/>
      <c r="M161" s="288"/>
      <c r="N161" s="288"/>
      <c r="O161" s="288"/>
      <c r="P161" s="288"/>
      <c r="Q161" s="288"/>
      <c r="R161" s="288"/>
      <c r="S161" s="288"/>
      <c r="T161" s="288"/>
      <c r="U161" s="288"/>
      <c r="V161" s="348" t="s">
        <v>118</v>
      </c>
      <c r="W161" s="291"/>
      <c r="X161" s="5"/>
    </row>
    <row r="162" spans="1:256" ht="15.6" x14ac:dyDescent="0.3">
      <c r="A162" s="287"/>
      <c r="B162" s="288" t="s">
        <v>50</v>
      </c>
      <c r="C162" s="288"/>
      <c r="D162" s="288"/>
      <c r="E162" s="288"/>
      <c r="F162" s="288"/>
      <c r="G162" s="288"/>
      <c r="H162" s="288"/>
      <c r="I162" s="288"/>
      <c r="J162" s="288"/>
      <c r="K162" s="288"/>
      <c r="L162" s="288"/>
      <c r="M162" s="288"/>
      <c r="N162" s="288"/>
      <c r="O162" s="288"/>
      <c r="P162" s="288"/>
      <c r="Q162" s="288"/>
      <c r="R162" s="288"/>
      <c r="S162" s="288"/>
      <c r="T162" s="288"/>
      <c r="U162" s="288"/>
      <c r="V162" s="348" t="s">
        <v>118</v>
      </c>
      <c r="W162" s="291"/>
      <c r="X162" s="5"/>
    </row>
    <row r="163" spans="1:256" ht="15.6" x14ac:dyDescent="0.3">
      <c r="A163" s="183"/>
      <c r="B163" s="198"/>
      <c r="C163" s="198"/>
      <c r="D163" s="198"/>
      <c r="E163" s="198"/>
      <c r="F163" s="198"/>
      <c r="G163" s="198"/>
      <c r="H163" s="198"/>
      <c r="I163" s="198"/>
      <c r="J163" s="198"/>
      <c r="K163" s="198"/>
      <c r="L163" s="198"/>
      <c r="M163" s="198"/>
      <c r="N163" s="198"/>
      <c r="O163" s="198"/>
      <c r="P163" s="198"/>
      <c r="Q163" s="198"/>
      <c r="R163" s="198"/>
      <c r="S163" s="198"/>
      <c r="T163" s="198"/>
      <c r="U163" s="198"/>
      <c r="V163" s="347"/>
      <c r="W163" s="198"/>
      <c r="X163" s="5"/>
    </row>
    <row r="164" spans="1:256" ht="15.6" x14ac:dyDescent="0.3">
      <c r="A164" s="183"/>
      <c r="B164" s="208" t="s">
        <v>51</v>
      </c>
      <c r="C164" s="185"/>
      <c r="D164" s="185"/>
      <c r="E164" s="185"/>
      <c r="F164" s="185"/>
      <c r="G164" s="185"/>
      <c r="H164" s="185"/>
      <c r="I164" s="185"/>
      <c r="J164" s="185"/>
      <c r="K164" s="185"/>
      <c r="L164" s="185"/>
      <c r="M164" s="185"/>
      <c r="N164" s="185"/>
      <c r="O164" s="185"/>
      <c r="P164" s="185"/>
      <c r="Q164" s="185"/>
      <c r="R164" s="185"/>
      <c r="S164" s="185"/>
      <c r="T164" s="185"/>
      <c r="U164" s="185"/>
      <c r="V164" s="209"/>
      <c r="W164" s="185"/>
      <c r="X164" s="5"/>
    </row>
    <row r="165" spans="1:256" ht="15.6" x14ac:dyDescent="0.3">
      <c r="A165" s="287"/>
      <c r="B165" s="288" t="s">
        <v>52</v>
      </c>
      <c r="C165" s="288"/>
      <c r="D165" s="288"/>
      <c r="E165" s="288"/>
      <c r="F165" s="288"/>
      <c r="G165" s="288"/>
      <c r="H165" s="288"/>
      <c r="I165" s="288"/>
      <c r="J165" s="288"/>
      <c r="K165" s="288"/>
      <c r="L165" s="288"/>
      <c r="M165" s="288"/>
      <c r="N165" s="288"/>
      <c r="O165" s="288"/>
      <c r="P165" s="288"/>
      <c r="Q165" s="288"/>
      <c r="R165" s="288"/>
      <c r="S165" s="288"/>
      <c r="T165" s="288"/>
      <c r="U165" s="288"/>
      <c r="V165" s="338">
        <v>0</v>
      </c>
      <c r="W165" s="291"/>
      <c r="X165" s="5"/>
    </row>
    <row r="166" spans="1:256" ht="15.6" x14ac:dyDescent="0.3">
      <c r="A166" s="287"/>
      <c r="B166" s="288" t="s">
        <v>53</v>
      </c>
      <c r="C166" s="288"/>
      <c r="D166" s="288"/>
      <c r="E166" s="288"/>
      <c r="F166" s="288"/>
      <c r="G166" s="288"/>
      <c r="H166" s="288"/>
      <c r="I166" s="288"/>
      <c r="J166" s="288"/>
      <c r="K166" s="288"/>
      <c r="L166" s="288"/>
      <c r="M166" s="288"/>
      <c r="N166" s="288"/>
      <c r="O166" s="288"/>
      <c r="P166" s="288"/>
      <c r="Q166" s="288"/>
      <c r="R166" s="288"/>
      <c r="S166" s="288"/>
      <c r="T166" s="288"/>
      <c r="U166" s="288"/>
      <c r="V166" s="338">
        <v>398</v>
      </c>
      <c r="W166" s="291"/>
      <c r="X166" s="5"/>
    </row>
    <row r="167" spans="1:256" ht="15.6" x14ac:dyDescent="0.3">
      <c r="A167" s="287"/>
      <c r="B167" s="288" t="s">
        <v>54</v>
      </c>
      <c r="C167" s="288"/>
      <c r="D167" s="288"/>
      <c r="E167" s="288"/>
      <c r="F167" s="288"/>
      <c r="G167" s="288"/>
      <c r="H167" s="288"/>
      <c r="I167" s="288"/>
      <c r="J167" s="288"/>
      <c r="K167" s="288"/>
      <c r="L167" s="288"/>
      <c r="M167" s="288"/>
      <c r="N167" s="288"/>
      <c r="O167" s="288"/>
      <c r="P167" s="288"/>
      <c r="Q167" s="288"/>
      <c r="R167" s="288"/>
      <c r="S167" s="288"/>
      <c r="T167" s="288"/>
      <c r="U167" s="288"/>
      <c r="V167" s="338">
        <f>V166+V165</f>
        <v>398</v>
      </c>
      <c r="W167" s="291"/>
      <c r="X167" s="5"/>
    </row>
    <row r="168" spans="1:256" ht="15.6" x14ac:dyDescent="0.3">
      <c r="A168" s="287"/>
      <c r="B168" s="288" t="s">
        <v>315</v>
      </c>
      <c r="C168" s="288"/>
      <c r="D168" s="288"/>
      <c r="E168" s="288"/>
      <c r="F168" s="288"/>
      <c r="G168" s="288"/>
      <c r="H168" s="288"/>
      <c r="I168" s="288"/>
      <c r="J168" s="288"/>
      <c r="K168" s="288"/>
      <c r="L168" s="288"/>
      <c r="M168" s="288"/>
      <c r="N168" s="288"/>
      <c r="O168" s="288"/>
      <c r="P168" s="288"/>
      <c r="Q168" s="288"/>
      <c r="R168" s="288"/>
      <c r="S168" s="288"/>
      <c r="T168" s="288"/>
      <c r="U168" s="288"/>
      <c r="V168" s="338">
        <f>V114</f>
        <v>-398</v>
      </c>
      <c r="W168" s="291"/>
      <c r="X168" s="5"/>
    </row>
    <row r="169" spans="1:256" ht="15.6" x14ac:dyDescent="0.3">
      <c r="A169" s="287"/>
      <c r="B169" s="288" t="s">
        <v>55</v>
      </c>
      <c r="C169" s="288"/>
      <c r="D169" s="288"/>
      <c r="E169" s="288"/>
      <c r="F169" s="288"/>
      <c r="G169" s="288"/>
      <c r="H169" s="288"/>
      <c r="I169" s="288"/>
      <c r="J169" s="288"/>
      <c r="K169" s="288"/>
      <c r="L169" s="288"/>
      <c r="M169" s="288"/>
      <c r="N169" s="288"/>
      <c r="O169" s="288"/>
      <c r="P169" s="288"/>
      <c r="Q169" s="288"/>
      <c r="R169" s="288"/>
      <c r="S169" s="288"/>
      <c r="T169" s="288"/>
      <c r="U169" s="288"/>
      <c r="V169" s="338">
        <f>V167+V168</f>
        <v>0</v>
      </c>
      <c r="W169" s="291"/>
      <c r="X169" s="5"/>
    </row>
    <row r="170" spans="1:256" ht="15.6" x14ac:dyDescent="0.3">
      <c r="A170" s="287"/>
      <c r="B170" s="288" t="s">
        <v>283</v>
      </c>
      <c r="C170" s="288"/>
      <c r="D170" s="288"/>
      <c r="E170" s="288"/>
      <c r="F170" s="288"/>
      <c r="G170" s="288"/>
      <c r="H170" s="288"/>
      <c r="I170" s="288"/>
      <c r="J170" s="288"/>
      <c r="K170" s="288"/>
      <c r="L170" s="288"/>
      <c r="M170" s="288"/>
      <c r="N170" s="288"/>
      <c r="O170" s="288"/>
      <c r="P170" s="288"/>
      <c r="Q170" s="288"/>
      <c r="R170" s="288"/>
      <c r="S170" s="288"/>
      <c r="T170" s="288"/>
      <c r="U170" s="288"/>
      <c r="V170" s="338">
        <v>0</v>
      </c>
      <c r="W170" s="291"/>
      <c r="X170" s="5"/>
    </row>
    <row r="171" spans="1:256" ht="16.2" thickBot="1" x14ac:dyDescent="0.35">
      <c r="A171" s="183"/>
      <c r="B171" s="284"/>
      <c r="C171" s="284"/>
      <c r="D171" s="284"/>
      <c r="E171" s="284"/>
      <c r="F171" s="284"/>
      <c r="G171" s="284"/>
      <c r="H171" s="284"/>
      <c r="I171" s="284"/>
      <c r="J171" s="284"/>
      <c r="K171" s="284"/>
      <c r="L171" s="284"/>
      <c r="M171" s="284"/>
      <c r="N171" s="284"/>
      <c r="O171" s="284"/>
      <c r="P171" s="284"/>
      <c r="Q171" s="284"/>
      <c r="R171" s="284"/>
      <c r="S171" s="284"/>
      <c r="T171" s="284"/>
      <c r="U171" s="284"/>
      <c r="V171" s="349"/>
      <c r="W171" s="284"/>
      <c r="X171" s="5"/>
    </row>
    <row r="172" spans="1:256" ht="15.6" x14ac:dyDescent="0.3">
      <c r="A172" s="180"/>
      <c r="B172" s="247"/>
      <c r="C172" s="247"/>
      <c r="D172" s="247"/>
      <c r="E172" s="247"/>
      <c r="F172" s="247"/>
      <c r="G172" s="247"/>
      <c r="H172" s="247"/>
      <c r="I172" s="247"/>
      <c r="J172" s="247"/>
      <c r="K172" s="247"/>
      <c r="L172" s="247"/>
      <c r="M172" s="247"/>
      <c r="N172" s="247"/>
      <c r="O172" s="247"/>
      <c r="P172" s="247"/>
      <c r="Q172" s="247"/>
      <c r="R172" s="247"/>
      <c r="S172" s="247"/>
      <c r="T172" s="247"/>
      <c r="U172" s="247"/>
      <c r="V172" s="248"/>
      <c r="W172" s="247"/>
      <c r="X172" s="5"/>
    </row>
    <row r="173" spans="1:256" s="161" customFormat="1" ht="15.6" x14ac:dyDescent="0.3">
      <c r="A173" s="183"/>
      <c r="B173" s="208" t="s">
        <v>269</v>
      </c>
      <c r="C173" s="198"/>
      <c r="D173" s="198"/>
      <c r="E173" s="198"/>
      <c r="F173" s="198"/>
      <c r="G173" s="198"/>
      <c r="H173" s="198"/>
      <c r="I173" s="198"/>
      <c r="J173" s="198"/>
      <c r="K173" s="198"/>
      <c r="L173" s="198"/>
      <c r="M173" s="198"/>
      <c r="N173" s="198"/>
      <c r="O173" s="198"/>
      <c r="P173" s="198"/>
      <c r="Q173" s="198"/>
      <c r="R173" s="198"/>
      <c r="S173" s="198"/>
      <c r="T173" s="198"/>
      <c r="U173" s="198"/>
      <c r="V173" s="210"/>
      <c r="W173" s="198"/>
      <c r="X173" s="5"/>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s="163" customFormat="1" ht="15.6" x14ac:dyDescent="0.3">
      <c r="A174" s="287"/>
      <c r="B174" s="288" t="s">
        <v>270</v>
      </c>
      <c r="C174" s="288"/>
      <c r="D174" s="288"/>
      <c r="E174" s="288"/>
      <c r="F174" s="288"/>
      <c r="G174" s="288"/>
      <c r="H174" s="288"/>
      <c r="I174" s="288"/>
      <c r="J174" s="288"/>
      <c r="K174" s="288"/>
      <c r="L174" s="288"/>
      <c r="M174" s="288"/>
      <c r="N174" s="288"/>
      <c r="O174" s="288"/>
      <c r="P174" s="288"/>
      <c r="Q174" s="288"/>
      <c r="R174" s="288"/>
      <c r="S174" s="288"/>
      <c r="T174" s="288"/>
      <c r="U174" s="288"/>
      <c r="V174" s="338">
        <f>+'Aug 08'!V177</f>
        <v>0</v>
      </c>
      <c r="W174" s="291"/>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5.6" x14ac:dyDescent="0.3">
      <c r="A175" s="287"/>
      <c r="B175" s="288" t="s">
        <v>273</v>
      </c>
      <c r="C175" s="288"/>
      <c r="D175" s="288"/>
      <c r="E175" s="288"/>
      <c r="F175" s="288"/>
      <c r="G175" s="288"/>
      <c r="H175" s="288"/>
      <c r="I175" s="288"/>
      <c r="J175" s="288"/>
      <c r="K175" s="288"/>
      <c r="L175" s="288"/>
      <c r="M175" s="288"/>
      <c r="N175" s="288"/>
      <c r="O175" s="288"/>
      <c r="P175" s="288"/>
      <c r="Q175" s="288"/>
      <c r="R175" s="288"/>
      <c r="S175" s="288"/>
      <c r="T175" s="288"/>
      <c r="U175" s="288"/>
      <c r="V175" s="338">
        <f>+V93</f>
        <v>0</v>
      </c>
      <c r="W175" s="291"/>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3" customFormat="1" ht="15.6" x14ac:dyDescent="0.3">
      <c r="A176" s="287"/>
      <c r="B176" s="288" t="s">
        <v>271</v>
      </c>
      <c r="C176" s="288"/>
      <c r="D176" s="288"/>
      <c r="E176" s="288"/>
      <c r="F176" s="288"/>
      <c r="G176" s="288"/>
      <c r="H176" s="288"/>
      <c r="I176" s="288"/>
      <c r="J176" s="288"/>
      <c r="K176" s="288"/>
      <c r="L176" s="288"/>
      <c r="M176" s="288"/>
      <c r="N176" s="288"/>
      <c r="O176" s="288"/>
      <c r="P176" s="288"/>
      <c r="Q176" s="288"/>
      <c r="R176" s="288"/>
      <c r="S176" s="288"/>
      <c r="T176" s="288"/>
      <c r="U176" s="288"/>
      <c r="V176" s="338">
        <f>+V174-V175</f>
        <v>0</v>
      </c>
      <c r="W176" s="291"/>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s="166" customFormat="1" ht="16.2" thickBot="1" x14ac:dyDescent="0.35">
      <c r="A177" s="199"/>
      <c r="B177" s="198"/>
      <c r="C177" s="198"/>
      <c r="D177" s="198"/>
      <c r="E177" s="198"/>
      <c r="F177" s="198"/>
      <c r="G177" s="198"/>
      <c r="H177" s="198"/>
      <c r="I177" s="198"/>
      <c r="J177" s="198"/>
      <c r="K177" s="198"/>
      <c r="L177" s="198"/>
      <c r="M177" s="198"/>
      <c r="N177" s="198"/>
      <c r="O177" s="198"/>
      <c r="P177" s="198"/>
      <c r="Q177" s="198"/>
      <c r="R177" s="198"/>
      <c r="S177" s="198"/>
      <c r="T177" s="198"/>
      <c r="U177" s="198"/>
      <c r="V177" s="347"/>
      <c r="W177" s="198"/>
      <c r="X177" s="5"/>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s="167" customFormat="1" ht="15.6" x14ac:dyDescent="0.3">
      <c r="A178" s="180"/>
      <c r="B178" s="181"/>
      <c r="C178" s="181"/>
      <c r="D178" s="181"/>
      <c r="E178" s="181"/>
      <c r="F178" s="181"/>
      <c r="G178" s="181"/>
      <c r="H178" s="181"/>
      <c r="I178" s="181"/>
      <c r="J178" s="181"/>
      <c r="K178" s="181"/>
      <c r="L178" s="181"/>
      <c r="M178" s="181"/>
      <c r="N178" s="181"/>
      <c r="O178" s="181"/>
      <c r="P178" s="181"/>
      <c r="Q178" s="181"/>
      <c r="R178" s="181"/>
      <c r="S178" s="181"/>
      <c r="T178" s="181"/>
      <c r="U178" s="181"/>
      <c r="V178" s="200"/>
      <c r="W178" s="181"/>
      <c r="X178" s="5"/>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ht="15.6" x14ac:dyDescent="0.3">
      <c r="A179" s="183"/>
      <c r="B179" s="208" t="s">
        <v>56</v>
      </c>
      <c r="C179" s="185"/>
      <c r="D179" s="185"/>
      <c r="E179" s="185"/>
      <c r="F179" s="185"/>
      <c r="G179" s="185"/>
      <c r="H179" s="185"/>
      <c r="I179" s="185"/>
      <c r="J179" s="185"/>
      <c r="K179" s="185"/>
      <c r="L179" s="185"/>
      <c r="M179" s="185"/>
      <c r="N179" s="185"/>
      <c r="O179" s="185"/>
      <c r="P179" s="185"/>
      <c r="Q179" s="185"/>
      <c r="R179" s="185"/>
      <c r="S179" s="185"/>
      <c r="T179" s="185"/>
      <c r="U179" s="185"/>
      <c r="V179" s="201"/>
      <c r="W179" s="185"/>
      <c r="X179" s="5"/>
    </row>
    <row r="180" spans="1:256" ht="15.6" x14ac:dyDescent="0.3">
      <c r="A180" s="183"/>
      <c r="B180" s="195"/>
      <c r="C180" s="185"/>
      <c r="D180" s="185"/>
      <c r="E180" s="185"/>
      <c r="F180" s="185"/>
      <c r="G180" s="185"/>
      <c r="H180" s="185"/>
      <c r="I180" s="185"/>
      <c r="J180" s="185"/>
      <c r="K180" s="185"/>
      <c r="L180" s="185"/>
      <c r="M180" s="185"/>
      <c r="N180" s="185"/>
      <c r="O180" s="185"/>
      <c r="P180" s="185"/>
      <c r="Q180" s="185"/>
      <c r="R180" s="185"/>
      <c r="S180" s="185"/>
      <c r="T180" s="185"/>
      <c r="U180" s="185"/>
      <c r="V180" s="201"/>
      <c r="W180" s="185"/>
      <c r="X180" s="5"/>
    </row>
    <row r="181" spans="1:256" ht="15.6" x14ac:dyDescent="0.3">
      <c r="A181" s="287"/>
      <c r="B181" s="288" t="s">
        <v>57</v>
      </c>
      <c r="C181" s="288"/>
      <c r="D181" s="288"/>
      <c r="E181" s="288"/>
      <c r="F181" s="288"/>
      <c r="G181" s="288"/>
      <c r="H181" s="288"/>
      <c r="I181" s="288"/>
      <c r="J181" s="288"/>
      <c r="K181" s="288"/>
      <c r="L181" s="288"/>
      <c r="M181" s="288"/>
      <c r="N181" s="288"/>
      <c r="O181" s="288"/>
      <c r="P181" s="288"/>
      <c r="Q181" s="288"/>
      <c r="R181" s="288"/>
      <c r="S181" s="288"/>
      <c r="T181" s="288"/>
      <c r="U181" s="288"/>
      <c r="V181" s="338">
        <f>V70</f>
        <v>906364</v>
      </c>
      <c r="W181" s="291"/>
      <c r="X181" s="5"/>
    </row>
    <row r="182" spans="1:256" ht="15.6" x14ac:dyDescent="0.3">
      <c r="A182" s="287"/>
      <c r="B182" s="288" t="s">
        <v>58</v>
      </c>
      <c r="C182" s="288"/>
      <c r="D182" s="288"/>
      <c r="E182" s="288"/>
      <c r="F182" s="288"/>
      <c r="G182" s="288"/>
      <c r="H182" s="288"/>
      <c r="I182" s="288"/>
      <c r="J182" s="288"/>
      <c r="K182" s="288"/>
      <c r="L182" s="288"/>
      <c r="M182" s="288"/>
      <c r="N182" s="288"/>
      <c r="O182" s="288"/>
      <c r="P182" s="288"/>
      <c r="Q182" s="288"/>
      <c r="R182" s="288"/>
      <c r="S182" s="288"/>
      <c r="T182" s="288"/>
      <c r="U182" s="288"/>
      <c r="V182" s="338">
        <f>V83</f>
        <v>906364</v>
      </c>
      <c r="W182" s="291"/>
      <c r="X182" s="5"/>
    </row>
    <row r="183" spans="1:256" ht="16.2" thickBot="1" x14ac:dyDescent="0.35">
      <c r="A183" s="183"/>
      <c r="B183" s="198"/>
      <c r="C183" s="198"/>
      <c r="D183" s="198"/>
      <c r="E183" s="198"/>
      <c r="F183" s="198"/>
      <c r="G183" s="198"/>
      <c r="H183" s="198"/>
      <c r="I183" s="198"/>
      <c r="J183" s="198"/>
      <c r="K183" s="198"/>
      <c r="L183" s="198"/>
      <c r="M183" s="198"/>
      <c r="N183" s="198"/>
      <c r="O183" s="198"/>
      <c r="P183" s="198"/>
      <c r="Q183" s="198"/>
      <c r="R183" s="198"/>
      <c r="S183" s="198"/>
      <c r="T183" s="198"/>
      <c r="U183" s="198"/>
      <c r="V183" s="347"/>
      <c r="W183" s="198"/>
      <c r="X183" s="5"/>
    </row>
    <row r="184" spans="1:256" ht="15.6" x14ac:dyDescent="0.3">
      <c r="A184" s="180"/>
      <c r="B184" s="181"/>
      <c r="C184" s="181"/>
      <c r="D184" s="181"/>
      <c r="E184" s="181"/>
      <c r="F184" s="181"/>
      <c r="G184" s="181"/>
      <c r="H184" s="181"/>
      <c r="I184" s="181"/>
      <c r="J184" s="181"/>
      <c r="K184" s="181"/>
      <c r="L184" s="181"/>
      <c r="M184" s="181"/>
      <c r="N184" s="181"/>
      <c r="O184" s="181"/>
      <c r="P184" s="181"/>
      <c r="Q184" s="181"/>
      <c r="R184" s="181"/>
      <c r="S184" s="181"/>
      <c r="T184" s="181"/>
      <c r="U184" s="181"/>
      <c r="V184" s="200"/>
      <c r="W184" s="181"/>
      <c r="X184" s="5"/>
    </row>
    <row r="185" spans="1:256" ht="15.6" x14ac:dyDescent="0.3">
      <c r="A185" s="183"/>
      <c r="B185" s="208" t="s">
        <v>59</v>
      </c>
      <c r="C185" s="205"/>
      <c r="D185" s="205"/>
      <c r="E185" s="205"/>
      <c r="F185" s="205"/>
      <c r="G185" s="205"/>
      <c r="H185" s="211"/>
      <c r="I185" s="211"/>
      <c r="J185" s="211"/>
      <c r="K185" s="211"/>
      <c r="L185" s="211"/>
      <c r="M185" s="211"/>
      <c r="N185" s="211"/>
      <c r="O185" s="211"/>
      <c r="P185" s="211"/>
      <c r="Q185" s="211"/>
      <c r="R185" s="211"/>
      <c r="S185" s="211" t="s">
        <v>101</v>
      </c>
      <c r="T185" s="211" t="s">
        <v>176</v>
      </c>
      <c r="U185" s="187"/>
      <c r="V185" s="212" t="s">
        <v>114</v>
      </c>
      <c r="W185" s="213"/>
      <c r="X185" s="5"/>
    </row>
    <row r="186" spans="1:256" ht="15.6" x14ac:dyDescent="0.3">
      <c r="A186" s="287"/>
      <c r="B186" s="288" t="s">
        <v>60</v>
      </c>
      <c r="C186" s="288"/>
      <c r="D186" s="288"/>
      <c r="E186" s="288"/>
      <c r="F186" s="288"/>
      <c r="G186" s="288"/>
      <c r="H186" s="288"/>
      <c r="I186" s="288"/>
      <c r="J186" s="288"/>
      <c r="K186" s="288"/>
      <c r="L186" s="288"/>
      <c r="M186" s="288"/>
      <c r="N186" s="288"/>
      <c r="O186" s="288"/>
      <c r="P186" s="288"/>
      <c r="Q186" s="288"/>
      <c r="R186" s="288"/>
      <c r="S186" s="338">
        <f>+V34*0.16</f>
        <v>240044</v>
      </c>
      <c r="T186" s="325"/>
      <c r="U186" s="288"/>
      <c r="V186" s="338"/>
      <c r="W186" s="291"/>
      <c r="X186" s="5"/>
    </row>
    <row r="187" spans="1:256" ht="15.6" x14ac:dyDescent="0.3">
      <c r="A187" s="287"/>
      <c r="B187" s="288" t="s">
        <v>61</v>
      </c>
      <c r="C187" s="288"/>
      <c r="D187" s="288"/>
      <c r="E187" s="288"/>
      <c r="F187" s="288"/>
      <c r="G187" s="288"/>
      <c r="H187" s="288"/>
      <c r="I187" s="288"/>
      <c r="J187" s="288"/>
      <c r="K187" s="288"/>
      <c r="L187" s="288"/>
      <c r="M187" s="288"/>
      <c r="N187" s="288"/>
      <c r="O187" s="288"/>
      <c r="P187" s="288"/>
      <c r="Q187" s="288"/>
      <c r="R187" s="288"/>
      <c r="S187" s="338">
        <f>+'Nov 16'!S190</f>
        <v>30638</v>
      </c>
      <c r="T187" s="338">
        <f>+'Nov 16'!T190</f>
        <v>6019</v>
      </c>
      <c r="U187" s="288"/>
      <c r="V187" s="338">
        <f>S187+T187</f>
        <v>36657</v>
      </c>
      <c r="W187" s="291"/>
      <c r="X187" s="5"/>
    </row>
    <row r="188" spans="1:256" ht="15.6" x14ac:dyDescent="0.3">
      <c r="A188" s="287"/>
      <c r="B188" s="288" t="s">
        <v>62</v>
      </c>
      <c r="C188" s="288"/>
      <c r="D188" s="288"/>
      <c r="E188" s="288"/>
      <c r="F188" s="288"/>
      <c r="G188" s="288"/>
      <c r="H188" s="288"/>
      <c r="I188" s="288"/>
      <c r="J188" s="288"/>
      <c r="K188" s="288"/>
      <c r="L188" s="288"/>
      <c r="M188" s="288"/>
      <c r="N188" s="288"/>
      <c r="O188" s="288"/>
      <c r="P188" s="288"/>
      <c r="Q188" s="288"/>
      <c r="R188" s="288"/>
      <c r="S188" s="337">
        <f>92+66</f>
        <v>158</v>
      </c>
      <c r="T188" s="337">
        <v>0</v>
      </c>
      <c r="U188" s="288"/>
      <c r="V188" s="338">
        <f>S188+T188</f>
        <v>158</v>
      </c>
      <c r="W188" s="291"/>
      <c r="X188" s="5"/>
    </row>
    <row r="189" spans="1:256" ht="15.6" x14ac:dyDescent="0.3">
      <c r="A189" s="287"/>
      <c r="B189" s="288" t="s">
        <v>63</v>
      </c>
      <c r="C189" s="288"/>
      <c r="D189" s="288"/>
      <c r="E189" s="288"/>
      <c r="F189" s="288"/>
      <c r="G189" s="288"/>
      <c r="H189" s="288"/>
      <c r="I189" s="288"/>
      <c r="J189" s="288"/>
      <c r="K189" s="288"/>
      <c r="L189" s="288"/>
      <c r="M189" s="288"/>
      <c r="N189" s="288"/>
      <c r="O189" s="288"/>
      <c r="P189" s="288"/>
      <c r="Q189" s="288"/>
      <c r="R189" s="288"/>
      <c r="S189" s="338">
        <f>S187+S188</f>
        <v>30796</v>
      </c>
      <c r="T189" s="338">
        <f>T188+T187</f>
        <v>6019</v>
      </c>
      <c r="U189" s="288"/>
      <c r="V189" s="338">
        <f>S189+T189</f>
        <v>36815</v>
      </c>
      <c r="W189" s="291"/>
      <c r="X189" s="5"/>
    </row>
    <row r="190" spans="1:256" ht="15.6" x14ac:dyDescent="0.3">
      <c r="A190" s="287"/>
      <c r="B190" s="288" t="s">
        <v>64</v>
      </c>
      <c r="C190" s="288"/>
      <c r="D190" s="288"/>
      <c r="E190" s="288"/>
      <c r="F190" s="288"/>
      <c r="G190" s="288"/>
      <c r="H190" s="288"/>
      <c r="I190" s="288"/>
      <c r="J190" s="288"/>
      <c r="K190" s="288"/>
      <c r="L190" s="288"/>
      <c r="M190" s="288"/>
      <c r="N190" s="288"/>
      <c r="O190" s="288"/>
      <c r="P190" s="288"/>
      <c r="Q190" s="288"/>
      <c r="R190" s="288"/>
      <c r="S190" s="338">
        <f>S186-S189-T189</f>
        <v>203229</v>
      </c>
      <c r="T190" s="325"/>
      <c r="U190" s="288"/>
      <c r="V190" s="338"/>
      <c r="W190" s="291"/>
      <c r="X190" s="5"/>
    </row>
    <row r="191" spans="1:256" ht="16.2" thickBot="1" x14ac:dyDescent="0.35">
      <c r="A191" s="183"/>
      <c r="B191" s="198"/>
      <c r="C191" s="198"/>
      <c r="D191" s="198"/>
      <c r="E191" s="198"/>
      <c r="F191" s="198"/>
      <c r="G191" s="198"/>
      <c r="H191" s="198"/>
      <c r="I191" s="198"/>
      <c r="J191" s="198"/>
      <c r="K191" s="198"/>
      <c r="L191" s="198"/>
      <c r="M191" s="198"/>
      <c r="N191" s="198"/>
      <c r="O191" s="198"/>
      <c r="P191" s="198"/>
      <c r="Q191" s="198"/>
      <c r="R191" s="198"/>
      <c r="S191" s="198"/>
      <c r="T191" s="198"/>
      <c r="U191" s="198"/>
      <c r="V191" s="347"/>
      <c r="W191" s="198"/>
      <c r="X191" s="5"/>
    </row>
    <row r="192" spans="1:256" ht="15.6" x14ac:dyDescent="0.3">
      <c r="A192" s="180"/>
      <c r="B192" s="181"/>
      <c r="C192" s="181"/>
      <c r="D192" s="181"/>
      <c r="E192" s="181"/>
      <c r="F192" s="181"/>
      <c r="G192" s="181"/>
      <c r="H192" s="181"/>
      <c r="I192" s="181"/>
      <c r="J192" s="181"/>
      <c r="K192" s="181"/>
      <c r="L192" s="181"/>
      <c r="M192" s="181"/>
      <c r="N192" s="181"/>
      <c r="O192" s="181"/>
      <c r="P192" s="181"/>
      <c r="Q192" s="181"/>
      <c r="R192" s="181"/>
      <c r="S192" s="181"/>
      <c r="T192" s="181"/>
      <c r="U192" s="181"/>
      <c r="V192" s="200"/>
      <c r="W192" s="181"/>
      <c r="X192" s="5"/>
    </row>
    <row r="193" spans="1:24" ht="15.6" x14ac:dyDescent="0.3">
      <c r="A193" s="183"/>
      <c r="B193" s="208" t="s">
        <v>65</v>
      </c>
      <c r="C193" s="185"/>
      <c r="D193" s="185"/>
      <c r="E193" s="185"/>
      <c r="F193" s="185"/>
      <c r="G193" s="185"/>
      <c r="H193" s="185"/>
      <c r="I193" s="185"/>
      <c r="J193" s="185"/>
      <c r="K193" s="185"/>
      <c r="L193" s="185"/>
      <c r="M193" s="185"/>
      <c r="N193" s="185"/>
      <c r="O193" s="185"/>
      <c r="P193" s="185"/>
      <c r="Q193" s="185"/>
      <c r="R193" s="185"/>
      <c r="S193" s="185"/>
      <c r="T193" s="185"/>
      <c r="U193" s="185"/>
      <c r="V193" s="214"/>
      <c r="W193" s="185"/>
      <c r="X193" s="5"/>
    </row>
    <row r="194" spans="1:24" ht="15.6" x14ac:dyDescent="0.3">
      <c r="A194" s="287"/>
      <c r="B194" s="288" t="s">
        <v>66</v>
      </c>
      <c r="C194" s="288"/>
      <c r="D194" s="288"/>
      <c r="E194" s="288"/>
      <c r="F194" s="288"/>
      <c r="G194" s="288"/>
      <c r="H194" s="288"/>
      <c r="I194" s="288"/>
      <c r="J194" s="288"/>
      <c r="K194" s="288"/>
      <c r="L194" s="288"/>
      <c r="M194" s="288"/>
      <c r="N194" s="288"/>
      <c r="O194" s="288"/>
      <c r="P194" s="288"/>
      <c r="Q194" s="288"/>
      <c r="R194" s="288"/>
      <c r="S194" s="288"/>
      <c r="T194" s="288"/>
      <c r="U194" s="288"/>
      <c r="V194" s="348">
        <f>(V100+V102+V103+V104+V105)/-(V106+V107)</f>
        <v>5.340551181102362</v>
      </c>
      <c r="W194" s="291" t="s">
        <v>115</v>
      </c>
      <c r="X194" s="5"/>
    </row>
    <row r="195" spans="1:24" ht="15.6" x14ac:dyDescent="0.3">
      <c r="A195" s="287"/>
      <c r="B195" s="288" t="s">
        <v>67</v>
      </c>
      <c r="C195" s="288"/>
      <c r="D195" s="288"/>
      <c r="E195" s="288"/>
      <c r="F195" s="288"/>
      <c r="G195" s="288"/>
      <c r="H195" s="288"/>
      <c r="I195" s="288"/>
      <c r="J195" s="288"/>
      <c r="K195" s="288"/>
      <c r="L195" s="288"/>
      <c r="M195" s="288"/>
      <c r="N195" s="288"/>
      <c r="O195" s="288"/>
      <c r="P195" s="288"/>
      <c r="Q195" s="288"/>
      <c r="R195" s="288"/>
      <c r="S195" s="288"/>
      <c r="T195" s="288"/>
      <c r="U195" s="288"/>
      <c r="V195" s="350">
        <v>2.04</v>
      </c>
      <c r="W195" s="291" t="s">
        <v>115</v>
      </c>
      <c r="X195" s="5"/>
    </row>
    <row r="196" spans="1:24" ht="15.6" x14ac:dyDescent="0.3">
      <c r="A196" s="287"/>
      <c r="B196" s="288" t="s">
        <v>68</v>
      </c>
      <c r="C196" s="288"/>
      <c r="D196" s="288"/>
      <c r="E196" s="288"/>
      <c r="F196" s="288"/>
      <c r="G196" s="288"/>
      <c r="H196" s="288"/>
      <c r="I196" s="288"/>
      <c r="J196" s="288"/>
      <c r="K196" s="288"/>
      <c r="L196" s="288"/>
      <c r="M196" s="288"/>
      <c r="N196" s="288"/>
      <c r="O196" s="288"/>
      <c r="P196" s="288"/>
      <c r="Q196" s="288"/>
      <c r="R196" s="288"/>
      <c r="S196" s="288"/>
      <c r="T196" s="288"/>
      <c r="U196" s="288"/>
      <c r="V196" s="348">
        <f>(V100+V102+V103+V104+V105+V106+V107)/-(V109+V110)</f>
        <v>20.704225352112676</v>
      </c>
      <c r="W196" s="291" t="s">
        <v>115</v>
      </c>
      <c r="X196" s="5"/>
    </row>
    <row r="197" spans="1:24" ht="15.6" x14ac:dyDescent="0.3">
      <c r="A197" s="287"/>
      <c r="B197" s="288" t="s">
        <v>69</v>
      </c>
      <c r="C197" s="288"/>
      <c r="D197" s="288"/>
      <c r="E197" s="288"/>
      <c r="F197" s="288"/>
      <c r="G197" s="288"/>
      <c r="H197" s="288"/>
      <c r="I197" s="288"/>
      <c r="J197" s="288"/>
      <c r="K197" s="288"/>
      <c r="L197" s="288"/>
      <c r="M197" s="288"/>
      <c r="N197" s="288"/>
      <c r="O197" s="288"/>
      <c r="P197" s="288"/>
      <c r="Q197" s="288"/>
      <c r="R197" s="288"/>
      <c r="S197" s="288"/>
      <c r="T197" s="288"/>
      <c r="U197" s="288"/>
      <c r="V197" s="350">
        <v>9.3000000000000007</v>
      </c>
      <c r="W197" s="291" t="s">
        <v>115</v>
      </c>
      <c r="X197" s="5"/>
    </row>
    <row r="198" spans="1:24" ht="15.6" x14ac:dyDescent="0.3">
      <c r="A198" s="287"/>
      <c r="B198" s="288" t="s">
        <v>198</v>
      </c>
      <c r="C198" s="288"/>
      <c r="D198" s="288"/>
      <c r="E198" s="288"/>
      <c r="F198" s="288"/>
      <c r="G198" s="288"/>
      <c r="H198" s="288"/>
      <c r="I198" s="288"/>
      <c r="J198" s="288"/>
      <c r="K198" s="288"/>
      <c r="L198" s="288"/>
      <c r="M198" s="288"/>
      <c r="N198" s="288"/>
      <c r="O198" s="288"/>
      <c r="P198" s="288"/>
      <c r="Q198" s="288"/>
      <c r="R198" s="288"/>
      <c r="S198" s="288"/>
      <c r="T198" s="288"/>
      <c r="U198" s="288"/>
      <c r="V198" s="348">
        <f>(V100+V102+V103+V104+V105+V106+V107+V109+V110)/-(V111+V112)</f>
        <v>12.380530973451327</v>
      </c>
      <c r="W198" s="291" t="s">
        <v>115</v>
      </c>
      <c r="X198" s="5"/>
    </row>
    <row r="199" spans="1:24" ht="15.6" x14ac:dyDescent="0.3">
      <c r="A199" s="287"/>
      <c r="B199" s="288" t="s">
        <v>199</v>
      </c>
      <c r="C199" s="288"/>
      <c r="D199" s="288"/>
      <c r="E199" s="288"/>
      <c r="F199" s="288"/>
      <c r="G199" s="288"/>
      <c r="H199" s="288"/>
      <c r="I199" s="288"/>
      <c r="J199" s="288"/>
      <c r="K199" s="288"/>
      <c r="L199" s="288"/>
      <c r="M199" s="288"/>
      <c r="N199" s="288"/>
      <c r="O199" s="288"/>
      <c r="P199" s="288"/>
      <c r="Q199" s="288"/>
      <c r="R199" s="288"/>
      <c r="S199" s="288"/>
      <c r="T199" s="288"/>
      <c r="U199" s="288"/>
      <c r="V199" s="350">
        <v>7.08</v>
      </c>
      <c r="W199" s="291" t="s">
        <v>115</v>
      </c>
      <c r="X199" s="5"/>
    </row>
    <row r="200" spans="1:24" ht="15.6" x14ac:dyDescent="0.3">
      <c r="A200" s="287"/>
      <c r="B200" s="314"/>
      <c r="C200" s="314"/>
      <c r="D200" s="314"/>
      <c r="E200" s="314"/>
      <c r="F200" s="314"/>
      <c r="G200" s="314"/>
      <c r="H200" s="314"/>
      <c r="I200" s="314"/>
      <c r="J200" s="314"/>
      <c r="K200" s="314"/>
      <c r="L200" s="314"/>
      <c r="M200" s="314"/>
      <c r="N200" s="314"/>
      <c r="O200" s="314"/>
      <c r="P200" s="314"/>
      <c r="Q200" s="314"/>
      <c r="R200" s="314"/>
      <c r="S200" s="314"/>
      <c r="T200" s="314"/>
      <c r="U200" s="314"/>
      <c r="V200" s="314"/>
      <c r="W200" s="318"/>
      <c r="X200" s="5"/>
    </row>
    <row r="201" spans="1:24" ht="15.6" x14ac:dyDescent="0.3">
      <c r="A201" s="183"/>
      <c r="B201" s="198"/>
      <c r="C201" s="198"/>
      <c r="D201" s="198"/>
      <c r="E201" s="198"/>
      <c r="F201" s="198"/>
      <c r="G201" s="198"/>
      <c r="H201" s="198"/>
      <c r="I201" s="198"/>
      <c r="J201" s="198"/>
      <c r="K201" s="198"/>
      <c r="L201" s="198"/>
      <c r="M201" s="198"/>
      <c r="N201" s="198"/>
      <c r="O201" s="198"/>
      <c r="P201" s="198"/>
      <c r="Q201" s="198"/>
      <c r="R201" s="198"/>
      <c r="S201" s="198"/>
      <c r="T201" s="198"/>
      <c r="U201" s="198"/>
      <c r="V201" s="198"/>
      <c r="W201" s="198"/>
      <c r="X201" s="5"/>
    </row>
    <row r="202" spans="1:24" ht="15.6" x14ac:dyDescent="0.3">
      <c r="A202" s="183"/>
      <c r="B202" s="185"/>
      <c r="C202" s="185"/>
      <c r="D202" s="185"/>
      <c r="E202" s="185"/>
      <c r="F202" s="185"/>
      <c r="G202" s="185"/>
      <c r="H202" s="185"/>
      <c r="I202" s="185"/>
      <c r="J202" s="185"/>
      <c r="K202" s="185"/>
      <c r="L202" s="185"/>
      <c r="M202" s="185"/>
      <c r="N202" s="185"/>
      <c r="O202" s="185"/>
      <c r="P202" s="185"/>
      <c r="Q202" s="185"/>
      <c r="R202" s="185"/>
      <c r="S202" s="185"/>
      <c r="T202" s="185"/>
      <c r="U202" s="185"/>
      <c r="V202" s="185"/>
      <c r="W202" s="185"/>
      <c r="X202" s="5"/>
    </row>
    <row r="203" spans="1:24" ht="18" thickBot="1" x14ac:dyDescent="0.35">
      <c r="A203" s="199"/>
      <c r="B203" s="237" t="str">
        <f>B137</f>
        <v>PM14 INVESTOR REPORT QUARTER ENDING FEBRUARY 2017</v>
      </c>
      <c r="C203" s="215"/>
      <c r="D203" s="215"/>
      <c r="E203" s="215"/>
      <c r="F203" s="215"/>
      <c r="G203" s="215"/>
      <c r="H203" s="215"/>
      <c r="I203" s="215"/>
      <c r="J203" s="215"/>
      <c r="K203" s="215"/>
      <c r="L203" s="215"/>
      <c r="M203" s="215"/>
      <c r="N203" s="215"/>
      <c r="O203" s="215"/>
      <c r="P203" s="215"/>
      <c r="Q203" s="215"/>
      <c r="R203" s="215"/>
      <c r="S203" s="215"/>
      <c r="T203" s="215"/>
      <c r="U203" s="215"/>
      <c r="V203" s="215"/>
      <c r="W203" s="216"/>
      <c r="X203" s="5"/>
    </row>
    <row r="204" spans="1:24" ht="15.6" x14ac:dyDescent="0.3">
      <c r="A204" s="273"/>
      <c r="B204" s="403" t="s">
        <v>70</v>
      </c>
      <c r="C204" s="404"/>
      <c r="D204" s="404"/>
      <c r="E204" s="404"/>
      <c r="F204" s="404"/>
      <c r="G204" s="405"/>
      <c r="H204" s="405"/>
      <c r="I204" s="405"/>
      <c r="J204" s="405"/>
      <c r="K204" s="405"/>
      <c r="L204" s="405"/>
      <c r="M204" s="405"/>
      <c r="N204" s="405"/>
      <c r="O204" s="405"/>
      <c r="P204" s="405"/>
      <c r="Q204" s="405"/>
      <c r="R204" s="405"/>
      <c r="S204" s="405"/>
      <c r="T204" s="405">
        <v>42794</v>
      </c>
      <c r="U204" s="274"/>
      <c r="V204" s="274"/>
      <c r="W204" s="274"/>
      <c r="X204" s="5"/>
    </row>
    <row r="205" spans="1:24" ht="15.6" x14ac:dyDescent="0.3">
      <c r="A205" s="217"/>
      <c r="B205" s="230"/>
      <c r="C205" s="249"/>
      <c r="D205" s="249"/>
      <c r="E205" s="249"/>
      <c r="F205" s="249"/>
      <c r="G205" s="229"/>
      <c r="H205" s="229"/>
      <c r="I205" s="229"/>
      <c r="J205" s="229"/>
      <c r="K205" s="229"/>
      <c r="L205" s="229"/>
      <c r="M205" s="229"/>
      <c r="N205" s="229"/>
      <c r="O205" s="229"/>
      <c r="P205" s="229"/>
      <c r="Q205" s="229"/>
      <c r="R205" s="229"/>
      <c r="S205" s="229"/>
      <c r="T205" s="229"/>
      <c r="U205" s="224"/>
      <c r="V205" s="224"/>
      <c r="W205" s="224"/>
      <c r="X205" s="5"/>
    </row>
    <row r="206" spans="1:24" ht="15.6" x14ac:dyDescent="0.3">
      <c r="A206" s="352"/>
      <c r="B206" s="288" t="s">
        <v>71</v>
      </c>
      <c r="C206" s="353"/>
      <c r="D206" s="353"/>
      <c r="E206" s="353"/>
      <c r="F206" s="353"/>
      <c r="G206" s="330"/>
      <c r="H206" s="330"/>
      <c r="I206" s="330"/>
      <c r="J206" s="330"/>
      <c r="K206" s="330"/>
      <c r="L206" s="330"/>
      <c r="M206" s="330"/>
      <c r="N206" s="330"/>
      <c r="O206" s="330"/>
      <c r="P206" s="330"/>
      <c r="Q206" s="330"/>
      <c r="R206" s="330"/>
      <c r="S206" s="330"/>
      <c r="T206" s="321">
        <v>5.2819999999999999E-2</v>
      </c>
      <c r="U206" s="288"/>
      <c r="V206" s="288"/>
      <c r="W206" s="291"/>
      <c r="X206" s="5"/>
    </row>
    <row r="207" spans="1:24" ht="15.6" x14ac:dyDescent="0.3">
      <c r="A207" s="352"/>
      <c r="B207" s="288" t="s">
        <v>151</v>
      </c>
      <c r="C207" s="353"/>
      <c r="D207" s="353"/>
      <c r="E207" s="353"/>
      <c r="F207" s="353"/>
      <c r="G207" s="330"/>
      <c r="H207" s="330"/>
      <c r="I207" s="330"/>
      <c r="J207" s="330"/>
      <c r="K207" s="330"/>
      <c r="L207" s="330"/>
      <c r="M207" s="330"/>
      <c r="N207" s="330"/>
      <c r="O207" s="330"/>
      <c r="P207" s="330"/>
      <c r="Q207" s="330"/>
      <c r="R207" s="330"/>
      <c r="S207" s="330"/>
      <c r="T207" s="321">
        <v>5.7799999999999997E-2</v>
      </c>
      <c r="U207" s="288"/>
      <c r="V207" s="288"/>
      <c r="W207" s="291"/>
      <c r="X207" s="5"/>
    </row>
    <row r="208" spans="1:24" ht="15.6" x14ac:dyDescent="0.3">
      <c r="A208" s="352"/>
      <c r="B208" s="288" t="s">
        <v>72</v>
      </c>
      <c r="C208" s="353"/>
      <c r="D208" s="353"/>
      <c r="E208" s="353"/>
      <c r="F208" s="353"/>
      <c r="G208" s="330"/>
      <c r="H208" s="330"/>
      <c r="I208" s="330"/>
      <c r="J208" s="330"/>
      <c r="K208" s="330"/>
      <c r="L208" s="330"/>
      <c r="M208" s="330"/>
      <c r="N208" s="330"/>
      <c r="O208" s="330"/>
      <c r="P208" s="330"/>
      <c r="Q208" s="330"/>
      <c r="R208" s="330"/>
      <c r="S208" s="330"/>
      <c r="T208" s="321">
        <f>T206-T207</f>
        <v>-4.9799999999999983E-3</v>
      </c>
      <c r="U208" s="288"/>
      <c r="V208" s="288"/>
      <c r="W208" s="291"/>
      <c r="X208" s="5"/>
    </row>
    <row r="209" spans="1:24" ht="15.6" x14ac:dyDescent="0.3">
      <c r="A209" s="352"/>
      <c r="B209" s="288" t="s">
        <v>73</v>
      </c>
      <c r="C209" s="353"/>
      <c r="D209" s="353"/>
      <c r="E209" s="353"/>
      <c r="F209" s="353"/>
      <c r="G209" s="330"/>
      <c r="H209" s="330"/>
      <c r="I209" s="330"/>
      <c r="J209" s="330"/>
      <c r="K209" s="330"/>
      <c r="L209" s="330"/>
      <c r="M209" s="330"/>
      <c r="N209" s="330"/>
      <c r="O209" s="330"/>
      <c r="P209" s="330"/>
      <c r="Q209" s="330"/>
      <c r="R209" s="330"/>
      <c r="S209" s="330"/>
      <c r="T209" s="321">
        <v>2.1950000000000001E-2</v>
      </c>
      <c r="U209" s="288"/>
      <c r="V209" s="288"/>
      <c r="W209" s="291"/>
      <c r="X209" s="5"/>
    </row>
    <row r="210" spans="1:24" ht="15.6" x14ac:dyDescent="0.3">
      <c r="A210" s="352"/>
      <c r="B210" s="288" t="s">
        <v>219</v>
      </c>
      <c r="C210" s="353"/>
      <c r="D210" s="353"/>
      <c r="E210" s="353"/>
      <c r="F210" s="353"/>
      <c r="G210" s="330"/>
      <c r="H210" s="330"/>
      <c r="I210" s="330"/>
      <c r="J210" s="330"/>
      <c r="K210" s="330"/>
      <c r="L210" s="330"/>
      <c r="M210" s="330"/>
      <c r="N210" s="330"/>
      <c r="O210" s="330"/>
      <c r="P210" s="330"/>
      <c r="Q210" s="330"/>
      <c r="R210" s="330"/>
      <c r="S210" s="330"/>
      <c r="T210" s="321">
        <f>V43</f>
        <v>6.8907246254986659E-3</v>
      </c>
      <c r="U210" s="288"/>
      <c r="V210" s="288"/>
      <c r="W210" s="291"/>
      <c r="X210" s="5"/>
    </row>
    <row r="211" spans="1:24" ht="15.6" x14ac:dyDescent="0.3">
      <c r="A211" s="352"/>
      <c r="B211" s="288" t="s">
        <v>74</v>
      </c>
      <c r="C211" s="353"/>
      <c r="D211" s="353"/>
      <c r="E211" s="353"/>
      <c r="F211" s="353"/>
      <c r="G211" s="330"/>
      <c r="H211" s="330"/>
      <c r="I211" s="330"/>
      <c r="J211" s="330"/>
      <c r="K211" s="330"/>
      <c r="L211" s="330"/>
      <c r="M211" s="330"/>
      <c r="N211" s="330"/>
      <c r="O211" s="330"/>
      <c r="P211" s="330"/>
      <c r="Q211" s="330"/>
      <c r="R211" s="330"/>
      <c r="S211" s="330"/>
      <c r="T211" s="321">
        <f>T209-T210</f>
        <v>1.5059275374501335E-2</v>
      </c>
      <c r="U211" s="288"/>
      <c r="V211" s="288"/>
      <c r="W211" s="291"/>
      <c r="X211" s="5"/>
    </row>
    <row r="212" spans="1:24" ht="15.6" x14ac:dyDescent="0.3">
      <c r="A212" s="352"/>
      <c r="B212" s="288" t="s">
        <v>242</v>
      </c>
      <c r="C212" s="353"/>
      <c r="D212" s="353"/>
      <c r="E212" s="353"/>
      <c r="F212" s="353"/>
      <c r="G212" s="330"/>
      <c r="H212" s="330"/>
      <c r="I212" s="330"/>
      <c r="J212" s="330"/>
      <c r="K212" s="330"/>
      <c r="L212" s="330"/>
      <c r="M212" s="330"/>
      <c r="N212" s="330"/>
      <c r="O212" s="330"/>
      <c r="P212" s="330"/>
      <c r="Q212" s="330"/>
      <c r="R212" s="330"/>
      <c r="S212" s="330"/>
      <c r="T212" s="321">
        <f>V100/N70</f>
        <v>6.2085194985468271E-3</v>
      </c>
      <c r="U212" s="288"/>
      <c r="V212" s="288"/>
      <c r="W212" s="291"/>
      <c r="X212" s="5"/>
    </row>
    <row r="213" spans="1:24" ht="15.6" x14ac:dyDescent="0.3">
      <c r="A213" s="352"/>
      <c r="B213" s="288" t="s">
        <v>208</v>
      </c>
      <c r="C213" s="353"/>
      <c r="D213" s="353"/>
      <c r="E213" s="353"/>
      <c r="F213" s="353"/>
      <c r="G213" s="330"/>
      <c r="H213" s="330"/>
      <c r="I213" s="330"/>
      <c r="J213" s="330"/>
      <c r="K213" s="330"/>
      <c r="L213" s="330"/>
      <c r="M213" s="330"/>
      <c r="N213" s="330"/>
      <c r="O213" s="330"/>
      <c r="P213" s="330"/>
      <c r="Q213" s="330"/>
      <c r="R213" s="330"/>
      <c r="S213" s="330"/>
      <c r="T213" s="354">
        <v>51014</v>
      </c>
      <c r="U213" s="288"/>
      <c r="V213" s="288"/>
      <c r="W213" s="291"/>
      <c r="X213" s="5"/>
    </row>
    <row r="214" spans="1:24" ht="15.6" x14ac:dyDescent="0.3">
      <c r="A214" s="352"/>
      <c r="B214" s="288" t="s">
        <v>209</v>
      </c>
      <c r="C214" s="353"/>
      <c r="D214" s="353"/>
      <c r="E214" s="353"/>
      <c r="F214" s="353"/>
      <c r="G214" s="330"/>
      <c r="H214" s="330"/>
      <c r="I214" s="330"/>
      <c r="J214" s="330"/>
      <c r="K214" s="330"/>
      <c r="L214" s="330"/>
      <c r="M214" s="330"/>
      <c r="N214" s="330"/>
      <c r="O214" s="330"/>
      <c r="P214" s="330"/>
      <c r="Q214" s="330"/>
      <c r="R214" s="330"/>
      <c r="S214" s="330"/>
      <c r="T214" s="354">
        <v>51014</v>
      </c>
      <c r="U214" s="288"/>
      <c r="V214" s="288"/>
      <c r="W214" s="291"/>
      <c r="X214" s="5"/>
    </row>
    <row r="215" spans="1:24" ht="15.6" x14ac:dyDescent="0.3">
      <c r="A215" s="352"/>
      <c r="B215" s="288" t="s">
        <v>210</v>
      </c>
      <c r="C215" s="353"/>
      <c r="D215" s="353"/>
      <c r="E215" s="353"/>
      <c r="F215" s="353"/>
      <c r="G215" s="330"/>
      <c r="H215" s="330"/>
      <c r="I215" s="330"/>
      <c r="J215" s="330"/>
      <c r="K215" s="330"/>
      <c r="L215" s="330"/>
      <c r="M215" s="330"/>
      <c r="N215" s="330"/>
      <c r="O215" s="330"/>
      <c r="P215" s="330"/>
      <c r="Q215" s="330"/>
      <c r="R215" s="330"/>
      <c r="S215" s="330"/>
      <c r="T215" s="354">
        <v>51014</v>
      </c>
      <c r="U215" s="288"/>
      <c r="V215" s="288"/>
      <c r="W215" s="291"/>
      <c r="X215" s="5"/>
    </row>
    <row r="216" spans="1:24" ht="15.6" x14ac:dyDescent="0.3">
      <c r="A216" s="352"/>
      <c r="B216" s="288" t="s">
        <v>75</v>
      </c>
      <c r="C216" s="353"/>
      <c r="D216" s="353"/>
      <c r="E216" s="353"/>
      <c r="F216" s="353"/>
      <c r="G216" s="330"/>
      <c r="H216" s="330"/>
      <c r="I216" s="330"/>
      <c r="J216" s="330"/>
      <c r="K216" s="330"/>
      <c r="L216" s="330"/>
      <c r="M216" s="330"/>
      <c r="N216" s="330"/>
      <c r="O216" s="330"/>
      <c r="P216" s="330"/>
      <c r="Q216" s="330"/>
      <c r="R216" s="330"/>
      <c r="S216" s="330"/>
      <c r="T216" s="327">
        <v>20.66</v>
      </c>
      <c r="U216" s="288" t="s">
        <v>110</v>
      </c>
      <c r="V216" s="288"/>
      <c r="W216" s="291"/>
      <c r="X216" s="5"/>
    </row>
    <row r="217" spans="1:24" ht="15.6" x14ac:dyDescent="0.3">
      <c r="A217" s="352"/>
      <c r="B217" s="288" t="s">
        <v>76</v>
      </c>
      <c r="C217" s="353"/>
      <c r="D217" s="353"/>
      <c r="E217" s="353"/>
      <c r="F217" s="353"/>
      <c r="G217" s="330"/>
      <c r="H217" s="330"/>
      <c r="I217" s="330"/>
      <c r="J217" s="330"/>
      <c r="K217" s="330"/>
      <c r="L217" s="330"/>
      <c r="M217" s="330"/>
      <c r="N217" s="330"/>
      <c r="O217" s="330"/>
      <c r="P217" s="330"/>
      <c r="Q217" s="330"/>
      <c r="R217" s="330"/>
      <c r="S217" s="330"/>
      <c r="T217" s="327">
        <v>11.98</v>
      </c>
      <c r="U217" s="288" t="s">
        <v>110</v>
      </c>
      <c r="V217" s="288"/>
      <c r="W217" s="291"/>
      <c r="X217" s="5"/>
    </row>
    <row r="218" spans="1:24" ht="15.6" x14ac:dyDescent="0.3">
      <c r="A218" s="352"/>
      <c r="B218" s="288" t="s">
        <v>77</v>
      </c>
      <c r="C218" s="353"/>
      <c r="D218" s="353"/>
      <c r="E218" s="353"/>
      <c r="F218" s="353"/>
      <c r="G218" s="330"/>
      <c r="H218" s="330"/>
      <c r="I218" s="330"/>
      <c r="J218" s="330"/>
      <c r="K218" s="330"/>
      <c r="L218" s="330"/>
      <c r="M218" s="330"/>
      <c r="N218" s="330"/>
      <c r="O218" s="330"/>
      <c r="P218" s="330"/>
      <c r="Q218" s="330"/>
      <c r="R218" s="330"/>
      <c r="S218" s="330"/>
      <c r="T218" s="321">
        <f>+P67/N67</f>
        <v>1.7258057519628681E-2</v>
      </c>
      <c r="U218" s="288"/>
      <c r="V218" s="288"/>
      <c r="W218" s="291"/>
      <c r="X218" s="5"/>
    </row>
    <row r="219" spans="1:24" ht="15.6" x14ac:dyDescent="0.3">
      <c r="A219" s="352"/>
      <c r="B219" s="288" t="s">
        <v>78</v>
      </c>
      <c r="C219" s="353"/>
      <c r="D219" s="353"/>
      <c r="E219" s="353"/>
      <c r="F219" s="353"/>
      <c r="G219" s="330"/>
      <c r="H219" s="330"/>
      <c r="I219" s="330"/>
      <c r="J219" s="330"/>
      <c r="K219" s="330"/>
      <c r="L219" s="330"/>
      <c r="M219" s="330"/>
      <c r="N219" s="330"/>
      <c r="O219" s="330"/>
      <c r="P219" s="330"/>
      <c r="Q219" s="330"/>
      <c r="R219" s="330"/>
      <c r="S219" s="330"/>
      <c r="T219" s="321">
        <v>5.2200000000000003E-2</v>
      </c>
      <c r="U219" s="288"/>
      <c r="V219" s="288"/>
      <c r="W219" s="291"/>
      <c r="X219" s="5"/>
    </row>
    <row r="220" spans="1:24" ht="15.6" x14ac:dyDescent="0.3">
      <c r="A220" s="217"/>
      <c r="B220" s="284"/>
      <c r="C220" s="284"/>
      <c r="D220" s="284"/>
      <c r="E220" s="284"/>
      <c r="F220" s="284"/>
      <c r="G220" s="284"/>
      <c r="H220" s="284"/>
      <c r="I220" s="284"/>
      <c r="J220" s="284"/>
      <c r="K220" s="284"/>
      <c r="L220" s="284"/>
      <c r="M220" s="284"/>
      <c r="N220" s="284"/>
      <c r="O220" s="284"/>
      <c r="P220" s="284"/>
      <c r="Q220" s="284"/>
      <c r="R220" s="284"/>
      <c r="S220" s="284"/>
      <c r="T220" s="349"/>
      <c r="U220" s="284"/>
      <c r="V220" s="351"/>
      <c r="W220" s="284"/>
      <c r="X220" s="5"/>
    </row>
    <row r="221" spans="1:24" ht="15.6" x14ac:dyDescent="0.3">
      <c r="A221" s="278"/>
      <c r="B221" s="399" t="s">
        <v>79</v>
      </c>
      <c r="C221" s="400"/>
      <c r="D221" s="400"/>
      <c r="E221" s="400"/>
      <c r="F221" s="406"/>
      <c r="G221" s="400"/>
      <c r="H221" s="400"/>
      <c r="I221" s="400"/>
      <c r="J221" s="400"/>
      <c r="K221" s="400"/>
      <c r="L221" s="400"/>
      <c r="M221" s="400"/>
      <c r="N221" s="400"/>
      <c r="O221" s="400"/>
      <c r="P221" s="400"/>
      <c r="Q221" s="400"/>
      <c r="R221" s="400"/>
      <c r="S221" s="400" t="s">
        <v>102</v>
      </c>
      <c r="T221" s="406" t="s">
        <v>108</v>
      </c>
      <c r="U221" s="263"/>
      <c r="V221" s="263"/>
      <c r="W221" s="263"/>
      <c r="X221" s="5"/>
    </row>
    <row r="222" spans="1:24" ht="15.6" x14ac:dyDescent="0.3">
      <c r="A222" s="218"/>
      <c r="B222" s="231" t="s">
        <v>80</v>
      </c>
      <c r="C222" s="234"/>
      <c r="D222" s="234"/>
      <c r="E222" s="234"/>
      <c r="F222" s="231"/>
      <c r="G222" s="231"/>
      <c r="H222" s="233"/>
      <c r="I222" s="233"/>
      <c r="J222" s="233"/>
      <c r="K222" s="233"/>
      <c r="L222" s="233"/>
      <c r="M222" s="233"/>
      <c r="N222" s="233"/>
      <c r="O222" s="233"/>
      <c r="P222" s="233"/>
      <c r="Q222" s="233"/>
      <c r="R222" s="233"/>
      <c r="S222" s="233">
        <v>1</v>
      </c>
      <c r="T222" s="251">
        <v>163</v>
      </c>
      <c r="U222" s="231"/>
      <c r="V222" s="250"/>
      <c r="W222" s="252"/>
      <c r="X222" s="5"/>
    </row>
    <row r="223" spans="1:24" ht="15.6" x14ac:dyDescent="0.3">
      <c r="A223" s="362"/>
      <c r="B223" s="288" t="s">
        <v>145</v>
      </c>
      <c r="C223" s="337"/>
      <c r="D223" s="337"/>
      <c r="E223" s="337"/>
      <c r="F223" s="288"/>
      <c r="G223" s="288"/>
      <c r="H223" s="296"/>
      <c r="I223" s="296"/>
      <c r="J223" s="296"/>
      <c r="K223" s="296"/>
      <c r="L223" s="296"/>
      <c r="M223" s="296"/>
      <c r="N223" s="296"/>
      <c r="O223" s="296"/>
      <c r="P223" s="296"/>
      <c r="Q223" s="296"/>
      <c r="R223" s="296"/>
      <c r="S223" s="363">
        <f>+R275</f>
        <v>127</v>
      </c>
      <c r="T223" s="364">
        <f>+T275</f>
        <v>18039</v>
      </c>
      <c r="U223" s="288"/>
      <c r="V223" s="365"/>
      <c r="W223" s="366"/>
      <c r="X223" s="5"/>
    </row>
    <row r="224" spans="1:24" ht="15.6" x14ac:dyDescent="0.3">
      <c r="A224" s="362"/>
      <c r="B224" s="288" t="s">
        <v>81</v>
      </c>
      <c r="C224" s="337"/>
      <c r="D224" s="337"/>
      <c r="E224" s="337"/>
      <c r="F224" s="288"/>
      <c r="G224" s="288"/>
      <c r="H224" s="296"/>
      <c r="I224" s="296"/>
      <c r="J224" s="296"/>
      <c r="K224" s="296"/>
      <c r="L224" s="296"/>
      <c r="M224" s="296"/>
      <c r="N224" s="296"/>
      <c r="O224" s="296"/>
      <c r="P224" s="296"/>
      <c r="Q224" s="296"/>
      <c r="R224" s="296"/>
      <c r="S224" s="363">
        <f>+R287</f>
        <v>0</v>
      </c>
      <c r="T224" s="364">
        <f>+T287</f>
        <v>0</v>
      </c>
      <c r="U224" s="288"/>
      <c r="V224" s="365"/>
      <c r="W224" s="366"/>
      <c r="X224" s="5"/>
    </row>
    <row r="225" spans="1:24" ht="15.6" x14ac:dyDescent="0.3">
      <c r="A225" s="362"/>
      <c r="B225" s="313" t="s">
        <v>82</v>
      </c>
      <c r="C225" s="367"/>
      <c r="D225" s="367"/>
      <c r="E225" s="367"/>
      <c r="F225" s="314"/>
      <c r="G225" s="314"/>
      <c r="H225" s="314"/>
      <c r="I225" s="314"/>
      <c r="J225" s="314"/>
      <c r="K225" s="314"/>
      <c r="L225" s="314"/>
      <c r="M225" s="314"/>
      <c r="N225" s="314"/>
      <c r="O225" s="314"/>
      <c r="P225" s="314"/>
      <c r="Q225" s="314"/>
      <c r="R225" s="314"/>
      <c r="S225" s="314"/>
      <c r="T225" s="364">
        <v>0</v>
      </c>
      <c r="U225" s="314"/>
      <c r="V225" s="369"/>
      <c r="W225" s="370"/>
      <c r="X225" s="5"/>
    </row>
    <row r="226" spans="1:24" ht="15.6" x14ac:dyDescent="0.3">
      <c r="A226" s="362"/>
      <c r="B226" s="313" t="s">
        <v>243</v>
      </c>
      <c r="C226" s="367"/>
      <c r="D226" s="367"/>
      <c r="E226" s="367"/>
      <c r="F226" s="314"/>
      <c r="G226" s="314"/>
      <c r="H226" s="314"/>
      <c r="I226" s="314"/>
      <c r="J226" s="314"/>
      <c r="K226" s="314"/>
      <c r="L226" s="314"/>
      <c r="M226" s="314"/>
      <c r="N226" s="314"/>
      <c r="O226" s="314"/>
      <c r="P226" s="314"/>
      <c r="Q226" s="314"/>
      <c r="R226" s="314"/>
      <c r="S226" s="314"/>
      <c r="T226" s="364">
        <f>+N80</f>
        <v>0</v>
      </c>
      <c r="U226" s="314"/>
      <c r="V226" s="369"/>
      <c r="W226" s="370"/>
      <c r="X226" s="5"/>
    </row>
    <row r="227" spans="1:24" ht="15.6" x14ac:dyDescent="0.3">
      <c r="A227" s="371"/>
      <c r="B227" s="313" t="s">
        <v>83</v>
      </c>
      <c r="C227" s="372"/>
      <c r="D227" s="372"/>
      <c r="E227" s="372"/>
      <c r="F227" s="372"/>
      <c r="G227" s="314"/>
      <c r="H227" s="314"/>
      <c r="I227" s="314"/>
      <c r="J227" s="314"/>
      <c r="K227" s="314"/>
      <c r="L227" s="314"/>
      <c r="M227" s="314"/>
      <c r="N227" s="314"/>
      <c r="O227" s="314"/>
      <c r="P227" s="314"/>
      <c r="Q227" s="314"/>
      <c r="R227" s="314"/>
      <c r="S227" s="314"/>
      <c r="T227" s="368"/>
      <c r="U227" s="314"/>
      <c r="V227" s="369"/>
      <c r="W227" s="373"/>
      <c r="X227" s="5"/>
    </row>
    <row r="228" spans="1:24" ht="15.6" x14ac:dyDescent="0.3">
      <c r="A228" s="371"/>
      <c r="B228" s="288" t="s">
        <v>84</v>
      </c>
      <c r="C228" s="288"/>
      <c r="D228" s="288"/>
      <c r="E228" s="288"/>
      <c r="F228" s="288"/>
      <c r="G228" s="288"/>
      <c r="H228" s="288"/>
      <c r="I228" s="288"/>
      <c r="J228" s="288"/>
      <c r="K228" s="288"/>
      <c r="L228" s="288"/>
      <c r="M228" s="288"/>
      <c r="N228" s="288"/>
      <c r="O228" s="288"/>
      <c r="P228" s="288"/>
      <c r="Q228" s="288"/>
      <c r="R228" s="288"/>
      <c r="S228" s="296"/>
      <c r="T228" s="364">
        <f>V166</f>
        <v>398</v>
      </c>
      <c r="U228" s="288"/>
      <c r="V228" s="365"/>
      <c r="W228" s="378"/>
      <c r="X228" s="5"/>
    </row>
    <row r="229" spans="1:24" ht="15.6" x14ac:dyDescent="0.3">
      <c r="A229" s="362"/>
      <c r="B229" s="288" t="s">
        <v>85</v>
      </c>
      <c r="C229" s="337"/>
      <c r="D229" s="337"/>
      <c r="E229" s="337"/>
      <c r="F229" s="337"/>
      <c r="G229" s="288"/>
      <c r="H229" s="288"/>
      <c r="I229" s="288"/>
      <c r="J229" s="288"/>
      <c r="K229" s="288"/>
      <c r="L229" s="288"/>
      <c r="M229" s="288"/>
      <c r="N229" s="288"/>
      <c r="O229" s="288"/>
      <c r="P229" s="288"/>
      <c r="Q229" s="288"/>
      <c r="R229" s="288"/>
      <c r="S229" s="296"/>
      <c r="T229" s="364">
        <f>'Nov 16'!T230+T228</f>
        <v>7697</v>
      </c>
      <c r="U229" s="288"/>
      <c r="V229" s="365"/>
      <c r="W229" s="378"/>
      <c r="X229" s="5"/>
    </row>
    <row r="230" spans="1:24" ht="15.6" x14ac:dyDescent="0.3">
      <c r="A230" s="371"/>
      <c r="B230" s="313" t="s">
        <v>295</v>
      </c>
      <c r="C230" s="372"/>
      <c r="D230" s="372"/>
      <c r="E230" s="372"/>
      <c r="F230" s="372"/>
      <c r="G230" s="314"/>
      <c r="H230" s="314"/>
      <c r="I230" s="314"/>
      <c r="J230" s="314"/>
      <c r="K230" s="314"/>
      <c r="L230" s="314"/>
      <c r="M230" s="314"/>
      <c r="N230" s="314"/>
      <c r="O230" s="314"/>
      <c r="P230" s="314"/>
      <c r="Q230" s="314"/>
      <c r="R230" s="314"/>
      <c r="S230" s="316"/>
      <c r="T230" s="368"/>
      <c r="U230" s="314"/>
      <c r="V230" s="369"/>
      <c r="W230" s="373"/>
      <c r="X230" s="5"/>
    </row>
    <row r="231" spans="1:24" ht="15.6" x14ac:dyDescent="0.3">
      <c r="A231" s="371"/>
      <c r="B231" s="288" t="s">
        <v>291</v>
      </c>
      <c r="C231" s="288"/>
      <c r="D231" s="288"/>
      <c r="E231" s="288"/>
      <c r="F231" s="288"/>
      <c r="G231" s="288"/>
      <c r="H231" s="288"/>
      <c r="I231" s="288"/>
      <c r="J231" s="288"/>
      <c r="K231" s="288"/>
      <c r="L231" s="288"/>
      <c r="M231" s="288"/>
      <c r="N231" s="288"/>
      <c r="O231" s="288"/>
      <c r="P231" s="288"/>
      <c r="Q231" s="288"/>
      <c r="R231" s="288"/>
      <c r="S231" s="296">
        <v>0</v>
      </c>
      <c r="T231" s="364">
        <v>0</v>
      </c>
      <c r="U231" s="288"/>
      <c r="V231" s="365"/>
      <c r="W231" s="378"/>
      <c r="X231" s="5"/>
    </row>
    <row r="232" spans="1:24" ht="15.6" x14ac:dyDescent="0.3">
      <c r="A232" s="362"/>
      <c r="B232" s="288" t="s">
        <v>86</v>
      </c>
      <c r="C232" s="325"/>
      <c r="D232" s="325"/>
      <c r="E232" s="325"/>
      <c r="F232" s="379"/>
      <c r="G232" s="288"/>
      <c r="H232" s="288"/>
      <c r="I232" s="288"/>
      <c r="J232" s="288"/>
      <c r="K232" s="288"/>
      <c r="L232" s="288"/>
      <c r="M232" s="288"/>
      <c r="N232" s="288"/>
      <c r="O232" s="288"/>
      <c r="P232" s="288"/>
      <c r="Q232" s="288"/>
      <c r="R232" s="288"/>
      <c r="S232" s="288"/>
      <c r="T232" s="380">
        <v>0</v>
      </c>
      <c r="U232" s="288"/>
      <c r="V232" s="365"/>
      <c r="W232" s="378"/>
      <c r="X232" s="5"/>
    </row>
    <row r="233" spans="1:24" ht="15.6" x14ac:dyDescent="0.3">
      <c r="A233" s="362"/>
      <c r="B233" s="288" t="s">
        <v>87</v>
      </c>
      <c r="C233" s="325"/>
      <c r="D233" s="325"/>
      <c r="E233" s="325"/>
      <c r="F233" s="379"/>
      <c r="G233" s="288"/>
      <c r="H233" s="288"/>
      <c r="I233" s="288"/>
      <c r="J233" s="288"/>
      <c r="K233" s="288"/>
      <c r="L233" s="288"/>
      <c r="M233" s="288"/>
      <c r="N233" s="288"/>
      <c r="O233" s="288"/>
      <c r="P233" s="288"/>
      <c r="Q233" s="288"/>
      <c r="R233" s="288"/>
      <c r="S233" s="288"/>
      <c r="T233" s="380">
        <v>0</v>
      </c>
      <c r="U233" s="288"/>
      <c r="V233" s="365"/>
      <c r="W233" s="378"/>
      <c r="X233" s="5"/>
    </row>
    <row r="234" spans="1:24" ht="15.6" x14ac:dyDescent="0.3">
      <c r="A234" s="362"/>
      <c r="B234" s="313" t="s">
        <v>217</v>
      </c>
      <c r="C234" s="381"/>
      <c r="D234" s="381"/>
      <c r="E234" s="381"/>
      <c r="F234" s="382"/>
      <c r="G234" s="314"/>
      <c r="H234" s="314"/>
      <c r="I234" s="314"/>
      <c r="J234" s="314"/>
      <c r="K234" s="314"/>
      <c r="L234" s="314"/>
      <c r="M234" s="314"/>
      <c r="N234" s="314"/>
      <c r="O234" s="314"/>
      <c r="P234" s="314"/>
      <c r="Q234" s="314"/>
      <c r="R234" s="314"/>
      <c r="S234" s="314"/>
      <c r="T234" s="383"/>
      <c r="U234" s="314"/>
      <c r="V234" s="369"/>
      <c r="W234" s="373"/>
      <c r="X234" s="5"/>
    </row>
    <row r="235" spans="1:24" ht="15.6" x14ac:dyDescent="0.3">
      <c r="A235" s="362"/>
      <c r="B235" s="288" t="s">
        <v>291</v>
      </c>
      <c r="C235" s="381"/>
      <c r="D235" s="381"/>
      <c r="E235" s="381"/>
      <c r="F235" s="382"/>
      <c r="G235" s="314"/>
      <c r="H235" s="314"/>
      <c r="I235" s="314"/>
      <c r="J235" s="314"/>
      <c r="K235" s="314"/>
      <c r="L235" s="314"/>
      <c r="M235" s="314"/>
      <c r="N235" s="314"/>
      <c r="O235" s="314"/>
      <c r="P235" s="314"/>
      <c r="Q235" s="314"/>
      <c r="R235" s="314"/>
      <c r="S235" s="296">
        <v>5</v>
      </c>
      <c r="T235" s="364">
        <v>727</v>
      </c>
      <c r="U235" s="314"/>
      <c r="V235" s="369"/>
      <c r="W235" s="373"/>
      <c r="X235" s="5"/>
    </row>
    <row r="236" spans="1:24" ht="15.6" x14ac:dyDescent="0.3">
      <c r="A236" s="362"/>
      <c r="B236" s="288" t="s">
        <v>218</v>
      </c>
      <c r="C236" s="381"/>
      <c r="D236" s="381"/>
      <c r="E236" s="381"/>
      <c r="F236" s="382"/>
      <c r="G236" s="314"/>
      <c r="H236" s="314"/>
      <c r="I236" s="314"/>
      <c r="J236" s="314"/>
      <c r="K236" s="314"/>
      <c r="L236" s="314"/>
      <c r="M236" s="314"/>
      <c r="N236" s="314"/>
      <c r="O236" s="314"/>
      <c r="P236" s="314"/>
      <c r="Q236" s="314"/>
      <c r="R236" s="314"/>
      <c r="S236" s="288"/>
      <c r="T236" s="380">
        <v>13.24</v>
      </c>
      <c r="U236" s="314"/>
      <c r="V236" s="369"/>
      <c r="W236" s="373"/>
      <c r="X236" s="5"/>
    </row>
    <row r="237" spans="1:24" ht="15.6" x14ac:dyDescent="0.3">
      <c r="A237" s="362"/>
      <c r="B237" s="372"/>
      <c r="C237" s="381"/>
      <c r="D237" s="381"/>
      <c r="E237" s="381"/>
      <c r="F237" s="382"/>
      <c r="G237" s="314"/>
      <c r="H237" s="314"/>
      <c r="I237" s="314"/>
      <c r="J237" s="314"/>
      <c r="K237" s="314"/>
      <c r="L237" s="314"/>
      <c r="M237" s="314"/>
      <c r="N237" s="314"/>
      <c r="O237" s="314"/>
      <c r="P237" s="314"/>
      <c r="Q237" s="314"/>
      <c r="R237" s="314"/>
      <c r="S237" s="314"/>
      <c r="T237" s="383"/>
      <c r="U237" s="314"/>
      <c r="V237" s="369"/>
      <c r="W237" s="373"/>
      <c r="X237" s="5"/>
    </row>
    <row r="238" spans="1:24" ht="15.6" x14ac:dyDescent="0.3">
      <c r="A238" s="362"/>
      <c r="B238" s="372"/>
      <c r="C238" s="381"/>
      <c r="D238" s="381"/>
      <c r="E238" s="381"/>
      <c r="F238" s="382"/>
      <c r="G238" s="314"/>
      <c r="H238" s="314"/>
      <c r="I238" s="314"/>
      <c r="J238" s="314"/>
      <c r="K238" s="314"/>
      <c r="L238" s="314"/>
      <c r="M238" s="314"/>
      <c r="N238" s="314"/>
      <c r="O238" s="314"/>
      <c r="P238" s="314"/>
      <c r="Q238" s="314"/>
      <c r="R238" s="314"/>
      <c r="S238" s="314"/>
      <c r="T238" s="383"/>
      <c r="U238" s="314"/>
      <c r="V238" s="369"/>
      <c r="W238" s="373"/>
      <c r="X238" s="5"/>
    </row>
    <row r="239" spans="1:24" ht="17.399999999999999" x14ac:dyDescent="0.3">
      <c r="A239" s="362"/>
      <c r="B239" s="384" t="s">
        <v>168</v>
      </c>
      <c r="C239" s="381"/>
      <c r="D239" s="381"/>
      <c r="E239" s="381"/>
      <c r="F239" s="382"/>
      <c r="G239" s="314"/>
      <c r="H239" s="314"/>
      <c r="I239" s="314"/>
      <c r="J239" s="314"/>
      <c r="K239" s="314"/>
      <c r="L239" s="314"/>
      <c r="M239" s="314"/>
      <c r="N239" s="314"/>
      <c r="O239" s="314"/>
      <c r="P239" s="385" t="s">
        <v>167</v>
      </c>
      <c r="Q239" s="314"/>
      <c r="R239" s="314"/>
      <c r="S239" s="314"/>
      <c r="T239" s="383"/>
      <c r="U239" s="314"/>
      <c r="V239" s="369"/>
      <c r="W239" s="373"/>
      <c r="X239" s="5"/>
    </row>
    <row r="240" spans="1:24" ht="15.6" x14ac:dyDescent="0.3">
      <c r="A240" s="355"/>
      <c r="B240" s="356"/>
      <c r="C240" s="357"/>
      <c r="D240" s="357"/>
      <c r="E240" s="357"/>
      <c r="F240" s="358"/>
      <c r="G240" s="198"/>
      <c r="H240" s="198"/>
      <c r="I240" s="198"/>
      <c r="J240" s="198"/>
      <c r="K240" s="198"/>
      <c r="L240" s="198"/>
      <c r="M240" s="198"/>
      <c r="N240" s="198"/>
      <c r="O240" s="198"/>
      <c r="P240" s="198"/>
      <c r="Q240" s="198"/>
      <c r="R240" s="198"/>
      <c r="S240" s="198"/>
      <c r="T240" s="359"/>
      <c r="U240" s="198"/>
      <c r="V240" s="360"/>
      <c r="W240" s="361"/>
      <c r="X240" s="5"/>
    </row>
    <row r="241" spans="1:25" ht="15.6" x14ac:dyDescent="0.3">
      <c r="A241" s="262"/>
      <c r="B241" s="399" t="s">
        <v>308</v>
      </c>
      <c r="C241" s="400"/>
      <c r="D241" s="400"/>
      <c r="E241" s="400"/>
      <c r="F241" s="406"/>
      <c r="G241" s="400"/>
      <c r="H241" s="400"/>
      <c r="I241" s="400"/>
      <c r="J241" s="400"/>
      <c r="K241" s="400"/>
      <c r="L241" s="400"/>
      <c r="M241" s="400"/>
      <c r="N241" s="400"/>
      <c r="O241" s="400"/>
      <c r="P241" s="400"/>
      <c r="Q241" s="400"/>
      <c r="R241" s="406" t="s">
        <v>102</v>
      </c>
      <c r="S241" s="400" t="s">
        <v>103</v>
      </c>
      <c r="T241" s="406" t="s">
        <v>109</v>
      </c>
      <c r="U241" s="400" t="s">
        <v>103</v>
      </c>
      <c r="V241" s="263"/>
      <c r="W241" s="399"/>
      <c r="X241" s="5"/>
    </row>
    <row r="242" spans="1:25" ht="15.6" x14ac:dyDescent="0.3">
      <c r="A242" s="197"/>
      <c r="B242" s="234" t="s">
        <v>88</v>
      </c>
      <c r="C242" s="253"/>
      <c r="D242" s="253"/>
      <c r="E242" s="253"/>
      <c r="F242" s="231"/>
      <c r="G242" s="253"/>
      <c r="H242" s="253"/>
      <c r="I242" s="253"/>
      <c r="J242" s="253"/>
      <c r="K242" s="253"/>
      <c r="L242" s="253"/>
      <c r="M242" s="253"/>
      <c r="N242" s="253"/>
      <c r="O242" s="253"/>
      <c r="P242" s="253"/>
      <c r="Q242" s="253"/>
      <c r="R242" s="234">
        <f t="shared" ref="R242:R249" si="1">+R254+R266+R278</f>
        <v>6549</v>
      </c>
      <c r="S242" s="254">
        <f t="shared" ref="S242:S249" si="2">R242/$R$251</f>
        <v>0.99589416058394165</v>
      </c>
      <c r="T242" s="241">
        <f t="shared" ref="T242:T249" si="3">+T254+T266+T278</f>
        <v>903004</v>
      </c>
      <c r="U242" s="254">
        <f t="shared" ref="U242:U249" si="4">T242/$T$251</f>
        <v>0.99629288012321759</v>
      </c>
      <c r="V242" s="250"/>
      <c r="W242" s="232"/>
      <c r="X242" s="5"/>
    </row>
    <row r="243" spans="1:25" ht="15.6" x14ac:dyDescent="0.3">
      <c r="A243" s="287"/>
      <c r="B243" s="337" t="s">
        <v>89</v>
      </c>
      <c r="C243" s="389"/>
      <c r="D243" s="389"/>
      <c r="E243" s="389"/>
      <c r="F243" s="288"/>
      <c r="G243" s="390"/>
      <c r="H243" s="389"/>
      <c r="I243" s="389"/>
      <c r="J243" s="389"/>
      <c r="K243" s="389"/>
      <c r="L243" s="389"/>
      <c r="M243" s="389"/>
      <c r="N243" s="389"/>
      <c r="O243" s="389"/>
      <c r="P243" s="389"/>
      <c r="Q243" s="389"/>
      <c r="R243" s="337">
        <f t="shared" si="1"/>
        <v>9</v>
      </c>
      <c r="S243" s="390">
        <f t="shared" si="2"/>
        <v>1.3686131386861315E-3</v>
      </c>
      <c r="T243" s="338">
        <f t="shared" si="3"/>
        <v>1032</v>
      </c>
      <c r="U243" s="390">
        <f t="shared" si="4"/>
        <v>1.1386153907260218E-3</v>
      </c>
      <c r="V243" s="365"/>
      <c r="W243" s="378"/>
      <c r="X243" s="5"/>
      <c r="Y243" s="109"/>
    </row>
    <row r="244" spans="1:25" ht="15.6" x14ac:dyDescent="0.3">
      <c r="A244" s="287"/>
      <c r="B244" s="337" t="s">
        <v>90</v>
      </c>
      <c r="C244" s="389"/>
      <c r="D244" s="389"/>
      <c r="E244" s="389"/>
      <c r="F244" s="288"/>
      <c r="G244" s="390"/>
      <c r="H244" s="389"/>
      <c r="I244" s="389"/>
      <c r="J244" s="389"/>
      <c r="K244" s="389"/>
      <c r="L244" s="389"/>
      <c r="M244" s="389"/>
      <c r="N244" s="389"/>
      <c r="O244" s="389"/>
      <c r="P244" s="389"/>
      <c r="Q244" s="389"/>
      <c r="R244" s="337">
        <f t="shared" si="1"/>
        <v>6</v>
      </c>
      <c r="S244" s="390">
        <f t="shared" si="2"/>
        <v>9.1240875912408756E-4</v>
      </c>
      <c r="T244" s="338">
        <f t="shared" si="3"/>
        <v>540</v>
      </c>
      <c r="U244" s="390">
        <f t="shared" si="4"/>
        <v>5.9578712305431367E-4</v>
      </c>
      <c r="V244" s="365"/>
      <c r="W244" s="378"/>
      <c r="X244" s="5"/>
    </row>
    <row r="245" spans="1:25" ht="15.6" x14ac:dyDescent="0.3">
      <c r="A245" s="287"/>
      <c r="B245" s="337" t="s">
        <v>156</v>
      </c>
      <c r="C245" s="389"/>
      <c r="D245" s="389"/>
      <c r="E245" s="389"/>
      <c r="F245" s="288"/>
      <c r="G245" s="390"/>
      <c r="H245" s="389"/>
      <c r="I245" s="389"/>
      <c r="J245" s="389"/>
      <c r="K245" s="389"/>
      <c r="L245" s="389"/>
      <c r="M245" s="389"/>
      <c r="N245" s="389"/>
      <c r="O245" s="389"/>
      <c r="P245" s="389"/>
      <c r="Q245" s="389"/>
      <c r="R245" s="337">
        <f t="shared" si="1"/>
        <v>3</v>
      </c>
      <c r="S245" s="390">
        <f t="shared" si="2"/>
        <v>4.5620437956204378E-4</v>
      </c>
      <c r="T245" s="338">
        <f t="shared" si="3"/>
        <v>318</v>
      </c>
      <c r="U245" s="390">
        <f t="shared" si="4"/>
        <v>3.5085241690976254E-4</v>
      </c>
      <c r="V245" s="365"/>
      <c r="W245" s="378"/>
      <c r="X245" s="5"/>
      <c r="Y245" s="109"/>
    </row>
    <row r="246" spans="1:25" ht="15.6" x14ac:dyDescent="0.3">
      <c r="A246" s="287"/>
      <c r="B246" s="337" t="s">
        <v>157</v>
      </c>
      <c r="C246" s="389"/>
      <c r="D246" s="389"/>
      <c r="E246" s="389"/>
      <c r="F246" s="288"/>
      <c r="G246" s="390"/>
      <c r="H246" s="389"/>
      <c r="I246" s="389"/>
      <c r="J246" s="389"/>
      <c r="K246" s="389"/>
      <c r="L246" s="389"/>
      <c r="M246" s="389"/>
      <c r="N246" s="389"/>
      <c r="O246" s="389"/>
      <c r="P246" s="389"/>
      <c r="Q246" s="389"/>
      <c r="R246" s="337">
        <f t="shared" si="1"/>
        <v>1</v>
      </c>
      <c r="S246" s="390">
        <f t="shared" si="2"/>
        <v>1.5206812652068127E-4</v>
      </c>
      <c r="T246" s="338">
        <f t="shared" si="3"/>
        <v>165</v>
      </c>
      <c r="U246" s="390">
        <f t="shared" si="4"/>
        <v>1.8204606537770696E-4</v>
      </c>
      <c r="V246" s="365"/>
      <c r="W246" s="378"/>
      <c r="X246" s="5"/>
    </row>
    <row r="247" spans="1:25" ht="15.6" x14ac:dyDescent="0.3">
      <c r="A247" s="287"/>
      <c r="B247" s="337" t="s">
        <v>158</v>
      </c>
      <c r="C247" s="389"/>
      <c r="D247" s="389"/>
      <c r="E247" s="389"/>
      <c r="F247" s="288"/>
      <c r="G247" s="390"/>
      <c r="H247" s="389"/>
      <c r="I247" s="389"/>
      <c r="J247" s="389"/>
      <c r="K247" s="389"/>
      <c r="L247" s="389"/>
      <c r="M247" s="389"/>
      <c r="N247" s="389"/>
      <c r="O247" s="389"/>
      <c r="P247" s="389"/>
      <c r="Q247" s="389"/>
      <c r="R247" s="337">
        <f t="shared" si="1"/>
        <v>1</v>
      </c>
      <c r="S247" s="390">
        <f t="shared" si="2"/>
        <v>1.5206812652068127E-4</v>
      </c>
      <c r="T247" s="338">
        <f t="shared" si="3"/>
        <v>190</v>
      </c>
      <c r="U247" s="390">
        <f t="shared" si="4"/>
        <v>2.0962880255614741E-4</v>
      </c>
      <c r="V247" s="365"/>
      <c r="W247" s="378"/>
      <c r="X247" s="5"/>
      <c r="Y247" s="109"/>
    </row>
    <row r="248" spans="1:25" ht="15.6" x14ac:dyDescent="0.3">
      <c r="A248" s="287"/>
      <c r="B248" s="337" t="s">
        <v>159</v>
      </c>
      <c r="C248" s="389"/>
      <c r="D248" s="389"/>
      <c r="E248" s="389"/>
      <c r="F248" s="288"/>
      <c r="G248" s="390"/>
      <c r="H248" s="389"/>
      <c r="I248" s="389"/>
      <c r="J248" s="389"/>
      <c r="K248" s="389"/>
      <c r="L248" s="389"/>
      <c r="M248" s="389"/>
      <c r="N248" s="389"/>
      <c r="O248" s="389"/>
      <c r="P248" s="389"/>
      <c r="Q248" s="389"/>
      <c r="R248" s="337">
        <f t="shared" si="1"/>
        <v>3</v>
      </c>
      <c r="S248" s="390">
        <f t="shared" si="2"/>
        <v>4.5620437956204378E-4</v>
      </c>
      <c r="T248" s="338">
        <f t="shared" si="3"/>
        <v>452</v>
      </c>
      <c r="U248" s="390">
        <f t="shared" si="4"/>
        <v>4.9869588818620336E-4</v>
      </c>
      <c r="V248" s="365"/>
      <c r="W248" s="378"/>
      <c r="X248" s="5"/>
    </row>
    <row r="249" spans="1:25" ht="15.6" x14ac:dyDescent="0.3">
      <c r="A249" s="287"/>
      <c r="B249" s="337" t="s">
        <v>160</v>
      </c>
      <c r="C249" s="389"/>
      <c r="D249" s="389"/>
      <c r="E249" s="389"/>
      <c r="F249" s="288"/>
      <c r="G249" s="390"/>
      <c r="H249" s="389"/>
      <c r="I249" s="389"/>
      <c r="J249" s="389"/>
      <c r="K249" s="389"/>
      <c r="L249" s="389"/>
      <c r="M249" s="389"/>
      <c r="N249" s="389"/>
      <c r="O249" s="389"/>
      <c r="P249" s="389"/>
      <c r="Q249" s="389"/>
      <c r="R249" s="339">
        <f t="shared" si="1"/>
        <v>4</v>
      </c>
      <c r="S249" s="393">
        <f t="shared" si="2"/>
        <v>6.0827250608272508E-4</v>
      </c>
      <c r="T249" s="394">
        <f t="shared" si="3"/>
        <v>663</v>
      </c>
      <c r="U249" s="393">
        <f t="shared" si="4"/>
        <v>7.314941899722407E-4</v>
      </c>
      <c r="V249" s="365"/>
      <c r="W249" s="378"/>
      <c r="X249" s="5"/>
      <c r="Y249" s="109"/>
    </row>
    <row r="250" spans="1:25" ht="15.6" x14ac:dyDescent="0.3">
      <c r="A250" s="287"/>
      <c r="B250" s="337"/>
      <c r="C250" s="389"/>
      <c r="D250" s="389"/>
      <c r="E250" s="389"/>
      <c r="F250" s="288"/>
      <c r="G250" s="390"/>
      <c r="H250" s="389"/>
      <c r="I250" s="389"/>
      <c r="J250" s="389"/>
      <c r="K250" s="389"/>
      <c r="L250" s="389"/>
      <c r="M250" s="389"/>
      <c r="N250" s="389"/>
      <c r="O250" s="389"/>
      <c r="P250" s="389"/>
      <c r="Q250" s="389"/>
      <c r="R250" s="337"/>
      <c r="S250" s="390"/>
      <c r="T250" s="338"/>
      <c r="U250" s="390"/>
      <c r="V250" s="365"/>
      <c r="W250" s="378"/>
      <c r="X250" s="5"/>
    </row>
    <row r="251" spans="1:25" ht="15.6" x14ac:dyDescent="0.3">
      <c r="A251" s="287"/>
      <c r="B251" s="288"/>
      <c r="C251" s="288"/>
      <c r="D251" s="288"/>
      <c r="E251" s="288"/>
      <c r="F251" s="288"/>
      <c r="G251" s="288"/>
      <c r="H251" s="391"/>
      <c r="I251" s="391"/>
      <c r="J251" s="391"/>
      <c r="K251" s="391"/>
      <c r="L251" s="391"/>
      <c r="M251" s="391"/>
      <c r="N251" s="391"/>
      <c r="O251" s="391"/>
      <c r="P251" s="391"/>
      <c r="Q251" s="391"/>
      <c r="R251" s="337">
        <f>SUM(R242:R250)</f>
        <v>6576</v>
      </c>
      <c r="S251" s="390">
        <f>SUM(S242:S250)</f>
        <v>1</v>
      </c>
      <c r="T251" s="338">
        <f>SUM(T242:T250)</f>
        <v>906364</v>
      </c>
      <c r="U251" s="390">
        <f>SUM(U242:U250)</f>
        <v>1</v>
      </c>
      <c r="V251" s="288"/>
      <c r="W251" s="291"/>
      <c r="X251" s="5"/>
    </row>
    <row r="252" spans="1:25" ht="15.6" x14ac:dyDescent="0.3">
      <c r="A252" s="183"/>
      <c r="B252" s="198"/>
      <c r="C252" s="198"/>
      <c r="D252" s="198"/>
      <c r="E252" s="198"/>
      <c r="F252" s="198"/>
      <c r="G252" s="198"/>
      <c r="H252" s="386"/>
      <c r="I252" s="386"/>
      <c r="J252" s="386"/>
      <c r="K252" s="386"/>
      <c r="L252" s="386"/>
      <c r="M252" s="386"/>
      <c r="N252" s="386"/>
      <c r="O252" s="386"/>
      <c r="P252" s="386"/>
      <c r="Q252" s="386"/>
      <c r="R252" s="335"/>
      <c r="S252" s="387"/>
      <c r="T252" s="388"/>
      <c r="U252" s="387"/>
      <c r="V252" s="198"/>
      <c r="W252" s="198"/>
      <c r="X252" s="5"/>
    </row>
    <row r="253" spans="1:25" ht="15.6" x14ac:dyDescent="0.3">
      <c r="A253" s="262"/>
      <c r="B253" s="399" t="s">
        <v>162</v>
      </c>
      <c r="C253" s="400"/>
      <c r="D253" s="400"/>
      <c r="E253" s="400"/>
      <c r="F253" s="406"/>
      <c r="G253" s="400"/>
      <c r="H253" s="400"/>
      <c r="I253" s="400"/>
      <c r="J253" s="400"/>
      <c r="K253" s="400"/>
      <c r="L253" s="400"/>
      <c r="M253" s="400"/>
      <c r="N253" s="400"/>
      <c r="O253" s="400"/>
      <c r="P253" s="400"/>
      <c r="Q253" s="400"/>
      <c r="R253" s="406" t="s">
        <v>102</v>
      </c>
      <c r="S253" s="400" t="s">
        <v>103</v>
      </c>
      <c r="T253" s="406" t="s">
        <v>109</v>
      </c>
      <c r="U253" s="400" t="s">
        <v>103</v>
      </c>
      <c r="V253" s="263"/>
      <c r="W253" s="399"/>
      <c r="X253" s="5"/>
    </row>
    <row r="254" spans="1:25" ht="15.6" x14ac:dyDescent="0.3">
      <c r="A254" s="197"/>
      <c r="B254" s="234" t="s">
        <v>88</v>
      </c>
      <c r="C254" s="253"/>
      <c r="D254" s="253"/>
      <c r="E254" s="253"/>
      <c r="F254" s="231"/>
      <c r="G254" s="253"/>
      <c r="H254" s="253"/>
      <c r="I254" s="253"/>
      <c r="J254" s="253"/>
      <c r="K254" s="253"/>
      <c r="L254" s="253"/>
      <c r="M254" s="253"/>
      <c r="N254" s="253"/>
      <c r="O254" s="253"/>
      <c r="P254" s="253"/>
      <c r="Q254" s="253"/>
      <c r="R254" s="234">
        <v>6438</v>
      </c>
      <c r="S254" s="254">
        <f t="shared" ref="S254:S261" si="5">R254/$R$263</f>
        <v>0.99829430919522411</v>
      </c>
      <c r="T254" s="241">
        <v>886969</v>
      </c>
      <c r="U254" s="254">
        <f t="shared" ref="U254:U261" si="6">T254/$T$263</f>
        <v>0.99847353164663832</v>
      </c>
      <c r="V254" s="250"/>
      <c r="W254" s="232"/>
      <c r="X254" s="5"/>
    </row>
    <row r="255" spans="1:25" ht="15.6" x14ac:dyDescent="0.3">
      <c r="A255" s="287"/>
      <c r="B255" s="337" t="s">
        <v>89</v>
      </c>
      <c r="C255" s="389"/>
      <c r="D255" s="389"/>
      <c r="E255" s="389"/>
      <c r="F255" s="288"/>
      <c r="G255" s="390"/>
      <c r="H255" s="389"/>
      <c r="I255" s="389"/>
      <c r="J255" s="389"/>
      <c r="K255" s="389"/>
      <c r="L255" s="389"/>
      <c r="M255" s="389"/>
      <c r="N255" s="389"/>
      <c r="O255" s="389"/>
      <c r="P255" s="389"/>
      <c r="Q255" s="389"/>
      <c r="R255" s="337">
        <v>8</v>
      </c>
      <c r="S255" s="390">
        <f t="shared" si="5"/>
        <v>1.2405024034734067E-3</v>
      </c>
      <c r="T255" s="338">
        <v>921</v>
      </c>
      <c r="U255" s="390">
        <f t="shared" si="6"/>
        <v>1.0367827090310415E-3</v>
      </c>
      <c r="V255" s="365"/>
      <c r="W255" s="378"/>
      <c r="X255" s="5"/>
      <c r="Y255" s="109"/>
    </row>
    <row r="256" spans="1:25" ht="15.6" x14ac:dyDescent="0.3">
      <c r="A256" s="287"/>
      <c r="B256" s="337" t="s">
        <v>90</v>
      </c>
      <c r="C256" s="389"/>
      <c r="D256" s="389"/>
      <c r="E256" s="389"/>
      <c r="F256" s="288"/>
      <c r="G256" s="390"/>
      <c r="H256" s="389"/>
      <c r="I256" s="389"/>
      <c r="J256" s="389"/>
      <c r="K256" s="389"/>
      <c r="L256" s="389"/>
      <c r="M256" s="389"/>
      <c r="N256" s="389"/>
      <c r="O256" s="389"/>
      <c r="P256" s="389"/>
      <c r="Q256" s="389"/>
      <c r="R256" s="337">
        <v>1</v>
      </c>
      <c r="S256" s="390">
        <f t="shared" si="5"/>
        <v>1.5506280043417584E-4</v>
      </c>
      <c r="T256" s="338">
        <v>151</v>
      </c>
      <c r="U256" s="390">
        <f t="shared" si="6"/>
        <v>1.6998283285959531E-4</v>
      </c>
      <c r="V256" s="365"/>
      <c r="W256" s="378"/>
      <c r="X256" s="5"/>
    </row>
    <row r="257" spans="1:25" ht="15.6" x14ac:dyDescent="0.3">
      <c r="A257" s="287"/>
      <c r="B257" s="337" t="s">
        <v>156</v>
      </c>
      <c r="C257" s="389"/>
      <c r="D257" s="389"/>
      <c r="E257" s="389"/>
      <c r="F257" s="288"/>
      <c r="G257" s="390"/>
      <c r="H257" s="389"/>
      <c r="I257" s="389"/>
      <c r="J257" s="389"/>
      <c r="K257" s="389"/>
      <c r="L257" s="389"/>
      <c r="M257" s="389"/>
      <c r="N257" s="389"/>
      <c r="O257" s="389"/>
      <c r="P257" s="389"/>
      <c r="Q257" s="389"/>
      <c r="R257" s="337">
        <v>1</v>
      </c>
      <c r="S257" s="390">
        <f t="shared" si="5"/>
        <v>1.5506280043417584E-4</v>
      </c>
      <c r="T257" s="338">
        <v>82</v>
      </c>
      <c r="U257" s="390">
        <f t="shared" si="6"/>
        <v>9.2308558241634543E-5</v>
      </c>
      <c r="V257" s="365"/>
      <c r="W257" s="378"/>
      <c r="X257" s="5"/>
      <c r="Y257" s="109"/>
    </row>
    <row r="258" spans="1:25" ht="15.6" x14ac:dyDescent="0.3">
      <c r="A258" s="287"/>
      <c r="B258" s="337" t="s">
        <v>157</v>
      </c>
      <c r="C258" s="389"/>
      <c r="D258" s="389"/>
      <c r="E258" s="389"/>
      <c r="F258" s="288"/>
      <c r="G258" s="390"/>
      <c r="H258" s="389"/>
      <c r="I258" s="389"/>
      <c r="J258" s="389"/>
      <c r="K258" s="389"/>
      <c r="L258" s="389"/>
      <c r="M258" s="389"/>
      <c r="N258" s="389"/>
      <c r="O258" s="389"/>
      <c r="P258" s="389"/>
      <c r="Q258" s="389"/>
      <c r="R258" s="337">
        <v>0</v>
      </c>
      <c r="S258" s="390">
        <f t="shared" si="5"/>
        <v>0</v>
      </c>
      <c r="T258" s="338">
        <v>0</v>
      </c>
      <c r="U258" s="390">
        <f t="shared" si="6"/>
        <v>0</v>
      </c>
      <c r="V258" s="365"/>
      <c r="W258" s="378"/>
      <c r="X258" s="5"/>
    </row>
    <row r="259" spans="1:25" ht="15.6" x14ac:dyDescent="0.3">
      <c r="A259" s="287"/>
      <c r="B259" s="337" t="s">
        <v>158</v>
      </c>
      <c r="C259" s="389"/>
      <c r="D259" s="389"/>
      <c r="E259" s="389"/>
      <c r="F259" s="288"/>
      <c r="G259" s="390"/>
      <c r="H259" s="389"/>
      <c r="I259" s="389"/>
      <c r="J259" s="389"/>
      <c r="K259" s="389"/>
      <c r="L259" s="389"/>
      <c r="M259" s="389"/>
      <c r="N259" s="389"/>
      <c r="O259" s="389"/>
      <c r="P259" s="389"/>
      <c r="Q259" s="389"/>
      <c r="R259" s="337">
        <v>0</v>
      </c>
      <c r="S259" s="390">
        <f t="shared" si="5"/>
        <v>0</v>
      </c>
      <c r="T259" s="338">
        <v>0</v>
      </c>
      <c r="U259" s="390">
        <f t="shared" si="6"/>
        <v>0</v>
      </c>
      <c r="V259" s="365"/>
      <c r="W259" s="378"/>
      <c r="X259" s="5"/>
      <c r="Y259" s="109"/>
    </row>
    <row r="260" spans="1:25" ht="15.6" x14ac:dyDescent="0.3">
      <c r="A260" s="287"/>
      <c r="B260" s="337" t="s">
        <v>159</v>
      </c>
      <c r="C260" s="389"/>
      <c r="D260" s="389"/>
      <c r="E260" s="389"/>
      <c r="F260" s="288"/>
      <c r="G260" s="390"/>
      <c r="H260" s="389"/>
      <c r="I260" s="389"/>
      <c r="J260" s="389"/>
      <c r="K260" s="389"/>
      <c r="L260" s="389"/>
      <c r="M260" s="389"/>
      <c r="N260" s="389"/>
      <c r="O260" s="389"/>
      <c r="P260" s="389"/>
      <c r="Q260" s="389"/>
      <c r="R260" s="337">
        <v>1</v>
      </c>
      <c r="S260" s="390">
        <f t="shared" si="5"/>
        <v>1.5506280043417584E-4</v>
      </c>
      <c r="T260" s="338">
        <v>202</v>
      </c>
      <c r="U260" s="390">
        <f t="shared" si="6"/>
        <v>2.2739425322939238E-4</v>
      </c>
      <c r="V260" s="365"/>
      <c r="W260" s="378"/>
      <c r="X260" s="5"/>
    </row>
    <row r="261" spans="1:25" ht="15.6" x14ac:dyDescent="0.3">
      <c r="A261" s="287"/>
      <c r="B261" s="337" t="s">
        <v>160</v>
      </c>
      <c r="C261" s="389"/>
      <c r="D261" s="389"/>
      <c r="E261" s="389"/>
      <c r="F261" s="288"/>
      <c r="G261" s="390"/>
      <c r="H261" s="389"/>
      <c r="I261" s="389"/>
      <c r="J261" s="389"/>
      <c r="K261" s="389"/>
      <c r="L261" s="389"/>
      <c r="M261" s="389"/>
      <c r="N261" s="389"/>
      <c r="O261" s="389"/>
      <c r="P261" s="389"/>
      <c r="Q261" s="389"/>
      <c r="R261" s="337">
        <v>0</v>
      </c>
      <c r="S261" s="390">
        <f t="shared" si="5"/>
        <v>0</v>
      </c>
      <c r="T261" s="338">
        <v>0</v>
      </c>
      <c r="U261" s="390">
        <f t="shared" si="6"/>
        <v>0</v>
      </c>
      <c r="V261" s="365"/>
      <c r="W261" s="378"/>
      <c r="X261" s="5"/>
      <c r="Y261" s="109"/>
    </row>
    <row r="262" spans="1:25" ht="15.6" x14ac:dyDescent="0.3">
      <c r="A262" s="287"/>
      <c r="B262" s="337"/>
      <c r="C262" s="389"/>
      <c r="D262" s="389"/>
      <c r="E262" s="389"/>
      <c r="F262" s="288"/>
      <c r="G262" s="390"/>
      <c r="H262" s="389"/>
      <c r="I262" s="389"/>
      <c r="J262" s="389"/>
      <c r="K262" s="389"/>
      <c r="L262" s="389"/>
      <c r="M262" s="389"/>
      <c r="N262" s="389"/>
      <c r="O262" s="389"/>
      <c r="P262" s="389"/>
      <c r="Q262" s="389"/>
      <c r="R262" s="337"/>
      <c r="S262" s="390"/>
      <c r="T262" s="338"/>
      <c r="U262" s="390"/>
      <c r="V262" s="365"/>
      <c r="W262" s="378"/>
      <c r="X262" s="5"/>
    </row>
    <row r="263" spans="1:25" ht="15.6" x14ac:dyDescent="0.3">
      <c r="A263" s="287"/>
      <c r="B263" s="288"/>
      <c r="C263" s="288"/>
      <c r="D263" s="288"/>
      <c r="E263" s="288"/>
      <c r="F263" s="288"/>
      <c r="G263" s="288"/>
      <c r="H263" s="391"/>
      <c r="I263" s="391"/>
      <c r="J263" s="391"/>
      <c r="K263" s="391"/>
      <c r="L263" s="391"/>
      <c r="M263" s="391"/>
      <c r="N263" s="391"/>
      <c r="O263" s="391"/>
      <c r="P263" s="391"/>
      <c r="Q263" s="391"/>
      <c r="R263" s="337">
        <f>SUM(R254:R262)</f>
        <v>6449</v>
      </c>
      <c r="S263" s="390">
        <f>SUM(S254:S262)</f>
        <v>1</v>
      </c>
      <c r="T263" s="338">
        <f>SUM(T254:T262)</f>
        <v>888325</v>
      </c>
      <c r="U263" s="390">
        <f>SUM(U254:U262)</f>
        <v>1</v>
      </c>
      <c r="V263" s="288"/>
      <c r="W263" s="291"/>
      <c r="X263" s="5"/>
    </row>
    <row r="264" spans="1:25" ht="15.6" x14ac:dyDescent="0.3">
      <c r="A264" s="183"/>
      <c r="B264" s="198"/>
      <c r="C264" s="198"/>
      <c r="D264" s="198"/>
      <c r="E264" s="198"/>
      <c r="F264" s="198"/>
      <c r="G264" s="198"/>
      <c r="H264" s="386"/>
      <c r="I264" s="386"/>
      <c r="J264" s="386"/>
      <c r="K264" s="386"/>
      <c r="L264" s="386"/>
      <c r="M264" s="386"/>
      <c r="N264" s="386"/>
      <c r="O264" s="386"/>
      <c r="P264" s="386"/>
      <c r="Q264" s="386"/>
      <c r="R264" s="335"/>
      <c r="S264" s="387"/>
      <c r="T264" s="388"/>
      <c r="U264" s="387"/>
      <c r="V264" s="198"/>
      <c r="W264" s="198"/>
      <c r="X264" s="5"/>
    </row>
    <row r="265" spans="1:25" ht="15.6" x14ac:dyDescent="0.3">
      <c r="A265" s="280"/>
      <c r="B265" s="399" t="s">
        <v>275</v>
      </c>
      <c r="C265" s="400"/>
      <c r="D265" s="400"/>
      <c r="E265" s="400"/>
      <c r="F265" s="406"/>
      <c r="G265" s="400"/>
      <c r="H265" s="400"/>
      <c r="I265" s="400"/>
      <c r="J265" s="400"/>
      <c r="K265" s="400"/>
      <c r="L265" s="400"/>
      <c r="M265" s="400"/>
      <c r="N265" s="400"/>
      <c r="O265" s="400"/>
      <c r="P265" s="400"/>
      <c r="Q265" s="400"/>
      <c r="R265" s="406" t="s">
        <v>102</v>
      </c>
      <c r="S265" s="400" t="s">
        <v>103</v>
      </c>
      <c r="T265" s="406" t="s">
        <v>109</v>
      </c>
      <c r="U265" s="400" t="s">
        <v>103</v>
      </c>
      <c r="V265" s="281"/>
      <c r="W265" s="282"/>
      <c r="X265" s="5"/>
    </row>
    <row r="266" spans="1:25" ht="15.6" x14ac:dyDescent="0.3">
      <c r="A266" s="197"/>
      <c r="B266" s="234" t="s">
        <v>88</v>
      </c>
      <c r="C266" s="253"/>
      <c r="D266" s="253"/>
      <c r="E266" s="253"/>
      <c r="F266" s="231"/>
      <c r="G266" s="253"/>
      <c r="H266" s="253"/>
      <c r="I266" s="253"/>
      <c r="J266" s="253"/>
      <c r="K266" s="253"/>
      <c r="L266" s="253"/>
      <c r="M266" s="253"/>
      <c r="N266" s="253"/>
      <c r="O266" s="253"/>
      <c r="P266" s="253"/>
      <c r="Q266" s="253"/>
      <c r="R266" s="234">
        <v>111</v>
      </c>
      <c r="S266" s="254">
        <f t="shared" ref="S266:S273" si="7">R266/$R$275</f>
        <v>0.87401574803149606</v>
      </c>
      <c r="T266" s="241">
        <v>16035</v>
      </c>
      <c r="U266" s="254">
        <f t="shared" ref="U266:U273" si="8">T266/$T$275</f>
        <v>0.88890736737069687</v>
      </c>
      <c r="V266" s="231"/>
      <c r="W266" s="231"/>
      <c r="X266" s="5"/>
    </row>
    <row r="267" spans="1:25" ht="15.6" x14ac:dyDescent="0.3">
      <c r="A267" s="287"/>
      <c r="B267" s="337" t="s">
        <v>89</v>
      </c>
      <c r="C267" s="389"/>
      <c r="D267" s="389"/>
      <c r="E267" s="389"/>
      <c r="F267" s="288"/>
      <c r="G267" s="390"/>
      <c r="H267" s="389"/>
      <c r="I267" s="389"/>
      <c r="J267" s="389"/>
      <c r="K267" s="389"/>
      <c r="L267" s="389"/>
      <c r="M267" s="389"/>
      <c r="N267" s="389"/>
      <c r="O267" s="389"/>
      <c r="P267" s="389"/>
      <c r="Q267" s="389"/>
      <c r="R267" s="337">
        <v>1</v>
      </c>
      <c r="S267" s="390">
        <f t="shared" si="7"/>
        <v>7.874015748031496E-3</v>
      </c>
      <c r="T267" s="338">
        <v>111</v>
      </c>
      <c r="U267" s="390">
        <f t="shared" si="8"/>
        <v>6.1533344420422421E-3</v>
      </c>
      <c r="V267" s="288"/>
      <c r="W267" s="291"/>
      <c r="X267" s="5"/>
    </row>
    <row r="268" spans="1:25" ht="15.6" x14ac:dyDescent="0.3">
      <c r="A268" s="287"/>
      <c r="B268" s="337" t="s">
        <v>90</v>
      </c>
      <c r="C268" s="389"/>
      <c r="D268" s="389"/>
      <c r="E268" s="389"/>
      <c r="F268" s="288"/>
      <c r="G268" s="390"/>
      <c r="H268" s="389"/>
      <c r="I268" s="389"/>
      <c r="J268" s="389"/>
      <c r="K268" s="389"/>
      <c r="L268" s="389"/>
      <c r="M268" s="389"/>
      <c r="N268" s="389"/>
      <c r="O268" s="389"/>
      <c r="P268" s="389"/>
      <c r="Q268" s="389"/>
      <c r="R268" s="337">
        <v>5</v>
      </c>
      <c r="S268" s="390">
        <f t="shared" si="7"/>
        <v>3.937007874015748E-2</v>
      </c>
      <c r="T268" s="338">
        <v>389</v>
      </c>
      <c r="U268" s="390">
        <f t="shared" si="8"/>
        <v>2.1564388269859749E-2</v>
      </c>
      <c r="V268" s="288"/>
      <c r="W268" s="291"/>
      <c r="X268" s="5"/>
    </row>
    <row r="269" spans="1:25" ht="15.6" x14ac:dyDescent="0.3">
      <c r="A269" s="287"/>
      <c r="B269" s="337" t="s">
        <v>156</v>
      </c>
      <c r="C269" s="389"/>
      <c r="D269" s="389"/>
      <c r="E269" s="389"/>
      <c r="F269" s="288"/>
      <c r="G269" s="390"/>
      <c r="H269" s="389"/>
      <c r="I269" s="389"/>
      <c r="J269" s="389"/>
      <c r="K269" s="389"/>
      <c r="L269" s="389"/>
      <c r="M269" s="389"/>
      <c r="N269" s="389"/>
      <c r="O269" s="389"/>
      <c r="P269" s="389"/>
      <c r="Q269" s="389"/>
      <c r="R269" s="337">
        <v>2</v>
      </c>
      <c r="S269" s="390">
        <f t="shared" si="7"/>
        <v>1.5748031496062992E-2</v>
      </c>
      <c r="T269" s="338">
        <v>236</v>
      </c>
      <c r="U269" s="390">
        <f t="shared" si="8"/>
        <v>1.308276512001774E-2</v>
      </c>
      <c r="V269" s="288"/>
      <c r="W269" s="291"/>
      <c r="X269" s="5"/>
    </row>
    <row r="270" spans="1:25" ht="15.6" x14ac:dyDescent="0.3">
      <c r="A270" s="287"/>
      <c r="B270" s="337" t="s">
        <v>157</v>
      </c>
      <c r="C270" s="389"/>
      <c r="D270" s="389"/>
      <c r="E270" s="389"/>
      <c r="F270" s="288"/>
      <c r="G270" s="390"/>
      <c r="H270" s="389"/>
      <c r="I270" s="389"/>
      <c r="J270" s="389"/>
      <c r="K270" s="389"/>
      <c r="L270" s="389"/>
      <c r="M270" s="389"/>
      <c r="N270" s="389"/>
      <c r="O270" s="389"/>
      <c r="P270" s="389"/>
      <c r="Q270" s="389"/>
      <c r="R270" s="337">
        <v>1</v>
      </c>
      <c r="S270" s="390">
        <f t="shared" si="7"/>
        <v>7.874015748031496E-3</v>
      </c>
      <c r="T270" s="338">
        <v>165</v>
      </c>
      <c r="U270" s="390">
        <f t="shared" si="8"/>
        <v>9.146848494927657E-3</v>
      </c>
      <c r="V270" s="288"/>
      <c r="W270" s="291"/>
      <c r="X270" s="5"/>
    </row>
    <row r="271" spans="1:25" ht="15.6" x14ac:dyDescent="0.3">
      <c r="A271" s="287"/>
      <c r="B271" s="337" t="s">
        <v>158</v>
      </c>
      <c r="C271" s="389"/>
      <c r="D271" s="389"/>
      <c r="E271" s="389"/>
      <c r="F271" s="288"/>
      <c r="G271" s="390"/>
      <c r="H271" s="389"/>
      <c r="I271" s="389"/>
      <c r="J271" s="389"/>
      <c r="K271" s="389"/>
      <c r="L271" s="389"/>
      <c r="M271" s="389"/>
      <c r="N271" s="389"/>
      <c r="O271" s="389"/>
      <c r="P271" s="389"/>
      <c r="Q271" s="389"/>
      <c r="R271" s="337">
        <v>1</v>
      </c>
      <c r="S271" s="390">
        <f t="shared" si="7"/>
        <v>7.874015748031496E-3</v>
      </c>
      <c r="T271" s="338">
        <v>190</v>
      </c>
      <c r="U271" s="390">
        <f t="shared" si="8"/>
        <v>1.0532734630522756E-2</v>
      </c>
      <c r="V271" s="288"/>
      <c r="W271" s="291"/>
      <c r="X271" s="5"/>
    </row>
    <row r="272" spans="1:25" ht="15.6" x14ac:dyDescent="0.3">
      <c r="A272" s="287"/>
      <c r="B272" s="337" t="s">
        <v>159</v>
      </c>
      <c r="C272" s="389"/>
      <c r="D272" s="389"/>
      <c r="E272" s="389"/>
      <c r="F272" s="288"/>
      <c r="G272" s="390"/>
      <c r="H272" s="389"/>
      <c r="I272" s="389"/>
      <c r="J272" s="389"/>
      <c r="K272" s="389"/>
      <c r="L272" s="389"/>
      <c r="M272" s="389"/>
      <c r="N272" s="389"/>
      <c r="O272" s="389"/>
      <c r="P272" s="389"/>
      <c r="Q272" s="389"/>
      <c r="R272" s="337">
        <v>2</v>
      </c>
      <c r="S272" s="390">
        <f t="shared" si="7"/>
        <v>1.5748031496062992E-2</v>
      </c>
      <c r="T272" s="338">
        <v>250</v>
      </c>
      <c r="U272" s="390">
        <f t="shared" si="8"/>
        <v>1.3858861355950994E-2</v>
      </c>
      <c r="V272" s="288"/>
      <c r="W272" s="291"/>
      <c r="X272" s="5"/>
    </row>
    <row r="273" spans="1:24" ht="15.6" x14ac:dyDescent="0.3">
      <c r="A273" s="287"/>
      <c r="B273" s="337" t="s">
        <v>160</v>
      </c>
      <c r="C273" s="389"/>
      <c r="D273" s="389"/>
      <c r="E273" s="389"/>
      <c r="F273" s="288"/>
      <c r="G273" s="390"/>
      <c r="H273" s="389"/>
      <c r="I273" s="389"/>
      <c r="J273" s="389"/>
      <c r="K273" s="389"/>
      <c r="L273" s="389"/>
      <c r="M273" s="389"/>
      <c r="N273" s="389"/>
      <c r="O273" s="389"/>
      <c r="P273" s="389"/>
      <c r="Q273" s="389"/>
      <c r="R273" s="337">
        <v>4</v>
      </c>
      <c r="S273" s="390">
        <f t="shared" si="7"/>
        <v>3.1496062992125984E-2</v>
      </c>
      <c r="T273" s="338">
        <v>663</v>
      </c>
      <c r="U273" s="390">
        <f t="shared" si="8"/>
        <v>3.6753700315982039E-2</v>
      </c>
      <c r="V273" s="288"/>
      <c r="W273" s="291"/>
      <c r="X273" s="5"/>
    </row>
    <row r="274" spans="1:24" ht="15.6" x14ac:dyDescent="0.3">
      <c r="A274" s="287"/>
      <c r="B274" s="337"/>
      <c r="C274" s="389"/>
      <c r="D274" s="389"/>
      <c r="E274" s="389"/>
      <c r="F274" s="288"/>
      <c r="G274" s="390"/>
      <c r="H274" s="389"/>
      <c r="I274" s="389"/>
      <c r="J274" s="389"/>
      <c r="K274" s="389"/>
      <c r="L274" s="389"/>
      <c r="M274" s="389"/>
      <c r="N274" s="389"/>
      <c r="O274" s="389"/>
      <c r="P274" s="389"/>
      <c r="Q274" s="389"/>
      <c r="R274" s="337"/>
      <c r="S274" s="390"/>
      <c r="T274" s="338"/>
      <c r="U274" s="390"/>
      <c r="V274" s="288"/>
      <c r="W274" s="291"/>
      <c r="X274" s="5"/>
    </row>
    <row r="275" spans="1:24" ht="15.6" x14ac:dyDescent="0.3">
      <c r="A275" s="287"/>
      <c r="B275" s="288"/>
      <c r="C275" s="288"/>
      <c r="D275" s="288"/>
      <c r="E275" s="288"/>
      <c r="F275" s="288"/>
      <c r="G275" s="288"/>
      <c r="H275" s="391"/>
      <c r="I275" s="391"/>
      <c r="J275" s="391"/>
      <c r="K275" s="391"/>
      <c r="L275" s="391"/>
      <c r="M275" s="391"/>
      <c r="N275" s="391"/>
      <c r="O275" s="391"/>
      <c r="P275" s="391"/>
      <c r="Q275" s="391"/>
      <c r="R275" s="337">
        <f>SUM(R266:R274)</f>
        <v>127</v>
      </c>
      <c r="S275" s="390">
        <f>SUM(S266:S274)</f>
        <v>1</v>
      </c>
      <c r="T275" s="338">
        <f>SUM(T266:T274)</f>
        <v>18039</v>
      </c>
      <c r="U275" s="390">
        <f>SUM(U266:U274)</f>
        <v>1</v>
      </c>
      <c r="V275" s="288"/>
      <c r="W275" s="291"/>
      <c r="X275" s="5"/>
    </row>
    <row r="276" spans="1:24" ht="15.6" x14ac:dyDescent="0.3">
      <c r="A276" s="183"/>
      <c r="B276" s="284"/>
      <c r="C276" s="284"/>
      <c r="D276" s="284"/>
      <c r="E276" s="284"/>
      <c r="F276" s="284"/>
      <c r="G276" s="284"/>
      <c r="H276" s="392"/>
      <c r="I276" s="392"/>
      <c r="J276" s="392"/>
      <c r="K276" s="392"/>
      <c r="L276" s="392"/>
      <c r="M276" s="392"/>
      <c r="N276" s="392"/>
      <c r="O276" s="392"/>
      <c r="P276" s="392"/>
      <c r="Q276" s="392"/>
      <c r="R276" s="339"/>
      <c r="S276" s="393"/>
      <c r="T276" s="394"/>
      <c r="U276" s="393"/>
      <c r="V276" s="284"/>
      <c r="W276" s="284"/>
      <c r="X276" s="5"/>
    </row>
    <row r="277" spans="1:24" ht="15.6" x14ac:dyDescent="0.3">
      <c r="A277" s="280"/>
      <c r="B277" s="399" t="s">
        <v>163</v>
      </c>
      <c r="C277" s="281"/>
      <c r="D277" s="281"/>
      <c r="E277" s="281"/>
      <c r="F277" s="281"/>
      <c r="G277" s="281"/>
      <c r="H277" s="283"/>
      <c r="I277" s="283"/>
      <c r="J277" s="283"/>
      <c r="K277" s="283"/>
      <c r="L277" s="283"/>
      <c r="M277" s="283"/>
      <c r="N277" s="283"/>
      <c r="O277" s="283"/>
      <c r="P277" s="283"/>
      <c r="Q277" s="283"/>
      <c r="R277" s="406" t="s">
        <v>102</v>
      </c>
      <c r="S277" s="400" t="s">
        <v>103</v>
      </c>
      <c r="T277" s="406" t="s">
        <v>109</v>
      </c>
      <c r="U277" s="400" t="s">
        <v>103</v>
      </c>
      <c r="V277" s="281"/>
      <c r="W277" s="282"/>
      <c r="X277" s="5"/>
    </row>
    <row r="278" spans="1:24" ht="15.6" x14ac:dyDescent="0.3">
      <c r="A278" s="197"/>
      <c r="B278" s="234" t="s">
        <v>88</v>
      </c>
      <c r="C278" s="231"/>
      <c r="D278" s="231"/>
      <c r="E278" s="231"/>
      <c r="F278" s="231"/>
      <c r="G278" s="231"/>
      <c r="H278" s="255"/>
      <c r="I278" s="255"/>
      <c r="J278" s="255"/>
      <c r="K278" s="255"/>
      <c r="L278" s="255"/>
      <c r="M278" s="255"/>
      <c r="N278" s="255"/>
      <c r="O278" s="255"/>
      <c r="P278" s="255"/>
      <c r="Q278" s="255"/>
      <c r="R278" s="234">
        <v>0</v>
      </c>
      <c r="S278" s="254">
        <v>0</v>
      </c>
      <c r="T278" s="241">
        <v>0</v>
      </c>
      <c r="U278" s="254">
        <v>0</v>
      </c>
      <c r="V278" s="231"/>
      <c r="W278" s="231"/>
      <c r="X278" s="5"/>
    </row>
    <row r="279" spans="1:24" ht="15.6" x14ac:dyDescent="0.3">
      <c r="A279" s="287"/>
      <c r="B279" s="337" t="s">
        <v>89</v>
      </c>
      <c r="C279" s="288"/>
      <c r="D279" s="288"/>
      <c r="E279" s="288"/>
      <c r="F279" s="288"/>
      <c r="G279" s="288"/>
      <c r="H279" s="391"/>
      <c r="I279" s="391"/>
      <c r="J279" s="391"/>
      <c r="K279" s="391"/>
      <c r="L279" s="391"/>
      <c r="M279" s="391"/>
      <c r="N279" s="391"/>
      <c r="O279" s="391"/>
      <c r="P279" s="391"/>
      <c r="Q279" s="391"/>
      <c r="R279" s="337">
        <v>0</v>
      </c>
      <c r="S279" s="390">
        <v>0</v>
      </c>
      <c r="T279" s="338">
        <v>0</v>
      </c>
      <c r="U279" s="390">
        <v>0</v>
      </c>
      <c r="V279" s="288"/>
      <c r="W279" s="291"/>
      <c r="X279" s="5"/>
    </row>
    <row r="280" spans="1:24" ht="15.6" x14ac:dyDescent="0.3">
      <c r="A280" s="287"/>
      <c r="B280" s="337" t="s">
        <v>90</v>
      </c>
      <c r="C280" s="288"/>
      <c r="D280" s="288"/>
      <c r="E280" s="288"/>
      <c r="F280" s="288"/>
      <c r="G280" s="288"/>
      <c r="H280" s="391"/>
      <c r="I280" s="391"/>
      <c r="J280" s="391"/>
      <c r="K280" s="391"/>
      <c r="L280" s="391"/>
      <c r="M280" s="391"/>
      <c r="N280" s="391"/>
      <c r="O280" s="391"/>
      <c r="P280" s="391"/>
      <c r="Q280" s="391"/>
      <c r="R280" s="337">
        <v>0</v>
      </c>
      <c r="S280" s="390">
        <v>0</v>
      </c>
      <c r="T280" s="338">
        <v>0</v>
      </c>
      <c r="U280" s="390">
        <v>0</v>
      </c>
      <c r="V280" s="288"/>
      <c r="W280" s="291"/>
      <c r="X280" s="5"/>
    </row>
    <row r="281" spans="1:24" ht="15.6" x14ac:dyDescent="0.3">
      <c r="A281" s="287"/>
      <c r="B281" s="337" t="s">
        <v>156</v>
      </c>
      <c r="C281" s="288"/>
      <c r="D281" s="288"/>
      <c r="E281" s="288"/>
      <c r="F281" s="288"/>
      <c r="G281" s="288"/>
      <c r="H281" s="391"/>
      <c r="I281" s="391"/>
      <c r="J281" s="391"/>
      <c r="K281" s="391"/>
      <c r="L281" s="391"/>
      <c r="M281" s="391"/>
      <c r="N281" s="391"/>
      <c r="O281" s="391"/>
      <c r="P281" s="391"/>
      <c r="Q281" s="391"/>
      <c r="R281" s="337">
        <v>0</v>
      </c>
      <c r="S281" s="390">
        <v>0</v>
      </c>
      <c r="T281" s="338">
        <v>0</v>
      </c>
      <c r="U281" s="390">
        <v>0</v>
      </c>
      <c r="V281" s="288"/>
      <c r="W281" s="291"/>
      <c r="X281" s="5"/>
    </row>
    <row r="282" spans="1:24" ht="15.6" x14ac:dyDescent="0.3">
      <c r="A282" s="287"/>
      <c r="B282" s="337" t="s">
        <v>157</v>
      </c>
      <c r="C282" s="288"/>
      <c r="D282" s="288"/>
      <c r="E282" s="288"/>
      <c r="F282" s="288"/>
      <c r="G282" s="288"/>
      <c r="H282" s="391"/>
      <c r="I282" s="391"/>
      <c r="J282" s="391"/>
      <c r="K282" s="391"/>
      <c r="L282" s="391"/>
      <c r="M282" s="391"/>
      <c r="N282" s="391"/>
      <c r="O282" s="391"/>
      <c r="P282" s="391"/>
      <c r="Q282" s="391"/>
      <c r="R282" s="337">
        <v>0</v>
      </c>
      <c r="S282" s="390">
        <v>0</v>
      </c>
      <c r="T282" s="338">
        <v>0</v>
      </c>
      <c r="U282" s="390">
        <v>0</v>
      </c>
      <c r="V282" s="288"/>
      <c r="W282" s="291"/>
      <c r="X282" s="5"/>
    </row>
    <row r="283" spans="1:24" ht="15.6" x14ac:dyDescent="0.3">
      <c r="A283" s="287"/>
      <c r="B283" s="337" t="s">
        <v>158</v>
      </c>
      <c r="C283" s="288"/>
      <c r="D283" s="288"/>
      <c r="E283" s="288"/>
      <c r="F283" s="288"/>
      <c r="G283" s="288"/>
      <c r="H283" s="391"/>
      <c r="I283" s="391"/>
      <c r="J283" s="391"/>
      <c r="K283" s="391"/>
      <c r="L283" s="391"/>
      <c r="M283" s="391"/>
      <c r="N283" s="391"/>
      <c r="O283" s="391"/>
      <c r="P283" s="391"/>
      <c r="Q283" s="391"/>
      <c r="R283" s="337">
        <v>0</v>
      </c>
      <c r="S283" s="390">
        <v>0</v>
      </c>
      <c r="T283" s="338">
        <v>0</v>
      </c>
      <c r="U283" s="390">
        <v>0</v>
      </c>
      <c r="V283" s="288"/>
      <c r="W283" s="291"/>
      <c r="X283" s="5"/>
    </row>
    <row r="284" spans="1:24" ht="15.6" x14ac:dyDescent="0.3">
      <c r="A284" s="287"/>
      <c r="B284" s="337" t="s">
        <v>159</v>
      </c>
      <c r="C284" s="288"/>
      <c r="D284" s="288"/>
      <c r="E284" s="288"/>
      <c r="F284" s="288"/>
      <c r="G284" s="288"/>
      <c r="H284" s="391"/>
      <c r="I284" s="391"/>
      <c r="J284" s="391"/>
      <c r="K284" s="391"/>
      <c r="L284" s="391"/>
      <c r="M284" s="391"/>
      <c r="N284" s="391"/>
      <c r="O284" s="391"/>
      <c r="P284" s="391"/>
      <c r="Q284" s="391"/>
      <c r="R284" s="337">
        <v>0</v>
      </c>
      <c r="S284" s="390">
        <v>0</v>
      </c>
      <c r="T284" s="338">
        <v>0</v>
      </c>
      <c r="U284" s="390">
        <v>0</v>
      </c>
      <c r="V284" s="288"/>
      <c r="W284" s="291"/>
      <c r="X284" s="5"/>
    </row>
    <row r="285" spans="1:24" ht="15.6" x14ac:dyDescent="0.3">
      <c r="A285" s="287"/>
      <c r="B285" s="337" t="s">
        <v>160</v>
      </c>
      <c r="C285" s="288"/>
      <c r="D285" s="288"/>
      <c r="E285" s="288"/>
      <c r="F285" s="288"/>
      <c r="G285" s="288"/>
      <c r="H285" s="391"/>
      <c r="I285" s="391"/>
      <c r="J285" s="391"/>
      <c r="K285" s="391"/>
      <c r="L285" s="391"/>
      <c r="M285" s="391"/>
      <c r="N285" s="391"/>
      <c r="O285" s="391"/>
      <c r="P285" s="391"/>
      <c r="Q285" s="391"/>
      <c r="R285" s="337">
        <v>0</v>
      </c>
      <c r="S285" s="390">
        <v>0</v>
      </c>
      <c r="T285" s="338">
        <v>0</v>
      </c>
      <c r="U285" s="390">
        <v>0</v>
      </c>
      <c r="V285" s="288"/>
      <c r="W285" s="291"/>
      <c r="X285" s="5"/>
    </row>
    <row r="286" spans="1:24" ht="15.6" x14ac:dyDescent="0.3">
      <c r="A286" s="287"/>
      <c r="B286" s="337"/>
      <c r="C286" s="288"/>
      <c r="D286" s="288"/>
      <c r="E286" s="288"/>
      <c r="F286" s="288"/>
      <c r="G286" s="288"/>
      <c r="H286" s="391"/>
      <c r="I286" s="391"/>
      <c r="J286" s="391"/>
      <c r="K286" s="391"/>
      <c r="L286" s="391"/>
      <c r="M286" s="391"/>
      <c r="N286" s="391"/>
      <c r="O286" s="391"/>
      <c r="P286" s="391"/>
      <c r="Q286" s="391"/>
      <c r="R286" s="337"/>
      <c r="S286" s="390"/>
      <c r="T286" s="338"/>
      <c r="U286" s="390"/>
      <c r="V286" s="288"/>
      <c r="W286" s="291"/>
      <c r="X286" s="5"/>
    </row>
    <row r="287" spans="1:24" ht="15.6" x14ac:dyDescent="0.3">
      <c r="A287" s="287"/>
      <c r="B287" s="288" t="s">
        <v>114</v>
      </c>
      <c r="C287" s="288"/>
      <c r="D287" s="288"/>
      <c r="E287" s="288"/>
      <c r="F287" s="288"/>
      <c r="G287" s="288"/>
      <c r="H287" s="391"/>
      <c r="I287" s="391"/>
      <c r="J287" s="391"/>
      <c r="K287" s="391"/>
      <c r="L287" s="391"/>
      <c r="M287" s="391"/>
      <c r="N287" s="391"/>
      <c r="O287" s="391"/>
      <c r="P287" s="391"/>
      <c r="Q287" s="391"/>
      <c r="R287" s="337">
        <f>SUM(R278:R285)</f>
        <v>0</v>
      </c>
      <c r="S287" s="390">
        <f>SUM(S278:S286)</f>
        <v>0</v>
      </c>
      <c r="T287" s="338">
        <f>SUM(T278:T285)</f>
        <v>0</v>
      </c>
      <c r="U287" s="390">
        <f>SUM(U278:U286)</f>
        <v>0</v>
      </c>
      <c r="V287" s="288"/>
      <c r="W287" s="291"/>
      <c r="X287" s="5"/>
    </row>
    <row r="288" spans="1:24" ht="15.6" x14ac:dyDescent="0.3">
      <c r="A288" s="287"/>
      <c r="B288" s="288"/>
      <c r="C288" s="288"/>
      <c r="D288" s="288"/>
      <c r="E288" s="288"/>
      <c r="F288" s="288"/>
      <c r="G288" s="288"/>
      <c r="H288" s="391"/>
      <c r="I288" s="391"/>
      <c r="J288" s="391"/>
      <c r="K288" s="391"/>
      <c r="L288" s="391"/>
      <c r="M288" s="391"/>
      <c r="N288" s="391"/>
      <c r="O288" s="391"/>
      <c r="P288" s="391"/>
      <c r="Q288" s="391"/>
      <c r="R288" s="337"/>
      <c r="S288" s="390"/>
      <c r="T288" s="338"/>
      <c r="U288" s="390"/>
      <c r="V288" s="288"/>
      <c r="W288" s="291"/>
      <c r="X288" s="5"/>
    </row>
    <row r="289" spans="1:24" ht="15.6" x14ac:dyDescent="0.3">
      <c r="A289" s="287"/>
      <c r="B289" s="295" t="s">
        <v>164</v>
      </c>
      <c r="C289" s="288"/>
      <c r="D289" s="288"/>
      <c r="E289" s="288"/>
      <c r="F289" s="288"/>
      <c r="G289" s="288"/>
      <c r="H289" s="391"/>
      <c r="I289" s="391"/>
      <c r="J289" s="391"/>
      <c r="K289" s="391"/>
      <c r="L289" s="391"/>
      <c r="M289" s="391"/>
      <c r="N289" s="391"/>
      <c r="O289" s="391"/>
      <c r="P289" s="391"/>
      <c r="Q289" s="391"/>
      <c r="R289" s="407">
        <f>R287+R275+R263</f>
        <v>6576</v>
      </c>
      <c r="S289" s="390"/>
      <c r="T289" s="396">
        <f>+T287+T275+T263</f>
        <v>906364</v>
      </c>
      <c r="U289" s="390"/>
      <c r="V289" s="288"/>
      <c r="W289" s="291"/>
      <c r="X289" s="5"/>
    </row>
    <row r="290" spans="1:24" ht="15.6" x14ac:dyDescent="0.3">
      <c r="A290" s="183"/>
      <c r="B290" s="284"/>
      <c r="C290" s="284"/>
      <c r="D290" s="284"/>
      <c r="E290" s="284"/>
      <c r="F290" s="284"/>
      <c r="G290" s="284"/>
      <c r="H290" s="392"/>
      <c r="I290" s="392"/>
      <c r="J290" s="392"/>
      <c r="K290" s="392"/>
      <c r="L290" s="392"/>
      <c r="M290" s="392"/>
      <c r="N290" s="392"/>
      <c r="O290" s="392"/>
      <c r="P290" s="392"/>
      <c r="Q290" s="392"/>
      <c r="R290" s="392"/>
      <c r="S290" s="392"/>
      <c r="T290" s="394"/>
      <c r="U290" s="392"/>
      <c r="V290" s="284"/>
      <c r="W290" s="284"/>
      <c r="X290" s="5"/>
    </row>
    <row r="291" spans="1:24" ht="15.6" x14ac:dyDescent="0.3">
      <c r="A291" s="183"/>
      <c r="B291" s="224"/>
      <c r="C291" s="224"/>
      <c r="D291" s="224"/>
      <c r="E291" s="224"/>
      <c r="F291" s="224"/>
      <c r="G291" s="224"/>
      <c r="H291" s="256"/>
      <c r="I291" s="256"/>
      <c r="J291" s="256"/>
      <c r="K291" s="256"/>
      <c r="L291" s="256"/>
      <c r="M291" s="256"/>
      <c r="N291" s="256"/>
      <c r="O291" s="256"/>
      <c r="P291" s="256"/>
      <c r="Q291" s="256"/>
      <c r="R291" s="256"/>
      <c r="S291" s="256"/>
      <c r="T291" s="257"/>
      <c r="U291" s="256"/>
      <c r="V291" s="224"/>
      <c r="W291" s="224"/>
      <c r="X291" s="5"/>
    </row>
    <row r="292" spans="1:24" ht="15.6" x14ac:dyDescent="0.3">
      <c r="A292" s="219"/>
      <c r="B292" s="222" t="s">
        <v>91</v>
      </c>
      <c r="C292" s="224"/>
      <c r="D292" s="224"/>
      <c r="E292" s="224"/>
      <c r="F292" s="228" t="s">
        <v>97</v>
      </c>
      <c r="G292" s="224"/>
      <c r="H292" s="222" t="s">
        <v>99</v>
      </c>
      <c r="I292" s="222"/>
      <c r="J292" s="222"/>
      <c r="K292" s="258"/>
      <c r="L292" s="258"/>
      <c r="M292" s="258"/>
      <c r="N292" s="258"/>
      <c r="O292" s="258"/>
      <c r="P292" s="258"/>
      <c r="Q292" s="258"/>
      <c r="R292" s="258"/>
      <c r="S292" s="258"/>
      <c r="T292" s="258"/>
      <c r="U292" s="258"/>
      <c r="V292" s="258"/>
      <c r="W292" s="258"/>
      <c r="X292" s="5"/>
    </row>
    <row r="293" spans="1:24" ht="15.6" x14ac:dyDescent="0.3">
      <c r="A293" s="219"/>
      <c r="B293" s="222" t="s">
        <v>339</v>
      </c>
      <c r="C293" s="222"/>
      <c r="D293" s="222"/>
      <c r="E293" s="222"/>
      <c r="F293" s="259" t="s">
        <v>278</v>
      </c>
      <c r="G293" s="222"/>
      <c r="H293" s="222" t="s">
        <v>279</v>
      </c>
      <c r="I293" s="258"/>
      <c r="J293" s="222"/>
      <c r="K293" s="258"/>
      <c r="L293" s="258"/>
      <c r="M293" s="258"/>
      <c r="N293" s="258"/>
      <c r="O293" s="258"/>
      <c r="P293" s="258"/>
      <c r="Q293" s="258"/>
      <c r="R293" s="258"/>
      <c r="S293" s="258"/>
      <c r="T293" s="258"/>
      <c r="U293" s="258"/>
      <c r="V293" s="258"/>
      <c r="W293" s="258"/>
      <c r="X293" s="5"/>
    </row>
    <row r="294" spans="1:24" ht="15.6" x14ac:dyDescent="0.3">
      <c r="A294" s="219"/>
      <c r="B294" s="222" t="s">
        <v>340</v>
      </c>
      <c r="C294" s="222"/>
      <c r="D294" s="222"/>
      <c r="E294" s="222"/>
      <c r="F294" s="259" t="s">
        <v>147</v>
      </c>
      <c r="G294" s="222"/>
      <c r="H294" s="222" t="s">
        <v>153</v>
      </c>
      <c r="I294" s="222"/>
      <c r="J294" s="222"/>
      <c r="K294" s="258"/>
      <c r="L294" s="258"/>
      <c r="M294" s="258"/>
      <c r="N294" s="258"/>
      <c r="O294" s="258"/>
      <c r="P294" s="258"/>
      <c r="Q294" s="258"/>
      <c r="R294" s="258"/>
      <c r="S294" s="258"/>
      <c r="T294" s="258"/>
      <c r="U294" s="258"/>
      <c r="V294" s="258"/>
      <c r="W294" s="258"/>
      <c r="X294" s="5"/>
    </row>
    <row r="295" spans="1:24" ht="15.6" x14ac:dyDescent="0.3">
      <c r="A295" s="219"/>
      <c r="B295" s="222"/>
      <c r="C295" s="222"/>
      <c r="D295" s="222"/>
      <c r="E295" s="222"/>
      <c r="F295" s="259"/>
      <c r="G295" s="222"/>
      <c r="H295" s="222"/>
      <c r="I295" s="222"/>
      <c r="J295" s="222"/>
      <c r="K295" s="258"/>
      <c r="L295" s="258"/>
      <c r="M295" s="258"/>
      <c r="N295" s="258"/>
      <c r="O295" s="258"/>
      <c r="P295" s="258"/>
      <c r="Q295" s="258"/>
      <c r="R295" s="258"/>
      <c r="S295" s="258"/>
      <c r="T295" s="258"/>
      <c r="U295" s="258"/>
      <c r="V295" s="258"/>
      <c r="W295" s="258"/>
      <c r="X295" s="5"/>
    </row>
    <row r="296" spans="1:24" ht="15.6" x14ac:dyDescent="0.3">
      <c r="A296" s="219"/>
      <c r="B296" s="284" t="s">
        <v>368</v>
      </c>
      <c r="C296" s="222"/>
      <c r="D296" s="222"/>
      <c r="E296" s="222"/>
      <c r="F296" s="259"/>
      <c r="G296" s="222"/>
      <c r="H296" s="222"/>
      <c r="I296" s="222"/>
      <c r="J296" s="222"/>
      <c r="K296" s="258"/>
      <c r="L296" s="258"/>
      <c r="M296" s="258"/>
      <c r="N296" s="258"/>
      <c r="O296" s="258"/>
      <c r="P296" s="258"/>
      <c r="Q296" s="258"/>
      <c r="R296" s="258"/>
      <c r="S296" s="258"/>
      <c r="T296" s="258"/>
      <c r="U296" s="258"/>
      <c r="V296" s="258"/>
      <c r="W296" s="258"/>
      <c r="X296" s="5"/>
    </row>
    <row r="297" spans="1:24" ht="15.6" x14ac:dyDescent="0.3">
      <c r="A297" s="219"/>
      <c r="B297" s="284" t="s">
        <v>367</v>
      </c>
      <c r="C297" s="222"/>
      <c r="D297" s="222"/>
      <c r="E297" s="222"/>
      <c r="F297" s="259"/>
      <c r="G297" s="222"/>
      <c r="H297" s="222"/>
      <c r="I297" s="222"/>
      <c r="J297" s="222"/>
      <c r="K297" s="258"/>
      <c r="L297" s="258"/>
      <c r="M297" s="258"/>
      <c r="N297" s="258"/>
      <c r="O297" s="258"/>
      <c r="P297" s="258"/>
      <c r="Q297" s="258"/>
      <c r="R297" s="258"/>
      <c r="S297" s="258"/>
      <c r="T297" s="258"/>
      <c r="U297" s="258"/>
      <c r="V297" s="258"/>
      <c r="W297" s="258"/>
      <c r="X297" s="5"/>
    </row>
    <row r="298" spans="1:24" ht="15.6" x14ac:dyDescent="0.3">
      <c r="A298" s="219"/>
      <c r="B298" s="284" t="s">
        <v>365</v>
      </c>
      <c r="C298" s="222"/>
      <c r="D298" s="222"/>
      <c r="E298" s="222"/>
      <c r="F298" s="259"/>
      <c r="G298" s="222"/>
      <c r="H298" s="222"/>
      <c r="I298" s="222"/>
      <c r="J298" s="222"/>
      <c r="K298" s="258"/>
      <c r="L298" s="258"/>
      <c r="M298" s="258"/>
      <c r="N298" s="258"/>
      <c r="O298" s="258"/>
      <c r="P298" s="258"/>
      <c r="Q298" s="258"/>
      <c r="R298" s="258"/>
      <c r="S298" s="258"/>
      <c r="T298" s="258"/>
      <c r="U298" s="258"/>
      <c r="V298" s="258"/>
      <c r="W298" s="258"/>
      <c r="X298" s="5"/>
    </row>
    <row r="299" spans="1:24" ht="15.6" x14ac:dyDescent="0.3">
      <c r="A299" s="219"/>
      <c r="B299" s="284" t="s">
        <v>366</v>
      </c>
      <c r="C299" s="222"/>
      <c r="D299" s="222"/>
      <c r="E299" s="222"/>
      <c r="F299" s="259"/>
      <c r="G299" s="222"/>
      <c r="H299" s="222"/>
      <c r="I299" s="222"/>
      <c r="J299" s="222"/>
      <c r="K299" s="258"/>
      <c r="L299" s="258"/>
      <c r="M299" s="258"/>
      <c r="N299" s="258"/>
      <c r="O299" s="258"/>
      <c r="P299" s="258"/>
      <c r="Q299" s="258"/>
      <c r="R299" s="258"/>
      <c r="S299" s="258"/>
      <c r="T299" s="258"/>
      <c r="U299" s="258"/>
      <c r="V299" s="258"/>
      <c r="W299" s="258"/>
      <c r="X299" s="5"/>
    </row>
    <row r="300" spans="1:24" ht="15.6" x14ac:dyDescent="0.3">
      <c r="A300" s="219"/>
      <c r="B300" s="222"/>
      <c r="C300" s="222"/>
      <c r="D300" s="222"/>
      <c r="E300" s="222"/>
      <c r="F300" s="259"/>
      <c r="G300" s="222"/>
      <c r="H300" s="222"/>
      <c r="I300" s="222"/>
      <c r="J300" s="222"/>
      <c r="K300" s="258"/>
      <c r="L300" s="258"/>
      <c r="M300" s="258"/>
      <c r="N300" s="258"/>
      <c r="O300" s="258"/>
      <c r="P300" s="258"/>
      <c r="Q300" s="258"/>
      <c r="R300" s="258"/>
      <c r="S300" s="258"/>
      <c r="T300" s="258"/>
      <c r="U300" s="258"/>
      <c r="V300" s="258"/>
      <c r="W300" s="258"/>
      <c r="X300" s="5"/>
    </row>
    <row r="301" spans="1:24" ht="17.399999999999999" x14ac:dyDescent="0.3">
      <c r="A301" s="219"/>
      <c r="B301" s="410" t="s">
        <v>369</v>
      </c>
      <c r="C301" s="222"/>
      <c r="D301" s="222"/>
      <c r="E301" s="222"/>
      <c r="F301" s="222"/>
      <c r="G301" s="260"/>
      <c r="H301" s="258"/>
      <c r="I301" s="258"/>
      <c r="J301" s="258"/>
      <c r="K301" s="258"/>
      <c r="L301" s="182"/>
      <c r="M301" s="182"/>
      <c r="N301" s="411"/>
      <c r="O301" s="182"/>
      <c r="P301" s="411" t="s">
        <v>167</v>
      </c>
      <c r="Q301" s="258"/>
      <c r="R301" s="258"/>
      <c r="S301" s="258"/>
      <c r="T301" s="258"/>
      <c r="U301" s="258"/>
      <c r="V301" s="258"/>
      <c r="W301" s="258"/>
      <c r="X301" s="5"/>
    </row>
    <row r="302" spans="1:24" ht="15.6" x14ac:dyDescent="0.3">
      <c r="A302" s="219"/>
      <c r="B302" s="222"/>
      <c r="C302" s="222"/>
      <c r="D302" s="222"/>
      <c r="E302" s="222"/>
      <c r="F302" s="222"/>
      <c r="G302" s="260"/>
      <c r="H302" s="258"/>
      <c r="I302" s="258"/>
      <c r="J302" s="258"/>
      <c r="K302" s="258"/>
      <c r="L302" s="258"/>
      <c r="M302" s="258"/>
      <c r="N302" s="258"/>
      <c r="O302" s="258"/>
      <c r="P302" s="258"/>
      <c r="Q302" s="258"/>
      <c r="R302" s="258"/>
      <c r="S302" s="258"/>
      <c r="T302" s="258"/>
      <c r="U302" s="258"/>
      <c r="V302" s="258"/>
      <c r="W302" s="258"/>
      <c r="X302" s="5"/>
    </row>
    <row r="303" spans="1:24" ht="18" thickBot="1" x14ac:dyDescent="0.35">
      <c r="A303" s="219"/>
      <c r="B303" s="261" t="str">
        <f>B203</f>
        <v>PM14 INVESTOR REPORT QUARTER ENDING FEBRUARY 2017</v>
      </c>
      <c r="C303" s="222"/>
      <c r="D303" s="222"/>
      <c r="E303" s="222"/>
      <c r="F303" s="222"/>
      <c r="G303" s="260"/>
      <c r="H303" s="258"/>
      <c r="I303" s="258"/>
      <c r="J303" s="258"/>
      <c r="K303" s="258"/>
      <c r="L303" s="258"/>
      <c r="M303" s="258"/>
      <c r="N303" s="258"/>
      <c r="O303" s="258"/>
      <c r="P303" s="258"/>
      <c r="Q303" s="258"/>
      <c r="R303" s="258"/>
      <c r="S303" s="258"/>
      <c r="T303" s="258"/>
      <c r="U303" s="258"/>
      <c r="V303" s="258"/>
      <c r="W303" s="258"/>
      <c r="X303" s="5"/>
    </row>
    <row r="304" spans="1:24" x14ac:dyDescent="0.25">
      <c r="A304" s="100"/>
      <c r="B304" s="100"/>
      <c r="C304" s="100"/>
      <c r="D304" s="100"/>
      <c r="E304" s="100"/>
      <c r="F304" s="100"/>
      <c r="G304" s="100"/>
      <c r="H304" s="100"/>
      <c r="I304" s="100"/>
      <c r="J304" s="100"/>
      <c r="K304" s="100"/>
      <c r="L304" s="100"/>
      <c r="M304" s="100"/>
      <c r="N304" s="100"/>
      <c r="O304" s="100"/>
      <c r="P304" s="100"/>
      <c r="Q304" s="100"/>
      <c r="R304" s="100"/>
      <c r="S304" s="100"/>
      <c r="T304" s="100"/>
      <c r="U304" s="100"/>
      <c r="V304" s="100"/>
      <c r="W304" s="100"/>
    </row>
  </sheetData>
  <hyperlinks>
    <hyperlink ref="P239" r:id="rId1" xr:uid="{00000000-0004-0000-2600-000000000000}"/>
    <hyperlink ref="I9" r:id="rId2" xr:uid="{00000000-0004-0000-2600-000001000000}"/>
    <hyperlink ref="P301" r:id="rId3" xr:uid="{00000000-0004-0000-2600-000002000000}"/>
  </hyperlinks>
  <printOptions horizontalCentered="1" verticalCentered="1"/>
  <pageMargins left="0.19685039370078741" right="0.19685039370078741" top="0.27559055118110237" bottom="0.27559055118110237" header="0" footer="0"/>
  <pageSetup scale="37" orientation="landscape" r:id="rId4"/>
  <headerFooter alignWithMargins="0"/>
  <rowBreaks count="3" manualBreakCount="3">
    <brk id="63" max="23" man="1"/>
    <brk id="137" max="14" man="1"/>
    <brk id="203" max="14" man="1"/>
  </rowBreaks>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sheetPr>
  <dimension ref="A1:IV289"/>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2"/>
      <c r="B1" s="3" t="s">
        <v>244</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245</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137</v>
      </c>
      <c r="C5" s="8"/>
      <c r="D5" s="8"/>
      <c r="E5" s="8"/>
      <c r="F5" s="8"/>
      <c r="G5" s="8"/>
      <c r="H5" s="8"/>
      <c r="I5" s="8"/>
      <c r="J5" s="8"/>
      <c r="K5" s="8"/>
      <c r="L5" s="8"/>
      <c r="M5" s="8"/>
      <c r="N5" s="8"/>
      <c r="O5" s="8"/>
      <c r="P5" s="8"/>
      <c r="Q5" s="8"/>
      <c r="R5" s="8"/>
      <c r="S5" s="8"/>
      <c r="T5" s="8"/>
      <c r="U5" s="8"/>
      <c r="V5" s="8"/>
      <c r="W5" s="8"/>
      <c r="X5" s="5"/>
    </row>
    <row r="6" spans="1:24" ht="15.6" x14ac:dyDescent="0.3">
      <c r="A6" s="6"/>
      <c r="B6" s="11" t="s">
        <v>139</v>
      </c>
      <c r="C6" s="8"/>
      <c r="D6" s="8"/>
      <c r="E6" s="8"/>
      <c r="F6" s="8"/>
      <c r="G6" s="8"/>
      <c r="H6" s="8"/>
      <c r="I6" s="8"/>
      <c r="J6" s="8"/>
      <c r="K6" s="8"/>
      <c r="L6" s="8"/>
      <c r="M6" s="8"/>
      <c r="N6" s="8"/>
      <c r="O6" s="8"/>
      <c r="P6" s="8"/>
      <c r="Q6" s="8"/>
      <c r="R6" s="8"/>
      <c r="S6" s="8"/>
      <c r="T6" s="8"/>
      <c r="U6" s="8"/>
      <c r="V6" s="8"/>
      <c r="W6" s="8"/>
      <c r="X6" s="5"/>
    </row>
    <row r="7" spans="1:24" ht="15.6" x14ac:dyDescent="0.3">
      <c r="A7" s="6"/>
      <c r="B7" s="11" t="s">
        <v>138</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5" t="s">
        <v>166</v>
      </c>
      <c r="C9" s="8"/>
      <c r="D9" s="8"/>
      <c r="E9" s="8"/>
      <c r="F9" s="8"/>
      <c r="G9" s="8"/>
      <c r="H9" s="8"/>
      <c r="I9" s="146" t="s">
        <v>167</v>
      </c>
      <c r="J9" s="8"/>
      <c r="K9" s="8"/>
      <c r="L9" s="146"/>
      <c r="M9" s="8"/>
      <c r="N9" s="146"/>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246</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104</v>
      </c>
      <c r="S15" s="135">
        <v>0.38300000000000001</v>
      </c>
      <c r="T15" s="17" t="s">
        <v>140</v>
      </c>
      <c r="U15" s="135">
        <v>0.61699999999999999</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104</v>
      </c>
      <c r="S16" s="135">
        <v>0.41410000000000002</v>
      </c>
      <c r="T16" s="17" t="s">
        <v>140</v>
      </c>
      <c r="U16" s="135">
        <v>0.58589999999999998</v>
      </c>
      <c r="V16" s="16"/>
      <c r="W16" s="15"/>
      <c r="X16" s="5"/>
    </row>
    <row r="17" spans="1:24" ht="15.6" x14ac:dyDescent="0.3">
      <c r="A17" s="6"/>
      <c r="B17" s="14" t="s">
        <v>4</v>
      </c>
      <c r="C17" s="15"/>
      <c r="D17" s="15"/>
      <c r="E17" s="15"/>
      <c r="F17" s="15"/>
      <c r="G17" s="15"/>
      <c r="H17" s="15"/>
      <c r="I17" s="15"/>
      <c r="J17" s="15"/>
      <c r="K17" s="15"/>
      <c r="L17" s="15"/>
      <c r="M17" s="15"/>
      <c r="N17" s="15"/>
      <c r="O17" s="15"/>
      <c r="P17" s="15"/>
      <c r="Q17" s="15"/>
      <c r="R17" s="15"/>
      <c r="S17" s="15"/>
      <c r="T17" s="15"/>
      <c r="U17" s="15"/>
      <c r="V17" s="19">
        <v>39163</v>
      </c>
      <c r="W17" s="15"/>
      <c r="X17" s="5"/>
    </row>
    <row r="18" spans="1:24" ht="15.6" x14ac:dyDescent="0.3">
      <c r="A18" s="6"/>
      <c r="B18" s="14" t="s">
        <v>5</v>
      </c>
      <c r="C18" s="15"/>
      <c r="D18" s="15"/>
      <c r="E18" s="15"/>
      <c r="F18" s="15"/>
      <c r="G18" s="15"/>
      <c r="H18" s="15"/>
      <c r="I18" s="15"/>
      <c r="J18" s="15"/>
      <c r="K18" s="15"/>
      <c r="L18" s="15"/>
      <c r="M18" s="15"/>
      <c r="N18" s="15"/>
      <c r="O18" s="15"/>
      <c r="P18" s="15"/>
      <c r="Q18" s="15"/>
      <c r="R18" s="15"/>
      <c r="S18" s="15"/>
      <c r="T18" s="15"/>
      <c r="U18" s="15"/>
      <c r="V18" s="19">
        <v>39622</v>
      </c>
      <c r="W18" s="15"/>
      <c r="X18" s="5"/>
    </row>
    <row r="19" spans="1:24"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4" ht="15.6" x14ac:dyDescent="0.3">
      <c r="A20" s="6"/>
      <c r="B20" s="21" t="s">
        <v>6</v>
      </c>
      <c r="C20" s="8"/>
      <c r="D20" s="8"/>
      <c r="E20" s="8"/>
      <c r="F20" s="8"/>
      <c r="G20" s="8"/>
      <c r="H20" s="8"/>
      <c r="I20" s="8"/>
      <c r="J20" s="8"/>
      <c r="K20" s="8"/>
      <c r="L20" s="8"/>
      <c r="M20" s="8"/>
      <c r="N20" s="8"/>
      <c r="O20" s="8"/>
      <c r="P20" s="8"/>
      <c r="Q20" s="8"/>
      <c r="R20" s="8"/>
      <c r="S20" s="8"/>
      <c r="T20" s="20" t="s">
        <v>105</v>
      </c>
      <c r="U20" s="8"/>
      <c r="V20" s="173"/>
      <c r="W20" s="8"/>
      <c r="X20" s="5"/>
    </row>
    <row r="21" spans="1:24"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4" ht="15.6" x14ac:dyDescent="0.3">
      <c r="A22" s="6"/>
      <c r="B22" s="8"/>
      <c r="C22" s="112"/>
      <c r="D22" s="112" t="s">
        <v>177</v>
      </c>
      <c r="E22" s="112"/>
      <c r="F22" s="112" t="s">
        <v>178</v>
      </c>
      <c r="G22" s="112"/>
      <c r="H22" s="112" t="s">
        <v>179</v>
      </c>
      <c r="I22" s="112"/>
      <c r="J22" s="112" t="s">
        <v>220</v>
      </c>
      <c r="K22" s="112"/>
      <c r="L22" s="112" t="s">
        <v>180</v>
      </c>
      <c r="M22" s="112"/>
      <c r="N22" s="112" t="s">
        <v>181</v>
      </c>
      <c r="O22" s="112"/>
      <c r="P22" s="112" t="s">
        <v>221</v>
      </c>
      <c r="Q22" s="112"/>
      <c r="R22" s="112" t="s">
        <v>182</v>
      </c>
      <c r="S22" s="113"/>
      <c r="T22" s="23"/>
      <c r="U22" s="173"/>
      <c r="V22" s="173"/>
      <c r="W22" s="8"/>
      <c r="X22" s="5"/>
    </row>
    <row r="23" spans="1:24" ht="15.6" x14ac:dyDescent="0.3">
      <c r="A23" s="24"/>
      <c r="B23" s="25" t="s">
        <v>7</v>
      </c>
      <c r="C23" s="26"/>
      <c r="D23" s="26" t="s">
        <v>213</v>
      </c>
      <c r="E23" s="26"/>
      <c r="F23" s="26" t="s">
        <v>141</v>
      </c>
      <c r="G23" s="26"/>
      <c r="H23" s="26" t="s">
        <v>141</v>
      </c>
      <c r="I23" s="26"/>
      <c r="J23" s="26" t="s">
        <v>141</v>
      </c>
      <c r="K23" s="26"/>
      <c r="L23" s="26" t="s">
        <v>183</v>
      </c>
      <c r="M23" s="26"/>
      <c r="N23" s="26" t="s">
        <v>183</v>
      </c>
      <c r="O23" s="26"/>
      <c r="P23" s="26" t="s">
        <v>142</v>
      </c>
      <c r="Q23" s="26"/>
      <c r="R23" s="26" t="s">
        <v>142</v>
      </c>
      <c r="S23" s="26"/>
      <c r="T23" s="26"/>
      <c r="U23" s="174"/>
      <c r="V23" s="174"/>
      <c r="W23" s="25"/>
      <c r="X23" s="5"/>
    </row>
    <row r="24" spans="1:24" ht="15.6" x14ac:dyDescent="0.3">
      <c r="A24" s="24"/>
      <c r="B24" s="25" t="s">
        <v>8</v>
      </c>
      <c r="C24" s="26"/>
      <c r="D24" s="26" t="s">
        <v>214</v>
      </c>
      <c r="E24" s="26"/>
      <c r="F24" s="26" t="s">
        <v>143</v>
      </c>
      <c r="G24" s="26"/>
      <c r="H24" s="26" t="s">
        <v>143</v>
      </c>
      <c r="I24" s="26"/>
      <c r="J24" s="26" t="s">
        <v>143</v>
      </c>
      <c r="K24" s="26"/>
      <c r="L24" s="26" t="s">
        <v>165</v>
      </c>
      <c r="M24" s="26"/>
      <c r="N24" s="26" t="s">
        <v>165</v>
      </c>
      <c r="O24" s="26"/>
      <c r="P24" s="26" t="s">
        <v>144</v>
      </c>
      <c r="Q24" s="26"/>
      <c r="R24" s="26" t="s">
        <v>144</v>
      </c>
      <c r="S24" s="26"/>
      <c r="T24" s="26"/>
      <c r="U24" s="174"/>
      <c r="V24" s="174"/>
      <c r="W24" s="25"/>
      <c r="X24" s="5"/>
    </row>
    <row r="25" spans="1:24" ht="15.6" x14ac:dyDescent="0.3">
      <c r="A25" s="28"/>
      <c r="B25" s="131" t="s">
        <v>190</v>
      </c>
      <c r="C25" s="123"/>
      <c r="D25" s="26" t="s">
        <v>215</v>
      </c>
      <c r="E25" s="26"/>
      <c r="F25" s="26" t="s">
        <v>143</v>
      </c>
      <c r="G25" s="26"/>
      <c r="H25" s="26" t="s">
        <v>143</v>
      </c>
      <c r="I25" s="26"/>
      <c r="J25" s="26" t="s">
        <v>143</v>
      </c>
      <c r="K25" s="26"/>
      <c r="L25" s="26" t="s">
        <v>293</v>
      </c>
      <c r="M25" s="26"/>
      <c r="N25" s="26" t="s">
        <v>293</v>
      </c>
      <c r="O25" s="26"/>
      <c r="P25" s="26" t="s">
        <v>144</v>
      </c>
      <c r="Q25" s="26"/>
      <c r="R25" s="26" t="s">
        <v>144</v>
      </c>
      <c r="S25" s="123"/>
      <c r="T25" s="26"/>
      <c r="U25" s="174"/>
      <c r="V25" s="174"/>
      <c r="W25" s="25"/>
      <c r="X25" s="5"/>
    </row>
    <row r="26" spans="1:24" ht="15.6" x14ac:dyDescent="0.3">
      <c r="A26" s="28"/>
      <c r="B26" s="29" t="s">
        <v>9</v>
      </c>
      <c r="C26" s="123"/>
      <c r="D26" s="123" t="s">
        <v>213</v>
      </c>
      <c r="E26" s="123"/>
      <c r="F26" s="123" t="s">
        <v>141</v>
      </c>
      <c r="G26" s="123"/>
      <c r="H26" s="123" t="s">
        <v>141</v>
      </c>
      <c r="I26" s="123"/>
      <c r="J26" s="123" t="s">
        <v>141</v>
      </c>
      <c r="K26" s="123"/>
      <c r="L26" s="123" t="s">
        <v>183</v>
      </c>
      <c r="M26" s="123"/>
      <c r="N26" s="123" t="s">
        <v>183</v>
      </c>
      <c r="O26" s="123"/>
      <c r="P26" s="123" t="s">
        <v>142</v>
      </c>
      <c r="Q26" s="123"/>
      <c r="R26" s="123" t="s">
        <v>142</v>
      </c>
      <c r="S26" s="123"/>
      <c r="T26" s="26"/>
      <c r="U26" s="174"/>
      <c r="V26" s="174"/>
      <c r="W26" s="25"/>
      <c r="X26" s="5"/>
    </row>
    <row r="27" spans="1:24" ht="15.6" x14ac:dyDescent="0.3">
      <c r="A27" s="24"/>
      <c r="B27" s="29" t="s">
        <v>191</v>
      </c>
      <c r="C27" s="26"/>
      <c r="D27" s="123" t="s">
        <v>214</v>
      </c>
      <c r="E27" s="123"/>
      <c r="F27" s="123" t="s">
        <v>143</v>
      </c>
      <c r="G27" s="123"/>
      <c r="H27" s="123" t="s">
        <v>143</v>
      </c>
      <c r="I27" s="123"/>
      <c r="J27" s="123" t="s">
        <v>143</v>
      </c>
      <c r="K27" s="123"/>
      <c r="L27" s="123" t="s">
        <v>165</v>
      </c>
      <c r="M27" s="123"/>
      <c r="N27" s="123" t="s">
        <v>165</v>
      </c>
      <c r="O27" s="123"/>
      <c r="P27" s="123" t="s">
        <v>144</v>
      </c>
      <c r="Q27" s="123"/>
      <c r="R27" s="123" t="s">
        <v>144</v>
      </c>
      <c r="S27" s="26"/>
      <c r="T27" s="30"/>
      <c r="U27" s="174"/>
      <c r="V27" s="174"/>
      <c r="W27" s="25"/>
      <c r="X27" s="5"/>
    </row>
    <row r="28" spans="1:24" ht="15.6" x14ac:dyDescent="0.3">
      <c r="A28" s="24"/>
      <c r="B28" s="151" t="s">
        <v>192</v>
      </c>
      <c r="C28" s="26"/>
      <c r="D28" s="123" t="s">
        <v>215</v>
      </c>
      <c r="E28" s="123"/>
      <c r="F28" s="123" t="s">
        <v>143</v>
      </c>
      <c r="G28" s="123"/>
      <c r="H28" s="123" t="s">
        <v>143</v>
      </c>
      <c r="I28" s="123"/>
      <c r="J28" s="123" t="s">
        <v>143</v>
      </c>
      <c r="K28" s="123"/>
      <c r="L28" s="123" t="s">
        <v>293</v>
      </c>
      <c r="M28" s="123"/>
      <c r="N28" s="123" t="s">
        <v>293</v>
      </c>
      <c r="O28" s="123"/>
      <c r="P28" s="123" t="s">
        <v>144</v>
      </c>
      <c r="Q28" s="123"/>
      <c r="R28" s="123" t="s">
        <v>144</v>
      </c>
      <c r="S28" s="26"/>
      <c r="T28" s="30"/>
      <c r="U28" s="174"/>
      <c r="V28" s="174"/>
      <c r="W28" s="25"/>
      <c r="X28" s="5"/>
    </row>
    <row r="29" spans="1:24" ht="15.6" x14ac:dyDescent="0.3">
      <c r="A29" s="24"/>
      <c r="B29" s="25" t="s">
        <v>10</v>
      </c>
      <c r="C29" s="32"/>
      <c r="D29" s="26" t="s">
        <v>249</v>
      </c>
      <c r="E29" s="26"/>
      <c r="F29" s="30" t="s">
        <v>250</v>
      </c>
      <c r="G29" s="26"/>
      <c r="H29" s="26" t="s">
        <v>251</v>
      </c>
      <c r="I29" s="26"/>
      <c r="J29" s="26" t="s">
        <v>253</v>
      </c>
      <c r="K29" s="26"/>
      <c r="L29" s="26" t="s">
        <v>254</v>
      </c>
      <c r="M29" s="26"/>
      <c r="N29" s="26" t="s">
        <v>255</v>
      </c>
      <c r="O29" s="26"/>
      <c r="P29" s="26" t="s">
        <v>256</v>
      </c>
      <c r="Q29" s="26"/>
      <c r="R29" s="26" t="s">
        <v>257</v>
      </c>
      <c r="S29" s="31"/>
      <c r="T29" s="31"/>
      <c r="U29" s="175"/>
      <c r="V29" s="31"/>
      <c r="W29" s="34"/>
      <c r="X29" s="5"/>
    </row>
    <row r="30" spans="1:24" ht="15.6" x14ac:dyDescent="0.3">
      <c r="A30" s="24"/>
      <c r="B30" s="25" t="s">
        <v>10</v>
      </c>
      <c r="C30" s="32"/>
      <c r="D30" s="26" t="s">
        <v>248</v>
      </c>
      <c r="E30" s="26"/>
      <c r="F30" s="30" t="s">
        <v>118</v>
      </c>
      <c r="G30" s="26"/>
      <c r="H30" s="26" t="s">
        <v>118</v>
      </c>
      <c r="I30" s="26"/>
      <c r="J30" s="26" t="s">
        <v>252</v>
      </c>
      <c r="K30" s="26"/>
      <c r="L30" s="26" t="s">
        <v>118</v>
      </c>
      <c r="M30" s="26"/>
      <c r="N30" s="26" t="s">
        <v>118</v>
      </c>
      <c r="O30" s="26"/>
      <c r="P30" s="26" t="s">
        <v>118</v>
      </c>
      <c r="Q30" s="26"/>
      <c r="R30" s="26" t="s">
        <v>118</v>
      </c>
      <c r="S30" s="31"/>
      <c r="T30" s="31"/>
      <c r="U30" s="175"/>
      <c r="V30" s="31"/>
      <c r="W30" s="34"/>
      <c r="X30" s="5"/>
    </row>
    <row r="31" spans="1:24" ht="15.6" x14ac:dyDescent="0.3">
      <c r="A31" s="28"/>
      <c r="B31" s="25" t="s">
        <v>133</v>
      </c>
      <c r="C31" s="36"/>
      <c r="D31" s="144">
        <v>1500000</v>
      </c>
      <c r="E31" s="32"/>
      <c r="F31" s="31">
        <v>125000</v>
      </c>
      <c r="G31" s="31"/>
      <c r="H31" s="124">
        <v>246000</v>
      </c>
      <c r="I31" s="124"/>
      <c r="J31" s="144">
        <v>400000</v>
      </c>
      <c r="K31" s="31"/>
      <c r="L31" s="31">
        <v>51900</v>
      </c>
      <c r="M31" s="31"/>
      <c r="N31" s="124">
        <v>88800</v>
      </c>
      <c r="O31" s="31"/>
      <c r="P31" s="31">
        <v>20000</v>
      </c>
      <c r="Q31" s="31"/>
      <c r="R31" s="124">
        <v>135500</v>
      </c>
      <c r="S31" s="35"/>
      <c r="T31" s="35"/>
      <c r="U31" s="37"/>
      <c r="V31" s="35"/>
      <c r="W31" s="34"/>
      <c r="X31" s="5"/>
    </row>
    <row r="32" spans="1:24" ht="15.6" x14ac:dyDescent="0.3">
      <c r="A32" s="24"/>
      <c r="B32" s="25" t="s">
        <v>132</v>
      </c>
      <c r="C32" s="32"/>
      <c r="D32" s="144">
        <f>D31*D38</f>
        <v>1394619.1500000001</v>
      </c>
      <c r="E32" s="32"/>
      <c r="F32" s="31">
        <f>F31*F38</f>
        <v>116218.27499999999</v>
      </c>
      <c r="G32" s="31"/>
      <c r="H32" s="124">
        <f>H31*H38</f>
        <v>228717.56519999998</v>
      </c>
      <c r="I32" s="124"/>
      <c r="J32" s="144">
        <f>J31*J38</f>
        <v>371898.44</v>
      </c>
      <c r="K32" s="31"/>
      <c r="L32" s="31">
        <f>+L31</f>
        <v>51900</v>
      </c>
      <c r="M32" s="31"/>
      <c r="N32" s="124">
        <f>+N31</f>
        <v>88800</v>
      </c>
      <c r="O32" s="31"/>
      <c r="P32" s="31">
        <f>+P31</f>
        <v>20000</v>
      </c>
      <c r="Q32" s="31"/>
      <c r="R32" s="124">
        <f>+R31</f>
        <v>135500</v>
      </c>
      <c r="S32" s="31"/>
      <c r="T32" s="31"/>
      <c r="U32" s="175"/>
      <c r="V32" s="31"/>
      <c r="W32" s="34"/>
      <c r="X32" s="5"/>
    </row>
    <row r="33" spans="1:24" ht="15.6" x14ac:dyDescent="0.3">
      <c r="A33" s="24"/>
      <c r="B33" s="29" t="s">
        <v>134</v>
      </c>
      <c r="C33" s="32"/>
      <c r="D33" s="149">
        <f>D37*D31</f>
        <v>1321147.8</v>
      </c>
      <c r="E33" s="36"/>
      <c r="F33" s="35">
        <f>F37*F31</f>
        <v>110095.675</v>
      </c>
      <c r="G33" s="35"/>
      <c r="H33" s="125">
        <f>H31*H37</f>
        <v>216668.28840000002</v>
      </c>
      <c r="I33" s="125"/>
      <c r="J33" s="149">
        <f>J37*J31</f>
        <v>352306.08</v>
      </c>
      <c r="K33" s="35"/>
      <c r="L33" s="35">
        <f>L31*L37</f>
        <v>51900</v>
      </c>
      <c r="M33" s="35"/>
      <c r="N33" s="125">
        <f>N31*N37</f>
        <v>88800</v>
      </c>
      <c r="O33" s="35"/>
      <c r="P33" s="35">
        <f>P31*P37</f>
        <v>20000</v>
      </c>
      <c r="Q33" s="35"/>
      <c r="R33" s="125">
        <f>R31*R37</f>
        <v>135500</v>
      </c>
      <c r="S33" s="31"/>
      <c r="T33" s="31"/>
      <c r="U33" s="175"/>
      <c r="V33" s="31"/>
      <c r="W33" s="34"/>
      <c r="X33" s="5"/>
    </row>
    <row r="34" spans="1:24" ht="15.6" x14ac:dyDescent="0.3">
      <c r="A34" s="28"/>
      <c r="B34" s="25" t="s">
        <v>296</v>
      </c>
      <c r="C34" s="36"/>
      <c r="D34" s="31">
        <v>775194</v>
      </c>
      <c r="E34" s="32"/>
      <c r="F34" s="31">
        <v>125000</v>
      </c>
      <c r="G34" s="31"/>
      <c r="H34" s="31">
        <v>168148</v>
      </c>
      <c r="I34" s="31"/>
      <c r="J34" s="31">
        <v>206718</v>
      </c>
      <c r="K34" s="31"/>
      <c r="L34" s="31">
        <v>51900</v>
      </c>
      <c r="M34" s="31"/>
      <c r="N34" s="31">
        <v>60697</v>
      </c>
      <c r="O34" s="31"/>
      <c r="P34" s="31">
        <v>20000</v>
      </c>
      <c r="Q34" s="31"/>
      <c r="R34" s="31">
        <v>92618</v>
      </c>
      <c r="S34" s="35"/>
      <c r="T34" s="35"/>
      <c r="U34" s="37"/>
      <c r="V34" s="152">
        <f>SUM(C34:R34)</f>
        <v>1500275</v>
      </c>
      <c r="W34" s="34"/>
      <c r="X34" s="5"/>
    </row>
    <row r="35" spans="1:24" ht="15.6" x14ac:dyDescent="0.3">
      <c r="A35" s="28"/>
      <c r="B35" s="25" t="s">
        <v>297</v>
      </c>
      <c r="C35" s="126"/>
      <c r="D35" s="31">
        <f>D34*D38</f>
        <v>720733.59824339999</v>
      </c>
      <c r="E35" s="32"/>
      <c r="F35" s="31">
        <f>F34*F38</f>
        <v>116218.27499999999</v>
      </c>
      <c r="G35" s="31"/>
      <c r="H35" s="31">
        <f>H34*H38</f>
        <v>156334.9640376</v>
      </c>
      <c r="I35" s="31"/>
      <c r="J35" s="31">
        <f>J34*J38</f>
        <v>192195.2542998</v>
      </c>
      <c r="K35" s="31"/>
      <c r="L35" s="31">
        <f>+L34</f>
        <v>51900</v>
      </c>
      <c r="M35" s="31"/>
      <c r="N35" s="31">
        <f>+N34</f>
        <v>60697</v>
      </c>
      <c r="O35" s="31"/>
      <c r="P35" s="31">
        <f>+P34</f>
        <v>20000</v>
      </c>
      <c r="Q35" s="31"/>
      <c r="R35" s="31">
        <f>+R34</f>
        <v>92618</v>
      </c>
      <c r="S35" s="31"/>
      <c r="T35" s="31"/>
      <c r="U35" s="175"/>
      <c r="V35" s="152">
        <f>SUM(C35:R35)</f>
        <v>1410697.0915808</v>
      </c>
      <c r="W35" s="34"/>
      <c r="X35" s="5"/>
    </row>
    <row r="36" spans="1:24" ht="15.6" x14ac:dyDescent="0.3">
      <c r="A36" s="28"/>
      <c r="B36" s="29" t="s">
        <v>298</v>
      </c>
      <c r="C36" s="126"/>
      <c r="D36" s="35">
        <f>D34*D37</f>
        <v>682763.89844879997</v>
      </c>
      <c r="E36" s="36"/>
      <c r="F36" s="35">
        <f>F34*F37</f>
        <v>110095.675</v>
      </c>
      <c r="G36" s="35"/>
      <c r="H36" s="35">
        <f>H34*H37</f>
        <v>148098.94047920001</v>
      </c>
      <c r="I36" s="35"/>
      <c r="J36" s="35">
        <f>J34*J37</f>
        <v>182070.02061360001</v>
      </c>
      <c r="K36" s="35"/>
      <c r="L36" s="35">
        <f>L34*L37</f>
        <v>51900</v>
      </c>
      <c r="M36" s="35"/>
      <c r="N36" s="35">
        <f>N34*N37</f>
        <v>60697</v>
      </c>
      <c r="O36" s="35"/>
      <c r="P36" s="35">
        <f>P34*P37</f>
        <v>20000</v>
      </c>
      <c r="Q36" s="35"/>
      <c r="R36" s="35">
        <f>R34*R37</f>
        <v>92618</v>
      </c>
      <c r="S36" s="128"/>
      <c r="T36" s="128"/>
      <c r="U36" s="175"/>
      <c r="V36" s="153">
        <f>SUM(C36:R36)-1</f>
        <v>1348242.5345415999</v>
      </c>
      <c r="W36" s="34"/>
      <c r="X36" s="5"/>
    </row>
    <row r="37" spans="1:24" ht="15.6" x14ac:dyDescent="0.3">
      <c r="A37" s="24"/>
      <c r="B37" s="122" t="s">
        <v>130</v>
      </c>
      <c r="C37" s="25"/>
      <c r="D37" s="171">
        <v>0.88076520000000003</v>
      </c>
      <c r="E37" s="171"/>
      <c r="F37" s="171">
        <v>0.88076540000000003</v>
      </c>
      <c r="G37" s="171"/>
      <c r="H37" s="171">
        <v>0.88076540000000003</v>
      </c>
      <c r="I37" s="171"/>
      <c r="J37" s="171">
        <v>0.88076520000000003</v>
      </c>
      <c r="K37" s="171"/>
      <c r="L37" s="171">
        <v>1</v>
      </c>
      <c r="M37" s="171"/>
      <c r="N37" s="171">
        <v>1</v>
      </c>
      <c r="O37" s="171"/>
      <c r="P37" s="171">
        <v>1</v>
      </c>
      <c r="Q37" s="171"/>
      <c r="R37" s="171">
        <v>1</v>
      </c>
      <c r="S37" s="30"/>
      <c r="T37" s="30"/>
      <c r="U37" s="174"/>
      <c r="V37" s="174"/>
      <c r="W37" s="25"/>
      <c r="X37" s="5"/>
    </row>
    <row r="38" spans="1:24" ht="15.6" x14ac:dyDescent="0.3">
      <c r="A38" s="24"/>
      <c r="B38" s="122" t="s">
        <v>131</v>
      </c>
      <c r="C38" s="25"/>
      <c r="D38" s="171">
        <v>0.92974610000000002</v>
      </c>
      <c r="E38" s="171"/>
      <c r="F38" s="171">
        <v>0.92974619999999997</v>
      </c>
      <c r="G38" s="171"/>
      <c r="H38" s="171">
        <v>0.92974619999999997</v>
      </c>
      <c r="I38" s="171"/>
      <c r="J38" s="171">
        <v>0.92974610000000002</v>
      </c>
      <c r="K38" s="171"/>
      <c r="L38" s="171">
        <v>1</v>
      </c>
      <c r="M38" s="171"/>
      <c r="N38" s="171">
        <v>1</v>
      </c>
      <c r="O38" s="171"/>
      <c r="P38" s="171">
        <v>1</v>
      </c>
      <c r="Q38" s="171"/>
      <c r="R38" s="171">
        <v>1</v>
      </c>
      <c r="S38" s="39"/>
      <c r="T38" s="38"/>
      <c r="U38" s="174"/>
      <c r="V38" s="39"/>
      <c r="W38" s="25"/>
      <c r="X38" s="5"/>
    </row>
    <row r="39" spans="1:24" ht="15.6" x14ac:dyDescent="0.3">
      <c r="A39" s="24"/>
      <c r="B39" s="25" t="s">
        <v>11</v>
      </c>
      <c r="C39" s="25"/>
      <c r="D39" s="30" t="s">
        <v>285</v>
      </c>
      <c r="E39" s="25"/>
      <c r="F39" s="30" t="s">
        <v>258</v>
      </c>
      <c r="G39" s="30"/>
      <c r="H39" s="30" t="s">
        <v>258</v>
      </c>
      <c r="I39" s="30"/>
      <c r="J39" s="30" t="s">
        <v>258</v>
      </c>
      <c r="K39" s="30"/>
      <c r="L39" s="30" t="s">
        <v>232</v>
      </c>
      <c r="M39" s="30"/>
      <c r="N39" s="30" t="s">
        <v>232</v>
      </c>
      <c r="O39" s="30"/>
      <c r="P39" s="30" t="s">
        <v>233</v>
      </c>
      <c r="Q39" s="30"/>
      <c r="R39" s="30" t="s">
        <v>233</v>
      </c>
      <c r="S39" s="39"/>
      <c r="T39" s="38"/>
      <c r="U39" s="174"/>
      <c r="V39" s="174"/>
      <c r="W39" s="25"/>
      <c r="X39" s="5"/>
    </row>
    <row r="40" spans="1:24" ht="15.6" x14ac:dyDescent="0.3">
      <c r="A40" s="24"/>
      <c r="B40" s="25" t="s">
        <v>12</v>
      </c>
      <c r="C40" s="25"/>
      <c r="D40" s="38">
        <v>2.6143799999999998E-2</v>
      </c>
      <c r="E40" s="25"/>
      <c r="F40" s="38">
        <v>6.0587500000000002E-2</v>
      </c>
      <c r="G40" s="39"/>
      <c r="H40" s="38">
        <v>4.7059999999999998E-2</v>
      </c>
      <c r="I40" s="38"/>
      <c r="J40" s="38">
        <v>2.9000000000000001E-2</v>
      </c>
      <c r="K40" s="39"/>
      <c r="L40" s="38">
        <v>6.1387499999999998E-2</v>
      </c>
      <c r="M40" s="39"/>
      <c r="N40" s="38">
        <v>4.786E-2</v>
      </c>
      <c r="O40" s="39"/>
      <c r="P40" s="38">
        <v>6.3387499999999999E-2</v>
      </c>
      <c r="Q40" s="39"/>
      <c r="R40" s="38">
        <v>4.9860000000000002E-2</v>
      </c>
      <c r="S40" s="39"/>
      <c r="T40" s="38"/>
      <c r="U40" s="174"/>
      <c r="V40" s="30"/>
      <c r="W40" s="25"/>
      <c r="X40" s="5"/>
    </row>
    <row r="41" spans="1:24" ht="15.6" x14ac:dyDescent="0.3">
      <c r="A41" s="24"/>
      <c r="B41" s="25" t="s">
        <v>13</v>
      </c>
      <c r="C41" s="25"/>
      <c r="D41" s="38">
        <v>3.2212499999999998E-2</v>
      </c>
      <c r="E41" s="25"/>
      <c r="F41" s="38">
        <v>6.5312499999999996E-2</v>
      </c>
      <c r="G41" s="39"/>
      <c r="H41" s="38">
        <v>5.0479999999999997E-2</v>
      </c>
      <c r="I41" s="38"/>
      <c r="J41" s="38">
        <v>5.0906300000000002E-2</v>
      </c>
      <c r="K41" s="39"/>
      <c r="L41" s="38">
        <v>6.6112500000000005E-2</v>
      </c>
      <c r="M41" s="39"/>
      <c r="N41" s="38">
        <v>5.1279999999999999E-2</v>
      </c>
      <c r="O41" s="39"/>
      <c r="P41" s="38">
        <v>6.8112500000000006E-2</v>
      </c>
      <c r="Q41" s="39"/>
      <c r="R41" s="38">
        <v>5.3280000000000001E-2</v>
      </c>
      <c r="S41" s="39"/>
      <c r="T41" s="38"/>
      <c r="U41" s="174"/>
      <c r="V41" s="39" t="s">
        <v>193</v>
      </c>
      <c r="W41" s="25"/>
      <c r="X41" s="5"/>
    </row>
    <row r="42" spans="1:24" ht="15.6" x14ac:dyDescent="0.3">
      <c r="A42" s="24"/>
      <c r="B42" s="25" t="s">
        <v>299</v>
      </c>
      <c r="C42" s="25"/>
      <c r="D42" s="30" t="s">
        <v>286</v>
      </c>
      <c r="E42" s="25"/>
      <c r="F42" s="30" t="s">
        <v>258</v>
      </c>
      <c r="G42" s="30"/>
      <c r="H42" s="30" t="s">
        <v>259</v>
      </c>
      <c r="I42" s="30"/>
      <c r="J42" s="30" t="s">
        <v>260</v>
      </c>
      <c r="K42" s="30"/>
      <c r="L42" s="30" t="s">
        <v>232</v>
      </c>
      <c r="M42" s="30"/>
      <c r="N42" s="30" t="s">
        <v>235</v>
      </c>
      <c r="O42" s="30"/>
      <c r="P42" s="30" t="s">
        <v>233</v>
      </c>
      <c r="Q42" s="30"/>
      <c r="R42" s="30" t="s">
        <v>261</v>
      </c>
      <c r="S42" s="39"/>
      <c r="T42" s="38"/>
      <c r="U42" s="174"/>
      <c r="V42" s="174"/>
      <c r="W42" s="25"/>
      <c r="X42" s="5"/>
    </row>
    <row r="43" spans="1:24" ht="15.6" x14ac:dyDescent="0.3">
      <c r="A43" s="24"/>
      <c r="B43" s="25" t="s">
        <v>300</v>
      </c>
      <c r="C43" s="110"/>
      <c r="D43" s="38">
        <v>6.0926500000000001E-2</v>
      </c>
      <c r="E43" s="38"/>
      <c r="F43" s="38">
        <f>+F40</f>
        <v>6.0587500000000002E-2</v>
      </c>
      <c r="G43" s="38"/>
      <c r="H43" s="38">
        <v>6.0727499999999997E-2</v>
      </c>
      <c r="I43" s="38"/>
      <c r="J43" s="38">
        <v>6.0950499999999998E-2</v>
      </c>
      <c r="K43" s="38"/>
      <c r="L43" s="38">
        <f>+L40</f>
        <v>6.1387499999999998E-2</v>
      </c>
      <c r="M43" s="38"/>
      <c r="N43" s="38">
        <v>6.1683500000000002E-2</v>
      </c>
      <c r="O43" s="38"/>
      <c r="P43" s="38">
        <f>+P40</f>
        <v>6.3387499999999999E-2</v>
      </c>
      <c r="Q43" s="39"/>
      <c r="R43" s="38">
        <v>6.3920500000000005E-2</v>
      </c>
      <c r="S43" s="30"/>
      <c r="T43" s="30"/>
      <c r="U43" s="174"/>
      <c r="V43" s="39">
        <f>SUMPRODUCT(D43:R43,D35:R35)/V35</f>
        <v>6.1160778397543414E-2</v>
      </c>
      <c r="W43" s="25"/>
      <c r="X43" s="5"/>
    </row>
    <row r="44" spans="1:24" ht="15.6" x14ac:dyDescent="0.3">
      <c r="A44" s="24"/>
      <c r="B44" s="25" t="s">
        <v>301</v>
      </c>
      <c r="C44" s="110"/>
      <c r="D44" s="38">
        <v>6.5651500000000002E-2</v>
      </c>
      <c r="E44" s="38"/>
      <c r="F44" s="38">
        <f>+F41</f>
        <v>6.5312499999999996E-2</v>
      </c>
      <c r="G44" s="38"/>
      <c r="H44" s="38">
        <v>6.5452499999999997E-2</v>
      </c>
      <c r="I44" s="38"/>
      <c r="J44" s="38">
        <v>6.5675499999999998E-2</v>
      </c>
      <c r="K44" s="38"/>
      <c r="L44" s="38">
        <f>+L41</f>
        <v>6.6112500000000005E-2</v>
      </c>
      <c r="M44" s="38"/>
      <c r="N44" s="38">
        <v>6.6408499999999995E-2</v>
      </c>
      <c r="O44" s="38"/>
      <c r="P44" s="38">
        <f>+P41</f>
        <v>6.8112500000000006E-2</v>
      </c>
      <c r="Q44" s="39"/>
      <c r="R44" s="38">
        <v>6.8645499999999998E-2</v>
      </c>
      <c r="S44" s="30"/>
      <c r="T44" s="30"/>
      <c r="U44" s="174"/>
      <c r="V44" s="174"/>
      <c r="W44" s="25"/>
      <c r="X44" s="5"/>
    </row>
    <row r="45" spans="1:24" ht="15.6" x14ac:dyDescent="0.3">
      <c r="A45" s="24"/>
      <c r="B45" s="25" t="s">
        <v>14</v>
      </c>
      <c r="C45" s="25"/>
      <c r="D45" s="110">
        <v>40617</v>
      </c>
      <c r="E45" s="110"/>
      <c r="F45" s="110">
        <v>40617</v>
      </c>
      <c r="G45" s="110"/>
      <c r="H45" s="110">
        <v>40617</v>
      </c>
      <c r="I45" s="110"/>
      <c r="J45" s="110">
        <v>40617</v>
      </c>
      <c r="K45" s="110"/>
      <c r="L45" s="110">
        <v>40617</v>
      </c>
      <c r="M45" s="110"/>
      <c r="N45" s="110">
        <v>40617</v>
      </c>
      <c r="O45" s="110"/>
      <c r="P45" s="110">
        <v>40617</v>
      </c>
      <c r="Q45" s="110"/>
      <c r="R45" s="110">
        <v>40617</v>
      </c>
      <c r="S45" s="30"/>
      <c r="T45" s="30"/>
      <c r="U45" s="174"/>
      <c r="V45" s="174"/>
      <c r="W45" s="25"/>
      <c r="X45" s="5"/>
    </row>
    <row r="46" spans="1:24" ht="15.6" x14ac:dyDescent="0.3">
      <c r="A46" s="24"/>
      <c r="B46" s="25" t="s">
        <v>15</v>
      </c>
      <c r="C46" s="25"/>
      <c r="D46" s="110" t="s">
        <v>118</v>
      </c>
      <c r="E46" s="110"/>
      <c r="F46" s="110">
        <v>40983</v>
      </c>
      <c r="G46" s="110"/>
      <c r="H46" s="110">
        <v>40983</v>
      </c>
      <c r="I46" s="110"/>
      <c r="J46" s="110">
        <v>40983</v>
      </c>
      <c r="K46" s="30"/>
      <c r="L46" s="110">
        <v>40983</v>
      </c>
      <c r="M46" s="30"/>
      <c r="N46" s="110">
        <v>40983</v>
      </c>
      <c r="O46" s="30"/>
      <c r="P46" s="110">
        <v>40983</v>
      </c>
      <c r="Q46" s="30"/>
      <c r="R46" s="110">
        <v>40983</v>
      </c>
      <c r="S46" s="30"/>
      <c r="T46" s="30"/>
      <c r="U46" s="174"/>
      <c r="V46" s="174"/>
      <c r="W46" s="25"/>
      <c r="X46" s="5"/>
    </row>
    <row r="47" spans="1:24" ht="15.6" x14ac:dyDescent="0.3">
      <c r="A47" s="24"/>
      <c r="B47" s="25" t="s">
        <v>119</v>
      </c>
      <c r="C47" s="25"/>
      <c r="D47" s="158" t="s">
        <v>118</v>
      </c>
      <c r="E47" s="25"/>
      <c r="F47" s="30" t="s">
        <v>231</v>
      </c>
      <c r="G47" s="30"/>
      <c r="H47" s="30" t="s">
        <v>231</v>
      </c>
      <c r="I47" s="30"/>
      <c r="J47" s="30" t="s">
        <v>231</v>
      </c>
      <c r="K47" s="30"/>
      <c r="L47" s="30" t="s">
        <v>265</v>
      </c>
      <c r="M47" s="30"/>
      <c r="N47" s="30" t="s">
        <v>265</v>
      </c>
      <c r="O47" s="30"/>
      <c r="P47" s="30" t="s">
        <v>266</v>
      </c>
      <c r="Q47" s="30"/>
      <c r="R47" s="30" t="s">
        <v>266</v>
      </c>
      <c r="S47" s="40"/>
      <c r="T47" s="40"/>
      <c r="U47" s="40"/>
      <c r="V47" s="40"/>
      <c r="W47" s="25"/>
      <c r="X47" s="5"/>
    </row>
    <row r="48" spans="1:24" ht="15.6" x14ac:dyDescent="0.3">
      <c r="A48" s="24"/>
      <c r="B48" s="25" t="s">
        <v>302</v>
      </c>
      <c r="C48" s="25"/>
      <c r="D48" s="30" t="s">
        <v>200</v>
      </c>
      <c r="E48" s="25"/>
      <c r="F48" s="30" t="s">
        <v>231</v>
      </c>
      <c r="G48" s="30"/>
      <c r="H48" s="30" t="s">
        <v>262</v>
      </c>
      <c r="I48" s="30"/>
      <c r="J48" s="30" t="s">
        <v>263</v>
      </c>
      <c r="K48" s="30"/>
      <c r="L48" s="30" t="s">
        <v>265</v>
      </c>
      <c r="M48" s="30"/>
      <c r="N48" s="30" t="s">
        <v>234</v>
      </c>
      <c r="O48" s="30"/>
      <c r="P48" s="30" t="s">
        <v>266</v>
      </c>
      <c r="Q48" s="30"/>
      <c r="R48" s="30" t="s">
        <v>264</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193</v>
      </c>
      <c r="W49" s="25"/>
      <c r="X49" s="5"/>
    </row>
    <row r="50" spans="1:25" ht="15.6" x14ac:dyDescent="0.3">
      <c r="A50" s="24"/>
      <c r="B50" s="25" t="s">
        <v>169</v>
      </c>
      <c r="C50" s="25"/>
      <c r="D50" s="30"/>
      <c r="E50" s="25"/>
      <c r="F50" s="30"/>
      <c r="G50" s="30"/>
      <c r="H50" s="30"/>
      <c r="I50" s="30"/>
      <c r="J50" s="30"/>
      <c r="K50" s="30"/>
      <c r="L50" s="30"/>
      <c r="M50" s="30"/>
      <c r="N50" s="30"/>
      <c r="O50" s="30"/>
      <c r="P50" s="30"/>
      <c r="Q50" s="30"/>
      <c r="R50" s="30"/>
      <c r="S50" s="25"/>
      <c r="T50" s="25"/>
      <c r="U50" s="25"/>
      <c r="V50" s="39">
        <f>SUM(L34:R34)/SUM(D34:J34)</f>
        <v>0.17663090364375009</v>
      </c>
      <c r="W50" s="25"/>
      <c r="X50" s="5"/>
    </row>
    <row r="51" spans="1:25" ht="15.6" x14ac:dyDescent="0.3">
      <c r="A51" s="24"/>
      <c r="B51" s="25" t="s">
        <v>170</v>
      </c>
      <c r="C51" s="25"/>
      <c r="D51" s="25"/>
      <c r="E51" s="25"/>
      <c r="F51" s="41"/>
      <c r="G51" s="25"/>
      <c r="H51" s="25"/>
      <c r="I51" s="25"/>
      <c r="J51" s="25"/>
      <c r="K51" s="25"/>
      <c r="L51" s="25"/>
      <c r="M51" s="25"/>
      <c r="N51" s="25"/>
      <c r="O51" s="25"/>
      <c r="P51" s="25"/>
      <c r="Q51" s="25"/>
      <c r="R51" s="25"/>
      <c r="S51" s="25"/>
      <c r="T51" s="25"/>
      <c r="U51" s="25"/>
      <c r="V51" s="39">
        <f>SUM(L36:R36)/SUM(D36:J36)</f>
        <v>0.20054254462192159</v>
      </c>
      <c r="W51" s="25"/>
      <c r="X51" s="5"/>
    </row>
    <row r="52" spans="1:25" ht="15.6" x14ac:dyDescent="0.3">
      <c r="A52" s="24"/>
      <c r="B52" s="25" t="s">
        <v>171</v>
      </c>
      <c r="C52" s="25"/>
      <c r="D52" s="25"/>
      <c r="E52" s="25"/>
      <c r="F52" s="25"/>
      <c r="G52" s="25"/>
      <c r="H52" s="25"/>
      <c r="I52" s="25"/>
      <c r="J52" s="25"/>
      <c r="K52" s="25"/>
      <c r="L52" s="25"/>
      <c r="M52" s="25"/>
      <c r="N52" s="25"/>
      <c r="O52" s="25"/>
      <c r="P52" s="25"/>
      <c r="Q52" s="25"/>
      <c r="R52" s="25"/>
      <c r="S52" s="25"/>
      <c r="T52" s="30"/>
      <c r="U52" s="30"/>
      <c r="V52" s="31" t="s">
        <v>276</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202</v>
      </c>
      <c r="C54" s="25"/>
      <c r="D54" s="25"/>
      <c r="E54" s="25"/>
      <c r="F54" s="25"/>
      <c r="G54" s="25"/>
      <c r="H54" s="25"/>
      <c r="I54" s="25"/>
      <c r="J54" s="25"/>
      <c r="K54" s="25"/>
      <c r="L54" s="25"/>
      <c r="M54" s="25"/>
      <c r="N54" s="25"/>
      <c r="O54" s="25"/>
      <c r="P54" s="25"/>
      <c r="Q54" s="25"/>
      <c r="R54" s="25"/>
      <c r="S54" s="25"/>
      <c r="T54" s="25"/>
      <c r="U54" s="25"/>
      <c r="V54" s="154" t="s">
        <v>203</v>
      </c>
      <c r="W54" s="25"/>
      <c r="X54" s="5"/>
    </row>
    <row r="55" spans="1:25" ht="15.6" x14ac:dyDescent="0.3">
      <c r="A55" s="24"/>
      <c r="B55" s="25" t="s">
        <v>280</v>
      </c>
      <c r="C55" s="25"/>
      <c r="D55" s="25"/>
      <c r="E55" s="25"/>
      <c r="F55" s="25"/>
      <c r="G55" s="25"/>
      <c r="H55" s="25"/>
      <c r="I55" s="25"/>
      <c r="J55" s="25"/>
      <c r="K55" s="25"/>
      <c r="L55" s="25"/>
      <c r="M55" s="25"/>
      <c r="N55" s="25"/>
      <c r="O55" s="25"/>
      <c r="P55" s="25"/>
      <c r="Q55" s="25"/>
      <c r="R55" s="25"/>
      <c r="S55" s="25"/>
      <c r="T55" s="30"/>
      <c r="U55" s="30"/>
      <c r="V55" s="155" t="s">
        <v>111</v>
      </c>
      <c r="W55" s="25"/>
      <c r="X55" s="5"/>
    </row>
    <row r="56" spans="1:25" ht="15.6" x14ac:dyDescent="0.3">
      <c r="A56" s="24"/>
      <c r="B56" s="29" t="s">
        <v>201</v>
      </c>
      <c r="C56" s="29"/>
      <c r="D56" s="29"/>
      <c r="E56" s="29"/>
      <c r="F56" s="29"/>
      <c r="G56" s="29"/>
      <c r="H56" s="29"/>
      <c r="I56" s="29"/>
      <c r="J56" s="29"/>
      <c r="K56" s="29"/>
      <c r="L56" s="29"/>
      <c r="M56" s="29"/>
      <c r="N56" s="29"/>
      <c r="O56" s="29"/>
      <c r="P56" s="29"/>
      <c r="Q56" s="29"/>
      <c r="R56" s="29"/>
      <c r="S56" s="29"/>
      <c r="T56" s="43"/>
      <c r="U56" s="43"/>
      <c r="V56" s="44">
        <v>39615</v>
      </c>
      <c r="W56" s="25"/>
      <c r="X56" s="5"/>
    </row>
    <row r="57" spans="1:25" ht="15.6" x14ac:dyDescent="0.3">
      <c r="A57" s="24"/>
      <c r="B57" s="25" t="s">
        <v>121</v>
      </c>
      <c r="C57" s="25"/>
      <c r="D57" s="25"/>
      <c r="E57" s="25"/>
      <c r="F57" s="25"/>
      <c r="G57" s="25"/>
      <c r="H57" s="58"/>
      <c r="I57" s="58"/>
      <c r="J57" s="58"/>
      <c r="K57" s="58"/>
      <c r="L57" s="58"/>
      <c r="M57" s="58"/>
      <c r="N57" s="58"/>
      <c r="O57" s="58"/>
      <c r="P57" s="58"/>
      <c r="Q57" s="58"/>
      <c r="R57" s="25">
        <f>+V57-T57+1</f>
        <v>91</v>
      </c>
      <c r="S57" s="58"/>
      <c r="T57" s="45">
        <v>39433</v>
      </c>
      <c r="U57" s="46"/>
      <c r="V57" s="45">
        <v>39523</v>
      </c>
      <c r="W57" s="25"/>
      <c r="X57" s="5"/>
    </row>
    <row r="58" spans="1:25" ht="15.6" x14ac:dyDescent="0.3">
      <c r="A58" s="24"/>
      <c r="B58" s="25" t="s">
        <v>122</v>
      </c>
      <c r="C58" s="25"/>
      <c r="D58" s="25"/>
      <c r="E58" s="25"/>
      <c r="F58" s="25"/>
      <c r="G58" s="25"/>
      <c r="H58" s="25"/>
      <c r="I58" s="25"/>
      <c r="J58" s="25"/>
      <c r="K58" s="25"/>
      <c r="L58" s="25"/>
      <c r="M58" s="25"/>
      <c r="N58" s="25"/>
      <c r="O58" s="25"/>
      <c r="P58" s="25"/>
      <c r="Q58" s="25"/>
      <c r="R58" s="25">
        <f>+V58-T58+1</f>
        <v>91</v>
      </c>
      <c r="S58" s="25"/>
      <c r="T58" s="45">
        <v>39524</v>
      </c>
      <c r="U58" s="46"/>
      <c r="V58" s="45">
        <v>39614</v>
      </c>
      <c r="W58" s="25"/>
      <c r="X58" s="5"/>
    </row>
    <row r="59" spans="1:25" ht="15.6" x14ac:dyDescent="0.3">
      <c r="A59" s="24"/>
      <c r="B59" s="25" t="s">
        <v>229</v>
      </c>
      <c r="C59" s="25"/>
      <c r="D59" s="25"/>
      <c r="E59" s="25"/>
      <c r="F59" s="25"/>
      <c r="G59" s="25"/>
      <c r="H59" s="25"/>
      <c r="I59" s="25"/>
      <c r="J59" s="25"/>
      <c r="K59" s="25"/>
      <c r="L59" s="25"/>
      <c r="M59" s="25"/>
      <c r="N59" s="25"/>
      <c r="O59" s="25"/>
      <c r="P59" s="25"/>
      <c r="Q59" s="25"/>
      <c r="R59" s="25"/>
      <c r="S59" s="25"/>
      <c r="T59" s="45"/>
      <c r="U59" s="46"/>
      <c r="V59" s="45" t="s">
        <v>120</v>
      </c>
      <c r="W59" s="25"/>
      <c r="X59" s="5"/>
    </row>
    <row r="60" spans="1:25" ht="15.6" x14ac:dyDescent="0.3">
      <c r="A60" s="24"/>
      <c r="B60" s="25" t="s">
        <v>228</v>
      </c>
      <c r="C60" s="25"/>
      <c r="D60" s="25"/>
      <c r="E60" s="25"/>
      <c r="F60" s="25"/>
      <c r="G60" s="25"/>
      <c r="H60" s="25"/>
      <c r="I60" s="25"/>
      <c r="J60" s="25"/>
      <c r="K60" s="25"/>
      <c r="L60" s="25"/>
      <c r="M60" s="25"/>
      <c r="N60" s="25"/>
      <c r="O60" s="25"/>
      <c r="P60" s="25"/>
      <c r="Q60" s="25"/>
      <c r="R60" s="25"/>
      <c r="S60" s="25"/>
      <c r="T60" s="45"/>
      <c r="U60" s="46"/>
      <c r="V60" s="45" t="s">
        <v>154</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39601</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287</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94</v>
      </c>
      <c r="M68" s="115"/>
      <c r="N68" s="115" t="s">
        <v>96</v>
      </c>
      <c r="O68" s="115"/>
      <c r="P68" s="115" t="s">
        <v>98</v>
      </c>
      <c r="Q68" s="115"/>
      <c r="R68" s="115" t="s">
        <v>100</v>
      </c>
      <c r="S68" s="115"/>
      <c r="T68" s="115" t="s">
        <v>106</v>
      </c>
      <c r="U68" s="115"/>
      <c r="V68" s="116" t="s">
        <v>112</v>
      </c>
      <c r="W68" s="117"/>
      <c r="X68" s="5"/>
    </row>
    <row r="69" spans="1:24" ht="15.6" x14ac:dyDescent="0.3">
      <c r="A69" s="24"/>
      <c r="B69" s="25" t="s">
        <v>19</v>
      </c>
      <c r="C69" s="34"/>
      <c r="D69" s="34"/>
      <c r="E69" s="34"/>
      <c r="F69" s="34"/>
      <c r="G69" s="34"/>
      <c r="H69" s="34"/>
      <c r="I69" s="34"/>
      <c r="J69" s="34"/>
      <c r="K69" s="34"/>
      <c r="L69" s="34">
        <v>1158015</v>
      </c>
      <c r="M69" s="34"/>
      <c r="N69" s="53">
        <v>1410697</v>
      </c>
      <c r="O69" s="34"/>
      <c r="P69" s="34">
        <f>62454+2899+976</f>
        <v>66329</v>
      </c>
      <c r="Q69" s="34"/>
      <c r="R69" s="34">
        <f>2899+976</f>
        <v>3875</v>
      </c>
      <c r="S69" s="34"/>
      <c r="T69" s="34">
        <v>0</v>
      </c>
      <c r="U69" s="34"/>
      <c r="V69" s="53">
        <f>+N69-P69+R69-T69</f>
        <v>1348243</v>
      </c>
      <c r="W69" s="25"/>
      <c r="X69" s="5"/>
    </row>
    <row r="70" spans="1:24" ht="15.6" x14ac:dyDescent="0.3">
      <c r="A70" s="24"/>
      <c r="B70" s="25" t="s">
        <v>20</v>
      </c>
      <c r="C70" s="34"/>
      <c r="D70" s="34"/>
      <c r="E70" s="34"/>
      <c r="F70" s="34"/>
      <c r="G70" s="34"/>
      <c r="H70" s="34"/>
      <c r="I70" s="34"/>
      <c r="J70" s="34"/>
      <c r="K70" s="34"/>
      <c r="L70" s="34">
        <v>15</v>
      </c>
      <c r="M70" s="34"/>
      <c r="N70" s="53">
        <v>0</v>
      </c>
      <c r="O70" s="34"/>
      <c r="P70" s="34">
        <v>0</v>
      </c>
      <c r="Q70" s="34"/>
      <c r="R70" s="34">
        <v>0</v>
      </c>
      <c r="S70" s="34"/>
      <c r="T70" s="34">
        <v>0</v>
      </c>
      <c r="U70" s="34"/>
      <c r="V70" s="53">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1158030</v>
      </c>
      <c r="M72" s="34"/>
      <c r="N72" s="54">
        <f>N69+N70</f>
        <v>1410697</v>
      </c>
      <c r="O72" s="34"/>
      <c r="P72" s="34">
        <f>SUM(P69:P71)</f>
        <v>66329</v>
      </c>
      <c r="Q72" s="34"/>
      <c r="R72" s="34">
        <f>SUM(R69:R71)</f>
        <v>3875</v>
      </c>
      <c r="S72" s="34"/>
      <c r="T72" s="34">
        <f>SUM(T69:T71)</f>
        <v>0</v>
      </c>
      <c r="U72" s="34"/>
      <c r="V72" s="54">
        <f>SUM(V69:V71)</f>
        <v>1348243</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117</v>
      </c>
      <c r="C82" s="34"/>
      <c r="D82" s="34"/>
      <c r="E82" s="34"/>
      <c r="F82" s="34"/>
      <c r="G82" s="34"/>
      <c r="H82" s="34"/>
      <c r="I82" s="34"/>
      <c r="J82" s="34"/>
      <c r="K82" s="34"/>
      <c r="L82" s="34">
        <v>342245</v>
      </c>
      <c r="M82" s="34"/>
      <c r="N82" s="34">
        <v>0</v>
      </c>
      <c r="O82" s="34"/>
      <c r="P82" s="34">
        <v>0</v>
      </c>
      <c r="Q82" s="34"/>
      <c r="R82" s="34"/>
      <c r="S82" s="34"/>
      <c r="T82" s="34"/>
      <c r="U82" s="34"/>
      <c r="V82" s="54">
        <f>SUM(N82:R82)</f>
        <v>0</v>
      </c>
      <c r="W82" s="25"/>
      <c r="X82" s="5"/>
    </row>
    <row r="83" spans="1:24" ht="15.6" x14ac:dyDescent="0.3">
      <c r="A83" s="24"/>
      <c r="B83" s="25" t="s">
        <v>146</v>
      </c>
      <c r="C83" s="34"/>
      <c r="D83" s="34"/>
      <c r="E83" s="34"/>
      <c r="F83" s="34"/>
      <c r="G83" s="34"/>
      <c r="H83" s="34"/>
      <c r="I83" s="34"/>
      <c r="J83" s="34"/>
      <c r="K83" s="34"/>
      <c r="L83" s="34">
        <v>0</v>
      </c>
      <c r="M83" s="34"/>
      <c r="N83" s="34">
        <v>0</v>
      </c>
      <c r="O83" s="34"/>
      <c r="P83" s="34">
        <v>0</v>
      </c>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1500275</v>
      </c>
      <c r="M85" s="34"/>
      <c r="N85" s="54">
        <f>SUM(N72:N84)</f>
        <v>1410697</v>
      </c>
      <c r="O85" s="34"/>
      <c r="P85" s="34"/>
      <c r="Q85" s="34"/>
      <c r="R85" s="34"/>
      <c r="S85" s="34"/>
      <c r="T85" s="54"/>
      <c r="U85" s="34"/>
      <c r="V85" s="54">
        <f>SUM(V72:V84)</f>
        <v>1348243</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7" t="s">
        <v>95</v>
      </c>
      <c r="M88" s="17"/>
      <c r="N88" s="156">
        <f>+T205</f>
        <v>39598</v>
      </c>
      <c r="O88" s="17"/>
      <c r="P88" s="17"/>
      <c r="Q88" s="17"/>
      <c r="R88" s="17"/>
      <c r="S88" s="17"/>
      <c r="T88" s="17" t="s">
        <v>107</v>
      </c>
      <c r="U88" s="17"/>
      <c r="V88" s="17" t="s">
        <v>113</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f>66329+5</f>
        <v>66334</v>
      </c>
      <c r="U90" s="25"/>
      <c r="V90" s="53"/>
      <c r="W90" s="25"/>
      <c r="X90" s="5"/>
    </row>
    <row r="91" spans="1:24" ht="15.6" x14ac:dyDescent="0.3">
      <c r="A91" s="24"/>
      <c r="B91" s="25" t="s">
        <v>216</v>
      </c>
      <c r="C91" s="25"/>
      <c r="D91" s="25"/>
      <c r="E91" s="25"/>
      <c r="F91" s="25"/>
      <c r="G91" s="25"/>
      <c r="H91" s="40"/>
      <c r="I91" s="40"/>
      <c r="J91" s="40"/>
      <c r="K91" s="57"/>
      <c r="L91" s="40"/>
      <c r="M91" s="25"/>
      <c r="N91" s="127"/>
      <c r="O91" s="25"/>
      <c r="P91" s="25"/>
      <c r="Q91" s="25"/>
      <c r="R91" s="25"/>
      <c r="S91" s="25"/>
      <c r="T91" s="34"/>
      <c r="U91" s="25"/>
      <c r="V91" s="53">
        <f>7850+12072-287-1042+14</f>
        <v>18607</v>
      </c>
      <c r="W91" s="25"/>
      <c r="X91" s="5"/>
    </row>
    <row r="92" spans="1:24" ht="15.6" x14ac:dyDescent="0.3">
      <c r="A92" s="24"/>
      <c r="B92" s="25" t="s">
        <v>211</v>
      </c>
      <c r="C92" s="25"/>
      <c r="D92" s="25"/>
      <c r="E92" s="25"/>
      <c r="F92" s="25"/>
      <c r="G92" s="25"/>
      <c r="H92" s="40"/>
      <c r="I92" s="40"/>
      <c r="J92" s="40"/>
      <c r="K92" s="57"/>
      <c r="L92" s="40"/>
      <c r="M92" s="25"/>
      <c r="N92" s="127"/>
      <c r="O92" s="25"/>
      <c r="P92" s="25"/>
      <c r="Q92" s="25"/>
      <c r="R92" s="25"/>
      <c r="S92" s="25"/>
      <c r="T92" s="34"/>
      <c r="U92" s="25"/>
      <c r="V92" s="53">
        <f>117+359</f>
        <v>476</v>
      </c>
      <c r="W92" s="25"/>
      <c r="X92" s="5"/>
    </row>
    <row r="93" spans="1:24" ht="15.6" x14ac:dyDescent="0.3">
      <c r="A93" s="24"/>
      <c r="B93" s="25" t="s">
        <v>212</v>
      </c>
      <c r="C93" s="25"/>
      <c r="D93" s="25"/>
      <c r="E93" s="25"/>
      <c r="F93" s="25"/>
      <c r="G93" s="25"/>
      <c r="H93" s="40"/>
      <c r="I93" s="40"/>
      <c r="J93" s="40"/>
      <c r="K93" s="57"/>
      <c r="L93" s="40"/>
      <c r="M93" s="25"/>
      <c r="N93" s="127"/>
      <c r="O93" s="25"/>
      <c r="P93" s="25"/>
      <c r="Q93" s="25"/>
      <c r="R93" s="25"/>
      <c r="S93" s="25"/>
      <c r="T93" s="34"/>
      <c r="U93" s="25"/>
      <c r="V93" s="53">
        <v>970</v>
      </c>
      <c r="W93" s="25"/>
      <c r="X93" s="5"/>
    </row>
    <row r="94" spans="1:24" ht="15.6" x14ac:dyDescent="0.3">
      <c r="A94" s="24"/>
      <c r="B94" s="25" t="s">
        <v>272</v>
      </c>
      <c r="C94" s="25"/>
      <c r="D94" s="25"/>
      <c r="E94" s="25"/>
      <c r="F94" s="25"/>
      <c r="G94" s="25"/>
      <c r="H94" s="40"/>
      <c r="I94" s="40"/>
      <c r="J94" s="40"/>
      <c r="K94" s="57"/>
      <c r="L94" s="40"/>
      <c r="M94" s="25"/>
      <c r="N94" s="127"/>
      <c r="O94" s="25"/>
      <c r="P94" s="25"/>
      <c r="Q94" s="25"/>
      <c r="R94" s="25"/>
      <c r="S94" s="25"/>
      <c r="T94" s="34"/>
      <c r="U94" s="25"/>
      <c r="V94" s="53">
        <f>4+605</f>
        <v>609</v>
      </c>
      <c r="W94" s="25"/>
      <c r="X94" s="5"/>
    </row>
    <row r="95" spans="1:24" ht="15.6" x14ac:dyDescent="0.3">
      <c r="A95" s="24"/>
      <c r="B95" s="25" t="s">
        <v>274</v>
      </c>
      <c r="C95" s="25"/>
      <c r="D95" s="25"/>
      <c r="E95" s="25"/>
      <c r="F95" s="25"/>
      <c r="G95" s="25"/>
      <c r="H95" s="40"/>
      <c r="I95" s="40"/>
      <c r="J95" s="40"/>
      <c r="K95" s="57"/>
      <c r="L95" s="40"/>
      <c r="M95" s="25"/>
      <c r="N95" s="127"/>
      <c r="O95" s="25"/>
      <c r="P95" s="25"/>
      <c r="Q95" s="25"/>
      <c r="R95" s="25"/>
      <c r="S95" s="25"/>
      <c r="T95" s="34"/>
      <c r="U95" s="25"/>
      <c r="V95" s="53">
        <v>629</v>
      </c>
      <c r="W95" s="25"/>
      <c r="X95" s="5"/>
    </row>
    <row r="96" spans="1:24" ht="15.6" x14ac:dyDescent="0.3">
      <c r="A96" s="24"/>
      <c r="B96" s="25" t="s">
        <v>135</v>
      </c>
      <c r="C96" s="25"/>
      <c r="D96" s="25"/>
      <c r="E96" s="25"/>
      <c r="F96" s="25"/>
      <c r="G96" s="25"/>
      <c r="H96" s="25"/>
      <c r="I96" s="25"/>
      <c r="J96" s="25"/>
      <c r="K96" s="25"/>
      <c r="L96" s="25"/>
      <c r="M96" s="25"/>
      <c r="N96" s="25"/>
      <c r="O96" s="25"/>
      <c r="P96" s="25"/>
      <c r="Q96" s="25"/>
      <c r="R96" s="25"/>
      <c r="S96" s="25"/>
      <c r="T96" s="34"/>
      <c r="U96" s="25"/>
      <c r="V96" s="53">
        <v>0</v>
      </c>
      <c r="W96" s="25"/>
      <c r="X96" s="5"/>
    </row>
    <row r="97" spans="1:25" ht="15.6" x14ac:dyDescent="0.3">
      <c r="A97" s="24"/>
      <c r="B97" s="25" t="s">
        <v>268</v>
      </c>
      <c r="C97" s="25"/>
      <c r="D97" s="25"/>
      <c r="E97" s="25"/>
      <c r="F97" s="25"/>
      <c r="G97" s="25"/>
      <c r="H97" s="25"/>
      <c r="I97" s="25"/>
      <c r="J97" s="25"/>
      <c r="K97" s="25"/>
      <c r="L97" s="25"/>
      <c r="M97" s="25"/>
      <c r="N97" s="25"/>
      <c r="O97" s="25"/>
      <c r="P97" s="25"/>
      <c r="Q97" s="25"/>
      <c r="R97" s="25"/>
      <c r="S97" s="25"/>
      <c r="T97" s="34"/>
      <c r="U97" s="25"/>
      <c r="V97" s="53">
        <v>4880</v>
      </c>
      <c r="W97" s="25"/>
      <c r="X97" s="5"/>
    </row>
    <row r="98" spans="1:25" ht="15.6" x14ac:dyDescent="0.3">
      <c r="A98" s="24"/>
      <c r="B98" s="25" t="s">
        <v>30</v>
      </c>
      <c r="C98" s="25"/>
      <c r="D98" s="25"/>
      <c r="E98" s="25"/>
      <c r="F98" s="25"/>
      <c r="G98" s="25"/>
      <c r="H98" s="25"/>
      <c r="I98" s="25"/>
      <c r="J98" s="25"/>
      <c r="K98" s="25"/>
      <c r="L98" s="25"/>
      <c r="M98" s="25"/>
      <c r="N98" s="25"/>
      <c r="O98" s="25"/>
      <c r="P98" s="25"/>
      <c r="Q98" s="25"/>
      <c r="R98" s="25"/>
      <c r="S98" s="25"/>
      <c r="T98" s="34">
        <f>SUM(T89:T97)</f>
        <v>66334</v>
      </c>
      <c r="U98" s="25"/>
      <c r="V98" s="54">
        <f>SUM(V89:V97)</f>
        <v>26171</v>
      </c>
      <c r="W98" s="25"/>
      <c r="X98" s="5"/>
    </row>
    <row r="99" spans="1:25" ht="15.6" x14ac:dyDescent="0.3">
      <c r="A99" s="24"/>
      <c r="B99" s="25" t="s">
        <v>161</v>
      </c>
      <c r="C99" s="25"/>
      <c r="D99" s="25"/>
      <c r="E99" s="25"/>
      <c r="F99" s="25"/>
      <c r="G99" s="25"/>
      <c r="H99" s="25"/>
      <c r="I99" s="25"/>
      <c r="J99" s="25"/>
      <c r="K99" s="25"/>
      <c r="L99" s="25"/>
      <c r="M99" s="25"/>
      <c r="N99" s="25"/>
      <c r="O99" s="25"/>
      <c r="P99" s="25"/>
      <c r="Q99" s="25"/>
      <c r="R99" s="25"/>
      <c r="S99" s="25"/>
      <c r="T99" s="34">
        <f>-V99</f>
        <v>-93</v>
      </c>
      <c r="U99" s="25"/>
      <c r="V99" s="54">
        <v>93</v>
      </c>
      <c r="W99" s="25"/>
      <c r="X99" s="5"/>
    </row>
    <row r="100" spans="1:25" ht="15.6" x14ac:dyDescent="0.3">
      <c r="A100" s="24"/>
      <c r="B100" s="25" t="s">
        <v>31</v>
      </c>
      <c r="C100" s="25"/>
      <c r="D100" s="25"/>
      <c r="E100" s="25"/>
      <c r="F100" s="25"/>
      <c r="G100" s="25"/>
      <c r="H100" s="25"/>
      <c r="I100" s="25"/>
      <c r="J100" s="25"/>
      <c r="K100" s="25"/>
      <c r="L100" s="25"/>
      <c r="M100" s="25"/>
      <c r="N100" s="25"/>
      <c r="O100" s="25"/>
      <c r="P100" s="25"/>
      <c r="Q100" s="25"/>
      <c r="R100" s="25"/>
      <c r="S100" s="25"/>
      <c r="T100" s="34">
        <f>-V100</f>
        <v>0</v>
      </c>
      <c r="U100" s="25"/>
      <c r="V100" s="53">
        <v>0</v>
      </c>
      <c r="W100" s="25"/>
      <c r="X100" s="5"/>
    </row>
    <row r="101" spans="1:25" ht="15.6" x14ac:dyDescent="0.3">
      <c r="A101" s="24"/>
      <c r="B101" s="25" t="s">
        <v>283</v>
      </c>
      <c r="C101" s="25"/>
      <c r="D101" s="25"/>
      <c r="E101" s="25"/>
      <c r="F101" s="25"/>
      <c r="G101" s="25"/>
      <c r="H101" s="25"/>
      <c r="I101" s="25"/>
      <c r="J101" s="25"/>
      <c r="K101" s="25"/>
      <c r="L101" s="25"/>
      <c r="M101" s="25"/>
      <c r="N101" s="25"/>
      <c r="O101" s="25"/>
      <c r="P101" s="25"/>
      <c r="Q101" s="25"/>
      <c r="R101" s="25"/>
      <c r="S101" s="25"/>
      <c r="T101" s="34"/>
      <c r="U101" s="25"/>
      <c r="V101" s="53">
        <v>0</v>
      </c>
      <c r="W101" s="25"/>
      <c r="X101" s="5"/>
    </row>
    <row r="102" spans="1:25" ht="15.6" x14ac:dyDescent="0.3">
      <c r="A102" s="24"/>
      <c r="B102" s="25" t="s">
        <v>32</v>
      </c>
      <c r="C102" s="25"/>
      <c r="D102" s="25"/>
      <c r="E102" s="25"/>
      <c r="F102" s="25"/>
      <c r="G102" s="25"/>
      <c r="H102" s="25"/>
      <c r="I102" s="25"/>
      <c r="J102" s="25"/>
      <c r="K102" s="25"/>
      <c r="L102" s="25"/>
      <c r="M102" s="25"/>
      <c r="N102" s="25"/>
      <c r="O102" s="25"/>
      <c r="P102" s="25"/>
      <c r="Q102" s="25"/>
      <c r="R102" s="25"/>
      <c r="S102" s="25"/>
      <c r="T102" s="34">
        <f>T98+T100+T99</f>
        <v>66241</v>
      </c>
      <c r="U102" s="25"/>
      <c r="V102" s="54">
        <f>V98+V100+V99+V101</f>
        <v>26264</v>
      </c>
      <c r="W102" s="25"/>
      <c r="X102" s="5"/>
    </row>
    <row r="103" spans="1:25" ht="15.6" x14ac:dyDescent="0.3">
      <c r="A103" s="24"/>
      <c r="B103" s="118" t="s">
        <v>33</v>
      </c>
      <c r="C103" s="25"/>
      <c r="D103" s="25"/>
      <c r="E103" s="25"/>
      <c r="F103" s="25"/>
      <c r="G103" s="25"/>
      <c r="H103" s="25"/>
      <c r="I103" s="25"/>
      <c r="J103" s="25"/>
      <c r="K103" s="25"/>
      <c r="L103" s="25"/>
      <c r="M103" s="25"/>
      <c r="N103" s="25"/>
      <c r="O103" s="25"/>
      <c r="P103" s="25"/>
      <c r="Q103" s="25"/>
      <c r="R103" s="25"/>
      <c r="S103" s="25"/>
      <c r="T103" s="34"/>
      <c r="U103" s="25"/>
      <c r="V103" s="53"/>
      <c r="W103" s="25"/>
      <c r="X103" s="5"/>
    </row>
    <row r="104" spans="1:25" ht="15.6" x14ac:dyDescent="0.3">
      <c r="A104" s="24">
        <v>1</v>
      </c>
      <c r="B104" s="25" t="s">
        <v>34</v>
      </c>
      <c r="C104" s="25"/>
      <c r="D104" s="25"/>
      <c r="E104" s="25"/>
      <c r="F104" s="25"/>
      <c r="G104" s="25"/>
      <c r="H104" s="25"/>
      <c r="I104" s="25"/>
      <c r="J104" s="25"/>
      <c r="K104" s="25"/>
      <c r="L104" s="25"/>
      <c r="M104" s="25"/>
      <c r="N104" s="25"/>
      <c r="O104" s="25"/>
      <c r="P104" s="25"/>
      <c r="Q104" s="25"/>
      <c r="R104" s="25"/>
      <c r="S104" s="25"/>
      <c r="T104" s="25"/>
      <c r="U104" s="25"/>
      <c r="V104" s="53">
        <v>0</v>
      </c>
      <c r="W104" s="25"/>
      <c r="X104" s="5"/>
    </row>
    <row r="105" spans="1:25" ht="15.6" x14ac:dyDescent="0.3">
      <c r="A105" s="24">
        <f>+A104+1</f>
        <v>2</v>
      </c>
      <c r="B105" s="25" t="s">
        <v>225</v>
      </c>
      <c r="C105" s="25"/>
      <c r="D105" s="25"/>
      <c r="E105" s="25"/>
      <c r="F105" s="25"/>
      <c r="G105" s="25"/>
      <c r="H105" s="25"/>
      <c r="I105" s="25"/>
      <c r="J105" s="25"/>
      <c r="K105" s="25"/>
      <c r="L105" s="25"/>
      <c r="M105" s="25"/>
      <c r="N105" s="25"/>
      <c r="O105" s="25"/>
      <c r="P105" s="25"/>
      <c r="Q105" s="25"/>
      <c r="R105" s="25"/>
      <c r="S105" s="25"/>
      <c r="T105" s="25"/>
      <c r="U105" s="25"/>
      <c r="V105" s="53">
        <v>-2</v>
      </c>
      <c r="W105" s="25"/>
      <c r="X105" s="5"/>
    </row>
    <row r="106" spans="1:25" ht="15.6" x14ac:dyDescent="0.3">
      <c r="A106" s="24">
        <f>+A105+1</f>
        <v>3</v>
      </c>
      <c r="B106" s="25" t="s">
        <v>204</v>
      </c>
      <c r="C106" s="25"/>
      <c r="D106" s="25"/>
      <c r="E106" s="25"/>
      <c r="F106" s="25"/>
      <c r="G106" s="25"/>
      <c r="H106" s="25"/>
      <c r="I106" s="25"/>
      <c r="J106" s="25"/>
      <c r="K106" s="25"/>
      <c r="L106" s="25"/>
      <c r="M106" s="25"/>
      <c r="N106" s="25"/>
      <c r="O106" s="25"/>
      <c r="P106" s="25"/>
      <c r="Q106" s="25"/>
      <c r="R106" s="25"/>
      <c r="S106" s="25"/>
      <c r="T106" s="25"/>
      <c r="U106" s="25"/>
      <c r="V106" s="53">
        <f>-177-39-17-14</f>
        <v>-247</v>
      </c>
      <c r="W106" s="25"/>
      <c r="X106" s="5"/>
    </row>
    <row r="107" spans="1:25" ht="15.6" x14ac:dyDescent="0.3">
      <c r="A107" s="24" t="s">
        <v>127</v>
      </c>
      <c r="B107" s="25" t="s">
        <v>116</v>
      </c>
      <c r="C107" s="25"/>
      <c r="D107" s="25"/>
      <c r="E107" s="25"/>
      <c r="F107" s="25"/>
      <c r="G107" s="25"/>
      <c r="H107" s="25"/>
      <c r="I107" s="25"/>
      <c r="J107" s="25"/>
      <c r="K107" s="25"/>
      <c r="L107" s="25"/>
      <c r="M107" s="25"/>
      <c r="N107" s="25"/>
      <c r="O107" s="25"/>
      <c r="P107" s="25"/>
      <c r="Q107" s="25"/>
      <c r="R107" s="25"/>
      <c r="S107" s="25"/>
      <c r="T107" s="25"/>
      <c r="U107" s="25"/>
      <c r="V107" s="53">
        <v>0</v>
      </c>
      <c r="W107" s="25"/>
      <c r="X107" s="5"/>
    </row>
    <row r="108" spans="1:25" ht="15.6" x14ac:dyDescent="0.3">
      <c r="A108" s="24" t="s">
        <v>128</v>
      </c>
      <c r="B108" s="25" t="s">
        <v>222</v>
      </c>
      <c r="C108" s="25"/>
      <c r="D108" s="25"/>
      <c r="E108" s="25"/>
      <c r="F108" s="25"/>
      <c r="G108" s="25"/>
      <c r="H108" s="25"/>
      <c r="I108" s="25"/>
      <c r="J108" s="25"/>
      <c r="K108" s="25"/>
      <c r="L108" s="25"/>
      <c r="M108" s="25"/>
      <c r="N108" s="25"/>
      <c r="O108" s="25"/>
      <c r="P108" s="25"/>
      <c r="Q108" s="25"/>
      <c r="R108" s="25"/>
      <c r="S108" s="25"/>
      <c r="T108" s="25"/>
      <c r="U108" s="25"/>
      <c r="V108" s="53">
        <v>-16236</v>
      </c>
      <c r="W108" s="25"/>
      <c r="X108" s="5"/>
      <c r="Y108" s="109"/>
    </row>
    <row r="109" spans="1:25" ht="15.6" x14ac:dyDescent="0.3">
      <c r="A109" s="24" t="s">
        <v>150</v>
      </c>
      <c r="B109" s="25" t="s">
        <v>184</v>
      </c>
      <c r="C109" s="25"/>
      <c r="D109" s="25"/>
      <c r="E109" s="25"/>
      <c r="F109" s="25"/>
      <c r="G109" s="25"/>
      <c r="H109" s="25"/>
      <c r="I109" s="25"/>
      <c r="J109" s="25"/>
      <c r="K109" s="25"/>
      <c r="L109" s="25"/>
      <c r="M109" s="25"/>
      <c r="N109" s="25"/>
      <c r="O109" s="25"/>
      <c r="P109" s="25"/>
      <c r="Q109" s="25"/>
      <c r="R109" s="25"/>
      <c r="S109" s="25"/>
      <c r="T109" s="25"/>
      <c r="U109" s="25"/>
      <c r="V109" s="53">
        <v>-1755</v>
      </c>
      <c r="W109" s="25"/>
      <c r="X109" s="5"/>
      <c r="Y109" s="109"/>
    </row>
    <row r="110" spans="1:25" ht="15.6" x14ac:dyDescent="0.3">
      <c r="A110" s="24" t="s">
        <v>236</v>
      </c>
      <c r="B110" s="25" t="s">
        <v>238</v>
      </c>
      <c r="C110" s="25"/>
      <c r="D110" s="25"/>
      <c r="E110" s="25"/>
      <c r="F110" s="25"/>
      <c r="G110" s="25"/>
      <c r="H110" s="25"/>
      <c r="I110" s="25"/>
      <c r="J110" s="25"/>
      <c r="K110" s="25"/>
      <c r="L110" s="25"/>
      <c r="M110" s="25"/>
      <c r="N110" s="25"/>
      <c r="O110" s="25"/>
      <c r="P110" s="25"/>
      <c r="Q110" s="25"/>
      <c r="R110" s="25"/>
      <c r="S110" s="25"/>
      <c r="T110" s="25"/>
      <c r="U110" s="25"/>
      <c r="V110" s="53">
        <v>-1</v>
      </c>
      <c r="W110" s="25"/>
      <c r="X110" s="5"/>
    </row>
    <row r="111" spans="1:25" ht="15.6" x14ac:dyDescent="0.3">
      <c r="A111" s="24" t="s">
        <v>205</v>
      </c>
      <c r="B111" s="25" t="s">
        <v>185</v>
      </c>
      <c r="C111" s="25"/>
      <c r="D111" s="25"/>
      <c r="E111" s="25"/>
      <c r="F111" s="25"/>
      <c r="G111" s="25"/>
      <c r="H111" s="25"/>
      <c r="I111" s="25"/>
      <c r="J111" s="25"/>
      <c r="K111" s="25"/>
      <c r="L111" s="25"/>
      <c r="M111" s="25"/>
      <c r="N111" s="25"/>
      <c r="O111" s="25"/>
      <c r="P111" s="25"/>
      <c r="Q111" s="25"/>
      <c r="R111" s="25"/>
      <c r="S111" s="25"/>
      <c r="T111" s="25"/>
      <c r="U111" s="25"/>
      <c r="V111" s="53">
        <v>-933</v>
      </c>
      <c r="W111" s="25"/>
      <c r="X111" s="5"/>
      <c r="Y111" s="109"/>
    </row>
    <row r="112" spans="1:25" ht="15.6" x14ac:dyDescent="0.3">
      <c r="A112" s="24" t="s">
        <v>206</v>
      </c>
      <c r="B112" s="25" t="s">
        <v>186</v>
      </c>
      <c r="C112" s="25"/>
      <c r="D112" s="25"/>
      <c r="E112" s="25"/>
      <c r="F112" s="25"/>
      <c r="G112" s="25"/>
      <c r="H112" s="25"/>
      <c r="I112" s="25"/>
      <c r="J112" s="25"/>
      <c r="K112" s="25"/>
      <c r="L112" s="25"/>
      <c r="M112" s="25"/>
      <c r="N112" s="25"/>
      <c r="O112" s="25"/>
      <c r="P112" s="25"/>
      <c r="Q112" s="25"/>
      <c r="R112" s="25"/>
      <c r="S112" s="25"/>
      <c r="T112" s="25"/>
      <c r="U112" s="25"/>
      <c r="V112" s="53">
        <v>-794</v>
      </c>
      <c r="W112" s="25"/>
      <c r="X112" s="179"/>
      <c r="Y112" s="109"/>
    </row>
    <row r="113" spans="1:25" ht="15.6" x14ac:dyDescent="0.3">
      <c r="A113" s="24" t="s">
        <v>207</v>
      </c>
      <c r="B113" s="25" t="s">
        <v>196</v>
      </c>
      <c r="C113" s="25"/>
      <c r="D113" s="25"/>
      <c r="E113" s="25"/>
      <c r="F113" s="25"/>
      <c r="G113" s="25"/>
      <c r="H113" s="25"/>
      <c r="I113" s="25"/>
      <c r="J113" s="25"/>
      <c r="K113" s="25"/>
      <c r="L113" s="25"/>
      <c r="M113" s="25"/>
      <c r="N113" s="25"/>
      <c r="O113" s="25"/>
      <c r="P113" s="25"/>
      <c r="Q113" s="25"/>
      <c r="R113" s="25"/>
      <c r="S113" s="25"/>
      <c r="T113" s="25"/>
      <c r="U113" s="25"/>
      <c r="V113" s="53">
        <v>-1476</v>
      </c>
      <c r="W113" s="25"/>
      <c r="X113" s="5"/>
      <c r="Y113" s="109"/>
    </row>
    <row r="114" spans="1:25" ht="15.6" x14ac:dyDescent="0.3">
      <c r="A114" s="24" t="s">
        <v>224</v>
      </c>
      <c r="B114" s="25" t="s">
        <v>223</v>
      </c>
      <c r="C114" s="25"/>
      <c r="D114" s="25"/>
      <c r="E114" s="25"/>
      <c r="F114" s="25"/>
      <c r="G114" s="25"/>
      <c r="H114" s="25"/>
      <c r="I114" s="25"/>
      <c r="J114" s="25"/>
      <c r="K114" s="25"/>
      <c r="L114" s="25"/>
      <c r="M114" s="25"/>
      <c r="N114" s="25"/>
      <c r="O114" s="25"/>
      <c r="P114" s="25"/>
      <c r="Q114" s="25"/>
      <c r="R114" s="25"/>
      <c r="S114" s="25"/>
      <c r="T114" s="25"/>
      <c r="U114" s="25"/>
      <c r="V114" s="53">
        <v>-316</v>
      </c>
      <c r="W114" s="25"/>
      <c r="X114" s="5"/>
      <c r="Y114" s="109"/>
    </row>
    <row r="115" spans="1:25" ht="15.6" x14ac:dyDescent="0.3">
      <c r="A115" s="24">
        <v>7</v>
      </c>
      <c r="B115" s="25" t="s">
        <v>35</v>
      </c>
      <c r="C115" s="25"/>
      <c r="D115" s="25"/>
      <c r="E115" s="25"/>
      <c r="F115" s="25"/>
      <c r="G115" s="25"/>
      <c r="H115" s="25"/>
      <c r="I115" s="25"/>
      <c r="J115" s="25"/>
      <c r="K115" s="25"/>
      <c r="L115" s="25"/>
      <c r="M115" s="25"/>
      <c r="N115" s="25"/>
      <c r="O115" s="25"/>
      <c r="P115" s="25"/>
      <c r="Q115" s="25"/>
      <c r="R115" s="25"/>
      <c r="S115" s="25"/>
      <c r="T115" s="25"/>
      <c r="U115" s="25"/>
      <c r="V115" s="53">
        <v>-12</v>
      </c>
      <c r="W115" s="25"/>
      <c r="X115" s="5"/>
    </row>
    <row r="116" spans="1:25" ht="15.6" x14ac:dyDescent="0.3">
      <c r="A116" s="24">
        <f t="shared" ref="A116:A122" si="0">+A115+1</f>
        <v>8</v>
      </c>
      <c r="B116" s="25" t="s">
        <v>45</v>
      </c>
      <c r="C116" s="25"/>
      <c r="D116" s="25"/>
      <c r="E116" s="25"/>
      <c r="F116" s="25"/>
      <c r="G116" s="25"/>
      <c r="H116" s="25"/>
      <c r="I116" s="25"/>
      <c r="J116" s="25"/>
      <c r="K116" s="25"/>
      <c r="L116" s="25"/>
      <c r="M116" s="25"/>
      <c r="N116" s="25"/>
      <c r="O116" s="25"/>
      <c r="P116" s="25"/>
      <c r="Q116" s="25"/>
      <c r="R116" s="25"/>
      <c r="S116" s="25"/>
      <c r="T116" s="34">
        <f>-V116</f>
        <v>-5</v>
      </c>
      <c r="U116" s="25"/>
      <c r="V116" s="53">
        <v>5</v>
      </c>
      <c r="W116" s="25"/>
      <c r="X116" s="5"/>
    </row>
    <row r="117" spans="1:25" ht="15.6" x14ac:dyDescent="0.3">
      <c r="A117" s="24">
        <f t="shared" si="0"/>
        <v>9</v>
      </c>
      <c r="B117" s="25" t="s">
        <v>125</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5" ht="15.6" x14ac:dyDescent="0.3">
      <c r="A118" s="24">
        <f t="shared" si="0"/>
        <v>10</v>
      </c>
      <c r="B118" s="25" t="s">
        <v>240</v>
      </c>
      <c r="C118" s="25"/>
      <c r="D118" s="25"/>
      <c r="E118" s="25"/>
      <c r="F118" s="25"/>
      <c r="G118" s="25"/>
      <c r="H118" s="25"/>
      <c r="I118" s="25"/>
      <c r="J118" s="25"/>
      <c r="K118" s="25"/>
      <c r="L118" s="25"/>
      <c r="M118" s="25"/>
      <c r="N118" s="25"/>
      <c r="O118" s="25"/>
      <c r="P118" s="25"/>
      <c r="Q118" s="25"/>
      <c r="R118" s="25"/>
      <c r="S118" s="25"/>
      <c r="T118" s="25"/>
      <c r="U118" s="25"/>
      <c r="V118" s="53">
        <v>0</v>
      </c>
      <c r="W118" s="25"/>
      <c r="X118" s="5"/>
    </row>
    <row r="119" spans="1:25" ht="15.6" x14ac:dyDescent="0.3">
      <c r="A119" s="24">
        <f t="shared" si="0"/>
        <v>11</v>
      </c>
      <c r="B119" s="25" t="s">
        <v>36</v>
      </c>
      <c r="C119" s="25"/>
      <c r="D119" s="25"/>
      <c r="E119" s="25"/>
      <c r="F119" s="25"/>
      <c r="G119" s="25"/>
      <c r="H119" s="25"/>
      <c r="I119" s="25"/>
      <c r="J119" s="25"/>
      <c r="K119" s="25"/>
      <c r="L119" s="25"/>
      <c r="M119" s="25"/>
      <c r="N119" s="25"/>
      <c r="O119" s="25"/>
      <c r="P119" s="25"/>
      <c r="Q119" s="25"/>
      <c r="R119" s="25"/>
      <c r="S119" s="25"/>
      <c r="T119" s="25"/>
      <c r="U119" s="25"/>
      <c r="V119" s="53">
        <v>0</v>
      </c>
      <c r="W119" s="25"/>
      <c r="X119" s="5"/>
    </row>
    <row r="120" spans="1:25" ht="15.6" x14ac:dyDescent="0.3">
      <c r="A120" s="24">
        <f t="shared" si="0"/>
        <v>12</v>
      </c>
      <c r="B120" s="25" t="s">
        <v>239</v>
      </c>
      <c r="C120" s="25"/>
      <c r="D120" s="25"/>
      <c r="E120" s="25"/>
      <c r="F120" s="25"/>
      <c r="G120" s="25"/>
      <c r="H120" s="25"/>
      <c r="I120" s="25"/>
      <c r="J120" s="25"/>
      <c r="K120" s="25"/>
      <c r="L120" s="25"/>
      <c r="M120" s="25"/>
      <c r="N120" s="25"/>
      <c r="O120" s="25"/>
      <c r="P120" s="25"/>
      <c r="Q120" s="25"/>
      <c r="R120" s="25"/>
      <c r="S120" s="25"/>
      <c r="T120" s="25"/>
      <c r="U120" s="25"/>
      <c r="V120" s="53">
        <v>0</v>
      </c>
      <c r="W120" s="25"/>
      <c r="X120" s="5"/>
    </row>
    <row r="121" spans="1:25" ht="15.6" x14ac:dyDescent="0.3">
      <c r="A121" s="24">
        <f t="shared" si="0"/>
        <v>13</v>
      </c>
      <c r="B121" s="25" t="s">
        <v>149</v>
      </c>
      <c r="C121" s="25"/>
      <c r="D121" s="25"/>
      <c r="E121" s="25"/>
      <c r="F121" s="25"/>
      <c r="G121" s="25"/>
      <c r="H121" s="25"/>
      <c r="I121" s="25"/>
      <c r="J121" s="25"/>
      <c r="K121" s="25"/>
      <c r="L121" s="25"/>
      <c r="M121" s="25"/>
      <c r="N121" s="25"/>
      <c r="O121" s="25"/>
      <c r="P121" s="25"/>
      <c r="Q121" s="25"/>
      <c r="R121" s="25"/>
      <c r="S121" s="25"/>
      <c r="T121" s="25"/>
      <c r="U121" s="25"/>
      <c r="V121" s="53">
        <v>-889</v>
      </c>
      <c r="W121" s="25"/>
      <c r="X121" s="5"/>
    </row>
    <row r="122" spans="1:25" ht="15.6" x14ac:dyDescent="0.3">
      <c r="A122" s="24">
        <f t="shared" si="0"/>
        <v>14</v>
      </c>
      <c r="B122" s="25" t="s">
        <v>126</v>
      </c>
      <c r="C122" s="25"/>
      <c r="D122" s="25"/>
      <c r="E122" s="25"/>
      <c r="F122" s="25"/>
      <c r="G122" s="25"/>
      <c r="H122" s="25"/>
      <c r="I122" s="25"/>
      <c r="J122" s="25"/>
      <c r="K122" s="25"/>
      <c r="L122" s="25"/>
      <c r="M122" s="25"/>
      <c r="N122" s="25"/>
      <c r="O122" s="25"/>
      <c r="P122" s="25"/>
      <c r="Q122" s="25"/>
      <c r="R122" s="25"/>
      <c r="S122" s="25"/>
      <c r="T122" s="25"/>
      <c r="U122" s="25"/>
      <c r="V122" s="53">
        <f>-V102-SUM(V104:V121)</f>
        <v>-3608</v>
      </c>
      <c r="W122" s="25"/>
      <c r="X122" s="5"/>
    </row>
    <row r="123" spans="1:25" ht="15.6" x14ac:dyDescent="0.3">
      <c r="A123" s="24"/>
      <c r="B123" s="118" t="s">
        <v>37</v>
      </c>
      <c r="C123" s="25"/>
      <c r="D123" s="25"/>
      <c r="E123" s="25"/>
      <c r="F123" s="25"/>
      <c r="G123" s="25"/>
      <c r="H123" s="25"/>
      <c r="I123" s="25"/>
      <c r="J123" s="25"/>
      <c r="K123" s="25"/>
      <c r="L123" s="25"/>
      <c r="M123" s="25"/>
      <c r="N123" s="25"/>
      <c r="O123" s="25"/>
      <c r="P123" s="25"/>
      <c r="Q123" s="25"/>
      <c r="R123" s="25"/>
      <c r="S123" s="25"/>
      <c r="T123" s="25"/>
      <c r="U123" s="25"/>
      <c r="V123" s="59"/>
      <c r="W123" s="25"/>
      <c r="X123" s="5"/>
    </row>
    <row r="124" spans="1:25" ht="15.6" x14ac:dyDescent="0.3">
      <c r="A124" s="24"/>
      <c r="B124" s="25" t="s">
        <v>173</v>
      </c>
      <c r="C124" s="25"/>
      <c r="D124" s="25"/>
      <c r="E124" s="25"/>
      <c r="F124" s="25"/>
      <c r="G124" s="25"/>
      <c r="H124" s="25"/>
      <c r="I124" s="25"/>
      <c r="J124" s="25"/>
      <c r="K124" s="25"/>
      <c r="L124" s="25"/>
      <c r="M124" s="25"/>
      <c r="N124" s="25"/>
      <c r="O124" s="25"/>
      <c r="P124" s="25"/>
      <c r="Q124" s="25"/>
      <c r="R124" s="25"/>
      <c r="S124" s="25"/>
      <c r="T124" s="34">
        <f>-T189</f>
        <v>-228</v>
      </c>
      <c r="U124" s="34"/>
      <c r="V124" s="53"/>
      <c r="W124" s="25"/>
      <c r="X124" s="5"/>
    </row>
    <row r="125" spans="1:25" ht="15.6" x14ac:dyDescent="0.3">
      <c r="A125" s="24"/>
      <c r="B125" s="25" t="s">
        <v>174</v>
      </c>
      <c r="C125" s="25"/>
      <c r="D125" s="25"/>
      <c r="E125" s="25"/>
      <c r="F125" s="25"/>
      <c r="G125" s="25"/>
      <c r="H125" s="25"/>
      <c r="I125" s="25"/>
      <c r="J125" s="25"/>
      <c r="K125" s="25"/>
      <c r="L125" s="25"/>
      <c r="M125" s="25"/>
      <c r="N125" s="25"/>
      <c r="O125" s="25"/>
      <c r="P125" s="25"/>
      <c r="Q125" s="25"/>
      <c r="R125" s="25"/>
      <c r="S125" s="25"/>
      <c r="T125" s="34">
        <v>-17</v>
      </c>
      <c r="U125" s="34"/>
      <c r="V125" s="53"/>
      <c r="W125" s="25"/>
      <c r="X125" s="5"/>
    </row>
    <row r="126" spans="1:25" ht="15.6" x14ac:dyDescent="0.3">
      <c r="A126" s="24"/>
      <c r="B126" s="25" t="s">
        <v>38</v>
      </c>
      <c r="C126" s="25"/>
      <c r="D126" s="25"/>
      <c r="E126" s="25"/>
      <c r="F126" s="25"/>
      <c r="G126" s="25"/>
      <c r="H126" s="25"/>
      <c r="I126" s="25"/>
      <c r="J126" s="25"/>
      <c r="K126" s="25"/>
      <c r="L126" s="25"/>
      <c r="M126" s="25"/>
      <c r="N126" s="25"/>
      <c r="O126" s="25"/>
      <c r="P126" s="25"/>
      <c r="Q126" s="25"/>
      <c r="R126" s="25"/>
      <c r="S126" s="25"/>
      <c r="T126" s="34">
        <f>-S189</f>
        <v>-3537</v>
      </c>
      <c r="U126" s="34"/>
      <c r="V126" s="53"/>
      <c r="W126" s="25"/>
      <c r="X126" s="5"/>
    </row>
    <row r="127" spans="1:25" ht="15.6" x14ac:dyDescent="0.3">
      <c r="A127" s="24"/>
      <c r="B127" s="25" t="s">
        <v>197</v>
      </c>
      <c r="C127" s="25"/>
      <c r="D127" s="25"/>
      <c r="E127" s="25"/>
      <c r="F127" s="25"/>
      <c r="G127" s="25"/>
      <c r="H127" s="25"/>
      <c r="I127" s="25"/>
      <c r="J127" s="25"/>
      <c r="K127" s="25"/>
      <c r="L127" s="25"/>
      <c r="M127" s="25"/>
      <c r="N127" s="25"/>
      <c r="O127" s="25"/>
      <c r="P127" s="25"/>
      <c r="Q127" s="25"/>
      <c r="R127" s="25"/>
      <c r="S127" s="25"/>
      <c r="T127" s="34">
        <v>-37970</v>
      </c>
      <c r="U127" s="34"/>
      <c r="V127" s="53"/>
      <c r="W127" s="25"/>
      <c r="X127" s="5"/>
    </row>
    <row r="128" spans="1:25" ht="15.6" x14ac:dyDescent="0.3">
      <c r="A128" s="24"/>
      <c r="B128" s="25" t="s">
        <v>195</v>
      </c>
      <c r="C128" s="25"/>
      <c r="D128" s="25"/>
      <c r="E128" s="25"/>
      <c r="F128" s="25"/>
      <c r="G128" s="25"/>
      <c r="H128" s="25"/>
      <c r="I128" s="25"/>
      <c r="J128" s="25"/>
      <c r="K128" s="25"/>
      <c r="L128" s="25"/>
      <c r="M128" s="25"/>
      <c r="N128" s="25"/>
      <c r="O128" s="25"/>
      <c r="P128" s="25"/>
      <c r="Q128" s="25"/>
      <c r="R128" s="25"/>
      <c r="S128" s="25"/>
      <c r="T128" s="34">
        <v>-6123</v>
      </c>
      <c r="U128" s="34"/>
      <c r="V128" s="53"/>
      <c r="W128" s="25"/>
      <c r="X128" s="5"/>
    </row>
    <row r="129" spans="1:24" ht="15.6" x14ac:dyDescent="0.3">
      <c r="A129" s="24"/>
      <c r="B129" s="25" t="s">
        <v>194</v>
      </c>
      <c r="C129" s="25"/>
      <c r="D129" s="25"/>
      <c r="E129" s="25"/>
      <c r="F129" s="25"/>
      <c r="G129" s="25"/>
      <c r="H129" s="25"/>
      <c r="I129" s="25"/>
      <c r="J129" s="25"/>
      <c r="K129" s="25"/>
      <c r="L129" s="25"/>
      <c r="M129" s="25"/>
      <c r="N129" s="25"/>
      <c r="O129" s="25"/>
      <c r="P129" s="25"/>
      <c r="Q129" s="25"/>
      <c r="R129" s="25"/>
      <c r="S129" s="25"/>
      <c r="T129" s="34">
        <v>-8236</v>
      </c>
      <c r="U129" s="34"/>
      <c r="V129" s="53"/>
      <c r="W129" s="25"/>
      <c r="X129" s="5"/>
    </row>
    <row r="130" spans="1:24" ht="15.6" x14ac:dyDescent="0.3">
      <c r="A130" s="24"/>
      <c r="B130" s="25" t="s">
        <v>226</v>
      </c>
      <c r="C130" s="25"/>
      <c r="D130" s="25"/>
      <c r="E130" s="25"/>
      <c r="F130" s="25"/>
      <c r="G130" s="25"/>
      <c r="H130" s="25"/>
      <c r="I130" s="25"/>
      <c r="J130" s="25"/>
      <c r="K130" s="25"/>
      <c r="L130" s="25"/>
      <c r="M130" s="25"/>
      <c r="N130" s="25"/>
      <c r="O130" s="25"/>
      <c r="P130" s="25"/>
      <c r="Q130" s="25"/>
      <c r="R130" s="25"/>
      <c r="S130" s="25"/>
      <c r="T130" s="34">
        <v>-10125</v>
      </c>
      <c r="U130" s="34"/>
      <c r="V130" s="53"/>
      <c r="W130" s="25"/>
      <c r="X130" s="5"/>
    </row>
    <row r="131" spans="1:24" ht="15.6" x14ac:dyDescent="0.3">
      <c r="A131" s="24"/>
      <c r="B131" s="25" t="s">
        <v>189</v>
      </c>
      <c r="C131" s="25"/>
      <c r="D131" s="25"/>
      <c r="E131" s="25"/>
      <c r="F131" s="25"/>
      <c r="G131" s="25"/>
      <c r="H131" s="25"/>
      <c r="I131" s="25"/>
      <c r="J131" s="25"/>
      <c r="K131" s="25"/>
      <c r="L131" s="25"/>
      <c r="M131" s="25"/>
      <c r="N131" s="25"/>
      <c r="O131" s="25"/>
      <c r="P131" s="25"/>
      <c r="Q131" s="25"/>
      <c r="R131" s="25"/>
      <c r="S131" s="25"/>
      <c r="T131" s="34">
        <v>0</v>
      </c>
      <c r="U131" s="34"/>
      <c r="V131" s="53"/>
      <c r="W131" s="25"/>
      <c r="X131" s="5"/>
    </row>
    <row r="132" spans="1:24" ht="15.6" x14ac:dyDescent="0.3">
      <c r="A132" s="24"/>
      <c r="B132" s="25" t="s">
        <v>188</v>
      </c>
      <c r="C132" s="25"/>
      <c r="D132" s="25"/>
      <c r="E132" s="25"/>
      <c r="F132" s="25"/>
      <c r="G132" s="25"/>
      <c r="H132" s="25"/>
      <c r="I132" s="25"/>
      <c r="J132" s="25"/>
      <c r="K132" s="25"/>
      <c r="L132" s="25"/>
      <c r="M132" s="25"/>
      <c r="N132" s="25"/>
      <c r="O132" s="25"/>
      <c r="P132" s="25"/>
      <c r="Q132" s="25"/>
      <c r="R132" s="25"/>
      <c r="S132" s="25"/>
      <c r="T132" s="34">
        <v>0</v>
      </c>
      <c r="U132" s="34"/>
      <c r="V132" s="53"/>
      <c r="W132" s="25"/>
      <c r="X132" s="5"/>
    </row>
    <row r="133" spans="1:24" ht="15.6" x14ac:dyDescent="0.3">
      <c r="A133" s="24"/>
      <c r="B133" s="25" t="s">
        <v>227</v>
      </c>
      <c r="C133" s="25"/>
      <c r="D133" s="25"/>
      <c r="E133" s="25"/>
      <c r="F133" s="25"/>
      <c r="G133" s="25"/>
      <c r="H133" s="25"/>
      <c r="I133" s="25"/>
      <c r="J133" s="25"/>
      <c r="K133" s="25"/>
      <c r="L133" s="25"/>
      <c r="M133" s="25"/>
      <c r="N133" s="25"/>
      <c r="O133" s="25"/>
      <c r="P133" s="25"/>
      <c r="Q133" s="25"/>
      <c r="R133" s="25"/>
      <c r="S133" s="25"/>
      <c r="T133" s="34">
        <v>0</v>
      </c>
      <c r="U133" s="34"/>
      <c r="V133" s="53"/>
      <c r="W133" s="25"/>
      <c r="X133" s="5"/>
    </row>
    <row r="134" spans="1:24" ht="15.6" x14ac:dyDescent="0.3">
      <c r="A134" s="24"/>
      <c r="B134" s="25" t="s">
        <v>187</v>
      </c>
      <c r="C134" s="25"/>
      <c r="D134" s="25"/>
      <c r="E134" s="25"/>
      <c r="F134" s="25"/>
      <c r="G134" s="25"/>
      <c r="H134" s="25"/>
      <c r="I134" s="25"/>
      <c r="J134" s="25"/>
      <c r="K134" s="25"/>
      <c r="L134" s="25"/>
      <c r="M134" s="25"/>
      <c r="N134" s="25"/>
      <c r="O134" s="25"/>
      <c r="P134" s="25"/>
      <c r="Q134" s="25"/>
      <c r="R134" s="25"/>
      <c r="S134" s="25"/>
      <c r="T134" s="34">
        <v>0</v>
      </c>
      <c r="U134" s="34"/>
      <c r="V134" s="53"/>
      <c r="W134" s="25"/>
      <c r="X134" s="5"/>
    </row>
    <row r="135" spans="1:24" ht="15.6" x14ac:dyDescent="0.3">
      <c r="A135" s="24"/>
      <c r="B135" s="25" t="s">
        <v>39</v>
      </c>
      <c r="C135" s="25"/>
      <c r="D135" s="25"/>
      <c r="E135" s="25"/>
      <c r="F135" s="25"/>
      <c r="G135" s="25"/>
      <c r="H135" s="25"/>
      <c r="I135" s="25"/>
      <c r="J135" s="25"/>
      <c r="K135" s="25"/>
      <c r="L135" s="25"/>
      <c r="M135" s="25"/>
      <c r="N135" s="25"/>
      <c r="O135" s="25"/>
      <c r="P135" s="25"/>
      <c r="Q135" s="25"/>
      <c r="R135" s="25"/>
      <c r="S135" s="25"/>
      <c r="T135" s="34">
        <f>SUM(T124:T134)</f>
        <v>-66236</v>
      </c>
      <c r="U135" s="34"/>
      <c r="V135" s="34">
        <f>SUM(V103:V132)</f>
        <v>-26264</v>
      </c>
      <c r="W135" s="25"/>
      <c r="X135" s="5"/>
    </row>
    <row r="136" spans="1:24" ht="15.6" x14ac:dyDescent="0.3">
      <c r="A136" s="24"/>
      <c r="B136" s="25" t="s">
        <v>40</v>
      </c>
      <c r="C136" s="25"/>
      <c r="D136" s="25"/>
      <c r="E136" s="25"/>
      <c r="F136" s="25"/>
      <c r="G136" s="25"/>
      <c r="H136" s="25"/>
      <c r="I136" s="25"/>
      <c r="J136" s="25"/>
      <c r="K136" s="25"/>
      <c r="L136" s="25"/>
      <c r="M136" s="25"/>
      <c r="N136" s="25"/>
      <c r="O136" s="25"/>
      <c r="P136" s="25"/>
      <c r="Q136" s="25"/>
      <c r="R136" s="25"/>
      <c r="S136" s="25"/>
      <c r="T136" s="34">
        <f>T102+T135+T116</f>
        <v>0</v>
      </c>
      <c r="U136" s="34"/>
      <c r="V136" s="34">
        <f>V102+V135</f>
        <v>0</v>
      </c>
      <c r="W136" s="25"/>
      <c r="X136" s="5"/>
    </row>
    <row r="137" spans="1:24" ht="15.6" x14ac:dyDescent="0.3">
      <c r="A137" s="24"/>
      <c r="B137" s="25"/>
      <c r="C137" s="25"/>
      <c r="D137" s="25"/>
      <c r="E137" s="25"/>
      <c r="F137" s="25"/>
      <c r="G137" s="25"/>
      <c r="H137" s="25"/>
      <c r="I137" s="25"/>
      <c r="J137" s="25"/>
      <c r="K137" s="25"/>
      <c r="L137" s="25"/>
      <c r="M137" s="25"/>
      <c r="N137" s="25"/>
      <c r="O137" s="25"/>
      <c r="P137" s="25"/>
      <c r="Q137" s="25"/>
      <c r="R137" s="25"/>
      <c r="S137" s="25"/>
      <c r="T137" s="34"/>
      <c r="U137" s="34"/>
      <c r="V137" s="34"/>
      <c r="W137" s="25"/>
      <c r="X137" s="5"/>
    </row>
    <row r="138" spans="1:24" ht="15.6" x14ac:dyDescent="0.3">
      <c r="A138" s="6"/>
      <c r="B138" s="8"/>
      <c r="C138" s="8"/>
      <c r="D138" s="8"/>
      <c r="E138" s="8"/>
      <c r="F138" s="8"/>
      <c r="G138" s="8"/>
      <c r="H138" s="8"/>
      <c r="I138" s="8"/>
      <c r="J138" s="8"/>
      <c r="K138" s="8"/>
      <c r="L138" s="8"/>
      <c r="M138" s="8"/>
      <c r="N138" s="8"/>
      <c r="O138" s="8"/>
      <c r="P138" s="8"/>
      <c r="Q138" s="8"/>
      <c r="R138" s="8"/>
      <c r="S138" s="8"/>
      <c r="T138" s="8"/>
      <c r="U138" s="8"/>
      <c r="V138" s="52"/>
      <c r="W138" s="8"/>
      <c r="X138" s="5"/>
    </row>
    <row r="139" spans="1:24" ht="18" thickBot="1" x14ac:dyDescent="0.35">
      <c r="A139" s="101"/>
      <c r="B139" s="102" t="str">
        <f>B64</f>
        <v>PM14 INVESTOR REPORT QUARTER ENDING MAY 2008</v>
      </c>
      <c r="C139" s="103"/>
      <c r="D139" s="103"/>
      <c r="E139" s="103"/>
      <c r="F139" s="103"/>
      <c r="G139" s="103"/>
      <c r="H139" s="103"/>
      <c r="I139" s="103"/>
      <c r="J139" s="103"/>
      <c r="K139" s="103"/>
      <c r="L139" s="103"/>
      <c r="M139" s="103"/>
      <c r="N139" s="103"/>
      <c r="O139" s="103"/>
      <c r="P139" s="103"/>
      <c r="Q139" s="103"/>
      <c r="R139" s="103"/>
      <c r="S139" s="103"/>
      <c r="T139" s="103"/>
      <c r="U139" s="103"/>
      <c r="V139" s="106"/>
      <c r="W139" s="105"/>
      <c r="X139" s="5"/>
    </row>
    <row r="140" spans="1:24" ht="15.6" x14ac:dyDescent="0.3">
      <c r="A140" s="2"/>
      <c r="B140" s="60" t="s">
        <v>41</v>
      </c>
      <c r="C140" s="4"/>
      <c r="D140" s="4"/>
      <c r="E140" s="4"/>
      <c r="F140" s="4"/>
      <c r="G140" s="4"/>
      <c r="H140" s="4"/>
      <c r="I140" s="4"/>
      <c r="J140" s="4"/>
      <c r="K140" s="4"/>
      <c r="L140" s="4"/>
      <c r="M140" s="4"/>
      <c r="N140" s="4"/>
      <c r="O140" s="4"/>
      <c r="P140" s="4"/>
      <c r="Q140" s="4"/>
      <c r="R140" s="4"/>
      <c r="S140" s="4"/>
      <c r="T140" s="4"/>
      <c r="U140" s="4"/>
      <c r="V140" s="50"/>
      <c r="W140" s="4"/>
      <c r="X140" s="5"/>
    </row>
    <row r="141" spans="1:24" ht="15.6" x14ac:dyDescent="0.3">
      <c r="A141" s="6"/>
      <c r="B141" s="21"/>
      <c r="C141" s="8"/>
      <c r="D141" s="8"/>
      <c r="E141" s="8"/>
      <c r="F141" s="8"/>
      <c r="G141" s="8"/>
      <c r="H141" s="8"/>
      <c r="I141" s="8"/>
      <c r="J141" s="8"/>
      <c r="K141" s="8"/>
      <c r="L141" s="8"/>
      <c r="M141" s="8"/>
      <c r="N141" s="8"/>
      <c r="O141" s="8"/>
      <c r="P141" s="8"/>
      <c r="Q141" s="8"/>
      <c r="R141" s="8"/>
      <c r="S141" s="8"/>
      <c r="T141" s="8"/>
      <c r="U141" s="8"/>
      <c r="V141" s="52"/>
      <c r="W141" s="8"/>
      <c r="X141" s="5"/>
    </row>
    <row r="142" spans="1:24" ht="15.6" x14ac:dyDescent="0.3">
      <c r="A142" s="6"/>
      <c r="B142" s="119" t="s">
        <v>42</v>
      </c>
      <c r="C142" s="8"/>
      <c r="D142" s="8"/>
      <c r="E142" s="8"/>
      <c r="F142" s="8"/>
      <c r="G142" s="8"/>
      <c r="H142" s="8"/>
      <c r="I142" s="8"/>
      <c r="J142" s="8"/>
      <c r="K142" s="8"/>
      <c r="L142" s="8"/>
      <c r="M142" s="8"/>
      <c r="N142" s="8"/>
      <c r="O142" s="8"/>
      <c r="P142" s="8"/>
      <c r="Q142" s="8"/>
      <c r="R142" s="8"/>
      <c r="S142" s="8"/>
      <c r="T142" s="8"/>
      <c r="U142" s="8"/>
      <c r="V142" s="52"/>
      <c r="W142" s="8"/>
      <c r="X142" s="5"/>
    </row>
    <row r="143" spans="1:24" ht="15.6" x14ac:dyDescent="0.3">
      <c r="A143" s="24"/>
      <c r="B143" s="25" t="s">
        <v>43</v>
      </c>
      <c r="C143" s="25"/>
      <c r="D143" s="25"/>
      <c r="E143" s="25"/>
      <c r="F143" s="25"/>
      <c r="G143" s="25"/>
      <c r="H143" s="25"/>
      <c r="I143" s="25"/>
      <c r="J143" s="25"/>
      <c r="K143" s="25"/>
      <c r="L143" s="25"/>
      <c r="M143" s="25"/>
      <c r="N143" s="25"/>
      <c r="O143" s="25"/>
      <c r="P143" s="25"/>
      <c r="Q143" s="25"/>
      <c r="R143" s="25"/>
      <c r="S143" s="25"/>
      <c r="T143" s="25"/>
      <c r="U143" s="25"/>
      <c r="V143" s="53">
        <f>+V34*0.019</f>
        <v>28505.224999999999</v>
      </c>
      <c r="W143" s="25"/>
      <c r="X143" s="5"/>
    </row>
    <row r="144" spans="1:24" ht="15.6" x14ac:dyDescent="0.3">
      <c r="A144" s="24"/>
      <c r="B144" s="25" t="s">
        <v>44</v>
      </c>
      <c r="C144" s="25"/>
      <c r="D144" s="25"/>
      <c r="E144" s="25"/>
      <c r="F144" s="25"/>
      <c r="G144" s="25"/>
      <c r="H144" s="25"/>
      <c r="I144" s="25"/>
      <c r="J144" s="25"/>
      <c r="K144" s="25"/>
      <c r="L144" s="25"/>
      <c r="M144" s="25"/>
      <c r="N144" s="25"/>
      <c r="O144" s="25"/>
      <c r="P144" s="25"/>
      <c r="Q144" s="25"/>
      <c r="R144" s="25"/>
      <c r="S144" s="25"/>
      <c r="T144" s="25"/>
      <c r="U144" s="25"/>
      <c r="V144" s="53">
        <v>28505</v>
      </c>
      <c r="W144" s="25"/>
      <c r="X144" s="5"/>
    </row>
    <row r="145" spans="1:25" ht="15.6" x14ac:dyDescent="0.3">
      <c r="A145" s="24"/>
      <c r="B145" s="25" t="s">
        <v>136</v>
      </c>
      <c r="C145" s="25"/>
      <c r="D145" s="25"/>
      <c r="E145" s="25"/>
      <c r="F145" s="25"/>
      <c r="G145" s="25"/>
      <c r="H145" s="25"/>
      <c r="I145" s="25"/>
      <c r="J145" s="25"/>
      <c r="K145" s="25"/>
      <c r="L145" s="25"/>
      <c r="M145" s="25"/>
      <c r="N145" s="25"/>
      <c r="O145" s="25"/>
      <c r="P145" s="25"/>
      <c r="Q145" s="25"/>
      <c r="R145" s="25"/>
      <c r="S145" s="25"/>
      <c r="T145" s="25"/>
      <c r="U145" s="25"/>
      <c r="V145" s="53"/>
      <c r="W145" s="25"/>
      <c r="X145" s="5"/>
    </row>
    <row r="146" spans="1:25" ht="15.6" x14ac:dyDescent="0.3">
      <c r="A146" s="24"/>
      <c r="B146" s="25" t="s">
        <v>123</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124</v>
      </c>
      <c r="C147" s="25"/>
      <c r="D147" s="25"/>
      <c r="E147" s="25"/>
      <c r="F147" s="25"/>
      <c r="G147" s="25"/>
      <c r="H147" s="25"/>
      <c r="I147" s="25"/>
      <c r="J147" s="25"/>
      <c r="K147" s="25"/>
      <c r="L147" s="25"/>
      <c r="M147" s="25"/>
      <c r="N147" s="25"/>
      <c r="O147" s="25"/>
      <c r="P147" s="25"/>
      <c r="Q147" s="25"/>
      <c r="R147" s="25"/>
      <c r="S147" s="25"/>
      <c r="T147" s="25"/>
      <c r="U147" s="25"/>
      <c r="V147" s="53">
        <v>0</v>
      </c>
      <c r="W147" s="25"/>
      <c r="X147" s="5"/>
    </row>
    <row r="148" spans="1:25" ht="15.6" x14ac:dyDescent="0.3">
      <c r="A148" s="24"/>
      <c r="B148" s="25" t="s">
        <v>175</v>
      </c>
      <c r="C148" s="25"/>
      <c r="D148" s="25"/>
      <c r="E148" s="25"/>
      <c r="F148" s="25"/>
      <c r="G148" s="25"/>
      <c r="H148" s="25"/>
      <c r="I148" s="25"/>
      <c r="J148" s="25"/>
      <c r="K148" s="25"/>
      <c r="L148" s="25"/>
      <c r="M148" s="25"/>
      <c r="N148" s="25"/>
      <c r="O148" s="25"/>
      <c r="P148" s="25"/>
      <c r="Q148" s="25"/>
      <c r="R148" s="25"/>
      <c r="S148" s="25"/>
      <c r="T148" s="25"/>
      <c r="U148" s="25"/>
      <c r="V148" s="53">
        <v>0</v>
      </c>
      <c r="W148" s="25"/>
      <c r="X148" s="5"/>
    </row>
    <row r="149" spans="1:25" ht="15.6" x14ac:dyDescent="0.3">
      <c r="A149" s="24"/>
      <c r="B149" s="25" t="s">
        <v>45</v>
      </c>
      <c r="C149" s="25"/>
      <c r="D149" s="25"/>
      <c r="E149" s="25"/>
      <c r="F149" s="25"/>
      <c r="G149" s="25"/>
      <c r="H149" s="25"/>
      <c r="I149" s="25"/>
      <c r="J149" s="25"/>
      <c r="K149" s="25"/>
      <c r="L149" s="25"/>
      <c r="M149" s="25"/>
      <c r="N149" s="25"/>
      <c r="O149" s="25"/>
      <c r="P149" s="25"/>
      <c r="Q149" s="25"/>
      <c r="R149" s="25"/>
      <c r="S149" s="25"/>
      <c r="T149" s="25"/>
      <c r="U149" s="25"/>
      <c r="V149" s="53">
        <v>0</v>
      </c>
      <c r="W149" s="25"/>
      <c r="X149" s="5"/>
    </row>
    <row r="150" spans="1:25" ht="15.6" x14ac:dyDescent="0.3">
      <c r="A150" s="24"/>
      <c r="B150" s="25" t="s">
        <v>129</v>
      </c>
      <c r="C150" s="25"/>
      <c r="D150" s="25"/>
      <c r="E150" s="25"/>
      <c r="F150" s="25"/>
      <c r="G150" s="25"/>
      <c r="H150" s="25"/>
      <c r="I150" s="25"/>
      <c r="J150" s="25"/>
      <c r="K150" s="25"/>
      <c r="L150" s="25"/>
      <c r="M150" s="25"/>
      <c r="N150" s="25"/>
      <c r="O150" s="25"/>
      <c r="P150" s="25"/>
      <c r="Q150" s="25"/>
      <c r="R150" s="25"/>
      <c r="S150" s="25"/>
      <c r="T150" s="25"/>
      <c r="U150" s="25"/>
      <c r="V150" s="53">
        <v>0</v>
      </c>
      <c r="W150" s="25"/>
      <c r="X150" s="5"/>
    </row>
    <row r="151" spans="1:25" ht="15.6" x14ac:dyDescent="0.3">
      <c r="A151" s="24"/>
      <c r="B151" s="25" t="s">
        <v>267</v>
      </c>
      <c r="C151" s="25"/>
      <c r="D151" s="25"/>
      <c r="E151" s="25"/>
      <c r="F151" s="25"/>
      <c r="G151" s="25"/>
      <c r="H151" s="25"/>
      <c r="I151" s="25"/>
      <c r="J151" s="25"/>
      <c r="K151" s="25"/>
      <c r="L151" s="25"/>
      <c r="M151" s="25"/>
      <c r="N151" s="25"/>
      <c r="O151" s="25"/>
      <c r="P151" s="25"/>
      <c r="Q151" s="25"/>
      <c r="R151" s="25"/>
      <c r="S151" s="25"/>
      <c r="T151" s="25"/>
      <c r="U151" s="25"/>
      <c r="V151" s="53">
        <v>0</v>
      </c>
      <c r="W151" s="25"/>
      <c r="X151" s="5"/>
      <c r="Y151" s="109"/>
    </row>
    <row r="152" spans="1:25" ht="15.6" x14ac:dyDescent="0.3">
      <c r="A152" s="24"/>
      <c r="B152" s="25" t="s">
        <v>46</v>
      </c>
      <c r="C152" s="25"/>
      <c r="D152" s="25"/>
      <c r="E152" s="25"/>
      <c r="F152" s="25"/>
      <c r="G152" s="25"/>
      <c r="H152" s="25"/>
      <c r="I152" s="25"/>
      <c r="J152" s="25"/>
      <c r="K152" s="25"/>
      <c r="L152" s="25"/>
      <c r="M152" s="25"/>
      <c r="N152" s="25"/>
      <c r="O152" s="25"/>
      <c r="P152" s="25"/>
      <c r="Q152" s="25"/>
      <c r="R152" s="25"/>
      <c r="S152" s="25"/>
      <c r="T152" s="25"/>
      <c r="U152" s="25"/>
      <c r="V152" s="53">
        <f>SUM(V144:V151)</f>
        <v>28505</v>
      </c>
      <c r="W152" s="25"/>
      <c r="X152" s="5"/>
    </row>
    <row r="153" spans="1:25" ht="15.6" x14ac:dyDescent="0.3">
      <c r="A153" s="24"/>
      <c r="B153" s="25"/>
      <c r="C153" s="25"/>
      <c r="D153" s="25"/>
      <c r="E153" s="25"/>
      <c r="F153" s="25"/>
      <c r="G153" s="25"/>
      <c r="H153" s="25"/>
      <c r="I153" s="25"/>
      <c r="J153" s="25"/>
      <c r="K153" s="25"/>
      <c r="L153" s="25"/>
      <c r="M153" s="25"/>
      <c r="N153" s="25"/>
      <c r="O153" s="25"/>
      <c r="P153" s="25"/>
      <c r="Q153" s="25"/>
      <c r="R153" s="25"/>
      <c r="S153" s="25"/>
      <c r="T153" s="25"/>
      <c r="U153" s="25"/>
      <c r="V153" s="53"/>
      <c r="W153" s="25"/>
      <c r="X153" s="5"/>
    </row>
    <row r="154" spans="1:25" ht="15.6" x14ac:dyDescent="0.3">
      <c r="A154" s="24"/>
      <c r="B154" s="136" t="s">
        <v>237</v>
      </c>
      <c r="C154" s="25"/>
      <c r="D154" s="25"/>
      <c r="E154" s="25"/>
      <c r="F154" s="25"/>
      <c r="G154" s="25"/>
      <c r="H154" s="25"/>
      <c r="I154" s="25"/>
      <c r="J154" s="25"/>
      <c r="K154" s="25"/>
      <c r="L154" s="25"/>
      <c r="M154" s="25"/>
      <c r="N154" s="25"/>
      <c r="O154" s="25"/>
      <c r="P154" s="25"/>
      <c r="Q154" s="25"/>
      <c r="R154" s="25"/>
      <c r="S154" s="25"/>
      <c r="T154" s="25"/>
      <c r="U154" s="25"/>
      <c r="V154" s="53"/>
      <c r="W154" s="25"/>
      <c r="X154" s="5"/>
    </row>
    <row r="155" spans="1:25" ht="15.6" x14ac:dyDescent="0.3">
      <c r="A155" s="24"/>
      <c r="B155" s="25" t="s">
        <v>155</v>
      </c>
      <c r="C155" s="25"/>
      <c r="D155" s="25"/>
      <c r="E155" s="25"/>
      <c r="F155" s="25"/>
      <c r="G155" s="25"/>
      <c r="H155" s="25"/>
      <c r="I155" s="25"/>
      <c r="J155" s="25"/>
      <c r="K155" s="25"/>
      <c r="L155" s="25"/>
      <c r="M155" s="25"/>
      <c r="N155" s="25"/>
      <c r="O155" s="25"/>
      <c r="P155" s="25"/>
      <c r="Q155" s="25"/>
      <c r="R155" s="25"/>
      <c r="S155" s="25"/>
      <c r="T155" s="25"/>
      <c r="U155" s="25"/>
      <c r="V155" s="53">
        <v>7500</v>
      </c>
      <c r="W155" s="25"/>
      <c r="X155" s="5"/>
    </row>
    <row r="156" spans="1:25" ht="15.6" x14ac:dyDescent="0.3">
      <c r="A156" s="24"/>
      <c r="B156" s="25" t="s">
        <v>172</v>
      </c>
      <c r="C156" s="25"/>
      <c r="D156" s="25"/>
      <c r="E156" s="25"/>
      <c r="F156" s="25"/>
      <c r="G156" s="25"/>
      <c r="H156" s="25"/>
      <c r="I156" s="25"/>
      <c r="J156" s="25"/>
      <c r="K156" s="25"/>
      <c r="L156" s="25"/>
      <c r="M156" s="25"/>
      <c r="N156" s="25"/>
      <c r="O156" s="25"/>
      <c r="P156" s="25"/>
      <c r="Q156" s="25"/>
      <c r="R156" s="25"/>
      <c r="S156" s="25"/>
      <c r="T156" s="25"/>
      <c r="U156" s="25"/>
      <c r="V156" s="53">
        <v>0</v>
      </c>
      <c r="W156" s="25"/>
      <c r="X156" s="5"/>
    </row>
    <row r="157" spans="1:25" ht="15.6" x14ac:dyDescent="0.3">
      <c r="A157" s="24"/>
      <c r="B157" s="25" t="s">
        <v>241</v>
      </c>
      <c r="C157" s="25"/>
      <c r="D157" s="25"/>
      <c r="E157" s="25"/>
      <c r="F157" s="25"/>
      <c r="G157" s="25"/>
      <c r="H157" s="25"/>
      <c r="I157" s="25"/>
      <c r="J157" s="25"/>
      <c r="K157" s="25"/>
      <c r="L157" s="25"/>
      <c r="M157" s="25"/>
      <c r="N157" s="25"/>
      <c r="O157" s="25"/>
      <c r="P157" s="25"/>
      <c r="Q157" s="25"/>
      <c r="R157" s="25"/>
      <c r="S157" s="25"/>
      <c r="T157" s="25"/>
      <c r="U157" s="25"/>
      <c r="V157" s="53">
        <v>3000</v>
      </c>
      <c r="W157" s="25"/>
      <c r="X157" s="5"/>
    </row>
    <row r="158" spans="1:25" ht="15.6" x14ac:dyDescent="0.3">
      <c r="A158" s="24"/>
      <c r="B158" s="25"/>
      <c r="C158" s="25"/>
      <c r="D158" s="25"/>
      <c r="E158" s="25"/>
      <c r="F158" s="25"/>
      <c r="G158" s="25"/>
      <c r="H158" s="25"/>
      <c r="I158" s="25"/>
      <c r="J158" s="25"/>
      <c r="K158" s="25"/>
      <c r="L158" s="25"/>
      <c r="M158" s="25"/>
      <c r="N158" s="25"/>
      <c r="O158" s="25"/>
      <c r="P158" s="25"/>
      <c r="Q158" s="25"/>
      <c r="R158" s="25"/>
      <c r="S158" s="25"/>
      <c r="T158" s="25"/>
      <c r="U158" s="25"/>
      <c r="V158" s="53"/>
      <c r="W158" s="25"/>
      <c r="X158" s="5"/>
    </row>
    <row r="159" spans="1:25" ht="15.6" x14ac:dyDescent="0.3">
      <c r="A159" s="24"/>
      <c r="B159" s="25"/>
      <c r="C159" s="25"/>
      <c r="D159" s="25"/>
      <c r="E159" s="25"/>
      <c r="F159" s="25"/>
      <c r="G159" s="25"/>
      <c r="H159" s="25"/>
      <c r="I159" s="25"/>
      <c r="J159" s="25"/>
      <c r="K159" s="25"/>
      <c r="L159" s="25"/>
      <c r="M159" s="25"/>
      <c r="N159" s="25"/>
      <c r="O159" s="25"/>
      <c r="P159" s="25"/>
      <c r="Q159" s="25"/>
      <c r="R159" s="25"/>
      <c r="S159" s="25"/>
      <c r="T159" s="25"/>
      <c r="U159" s="25"/>
      <c r="V159" s="61"/>
      <c r="W159" s="25"/>
      <c r="X159" s="5"/>
    </row>
    <row r="160" spans="1:25" ht="15.6" x14ac:dyDescent="0.3">
      <c r="A160" s="6"/>
      <c r="B160" s="119" t="s">
        <v>24</v>
      </c>
      <c r="C160" s="8"/>
      <c r="D160" s="8"/>
      <c r="E160" s="8"/>
      <c r="F160" s="8"/>
      <c r="G160" s="8"/>
      <c r="H160" s="8"/>
      <c r="I160" s="8"/>
      <c r="J160" s="8"/>
      <c r="K160" s="8"/>
      <c r="L160" s="8"/>
      <c r="M160" s="8"/>
      <c r="N160" s="8"/>
      <c r="O160" s="8"/>
      <c r="P160" s="8"/>
      <c r="Q160" s="8"/>
      <c r="R160" s="8"/>
      <c r="S160" s="8"/>
      <c r="T160" s="8"/>
      <c r="U160" s="8"/>
      <c r="V160" s="52"/>
      <c r="W160" s="8"/>
      <c r="X160" s="5"/>
    </row>
    <row r="161" spans="1:256" ht="15.6" x14ac:dyDescent="0.3">
      <c r="A161" s="24"/>
      <c r="B161" s="25" t="s">
        <v>47</v>
      </c>
      <c r="C161" s="25"/>
      <c r="D161" s="25"/>
      <c r="E161" s="25"/>
      <c r="F161" s="25"/>
      <c r="G161" s="25"/>
      <c r="H161" s="25"/>
      <c r="I161" s="25"/>
      <c r="J161" s="25"/>
      <c r="K161" s="25"/>
      <c r="L161" s="25"/>
      <c r="M161" s="25"/>
      <c r="N161" s="25"/>
      <c r="O161" s="25"/>
      <c r="P161" s="25"/>
      <c r="Q161" s="25"/>
      <c r="R161" s="25"/>
      <c r="S161" s="25"/>
      <c r="T161" s="25"/>
      <c r="U161" s="25"/>
      <c r="V161" s="59" t="s">
        <v>118</v>
      </c>
      <c r="W161" s="25"/>
      <c r="X161" s="5"/>
    </row>
    <row r="162" spans="1:256" ht="15.6" x14ac:dyDescent="0.3">
      <c r="A162" s="24"/>
      <c r="B162" s="25" t="s">
        <v>48</v>
      </c>
      <c r="C162" s="174"/>
      <c r="D162" s="174"/>
      <c r="E162" s="174"/>
      <c r="F162" s="174"/>
      <c r="G162" s="174"/>
      <c r="H162" s="174"/>
      <c r="I162" s="174"/>
      <c r="J162" s="174"/>
      <c r="K162" s="174"/>
      <c r="L162" s="174"/>
      <c r="M162" s="174"/>
      <c r="N162" s="174"/>
      <c r="O162" s="174"/>
      <c r="P162" s="174"/>
      <c r="Q162" s="174"/>
      <c r="R162" s="174"/>
      <c r="S162" s="174"/>
      <c r="T162" s="174"/>
      <c r="U162" s="174"/>
      <c r="V162" s="59" t="s">
        <v>118</v>
      </c>
      <c r="W162" s="25"/>
      <c r="X162" s="5"/>
    </row>
    <row r="163" spans="1:256" ht="15.6" x14ac:dyDescent="0.3">
      <c r="A163" s="24"/>
      <c r="B163" s="25" t="s">
        <v>49</v>
      </c>
      <c r="C163" s="25"/>
      <c r="D163" s="25"/>
      <c r="E163" s="25"/>
      <c r="F163" s="25"/>
      <c r="G163" s="25"/>
      <c r="H163" s="25"/>
      <c r="I163" s="25"/>
      <c r="J163" s="25"/>
      <c r="K163" s="25"/>
      <c r="L163" s="25"/>
      <c r="M163" s="25"/>
      <c r="N163" s="25"/>
      <c r="O163" s="25"/>
      <c r="P163" s="25"/>
      <c r="Q163" s="25"/>
      <c r="R163" s="25"/>
      <c r="S163" s="25"/>
      <c r="T163" s="25"/>
      <c r="U163" s="25"/>
      <c r="V163" s="59" t="s">
        <v>118</v>
      </c>
      <c r="W163" s="25"/>
      <c r="X163" s="5"/>
    </row>
    <row r="164" spans="1:256" ht="15.6" x14ac:dyDescent="0.3">
      <c r="A164" s="24"/>
      <c r="B164" s="25" t="s">
        <v>50</v>
      </c>
      <c r="C164" s="25"/>
      <c r="D164" s="25"/>
      <c r="E164" s="25"/>
      <c r="F164" s="25"/>
      <c r="G164" s="25"/>
      <c r="H164" s="25"/>
      <c r="I164" s="25"/>
      <c r="J164" s="25"/>
      <c r="K164" s="25"/>
      <c r="L164" s="25"/>
      <c r="M164" s="25"/>
      <c r="N164" s="25"/>
      <c r="O164" s="25"/>
      <c r="P164" s="25"/>
      <c r="Q164" s="25"/>
      <c r="R164" s="25"/>
      <c r="S164" s="25"/>
      <c r="T164" s="25"/>
      <c r="U164" s="25"/>
      <c r="V164" s="59" t="s">
        <v>118</v>
      </c>
      <c r="W164" s="25"/>
      <c r="X164" s="5"/>
    </row>
    <row r="165" spans="1:256" ht="15.6" x14ac:dyDescent="0.3">
      <c r="A165" s="24"/>
      <c r="B165" s="25"/>
      <c r="C165" s="25"/>
      <c r="D165" s="25"/>
      <c r="E165" s="25"/>
      <c r="F165" s="25"/>
      <c r="G165" s="25"/>
      <c r="H165" s="25"/>
      <c r="I165" s="25"/>
      <c r="J165" s="25"/>
      <c r="K165" s="25"/>
      <c r="L165" s="25"/>
      <c r="M165" s="25"/>
      <c r="N165" s="25"/>
      <c r="O165" s="25"/>
      <c r="P165" s="25"/>
      <c r="Q165" s="25"/>
      <c r="R165" s="25"/>
      <c r="S165" s="25"/>
      <c r="T165" s="25"/>
      <c r="U165" s="25"/>
      <c r="V165" s="61"/>
      <c r="W165" s="25"/>
      <c r="X165" s="5"/>
    </row>
    <row r="166" spans="1:256" ht="15.6" x14ac:dyDescent="0.3">
      <c r="A166" s="6"/>
      <c r="B166" s="119" t="s">
        <v>51</v>
      </c>
      <c r="C166" s="8"/>
      <c r="D166" s="8"/>
      <c r="E166" s="8"/>
      <c r="F166" s="8"/>
      <c r="G166" s="8"/>
      <c r="H166" s="8"/>
      <c r="I166" s="8"/>
      <c r="J166" s="8"/>
      <c r="K166" s="8"/>
      <c r="L166" s="8"/>
      <c r="M166" s="8"/>
      <c r="N166" s="8"/>
      <c r="O166" s="8"/>
      <c r="P166" s="8"/>
      <c r="Q166" s="8"/>
      <c r="R166" s="8"/>
      <c r="S166" s="8"/>
      <c r="T166" s="8"/>
      <c r="U166" s="8"/>
      <c r="V166" s="63"/>
      <c r="W166" s="8"/>
      <c r="X166" s="5"/>
    </row>
    <row r="167" spans="1:256" ht="15.6" x14ac:dyDescent="0.3">
      <c r="A167" s="24"/>
      <c r="B167" s="25" t="s">
        <v>52</v>
      </c>
      <c r="C167" s="25"/>
      <c r="D167" s="25"/>
      <c r="E167" s="25"/>
      <c r="F167" s="25"/>
      <c r="G167" s="25"/>
      <c r="H167" s="25"/>
      <c r="I167" s="25"/>
      <c r="J167" s="25"/>
      <c r="K167" s="25"/>
      <c r="L167" s="25"/>
      <c r="M167" s="25"/>
      <c r="N167" s="25"/>
      <c r="O167" s="25"/>
      <c r="P167" s="25"/>
      <c r="Q167" s="25"/>
      <c r="R167" s="25"/>
      <c r="S167" s="25"/>
      <c r="T167" s="25"/>
      <c r="U167" s="25"/>
      <c r="V167" s="53">
        <v>0</v>
      </c>
      <c r="W167" s="25"/>
      <c r="X167" s="5"/>
    </row>
    <row r="168" spans="1:256" ht="15.6" x14ac:dyDescent="0.3">
      <c r="A168" s="24"/>
      <c r="B168" s="25" t="s">
        <v>53</v>
      </c>
      <c r="C168" s="25"/>
      <c r="D168" s="25"/>
      <c r="E168" s="25"/>
      <c r="F168" s="25"/>
      <c r="G168" s="25"/>
      <c r="H168" s="25"/>
      <c r="I168" s="25"/>
      <c r="J168" s="25"/>
      <c r="K168" s="25"/>
      <c r="L168" s="25"/>
      <c r="M168" s="25"/>
      <c r="N168" s="25"/>
      <c r="O168" s="25"/>
      <c r="P168" s="25"/>
      <c r="Q168" s="25"/>
      <c r="R168" s="25"/>
      <c r="S168" s="25"/>
      <c r="T168" s="25"/>
      <c r="U168" s="25"/>
      <c r="V168" s="53">
        <f>T116</f>
        <v>-5</v>
      </c>
      <c r="W168" s="25"/>
      <c r="X168" s="5"/>
    </row>
    <row r="169" spans="1:256" ht="15.6" x14ac:dyDescent="0.3">
      <c r="A169" s="24"/>
      <c r="B169" s="25" t="s">
        <v>54</v>
      </c>
      <c r="C169" s="25"/>
      <c r="D169" s="25"/>
      <c r="E169" s="25"/>
      <c r="F169" s="25"/>
      <c r="G169" s="25"/>
      <c r="H169" s="25"/>
      <c r="I169" s="25"/>
      <c r="J169" s="25"/>
      <c r="K169" s="25"/>
      <c r="L169" s="25"/>
      <c r="M169" s="25"/>
      <c r="N169" s="25"/>
      <c r="O169" s="25"/>
      <c r="P169" s="25"/>
      <c r="Q169" s="25"/>
      <c r="R169" s="25"/>
      <c r="S169" s="25"/>
      <c r="T169" s="25"/>
      <c r="U169" s="25"/>
      <c r="V169" s="53">
        <f>V168+V167</f>
        <v>-5</v>
      </c>
      <c r="W169" s="25"/>
      <c r="X169" s="5"/>
    </row>
    <row r="170" spans="1:256" ht="15.6" x14ac:dyDescent="0.3">
      <c r="A170" s="24"/>
      <c r="B170" s="25" t="s">
        <v>315</v>
      </c>
      <c r="C170" s="25"/>
      <c r="D170" s="25"/>
      <c r="E170" s="25"/>
      <c r="F170" s="25"/>
      <c r="G170" s="25"/>
      <c r="H170" s="25"/>
      <c r="I170" s="25"/>
      <c r="J170" s="25"/>
      <c r="K170" s="25"/>
      <c r="L170" s="25"/>
      <c r="M170" s="25"/>
      <c r="N170" s="25"/>
      <c r="O170" s="25"/>
      <c r="P170" s="25"/>
      <c r="Q170" s="25"/>
      <c r="R170" s="25"/>
      <c r="S170" s="25"/>
      <c r="T170" s="25"/>
      <c r="U170" s="25"/>
      <c r="V170" s="53">
        <f>V116</f>
        <v>5</v>
      </c>
      <c r="W170" s="25"/>
      <c r="X170" s="5"/>
    </row>
    <row r="171" spans="1:256" ht="15.6" x14ac:dyDescent="0.3">
      <c r="A171" s="24"/>
      <c r="B171" s="25" t="s">
        <v>55</v>
      </c>
      <c r="C171" s="25"/>
      <c r="D171" s="25"/>
      <c r="E171" s="25"/>
      <c r="F171" s="25"/>
      <c r="G171" s="25"/>
      <c r="H171" s="25"/>
      <c r="I171" s="25"/>
      <c r="J171" s="25"/>
      <c r="K171" s="25"/>
      <c r="L171" s="25"/>
      <c r="M171" s="25"/>
      <c r="N171" s="25"/>
      <c r="O171" s="25"/>
      <c r="P171" s="25"/>
      <c r="Q171" s="25"/>
      <c r="R171" s="25"/>
      <c r="S171" s="25"/>
      <c r="T171" s="25"/>
      <c r="U171" s="25"/>
      <c r="V171" s="53">
        <f>V169+V170</f>
        <v>0</v>
      </c>
      <c r="W171" s="25"/>
      <c r="X171" s="5"/>
    </row>
    <row r="172" spans="1:256" ht="16.2" thickBot="1" x14ac:dyDescent="0.35">
      <c r="A172" s="24"/>
      <c r="B172" s="25"/>
      <c r="C172" s="25"/>
      <c r="D172" s="25"/>
      <c r="E172" s="25"/>
      <c r="F172" s="25"/>
      <c r="G172" s="25"/>
      <c r="H172" s="25"/>
      <c r="I172" s="25"/>
      <c r="J172" s="25"/>
      <c r="K172" s="25"/>
      <c r="L172" s="25"/>
      <c r="M172" s="25"/>
      <c r="N172" s="25"/>
      <c r="O172" s="25"/>
      <c r="P172" s="25"/>
      <c r="Q172" s="25"/>
      <c r="R172" s="25"/>
      <c r="S172" s="25"/>
      <c r="T172" s="25"/>
      <c r="U172" s="25"/>
      <c r="V172" s="61"/>
      <c r="W172" s="25"/>
      <c r="X172" s="5"/>
    </row>
    <row r="173" spans="1:256" ht="15.6" x14ac:dyDescent="0.3">
      <c r="A173" s="2"/>
      <c r="B173" s="4"/>
      <c r="C173" s="4"/>
      <c r="D173" s="4"/>
      <c r="E173" s="4"/>
      <c r="F173" s="4"/>
      <c r="G173" s="4"/>
      <c r="H173" s="4"/>
      <c r="I173" s="4"/>
      <c r="J173" s="4"/>
      <c r="K173" s="4"/>
      <c r="L173" s="4"/>
      <c r="M173" s="4"/>
      <c r="N173" s="4"/>
      <c r="O173" s="4"/>
      <c r="P173" s="4"/>
      <c r="Q173" s="4"/>
      <c r="R173" s="4"/>
      <c r="S173" s="4"/>
      <c r="T173" s="4"/>
      <c r="U173" s="4"/>
      <c r="V173" s="50"/>
      <c r="W173" s="4"/>
      <c r="X173" s="5"/>
    </row>
    <row r="174" spans="1:256" s="161" customFormat="1" ht="15.6" x14ac:dyDescent="0.3">
      <c r="A174" s="6"/>
      <c r="B174" s="119" t="s">
        <v>269</v>
      </c>
      <c r="C174" s="160"/>
      <c r="D174" s="160"/>
      <c r="E174" s="160"/>
      <c r="F174" s="160"/>
      <c r="G174" s="160"/>
      <c r="H174" s="160"/>
      <c r="I174" s="160"/>
      <c r="J174" s="160"/>
      <c r="K174" s="160"/>
      <c r="L174" s="160"/>
      <c r="M174" s="160"/>
      <c r="N174" s="160"/>
      <c r="O174" s="160"/>
      <c r="P174" s="160"/>
      <c r="Q174" s="160"/>
      <c r="R174" s="160"/>
      <c r="S174" s="160"/>
      <c r="T174" s="160"/>
      <c r="U174" s="160"/>
      <c r="V174" s="168"/>
      <c r="W174" s="160"/>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5.6" x14ac:dyDescent="0.3">
      <c r="A175" s="24"/>
      <c r="B175" s="162" t="s">
        <v>270</v>
      </c>
      <c r="C175" s="162"/>
      <c r="D175" s="162"/>
      <c r="E175" s="162"/>
      <c r="F175" s="162"/>
      <c r="G175" s="162"/>
      <c r="H175" s="162"/>
      <c r="I175" s="162"/>
      <c r="J175" s="162"/>
      <c r="K175" s="162"/>
      <c r="L175" s="162"/>
      <c r="M175" s="162"/>
      <c r="N175" s="162"/>
      <c r="O175" s="162"/>
      <c r="P175" s="162"/>
      <c r="Q175" s="162"/>
      <c r="R175" s="162"/>
      <c r="S175" s="162"/>
      <c r="T175" s="162"/>
      <c r="U175" s="162"/>
      <c r="V175" s="169">
        <f>+'Feb 08'!V177</f>
        <v>1142</v>
      </c>
      <c r="W175" s="162"/>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3" customFormat="1" ht="15.6" x14ac:dyDescent="0.3">
      <c r="A176" s="24"/>
      <c r="B176" s="162" t="s">
        <v>273</v>
      </c>
      <c r="C176" s="162"/>
      <c r="D176" s="162"/>
      <c r="E176" s="162"/>
      <c r="F176" s="162"/>
      <c r="G176" s="162"/>
      <c r="H176" s="162"/>
      <c r="I176" s="162"/>
      <c r="J176" s="162"/>
      <c r="K176" s="162"/>
      <c r="L176" s="162"/>
      <c r="M176" s="162"/>
      <c r="N176" s="162"/>
      <c r="O176" s="162"/>
      <c r="P176" s="162"/>
      <c r="Q176" s="162"/>
      <c r="R176" s="162"/>
      <c r="S176" s="162"/>
      <c r="T176" s="162"/>
      <c r="U176" s="162"/>
      <c r="V176" s="169">
        <f>+V95</f>
        <v>629</v>
      </c>
      <c r="W176" s="162"/>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s="163" customFormat="1" ht="15.6" x14ac:dyDescent="0.3">
      <c r="A177" s="24"/>
      <c r="B177" s="162" t="s">
        <v>271</v>
      </c>
      <c r="C177" s="162"/>
      <c r="D177" s="162"/>
      <c r="E177" s="162"/>
      <c r="F177" s="162"/>
      <c r="G177" s="162"/>
      <c r="H177" s="162"/>
      <c r="I177" s="162"/>
      <c r="J177" s="162"/>
      <c r="K177" s="162"/>
      <c r="L177" s="162"/>
      <c r="M177" s="162"/>
      <c r="N177" s="162"/>
      <c r="O177" s="162"/>
      <c r="P177" s="162"/>
      <c r="Q177" s="162"/>
      <c r="R177" s="162"/>
      <c r="S177" s="162"/>
      <c r="T177" s="162"/>
      <c r="U177" s="162"/>
      <c r="V177" s="169">
        <f>+V175-V176</f>
        <v>513</v>
      </c>
      <c r="W177" s="162"/>
      <c r="X177" s="5"/>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s="166" customFormat="1" ht="16.2" thickBot="1" x14ac:dyDescent="0.35">
      <c r="A178" s="170"/>
      <c r="B178" s="164"/>
      <c r="C178" s="164"/>
      <c r="D178" s="164"/>
      <c r="E178" s="164"/>
      <c r="F178" s="164"/>
      <c r="G178" s="164"/>
      <c r="H178" s="164"/>
      <c r="I178" s="164"/>
      <c r="J178" s="164"/>
      <c r="K178" s="164"/>
      <c r="L178" s="164"/>
      <c r="M178" s="164"/>
      <c r="N178" s="164"/>
      <c r="O178" s="164"/>
      <c r="P178" s="164"/>
      <c r="Q178" s="164"/>
      <c r="R178" s="164"/>
      <c r="S178" s="164"/>
      <c r="T178" s="164"/>
      <c r="U178" s="164"/>
      <c r="V178" s="165"/>
      <c r="W178" s="164"/>
      <c r="X178" s="5"/>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s="167" customFormat="1" ht="15.6" x14ac:dyDescent="0.3">
      <c r="A179" s="2"/>
      <c r="B179" s="4"/>
      <c r="C179" s="4"/>
      <c r="D179" s="4"/>
      <c r="E179" s="4"/>
      <c r="F179" s="4"/>
      <c r="G179" s="4"/>
      <c r="H179" s="4"/>
      <c r="I179" s="4"/>
      <c r="J179" s="4"/>
      <c r="K179" s="4"/>
      <c r="L179" s="4"/>
      <c r="M179" s="4"/>
      <c r="N179" s="4"/>
      <c r="O179" s="4"/>
      <c r="P179" s="4"/>
      <c r="Q179" s="4"/>
      <c r="R179" s="4"/>
      <c r="S179" s="4"/>
      <c r="T179" s="4"/>
      <c r="U179" s="4"/>
      <c r="V179" s="50"/>
      <c r="W179" s="4"/>
      <c r="X179" s="5"/>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ht="15.6" x14ac:dyDescent="0.3">
      <c r="A180" s="6"/>
      <c r="B180" s="119" t="s">
        <v>56</v>
      </c>
      <c r="C180" s="8"/>
      <c r="D180" s="8"/>
      <c r="E180" s="8"/>
      <c r="F180" s="8"/>
      <c r="G180" s="8"/>
      <c r="H180" s="8"/>
      <c r="I180" s="8"/>
      <c r="J180" s="8"/>
      <c r="K180" s="8"/>
      <c r="L180" s="8"/>
      <c r="M180" s="8"/>
      <c r="N180" s="8"/>
      <c r="O180" s="8"/>
      <c r="P180" s="8"/>
      <c r="Q180" s="8"/>
      <c r="R180" s="8"/>
      <c r="S180" s="8"/>
      <c r="T180" s="8"/>
      <c r="U180" s="8"/>
      <c r="V180" s="52"/>
      <c r="W180" s="8"/>
      <c r="X180" s="5"/>
    </row>
    <row r="181" spans="1:256" ht="15.6" x14ac:dyDescent="0.3">
      <c r="A181" s="6"/>
      <c r="B181" s="21"/>
      <c r="C181" s="8"/>
      <c r="D181" s="8"/>
      <c r="E181" s="8"/>
      <c r="F181" s="8"/>
      <c r="G181" s="8"/>
      <c r="H181" s="8"/>
      <c r="I181" s="8"/>
      <c r="J181" s="8"/>
      <c r="K181" s="8"/>
      <c r="L181" s="8"/>
      <c r="M181" s="8"/>
      <c r="N181" s="8"/>
      <c r="O181" s="8"/>
      <c r="P181" s="8"/>
      <c r="Q181" s="8"/>
      <c r="R181" s="8"/>
      <c r="S181" s="8"/>
      <c r="T181" s="8"/>
      <c r="U181" s="8"/>
      <c r="V181" s="52"/>
      <c r="W181" s="8"/>
      <c r="X181" s="5"/>
    </row>
    <row r="182" spans="1:256" ht="15.6" x14ac:dyDescent="0.3">
      <c r="A182" s="24"/>
      <c r="B182" s="25" t="s">
        <v>57</v>
      </c>
      <c r="C182" s="25"/>
      <c r="D182" s="25"/>
      <c r="E182" s="25"/>
      <c r="F182" s="25"/>
      <c r="G182" s="25"/>
      <c r="H182" s="25"/>
      <c r="I182" s="25"/>
      <c r="J182" s="25"/>
      <c r="K182" s="25"/>
      <c r="L182" s="25"/>
      <c r="M182" s="25"/>
      <c r="N182" s="25"/>
      <c r="O182" s="25"/>
      <c r="P182" s="25"/>
      <c r="Q182" s="25"/>
      <c r="R182" s="25"/>
      <c r="S182" s="25"/>
      <c r="T182" s="25"/>
      <c r="U182" s="25"/>
      <c r="V182" s="53">
        <f>V72</f>
        <v>1348243</v>
      </c>
      <c r="W182" s="25"/>
      <c r="X182" s="5"/>
    </row>
    <row r="183" spans="1:256" ht="15.6" x14ac:dyDescent="0.3">
      <c r="A183" s="24"/>
      <c r="B183" s="25" t="s">
        <v>58</v>
      </c>
      <c r="C183" s="25"/>
      <c r="D183" s="25"/>
      <c r="E183" s="25"/>
      <c r="F183" s="25"/>
      <c r="G183" s="25"/>
      <c r="H183" s="25"/>
      <c r="I183" s="25"/>
      <c r="J183" s="25"/>
      <c r="K183" s="25"/>
      <c r="L183" s="25"/>
      <c r="M183" s="25"/>
      <c r="N183" s="25"/>
      <c r="O183" s="25"/>
      <c r="P183" s="25"/>
      <c r="Q183" s="25"/>
      <c r="R183" s="25"/>
      <c r="S183" s="25"/>
      <c r="T183" s="25"/>
      <c r="U183" s="25"/>
      <c r="V183" s="53">
        <f>V85</f>
        <v>1348243</v>
      </c>
      <c r="W183" s="25"/>
      <c r="X183" s="5"/>
    </row>
    <row r="184" spans="1:256" ht="16.2" thickBot="1" x14ac:dyDescent="0.35">
      <c r="A184" s="24"/>
      <c r="B184" s="25"/>
      <c r="C184" s="25"/>
      <c r="D184" s="25"/>
      <c r="E184" s="25"/>
      <c r="F184" s="25"/>
      <c r="G184" s="25"/>
      <c r="H184" s="25"/>
      <c r="I184" s="25"/>
      <c r="J184" s="25"/>
      <c r="K184" s="25"/>
      <c r="L184" s="25"/>
      <c r="M184" s="25"/>
      <c r="N184" s="25"/>
      <c r="O184" s="25"/>
      <c r="P184" s="25"/>
      <c r="Q184" s="25"/>
      <c r="R184" s="25"/>
      <c r="S184" s="25"/>
      <c r="T184" s="25"/>
      <c r="U184" s="25"/>
      <c r="V184" s="61"/>
      <c r="W184" s="25"/>
      <c r="X184" s="5"/>
    </row>
    <row r="185" spans="1:256" ht="15.6" x14ac:dyDescent="0.3">
      <c r="A185" s="2"/>
      <c r="B185" s="4"/>
      <c r="C185" s="4"/>
      <c r="D185" s="4"/>
      <c r="E185" s="4"/>
      <c r="F185" s="4"/>
      <c r="G185" s="4"/>
      <c r="H185" s="4"/>
      <c r="I185" s="4"/>
      <c r="J185" s="4"/>
      <c r="K185" s="4"/>
      <c r="L185" s="4"/>
      <c r="M185" s="4"/>
      <c r="N185" s="4"/>
      <c r="O185" s="4"/>
      <c r="P185" s="4"/>
      <c r="Q185" s="4"/>
      <c r="R185" s="4"/>
      <c r="S185" s="4"/>
      <c r="T185" s="4"/>
      <c r="U185" s="4"/>
      <c r="V185" s="50"/>
      <c r="W185" s="4"/>
      <c r="X185" s="5"/>
    </row>
    <row r="186" spans="1:256" ht="15.6" x14ac:dyDescent="0.3">
      <c r="A186" s="6"/>
      <c r="B186" s="119" t="s">
        <v>59</v>
      </c>
      <c r="C186" s="117"/>
      <c r="D186" s="117"/>
      <c r="E186" s="117"/>
      <c r="F186" s="117"/>
      <c r="G186" s="117"/>
      <c r="H186" s="120"/>
      <c r="I186" s="120"/>
      <c r="J186" s="120"/>
      <c r="K186" s="120"/>
      <c r="L186" s="120"/>
      <c r="M186" s="120"/>
      <c r="N186" s="120"/>
      <c r="O186" s="120"/>
      <c r="P186" s="120"/>
      <c r="Q186" s="120"/>
      <c r="R186" s="120"/>
      <c r="S186" s="120" t="s">
        <v>101</v>
      </c>
      <c r="T186" s="120" t="s">
        <v>176</v>
      </c>
      <c r="U186" s="111"/>
      <c r="V186" s="121" t="s">
        <v>114</v>
      </c>
      <c r="W186" s="10"/>
      <c r="X186" s="5"/>
    </row>
    <row r="187" spans="1:256" ht="15.6" x14ac:dyDescent="0.3">
      <c r="A187" s="24"/>
      <c r="B187" s="25" t="s">
        <v>60</v>
      </c>
      <c r="C187" s="25"/>
      <c r="D187" s="25"/>
      <c r="E187" s="25"/>
      <c r="F187" s="25"/>
      <c r="G187" s="25"/>
      <c r="H187" s="25"/>
      <c r="I187" s="25"/>
      <c r="J187" s="25"/>
      <c r="K187" s="25"/>
      <c r="L187" s="25"/>
      <c r="M187" s="25"/>
      <c r="N187" s="25"/>
      <c r="O187" s="25"/>
      <c r="P187" s="25"/>
      <c r="Q187" s="25"/>
      <c r="R187" s="25"/>
      <c r="S187" s="53">
        <f>+V34*0.16</f>
        <v>240044</v>
      </c>
      <c r="T187" s="40"/>
      <c r="U187" s="25"/>
      <c r="V187" s="53"/>
      <c r="W187" s="25"/>
      <c r="X187" s="5"/>
    </row>
    <row r="188" spans="1:256" ht="15.6" x14ac:dyDescent="0.3">
      <c r="A188" s="24"/>
      <c r="B188" s="25" t="s">
        <v>61</v>
      </c>
      <c r="C188" s="25"/>
      <c r="D188" s="25"/>
      <c r="E188" s="25"/>
      <c r="F188" s="25"/>
      <c r="G188" s="25"/>
      <c r="H188" s="25"/>
      <c r="I188" s="25"/>
      <c r="J188" s="25"/>
      <c r="K188" s="25"/>
      <c r="L188" s="25"/>
      <c r="M188" s="25"/>
      <c r="N188" s="25"/>
      <c r="O188" s="25"/>
      <c r="P188" s="25"/>
      <c r="Q188" s="25"/>
      <c r="R188" s="25"/>
      <c r="S188" s="53">
        <f>+'Feb 08'!S190</f>
        <v>14650</v>
      </c>
      <c r="T188" s="53">
        <f>+'Feb 08'!T190</f>
        <v>5360</v>
      </c>
      <c r="U188" s="25"/>
      <c r="V188" s="53">
        <f>S188+T188</f>
        <v>20010</v>
      </c>
      <c r="W188" s="25"/>
      <c r="X188" s="5"/>
    </row>
    <row r="189" spans="1:256" ht="15.6" x14ac:dyDescent="0.3">
      <c r="A189" s="24"/>
      <c r="B189" s="25" t="s">
        <v>62</v>
      </c>
      <c r="C189" s="25"/>
      <c r="D189" s="25"/>
      <c r="E189" s="25"/>
      <c r="F189" s="25"/>
      <c r="G189" s="25"/>
      <c r="H189" s="25"/>
      <c r="I189" s="25"/>
      <c r="J189" s="25"/>
      <c r="K189" s="25"/>
      <c r="L189" s="25"/>
      <c r="M189" s="25"/>
      <c r="N189" s="25"/>
      <c r="O189" s="25"/>
      <c r="P189" s="25"/>
      <c r="Q189" s="25"/>
      <c r="R189" s="25"/>
      <c r="S189" s="34">
        <v>3537</v>
      </c>
      <c r="T189" s="34">
        <v>228</v>
      </c>
      <c r="U189" s="25"/>
      <c r="V189" s="53">
        <f>S189+T189</f>
        <v>3765</v>
      </c>
      <c r="W189" s="25"/>
      <c r="X189" s="5"/>
    </row>
    <row r="190" spans="1:256" ht="15.6" x14ac:dyDescent="0.3">
      <c r="A190" s="24"/>
      <c r="B190" s="25" t="s">
        <v>63</v>
      </c>
      <c r="C190" s="25"/>
      <c r="D190" s="25"/>
      <c r="E190" s="25"/>
      <c r="F190" s="25"/>
      <c r="G190" s="25"/>
      <c r="H190" s="25"/>
      <c r="I190" s="25"/>
      <c r="J190" s="25"/>
      <c r="K190" s="25"/>
      <c r="L190" s="25"/>
      <c r="M190" s="25"/>
      <c r="N190" s="25"/>
      <c r="O190" s="25"/>
      <c r="P190" s="25"/>
      <c r="Q190" s="25"/>
      <c r="R190" s="25"/>
      <c r="S190" s="53">
        <f>S188+S189</f>
        <v>18187</v>
      </c>
      <c r="T190" s="53">
        <f>T189+T188</f>
        <v>5588</v>
      </c>
      <c r="U190" s="25"/>
      <c r="V190" s="53">
        <f>S190+T190</f>
        <v>23775</v>
      </c>
      <c r="W190" s="25"/>
      <c r="X190" s="5"/>
    </row>
    <row r="191" spans="1:256" ht="15.6" x14ac:dyDescent="0.3">
      <c r="A191" s="24"/>
      <c r="B191" s="25" t="s">
        <v>64</v>
      </c>
      <c r="C191" s="25"/>
      <c r="D191" s="25"/>
      <c r="E191" s="25"/>
      <c r="F191" s="25"/>
      <c r="G191" s="25"/>
      <c r="H191" s="25"/>
      <c r="I191" s="25"/>
      <c r="J191" s="25"/>
      <c r="K191" s="25"/>
      <c r="L191" s="25"/>
      <c r="M191" s="25"/>
      <c r="N191" s="25"/>
      <c r="O191" s="25"/>
      <c r="P191" s="25"/>
      <c r="Q191" s="25"/>
      <c r="R191" s="25"/>
      <c r="S191" s="53">
        <f>S187-S190-T190</f>
        <v>216269</v>
      </c>
      <c r="T191" s="40"/>
      <c r="U191" s="25"/>
      <c r="V191" s="53"/>
      <c r="W191" s="25"/>
      <c r="X191" s="5"/>
    </row>
    <row r="192" spans="1:256" ht="16.2" thickBot="1" x14ac:dyDescent="0.35">
      <c r="A192" s="24"/>
      <c r="B192" s="25"/>
      <c r="C192" s="25"/>
      <c r="D192" s="25"/>
      <c r="E192" s="25"/>
      <c r="F192" s="25"/>
      <c r="G192" s="25"/>
      <c r="H192" s="25"/>
      <c r="I192" s="25"/>
      <c r="J192" s="25"/>
      <c r="K192" s="25"/>
      <c r="L192" s="25"/>
      <c r="M192" s="25"/>
      <c r="N192" s="25"/>
      <c r="O192" s="25"/>
      <c r="P192" s="25"/>
      <c r="Q192" s="25"/>
      <c r="R192" s="25"/>
      <c r="S192" s="25"/>
      <c r="T192" s="25"/>
      <c r="U192" s="25"/>
      <c r="V192" s="61"/>
      <c r="W192" s="25"/>
      <c r="X192" s="5"/>
    </row>
    <row r="193" spans="1:24" ht="15.6" x14ac:dyDescent="0.3">
      <c r="A193" s="2"/>
      <c r="B193" s="4"/>
      <c r="C193" s="4"/>
      <c r="D193" s="4"/>
      <c r="E193" s="4"/>
      <c r="F193" s="4"/>
      <c r="G193" s="4"/>
      <c r="H193" s="4"/>
      <c r="I193" s="4"/>
      <c r="J193" s="4"/>
      <c r="K193" s="4"/>
      <c r="L193" s="4"/>
      <c r="M193" s="4"/>
      <c r="N193" s="4"/>
      <c r="O193" s="4"/>
      <c r="P193" s="4"/>
      <c r="Q193" s="4"/>
      <c r="R193" s="4"/>
      <c r="S193" s="4"/>
      <c r="T193" s="4"/>
      <c r="U193" s="4"/>
      <c r="V193" s="50"/>
      <c r="W193" s="4"/>
      <c r="X193" s="5"/>
    </row>
    <row r="194" spans="1:24" ht="15.6" x14ac:dyDescent="0.3">
      <c r="A194" s="6"/>
      <c r="B194" s="119" t="s">
        <v>65</v>
      </c>
      <c r="C194" s="8"/>
      <c r="D194" s="8"/>
      <c r="E194" s="8"/>
      <c r="F194" s="8"/>
      <c r="G194" s="8"/>
      <c r="H194" s="8"/>
      <c r="I194" s="8"/>
      <c r="J194" s="8"/>
      <c r="K194" s="8"/>
      <c r="L194" s="8"/>
      <c r="M194" s="8"/>
      <c r="N194" s="8"/>
      <c r="O194" s="8"/>
      <c r="P194" s="8"/>
      <c r="Q194" s="8"/>
      <c r="R194" s="8"/>
      <c r="S194" s="8"/>
      <c r="T194" s="8"/>
      <c r="U194" s="8"/>
      <c r="V194" s="65"/>
      <c r="W194" s="8"/>
      <c r="X194" s="5"/>
    </row>
    <row r="195" spans="1:24" ht="15.6" x14ac:dyDescent="0.3">
      <c r="A195" s="24"/>
      <c r="B195" s="25" t="s">
        <v>66</v>
      </c>
      <c r="C195" s="25"/>
      <c r="D195" s="25"/>
      <c r="E195" s="25"/>
      <c r="F195" s="25"/>
      <c r="G195" s="25"/>
      <c r="H195" s="25"/>
      <c r="I195" s="25"/>
      <c r="J195" s="25"/>
      <c r="K195" s="25"/>
      <c r="L195" s="25"/>
      <c r="M195" s="25"/>
      <c r="N195" s="25"/>
      <c r="O195" s="25"/>
      <c r="P195" s="25"/>
      <c r="Q195" s="25"/>
      <c r="R195" s="25"/>
      <c r="S195" s="25"/>
      <c r="T195" s="25"/>
      <c r="U195" s="25"/>
      <c r="V195" s="59">
        <f>(V102+V104+V105+V106+V107)/-(V108+V109)</f>
        <v>1.4460007781668611</v>
      </c>
      <c r="W195" s="25" t="s">
        <v>115</v>
      </c>
      <c r="X195" s="5"/>
    </row>
    <row r="196" spans="1:24" ht="15.6" x14ac:dyDescent="0.3">
      <c r="A196" s="24"/>
      <c r="B196" s="25" t="s">
        <v>67</v>
      </c>
      <c r="C196" s="25"/>
      <c r="D196" s="25"/>
      <c r="E196" s="25"/>
      <c r="F196" s="25"/>
      <c r="G196" s="25"/>
      <c r="H196" s="25"/>
      <c r="I196" s="25"/>
      <c r="J196" s="25"/>
      <c r="K196" s="25"/>
      <c r="L196" s="25"/>
      <c r="M196" s="25"/>
      <c r="N196" s="25"/>
      <c r="O196" s="25"/>
      <c r="P196" s="25"/>
      <c r="Q196" s="25"/>
      <c r="R196" s="25"/>
      <c r="S196" s="25"/>
      <c r="T196" s="25"/>
      <c r="U196" s="25"/>
      <c r="V196" s="66">
        <v>1.34</v>
      </c>
      <c r="W196" s="25" t="s">
        <v>115</v>
      </c>
      <c r="X196" s="5"/>
    </row>
    <row r="197" spans="1:24" ht="15.6" x14ac:dyDescent="0.3">
      <c r="A197" s="24"/>
      <c r="B197" s="25" t="s">
        <v>68</v>
      </c>
      <c r="C197" s="25"/>
      <c r="D197" s="25"/>
      <c r="E197" s="25"/>
      <c r="F197" s="25"/>
      <c r="G197" s="25"/>
      <c r="H197" s="25"/>
      <c r="I197" s="25"/>
      <c r="J197" s="25"/>
      <c r="K197" s="25"/>
      <c r="L197" s="25"/>
      <c r="M197" s="25"/>
      <c r="N197" s="25"/>
      <c r="O197" s="25"/>
      <c r="P197" s="25"/>
      <c r="Q197" s="25"/>
      <c r="R197" s="25"/>
      <c r="S197" s="25"/>
      <c r="T197" s="25"/>
      <c r="U197" s="25"/>
      <c r="V197" s="59">
        <f>(V102+V104+V105+V106+V107+V108+V109)/-(V111+V112)</f>
        <v>4.646207295888825</v>
      </c>
      <c r="W197" s="25" t="s">
        <v>115</v>
      </c>
      <c r="X197" s="5"/>
    </row>
    <row r="198" spans="1:24" ht="15.6" x14ac:dyDescent="0.3">
      <c r="A198" s="24"/>
      <c r="B198" s="25" t="s">
        <v>69</v>
      </c>
      <c r="C198" s="25"/>
      <c r="D198" s="25"/>
      <c r="E198" s="25"/>
      <c r="F198" s="25"/>
      <c r="G198" s="25"/>
      <c r="H198" s="25"/>
      <c r="I198" s="25"/>
      <c r="J198" s="25"/>
      <c r="K198" s="25"/>
      <c r="L198" s="25"/>
      <c r="M198" s="25"/>
      <c r="N198" s="25"/>
      <c r="O198" s="25"/>
      <c r="P198" s="25"/>
      <c r="Q198" s="25"/>
      <c r="R198" s="25"/>
      <c r="S198" s="25"/>
      <c r="T198" s="25"/>
      <c r="U198" s="25"/>
      <c r="V198" s="66">
        <v>3.7</v>
      </c>
      <c r="W198" s="25" t="s">
        <v>115</v>
      </c>
      <c r="X198" s="5"/>
    </row>
    <row r="199" spans="1:24" ht="15.6" x14ac:dyDescent="0.3">
      <c r="A199" s="24"/>
      <c r="B199" s="25" t="s">
        <v>198</v>
      </c>
      <c r="C199" s="25"/>
      <c r="D199" s="25"/>
      <c r="E199" s="25"/>
      <c r="F199" s="25"/>
      <c r="G199" s="25"/>
      <c r="H199" s="25"/>
      <c r="I199" s="25"/>
      <c r="J199" s="25"/>
      <c r="K199" s="25"/>
      <c r="L199" s="25"/>
      <c r="M199" s="25"/>
      <c r="N199" s="25"/>
      <c r="O199" s="25"/>
      <c r="P199" s="25"/>
      <c r="Q199" s="25"/>
      <c r="R199" s="25"/>
      <c r="S199" s="25"/>
      <c r="T199" s="25"/>
      <c r="U199" s="25"/>
      <c r="V199" s="59">
        <f>(V102+V104+V105+V106+V107+V108+V109+V111+V112)/-(V113+V114)</f>
        <v>3.5139508928571428</v>
      </c>
      <c r="W199" s="25" t="s">
        <v>115</v>
      </c>
      <c r="X199" s="5"/>
    </row>
    <row r="200" spans="1:24" ht="15.6" x14ac:dyDescent="0.3">
      <c r="A200" s="24"/>
      <c r="B200" s="25" t="s">
        <v>199</v>
      </c>
      <c r="C200" s="25"/>
      <c r="D200" s="25"/>
      <c r="E200" s="25"/>
      <c r="F200" s="25"/>
      <c r="G200" s="25"/>
      <c r="H200" s="25"/>
      <c r="I200" s="25"/>
      <c r="J200" s="25"/>
      <c r="K200" s="25"/>
      <c r="L200" s="25"/>
      <c r="M200" s="25"/>
      <c r="N200" s="25"/>
      <c r="O200" s="25"/>
      <c r="P200" s="25"/>
      <c r="Q200" s="25"/>
      <c r="R200" s="25"/>
      <c r="S200" s="25"/>
      <c r="T200" s="25"/>
      <c r="U200" s="25"/>
      <c r="V200" s="66">
        <v>2.61</v>
      </c>
      <c r="W200" s="25" t="s">
        <v>115</v>
      </c>
      <c r="X200" s="5"/>
    </row>
    <row r="201" spans="1:24" ht="15.6" x14ac:dyDescent="0.3">
      <c r="A201" s="24"/>
      <c r="B201" s="25"/>
      <c r="C201" s="25"/>
      <c r="D201" s="25"/>
      <c r="E201" s="25"/>
      <c r="F201" s="25"/>
      <c r="G201" s="25"/>
      <c r="H201" s="25"/>
      <c r="I201" s="25"/>
      <c r="J201" s="25"/>
      <c r="K201" s="25"/>
      <c r="L201" s="25"/>
      <c r="M201" s="25"/>
      <c r="N201" s="25"/>
      <c r="O201" s="25"/>
      <c r="P201" s="25"/>
      <c r="Q201" s="25"/>
      <c r="R201" s="25"/>
      <c r="S201" s="25"/>
      <c r="T201" s="25"/>
      <c r="U201" s="25"/>
      <c r="V201" s="25"/>
      <c r="W201" s="25"/>
      <c r="X201" s="5"/>
    </row>
    <row r="202" spans="1:24" ht="15.6" x14ac:dyDescent="0.3">
      <c r="A202" s="24"/>
      <c r="B202" s="25"/>
      <c r="C202" s="25"/>
      <c r="D202" s="25"/>
      <c r="E202" s="25"/>
      <c r="F202" s="25"/>
      <c r="G202" s="25"/>
      <c r="H202" s="25"/>
      <c r="I202" s="25"/>
      <c r="J202" s="25"/>
      <c r="K202" s="25"/>
      <c r="L202" s="25"/>
      <c r="M202" s="25"/>
      <c r="N202" s="25"/>
      <c r="O202" s="25"/>
      <c r="P202" s="25"/>
      <c r="Q202" s="25"/>
      <c r="R202" s="25"/>
      <c r="S202" s="25"/>
      <c r="T202" s="25"/>
      <c r="U202" s="25"/>
      <c r="V202" s="25"/>
      <c r="W202" s="25"/>
      <c r="X202" s="5"/>
    </row>
    <row r="203" spans="1:24" ht="15.6" x14ac:dyDescent="0.3">
      <c r="A203" s="6"/>
      <c r="B203" s="8"/>
      <c r="C203" s="8"/>
      <c r="D203" s="8"/>
      <c r="E203" s="8"/>
      <c r="F203" s="8"/>
      <c r="G203" s="8"/>
      <c r="H203" s="8"/>
      <c r="I203" s="8"/>
      <c r="J203" s="8"/>
      <c r="K203" s="8"/>
      <c r="L203" s="8"/>
      <c r="M203" s="8"/>
      <c r="N203" s="8"/>
      <c r="O203" s="8"/>
      <c r="P203" s="8"/>
      <c r="Q203" s="8"/>
      <c r="R203" s="8"/>
      <c r="S203" s="8"/>
      <c r="T203" s="8"/>
      <c r="U203" s="8"/>
      <c r="V203" s="8"/>
      <c r="W203" s="8"/>
      <c r="X203" s="5"/>
    </row>
    <row r="204" spans="1:24" ht="18" thickBot="1" x14ac:dyDescent="0.35">
      <c r="A204" s="101"/>
      <c r="B204" s="102" t="str">
        <f>B139</f>
        <v>PM14 INVESTOR REPORT QUARTER ENDING MAY 2008</v>
      </c>
      <c r="C204" s="176"/>
      <c r="D204" s="176"/>
      <c r="E204" s="176"/>
      <c r="F204" s="176"/>
      <c r="G204" s="176"/>
      <c r="H204" s="176"/>
      <c r="I204" s="176"/>
      <c r="J204" s="176"/>
      <c r="K204" s="176"/>
      <c r="L204" s="176"/>
      <c r="M204" s="176"/>
      <c r="N204" s="176"/>
      <c r="O204" s="176"/>
      <c r="P204" s="176"/>
      <c r="Q204" s="176"/>
      <c r="R204" s="176"/>
      <c r="S204" s="176"/>
      <c r="T204" s="176"/>
      <c r="U204" s="176"/>
      <c r="V204" s="176"/>
      <c r="W204" s="177"/>
      <c r="X204" s="5"/>
    </row>
    <row r="205" spans="1:24" ht="15.6" x14ac:dyDescent="0.3">
      <c r="A205" s="67"/>
      <c r="B205" s="60" t="s">
        <v>70</v>
      </c>
      <c r="C205" s="68"/>
      <c r="D205" s="68"/>
      <c r="E205" s="68"/>
      <c r="F205" s="68"/>
      <c r="G205" s="69"/>
      <c r="H205" s="69"/>
      <c r="I205" s="69"/>
      <c r="J205" s="69"/>
      <c r="K205" s="69"/>
      <c r="L205" s="69"/>
      <c r="M205" s="69"/>
      <c r="N205" s="69"/>
      <c r="O205" s="69"/>
      <c r="P205" s="69"/>
      <c r="Q205" s="69"/>
      <c r="R205" s="69"/>
      <c r="S205" s="69"/>
      <c r="T205" s="70">
        <v>39598</v>
      </c>
      <c r="U205" s="4"/>
      <c r="V205" s="4"/>
      <c r="W205" s="4"/>
      <c r="X205" s="5"/>
    </row>
    <row r="206" spans="1:24" ht="15.6" x14ac:dyDescent="0.3">
      <c r="A206" s="71"/>
      <c r="B206" s="72"/>
      <c r="C206" s="73"/>
      <c r="D206" s="73"/>
      <c r="E206" s="73"/>
      <c r="F206" s="73"/>
      <c r="G206" s="74"/>
      <c r="H206" s="74"/>
      <c r="I206" s="74"/>
      <c r="J206" s="74"/>
      <c r="K206" s="74"/>
      <c r="L206" s="74"/>
      <c r="M206" s="74"/>
      <c r="N206" s="74"/>
      <c r="O206" s="74"/>
      <c r="P206" s="74"/>
      <c r="Q206" s="74"/>
      <c r="R206" s="74"/>
      <c r="S206" s="74"/>
      <c r="T206" s="74"/>
      <c r="U206" s="8"/>
      <c r="V206" s="8"/>
      <c r="W206" s="8"/>
      <c r="X206" s="5"/>
    </row>
    <row r="207" spans="1:24" ht="15.6" x14ac:dyDescent="0.3">
      <c r="A207" s="75"/>
      <c r="B207" s="76" t="s">
        <v>71</v>
      </c>
      <c r="C207" s="77"/>
      <c r="D207" s="77"/>
      <c r="E207" s="77"/>
      <c r="F207" s="77"/>
      <c r="G207" s="64"/>
      <c r="H207" s="64"/>
      <c r="I207" s="64"/>
      <c r="J207" s="64"/>
      <c r="K207" s="64"/>
      <c r="L207" s="64"/>
      <c r="M207" s="64"/>
      <c r="N207" s="64"/>
      <c r="O207" s="64"/>
      <c r="P207" s="64"/>
      <c r="Q207" s="64"/>
      <c r="R207" s="64"/>
      <c r="S207" s="64"/>
      <c r="T207" s="78">
        <v>5.2819999999999999E-2</v>
      </c>
      <c r="U207" s="25"/>
      <c r="V207" s="25"/>
      <c r="W207" s="25"/>
      <c r="X207" s="5"/>
    </row>
    <row r="208" spans="1:24" ht="15.6" x14ac:dyDescent="0.3">
      <c r="A208" s="75"/>
      <c r="B208" s="76" t="s">
        <v>151</v>
      </c>
      <c r="C208" s="77"/>
      <c r="D208" s="77"/>
      <c r="E208" s="77"/>
      <c r="F208" s="77"/>
      <c r="G208" s="64"/>
      <c r="H208" s="64"/>
      <c r="I208" s="64"/>
      <c r="J208" s="64"/>
      <c r="K208" s="64"/>
      <c r="L208" s="64"/>
      <c r="M208" s="64"/>
      <c r="N208" s="64"/>
      <c r="O208" s="64"/>
      <c r="P208" s="64"/>
      <c r="Q208" s="64"/>
      <c r="R208" s="64"/>
      <c r="S208" s="64"/>
      <c r="T208" s="39">
        <v>5.7799999999999997E-2</v>
      </c>
      <c r="U208" s="25"/>
      <c r="V208" s="25"/>
      <c r="W208" s="25"/>
      <c r="X208" s="5"/>
    </row>
    <row r="209" spans="1:24" ht="15.6" x14ac:dyDescent="0.3">
      <c r="A209" s="75"/>
      <c r="B209" s="76" t="s">
        <v>72</v>
      </c>
      <c r="C209" s="77"/>
      <c r="D209" s="77"/>
      <c r="E209" s="77"/>
      <c r="F209" s="77"/>
      <c r="G209" s="64"/>
      <c r="H209" s="64"/>
      <c r="I209" s="64"/>
      <c r="J209" s="64"/>
      <c r="K209" s="64"/>
      <c r="L209" s="64"/>
      <c r="M209" s="64"/>
      <c r="N209" s="64"/>
      <c r="O209" s="64"/>
      <c r="P209" s="64"/>
      <c r="Q209" s="64"/>
      <c r="R209" s="64"/>
      <c r="S209" s="64"/>
      <c r="T209" s="78">
        <f>T207-T208</f>
        <v>-4.9799999999999983E-3</v>
      </c>
      <c r="U209" s="25"/>
      <c r="V209" s="25"/>
      <c r="W209" s="25"/>
      <c r="X209" s="5"/>
    </row>
    <row r="210" spans="1:24" ht="15.6" x14ac:dyDescent="0.3">
      <c r="A210" s="75"/>
      <c r="B210" s="76" t="s">
        <v>73</v>
      </c>
      <c r="C210" s="77"/>
      <c r="D210" s="77"/>
      <c r="E210" s="77"/>
      <c r="F210" s="77"/>
      <c r="G210" s="64"/>
      <c r="H210" s="64"/>
      <c r="I210" s="64"/>
      <c r="J210" s="64"/>
      <c r="K210" s="64"/>
      <c r="L210" s="64"/>
      <c r="M210" s="64"/>
      <c r="N210" s="64"/>
      <c r="O210" s="64"/>
      <c r="P210" s="64"/>
      <c r="Q210" s="64"/>
      <c r="R210" s="64"/>
      <c r="S210" s="64"/>
      <c r="T210" s="78">
        <v>5.4620000000000002E-2</v>
      </c>
      <c r="U210" s="25"/>
      <c r="V210" s="25"/>
      <c r="W210" s="25"/>
      <c r="X210" s="5"/>
    </row>
    <row r="211" spans="1:24" ht="15.6" x14ac:dyDescent="0.3">
      <c r="A211" s="75"/>
      <c r="B211" s="76" t="s">
        <v>219</v>
      </c>
      <c r="C211" s="77"/>
      <c r="D211" s="77"/>
      <c r="E211" s="77"/>
      <c r="F211" s="77"/>
      <c r="G211" s="64"/>
      <c r="H211" s="64"/>
      <c r="I211" s="64"/>
      <c r="J211" s="64"/>
      <c r="K211" s="64"/>
      <c r="L211" s="64"/>
      <c r="M211" s="64"/>
      <c r="N211" s="64"/>
      <c r="O211" s="64"/>
      <c r="P211" s="64"/>
      <c r="Q211" s="64"/>
      <c r="R211" s="64"/>
      <c r="S211" s="64"/>
      <c r="T211" s="78">
        <f>V43</f>
        <v>6.1160778397543414E-2</v>
      </c>
      <c r="U211" s="25"/>
      <c r="V211" s="25"/>
      <c r="W211" s="25"/>
      <c r="X211" s="5"/>
    </row>
    <row r="212" spans="1:24" ht="15.6" x14ac:dyDescent="0.3">
      <c r="A212" s="75"/>
      <c r="B212" s="76" t="s">
        <v>74</v>
      </c>
      <c r="C212" s="77"/>
      <c r="D212" s="77"/>
      <c r="E212" s="77"/>
      <c r="F212" s="77"/>
      <c r="G212" s="64"/>
      <c r="H212" s="64"/>
      <c r="I212" s="64"/>
      <c r="J212" s="64"/>
      <c r="K212" s="64"/>
      <c r="L212" s="64"/>
      <c r="M212" s="64"/>
      <c r="N212" s="64"/>
      <c r="O212" s="64"/>
      <c r="P212" s="64"/>
      <c r="Q212" s="64"/>
      <c r="R212" s="64"/>
      <c r="S212" s="64"/>
      <c r="T212" s="78">
        <f>T210-T211</f>
        <v>-6.5407783975434119E-3</v>
      </c>
      <c r="U212" s="25"/>
      <c r="V212" s="25"/>
      <c r="W212" s="25"/>
      <c r="X212" s="5"/>
    </row>
    <row r="213" spans="1:24" ht="15.6" x14ac:dyDescent="0.3">
      <c r="A213" s="75"/>
      <c r="B213" s="76" t="s">
        <v>242</v>
      </c>
      <c r="C213" s="77"/>
      <c r="D213" s="77"/>
      <c r="E213" s="77"/>
      <c r="F213" s="77"/>
      <c r="G213" s="64"/>
      <c r="H213" s="64"/>
      <c r="I213" s="64"/>
      <c r="J213" s="64"/>
      <c r="K213" s="64"/>
      <c r="L213" s="64"/>
      <c r="M213" s="64"/>
      <c r="N213" s="64"/>
      <c r="O213" s="64"/>
      <c r="P213" s="64"/>
      <c r="Q213" s="64"/>
      <c r="R213" s="64"/>
      <c r="S213" s="64"/>
      <c r="T213" s="78">
        <f>V102/N72</f>
        <v>1.8617747113660835E-2</v>
      </c>
      <c r="U213" s="25"/>
      <c r="V213" s="25"/>
      <c r="W213" s="25"/>
      <c r="X213" s="5"/>
    </row>
    <row r="214" spans="1:24" ht="15.6" x14ac:dyDescent="0.3">
      <c r="A214" s="75"/>
      <c r="B214" s="76" t="s">
        <v>208</v>
      </c>
      <c r="C214" s="77"/>
      <c r="D214" s="77"/>
      <c r="E214" s="77"/>
      <c r="F214" s="77"/>
      <c r="G214" s="64"/>
      <c r="H214" s="64"/>
      <c r="I214" s="64"/>
      <c r="J214" s="64"/>
      <c r="K214" s="64"/>
      <c r="L214" s="64"/>
      <c r="M214" s="64"/>
      <c r="N214" s="64"/>
      <c r="O214" s="64"/>
      <c r="P214" s="64"/>
      <c r="Q214" s="64"/>
      <c r="R214" s="64"/>
      <c r="S214" s="64"/>
      <c r="T214" s="129">
        <v>51014</v>
      </c>
      <c r="U214" s="25"/>
      <c r="V214" s="25"/>
      <c r="W214" s="25"/>
      <c r="X214" s="5"/>
    </row>
    <row r="215" spans="1:24" ht="15.6" x14ac:dyDescent="0.3">
      <c r="A215" s="75"/>
      <c r="B215" s="76" t="s">
        <v>209</v>
      </c>
      <c r="C215" s="77"/>
      <c r="D215" s="77"/>
      <c r="E215" s="77"/>
      <c r="F215" s="77"/>
      <c r="G215" s="64"/>
      <c r="H215" s="64"/>
      <c r="I215" s="64"/>
      <c r="J215" s="64"/>
      <c r="K215" s="64"/>
      <c r="L215" s="64"/>
      <c r="M215" s="64"/>
      <c r="N215" s="64"/>
      <c r="O215" s="64"/>
      <c r="P215" s="64"/>
      <c r="Q215" s="64"/>
      <c r="R215" s="64"/>
      <c r="S215" s="64"/>
      <c r="T215" s="129">
        <v>51014</v>
      </c>
      <c r="U215" s="25"/>
      <c r="V215" s="25"/>
      <c r="W215" s="25"/>
      <c r="X215" s="5"/>
    </row>
    <row r="216" spans="1:24" ht="15.6" x14ac:dyDescent="0.3">
      <c r="A216" s="75"/>
      <c r="B216" s="76" t="s">
        <v>210</v>
      </c>
      <c r="C216" s="77"/>
      <c r="D216" s="77"/>
      <c r="E216" s="77"/>
      <c r="F216" s="77"/>
      <c r="G216" s="64"/>
      <c r="H216" s="64"/>
      <c r="I216" s="64"/>
      <c r="J216" s="64"/>
      <c r="K216" s="64"/>
      <c r="L216" s="64"/>
      <c r="M216" s="64"/>
      <c r="N216" s="64"/>
      <c r="O216" s="64"/>
      <c r="P216" s="64"/>
      <c r="Q216" s="64"/>
      <c r="R216" s="64"/>
      <c r="S216" s="64"/>
      <c r="T216" s="129">
        <v>51014</v>
      </c>
      <c r="U216" s="25"/>
      <c r="V216" s="25"/>
      <c r="W216" s="25"/>
      <c r="X216" s="5"/>
    </row>
    <row r="217" spans="1:24" ht="15.6" x14ac:dyDescent="0.3">
      <c r="A217" s="75"/>
      <c r="B217" s="76" t="s">
        <v>75</v>
      </c>
      <c r="C217" s="77"/>
      <c r="D217" s="77"/>
      <c r="E217" s="77"/>
      <c r="F217" s="77"/>
      <c r="G217" s="64"/>
      <c r="H217" s="64"/>
      <c r="I217" s="64"/>
      <c r="J217" s="64"/>
      <c r="K217" s="64"/>
      <c r="L217" s="64"/>
      <c r="M217" s="64"/>
      <c r="N217" s="64"/>
      <c r="O217" s="64"/>
      <c r="P217" s="64"/>
      <c r="Q217" s="64"/>
      <c r="R217" s="64"/>
      <c r="S217" s="64"/>
      <c r="T217" s="133">
        <v>20.66</v>
      </c>
      <c r="U217" s="25" t="s">
        <v>110</v>
      </c>
      <c r="V217" s="25"/>
      <c r="W217" s="25"/>
      <c r="X217" s="5"/>
    </row>
    <row r="218" spans="1:24" ht="15.6" x14ac:dyDescent="0.3">
      <c r="A218" s="75"/>
      <c r="B218" s="76" t="s">
        <v>76</v>
      </c>
      <c r="C218" s="77"/>
      <c r="D218" s="77"/>
      <c r="E218" s="77"/>
      <c r="F218" s="77"/>
      <c r="G218" s="64"/>
      <c r="H218" s="64"/>
      <c r="I218" s="64"/>
      <c r="J218" s="64"/>
      <c r="K218" s="64"/>
      <c r="L218" s="64"/>
      <c r="M218" s="64"/>
      <c r="N218" s="64"/>
      <c r="O218" s="64"/>
      <c r="P218" s="64"/>
      <c r="Q218" s="64"/>
      <c r="R218" s="64"/>
      <c r="S218" s="64"/>
      <c r="T218" s="133">
        <v>20.079999999999998</v>
      </c>
      <c r="U218" s="25" t="s">
        <v>110</v>
      </c>
      <c r="V218" s="25"/>
      <c r="W218" s="25"/>
      <c r="X218" s="5"/>
    </row>
    <row r="219" spans="1:24" ht="15.6" x14ac:dyDescent="0.3">
      <c r="A219" s="75"/>
      <c r="B219" s="76" t="s">
        <v>77</v>
      </c>
      <c r="C219" s="77"/>
      <c r="D219" s="77"/>
      <c r="E219" s="77"/>
      <c r="F219" s="77"/>
      <c r="G219" s="64"/>
      <c r="H219" s="64"/>
      <c r="I219" s="64"/>
      <c r="J219" s="64"/>
      <c r="K219" s="64"/>
      <c r="L219" s="64"/>
      <c r="M219" s="64"/>
      <c r="N219" s="64"/>
      <c r="O219" s="64"/>
      <c r="P219" s="64"/>
      <c r="Q219" s="64"/>
      <c r="R219" s="64"/>
      <c r="S219" s="64"/>
      <c r="T219" s="78">
        <f>+P69/N69</f>
        <v>4.7018601443116419E-2</v>
      </c>
      <c r="U219" s="25"/>
      <c r="V219" s="25"/>
      <c r="W219" s="25"/>
      <c r="X219" s="5"/>
    </row>
    <row r="220" spans="1:24" ht="15.6" x14ac:dyDescent="0.3">
      <c r="A220" s="75"/>
      <c r="B220" s="76" t="s">
        <v>78</v>
      </c>
      <c r="C220" s="77"/>
      <c r="D220" s="77"/>
      <c r="E220" s="77"/>
      <c r="F220" s="77"/>
      <c r="G220" s="64"/>
      <c r="H220" s="64"/>
      <c r="I220" s="64"/>
      <c r="J220" s="64"/>
      <c r="K220" s="64"/>
      <c r="L220" s="64"/>
      <c r="M220" s="64"/>
      <c r="N220" s="64"/>
      <c r="O220" s="64"/>
      <c r="P220" s="64"/>
      <c r="Q220" s="64"/>
      <c r="R220" s="64"/>
      <c r="S220" s="64"/>
      <c r="T220" s="78">
        <v>9.8299999999999998E-2</v>
      </c>
      <c r="U220" s="25"/>
      <c r="V220" s="25"/>
      <c r="W220" s="25"/>
      <c r="X220" s="5"/>
    </row>
    <row r="221" spans="1:24" ht="15.6" x14ac:dyDescent="0.3">
      <c r="A221" s="75"/>
      <c r="B221" s="76"/>
      <c r="C221" s="76"/>
      <c r="D221" s="76"/>
      <c r="E221" s="76"/>
      <c r="F221" s="76"/>
      <c r="G221" s="25"/>
      <c r="H221" s="25"/>
      <c r="I221" s="25"/>
      <c r="J221" s="25"/>
      <c r="K221" s="25"/>
      <c r="L221" s="25"/>
      <c r="M221" s="25"/>
      <c r="N221" s="25"/>
      <c r="O221" s="25"/>
      <c r="P221" s="25"/>
      <c r="Q221" s="25"/>
      <c r="R221" s="25"/>
      <c r="S221" s="25"/>
      <c r="T221" s="61"/>
      <c r="U221" s="25"/>
      <c r="V221" s="79"/>
      <c r="W221" s="25"/>
      <c r="X221" s="5"/>
    </row>
    <row r="222" spans="1:24" ht="15.6" x14ac:dyDescent="0.3">
      <c r="A222" s="80"/>
      <c r="B222" s="14" t="s">
        <v>79</v>
      </c>
      <c r="C222" s="81"/>
      <c r="D222" s="81"/>
      <c r="E222" s="81"/>
      <c r="F222" s="82"/>
      <c r="G222" s="81"/>
      <c r="H222" s="17"/>
      <c r="I222" s="17"/>
      <c r="J222" s="17"/>
      <c r="K222" s="17"/>
      <c r="L222" s="17"/>
      <c r="M222" s="17"/>
      <c r="N222" s="17"/>
      <c r="O222" s="17"/>
      <c r="P222" s="17"/>
      <c r="Q222" s="17"/>
      <c r="R222" s="17"/>
      <c r="S222" s="17" t="s">
        <v>102</v>
      </c>
      <c r="T222" s="83" t="s">
        <v>108</v>
      </c>
      <c r="U222" s="8"/>
      <c r="V222" s="8"/>
      <c r="W222" s="8"/>
      <c r="X222" s="5"/>
    </row>
    <row r="223" spans="1:24" ht="15.6" x14ac:dyDescent="0.3">
      <c r="A223" s="84"/>
      <c r="B223" s="76" t="s">
        <v>80</v>
      </c>
      <c r="C223" s="54"/>
      <c r="D223" s="54"/>
      <c r="E223" s="54"/>
      <c r="F223" s="25"/>
      <c r="G223" s="25"/>
      <c r="H223" s="30"/>
      <c r="I223" s="30"/>
      <c r="J223" s="30"/>
      <c r="K223" s="30"/>
      <c r="L223" s="30"/>
      <c r="M223" s="30"/>
      <c r="N223" s="30"/>
      <c r="O223" s="30"/>
      <c r="P223" s="30"/>
      <c r="Q223" s="30"/>
      <c r="R223" s="30"/>
      <c r="S223" s="30">
        <v>0</v>
      </c>
      <c r="T223" s="85">
        <v>0</v>
      </c>
      <c r="U223" s="25"/>
      <c r="V223" s="79"/>
      <c r="W223" s="86"/>
      <c r="X223" s="5"/>
    </row>
    <row r="224" spans="1:24" ht="15.6" x14ac:dyDescent="0.3">
      <c r="A224" s="84"/>
      <c r="B224" s="76" t="s">
        <v>145</v>
      </c>
      <c r="C224" s="54"/>
      <c r="D224" s="54"/>
      <c r="E224" s="54"/>
      <c r="F224" s="25"/>
      <c r="G224" s="25"/>
      <c r="H224" s="30"/>
      <c r="I224" s="30"/>
      <c r="J224" s="30"/>
      <c r="K224" s="30"/>
      <c r="L224" s="30"/>
      <c r="M224" s="30"/>
      <c r="N224" s="30"/>
      <c r="O224" s="30"/>
      <c r="P224" s="30"/>
      <c r="Q224" s="30"/>
      <c r="R224" s="30"/>
      <c r="S224" s="150">
        <f>+R264</f>
        <v>46</v>
      </c>
      <c r="T224" s="85">
        <f>+T264</f>
        <v>7236</v>
      </c>
      <c r="U224" s="25"/>
      <c r="V224" s="79"/>
      <c r="W224" s="86"/>
      <c r="X224" s="5"/>
    </row>
    <row r="225" spans="1:24" ht="15.6" x14ac:dyDescent="0.3">
      <c r="A225" s="84"/>
      <c r="B225" s="76" t="s">
        <v>81</v>
      </c>
      <c r="C225" s="54"/>
      <c r="D225" s="54"/>
      <c r="E225" s="54"/>
      <c r="F225" s="25"/>
      <c r="G225" s="25"/>
      <c r="H225" s="30"/>
      <c r="I225" s="30"/>
      <c r="J225" s="30"/>
      <c r="K225" s="30"/>
      <c r="L225" s="30"/>
      <c r="M225" s="30"/>
      <c r="N225" s="30"/>
      <c r="O225" s="30"/>
      <c r="P225" s="30"/>
      <c r="Q225" s="30"/>
      <c r="R225" s="30"/>
      <c r="S225" s="30">
        <v>2</v>
      </c>
      <c r="T225" s="85">
        <v>238</v>
      </c>
      <c r="U225" s="25"/>
      <c r="V225" s="79"/>
      <c r="W225" s="86"/>
      <c r="X225" s="5"/>
    </row>
    <row r="226" spans="1:24" ht="15.6" x14ac:dyDescent="0.3">
      <c r="A226" s="84"/>
      <c r="B226" s="122" t="s">
        <v>82</v>
      </c>
      <c r="C226" s="54"/>
      <c r="D226" s="54"/>
      <c r="E226" s="54"/>
      <c r="F226" s="25"/>
      <c r="G226" s="25"/>
      <c r="H226" s="25"/>
      <c r="I226" s="25"/>
      <c r="J226" s="25"/>
      <c r="K226" s="25"/>
      <c r="L226" s="25"/>
      <c r="M226" s="25"/>
      <c r="N226" s="25"/>
      <c r="O226" s="25"/>
      <c r="P226" s="25"/>
      <c r="Q226" s="25"/>
      <c r="R226" s="25"/>
      <c r="S226" s="25"/>
      <c r="T226" s="85">
        <v>0</v>
      </c>
      <c r="U226" s="25"/>
      <c r="V226" s="79"/>
      <c r="W226" s="86"/>
      <c r="X226" s="5"/>
    </row>
    <row r="227" spans="1:24" ht="15.6" x14ac:dyDescent="0.3">
      <c r="A227" s="84"/>
      <c r="B227" s="122" t="s">
        <v>243</v>
      </c>
      <c r="C227" s="54"/>
      <c r="D227" s="54"/>
      <c r="E227" s="54"/>
      <c r="F227" s="25"/>
      <c r="G227" s="25"/>
      <c r="H227" s="25"/>
      <c r="I227" s="25"/>
      <c r="J227" s="25"/>
      <c r="K227" s="25"/>
      <c r="L227" s="25"/>
      <c r="M227" s="25"/>
      <c r="N227" s="25"/>
      <c r="O227" s="25"/>
      <c r="P227" s="25"/>
      <c r="Q227" s="25"/>
      <c r="R227" s="25"/>
      <c r="S227" s="25"/>
      <c r="T227" s="85">
        <f>+N82</f>
        <v>0</v>
      </c>
      <c r="U227" s="25"/>
      <c r="V227" s="79"/>
      <c r="W227" s="86"/>
      <c r="X227" s="5"/>
    </row>
    <row r="228" spans="1:24" ht="15.6" x14ac:dyDescent="0.3">
      <c r="A228" s="87"/>
      <c r="B228" s="122" t="s">
        <v>83</v>
      </c>
      <c r="C228" s="76"/>
      <c r="D228" s="76"/>
      <c r="E228" s="76"/>
      <c r="F228" s="76"/>
      <c r="G228" s="25"/>
      <c r="H228" s="25"/>
      <c r="I228" s="25"/>
      <c r="J228" s="25"/>
      <c r="K228" s="25"/>
      <c r="L228" s="25"/>
      <c r="M228" s="25"/>
      <c r="N228" s="25"/>
      <c r="O228" s="25"/>
      <c r="P228" s="25"/>
      <c r="Q228" s="25"/>
      <c r="R228" s="25"/>
      <c r="S228" s="25"/>
      <c r="T228" s="85"/>
      <c r="U228" s="25"/>
      <c r="V228" s="79"/>
      <c r="W228" s="88"/>
      <c r="X228" s="5"/>
    </row>
    <row r="229" spans="1:24" ht="15.6" x14ac:dyDescent="0.3">
      <c r="A229" s="87"/>
      <c r="B229" s="131" t="s">
        <v>84</v>
      </c>
      <c r="C229" s="76"/>
      <c r="D229" s="76"/>
      <c r="E229" s="76"/>
      <c r="F229" s="76"/>
      <c r="G229" s="25"/>
      <c r="H229" s="25"/>
      <c r="I229" s="25"/>
      <c r="J229" s="25"/>
      <c r="K229" s="25"/>
      <c r="L229" s="25"/>
      <c r="M229" s="25"/>
      <c r="N229" s="25"/>
      <c r="O229" s="25"/>
      <c r="P229" s="25"/>
      <c r="Q229" s="25"/>
      <c r="R229" s="25"/>
      <c r="S229" s="30"/>
      <c r="T229" s="85">
        <f>V168</f>
        <v>-5</v>
      </c>
      <c r="U229" s="25"/>
      <c r="V229" s="79"/>
      <c r="W229" s="88"/>
      <c r="X229" s="5"/>
    </row>
    <row r="230" spans="1:24" ht="15.6" x14ac:dyDescent="0.3">
      <c r="A230" s="84"/>
      <c r="B230" s="76" t="s">
        <v>85</v>
      </c>
      <c r="C230" s="54"/>
      <c r="D230" s="54"/>
      <c r="E230" s="54"/>
      <c r="F230" s="54"/>
      <c r="G230" s="25"/>
      <c r="H230" s="25"/>
      <c r="I230" s="25"/>
      <c r="J230" s="25"/>
      <c r="K230" s="25"/>
      <c r="L230" s="25"/>
      <c r="M230" s="25"/>
      <c r="N230" s="25"/>
      <c r="O230" s="25"/>
      <c r="P230" s="25"/>
      <c r="Q230" s="25"/>
      <c r="R230" s="25"/>
      <c r="S230" s="30"/>
      <c r="T230" s="85">
        <f>'Feb 08'!T230+T229</f>
        <v>3</v>
      </c>
      <c r="U230" s="25"/>
      <c r="V230" s="79"/>
      <c r="W230" s="88"/>
      <c r="X230" s="5"/>
    </row>
    <row r="231" spans="1:24" ht="15.6" x14ac:dyDescent="0.3">
      <c r="A231" s="87"/>
      <c r="B231" s="122" t="s">
        <v>295</v>
      </c>
      <c r="C231" s="76"/>
      <c r="D231" s="76"/>
      <c r="E231" s="76"/>
      <c r="F231" s="76"/>
      <c r="G231" s="25"/>
      <c r="H231" s="25"/>
      <c r="I231" s="25"/>
      <c r="J231" s="25"/>
      <c r="K231" s="25"/>
      <c r="L231" s="25"/>
      <c r="M231" s="25"/>
      <c r="N231" s="25"/>
      <c r="O231" s="25"/>
      <c r="P231" s="25"/>
      <c r="Q231" s="25"/>
      <c r="R231" s="25"/>
      <c r="S231" s="30"/>
      <c r="T231" s="85"/>
      <c r="U231" s="25"/>
      <c r="V231" s="79"/>
      <c r="W231" s="88"/>
      <c r="X231" s="5"/>
    </row>
    <row r="232" spans="1:24" ht="15.6" x14ac:dyDescent="0.3">
      <c r="A232" s="87"/>
      <c r="B232" s="76" t="s">
        <v>291</v>
      </c>
      <c r="C232" s="76"/>
      <c r="D232" s="76"/>
      <c r="E232" s="76"/>
      <c r="F232" s="76"/>
      <c r="G232" s="25"/>
      <c r="H232" s="25"/>
      <c r="I232" s="25"/>
      <c r="J232" s="25"/>
      <c r="K232" s="25"/>
      <c r="L232" s="25"/>
      <c r="M232" s="25"/>
      <c r="N232" s="25"/>
      <c r="O232" s="25"/>
      <c r="P232" s="25"/>
      <c r="Q232" s="25"/>
      <c r="R232" s="25"/>
      <c r="S232" s="30">
        <v>0</v>
      </c>
      <c r="T232" s="85">
        <v>0</v>
      </c>
      <c r="U232" s="25"/>
      <c r="V232" s="79"/>
      <c r="W232" s="88"/>
      <c r="X232" s="5"/>
    </row>
    <row r="233" spans="1:24" ht="15.6" x14ac:dyDescent="0.3">
      <c r="A233" s="84"/>
      <c r="B233" s="76" t="s">
        <v>86</v>
      </c>
      <c r="C233" s="89"/>
      <c r="D233" s="89"/>
      <c r="E233" s="89"/>
      <c r="F233" s="90"/>
      <c r="G233" s="25"/>
      <c r="H233" s="25"/>
      <c r="I233" s="25"/>
      <c r="J233" s="25"/>
      <c r="K233" s="25"/>
      <c r="L233" s="25"/>
      <c r="M233" s="25"/>
      <c r="N233" s="25"/>
      <c r="O233" s="25"/>
      <c r="P233" s="25"/>
      <c r="Q233" s="25"/>
      <c r="R233" s="25"/>
      <c r="S233" s="25"/>
      <c r="T233" s="62">
        <v>0</v>
      </c>
      <c r="U233" s="25"/>
      <c r="V233" s="79"/>
      <c r="W233" s="88"/>
      <c r="X233" s="5"/>
    </row>
    <row r="234" spans="1:24" ht="15.6" x14ac:dyDescent="0.3">
      <c r="A234" s="84"/>
      <c r="B234" s="76" t="s">
        <v>87</v>
      </c>
      <c r="C234" s="89"/>
      <c r="D234" s="89"/>
      <c r="E234" s="89"/>
      <c r="F234" s="90"/>
      <c r="G234" s="25"/>
      <c r="H234" s="25"/>
      <c r="I234" s="25"/>
      <c r="J234" s="25"/>
      <c r="K234" s="25"/>
      <c r="L234" s="25"/>
      <c r="M234" s="25"/>
      <c r="N234" s="25"/>
      <c r="O234" s="25"/>
      <c r="P234" s="25"/>
      <c r="Q234" s="25"/>
      <c r="R234" s="25"/>
      <c r="S234" s="25"/>
      <c r="T234" s="62">
        <v>0</v>
      </c>
      <c r="U234" s="25"/>
      <c r="V234" s="79"/>
      <c r="W234" s="88"/>
      <c r="X234" s="5"/>
    </row>
    <row r="235" spans="1:24" ht="15.6" x14ac:dyDescent="0.3">
      <c r="A235" s="84"/>
      <c r="B235" s="122" t="s">
        <v>217</v>
      </c>
      <c r="C235" s="89"/>
      <c r="D235" s="89"/>
      <c r="E235" s="89"/>
      <c r="F235" s="90"/>
      <c r="G235" s="25"/>
      <c r="H235" s="25"/>
      <c r="I235" s="25"/>
      <c r="J235" s="25"/>
      <c r="K235" s="25"/>
      <c r="L235" s="25"/>
      <c r="M235" s="25"/>
      <c r="N235" s="25"/>
      <c r="O235" s="25"/>
      <c r="P235" s="25"/>
      <c r="Q235" s="25"/>
      <c r="R235" s="25"/>
      <c r="S235" s="25"/>
      <c r="T235" s="91"/>
      <c r="U235" s="25"/>
      <c r="V235" s="79"/>
      <c r="W235" s="88"/>
      <c r="X235" s="5"/>
    </row>
    <row r="236" spans="1:24" ht="15.6" x14ac:dyDescent="0.3">
      <c r="A236" s="84"/>
      <c r="B236" s="76" t="s">
        <v>291</v>
      </c>
      <c r="C236" s="89"/>
      <c r="D236" s="89"/>
      <c r="E236" s="89"/>
      <c r="F236" s="90"/>
      <c r="G236" s="25"/>
      <c r="H236" s="25"/>
      <c r="I236" s="25"/>
      <c r="J236" s="25"/>
      <c r="K236" s="25"/>
      <c r="L236" s="25"/>
      <c r="M236" s="25"/>
      <c r="N236" s="25"/>
      <c r="O236" s="25"/>
      <c r="P236" s="25"/>
      <c r="Q236" s="25"/>
      <c r="R236" s="25"/>
      <c r="S236" s="30">
        <v>0</v>
      </c>
      <c r="T236" s="85">
        <v>0</v>
      </c>
      <c r="U236" s="25"/>
      <c r="V236" s="79"/>
      <c r="W236" s="88"/>
      <c r="X236" s="5"/>
    </row>
    <row r="237" spans="1:24" ht="15.6" x14ac:dyDescent="0.3">
      <c r="A237" s="84"/>
      <c r="B237" s="76" t="s">
        <v>218</v>
      </c>
      <c r="C237" s="89"/>
      <c r="D237" s="89"/>
      <c r="E237" s="89"/>
      <c r="F237" s="90"/>
      <c r="G237" s="25"/>
      <c r="H237" s="25"/>
      <c r="I237" s="25"/>
      <c r="J237" s="25"/>
      <c r="K237" s="25"/>
      <c r="L237" s="25"/>
      <c r="M237" s="25"/>
      <c r="N237" s="25"/>
      <c r="O237" s="25"/>
      <c r="P237" s="25"/>
      <c r="Q237" s="25"/>
      <c r="R237" s="25"/>
      <c r="S237" s="25"/>
      <c r="T237" s="62">
        <v>0</v>
      </c>
      <c r="U237" s="25"/>
      <c r="V237" s="79"/>
      <c r="W237" s="88"/>
      <c r="X237" s="5"/>
    </row>
    <row r="238" spans="1:24" ht="15.6" x14ac:dyDescent="0.3">
      <c r="A238" s="84"/>
      <c r="B238" s="76"/>
      <c r="C238" s="89"/>
      <c r="D238" s="89"/>
      <c r="E238" s="89"/>
      <c r="F238" s="90"/>
      <c r="G238" s="25"/>
      <c r="H238" s="25"/>
      <c r="I238" s="25"/>
      <c r="J238" s="25"/>
      <c r="K238" s="25"/>
      <c r="L238" s="25"/>
      <c r="M238" s="25"/>
      <c r="N238" s="25"/>
      <c r="O238" s="25"/>
      <c r="P238" s="25"/>
      <c r="Q238" s="25"/>
      <c r="R238" s="25"/>
      <c r="S238" s="25"/>
      <c r="T238" s="91"/>
      <c r="U238" s="25"/>
      <c r="V238" s="79"/>
      <c r="W238" s="88"/>
      <c r="X238" s="5"/>
    </row>
    <row r="239" spans="1:24" ht="15.6" x14ac:dyDescent="0.3">
      <c r="A239" s="84"/>
      <c r="B239" s="76"/>
      <c r="C239" s="89"/>
      <c r="D239" s="89"/>
      <c r="E239" s="89"/>
      <c r="F239" s="90"/>
      <c r="G239" s="25"/>
      <c r="H239" s="25"/>
      <c r="I239" s="25"/>
      <c r="J239" s="25"/>
      <c r="K239" s="25"/>
      <c r="L239" s="25"/>
      <c r="M239" s="25"/>
      <c r="N239" s="25"/>
      <c r="O239" s="25"/>
      <c r="P239" s="25"/>
      <c r="Q239" s="25"/>
      <c r="R239" s="25"/>
      <c r="S239" s="25"/>
      <c r="T239" s="91"/>
      <c r="U239" s="25"/>
      <c r="V239" s="79"/>
      <c r="W239" s="88"/>
      <c r="X239" s="5"/>
    </row>
    <row r="240" spans="1:24" ht="17.399999999999999" x14ac:dyDescent="0.3">
      <c r="A240" s="84"/>
      <c r="B240" s="147" t="s">
        <v>168</v>
      </c>
      <c r="C240" s="89"/>
      <c r="D240" s="89"/>
      <c r="E240" s="89"/>
      <c r="F240" s="90"/>
      <c r="G240" s="25"/>
      <c r="H240" s="25"/>
      <c r="I240" s="25"/>
      <c r="J240" s="25"/>
      <c r="K240" s="25"/>
      <c r="L240" s="25"/>
      <c r="M240" s="25"/>
      <c r="N240" s="25"/>
      <c r="O240" s="25"/>
      <c r="P240" s="148" t="s">
        <v>167</v>
      </c>
      <c r="Q240" s="25"/>
      <c r="R240" s="25"/>
      <c r="S240" s="25"/>
      <c r="T240" s="91"/>
      <c r="U240" s="25"/>
      <c r="V240" s="79"/>
      <c r="W240" s="88"/>
      <c r="X240" s="5"/>
    </row>
    <row r="241" spans="1:25" ht="15.6" x14ac:dyDescent="0.3">
      <c r="A241" s="84"/>
      <c r="B241" s="76"/>
      <c r="C241" s="89"/>
      <c r="D241" s="89"/>
      <c r="E241" s="89"/>
      <c r="F241" s="90"/>
      <c r="G241" s="25"/>
      <c r="H241" s="25"/>
      <c r="I241" s="25"/>
      <c r="J241" s="25"/>
      <c r="K241" s="25"/>
      <c r="L241" s="25"/>
      <c r="M241" s="25"/>
      <c r="N241" s="25"/>
      <c r="O241" s="25"/>
      <c r="P241" s="25"/>
      <c r="Q241" s="25"/>
      <c r="R241" s="25"/>
      <c r="S241" s="25"/>
      <c r="T241" s="91"/>
      <c r="U241" s="25"/>
      <c r="V241" s="79"/>
      <c r="W241" s="88"/>
      <c r="X241" s="5"/>
    </row>
    <row r="242" spans="1:25" ht="15.6" x14ac:dyDescent="0.3">
      <c r="A242" s="6"/>
      <c r="B242" s="14" t="s">
        <v>162</v>
      </c>
      <c r="C242" s="81"/>
      <c r="D242" s="81"/>
      <c r="E242" s="81"/>
      <c r="F242" s="82"/>
      <c r="G242" s="81"/>
      <c r="H242" s="17"/>
      <c r="I242" s="17"/>
      <c r="J242" s="17"/>
      <c r="K242" s="17"/>
      <c r="L242" s="17"/>
      <c r="M242" s="17"/>
      <c r="N242" s="17"/>
      <c r="O242" s="17"/>
      <c r="P242" s="17"/>
      <c r="Q242" s="17"/>
      <c r="R242" s="83" t="s">
        <v>102</v>
      </c>
      <c r="S242" s="17" t="s">
        <v>103</v>
      </c>
      <c r="T242" s="83" t="s">
        <v>109</v>
      </c>
      <c r="U242" s="17" t="s">
        <v>103</v>
      </c>
      <c r="V242" s="8"/>
      <c r="W242" s="92"/>
      <c r="X242" s="5"/>
    </row>
    <row r="243" spans="1:25" ht="15.6" x14ac:dyDescent="0.3">
      <c r="A243" s="24"/>
      <c r="B243" s="54" t="s">
        <v>88</v>
      </c>
      <c r="C243" s="93"/>
      <c r="D243" s="93"/>
      <c r="E243" s="93"/>
      <c r="F243" s="25"/>
      <c r="G243" s="93"/>
      <c r="H243" s="93"/>
      <c r="I243" s="93"/>
      <c r="J243" s="93"/>
      <c r="K243" s="93"/>
      <c r="L243" s="93"/>
      <c r="M243" s="93"/>
      <c r="N243" s="93"/>
      <c r="O243" s="93"/>
      <c r="P243" s="93"/>
      <c r="Q243" s="93"/>
      <c r="R243" s="54">
        <v>9227</v>
      </c>
      <c r="S243" s="94">
        <f t="shared" ref="S243:S250" si="1">R243/$R$252</f>
        <v>0.99375336564351102</v>
      </c>
      <c r="T243" s="53">
        <v>1332020</v>
      </c>
      <c r="U243" s="132">
        <f t="shared" ref="U243:U250" si="2">T243/$T$252</f>
        <v>0.99347464029970856</v>
      </c>
      <c r="V243" s="79"/>
      <c r="W243" s="88"/>
      <c r="X243" s="5"/>
    </row>
    <row r="244" spans="1:25" ht="15.6" x14ac:dyDescent="0.3">
      <c r="A244" s="24"/>
      <c r="B244" s="54" t="s">
        <v>89</v>
      </c>
      <c r="C244" s="93"/>
      <c r="D244" s="93"/>
      <c r="E244" s="93"/>
      <c r="F244" s="25"/>
      <c r="G244" s="94"/>
      <c r="H244" s="93"/>
      <c r="I244" s="93"/>
      <c r="J244" s="93"/>
      <c r="K244" s="93"/>
      <c r="L244" s="93"/>
      <c r="M244" s="93"/>
      <c r="N244" s="93"/>
      <c r="O244" s="93"/>
      <c r="P244" s="93"/>
      <c r="Q244" s="93"/>
      <c r="R244" s="54">
        <v>42</v>
      </c>
      <c r="S244" s="94">
        <f t="shared" si="1"/>
        <v>4.5234248788368339E-3</v>
      </c>
      <c r="T244" s="53">
        <v>6415</v>
      </c>
      <c r="U244" s="132">
        <f t="shared" si="2"/>
        <v>4.7845676622893284E-3</v>
      </c>
      <c r="V244" s="79"/>
      <c r="W244" s="88"/>
      <c r="X244" s="5"/>
      <c r="Y244" s="109"/>
    </row>
    <row r="245" spans="1:25" ht="15.6" x14ac:dyDescent="0.3">
      <c r="A245" s="24"/>
      <c r="B245" s="54" t="s">
        <v>90</v>
      </c>
      <c r="C245" s="93"/>
      <c r="D245" s="93"/>
      <c r="E245" s="93"/>
      <c r="F245" s="25"/>
      <c r="G245" s="94"/>
      <c r="H245" s="93"/>
      <c r="I245" s="93"/>
      <c r="J245" s="93"/>
      <c r="K245" s="93"/>
      <c r="L245" s="93"/>
      <c r="M245" s="93"/>
      <c r="N245" s="93"/>
      <c r="O245" s="93"/>
      <c r="P245" s="93"/>
      <c r="Q245" s="93"/>
      <c r="R245" s="54">
        <v>11</v>
      </c>
      <c r="S245" s="94">
        <f t="shared" si="1"/>
        <v>1.1847065158858373E-3</v>
      </c>
      <c r="T245" s="53">
        <v>1536</v>
      </c>
      <c r="U245" s="132">
        <f t="shared" si="2"/>
        <v>1.1456112126697439E-3</v>
      </c>
      <c r="V245" s="79"/>
      <c r="W245" s="88"/>
      <c r="X245" s="5"/>
    </row>
    <row r="246" spans="1:25" ht="15.6" x14ac:dyDescent="0.3">
      <c r="A246" s="24"/>
      <c r="B246" s="54" t="s">
        <v>156</v>
      </c>
      <c r="C246" s="93"/>
      <c r="D246" s="93"/>
      <c r="E246" s="93"/>
      <c r="F246" s="25"/>
      <c r="G246" s="94"/>
      <c r="H246" s="93"/>
      <c r="I246" s="93"/>
      <c r="J246" s="93"/>
      <c r="K246" s="93"/>
      <c r="L246" s="93"/>
      <c r="M246" s="93"/>
      <c r="N246" s="93"/>
      <c r="O246" s="93"/>
      <c r="P246" s="93"/>
      <c r="Q246" s="93"/>
      <c r="R246" s="54">
        <v>1</v>
      </c>
      <c r="S246" s="94">
        <f t="shared" si="1"/>
        <v>1.0770059235325795E-4</v>
      </c>
      <c r="T246" s="53">
        <v>62</v>
      </c>
      <c r="U246" s="132">
        <f t="shared" si="2"/>
        <v>4.6242119261408937E-5</v>
      </c>
      <c r="V246" s="79"/>
      <c r="W246" s="88"/>
      <c r="X246" s="5"/>
      <c r="Y246" s="109"/>
    </row>
    <row r="247" spans="1:25" ht="15.6" x14ac:dyDescent="0.3">
      <c r="A247" s="24"/>
      <c r="B247" s="54" t="s">
        <v>157</v>
      </c>
      <c r="C247" s="93"/>
      <c r="D247" s="93"/>
      <c r="E247" s="93"/>
      <c r="F247" s="25"/>
      <c r="G247" s="94"/>
      <c r="H247" s="93"/>
      <c r="I247" s="93"/>
      <c r="J247" s="93"/>
      <c r="K247" s="93"/>
      <c r="L247" s="93"/>
      <c r="M247" s="93"/>
      <c r="N247" s="93"/>
      <c r="O247" s="93"/>
      <c r="P247" s="93"/>
      <c r="Q247" s="93"/>
      <c r="R247" s="54">
        <v>1</v>
      </c>
      <c r="S247" s="94">
        <f t="shared" si="1"/>
        <v>1.0770059235325795E-4</v>
      </c>
      <c r="T247" s="53">
        <v>385</v>
      </c>
      <c r="U247" s="132">
        <f t="shared" si="2"/>
        <v>2.8714864380068451E-4</v>
      </c>
      <c r="V247" s="79"/>
      <c r="W247" s="88"/>
      <c r="X247" s="5"/>
    </row>
    <row r="248" spans="1:25" ht="15.6" x14ac:dyDescent="0.3">
      <c r="A248" s="24"/>
      <c r="B248" s="54" t="s">
        <v>158</v>
      </c>
      <c r="C248" s="93"/>
      <c r="D248" s="93"/>
      <c r="E248" s="93"/>
      <c r="F248" s="25"/>
      <c r="G248" s="94"/>
      <c r="H248" s="93"/>
      <c r="I248" s="93"/>
      <c r="J248" s="93"/>
      <c r="K248" s="93"/>
      <c r="L248" s="93"/>
      <c r="M248" s="93"/>
      <c r="N248" s="93"/>
      <c r="O248" s="93"/>
      <c r="P248" s="93"/>
      <c r="Q248" s="93"/>
      <c r="R248" s="54">
        <v>0</v>
      </c>
      <c r="S248" s="94">
        <f t="shared" si="1"/>
        <v>0</v>
      </c>
      <c r="T248" s="53">
        <v>0</v>
      </c>
      <c r="U248" s="132">
        <f t="shared" si="2"/>
        <v>0</v>
      </c>
      <c r="V248" s="79"/>
      <c r="W248" s="88"/>
      <c r="X248" s="5"/>
      <c r="Y248" s="109"/>
    </row>
    <row r="249" spans="1:25" ht="15.6" x14ac:dyDescent="0.3">
      <c r="A249" s="24"/>
      <c r="B249" s="54" t="s">
        <v>159</v>
      </c>
      <c r="C249" s="93"/>
      <c r="D249" s="93"/>
      <c r="E249" s="93"/>
      <c r="F249" s="25"/>
      <c r="G249" s="94"/>
      <c r="H249" s="93"/>
      <c r="I249" s="93"/>
      <c r="J249" s="93"/>
      <c r="K249" s="93"/>
      <c r="L249" s="93"/>
      <c r="M249" s="93"/>
      <c r="N249" s="93"/>
      <c r="O249" s="93"/>
      <c r="P249" s="93"/>
      <c r="Q249" s="93"/>
      <c r="R249" s="54">
        <v>3</v>
      </c>
      <c r="S249" s="94">
        <f t="shared" si="1"/>
        <v>3.2310177705977385E-4</v>
      </c>
      <c r="T249" s="53">
        <v>351</v>
      </c>
      <c r="U249" s="132">
        <f t="shared" si="2"/>
        <v>2.6179006227023446E-4</v>
      </c>
      <c r="V249" s="79"/>
      <c r="W249" s="88"/>
      <c r="X249" s="5"/>
    </row>
    <row r="250" spans="1:25" ht="15.6" x14ac:dyDescent="0.3">
      <c r="A250" s="24"/>
      <c r="B250" s="54" t="s">
        <v>160</v>
      </c>
      <c r="C250" s="93"/>
      <c r="D250" s="93"/>
      <c r="E250" s="93"/>
      <c r="F250" s="25"/>
      <c r="G250" s="94"/>
      <c r="H250" s="93"/>
      <c r="I250" s="93"/>
      <c r="J250" s="93"/>
      <c r="K250" s="93"/>
      <c r="L250" s="93"/>
      <c r="M250" s="93"/>
      <c r="N250" s="93"/>
      <c r="O250" s="93"/>
      <c r="P250" s="93"/>
      <c r="Q250" s="93"/>
      <c r="R250" s="54">
        <v>0</v>
      </c>
      <c r="S250" s="94">
        <f t="shared" si="1"/>
        <v>0</v>
      </c>
      <c r="T250" s="53">
        <v>0</v>
      </c>
      <c r="U250" s="132">
        <f t="shared" si="2"/>
        <v>0</v>
      </c>
      <c r="V250" s="79"/>
      <c r="W250" s="88"/>
      <c r="X250" s="5"/>
      <c r="Y250" s="109"/>
    </row>
    <row r="251" spans="1:25" ht="15.6" x14ac:dyDescent="0.3">
      <c r="A251" s="24"/>
      <c r="B251" s="54"/>
      <c r="C251" s="93"/>
      <c r="D251" s="93"/>
      <c r="E251" s="93"/>
      <c r="F251" s="25"/>
      <c r="G251" s="94"/>
      <c r="H251" s="93"/>
      <c r="I251" s="93"/>
      <c r="J251" s="93"/>
      <c r="K251" s="93"/>
      <c r="L251" s="93"/>
      <c r="M251" s="93"/>
      <c r="N251" s="93"/>
      <c r="O251" s="93"/>
      <c r="P251" s="93"/>
      <c r="Q251" s="93"/>
      <c r="R251" s="54"/>
      <c r="S251" s="94"/>
      <c r="T251" s="53"/>
      <c r="U251" s="132"/>
      <c r="V251" s="79"/>
      <c r="W251" s="88"/>
      <c r="X251" s="5"/>
    </row>
    <row r="252" spans="1:25" ht="15.6" x14ac:dyDescent="0.3">
      <c r="A252" s="24"/>
      <c r="B252" s="25"/>
      <c r="C252" s="25"/>
      <c r="D252" s="25"/>
      <c r="E252" s="25"/>
      <c r="F252" s="25"/>
      <c r="G252" s="25"/>
      <c r="H252" s="95"/>
      <c r="I252" s="95"/>
      <c r="J252" s="95"/>
      <c r="K252" s="95"/>
      <c r="L252" s="95"/>
      <c r="M252" s="95"/>
      <c r="N252" s="95"/>
      <c r="O252" s="95"/>
      <c r="P252" s="95"/>
      <c r="Q252" s="95"/>
      <c r="R252" s="34">
        <f>SUM(R243:R251)</f>
        <v>9285</v>
      </c>
      <c r="S252" s="132">
        <f>SUM(S243:S251)</f>
        <v>0.99999999999999989</v>
      </c>
      <c r="T252" s="53">
        <f>SUM(T243:T251)</f>
        <v>1340769</v>
      </c>
      <c r="U252" s="132">
        <f>SUM(U243:U251)</f>
        <v>0.99999999999999989</v>
      </c>
      <c r="V252" s="25"/>
      <c r="W252" s="25"/>
      <c r="X252" s="5"/>
    </row>
    <row r="253" spans="1:25" ht="15.6" x14ac:dyDescent="0.3">
      <c r="A253" s="24"/>
      <c r="B253" s="25"/>
      <c r="C253" s="25"/>
      <c r="D253" s="25"/>
      <c r="E253" s="25"/>
      <c r="F253" s="25"/>
      <c r="G253" s="25"/>
      <c r="H253" s="95"/>
      <c r="I253" s="95"/>
      <c r="J253" s="95"/>
      <c r="K253" s="95"/>
      <c r="L253" s="95"/>
      <c r="M253" s="95"/>
      <c r="N253" s="95"/>
      <c r="O253" s="95"/>
      <c r="P253" s="95"/>
      <c r="Q253" s="95"/>
      <c r="R253" s="34"/>
      <c r="S253" s="132"/>
      <c r="T253" s="53"/>
      <c r="U253" s="132"/>
      <c r="V253" s="25"/>
      <c r="W253" s="25"/>
      <c r="X253" s="5"/>
    </row>
    <row r="254" spans="1:25" ht="15.6" x14ac:dyDescent="0.3">
      <c r="A254" s="139"/>
      <c r="B254" s="14" t="s">
        <v>275</v>
      </c>
      <c r="C254" s="81"/>
      <c r="D254" s="81"/>
      <c r="E254" s="81"/>
      <c r="F254" s="82"/>
      <c r="G254" s="81"/>
      <c r="H254" s="17"/>
      <c r="I254" s="17"/>
      <c r="J254" s="17"/>
      <c r="K254" s="17"/>
      <c r="L254" s="17"/>
      <c r="M254" s="17"/>
      <c r="N254" s="17"/>
      <c r="O254" s="17"/>
      <c r="P254" s="17"/>
      <c r="Q254" s="17"/>
      <c r="R254" s="83" t="s">
        <v>102</v>
      </c>
      <c r="S254" s="17" t="s">
        <v>103</v>
      </c>
      <c r="T254" s="83" t="s">
        <v>109</v>
      </c>
      <c r="U254" s="17" t="s">
        <v>103</v>
      </c>
      <c r="V254" s="137"/>
      <c r="W254" s="138"/>
      <c r="X254" s="5"/>
    </row>
    <row r="255" spans="1:25" ht="15.6" x14ac:dyDescent="0.3">
      <c r="A255" s="24"/>
      <c r="B255" s="54" t="s">
        <v>88</v>
      </c>
      <c r="C255" s="93"/>
      <c r="D255" s="93"/>
      <c r="E255" s="93"/>
      <c r="F255" s="25"/>
      <c r="G255" s="93"/>
      <c r="H255" s="93"/>
      <c r="I255" s="93"/>
      <c r="J255" s="93"/>
      <c r="K255" s="93"/>
      <c r="L255" s="93"/>
      <c r="M255" s="93"/>
      <c r="N255" s="93"/>
      <c r="O255" s="93"/>
      <c r="P255" s="93"/>
      <c r="Q255" s="93"/>
      <c r="R255" s="54">
        <v>9</v>
      </c>
      <c r="S255" s="94">
        <f t="shared" ref="S255:S262" si="3">R255/$R$264</f>
        <v>0.19565217391304349</v>
      </c>
      <c r="T255" s="53">
        <v>1405</v>
      </c>
      <c r="U255" s="132">
        <f t="shared" ref="U255:U262" si="4">T255/$T$264</f>
        <v>0.19416804864566059</v>
      </c>
      <c r="V255" s="25"/>
      <c r="W255" s="25"/>
      <c r="X255" s="5"/>
    </row>
    <row r="256" spans="1:25" ht="15.6" x14ac:dyDescent="0.3">
      <c r="A256" s="24"/>
      <c r="B256" s="54" t="s">
        <v>89</v>
      </c>
      <c r="C256" s="93"/>
      <c r="D256" s="93"/>
      <c r="E256" s="93"/>
      <c r="F256" s="25"/>
      <c r="G256" s="94"/>
      <c r="H256" s="93"/>
      <c r="I256" s="93"/>
      <c r="J256" s="93"/>
      <c r="K256" s="93"/>
      <c r="L256" s="93"/>
      <c r="M256" s="93"/>
      <c r="N256" s="93"/>
      <c r="O256" s="93"/>
      <c r="P256" s="93"/>
      <c r="Q256" s="93"/>
      <c r="R256" s="54">
        <v>3</v>
      </c>
      <c r="S256" s="94">
        <f t="shared" si="3"/>
        <v>6.5217391304347824E-2</v>
      </c>
      <c r="T256" s="53">
        <v>586</v>
      </c>
      <c r="U256" s="132">
        <f t="shared" si="4"/>
        <v>8.0983969043670542E-2</v>
      </c>
      <c r="V256" s="25"/>
      <c r="W256" s="25"/>
      <c r="X256" s="5"/>
    </row>
    <row r="257" spans="1:24" ht="15.6" x14ac:dyDescent="0.3">
      <c r="A257" s="24"/>
      <c r="B257" s="54" t="s">
        <v>90</v>
      </c>
      <c r="C257" s="93"/>
      <c r="D257" s="93"/>
      <c r="E257" s="93"/>
      <c r="F257" s="25"/>
      <c r="G257" s="94"/>
      <c r="H257" s="93"/>
      <c r="I257" s="93"/>
      <c r="J257" s="93"/>
      <c r="K257" s="93"/>
      <c r="L257" s="93"/>
      <c r="M257" s="93"/>
      <c r="N257" s="93"/>
      <c r="O257" s="93"/>
      <c r="P257" s="93"/>
      <c r="Q257" s="93"/>
      <c r="R257" s="54">
        <v>2</v>
      </c>
      <c r="S257" s="94">
        <f t="shared" si="3"/>
        <v>4.3478260869565216E-2</v>
      </c>
      <c r="T257" s="53">
        <v>220</v>
      </c>
      <c r="U257" s="132">
        <f t="shared" si="4"/>
        <v>3.0403537866224434E-2</v>
      </c>
      <c r="V257" s="25"/>
      <c r="W257" s="25"/>
      <c r="X257" s="5"/>
    </row>
    <row r="258" spans="1:24" ht="15.6" x14ac:dyDescent="0.3">
      <c r="A258" s="24"/>
      <c r="B258" s="54" t="s">
        <v>156</v>
      </c>
      <c r="C258" s="93"/>
      <c r="D258" s="93"/>
      <c r="E258" s="93"/>
      <c r="F258" s="25"/>
      <c r="G258" s="94"/>
      <c r="H258" s="93"/>
      <c r="I258" s="93"/>
      <c r="J258" s="93"/>
      <c r="K258" s="93"/>
      <c r="L258" s="93"/>
      <c r="M258" s="93"/>
      <c r="N258" s="93"/>
      <c r="O258" s="93"/>
      <c r="P258" s="93"/>
      <c r="Q258" s="93"/>
      <c r="R258" s="54">
        <v>4</v>
      </c>
      <c r="S258" s="94">
        <f t="shared" si="3"/>
        <v>8.6956521739130432E-2</v>
      </c>
      <c r="T258" s="53">
        <v>784</v>
      </c>
      <c r="U258" s="132">
        <f t="shared" si="4"/>
        <v>0.10834715312327253</v>
      </c>
      <c r="V258" s="25"/>
      <c r="W258" s="25"/>
      <c r="X258" s="5"/>
    </row>
    <row r="259" spans="1:24" ht="15.6" x14ac:dyDescent="0.3">
      <c r="A259" s="24"/>
      <c r="B259" s="54" t="s">
        <v>157</v>
      </c>
      <c r="C259" s="93"/>
      <c r="D259" s="93"/>
      <c r="E259" s="93"/>
      <c r="F259" s="25"/>
      <c r="G259" s="94"/>
      <c r="H259" s="93"/>
      <c r="I259" s="93"/>
      <c r="J259" s="93"/>
      <c r="K259" s="93"/>
      <c r="L259" s="93"/>
      <c r="M259" s="93"/>
      <c r="N259" s="93"/>
      <c r="O259" s="93"/>
      <c r="P259" s="93"/>
      <c r="Q259" s="93"/>
      <c r="R259" s="54">
        <v>4</v>
      </c>
      <c r="S259" s="94">
        <f t="shared" si="3"/>
        <v>8.6956521739130432E-2</v>
      </c>
      <c r="T259" s="53">
        <v>631</v>
      </c>
      <c r="U259" s="132">
        <f t="shared" si="4"/>
        <v>8.7202874516307358E-2</v>
      </c>
      <c r="V259" s="25"/>
      <c r="W259" s="25"/>
      <c r="X259" s="5"/>
    </row>
    <row r="260" spans="1:24" ht="15.6" x14ac:dyDescent="0.3">
      <c r="A260" s="24"/>
      <c r="B260" s="54" t="s">
        <v>158</v>
      </c>
      <c r="C260" s="93"/>
      <c r="D260" s="93"/>
      <c r="E260" s="93"/>
      <c r="F260" s="25"/>
      <c r="G260" s="94"/>
      <c r="H260" s="93"/>
      <c r="I260" s="93"/>
      <c r="J260" s="93"/>
      <c r="K260" s="93"/>
      <c r="L260" s="93"/>
      <c r="M260" s="93"/>
      <c r="N260" s="93"/>
      <c r="O260" s="93"/>
      <c r="P260" s="93"/>
      <c r="Q260" s="93"/>
      <c r="R260" s="54">
        <v>5</v>
      </c>
      <c r="S260" s="94">
        <f t="shared" si="3"/>
        <v>0.10869565217391304</v>
      </c>
      <c r="T260" s="53">
        <v>792</v>
      </c>
      <c r="U260" s="132">
        <f t="shared" si="4"/>
        <v>0.10945273631840796</v>
      </c>
      <c r="V260" s="25"/>
      <c r="W260" s="25"/>
      <c r="X260" s="5"/>
    </row>
    <row r="261" spans="1:24" ht="15.6" x14ac:dyDescent="0.3">
      <c r="A261" s="24"/>
      <c r="B261" s="54" t="s">
        <v>159</v>
      </c>
      <c r="C261" s="93"/>
      <c r="D261" s="93"/>
      <c r="E261" s="93"/>
      <c r="F261" s="25"/>
      <c r="G261" s="94"/>
      <c r="H261" s="93"/>
      <c r="I261" s="93"/>
      <c r="J261" s="93"/>
      <c r="K261" s="93"/>
      <c r="L261" s="93"/>
      <c r="M261" s="93"/>
      <c r="N261" s="93"/>
      <c r="O261" s="93"/>
      <c r="P261" s="93"/>
      <c r="Q261" s="93"/>
      <c r="R261" s="54">
        <v>17</v>
      </c>
      <c r="S261" s="94">
        <f t="shared" si="3"/>
        <v>0.36956521739130432</v>
      </c>
      <c r="T261" s="53">
        <v>2538</v>
      </c>
      <c r="U261" s="132">
        <f t="shared" si="4"/>
        <v>0.35074626865671643</v>
      </c>
      <c r="V261" s="25"/>
      <c r="W261" s="25"/>
      <c r="X261" s="5"/>
    </row>
    <row r="262" spans="1:24" ht="15.6" x14ac:dyDescent="0.3">
      <c r="A262" s="24"/>
      <c r="B262" s="54" t="s">
        <v>160</v>
      </c>
      <c r="C262" s="93"/>
      <c r="D262" s="93"/>
      <c r="E262" s="93"/>
      <c r="F262" s="25"/>
      <c r="G262" s="94"/>
      <c r="H262" s="93"/>
      <c r="I262" s="93"/>
      <c r="J262" s="93"/>
      <c r="K262" s="93"/>
      <c r="L262" s="93"/>
      <c r="M262" s="93"/>
      <c r="N262" s="93"/>
      <c r="O262" s="93"/>
      <c r="P262" s="93"/>
      <c r="Q262" s="93"/>
      <c r="R262" s="54">
        <v>2</v>
      </c>
      <c r="S262" s="94">
        <f t="shared" si="3"/>
        <v>4.3478260869565216E-2</v>
      </c>
      <c r="T262" s="53">
        <v>280</v>
      </c>
      <c r="U262" s="132">
        <f t="shared" si="4"/>
        <v>3.8695411829740185E-2</v>
      </c>
      <c r="V262" s="25"/>
      <c r="W262" s="25"/>
      <c r="X262" s="5"/>
    </row>
    <row r="263" spans="1:24" ht="15.6" x14ac:dyDescent="0.3">
      <c r="A263" s="24"/>
      <c r="B263" s="54"/>
      <c r="C263" s="93"/>
      <c r="D263" s="93"/>
      <c r="E263" s="93"/>
      <c r="F263" s="25"/>
      <c r="G263" s="94"/>
      <c r="H263" s="93"/>
      <c r="I263" s="93"/>
      <c r="J263" s="93"/>
      <c r="K263" s="93"/>
      <c r="L263" s="93"/>
      <c r="M263" s="93"/>
      <c r="N263" s="93"/>
      <c r="O263" s="93"/>
      <c r="P263" s="93"/>
      <c r="Q263" s="93"/>
      <c r="R263" s="54"/>
      <c r="S263" s="94"/>
      <c r="T263" s="53"/>
      <c r="U263" s="132"/>
      <c r="V263" s="25"/>
      <c r="W263" s="25"/>
      <c r="X263" s="5"/>
    </row>
    <row r="264" spans="1:24" ht="15.6" x14ac:dyDescent="0.3">
      <c r="A264" s="24"/>
      <c r="B264" s="25"/>
      <c r="C264" s="25"/>
      <c r="D264" s="25"/>
      <c r="E264" s="25"/>
      <c r="F264" s="25"/>
      <c r="G264" s="25"/>
      <c r="H264" s="95"/>
      <c r="I264" s="95"/>
      <c r="J264" s="95"/>
      <c r="K264" s="95"/>
      <c r="L264" s="95"/>
      <c r="M264" s="95"/>
      <c r="N264" s="95"/>
      <c r="O264" s="95"/>
      <c r="P264" s="95"/>
      <c r="Q264" s="95"/>
      <c r="R264" s="34">
        <f>SUM(R255:R263)</f>
        <v>46</v>
      </c>
      <c r="S264" s="132">
        <f>SUM(S255:S263)</f>
        <v>1</v>
      </c>
      <c r="T264" s="53">
        <f>SUM(T255:T263)</f>
        <v>7236</v>
      </c>
      <c r="U264" s="132">
        <f>SUM(U255:U263)</f>
        <v>1</v>
      </c>
      <c r="V264" s="25"/>
      <c r="W264" s="25"/>
      <c r="X264" s="5"/>
    </row>
    <row r="265" spans="1:24" ht="15.6" x14ac:dyDescent="0.3">
      <c r="A265" s="24"/>
      <c r="B265" s="25"/>
      <c r="C265" s="25"/>
      <c r="D265" s="25"/>
      <c r="E265" s="25"/>
      <c r="F265" s="25"/>
      <c r="G265" s="25"/>
      <c r="H265" s="95"/>
      <c r="I265" s="95"/>
      <c r="J265" s="95"/>
      <c r="K265" s="95"/>
      <c r="L265" s="95"/>
      <c r="M265" s="95"/>
      <c r="N265" s="95"/>
      <c r="O265" s="95"/>
      <c r="P265" s="95"/>
      <c r="Q265" s="95"/>
      <c r="R265" s="34"/>
      <c r="S265" s="132"/>
      <c r="T265" s="53"/>
      <c r="U265" s="132"/>
      <c r="V265" s="25"/>
      <c r="W265" s="25"/>
      <c r="X265" s="5"/>
    </row>
    <row r="266" spans="1:24" ht="15.6" x14ac:dyDescent="0.3">
      <c r="A266" s="139"/>
      <c r="B266" s="14" t="s">
        <v>163</v>
      </c>
      <c r="C266" s="137"/>
      <c r="D266" s="137"/>
      <c r="E266" s="137"/>
      <c r="F266" s="137"/>
      <c r="G266" s="137"/>
      <c r="H266" s="143"/>
      <c r="I266" s="143"/>
      <c r="J266" s="143"/>
      <c r="K266" s="143"/>
      <c r="L266" s="143"/>
      <c r="M266" s="143"/>
      <c r="N266" s="143"/>
      <c r="O266" s="143"/>
      <c r="P266" s="143"/>
      <c r="Q266" s="143"/>
      <c r="R266" s="83" t="s">
        <v>102</v>
      </c>
      <c r="S266" s="17" t="s">
        <v>103</v>
      </c>
      <c r="T266" s="83" t="s">
        <v>109</v>
      </c>
      <c r="U266" s="17" t="s">
        <v>103</v>
      </c>
      <c r="V266" s="137"/>
      <c r="W266" s="138"/>
      <c r="X266" s="5"/>
    </row>
    <row r="267" spans="1:24" ht="15.6" x14ac:dyDescent="0.3">
      <c r="A267" s="24"/>
      <c r="B267" s="54" t="s">
        <v>88</v>
      </c>
      <c r="C267" s="25"/>
      <c r="D267" s="25"/>
      <c r="E267" s="25"/>
      <c r="F267" s="25"/>
      <c r="G267" s="25"/>
      <c r="H267" s="95"/>
      <c r="I267" s="95"/>
      <c r="J267" s="95"/>
      <c r="K267" s="95"/>
      <c r="L267" s="95"/>
      <c r="M267" s="95"/>
      <c r="N267" s="95"/>
      <c r="O267" s="95"/>
      <c r="P267" s="95"/>
      <c r="Q267" s="95"/>
      <c r="R267" s="54">
        <v>0</v>
      </c>
      <c r="S267" s="94">
        <f t="shared" ref="S267:S274" si="5">R267/$R$276</f>
        <v>0</v>
      </c>
      <c r="T267" s="53">
        <v>0</v>
      </c>
      <c r="U267" s="132">
        <f t="shared" ref="U267:U274" si="6">T267/$T$276</f>
        <v>0</v>
      </c>
      <c r="V267" s="25"/>
      <c r="W267" s="25"/>
      <c r="X267" s="5"/>
    </row>
    <row r="268" spans="1:24" ht="15.6" x14ac:dyDescent="0.3">
      <c r="A268" s="24"/>
      <c r="B268" s="54" t="s">
        <v>89</v>
      </c>
      <c r="C268" s="25"/>
      <c r="D268" s="25"/>
      <c r="E268" s="25"/>
      <c r="F268" s="25"/>
      <c r="G268" s="25"/>
      <c r="H268" s="95"/>
      <c r="I268" s="95"/>
      <c r="J268" s="95"/>
      <c r="K268" s="95"/>
      <c r="L268" s="95"/>
      <c r="M268" s="95"/>
      <c r="N268" s="95"/>
      <c r="O268" s="95"/>
      <c r="P268" s="95"/>
      <c r="Q268" s="95"/>
      <c r="R268" s="54">
        <v>0</v>
      </c>
      <c r="S268" s="94">
        <f t="shared" si="5"/>
        <v>0</v>
      </c>
      <c r="T268" s="53">
        <v>0</v>
      </c>
      <c r="U268" s="132">
        <f t="shared" si="6"/>
        <v>0</v>
      </c>
      <c r="V268" s="25"/>
      <c r="W268" s="25"/>
      <c r="X268" s="5"/>
    </row>
    <row r="269" spans="1:24" ht="15.6" x14ac:dyDescent="0.3">
      <c r="A269" s="24"/>
      <c r="B269" s="54" t="s">
        <v>90</v>
      </c>
      <c r="C269" s="25"/>
      <c r="D269" s="25"/>
      <c r="E269" s="25"/>
      <c r="F269" s="25"/>
      <c r="G269" s="25"/>
      <c r="H269" s="95"/>
      <c r="I269" s="95"/>
      <c r="J269" s="95"/>
      <c r="K269" s="95"/>
      <c r="L269" s="95"/>
      <c r="M269" s="95"/>
      <c r="N269" s="95"/>
      <c r="O269" s="95"/>
      <c r="P269" s="95"/>
      <c r="Q269" s="95"/>
      <c r="R269" s="54">
        <v>0</v>
      </c>
      <c r="S269" s="94">
        <f t="shared" si="5"/>
        <v>0</v>
      </c>
      <c r="T269" s="53">
        <v>0</v>
      </c>
      <c r="U269" s="132">
        <f t="shared" si="6"/>
        <v>0</v>
      </c>
      <c r="V269" s="25"/>
      <c r="W269" s="25"/>
      <c r="X269" s="5"/>
    </row>
    <row r="270" spans="1:24" ht="15.6" x14ac:dyDescent="0.3">
      <c r="A270" s="24"/>
      <c r="B270" s="54" t="s">
        <v>156</v>
      </c>
      <c r="C270" s="25"/>
      <c r="D270" s="25"/>
      <c r="E270" s="25"/>
      <c r="F270" s="25"/>
      <c r="G270" s="25"/>
      <c r="H270" s="95"/>
      <c r="I270" s="95"/>
      <c r="J270" s="95"/>
      <c r="K270" s="95"/>
      <c r="L270" s="95"/>
      <c r="M270" s="95"/>
      <c r="N270" s="95"/>
      <c r="O270" s="95"/>
      <c r="P270" s="95"/>
      <c r="Q270" s="95"/>
      <c r="R270" s="54">
        <v>0</v>
      </c>
      <c r="S270" s="94">
        <f t="shared" si="5"/>
        <v>0</v>
      </c>
      <c r="T270" s="53">
        <v>0</v>
      </c>
      <c r="U270" s="132">
        <f t="shared" si="6"/>
        <v>0</v>
      </c>
      <c r="V270" s="25"/>
      <c r="W270" s="25"/>
      <c r="X270" s="5"/>
    </row>
    <row r="271" spans="1:24" ht="15.6" x14ac:dyDescent="0.3">
      <c r="A271" s="24"/>
      <c r="B271" s="54" t="s">
        <v>157</v>
      </c>
      <c r="C271" s="25"/>
      <c r="D271" s="25"/>
      <c r="E271" s="25"/>
      <c r="F271" s="25"/>
      <c r="G271" s="25"/>
      <c r="H271" s="95"/>
      <c r="I271" s="95"/>
      <c r="J271" s="95"/>
      <c r="K271" s="95"/>
      <c r="L271" s="95"/>
      <c r="M271" s="95"/>
      <c r="N271" s="95"/>
      <c r="O271" s="95"/>
      <c r="P271" s="95"/>
      <c r="Q271" s="95"/>
      <c r="R271" s="54">
        <v>0</v>
      </c>
      <c r="S271" s="94">
        <f t="shared" si="5"/>
        <v>0</v>
      </c>
      <c r="T271" s="53">
        <v>0</v>
      </c>
      <c r="U271" s="132">
        <f t="shared" si="6"/>
        <v>0</v>
      </c>
      <c r="V271" s="25"/>
      <c r="W271" s="25"/>
      <c r="X271" s="5"/>
    </row>
    <row r="272" spans="1:24" ht="15.6" x14ac:dyDescent="0.3">
      <c r="A272" s="24"/>
      <c r="B272" s="54" t="s">
        <v>158</v>
      </c>
      <c r="C272" s="25"/>
      <c r="D272" s="25"/>
      <c r="E272" s="25"/>
      <c r="F272" s="25"/>
      <c r="G272" s="25"/>
      <c r="H272" s="95"/>
      <c r="I272" s="95"/>
      <c r="J272" s="95"/>
      <c r="K272" s="95"/>
      <c r="L272" s="95"/>
      <c r="M272" s="95"/>
      <c r="N272" s="95"/>
      <c r="O272" s="95"/>
      <c r="P272" s="95"/>
      <c r="Q272" s="95"/>
      <c r="R272" s="54">
        <v>0</v>
      </c>
      <c r="S272" s="94">
        <f t="shared" si="5"/>
        <v>0</v>
      </c>
      <c r="T272" s="53">
        <v>0</v>
      </c>
      <c r="U272" s="132">
        <f t="shared" si="6"/>
        <v>0</v>
      </c>
      <c r="V272" s="25"/>
      <c r="W272" s="25"/>
      <c r="X272" s="5"/>
    </row>
    <row r="273" spans="1:24" ht="15.6" x14ac:dyDescent="0.3">
      <c r="A273" s="24"/>
      <c r="B273" s="54" t="s">
        <v>159</v>
      </c>
      <c r="C273" s="25"/>
      <c r="D273" s="25"/>
      <c r="E273" s="25"/>
      <c r="F273" s="25"/>
      <c r="G273" s="25"/>
      <c r="H273" s="95"/>
      <c r="I273" s="95"/>
      <c r="J273" s="95"/>
      <c r="K273" s="95"/>
      <c r="L273" s="95"/>
      <c r="M273" s="95"/>
      <c r="N273" s="95"/>
      <c r="O273" s="95"/>
      <c r="P273" s="95"/>
      <c r="Q273" s="95"/>
      <c r="R273" s="54">
        <v>2</v>
      </c>
      <c r="S273" s="94">
        <f t="shared" si="5"/>
        <v>1</v>
      </c>
      <c r="T273" s="53">
        <v>238</v>
      </c>
      <c r="U273" s="132">
        <f t="shared" si="6"/>
        <v>1</v>
      </c>
      <c r="V273" s="25"/>
      <c r="W273" s="25"/>
      <c r="X273" s="5"/>
    </row>
    <row r="274" spans="1:24" ht="15.6" x14ac:dyDescent="0.3">
      <c r="A274" s="24"/>
      <c r="B274" s="54" t="s">
        <v>160</v>
      </c>
      <c r="C274" s="25"/>
      <c r="D274" s="25"/>
      <c r="E274" s="25"/>
      <c r="F274" s="25"/>
      <c r="G274" s="25"/>
      <c r="H274" s="95"/>
      <c r="I274" s="95"/>
      <c r="J274" s="95"/>
      <c r="K274" s="95"/>
      <c r="L274" s="95"/>
      <c r="M274" s="95"/>
      <c r="N274" s="95"/>
      <c r="O274" s="95"/>
      <c r="P274" s="95"/>
      <c r="Q274" s="95"/>
      <c r="R274" s="54">
        <v>0</v>
      </c>
      <c r="S274" s="94">
        <f t="shared" si="5"/>
        <v>0</v>
      </c>
      <c r="T274" s="53">
        <v>0</v>
      </c>
      <c r="U274" s="132">
        <f t="shared" si="6"/>
        <v>0</v>
      </c>
      <c r="V274" s="25"/>
      <c r="W274" s="25"/>
      <c r="X274" s="5"/>
    </row>
    <row r="275" spans="1:24" ht="15.6" x14ac:dyDescent="0.3">
      <c r="A275" s="24"/>
      <c r="B275" s="54"/>
      <c r="C275" s="25"/>
      <c r="D275" s="25"/>
      <c r="E275" s="25"/>
      <c r="F275" s="25"/>
      <c r="G275" s="25"/>
      <c r="H275" s="95"/>
      <c r="I275" s="95"/>
      <c r="J275" s="95"/>
      <c r="K275" s="95"/>
      <c r="L275" s="95"/>
      <c r="M275" s="95"/>
      <c r="N275" s="95"/>
      <c r="O275" s="95"/>
      <c r="P275" s="95"/>
      <c r="Q275" s="95"/>
      <c r="R275" s="54"/>
      <c r="S275" s="94"/>
      <c r="T275" s="53"/>
      <c r="U275" s="132"/>
      <c r="V275" s="25"/>
      <c r="W275" s="25"/>
      <c r="X275" s="5"/>
    </row>
    <row r="276" spans="1:24" ht="15.6" x14ac:dyDescent="0.3">
      <c r="A276" s="24"/>
      <c r="B276" s="25" t="s">
        <v>114</v>
      </c>
      <c r="C276" s="25"/>
      <c r="D276" s="25"/>
      <c r="E276" s="25"/>
      <c r="F276" s="25"/>
      <c r="G276" s="25"/>
      <c r="H276" s="95"/>
      <c r="I276" s="95"/>
      <c r="J276" s="95"/>
      <c r="K276" s="95"/>
      <c r="L276" s="95"/>
      <c r="M276" s="95"/>
      <c r="N276" s="95"/>
      <c r="O276" s="95"/>
      <c r="P276" s="95"/>
      <c r="Q276" s="95"/>
      <c r="R276" s="34">
        <f>SUM(R267:R274)</f>
        <v>2</v>
      </c>
      <c r="S276" s="132">
        <f>SUM(S267:S275)</f>
        <v>1</v>
      </c>
      <c r="T276" s="53">
        <f>SUM(T267:T274)</f>
        <v>238</v>
      </c>
      <c r="U276" s="132">
        <f>SUM(U267:U275)</f>
        <v>1</v>
      </c>
      <c r="V276" s="25"/>
      <c r="W276" s="25"/>
      <c r="X276" s="5"/>
    </row>
    <row r="277" spans="1:24" ht="15.6" x14ac:dyDescent="0.3">
      <c r="A277" s="24"/>
      <c r="B277" s="25"/>
      <c r="C277" s="25"/>
      <c r="D277" s="25"/>
      <c r="E277" s="25"/>
      <c r="F277" s="25"/>
      <c r="G277" s="25"/>
      <c r="H277" s="95"/>
      <c r="I277" s="95"/>
      <c r="J277" s="95"/>
      <c r="K277" s="95"/>
      <c r="L277" s="95"/>
      <c r="M277" s="95"/>
      <c r="N277" s="95"/>
      <c r="O277" s="95"/>
      <c r="P277" s="95"/>
      <c r="Q277" s="95"/>
      <c r="R277" s="34"/>
      <c r="S277" s="132"/>
      <c r="T277" s="53"/>
      <c r="U277" s="132"/>
      <c r="V277" s="25"/>
      <c r="W277" s="25"/>
      <c r="X277" s="5"/>
    </row>
    <row r="278" spans="1:24" ht="15.6" x14ac:dyDescent="0.3">
      <c r="A278" s="24"/>
      <c r="B278" s="140" t="s">
        <v>164</v>
      </c>
      <c r="C278" s="25"/>
      <c r="D278" s="25"/>
      <c r="E278" s="25"/>
      <c r="F278" s="25"/>
      <c r="G278" s="25"/>
      <c r="H278" s="95"/>
      <c r="I278" s="95"/>
      <c r="J278" s="95"/>
      <c r="K278" s="95"/>
      <c r="L278" s="95"/>
      <c r="M278" s="95"/>
      <c r="N278" s="95"/>
      <c r="O278" s="95"/>
      <c r="P278" s="95"/>
      <c r="Q278" s="95"/>
      <c r="R278" s="159">
        <f>R276+R264+R252</f>
        <v>9333</v>
      </c>
      <c r="S278" s="141"/>
      <c r="T278" s="142">
        <f>+T276+T264+T252</f>
        <v>1348243</v>
      </c>
      <c r="U278" s="141"/>
      <c r="V278" s="25"/>
      <c r="W278" s="25"/>
      <c r="X278" s="5"/>
    </row>
    <row r="279" spans="1:24" ht="15.6" x14ac:dyDescent="0.3">
      <c r="A279" s="24"/>
      <c r="B279" s="25"/>
      <c r="C279" s="25"/>
      <c r="D279" s="25"/>
      <c r="E279" s="25"/>
      <c r="F279" s="25"/>
      <c r="G279" s="25"/>
      <c r="H279" s="95"/>
      <c r="I279" s="95"/>
      <c r="J279" s="95"/>
      <c r="K279" s="95"/>
      <c r="L279" s="95"/>
      <c r="M279" s="95"/>
      <c r="N279" s="95"/>
      <c r="O279" s="95"/>
      <c r="P279" s="95"/>
      <c r="Q279" s="95"/>
      <c r="R279" s="95"/>
      <c r="S279" s="95"/>
      <c r="T279" s="53"/>
      <c r="U279" s="95"/>
      <c r="V279" s="25"/>
      <c r="W279" s="25"/>
      <c r="X279" s="5"/>
    </row>
    <row r="280" spans="1:24" ht="15.6" x14ac:dyDescent="0.3">
      <c r="A280" s="6"/>
      <c r="B280" s="8"/>
      <c r="C280" s="8"/>
      <c r="D280" s="8"/>
      <c r="E280" s="8"/>
      <c r="F280" s="8"/>
      <c r="G280" s="8"/>
      <c r="H280" s="96"/>
      <c r="I280" s="96"/>
      <c r="J280" s="96"/>
      <c r="K280" s="96"/>
      <c r="L280" s="96"/>
      <c r="M280" s="96"/>
      <c r="N280" s="96"/>
      <c r="O280" s="96"/>
      <c r="P280" s="96"/>
      <c r="Q280" s="96"/>
      <c r="R280" s="96"/>
      <c r="S280" s="96"/>
      <c r="T280" s="97"/>
      <c r="U280" s="96"/>
      <c r="V280" s="8"/>
      <c r="W280" s="8"/>
      <c r="X280" s="5"/>
    </row>
    <row r="281" spans="1:24" ht="15.6" x14ac:dyDescent="0.3">
      <c r="A281" s="178"/>
      <c r="B281" s="14" t="s">
        <v>91</v>
      </c>
      <c r="C281" s="15"/>
      <c r="D281" s="15"/>
      <c r="E281" s="15"/>
      <c r="F281" s="17" t="s">
        <v>97</v>
      </c>
      <c r="G281" s="15"/>
      <c r="H281" s="14" t="s">
        <v>99</v>
      </c>
      <c r="I281" s="14"/>
      <c r="J281" s="14"/>
      <c r="K281" s="173"/>
      <c r="L281" s="173"/>
      <c r="M281" s="173"/>
      <c r="N281" s="173"/>
      <c r="O281" s="173"/>
      <c r="P281" s="173"/>
      <c r="Q281" s="173"/>
      <c r="R281" s="173"/>
      <c r="S281" s="173"/>
      <c r="T281" s="173"/>
      <c r="U281" s="173"/>
      <c r="V281" s="173"/>
      <c r="W281" s="173"/>
      <c r="X281" s="5"/>
    </row>
    <row r="282" spans="1:24" ht="15.6" x14ac:dyDescent="0.3">
      <c r="A282" s="178"/>
      <c r="B282" s="173"/>
      <c r="C282" s="8"/>
      <c r="D282" s="8"/>
      <c r="E282" s="8"/>
      <c r="F282" s="8"/>
      <c r="G282" s="8"/>
      <c r="H282" s="8"/>
      <c r="I282" s="8"/>
      <c r="J282" s="8"/>
      <c r="K282" s="173"/>
      <c r="L282" s="173"/>
      <c r="M282" s="173"/>
      <c r="N282" s="173"/>
      <c r="O282" s="173"/>
      <c r="P282" s="173"/>
      <c r="Q282" s="173"/>
      <c r="R282" s="173"/>
      <c r="S282" s="173"/>
      <c r="T282" s="173"/>
      <c r="U282" s="173"/>
      <c r="V282" s="173"/>
      <c r="W282" s="173"/>
      <c r="X282" s="5"/>
    </row>
    <row r="283" spans="1:24" ht="15.6" x14ac:dyDescent="0.3">
      <c r="A283" s="178"/>
      <c r="B283" s="13" t="s">
        <v>92</v>
      </c>
      <c r="C283" s="13"/>
      <c r="D283" s="13"/>
      <c r="E283" s="13"/>
      <c r="F283" s="130" t="s">
        <v>148</v>
      </c>
      <c r="G283" s="13"/>
      <c r="H283" s="13" t="s">
        <v>152</v>
      </c>
      <c r="I283" s="13"/>
      <c r="J283" s="13"/>
      <c r="K283" s="173"/>
      <c r="L283" s="173"/>
      <c r="M283" s="173"/>
      <c r="N283" s="173"/>
      <c r="O283" s="173"/>
      <c r="P283" s="173"/>
      <c r="Q283" s="173"/>
      <c r="R283" s="173"/>
      <c r="S283" s="173"/>
      <c r="T283" s="173"/>
      <c r="U283" s="173"/>
      <c r="V283" s="173"/>
      <c r="W283" s="173"/>
      <c r="X283" s="5"/>
    </row>
    <row r="284" spans="1:24" ht="15.6" x14ac:dyDescent="0.3">
      <c r="A284" s="178"/>
      <c r="B284" s="13" t="s">
        <v>277</v>
      </c>
      <c r="C284" s="13"/>
      <c r="D284" s="13"/>
      <c r="E284" s="13"/>
      <c r="F284" s="130" t="s">
        <v>278</v>
      </c>
      <c r="G284" s="13"/>
      <c r="H284" s="13" t="s">
        <v>279</v>
      </c>
      <c r="I284" s="173"/>
      <c r="J284" s="13"/>
      <c r="K284" s="173"/>
      <c r="L284" s="173"/>
      <c r="M284" s="173"/>
      <c r="N284" s="173"/>
      <c r="O284" s="173"/>
      <c r="P284" s="173"/>
      <c r="Q284" s="173"/>
      <c r="R284" s="173"/>
      <c r="S284" s="173"/>
      <c r="T284" s="173"/>
      <c r="U284" s="173"/>
      <c r="V284" s="173"/>
      <c r="W284" s="173"/>
      <c r="X284" s="5"/>
    </row>
    <row r="285" spans="1:24" ht="15.6" x14ac:dyDescent="0.3">
      <c r="A285" s="178"/>
      <c r="B285" s="13" t="s">
        <v>93</v>
      </c>
      <c r="C285" s="13"/>
      <c r="D285" s="13"/>
      <c r="E285" s="13"/>
      <c r="F285" s="130" t="s">
        <v>147</v>
      </c>
      <c r="G285" s="13"/>
      <c r="H285" s="13" t="s">
        <v>153</v>
      </c>
      <c r="I285" s="13"/>
      <c r="J285" s="13"/>
      <c r="K285" s="173"/>
      <c r="L285" s="173"/>
      <c r="M285" s="173"/>
      <c r="N285" s="173"/>
      <c r="O285" s="173"/>
      <c r="P285" s="173"/>
      <c r="Q285" s="173"/>
      <c r="R285" s="173"/>
      <c r="S285" s="173"/>
      <c r="T285" s="173"/>
      <c r="U285" s="173"/>
      <c r="V285" s="173"/>
      <c r="W285" s="173"/>
      <c r="X285" s="5"/>
    </row>
    <row r="286" spans="1:24" ht="15.6" x14ac:dyDescent="0.3">
      <c r="A286" s="178"/>
      <c r="B286" s="13"/>
      <c r="C286" s="13"/>
      <c r="D286" s="13"/>
      <c r="E286" s="13"/>
      <c r="F286" s="13"/>
      <c r="G286" s="99"/>
      <c r="H286" s="173"/>
      <c r="I286" s="173"/>
      <c r="J286" s="173"/>
      <c r="K286" s="173"/>
      <c r="L286" s="173"/>
      <c r="M286" s="173"/>
      <c r="N286" s="173"/>
      <c r="O286" s="173"/>
      <c r="P286" s="173"/>
      <c r="Q286" s="173"/>
      <c r="R286" s="173"/>
      <c r="S286" s="173"/>
      <c r="T286" s="173"/>
      <c r="U286" s="173"/>
      <c r="V286" s="173"/>
      <c r="W286" s="173"/>
      <c r="X286" s="5"/>
    </row>
    <row r="287" spans="1:24" ht="15.6" x14ac:dyDescent="0.3">
      <c r="A287" s="178"/>
      <c r="B287" s="13"/>
      <c r="C287" s="13"/>
      <c r="D287" s="13"/>
      <c r="E287" s="13"/>
      <c r="F287" s="13"/>
      <c r="G287" s="99"/>
      <c r="H287" s="173"/>
      <c r="I287" s="173"/>
      <c r="J287" s="173"/>
      <c r="K287" s="173"/>
      <c r="L287" s="173"/>
      <c r="M287" s="173"/>
      <c r="N287" s="173"/>
      <c r="O287" s="173"/>
      <c r="P287" s="173"/>
      <c r="Q287" s="173"/>
      <c r="R287" s="173"/>
      <c r="S287" s="173"/>
      <c r="T287" s="173"/>
      <c r="U287" s="173"/>
      <c r="V287" s="173"/>
      <c r="W287" s="173"/>
      <c r="X287" s="5"/>
    </row>
    <row r="288" spans="1:24" ht="18" thickBot="1" x14ac:dyDescent="0.35">
      <c r="A288" s="178"/>
      <c r="B288" s="49" t="str">
        <f>B204</f>
        <v>PM14 INVESTOR REPORT QUARTER ENDING MAY 2008</v>
      </c>
      <c r="C288" s="13"/>
      <c r="D288" s="13"/>
      <c r="E288" s="13"/>
      <c r="F288" s="13"/>
      <c r="G288" s="99"/>
      <c r="H288" s="173"/>
      <c r="I288" s="173"/>
      <c r="J288" s="173"/>
      <c r="K288" s="173"/>
      <c r="L288" s="173"/>
      <c r="M288" s="173"/>
      <c r="N288" s="173"/>
      <c r="O288" s="173"/>
      <c r="P288" s="173"/>
      <c r="Q288" s="173"/>
      <c r="R288" s="173"/>
      <c r="S288" s="173"/>
      <c r="T288" s="173"/>
      <c r="U288" s="173"/>
      <c r="V288" s="173"/>
      <c r="W288" s="173"/>
      <c r="X288" s="5"/>
    </row>
    <row r="289" spans="1:23" x14ac:dyDescent="0.25">
      <c r="A289" s="100"/>
      <c r="B289" s="100"/>
      <c r="C289" s="100"/>
      <c r="D289" s="100"/>
      <c r="E289" s="100"/>
      <c r="F289" s="100"/>
      <c r="G289" s="100"/>
      <c r="H289" s="100"/>
      <c r="I289" s="100"/>
      <c r="J289" s="100"/>
      <c r="K289" s="100"/>
      <c r="L289" s="100"/>
      <c r="M289" s="100"/>
      <c r="N289" s="100"/>
      <c r="O289" s="100"/>
      <c r="P289" s="100"/>
      <c r="Q289" s="100"/>
      <c r="R289" s="100"/>
      <c r="S289" s="100"/>
      <c r="T289" s="100"/>
      <c r="U289" s="100"/>
      <c r="V289" s="100"/>
      <c r="W289" s="100"/>
    </row>
  </sheetData>
  <phoneticPr fontId="0" type="noConversion"/>
  <hyperlinks>
    <hyperlink ref="P240" r:id="rId1" xr:uid="{00000000-0004-0000-0300-000000000000}"/>
    <hyperlink ref="I9" r:id="rId2" xr:uid="{00000000-0004-0000-03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9" max="14" man="1"/>
    <brk id="204" max="14" man="1"/>
  </rowBreaks>
  <drawing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4"/>
  </sheetPr>
  <dimension ref="A1:IV304"/>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80"/>
      <c r="B1" s="220" t="s">
        <v>244</v>
      </c>
      <c r="C1" s="181"/>
      <c r="D1" s="181"/>
      <c r="E1" s="181"/>
      <c r="F1" s="181"/>
      <c r="G1" s="181"/>
      <c r="H1" s="181"/>
      <c r="I1" s="181"/>
      <c r="J1" s="181"/>
      <c r="K1" s="181"/>
      <c r="L1" s="181"/>
      <c r="M1" s="181"/>
      <c r="N1" s="181"/>
      <c r="O1" s="181"/>
      <c r="P1" s="181"/>
      <c r="Q1" s="181"/>
      <c r="R1" s="181"/>
      <c r="S1" s="181"/>
      <c r="T1" s="181"/>
      <c r="U1" s="181"/>
      <c r="V1" s="181"/>
      <c r="W1" s="181"/>
      <c r="X1" s="5"/>
    </row>
    <row r="2" spans="1:24" ht="15.6" x14ac:dyDescent="0.3">
      <c r="A2" s="183"/>
      <c r="B2" s="184"/>
      <c r="C2" s="185"/>
      <c r="D2" s="185"/>
      <c r="E2" s="185"/>
      <c r="F2" s="185"/>
      <c r="G2" s="185"/>
      <c r="H2" s="185"/>
      <c r="I2" s="185"/>
      <c r="J2" s="185"/>
      <c r="K2" s="185"/>
      <c r="L2" s="185"/>
      <c r="M2" s="185"/>
      <c r="N2" s="185"/>
      <c r="O2" s="185"/>
      <c r="P2" s="185"/>
      <c r="Q2" s="185"/>
      <c r="R2" s="185"/>
      <c r="S2" s="185"/>
      <c r="T2" s="185"/>
      <c r="U2" s="185"/>
      <c r="V2" s="185"/>
      <c r="W2" s="185"/>
      <c r="X2" s="5"/>
    </row>
    <row r="3" spans="1:24" ht="15.6" x14ac:dyDescent="0.3">
      <c r="A3" s="186"/>
      <c r="B3" s="187" t="s">
        <v>245</v>
      </c>
      <c r="C3" s="185"/>
      <c r="D3" s="185"/>
      <c r="E3" s="185"/>
      <c r="F3" s="185"/>
      <c r="G3" s="185"/>
      <c r="H3" s="185"/>
      <c r="I3" s="185"/>
      <c r="J3" s="185"/>
      <c r="K3" s="185"/>
      <c r="L3" s="185"/>
      <c r="M3" s="185"/>
      <c r="N3" s="185"/>
      <c r="O3" s="185"/>
      <c r="P3" s="185"/>
      <c r="Q3" s="185"/>
      <c r="R3" s="185"/>
      <c r="S3" s="185"/>
      <c r="T3" s="185"/>
      <c r="U3" s="185"/>
      <c r="V3" s="185"/>
      <c r="W3" s="185"/>
      <c r="X3" s="5"/>
    </row>
    <row r="4" spans="1:24" ht="15.6" x14ac:dyDescent="0.3">
      <c r="A4" s="183"/>
      <c r="B4" s="184"/>
      <c r="C4" s="185"/>
      <c r="D4" s="185"/>
      <c r="E4" s="185"/>
      <c r="F4" s="185"/>
      <c r="G4" s="185"/>
      <c r="H4" s="185"/>
      <c r="I4" s="185"/>
      <c r="J4" s="185"/>
      <c r="K4" s="185"/>
      <c r="L4" s="185"/>
      <c r="M4" s="185"/>
      <c r="N4" s="185"/>
      <c r="O4" s="185"/>
      <c r="P4" s="185"/>
      <c r="Q4" s="185"/>
      <c r="R4" s="185"/>
      <c r="S4" s="185"/>
      <c r="T4" s="185"/>
      <c r="U4" s="185"/>
      <c r="V4" s="185"/>
      <c r="W4" s="185"/>
      <c r="X4" s="5"/>
    </row>
    <row r="5" spans="1:24" ht="15.6" x14ac:dyDescent="0.3">
      <c r="A5" s="183"/>
      <c r="B5" s="221" t="s">
        <v>137</v>
      </c>
      <c r="C5" s="185"/>
      <c r="D5" s="185"/>
      <c r="E5" s="185"/>
      <c r="F5" s="185"/>
      <c r="G5" s="185"/>
      <c r="H5" s="185"/>
      <c r="I5" s="185"/>
      <c r="J5" s="185"/>
      <c r="K5" s="185"/>
      <c r="L5" s="185"/>
      <c r="M5" s="185"/>
      <c r="N5" s="185"/>
      <c r="O5" s="185"/>
      <c r="P5" s="185"/>
      <c r="Q5" s="185"/>
      <c r="R5" s="185"/>
      <c r="S5" s="185"/>
      <c r="T5" s="185"/>
      <c r="U5" s="185"/>
      <c r="V5" s="185"/>
      <c r="W5" s="185"/>
      <c r="X5" s="5"/>
    </row>
    <row r="6" spans="1:24" ht="15.6" x14ac:dyDescent="0.3">
      <c r="A6" s="183"/>
      <c r="B6" s="221" t="s">
        <v>139</v>
      </c>
      <c r="C6" s="185"/>
      <c r="D6" s="185"/>
      <c r="E6" s="185"/>
      <c r="F6" s="185"/>
      <c r="G6" s="185"/>
      <c r="H6" s="185"/>
      <c r="I6" s="185"/>
      <c r="J6" s="185"/>
      <c r="K6" s="185"/>
      <c r="L6" s="185"/>
      <c r="M6" s="185"/>
      <c r="N6" s="185"/>
      <c r="O6" s="185"/>
      <c r="P6" s="185"/>
      <c r="Q6" s="185"/>
      <c r="R6" s="185"/>
      <c r="S6" s="185"/>
      <c r="T6" s="185"/>
      <c r="U6" s="185"/>
      <c r="V6" s="185"/>
      <c r="W6" s="185"/>
      <c r="X6" s="5"/>
    </row>
    <row r="7" spans="1:24" ht="15.6" x14ac:dyDescent="0.3">
      <c r="A7" s="183"/>
      <c r="B7" s="221" t="s">
        <v>138</v>
      </c>
      <c r="C7" s="185"/>
      <c r="D7" s="185"/>
      <c r="E7" s="185"/>
      <c r="F7" s="185"/>
      <c r="G7" s="185"/>
      <c r="H7" s="185"/>
      <c r="I7" s="185"/>
      <c r="J7" s="185"/>
      <c r="K7" s="185"/>
      <c r="L7" s="185"/>
      <c r="M7" s="185"/>
      <c r="N7" s="185"/>
      <c r="O7" s="185"/>
      <c r="P7" s="185"/>
      <c r="Q7" s="185"/>
      <c r="R7" s="185"/>
      <c r="S7" s="185"/>
      <c r="T7" s="185"/>
      <c r="U7" s="185"/>
      <c r="V7" s="185"/>
      <c r="W7" s="185"/>
      <c r="X7" s="5"/>
    </row>
    <row r="8" spans="1:24" ht="15.6" x14ac:dyDescent="0.3">
      <c r="A8" s="183"/>
      <c r="B8" s="188"/>
      <c r="C8" s="185"/>
      <c r="D8" s="185"/>
      <c r="E8" s="185"/>
      <c r="F8" s="185"/>
      <c r="G8" s="185"/>
      <c r="H8" s="185"/>
      <c r="I8" s="185"/>
      <c r="J8" s="185"/>
      <c r="K8" s="185"/>
      <c r="L8" s="185"/>
      <c r="M8" s="185"/>
      <c r="N8" s="185"/>
      <c r="O8" s="185"/>
      <c r="P8" s="185"/>
      <c r="Q8" s="185"/>
      <c r="R8" s="185"/>
      <c r="S8" s="185"/>
      <c r="T8" s="185"/>
      <c r="U8" s="185"/>
      <c r="V8" s="185"/>
      <c r="W8" s="185"/>
      <c r="X8" s="5"/>
    </row>
    <row r="9" spans="1:24" ht="17.399999999999999" x14ac:dyDescent="0.3">
      <c r="A9" s="183"/>
      <c r="B9" s="189" t="s">
        <v>166</v>
      </c>
      <c r="C9" s="185"/>
      <c r="D9" s="185"/>
      <c r="E9" s="185"/>
      <c r="F9" s="185"/>
      <c r="G9" s="185"/>
      <c r="H9" s="185"/>
      <c r="I9" s="190" t="s">
        <v>167</v>
      </c>
      <c r="J9" s="185"/>
      <c r="K9" s="185"/>
      <c r="L9" s="190"/>
      <c r="M9" s="185"/>
      <c r="N9" s="190"/>
      <c r="O9" s="185"/>
      <c r="P9" s="185"/>
      <c r="Q9" s="185"/>
      <c r="R9" s="185"/>
      <c r="S9" s="185"/>
      <c r="T9" s="185"/>
      <c r="U9" s="185"/>
      <c r="V9" s="185"/>
      <c r="W9" s="185"/>
      <c r="X9" s="5"/>
    </row>
    <row r="10" spans="1:24" ht="15.6" x14ac:dyDescent="0.3">
      <c r="A10" s="183"/>
      <c r="B10" s="188"/>
      <c r="C10" s="191"/>
      <c r="D10" s="191"/>
      <c r="E10" s="191"/>
      <c r="F10" s="185"/>
      <c r="G10" s="185"/>
      <c r="H10" s="185"/>
      <c r="I10" s="185"/>
      <c r="J10" s="185"/>
      <c r="K10" s="185"/>
      <c r="L10" s="185"/>
      <c r="M10" s="185"/>
      <c r="N10" s="185"/>
      <c r="O10" s="185"/>
      <c r="P10" s="185"/>
      <c r="Q10" s="185"/>
      <c r="R10" s="185"/>
      <c r="S10" s="185"/>
      <c r="T10" s="185"/>
      <c r="U10" s="185"/>
      <c r="V10" s="185"/>
      <c r="W10" s="185"/>
      <c r="X10" s="5"/>
    </row>
    <row r="11" spans="1:24" ht="15.6" x14ac:dyDescent="0.3">
      <c r="A11" s="183"/>
      <c r="B11" s="222" t="s">
        <v>0</v>
      </c>
      <c r="C11" s="185"/>
      <c r="D11" s="185"/>
      <c r="E11" s="185"/>
      <c r="F11" s="185"/>
      <c r="G11" s="185"/>
      <c r="H11" s="185"/>
      <c r="I11" s="185"/>
      <c r="J11" s="185"/>
      <c r="K11" s="185"/>
      <c r="L11" s="185"/>
      <c r="M11" s="185"/>
      <c r="N11" s="185"/>
      <c r="O11" s="185"/>
      <c r="P11" s="185"/>
      <c r="Q11" s="185"/>
      <c r="R11" s="185"/>
      <c r="S11" s="185"/>
      <c r="T11" s="185"/>
      <c r="U11" s="185"/>
      <c r="V11" s="185"/>
      <c r="W11" s="185"/>
      <c r="X11" s="5"/>
    </row>
    <row r="12" spans="1:24" ht="16.2" thickBot="1" x14ac:dyDescent="0.35">
      <c r="A12" s="183"/>
      <c r="B12" s="191"/>
      <c r="C12" s="185"/>
      <c r="D12" s="185"/>
      <c r="E12" s="185"/>
      <c r="F12" s="185"/>
      <c r="G12" s="185"/>
      <c r="H12" s="185"/>
      <c r="I12" s="185"/>
      <c r="J12" s="185"/>
      <c r="K12" s="185"/>
      <c r="L12" s="185"/>
      <c r="M12" s="185"/>
      <c r="N12" s="185"/>
      <c r="O12" s="185"/>
      <c r="P12" s="185"/>
      <c r="Q12" s="185"/>
      <c r="R12" s="185"/>
      <c r="S12" s="185"/>
      <c r="T12" s="185"/>
      <c r="U12" s="185"/>
      <c r="V12" s="185"/>
      <c r="W12" s="185"/>
      <c r="X12" s="5"/>
    </row>
    <row r="13" spans="1:24" ht="15.6" x14ac:dyDescent="0.3">
      <c r="A13" s="180"/>
      <c r="B13" s="181"/>
      <c r="C13" s="181"/>
      <c r="D13" s="181"/>
      <c r="E13" s="181"/>
      <c r="F13" s="181"/>
      <c r="G13" s="181"/>
      <c r="H13" s="181"/>
      <c r="I13" s="181"/>
      <c r="J13" s="181"/>
      <c r="K13" s="181"/>
      <c r="L13" s="181"/>
      <c r="M13" s="181"/>
      <c r="N13" s="181"/>
      <c r="O13" s="181"/>
      <c r="P13" s="181"/>
      <c r="Q13" s="181"/>
      <c r="R13" s="181"/>
      <c r="S13" s="181"/>
      <c r="T13" s="181"/>
      <c r="U13" s="181"/>
      <c r="V13" s="181"/>
      <c r="W13" s="181"/>
      <c r="X13" s="5"/>
    </row>
    <row r="14" spans="1:24" ht="15.6" x14ac:dyDescent="0.3">
      <c r="A14" s="183"/>
      <c r="B14" s="222" t="s">
        <v>1</v>
      </c>
      <c r="C14" s="192"/>
      <c r="D14" s="192"/>
      <c r="E14" s="192"/>
      <c r="F14" s="192"/>
      <c r="G14" s="192"/>
      <c r="H14" s="192"/>
      <c r="I14" s="192"/>
      <c r="J14" s="192"/>
      <c r="K14" s="192"/>
      <c r="L14" s="192"/>
      <c r="M14" s="192"/>
      <c r="N14" s="192"/>
      <c r="O14" s="192"/>
      <c r="P14" s="192"/>
      <c r="Q14" s="192"/>
      <c r="R14" s="224"/>
      <c r="S14" s="224"/>
      <c r="T14" s="224"/>
      <c r="U14" s="224"/>
      <c r="V14" s="225" t="s">
        <v>246</v>
      </c>
      <c r="W14" s="192"/>
      <c r="X14" s="5"/>
    </row>
    <row r="15" spans="1:24" ht="15.6" x14ac:dyDescent="0.3">
      <c r="A15" s="183"/>
      <c r="B15" s="222" t="s">
        <v>2</v>
      </c>
      <c r="C15" s="192"/>
      <c r="D15" s="192"/>
      <c r="E15" s="192"/>
      <c r="F15" s="192"/>
      <c r="G15" s="192"/>
      <c r="H15" s="193"/>
      <c r="I15" s="193"/>
      <c r="J15" s="193"/>
      <c r="K15" s="193"/>
      <c r="L15" s="193"/>
      <c r="M15" s="193"/>
      <c r="N15" s="193"/>
      <c r="O15" s="193"/>
      <c r="P15" s="193"/>
      <c r="Q15" s="193"/>
      <c r="R15" s="226" t="s">
        <v>104</v>
      </c>
      <c r="S15" s="227">
        <v>0.38300000000000001</v>
      </c>
      <c r="T15" s="228" t="s">
        <v>140</v>
      </c>
      <c r="U15" s="227">
        <v>0.61699999999999999</v>
      </c>
      <c r="V15" s="225"/>
      <c r="W15" s="192"/>
      <c r="X15" s="5"/>
    </row>
    <row r="16" spans="1:24" ht="15.6" x14ac:dyDescent="0.3">
      <c r="A16" s="183"/>
      <c r="B16" s="222" t="s">
        <v>3</v>
      </c>
      <c r="C16" s="192"/>
      <c r="D16" s="192"/>
      <c r="E16" s="192"/>
      <c r="F16" s="192"/>
      <c r="G16" s="192"/>
      <c r="H16" s="193"/>
      <c r="I16" s="193"/>
      <c r="J16" s="193"/>
      <c r="K16" s="193"/>
      <c r="L16" s="193"/>
      <c r="M16" s="193"/>
      <c r="N16" s="193"/>
      <c r="O16" s="193"/>
      <c r="P16" s="193"/>
      <c r="Q16" s="193"/>
      <c r="R16" s="226" t="s">
        <v>104</v>
      </c>
      <c r="S16" s="227">
        <v>0.48380000000000001</v>
      </c>
      <c r="T16" s="228" t="s">
        <v>140</v>
      </c>
      <c r="U16" s="227">
        <v>0.51619999999999999</v>
      </c>
      <c r="V16" s="225"/>
      <c r="W16" s="192"/>
      <c r="X16" s="5"/>
    </row>
    <row r="17" spans="1:24" ht="15.6" x14ac:dyDescent="0.3">
      <c r="A17" s="183"/>
      <c r="B17" s="222" t="s">
        <v>4</v>
      </c>
      <c r="C17" s="192"/>
      <c r="D17" s="192"/>
      <c r="E17" s="192"/>
      <c r="F17" s="192"/>
      <c r="G17" s="192"/>
      <c r="H17" s="192"/>
      <c r="I17" s="192"/>
      <c r="J17" s="192"/>
      <c r="K17" s="192"/>
      <c r="L17" s="192"/>
      <c r="M17" s="192"/>
      <c r="N17" s="192"/>
      <c r="O17" s="192"/>
      <c r="P17" s="192"/>
      <c r="Q17" s="192"/>
      <c r="R17" s="224"/>
      <c r="S17" s="224"/>
      <c r="T17" s="224"/>
      <c r="U17" s="224"/>
      <c r="V17" s="229">
        <v>39163</v>
      </c>
      <c r="W17" s="192"/>
      <c r="X17" s="5"/>
    </row>
    <row r="18" spans="1:24" ht="15.6" x14ac:dyDescent="0.3">
      <c r="A18" s="183"/>
      <c r="B18" s="222" t="s">
        <v>5</v>
      </c>
      <c r="C18" s="192"/>
      <c r="D18" s="192"/>
      <c r="E18" s="192"/>
      <c r="F18" s="192"/>
      <c r="G18" s="192"/>
      <c r="H18" s="192"/>
      <c r="I18" s="192"/>
      <c r="J18" s="192"/>
      <c r="K18" s="192"/>
      <c r="L18" s="192"/>
      <c r="M18" s="192"/>
      <c r="N18" s="192"/>
      <c r="O18" s="192"/>
      <c r="P18" s="192"/>
      <c r="Q18" s="192"/>
      <c r="R18" s="224"/>
      <c r="S18" s="224"/>
      <c r="T18" s="224"/>
      <c r="U18" s="224"/>
      <c r="V18" s="229">
        <v>42902</v>
      </c>
      <c r="W18" s="192"/>
      <c r="X18" s="5"/>
    </row>
    <row r="19" spans="1:24" ht="15.6" x14ac:dyDescent="0.3">
      <c r="A19" s="183"/>
      <c r="B19" s="185"/>
      <c r="C19" s="185"/>
      <c r="D19" s="185"/>
      <c r="E19" s="185"/>
      <c r="F19" s="185"/>
      <c r="G19" s="185"/>
      <c r="H19" s="185"/>
      <c r="I19" s="185"/>
      <c r="J19" s="185"/>
      <c r="K19" s="185"/>
      <c r="L19" s="185"/>
      <c r="M19" s="185"/>
      <c r="N19" s="185"/>
      <c r="O19" s="185"/>
      <c r="P19" s="185"/>
      <c r="Q19" s="185"/>
      <c r="R19" s="185"/>
      <c r="S19" s="185"/>
      <c r="T19" s="185"/>
      <c r="U19" s="185"/>
      <c r="V19" s="194"/>
      <c r="W19" s="185"/>
      <c r="X19" s="5"/>
    </row>
    <row r="20" spans="1:24" ht="15.6" x14ac:dyDescent="0.3">
      <c r="A20" s="183"/>
      <c r="B20" s="230" t="s">
        <v>6</v>
      </c>
      <c r="C20" s="185"/>
      <c r="D20" s="185"/>
      <c r="E20" s="185"/>
      <c r="F20" s="185"/>
      <c r="G20" s="185"/>
      <c r="H20" s="185"/>
      <c r="I20" s="185"/>
      <c r="J20" s="185"/>
      <c r="K20" s="185"/>
      <c r="L20" s="185"/>
      <c r="M20" s="185"/>
      <c r="N20" s="185"/>
      <c r="O20" s="185"/>
      <c r="P20" s="185"/>
      <c r="Q20" s="185"/>
      <c r="R20" s="185"/>
      <c r="S20" s="185"/>
      <c r="T20" s="223" t="s">
        <v>105</v>
      </c>
      <c r="U20" s="185"/>
      <c r="V20" s="182"/>
      <c r="W20" s="185"/>
      <c r="X20" s="5"/>
    </row>
    <row r="21" spans="1:24" ht="15.6" x14ac:dyDescent="0.3">
      <c r="A21" s="183"/>
      <c r="B21" s="185"/>
      <c r="C21" s="185"/>
      <c r="D21" s="185"/>
      <c r="E21" s="185"/>
      <c r="F21" s="185"/>
      <c r="G21" s="185"/>
      <c r="H21" s="185"/>
      <c r="I21" s="185"/>
      <c r="J21" s="185"/>
      <c r="K21" s="185"/>
      <c r="L21" s="185"/>
      <c r="M21" s="185"/>
      <c r="N21" s="185"/>
      <c r="O21" s="185"/>
      <c r="P21" s="185"/>
      <c r="Q21" s="185"/>
      <c r="R21" s="185"/>
      <c r="S21" s="185"/>
      <c r="T21" s="185"/>
      <c r="U21" s="185"/>
      <c r="V21" s="196"/>
      <c r="W21" s="185"/>
      <c r="X21" s="5"/>
    </row>
    <row r="22" spans="1:24" ht="15.6" x14ac:dyDescent="0.3">
      <c r="A22" s="262"/>
      <c r="B22" s="263"/>
      <c r="C22" s="264"/>
      <c r="D22" s="264" t="s">
        <v>177</v>
      </c>
      <c r="E22" s="264"/>
      <c r="F22" s="264" t="s">
        <v>178</v>
      </c>
      <c r="G22" s="264"/>
      <c r="H22" s="264" t="s">
        <v>179</v>
      </c>
      <c r="I22" s="264"/>
      <c r="J22" s="264" t="s">
        <v>220</v>
      </c>
      <c r="K22" s="264"/>
      <c r="L22" s="264" t="s">
        <v>180</v>
      </c>
      <c r="M22" s="264"/>
      <c r="N22" s="264" t="s">
        <v>181</v>
      </c>
      <c r="O22" s="264"/>
      <c r="P22" s="264" t="s">
        <v>221</v>
      </c>
      <c r="Q22" s="264"/>
      <c r="R22" s="264" t="s">
        <v>182</v>
      </c>
      <c r="S22" s="266"/>
      <c r="T22" s="266"/>
      <c r="U22" s="267"/>
      <c r="V22" s="267"/>
      <c r="W22" s="263"/>
      <c r="X22" s="5"/>
    </row>
    <row r="23" spans="1:24" ht="15.6" x14ac:dyDescent="0.3">
      <c r="A23" s="287"/>
      <c r="B23" s="288" t="s">
        <v>7</v>
      </c>
      <c r="C23" s="289"/>
      <c r="D23" s="289" t="s">
        <v>213</v>
      </c>
      <c r="E23" s="289"/>
      <c r="F23" s="289" t="s">
        <v>141</v>
      </c>
      <c r="G23" s="289"/>
      <c r="H23" s="289" t="s">
        <v>141</v>
      </c>
      <c r="I23" s="289"/>
      <c r="J23" s="289" t="s">
        <v>141</v>
      </c>
      <c r="K23" s="289"/>
      <c r="L23" s="289" t="s">
        <v>183</v>
      </c>
      <c r="M23" s="289"/>
      <c r="N23" s="289" t="s">
        <v>183</v>
      </c>
      <c r="O23" s="289"/>
      <c r="P23" s="289" t="s">
        <v>142</v>
      </c>
      <c r="Q23" s="289"/>
      <c r="R23" s="289" t="s">
        <v>142</v>
      </c>
      <c r="S23" s="289"/>
      <c r="T23" s="289"/>
      <c r="U23" s="290"/>
      <c r="V23" s="290"/>
      <c r="W23" s="291"/>
      <c r="X23" s="5"/>
    </row>
    <row r="24" spans="1:24" ht="15.6" x14ac:dyDescent="0.3">
      <c r="A24" s="287"/>
      <c r="B24" s="288" t="s">
        <v>8</v>
      </c>
      <c r="C24" s="289"/>
      <c r="D24" s="289" t="s">
        <v>214</v>
      </c>
      <c r="E24" s="289"/>
      <c r="F24" s="289" t="s">
        <v>143</v>
      </c>
      <c r="G24" s="289"/>
      <c r="H24" s="289" t="s">
        <v>143</v>
      </c>
      <c r="I24" s="289"/>
      <c r="J24" s="289" t="s">
        <v>143</v>
      </c>
      <c r="K24" s="289"/>
      <c r="L24" s="289" t="s">
        <v>165</v>
      </c>
      <c r="M24" s="289"/>
      <c r="N24" s="289" t="s">
        <v>165</v>
      </c>
      <c r="O24" s="289"/>
      <c r="P24" s="289" t="s">
        <v>144</v>
      </c>
      <c r="Q24" s="289"/>
      <c r="R24" s="289" t="s">
        <v>144</v>
      </c>
      <c r="S24" s="289"/>
      <c r="T24" s="289"/>
      <c r="U24" s="290"/>
      <c r="V24" s="290"/>
      <c r="W24" s="291"/>
      <c r="X24" s="5"/>
    </row>
    <row r="25" spans="1:24" ht="15.6" x14ac:dyDescent="0.3">
      <c r="A25" s="292"/>
      <c r="B25" s="288" t="s">
        <v>190</v>
      </c>
      <c r="C25" s="398"/>
      <c r="D25" s="289" t="s">
        <v>215</v>
      </c>
      <c r="E25" s="289"/>
      <c r="F25" s="289" t="s">
        <v>143</v>
      </c>
      <c r="G25" s="289"/>
      <c r="H25" s="289" t="s">
        <v>143</v>
      </c>
      <c r="I25" s="289"/>
      <c r="J25" s="289" t="s">
        <v>143</v>
      </c>
      <c r="K25" s="289"/>
      <c r="L25" s="289" t="s">
        <v>293</v>
      </c>
      <c r="M25" s="289"/>
      <c r="N25" s="289" t="s">
        <v>293</v>
      </c>
      <c r="O25" s="289"/>
      <c r="P25" s="289" t="s">
        <v>144</v>
      </c>
      <c r="Q25" s="289"/>
      <c r="R25" s="289" t="s">
        <v>144</v>
      </c>
      <c r="S25" s="398"/>
      <c r="T25" s="289"/>
      <c r="U25" s="290"/>
      <c r="V25" s="290"/>
      <c r="W25" s="291"/>
      <c r="X25" s="5"/>
    </row>
    <row r="26" spans="1:24" ht="15.6" x14ac:dyDescent="0.3">
      <c r="A26" s="292"/>
      <c r="B26" s="295" t="s">
        <v>9</v>
      </c>
      <c r="C26" s="398"/>
      <c r="D26" s="398" t="s">
        <v>333</v>
      </c>
      <c r="E26" s="398"/>
      <c r="F26" s="398" t="s">
        <v>333</v>
      </c>
      <c r="G26" s="398"/>
      <c r="H26" s="398" t="s">
        <v>333</v>
      </c>
      <c r="I26" s="398"/>
      <c r="J26" s="398" t="s">
        <v>333</v>
      </c>
      <c r="K26" s="398"/>
      <c r="L26" s="398" t="s">
        <v>333</v>
      </c>
      <c r="M26" s="398"/>
      <c r="N26" s="398" t="s">
        <v>333</v>
      </c>
      <c r="O26" s="398"/>
      <c r="P26" s="398" t="s">
        <v>334</v>
      </c>
      <c r="Q26" s="398"/>
      <c r="R26" s="398" t="s">
        <v>334</v>
      </c>
      <c r="S26" s="398"/>
      <c r="T26" s="289"/>
      <c r="U26" s="290"/>
      <c r="V26" s="290"/>
      <c r="W26" s="291"/>
      <c r="X26" s="5"/>
    </row>
    <row r="27" spans="1:24" ht="15.6" x14ac:dyDescent="0.3">
      <c r="A27" s="287"/>
      <c r="B27" s="295" t="s">
        <v>191</v>
      </c>
      <c r="C27" s="289"/>
      <c r="D27" s="398" t="s">
        <v>352</v>
      </c>
      <c r="E27" s="398"/>
      <c r="F27" s="398" t="s">
        <v>143</v>
      </c>
      <c r="G27" s="398"/>
      <c r="H27" s="398" t="s">
        <v>143</v>
      </c>
      <c r="I27" s="398"/>
      <c r="J27" s="398" t="s">
        <v>143</v>
      </c>
      <c r="K27" s="398"/>
      <c r="L27" s="398" t="s">
        <v>319</v>
      </c>
      <c r="M27" s="398"/>
      <c r="N27" s="398" t="s">
        <v>319</v>
      </c>
      <c r="O27" s="398"/>
      <c r="P27" s="398" t="s">
        <v>320</v>
      </c>
      <c r="Q27" s="398"/>
      <c r="R27" s="398" t="s">
        <v>320</v>
      </c>
      <c r="S27" s="289"/>
      <c r="T27" s="296"/>
      <c r="U27" s="290"/>
      <c r="V27" s="290"/>
      <c r="W27" s="291"/>
      <c r="X27" s="5"/>
    </row>
    <row r="28" spans="1:24" ht="15.6" x14ac:dyDescent="0.3">
      <c r="A28" s="287"/>
      <c r="B28" s="295" t="s">
        <v>192</v>
      </c>
      <c r="C28" s="289"/>
      <c r="D28" s="398" t="s">
        <v>143</v>
      </c>
      <c r="E28" s="398"/>
      <c r="F28" s="398" t="s">
        <v>143</v>
      </c>
      <c r="G28" s="398"/>
      <c r="H28" s="398" t="s">
        <v>143</v>
      </c>
      <c r="I28" s="398"/>
      <c r="J28" s="398" t="s">
        <v>143</v>
      </c>
      <c r="K28" s="398"/>
      <c r="L28" s="398" t="s">
        <v>143</v>
      </c>
      <c r="M28" s="398"/>
      <c r="N28" s="398" t="s">
        <v>143</v>
      </c>
      <c r="O28" s="398"/>
      <c r="P28" s="398" t="s">
        <v>337</v>
      </c>
      <c r="Q28" s="398"/>
      <c r="R28" s="398" t="s">
        <v>337</v>
      </c>
      <c r="S28" s="289"/>
      <c r="T28" s="296"/>
      <c r="U28" s="290"/>
      <c r="V28" s="290"/>
      <c r="W28" s="291"/>
      <c r="X28" s="5"/>
    </row>
    <row r="29" spans="1:24" ht="15.6" x14ac:dyDescent="0.3">
      <c r="A29" s="287"/>
      <c r="B29" s="288" t="s">
        <v>10</v>
      </c>
      <c r="C29" s="298"/>
      <c r="D29" s="289" t="s">
        <v>249</v>
      </c>
      <c r="E29" s="289"/>
      <c r="F29" s="296" t="s">
        <v>250</v>
      </c>
      <c r="G29" s="289"/>
      <c r="H29" s="289" t="s">
        <v>251</v>
      </c>
      <c r="I29" s="289"/>
      <c r="J29" s="289" t="s">
        <v>253</v>
      </c>
      <c r="K29" s="289"/>
      <c r="L29" s="289" t="s">
        <v>254</v>
      </c>
      <c r="M29" s="289"/>
      <c r="N29" s="289" t="s">
        <v>255</v>
      </c>
      <c r="O29" s="289"/>
      <c r="P29" s="289" t="s">
        <v>256</v>
      </c>
      <c r="Q29" s="289"/>
      <c r="R29" s="289" t="s">
        <v>257</v>
      </c>
      <c r="S29" s="299"/>
      <c r="T29" s="299"/>
      <c r="U29" s="300"/>
      <c r="V29" s="299"/>
      <c r="W29" s="301"/>
      <c r="X29" s="5"/>
    </row>
    <row r="30" spans="1:24" ht="15.6" x14ac:dyDescent="0.3">
      <c r="A30" s="287"/>
      <c r="B30" s="288" t="s">
        <v>10</v>
      </c>
      <c r="C30" s="298"/>
      <c r="D30" s="289" t="s">
        <v>248</v>
      </c>
      <c r="E30" s="289"/>
      <c r="F30" s="296" t="s">
        <v>118</v>
      </c>
      <c r="G30" s="289"/>
      <c r="H30" s="289" t="s">
        <v>118</v>
      </c>
      <c r="I30" s="289"/>
      <c r="J30" s="289" t="s">
        <v>252</v>
      </c>
      <c r="K30" s="289"/>
      <c r="L30" s="289" t="s">
        <v>118</v>
      </c>
      <c r="M30" s="289"/>
      <c r="N30" s="289" t="s">
        <v>118</v>
      </c>
      <c r="O30" s="289"/>
      <c r="P30" s="289" t="s">
        <v>118</v>
      </c>
      <c r="Q30" s="289"/>
      <c r="R30" s="289" t="s">
        <v>118</v>
      </c>
      <c r="S30" s="299"/>
      <c r="T30" s="299"/>
      <c r="U30" s="300"/>
      <c r="V30" s="299"/>
      <c r="W30" s="301"/>
      <c r="X30" s="5"/>
    </row>
    <row r="31" spans="1:24" ht="15.6" x14ac:dyDescent="0.3">
      <c r="A31" s="292"/>
      <c r="B31" s="288" t="s">
        <v>133</v>
      </c>
      <c r="C31" s="302"/>
      <c r="D31" s="303">
        <v>1500000</v>
      </c>
      <c r="E31" s="298"/>
      <c r="F31" s="299">
        <v>125000</v>
      </c>
      <c r="G31" s="299"/>
      <c r="H31" s="304">
        <v>246000</v>
      </c>
      <c r="I31" s="304"/>
      <c r="J31" s="303">
        <v>400000</v>
      </c>
      <c r="K31" s="299"/>
      <c r="L31" s="299">
        <v>51900</v>
      </c>
      <c r="M31" s="299"/>
      <c r="N31" s="304">
        <v>88800</v>
      </c>
      <c r="O31" s="299"/>
      <c r="P31" s="299">
        <v>20000</v>
      </c>
      <c r="Q31" s="299"/>
      <c r="R31" s="304">
        <v>135500</v>
      </c>
      <c r="S31" s="305"/>
      <c r="T31" s="305"/>
      <c r="U31" s="306"/>
      <c r="V31" s="305"/>
      <c r="W31" s="301"/>
      <c r="X31" s="5"/>
    </row>
    <row r="32" spans="1:24" ht="15.6" x14ac:dyDescent="0.3">
      <c r="A32" s="287"/>
      <c r="B32" s="288" t="s">
        <v>132</v>
      </c>
      <c r="C32" s="298"/>
      <c r="D32" s="408">
        <f>D34*D38</f>
        <v>414115.68906539999</v>
      </c>
      <c r="E32" s="298"/>
      <c r="F32" s="299">
        <f>F31*F38</f>
        <v>66776.349999999991</v>
      </c>
      <c r="G32" s="299"/>
      <c r="H32" s="304">
        <f>H31*H38</f>
        <v>131415.85680000001</v>
      </c>
      <c r="I32" s="304"/>
      <c r="J32" s="303">
        <f>J31*J38</f>
        <v>213683.63999999998</v>
      </c>
      <c r="K32" s="299"/>
      <c r="L32" s="299">
        <f>+L31</f>
        <v>51900</v>
      </c>
      <c r="M32" s="299"/>
      <c r="N32" s="304">
        <f>+N31</f>
        <v>88800</v>
      </c>
      <c r="O32" s="299"/>
      <c r="P32" s="299">
        <f>+P31</f>
        <v>20000</v>
      </c>
      <c r="Q32" s="299"/>
      <c r="R32" s="304">
        <f>+R31</f>
        <v>135500</v>
      </c>
      <c r="S32" s="299"/>
      <c r="T32" s="299"/>
      <c r="U32" s="300"/>
      <c r="V32" s="299"/>
      <c r="W32" s="301"/>
      <c r="X32" s="5"/>
    </row>
    <row r="33" spans="1:24" ht="15.6" x14ac:dyDescent="0.3">
      <c r="A33" s="287"/>
      <c r="B33" s="295" t="s">
        <v>134</v>
      </c>
      <c r="C33" s="298"/>
      <c r="D33" s="409">
        <f>D34*D37</f>
        <v>405463.59379260003</v>
      </c>
      <c r="E33" s="302"/>
      <c r="F33" s="305">
        <f>F37*F31</f>
        <v>65381.2</v>
      </c>
      <c r="G33" s="305"/>
      <c r="H33" s="308">
        <f>H31*H37</f>
        <v>128670.2016</v>
      </c>
      <c r="I33" s="308"/>
      <c r="J33" s="307">
        <f>J37*J31</f>
        <v>209219.16</v>
      </c>
      <c r="K33" s="305"/>
      <c r="L33" s="305">
        <f>L31*L37</f>
        <v>51900</v>
      </c>
      <c r="M33" s="305"/>
      <c r="N33" s="308">
        <f>N31*N37</f>
        <v>88800</v>
      </c>
      <c r="O33" s="305"/>
      <c r="P33" s="305">
        <f>P31*P37</f>
        <v>20000</v>
      </c>
      <c r="Q33" s="305"/>
      <c r="R33" s="308">
        <f>R31*R37</f>
        <v>135500</v>
      </c>
      <c r="S33" s="299"/>
      <c r="T33" s="299"/>
      <c r="U33" s="300"/>
      <c r="V33" s="299"/>
      <c r="W33" s="301"/>
      <c r="X33" s="5"/>
    </row>
    <row r="34" spans="1:24" ht="15.6" x14ac:dyDescent="0.3">
      <c r="A34" s="292"/>
      <c r="B34" s="288" t="s">
        <v>296</v>
      </c>
      <c r="C34" s="302"/>
      <c r="D34" s="299">
        <v>775194</v>
      </c>
      <c r="E34" s="298"/>
      <c r="F34" s="299">
        <v>125000</v>
      </c>
      <c r="G34" s="299"/>
      <c r="H34" s="299">
        <v>168148</v>
      </c>
      <c r="I34" s="299"/>
      <c r="J34" s="299">
        <v>206718</v>
      </c>
      <c r="K34" s="299"/>
      <c r="L34" s="299">
        <v>51900</v>
      </c>
      <c r="M34" s="299"/>
      <c r="N34" s="299">
        <v>60697</v>
      </c>
      <c r="O34" s="299"/>
      <c r="P34" s="299">
        <v>20000</v>
      </c>
      <c r="Q34" s="299"/>
      <c r="R34" s="299">
        <v>92618</v>
      </c>
      <c r="S34" s="305"/>
      <c r="T34" s="305"/>
      <c r="U34" s="306"/>
      <c r="V34" s="299">
        <f>SUM(C34:R34)</f>
        <v>1500275</v>
      </c>
      <c r="W34" s="301"/>
      <c r="X34" s="5"/>
    </row>
    <row r="35" spans="1:24" ht="15.6" x14ac:dyDescent="0.3">
      <c r="A35" s="292"/>
      <c r="B35" s="288" t="s">
        <v>297</v>
      </c>
      <c r="C35" s="302"/>
      <c r="D35" s="299">
        <f>D34*D38</f>
        <v>414115.68906539999</v>
      </c>
      <c r="E35" s="298"/>
      <c r="F35" s="299">
        <f>F34*F38</f>
        <v>66776.349999999991</v>
      </c>
      <c r="G35" s="299"/>
      <c r="H35" s="299">
        <f>H34*H38</f>
        <v>89826.477598400001</v>
      </c>
      <c r="I35" s="299"/>
      <c r="J35" s="299">
        <f>J34*J38</f>
        <v>110430.6367338</v>
      </c>
      <c r="K35" s="299"/>
      <c r="L35" s="299">
        <f>+L34</f>
        <v>51900</v>
      </c>
      <c r="M35" s="299"/>
      <c r="N35" s="299">
        <f>+N34</f>
        <v>60697</v>
      </c>
      <c r="O35" s="299"/>
      <c r="P35" s="299">
        <f>+P34</f>
        <v>20000</v>
      </c>
      <c r="Q35" s="299"/>
      <c r="R35" s="299">
        <f>+R34</f>
        <v>92618</v>
      </c>
      <c r="S35" s="299"/>
      <c r="T35" s="299"/>
      <c r="U35" s="300"/>
      <c r="V35" s="299">
        <f>SUM(C35:R35)</f>
        <v>906364.15339759993</v>
      </c>
      <c r="W35" s="301"/>
      <c r="X35" s="5"/>
    </row>
    <row r="36" spans="1:24" ht="15.6" x14ac:dyDescent="0.3">
      <c r="A36" s="292"/>
      <c r="B36" s="295" t="s">
        <v>298</v>
      </c>
      <c r="C36" s="302"/>
      <c r="D36" s="305">
        <f>D34*D37</f>
        <v>405463.59379260003</v>
      </c>
      <c r="E36" s="302"/>
      <c r="F36" s="305">
        <f>F34*F37</f>
        <v>65381.2</v>
      </c>
      <c r="G36" s="305"/>
      <c r="H36" s="305">
        <f>H34*H37</f>
        <v>87949.744140800001</v>
      </c>
      <c r="I36" s="305"/>
      <c r="J36" s="305">
        <f>J34*J37</f>
        <v>108123.4157922</v>
      </c>
      <c r="K36" s="305"/>
      <c r="L36" s="305">
        <f>L34*L37</f>
        <v>51900</v>
      </c>
      <c r="M36" s="305"/>
      <c r="N36" s="305">
        <f>N34*N37</f>
        <v>60697</v>
      </c>
      <c r="O36" s="305"/>
      <c r="P36" s="305">
        <f>P34*P37</f>
        <v>20000</v>
      </c>
      <c r="Q36" s="305"/>
      <c r="R36" s="305">
        <f>R34*R37</f>
        <v>92618</v>
      </c>
      <c r="S36" s="328"/>
      <c r="T36" s="328"/>
      <c r="U36" s="300"/>
      <c r="V36" s="305">
        <f>SUM(C36:R36)</f>
        <v>892132.95372560003</v>
      </c>
      <c r="W36" s="301"/>
      <c r="X36" s="5"/>
    </row>
    <row r="37" spans="1:24" ht="15.6" x14ac:dyDescent="0.3">
      <c r="A37" s="287"/>
      <c r="B37" s="313" t="s">
        <v>130</v>
      </c>
      <c r="C37" s="314"/>
      <c r="D37" s="315">
        <v>0.52304790000000001</v>
      </c>
      <c r="E37" s="315"/>
      <c r="F37" s="315">
        <v>0.5230496</v>
      </c>
      <c r="G37" s="315"/>
      <c r="H37" s="315">
        <v>0.5230496</v>
      </c>
      <c r="I37" s="315"/>
      <c r="J37" s="315">
        <v>0.52304790000000001</v>
      </c>
      <c r="K37" s="315"/>
      <c r="L37" s="315">
        <v>1</v>
      </c>
      <c r="M37" s="315"/>
      <c r="N37" s="315">
        <v>1</v>
      </c>
      <c r="O37" s="315"/>
      <c r="P37" s="315">
        <v>1</v>
      </c>
      <c r="Q37" s="315"/>
      <c r="R37" s="315">
        <v>1</v>
      </c>
      <c r="S37" s="316"/>
      <c r="T37" s="316"/>
      <c r="U37" s="317"/>
      <c r="V37" s="317"/>
      <c r="W37" s="318"/>
      <c r="X37" s="5"/>
    </row>
    <row r="38" spans="1:24" ht="15.6" x14ac:dyDescent="0.3">
      <c r="A38" s="287"/>
      <c r="B38" s="313" t="s">
        <v>131</v>
      </c>
      <c r="C38" s="314"/>
      <c r="D38" s="315">
        <v>0.53420909999999999</v>
      </c>
      <c r="E38" s="315"/>
      <c r="F38" s="315">
        <v>0.53421079999999999</v>
      </c>
      <c r="G38" s="315"/>
      <c r="H38" s="315">
        <v>0.53421079999999999</v>
      </c>
      <c r="I38" s="315"/>
      <c r="J38" s="315">
        <v>0.53420909999999999</v>
      </c>
      <c r="K38" s="315"/>
      <c r="L38" s="315">
        <v>1</v>
      </c>
      <c r="M38" s="315"/>
      <c r="N38" s="315">
        <v>1</v>
      </c>
      <c r="O38" s="315"/>
      <c r="P38" s="315">
        <v>1</v>
      </c>
      <c r="Q38" s="315"/>
      <c r="R38" s="315">
        <v>1</v>
      </c>
      <c r="S38" s="319"/>
      <c r="T38" s="320"/>
      <c r="U38" s="317"/>
      <c r="V38" s="319"/>
      <c r="W38" s="318"/>
      <c r="X38" s="5"/>
    </row>
    <row r="39" spans="1:24" ht="15.6" x14ac:dyDescent="0.3">
      <c r="A39" s="287"/>
      <c r="B39" s="288" t="s">
        <v>11</v>
      </c>
      <c r="C39" s="288"/>
      <c r="D39" s="296" t="s">
        <v>321</v>
      </c>
      <c r="E39" s="288"/>
      <c r="F39" s="296" t="s">
        <v>231</v>
      </c>
      <c r="G39" s="296"/>
      <c r="H39" s="296" t="s">
        <v>231</v>
      </c>
      <c r="I39" s="296"/>
      <c r="J39" s="296" t="s">
        <v>231</v>
      </c>
      <c r="K39" s="296"/>
      <c r="L39" s="296" t="s">
        <v>265</v>
      </c>
      <c r="M39" s="296"/>
      <c r="N39" s="296" t="s">
        <v>265</v>
      </c>
      <c r="O39" s="296"/>
      <c r="P39" s="296" t="s">
        <v>266</v>
      </c>
      <c r="Q39" s="296"/>
      <c r="R39" s="296" t="s">
        <v>266</v>
      </c>
      <c r="S39" s="321"/>
      <c r="T39" s="322"/>
      <c r="U39" s="290"/>
      <c r="V39" s="290"/>
      <c r="W39" s="291"/>
      <c r="X39" s="5"/>
    </row>
    <row r="40" spans="1:24" ht="15.6" x14ac:dyDescent="0.3">
      <c r="A40" s="287"/>
      <c r="B40" s="288" t="s">
        <v>12</v>
      </c>
      <c r="C40" s="288"/>
      <c r="D40" s="322">
        <v>5.4387999999999997E-3</v>
      </c>
      <c r="E40" s="288"/>
      <c r="F40" s="322">
        <v>5.4387999999999997E-3</v>
      </c>
      <c r="G40" s="321"/>
      <c r="H40" s="322">
        <v>0</v>
      </c>
      <c r="I40" s="322"/>
      <c r="J40" s="322">
        <v>1.33122E-2</v>
      </c>
      <c r="K40" s="321"/>
      <c r="L40" s="322">
        <v>7.0387999999999996E-3</v>
      </c>
      <c r="M40" s="321"/>
      <c r="N40" s="322">
        <v>2.9999999999999997E-4</v>
      </c>
      <c r="O40" s="321"/>
      <c r="P40" s="322">
        <v>1.10388E-2</v>
      </c>
      <c r="Q40" s="321"/>
      <c r="R40" s="322">
        <v>4.3E-3</v>
      </c>
      <c r="S40" s="321"/>
      <c r="T40" s="322"/>
      <c r="U40" s="290"/>
      <c r="V40" s="296"/>
      <c r="W40" s="291"/>
      <c r="X40" s="5"/>
    </row>
    <row r="41" spans="1:24" ht="15.6" x14ac:dyDescent="0.3">
      <c r="A41" s="287"/>
      <c r="B41" s="288" t="s">
        <v>13</v>
      </c>
      <c r="C41" s="288"/>
      <c r="D41" s="322">
        <v>5.7688000000000001E-3</v>
      </c>
      <c r="E41" s="288"/>
      <c r="F41" s="322">
        <v>5.7312999999999999E-3</v>
      </c>
      <c r="G41" s="321"/>
      <c r="H41" s="322">
        <v>0</v>
      </c>
      <c r="I41" s="322"/>
      <c r="J41" s="322">
        <v>1.16344E-2</v>
      </c>
      <c r="K41" s="321"/>
      <c r="L41" s="322">
        <v>7.3312999999999998E-3</v>
      </c>
      <c r="M41" s="321"/>
      <c r="N41" s="322">
        <v>4.4000000000000002E-4</v>
      </c>
      <c r="O41" s="321"/>
      <c r="P41" s="322">
        <v>1.1331300000000001E-2</v>
      </c>
      <c r="Q41" s="321"/>
      <c r="R41" s="322">
        <v>4.4400000000000004E-3</v>
      </c>
      <c r="S41" s="321"/>
      <c r="T41" s="322"/>
      <c r="U41" s="290"/>
      <c r="V41" s="321" t="s">
        <v>193</v>
      </c>
      <c r="W41" s="291"/>
      <c r="X41" s="5"/>
    </row>
    <row r="42" spans="1:24" ht="15.6" x14ac:dyDescent="0.3">
      <c r="A42" s="287"/>
      <c r="B42" s="288" t="s">
        <v>299</v>
      </c>
      <c r="C42" s="288"/>
      <c r="D42" s="296" t="s">
        <v>321</v>
      </c>
      <c r="E42" s="288"/>
      <c r="F42" s="296" t="s">
        <v>231</v>
      </c>
      <c r="G42" s="296"/>
      <c r="H42" s="296" t="s">
        <v>323</v>
      </c>
      <c r="I42" s="296"/>
      <c r="J42" s="296" t="s">
        <v>324</v>
      </c>
      <c r="K42" s="296"/>
      <c r="L42" s="296" t="s">
        <v>265</v>
      </c>
      <c r="M42" s="296"/>
      <c r="N42" s="296" t="s">
        <v>234</v>
      </c>
      <c r="O42" s="296"/>
      <c r="P42" s="296" t="s">
        <v>266</v>
      </c>
      <c r="Q42" s="296"/>
      <c r="R42" s="296" t="s">
        <v>264</v>
      </c>
      <c r="S42" s="321"/>
      <c r="T42" s="322"/>
      <c r="U42" s="290"/>
      <c r="V42" s="290"/>
      <c r="W42" s="291"/>
      <c r="X42" s="5"/>
    </row>
    <row r="43" spans="1:24" ht="15.6" x14ac:dyDescent="0.3">
      <c r="A43" s="287"/>
      <c r="B43" s="288" t="s">
        <v>300</v>
      </c>
      <c r="C43" s="323"/>
      <c r="D43" s="322">
        <f>D40</f>
        <v>5.4387999999999997E-3</v>
      </c>
      <c r="E43" s="322"/>
      <c r="F43" s="322">
        <f>+F40</f>
        <v>5.4387999999999997E-3</v>
      </c>
      <c r="G43" s="322"/>
      <c r="H43" s="322">
        <v>5.7187999999999996E-3</v>
      </c>
      <c r="I43" s="322"/>
      <c r="J43" s="322">
        <v>6.1647999999999998E-3</v>
      </c>
      <c r="K43" s="322"/>
      <c r="L43" s="322">
        <f>+L40</f>
        <v>7.0387999999999996E-3</v>
      </c>
      <c r="M43" s="322"/>
      <c r="N43" s="322">
        <v>7.6308000000000001E-3</v>
      </c>
      <c r="O43" s="322"/>
      <c r="P43" s="322">
        <f>+P40</f>
        <v>1.10388E-2</v>
      </c>
      <c r="Q43" s="321"/>
      <c r="R43" s="322">
        <v>1.2104800000000001E-2</v>
      </c>
      <c r="S43" s="296"/>
      <c r="T43" s="296"/>
      <c r="U43" s="290"/>
      <c r="V43" s="321">
        <f>SUMPRODUCT(D43:R43,D35:R35)/V35</f>
        <v>6.5981612391412935E-3</v>
      </c>
      <c r="W43" s="291"/>
      <c r="X43" s="5"/>
    </row>
    <row r="44" spans="1:24" ht="15.6" x14ac:dyDescent="0.3">
      <c r="A44" s="287"/>
      <c r="B44" s="288" t="s">
        <v>301</v>
      </c>
      <c r="C44" s="323"/>
      <c r="D44" s="322">
        <f>D41</f>
        <v>5.7688000000000001E-3</v>
      </c>
      <c r="E44" s="322"/>
      <c r="F44" s="322">
        <f>+F41</f>
        <v>5.7312999999999999E-3</v>
      </c>
      <c r="G44" s="322"/>
      <c r="H44" s="322">
        <v>6.0112999999999998E-3</v>
      </c>
      <c r="I44" s="322"/>
      <c r="J44" s="322">
        <v>6.4573E-3</v>
      </c>
      <c r="K44" s="322"/>
      <c r="L44" s="322">
        <f>+L41</f>
        <v>7.3312999999999998E-3</v>
      </c>
      <c r="M44" s="322"/>
      <c r="N44" s="322">
        <v>7.9232999999999994E-3</v>
      </c>
      <c r="O44" s="322"/>
      <c r="P44" s="322">
        <f>+P41</f>
        <v>1.1331300000000001E-2</v>
      </c>
      <c r="Q44" s="321"/>
      <c r="R44" s="322">
        <v>1.23973E-2</v>
      </c>
      <c r="S44" s="296"/>
      <c r="T44" s="296"/>
      <c r="U44" s="290"/>
      <c r="V44" s="290"/>
      <c r="W44" s="291"/>
      <c r="X44" s="5"/>
    </row>
    <row r="45" spans="1:24" ht="15.6" x14ac:dyDescent="0.3">
      <c r="A45" s="287"/>
      <c r="B45" s="288" t="s">
        <v>14</v>
      </c>
      <c r="C45" s="288"/>
      <c r="D45" s="323">
        <v>40617</v>
      </c>
      <c r="E45" s="323"/>
      <c r="F45" s="323">
        <v>40617</v>
      </c>
      <c r="G45" s="323"/>
      <c r="H45" s="323">
        <v>40617</v>
      </c>
      <c r="I45" s="323"/>
      <c r="J45" s="323">
        <v>40617</v>
      </c>
      <c r="K45" s="323"/>
      <c r="L45" s="323">
        <v>40617</v>
      </c>
      <c r="M45" s="323"/>
      <c r="N45" s="323">
        <v>40617</v>
      </c>
      <c r="O45" s="323"/>
      <c r="P45" s="323">
        <v>40617</v>
      </c>
      <c r="Q45" s="323"/>
      <c r="R45" s="323">
        <v>40617</v>
      </c>
      <c r="S45" s="296"/>
      <c r="T45" s="296"/>
      <c r="U45" s="290"/>
      <c r="V45" s="290"/>
      <c r="W45" s="291"/>
      <c r="X45" s="5"/>
    </row>
    <row r="46" spans="1:24" ht="15.6" x14ac:dyDescent="0.3">
      <c r="A46" s="287"/>
      <c r="B46" s="288" t="s">
        <v>15</v>
      </c>
      <c r="C46" s="288"/>
      <c r="D46" s="323">
        <v>40983</v>
      </c>
      <c r="E46" s="323"/>
      <c r="F46" s="323">
        <v>40983</v>
      </c>
      <c r="G46" s="323"/>
      <c r="H46" s="323">
        <v>40983</v>
      </c>
      <c r="I46" s="323"/>
      <c r="J46" s="323">
        <v>40983</v>
      </c>
      <c r="K46" s="296"/>
      <c r="L46" s="323">
        <v>40983</v>
      </c>
      <c r="M46" s="296"/>
      <c r="N46" s="323">
        <v>40983</v>
      </c>
      <c r="O46" s="296"/>
      <c r="P46" s="323">
        <v>40983</v>
      </c>
      <c r="Q46" s="296"/>
      <c r="R46" s="323">
        <v>40983</v>
      </c>
      <c r="S46" s="296"/>
      <c r="T46" s="296"/>
      <c r="U46" s="290"/>
      <c r="V46" s="290"/>
      <c r="W46" s="291"/>
      <c r="X46" s="5"/>
    </row>
    <row r="47" spans="1:24" ht="15.6" x14ac:dyDescent="0.3">
      <c r="A47" s="287"/>
      <c r="B47" s="288" t="s">
        <v>119</v>
      </c>
      <c r="C47" s="288"/>
      <c r="D47" s="296" t="s">
        <v>231</v>
      </c>
      <c r="E47" s="288"/>
      <c r="F47" s="296" t="s">
        <v>231</v>
      </c>
      <c r="G47" s="296"/>
      <c r="H47" s="296" t="s">
        <v>231</v>
      </c>
      <c r="I47" s="296"/>
      <c r="J47" s="296" t="s">
        <v>231</v>
      </c>
      <c r="K47" s="296"/>
      <c r="L47" s="296" t="s">
        <v>265</v>
      </c>
      <c r="M47" s="296"/>
      <c r="N47" s="296" t="s">
        <v>265</v>
      </c>
      <c r="O47" s="296"/>
      <c r="P47" s="296" t="s">
        <v>266</v>
      </c>
      <c r="Q47" s="296"/>
      <c r="R47" s="296" t="s">
        <v>266</v>
      </c>
      <c r="S47" s="325"/>
      <c r="T47" s="325"/>
      <c r="U47" s="325"/>
      <c r="V47" s="325"/>
      <c r="W47" s="291"/>
      <c r="X47" s="5"/>
    </row>
    <row r="48" spans="1:24" ht="15.6" x14ac:dyDescent="0.3">
      <c r="A48" s="287"/>
      <c r="B48" s="288" t="s">
        <v>302</v>
      </c>
      <c r="C48" s="288"/>
      <c r="D48" s="296" t="s">
        <v>325</v>
      </c>
      <c r="E48" s="288"/>
      <c r="F48" s="296" t="s">
        <v>231</v>
      </c>
      <c r="G48" s="296"/>
      <c r="H48" s="296" t="s">
        <v>262</v>
      </c>
      <c r="I48" s="296"/>
      <c r="J48" s="296" t="s">
        <v>263</v>
      </c>
      <c r="K48" s="296"/>
      <c r="L48" s="296" t="s">
        <v>265</v>
      </c>
      <c r="M48" s="296"/>
      <c r="N48" s="296" t="s">
        <v>234</v>
      </c>
      <c r="O48" s="296"/>
      <c r="P48" s="296" t="s">
        <v>266</v>
      </c>
      <c r="Q48" s="296"/>
      <c r="R48" s="296" t="s">
        <v>264</v>
      </c>
      <c r="S48" s="288"/>
      <c r="T48" s="288"/>
      <c r="U48" s="288"/>
      <c r="V48" s="321"/>
      <c r="W48" s="291"/>
      <c r="X48" s="5"/>
    </row>
    <row r="49" spans="1:25" ht="15.6" x14ac:dyDescent="0.3">
      <c r="A49" s="287"/>
      <c r="B49" s="288"/>
      <c r="C49" s="288"/>
      <c r="D49" s="296"/>
      <c r="E49" s="288"/>
      <c r="F49" s="296"/>
      <c r="G49" s="296"/>
      <c r="H49" s="296"/>
      <c r="I49" s="296"/>
      <c r="J49" s="296"/>
      <c r="K49" s="296"/>
      <c r="L49" s="296"/>
      <c r="M49" s="296"/>
      <c r="N49" s="296"/>
      <c r="O49" s="296"/>
      <c r="P49" s="296"/>
      <c r="Q49" s="296"/>
      <c r="R49" s="296"/>
      <c r="S49" s="288"/>
      <c r="T49" s="288"/>
      <c r="U49" s="288"/>
      <c r="V49" s="321" t="s">
        <v>193</v>
      </c>
      <c r="W49" s="291"/>
      <c r="X49" s="5"/>
    </row>
    <row r="50" spans="1:25" ht="15.6" x14ac:dyDescent="0.3">
      <c r="A50" s="287"/>
      <c r="B50" s="288" t="s">
        <v>169</v>
      </c>
      <c r="C50" s="288"/>
      <c r="D50" s="296"/>
      <c r="E50" s="288"/>
      <c r="F50" s="296"/>
      <c r="G50" s="296"/>
      <c r="H50" s="296"/>
      <c r="I50" s="296"/>
      <c r="J50" s="296"/>
      <c r="K50" s="296"/>
      <c r="L50" s="296"/>
      <c r="M50" s="296"/>
      <c r="N50" s="296"/>
      <c r="O50" s="296"/>
      <c r="P50" s="296"/>
      <c r="Q50" s="296"/>
      <c r="R50" s="296"/>
      <c r="S50" s="288"/>
      <c r="T50" s="288"/>
      <c r="U50" s="288"/>
      <c r="V50" s="321">
        <f>SUM(L34:R34)/SUM(D34:J34)</f>
        <v>0.17663090364375009</v>
      </c>
      <c r="W50" s="291"/>
      <c r="X50" s="5"/>
    </row>
    <row r="51" spans="1:25" ht="15.6" x14ac:dyDescent="0.3">
      <c r="A51" s="287"/>
      <c r="B51" s="288" t="s">
        <v>170</v>
      </c>
      <c r="C51" s="288"/>
      <c r="D51" s="288"/>
      <c r="E51" s="288"/>
      <c r="F51" s="326"/>
      <c r="G51" s="288"/>
      <c r="H51" s="288"/>
      <c r="I51" s="288"/>
      <c r="J51" s="288"/>
      <c r="K51" s="288"/>
      <c r="L51" s="288"/>
      <c r="M51" s="288"/>
      <c r="N51" s="288"/>
      <c r="O51" s="288"/>
      <c r="P51" s="288"/>
      <c r="Q51" s="288"/>
      <c r="R51" s="288"/>
      <c r="S51" s="288"/>
      <c r="T51" s="288"/>
      <c r="U51" s="288"/>
      <c r="V51" s="321">
        <f>SUM(L36:R36)/SUM(D36:J36)</f>
        <v>0.33769521234491096</v>
      </c>
      <c r="W51" s="291"/>
      <c r="X51" s="5"/>
    </row>
    <row r="52" spans="1:25" ht="15.6" x14ac:dyDescent="0.3">
      <c r="A52" s="287"/>
      <c r="B52" s="288" t="s">
        <v>171</v>
      </c>
      <c r="C52" s="288"/>
      <c r="D52" s="288"/>
      <c r="E52" s="288"/>
      <c r="F52" s="288"/>
      <c r="G52" s="288"/>
      <c r="H52" s="288"/>
      <c r="I52" s="288"/>
      <c r="J52" s="288"/>
      <c r="K52" s="288"/>
      <c r="L52" s="288"/>
      <c r="M52" s="288"/>
      <c r="N52" s="288"/>
      <c r="O52" s="288"/>
      <c r="P52" s="288"/>
      <c r="Q52" s="288"/>
      <c r="R52" s="288"/>
      <c r="S52" s="288"/>
      <c r="T52" s="296"/>
      <c r="U52" s="296"/>
      <c r="V52" s="299" t="s">
        <v>276</v>
      </c>
      <c r="W52" s="291"/>
      <c r="X52" s="5"/>
    </row>
    <row r="53" spans="1:25" ht="15.6" x14ac:dyDescent="0.3">
      <c r="A53" s="287"/>
      <c r="B53" s="288"/>
      <c r="C53" s="288"/>
      <c r="D53" s="288"/>
      <c r="E53" s="288"/>
      <c r="F53" s="288"/>
      <c r="G53" s="288"/>
      <c r="H53" s="288"/>
      <c r="I53" s="288"/>
      <c r="J53" s="288"/>
      <c r="K53" s="288"/>
      <c r="L53" s="288"/>
      <c r="M53" s="288"/>
      <c r="N53" s="288"/>
      <c r="O53" s="288"/>
      <c r="P53" s="288"/>
      <c r="Q53" s="288"/>
      <c r="R53" s="288"/>
      <c r="S53" s="288"/>
      <c r="T53" s="288"/>
      <c r="U53" s="288"/>
      <c r="V53" s="327"/>
      <c r="W53" s="291"/>
      <c r="X53" s="5"/>
    </row>
    <row r="54" spans="1:25" ht="15.6" x14ac:dyDescent="0.3">
      <c r="A54" s="287"/>
      <c r="B54" s="288" t="s">
        <v>361</v>
      </c>
      <c r="C54" s="288"/>
      <c r="D54" s="288"/>
      <c r="E54" s="288"/>
      <c r="F54" s="288"/>
      <c r="G54" s="288"/>
      <c r="H54" s="288"/>
      <c r="I54" s="288"/>
      <c r="J54" s="288"/>
      <c r="K54" s="288"/>
      <c r="L54" s="288"/>
      <c r="M54" s="288"/>
      <c r="N54" s="288"/>
      <c r="O54" s="288"/>
      <c r="P54" s="288"/>
      <c r="Q54" s="288"/>
      <c r="R54" s="288"/>
      <c r="S54" s="288"/>
      <c r="T54" s="296"/>
      <c r="U54" s="296"/>
      <c r="V54" s="329" t="s">
        <v>111</v>
      </c>
      <c r="W54" s="291"/>
      <c r="X54" s="5"/>
    </row>
    <row r="55" spans="1:25" ht="15.6" x14ac:dyDescent="0.3">
      <c r="A55" s="287"/>
      <c r="B55" s="295" t="s">
        <v>201</v>
      </c>
      <c r="C55" s="295"/>
      <c r="D55" s="295"/>
      <c r="E55" s="295"/>
      <c r="F55" s="295"/>
      <c r="G55" s="295"/>
      <c r="H55" s="295"/>
      <c r="I55" s="295"/>
      <c r="J55" s="295"/>
      <c r="K55" s="295"/>
      <c r="L55" s="295"/>
      <c r="M55" s="295"/>
      <c r="N55" s="295"/>
      <c r="O55" s="295"/>
      <c r="P55" s="295"/>
      <c r="Q55" s="295"/>
      <c r="R55" s="295"/>
      <c r="S55" s="295"/>
      <c r="T55" s="330"/>
      <c r="U55" s="330"/>
      <c r="V55" s="331">
        <v>42901</v>
      </c>
      <c r="W55" s="291"/>
      <c r="X55" s="5"/>
    </row>
    <row r="56" spans="1:25" ht="15.6" x14ac:dyDescent="0.3">
      <c r="A56" s="287"/>
      <c r="B56" s="288" t="s">
        <v>121</v>
      </c>
      <c r="C56" s="288"/>
      <c r="D56" s="288"/>
      <c r="E56" s="288"/>
      <c r="F56" s="288"/>
      <c r="G56" s="288"/>
      <c r="H56" s="332"/>
      <c r="I56" s="332"/>
      <c r="J56" s="332"/>
      <c r="K56" s="332"/>
      <c r="L56" s="332"/>
      <c r="M56" s="332"/>
      <c r="N56" s="332"/>
      <c r="O56" s="332"/>
      <c r="P56" s="332"/>
      <c r="Q56" s="332"/>
      <c r="R56" s="288">
        <f>+V56-T56+1</f>
        <v>90</v>
      </c>
      <c r="S56" s="332"/>
      <c r="T56" s="333">
        <v>42719</v>
      </c>
      <c r="U56" s="334"/>
      <c r="V56" s="333">
        <v>42808</v>
      </c>
      <c r="W56" s="291"/>
      <c r="X56" s="5"/>
    </row>
    <row r="57" spans="1:25" ht="15.6" x14ac:dyDescent="0.3">
      <c r="A57" s="287"/>
      <c r="B57" s="288" t="s">
        <v>122</v>
      </c>
      <c r="C57" s="288"/>
      <c r="D57" s="288"/>
      <c r="E57" s="288"/>
      <c r="F57" s="288"/>
      <c r="G57" s="288"/>
      <c r="H57" s="288"/>
      <c r="I57" s="288"/>
      <c r="J57" s="288"/>
      <c r="K57" s="288"/>
      <c r="L57" s="288"/>
      <c r="M57" s="288"/>
      <c r="N57" s="288"/>
      <c r="O57" s="288"/>
      <c r="P57" s="288"/>
      <c r="Q57" s="288"/>
      <c r="R57" s="288">
        <f>+V57-T57+1</f>
        <v>92</v>
      </c>
      <c r="S57" s="288"/>
      <c r="T57" s="333">
        <v>42809</v>
      </c>
      <c r="U57" s="334"/>
      <c r="V57" s="333">
        <v>42900</v>
      </c>
      <c r="W57" s="291"/>
      <c r="X57" s="5"/>
    </row>
    <row r="58" spans="1:25" ht="15.6" x14ac:dyDescent="0.3">
      <c r="A58" s="287"/>
      <c r="B58" s="288" t="s">
        <v>360</v>
      </c>
      <c r="C58" s="288"/>
      <c r="D58" s="288"/>
      <c r="E58" s="288"/>
      <c r="F58" s="288"/>
      <c r="G58" s="288"/>
      <c r="H58" s="288"/>
      <c r="I58" s="288"/>
      <c r="J58" s="288"/>
      <c r="K58" s="288"/>
      <c r="L58" s="288"/>
      <c r="M58" s="288"/>
      <c r="N58" s="288"/>
      <c r="O58" s="288"/>
      <c r="P58" s="288"/>
      <c r="Q58" s="288"/>
      <c r="R58" s="288"/>
      <c r="S58" s="288"/>
      <c r="T58" s="333"/>
      <c r="U58" s="334"/>
      <c r="V58" s="333" t="s">
        <v>120</v>
      </c>
      <c r="W58" s="291"/>
      <c r="X58" s="5"/>
    </row>
    <row r="59" spans="1:25" ht="15.6" x14ac:dyDescent="0.3">
      <c r="A59" s="287"/>
      <c r="B59" s="288" t="s">
        <v>359</v>
      </c>
      <c r="C59" s="288"/>
      <c r="D59" s="288"/>
      <c r="E59" s="288"/>
      <c r="F59" s="288"/>
      <c r="G59" s="288"/>
      <c r="H59" s="288"/>
      <c r="I59" s="288"/>
      <c r="J59" s="288"/>
      <c r="K59" s="288"/>
      <c r="L59" s="288"/>
      <c r="M59" s="288"/>
      <c r="N59" s="288"/>
      <c r="O59" s="288"/>
      <c r="P59" s="288"/>
      <c r="Q59" s="288"/>
      <c r="R59" s="288"/>
      <c r="S59" s="288"/>
      <c r="T59" s="333"/>
      <c r="U59" s="334"/>
      <c r="V59" s="333" t="s">
        <v>154</v>
      </c>
      <c r="W59" s="291"/>
      <c r="X59" s="5"/>
      <c r="Y59" s="134"/>
    </row>
    <row r="60" spans="1:25" ht="15.6" x14ac:dyDescent="0.3">
      <c r="A60" s="287"/>
      <c r="B60" s="288" t="s">
        <v>16</v>
      </c>
      <c r="C60" s="288"/>
      <c r="D60" s="288"/>
      <c r="E60" s="288"/>
      <c r="F60" s="288"/>
      <c r="G60" s="288"/>
      <c r="H60" s="288"/>
      <c r="I60" s="288"/>
      <c r="J60" s="288"/>
      <c r="K60" s="288"/>
      <c r="L60" s="288"/>
      <c r="M60" s="288"/>
      <c r="N60" s="288"/>
      <c r="O60" s="288"/>
      <c r="P60" s="288"/>
      <c r="Q60" s="288"/>
      <c r="R60" s="288"/>
      <c r="S60" s="288"/>
      <c r="T60" s="333"/>
      <c r="U60" s="334"/>
      <c r="V60" s="333">
        <v>42887</v>
      </c>
      <c r="W60" s="291"/>
      <c r="X60" s="5"/>
    </row>
    <row r="61" spans="1:25" ht="15.6" x14ac:dyDescent="0.3">
      <c r="A61" s="183"/>
      <c r="B61" s="284"/>
      <c r="C61" s="284"/>
      <c r="D61" s="284"/>
      <c r="E61" s="284"/>
      <c r="F61" s="284"/>
      <c r="G61" s="284"/>
      <c r="H61" s="284"/>
      <c r="I61" s="284"/>
      <c r="J61" s="284"/>
      <c r="K61" s="284"/>
      <c r="L61" s="284"/>
      <c r="M61" s="284"/>
      <c r="N61" s="284"/>
      <c r="O61" s="284"/>
      <c r="P61" s="284"/>
      <c r="Q61" s="284"/>
      <c r="R61" s="284"/>
      <c r="S61" s="284"/>
      <c r="T61" s="285"/>
      <c r="U61" s="286"/>
      <c r="V61" s="285"/>
      <c r="W61" s="284"/>
      <c r="X61" s="5"/>
    </row>
    <row r="62" spans="1:25" ht="15.6" x14ac:dyDescent="0.3">
      <c r="A62" s="183"/>
      <c r="B62" s="224"/>
      <c r="C62" s="224"/>
      <c r="D62" s="224"/>
      <c r="E62" s="224"/>
      <c r="F62" s="224"/>
      <c r="G62" s="224"/>
      <c r="H62" s="224"/>
      <c r="I62" s="224"/>
      <c r="J62" s="224"/>
      <c r="K62" s="224"/>
      <c r="L62" s="224"/>
      <c r="M62" s="224"/>
      <c r="N62" s="224"/>
      <c r="O62" s="224"/>
      <c r="P62" s="224"/>
      <c r="Q62" s="224"/>
      <c r="R62" s="224"/>
      <c r="S62" s="224"/>
      <c r="T62" s="235"/>
      <c r="U62" s="236"/>
      <c r="V62" s="235"/>
      <c r="W62" s="224"/>
      <c r="X62" s="5"/>
    </row>
    <row r="63" spans="1:25" ht="18" thickBot="1" x14ac:dyDescent="0.35">
      <c r="A63" s="199"/>
      <c r="B63" s="237" t="s">
        <v>362</v>
      </c>
      <c r="C63" s="238"/>
      <c r="D63" s="238"/>
      <c r="E63" s="238"/>
      <c r="F63" s="238"/>
      <c r="G63" s="238"/>
      <c r="H63" s="238"/>
      <c r="I63" s="238"/>
      <c r="J63" s="238"/>
      <c r="K63" s="238"/>
      <c r="L63" s="238"/>
      <c r="M63" s="238"/>
      <c r="N63" s="238"/>
      <c r="O63" s="238"/>
      <c r="P63" s="238"/>
      <c r="Q63" s="238"/>
      <c r="R63" s="238"/>
      <c r="S63" s="238"/>
      <c r="T63" s="238"/>
      <c r="U63" s="238"/>
      <c r="V63" s="239"/>
      <c r="W63" s="240"/>
      <c r="X63" s="5"/>
    </row>
    <row r="64" spans="1:25" ht="15.6" x14ac:dyDescent="0.3">
      <c r="A64" s="262"/>
      <c r="B64" s="399" t="s">
        <v>17</v>
      </c>
      <c r="C64" s="263"/>
      <c r="D64" s="263"/>
      <c r="E64" s="263"/>
      <c r="F64" s="263"/>
      <c r="G64" s="263"/>
      <c r="H64" s="263"/>
      <c r="I64" s="263"/>
      <c r="J64" s="263"/>
      <c r="K64" s="263"/>
      <c r="L64" s="263"/>
      <c r="M64" s="263"/>
      <c r="N64" s="263"/>
      <c r="O64" s="263"/>
      <c r="P64" s="263"/>
      <c r="Q64" s="263"/>
      <c r="R64" s="263"/>
      <c r="S64" s="263"/>
      <c r="T64" s="263"/>
      <c r="U64" s="263"/>
      <c r="V64" s="268"/>
      <c r="W64" s="263"/>
      <c r="X64" s="5"/>
    </row>
    <row r="65" spans="1:24" ht="15.6" x14ac:dyDescent="0.3">
      <c r="A65" s="183"/>
      <c r="B65" s="191"/>
      <c r="C65" s="185"/>
      <c r="D65" s="185"/>
      <c r="E65" s="185"/>
      <c r="F65" s="185"/>
      <c r="G65" s="185"/>
      <c r="H65" s="185"/>
      <c r="I65" s="185"/>
      <c r="J65" s="185"/>
      <c r="K65" s="185"/>
      <c r="L65" s="185"/>
      <c r="M65" s="185"/>
      <c r="N65" s="185"/>
      <c r="O65" s="185"/>
      <c r="P65" s="185"/>
      <c r="Q65" s="185"/>
      <c r="R65" s="185"/>
      <c r="S65" s="185"/>
      <c r="T65" s="185"/>
      <c r="U65" s="185"/>
      <c r="V65" s="201"/>
      <c r="W65" s="185"/>
      <c r="X65" s="5"/>
    </row>
    <row r="66" spans="1:24" ht="46.8" x14ac:dyDescent="0.3">
      <c r="A66" s="183"/>
      <c r="B66" s="202" t="s">
        <v>18</v>
      </c>
      <c r="C66" s="203"/>
      <c r="D66" s="203"/>
      <c r="E66" s="203"/>
      <c r="F66" s="203"/>
      <c r="G66" s="203"/>
      <c r="H66" s="203"/>
      <c r="I66" s="203"/>
      <c r="J66" s="203"/>
      <c r="K66" s="203"/>
      <c r="L66" s="203" t="s">
        <v>94</v>
      </c>
      <c r="M66" s="203"/>
      <c r="N66" s="203" t="s">
        <v>96</v>
      </c>
      <c r="O66" s="203"/>
      <c r="P66" s="203" t="s">
        <v>98</v>
      </c>
      <c r="Q66" s="203"/>
      <c r="R66" s="203" t="s">
        <v>100</v>
      </c>
      <c r="S66" s="203"/>
      <c r="T66" s="203" t="s">
        <v>106</v>
      </c>
      <c r="U66" s="203"/>
      <c r="V66" s="204" t="s">
        <v>112</v>
      </c>
      <c r="W66" s="205"/>
      <c r="X66" s="5"/>
    </row>
    <row r="67" spans="1:24" ht="15.6" x14ac:dyDescent="0.3">
      <c r="A67" s="287"/>
      <c r="B67" s="288" t="s">
        <v>19</v>
      </c>
      <c r="C67" s="337"/>
      <c r="D67" s="337"/>
      <c r="E67" s="337"/>
      <c r="F67" s="337"/>
      <c r="G67" s="337"/>
      <c r="H67" s="337"/>
      <c r="I67" s="337"/>
      <c r="J67" s="337"/>
      <c r="K67" s="337"/>
      <c r="L67" s="337">
        <v>1158015</v>
      </c>
      <c r="M67" s="337"/>
      <c r="N67" s="338">
        <v>906364</v>
      </c>
      <c r="O67" s="337"/>
      <c r="P67" s="337">
        <f>14231+133</f>
        <v>14364</v>
      </c>
      <c r="Q67" s="337"/>
      <c r="R67" s="337">
        <v>133</v>
      </c>
      <c r="S67" s="337"/>
      <c r="T67" s="337">
        <v>0</v>
      </c>
      <c r="U67" s="337"/>
      <c r="V67" s="338">
        <f>+N67-P67+R67-T67</f>
        <v>892133</v>
      </c>
      <c r="W67" s="291"/>
      <c r="X67" s="5"/>
    </row>
    <row r="68" spans="1:24" ht="15.6" x14ac:dyDescent="0.3">
      <c r="A68" s="287"/>
      <c r="B68" s="288" t="s">
        <v>20</v>
      </c>
      <c r="C68" s="337"/>
      <c r="D68" s="337"/>
      <c r="E68" s="337"/>
      <c r="F68" s="337"/>
      <c r="G68" s="337"/>
      <c r="H68" s="337"/>
      <c r="I68" s="337"/>
      <c r="J68" s="337"/>
      <c r="K68" s="337"/>
      <c r="L68" s="337">
        <v>15</v>
      </c>
      <c r="M68" s="337"/>
      <c r="N68" s="338">
        <v>0</v>
      </c>
      <c r="O68" s="337"/>
      <c r="P68" s="337">
        <v>0</v>
      </c>
      <c r="Q68" s="337"/>
      <c r="R68" s="337">
        <v>0</v>
      </c>
      <c r="S68" s="337"/>
      <c r="T68" s="337">
        <v>0</v>
      </c>
      <c r="U68" s="337"/>
      <c r="V68" s="338">
        <v>0</v>
      </c>
      <c r="W68" s="291"/>
      <c r="X68" s="5"/>
    </row>
    <row r="69" spans="1:24" ht="15.6" x14ac:dyDescent="0.3">
      <c r="A69" s="287"/>
      <c r="B69" s="288"/>
      <c r="C69" s="337"/>
      <c r="D69" s="337"/>
      <c r="E69" s="337"/>
      <c r="F69" s="337"/>
      <c r="G69" s="337"/>
      <c r="H69" s="337"/>
      <c r="I69" s="337"/>
      <c r="J69" s="337"/>
      <c r="K69" s="337"/>
      <c r="L69" s="337"/>
      <c r="M69" s="337"/>
      <c r="N69" s="338"/>
      <c r="O69" s="337"/>
      <c r="P69" s="337"/>
      <c r="Q69" s="337"/>
      <c r="R69" s="337"/>
      <c r="S69" s="337"/>
      <c r="T69" s="337"/>
      <c r="U69" s="337"/>
      <c r="V69" s="338"/>
      <c r="W69" s="291"/>
      <c r="X69" s="5"/>
    </row>
    <row r="70" spans="1:24" ht="15.6" x14ac:dyDescent="0.3">
      <c r="A70" s="287"/>
      <c r="B70" s="288" t="s">
        <v>21</v>
      </c>
      <c r="C70" s="337"/>
      <c r="D70" s="337"/>
      <c r="E70" s="337"/>
      <c r="F70" s="337"/>
      <c r="G70" s="337"/>
      <c r="H70" s="337"/>
      <c r="I70" s="337"/>
      <c r="J70" s="337"/>
      <c r="K70" s="337"/>
      <c r="L70" s="337">
        <f>SUM(L67:L69)</f>
        <v>1158030</v>
      </c>
      <c r="M70" s="337"/>
      <c r="N70" s="337">
        <f>N67+N68</f>
        <v>906364</v>
      </c>
      <c r="O70" s="337"/>
      <c r="P70" s="337">
        <f>SUM(P67:P69)</f>
        <v>14364</v>
      </c>
      <c r="Q70" s="337"/>
      <c r="R70" s="337">
        <f>SUM(R67:R69)</f>
        <v>133</v>
      </c>
      <c r="S70" s="337"/>
      <c r="T70" s="337">
        <f>SUM(T67:T69)</f>
        <v>0</v>
      </c>
      <c r="U70" s="337"/>
      <c r="V70" s="337">
        <f>SUM(V67:V69)</f>
        <v>892133</v>
      </c>
      <c r="W70" s="291"/>
      <c r="X70" s="5"/>
    </row>
    <row r="71" spans="1:24" ht="15.6" x14ac:dyDescent="0.3">
      <c r="A71" s="183"/>
      <c r="B71" s="198"/>
      <c r="C71" s="335"/>
      <c r="D71" s="335"/>
      <c r="E71" s="335"/>
      <c r="F71" s="335"/>
      <c r="G71" s="335"/>
      <c r="H71" s="335"/>
      <c r="I71" s="335"/>
      <c r="J71" s="335"/>
      <c r="K71" s="335"/>
      <c r="L71" s="335"/>
      <c r="M71" s="335"/>
      <c r="N71" s="335"/>
      <c r="O71" s="335"/>
      <c r="P71" s="335"/>
      <c r="Q71" s="335"/>
      <c r="R71" s="335"/>
      <c r="S71" s="335"/>
      <c r="T71" s="335"/>
      <c r="U71" s="335"/>
      <c r="V71" s="336"/>
      <c r="W71" s="198"/>
      <c r="X71" s="5"/>
    </row>
    <row r="72" spans="1:24" ht="15.6" x14ac:dyDescent="0.3">
      <c r="A72" s="183"/>
      <c r="B72" s="187" t="s">
        <v>22</v>
      </c>
      <c r="C72" s="206"/>
      <c r="D72" s="206"/>
      <c r="E72" s="206"/>
      <c r="F72" s="206"/>
      <c r="G72" s="206"/>
      <c r="H72" s="206"/>
      <c r="I72" s="206"/>
      <c r="J72" s="206"/>
      <c r="K72" s="206"/>
      <c r="L72" s="206"/>
      <c r="M72" s="206"/>
      <c r="N72" s="206"/>
      <c r="O72" s="206"/>
      <c r="P72" s="206"/>
      <c r="Q72" s="206"/>
      <c r="R72" s="206"/>
      <c r="S72" s="206"/>
      <c r="T72" s="206"/>
      <c r="U72" s="206"/>
      <c r="V72" s="207"/>
      <c r="W72" s="185"/>
      <c r="X72" s="5"/>
    </row>
    <row r="73" spans="1:24" ht="15.6" x14ac:dyDescent="0.3">
      <c r="A73" s="183"/>
      <c r="B73" s="185"/>
      <c r="C73" s="206"/>
      <c r="D73" s="206"/>
      <c r="E73" s="206"/>
      <c r="F73" s="206"/>
      <c r="G73" s="206"/>
      <c r="H73" s="206"/>
      <c r="I73" s="206"/>
      <c r="J73" s="206"/>
      <c r="K73" s="206"/>
      <c r="L73" s="206"/>
      <c r="M73" s="206"/>
      <c r="N73" s="206"/>
      <c r="O73" s="206"/>
      <c r="P73" s="206"/>
      <c r="Q73" s="206"/>
      <c r="R73" s="206"/>
      <c r="S73" s="206"/>
      <c r="T73" s="206"/>
      <c r="U73" s="206"/>
      <c r="V73" s="207"/>
      <c r="W73" s="185"/>
      <c r="X73" s="5"/>
    </row>
    <row r="74" spans="1:24" ht="15.6" x14ac:dyDescent="0.3">
      <c r="A74" s="340"/>
      <c r="B74" s="288" t="s">
        <v>19</v>
      </c>
      <c r="C74" s="337"/>
      <c r="D74" s="337"/>
      <c r="E74" s="337"/>
      <c r="F74" s="337"/>
      <c r="G74" s="337"/>
      <c r="H74" s="337"/>
      <c r="I74" s="337"/>
      <c r="J74" s="337"/>
      <c r="K74" s="337"/>
      <c r="L74" s="337"/>
      <c r="M74" s="337"/>
      <c r="N74" s="337"/>
      <c r="O74" s="337"/>
      <c r="P74" s="337"/>
      <c r="Q74" s="337"/>
      <c r="R74" s="337"/>
      <c r="S74" s="337"/>
      <c r="T74" s="337"/>
      <c r="U74" s="337"/>
      <c r="V74" s="337"/>
      <c r="W74" s="291"/>
      <c r="X74" s="5"/>
    </row>
    <row r="75" spans="1:24" ht="15.6" x14ac:dyDescent="0.3">
      <c r="A75" s="340"/>
      <c r="B75" s="288" t="s">
        <v>20</v>
      </c>
      <c r="C75" s="337"/>
      <c r="D75" s="337"/>
      <c r="E75" s="337"/>
      <c r="F75" s="337"/>
      <c r="G75" s="337"/>
      <c r="H75" s="337"/>
      <c r="I75" s="337"/>
      <c r="J75" s="337"/>
      <c r="K75" s="337"/>
      <c r="L75" s="337"/>
      <c r="M75" s="337"/>
      <c r="N75" s="337"/>
      <c r="O75" s="337"/>
      <c r="P75" s="337"/>
      <c r="Q75" s="337"/>
      <c r="R75" s="337"/>
      <c r="S75" s="337"/>
      <c r="T75" s="337"/>
      <c r="U75" s="337"/>
      <c r="V75" s="337"/>
      <c r="W75" s="291"/>
      <c r="X75" s="5"/>
    </row>
    <row r="76" spans="1:24" ht="15.6" x14ac:dyDescent="0.3">
      <c r="A76" s="340"/>
      <c r="B76" s="288"/>
      <c r="C76" s="337"/>
      <c r="D76" s="337"/>
      <c r="E76" s="337"/>
      <c r="F76" s="337"/>
      <c r="G76" s="337"/>
      <c r="H76" s="337"/>
      <c r="I76" s="337"/>
      <c r="J76" s="337"/>
      <c r="K76" s="337"/>
      <c r="L76" s="337"/>
      <c r="M76" s="337"/>
      <c r="N76" s="337"/>
      <c r="O76" s="337"/>
      <c r="P76" s="337"/>
      <c r="Q76" s="337"/>
      <c r="R76" s="337"/>
      <c r="S76" s="337"/>
      <c r="T76" s="337"/>
      <c r="U76" s="337"/>
      <c r="V76" s="337"/>
      <c r="W76" s="291"/>
      <c r="X76" s="5"/>
    </row>
    <row r="77" spans="1:24" ht="15.6" x14ac:dyDescent="0.3">
      <c r="A77" s="340"/>
      <c r="B77" s="288" t="s">
        <v>21</v>
      </c>
      <c r="C77" s="337"/>
      <c r="D77" s="337"/>
      <c r="E77" s="337"/>
      <c r="F77" s="337"/>
      <c r="G77" s="337"/>
      <c r="H77" s="337"/>
      <c r="I77" s="337"/>
      <c r="J77" s="337"/>
      <c r="K77" s="337"/>
      <c r="L77" s="337"/>
      <c r="M77" s="337"/>
      <c r="N77" s="337"/>
      <c r="O77" s="337"/>
      <c r="P77" s="337"/>
      <c r="Q77" s="337"/>
      <c r="R77" s="337"/>
      <c r="S77" s="337"/>
      <c r="T77" s="337"/>
      <c r="U77" s="337"/>
      <c r="V77" s="337"/>
      <c r="W77" s="291"/>
      <c r="X77" s="5"/>
    </row>
    <row r="78" spans="1:24" ht="15.6" x14ac:dyDescent="0.3">
      <c r="A78" s="340"/>
      <c r="B78" s="288"/>
      <c r="C78" s="337"/>
      <c r="D78" s="337"/>
      <c r="E78" s="337"/>
      <c r="F78" s="337"/>
      <c r="G78" s="337"/>
      <c r="H78" s="337"/>
      <c r="I78" s="337"/>
      <c r="J78" s="337"/>
      <c r="K78" s="337"/>
      <c r="L78" s="337"/>
      <c r="M78" s="337"/>
      <c r="N78" s="337"/>
      <c r="O78" s="337"/>
      <c r="P78" s="337"/>
      <c r="Q78" s="337"/>
      <c r="R78" s="337"/>
      <c r="S78" s="337"/>
      <c r="T78" s="337"/>
      <c r="U78" s="337"/>
      <c r="V78" s="337"/>
      <c r="W78" s="291"/>
      <c r="X78" s="5"/>
    </row>
    <row r="79" spans="1:24" ht="15.6" x14ac:dyDescent="0.3">
      <c r="A79" s="340"/>
      <c r="B79" s="288" t="s">
        <v>23</v>
      </c>
      <c r="C79" s="337"/>
      <c r="D79" s="337"/>
      <c r="E79" s="337"/>
      <c r="F79" s="337"/>
      <c r="G79" s="337"/>
      <c r="H79" s="337"/>
      <c r="I79" s="337"/>
      <c r="J79" s="337"/>
      <c r="K79" s="337"/>
      <c r="L79" s="337">
        <v>0</v>
      </c>
      <c r="M79" s="337"/>
      <c r="N79" s="337">
        <v>0</v>
      </c>
      <c r="O79" s="337"/>
      <c r="P79" s="337"/>
      <c r="Q79" s="337"/>
      <c r="R79" s="337"/>
      <c r="S79" s="337"/>
      <c r="T79" s="337"/>
      <c r="U79" s="337"/>
      <c r="V79" s="338">
        <v>0</v>
      </c>
      <c r="W79" s="291"/>
      <c r="X79" s="5"/>
    </row>
    <row r="80" spans="1:24" ht="15.6" x14ac:dyDescent="0.3">
      <c r="A80" s="340"/>
      <c r="B80" s="288" t="s">
        <v>117</v>
      </c>
      <c r="C80" s="337"/>
      <c r="D80" s="337"/>
      <c r="E80" s="337"/>
      <c r="F80" s="337"/>
      <c r="G80" s="337"/>
      <c r="H80" s="337"/>
      <c r="I80" s="337"/>
      <c r="J80" s="337"/>
      <c r="K80" s="337"/>
      <c r="L80" s="337">
        <v>342245</v>
      </c>
      <c r="M80" s="337"/>
      <c r="N80" s="337">
        <v>0</v>
      </c>
      <c r="O80" s="337"/>
      <c r="P80" s="337">
        <v>0</v>
      </c>
      <c r="Q80" s="337"/>
      <c r="R80" s="337"/>
      <c r="S80" s="337"/>
      <c r="T80" s="337"/>
      <c r="U80" s="337"/>
      <c r="V80" s="337">
        <f>SUM(N80:R80)</f>
        <v>0</v>
      </c>
      <c r="W80" s="291"/>
      <c r="X80" s="5"/>
    </row>
    <row r="81" spans="1:24" ht="15.6" x14ac:dyDescent="0.3">
      <c r="A81" s="340"/>
      <c r="B81" s="288" t="s">
        <v>146</v>
      </c>
      <c r="C81" s="337"/>
      <c r="D81" s="337"/>
      <c r="E81" s="337"/>
      <c r="F81" s="337"/>
      <c r="G81" s="337"/>
      <c r="H81" s="337"/>
      <c r="I81" s="337"/>
      <c r="J81" s="337"/>
      <c r="K81" s="337"/>
      <c r="L81" s="337">
        <v>0</v>
      </c>
      <c r="M81" s="337"/>
      <c r="N81" s="337">
        <v>0</v>
      </c>
      <c r="O81" s="337"/>
      <c r="P81" s="337">
        <v>0</v>
      </c>
      <c r="Q81" s="337"/>
      <c r="R81" s="337"/>
      <c r="S81" s="337"/>
      <c r="T81" s="337"/>
      <c r="U81" s="337"/>
      <c r="V81" s="337">
        <f>+N81+P81</f>
        <v>0</v>
      </c>
      <c r="W81" s="291"/>
      <c r="X81" s="5"/>
    </row>
    <row r="82" spans="1:24" ht="15.6" x14ac:dyDescent="0.3">
      <c r="A82" s="340"/>
      <c r="B82" s="288" t="s">
        <v>25</v>
      </c>
      <c r="C82" s="337"/>
      <c r="D82" s="337"/>
      <c r="E82" s="337"/>
      <c r="F82" s="337"/>
      <c r="G82" s="337"/>
      <c r="H82" s="337"/>
      <c r="I82" s="337"/>
      <c r="J82" s="337"/>
      <c r="K82" s="337"/>
      <c r="L82" s="337">
        <v>0</v>
      </c>
      <c r="M82" s="337"/>
      <c r="N82" s="337">
        <v>0</v>
      </c>
      <c r="O82" s="337"/>
      <c r="P82" s="337"/>
      <c r="Q82" s="337"/>
      <c r="R82" s="337"/>
      <c r="S82" s="337"/>
      <c r="T82" s="337"/>
      <c r="U82" s="337"/>
      <c r="V82" s="337">
        <v>0</v>
      </c>
      <c r="W82" s="291"/>
      <c r="X82" s="5"/>
    </row>
    <row r="83" spans="1:24" ht="15.6" x14ac:dyDescent="0.3">
      <c r="A83" s="340"/>
      <c r="B83" s="288" t="s">
        <v>26</v>
      </c>
      <c r="C83" s="337"/>
      <c r="D83" s="337"/>
      <c r="E83" s="337"/>
      <c r="F83" s="337"/>
      <c r="G83" s="337"/>
      <c r="H83" s="337"/>
      <c r="I83" s="337"/>
      <c r="J83" s="337"/>
      <c r="K83" s="337"/>
      <c r="L83" s="337">
        <f>SUM(L70:L82)</f>
        <v>1500275</v>
      </c>
      <c r="M83" s="337"/>
      <c r="N83" s="337">
        <f>SUM(N70:N82)</f>
        <v>906364</v>
      </c>
      <c r="O83" s="337"/>
      <c r="P83" s="337"/>
      <c r="Q83" s="337"/>
      <c r="R83" s="337"/>
      <c r="S83" s="337"/>
      <c r="T83" s="337"/>
      <c r="U83" s="337"/>
      <c r="V83" s="337">
        <f>SUM(V70:V82)</f>
        <v>892133</v>
      </c>
      <c r="W83" s="291"/>
      <c r="X83" s="5"/>
    </row>
    <row r="84" spans="1:24" ht="15.6" x14ac:dyDescent="0.3">
      <c r="A84" s="243"/>
      <c r="B84" s="284"/>
      <c r="C84" s="339"/>
      <c r="D84" s="339"/>
      <c r="E84" s="339"/>
      <c r="F84" s="339"/>
      <c r="G84" s="339"/>
      <c r="H84" s="339"/>
      <c r="I84" s="339"/>
      <c r="J84" s="339"/>
      <c r="K84" s="339"/>
      <c r="L84" s="339"/>
      <c r="M84" s="339"/>
      <c r="N84" s="339"/>
      <c r="O84" s="339"/>
      <c r="P84" s="339"/>
      <c r="Q84" s="339"/>
      <c r="R84" s="339"/>
      <c r="S84" s="339"/>
      <c r="T84" s="339"/>
      <c r="U84" s="339"/>
      <c r="V84" s="339"/>
      <c r="W84" s="284"/>
      <c r="X84" s="5"/>
    </row>
    <row r="85" spans="1:24" ht="15.6" x14ac:dyDescent="0.3">
      <c r="A85" s="243"/>
      <c r="B85" s="224"/>
      <c r="C85" s="224"/>
      <c r="D85" s="224"/>
      <c r="E85" s="224"/>
      <c r="F85" s="224"/>
      <c r="G85" s="224"/>
      <c r="H85" s="224"/>
      <c r="I85" s="224"/>
      <c r="J85" s="224"/>
      <c r="K85" s="224"/>
      <c r="L85" s="224"/>
      <c r="M85" s="224"/>
      <c r="N85" s="224"/>
      <c r="O85" s="224"/>
      <c r="P85" s="224"/>
      <c r="Q85" s="224"/>
      <c r="R85" s="224"/>
      <c r="S85" s="224"/>
      <c r="T85" s="224"/>
      <c r="U85" s="224"/>
      <c r="V85" s="224"/>
      <c r="W85" s="224"/>
      <c r="X85" s="5"/>
    </row>
    <row r="86" spans="1:24" ht="15.6" x14ac:dyDescent="0.3">
      <c r="A86" s="262"/>
      <c r="B86" s="399" t="s">
        <v>27</v>
      </c>
      <c r="C86" s="399"/>
      <c r="D86" s="399"/>
      <c r="E86" s="399"/>
      <c r="F86" s="399"/>
      <c r="G86" s="399"/>
      <c r="H86" s="400"/>
      <c r="I86" s="400"/>
      <c r="J86" s="400"/>
      <c r="K86" s="400"/>
      <c r="L86" s="401" t="s">
        <v>95</v>
      </c>
      <c r="M86" s="400"/>
      <c r="N86" s="402">
        <f>+T204</f>
        <v>42886</v>
      </c>
      <c r="O86" s="400"/>
      <c r="P86" s="400"/>
      <c r="Q86" s="400"/>
      <c r="R86" s="400"/>
      <c r="S86" s="400"/>
      <c r="T86" s="400" t="s">
        <v>107</v>
      </c>
      <c r="U86" s="400"/>
      <c r="V86" s="400" t="s">
        <v>113</v>
      </c>
      <c r="W86" s="263"/>
      <c r="X86" s="5"/>
    </row>
    <row r="87" spans="1:24" ht="15.6" x14ac:dyDescent="0.3">
      <c r="A87" s="242"/>
      <c r="B87" s="231" t="s">
        <v>28</v>
      </c>
      <c r="C87" s="231"/>
      <c r="D87" s="231"/>
      <c r="E87" s="231"/>
      <c r="F87" s="231"/>
      <c r="G87" s="231"/>
      <c r="H87" s="231"/>
      <c r="I87" s="231"/>
      <c r="J87" s="231"/>
      <c r="K87" s="231"/>
      <c r="L87" s="231"/>
      <c r="M87" s="231"/>
      <c r="N87" s="231"/>
      <c r="O87" s="231"/>
      <c r="P87" s="231"/>
      <c r="Q87" s="231"/>
      <c r="R87" s="231"/>
      <c r="S87" s="231"/>
      <c r="T87" s="234">
        <v>0</v>
      </c>
      <c r="U87" s="231"/>
      <c r="V87" s="241">
        <v>0</v>
      </c>
      <c r="W87" s="231"/>
      <c r="X87" s="5"/>
    </row>
    <row r="88" spans="1:24" ht="15.6" x14ac:dyDescent="0.3">
      <c r="A88" s="340"/>
      <c r="B88" s="288" t="s">
        <v>29</v>
      </c>
      <c r="C88" s="288"/>
      <c r="D88" s="288"/>
      <c r="E88" s="288"/>
      <c r="F88" s="288"/>
      <c r="G88" s="288"/>
      <c r="H88" s="325"/>
      <c r="I88" s="325"/>
      <c r="J88" s="325"/>
      <c r="K88" s="341"/>
      <c r="L88" s="325"/>
      <c r="M88" s="288"/>
      <c r="N88" s="342"/>
      <c r="O88" s="288"/>
      <c r="P88" s="288"/>
      <c r="Q88" s="288"/>
      <c r="R88" s="288"/>
      <c r="S88" s="288"/>
      <c r="T88" s="337">
        <f>14364-29</f>
        <v>14335</v>
      </c>
      <c r="U88" s="288"/>
      <c r="V88" s="338"/>
      <c r="W88" s="291"/>
      <c r="X88" s="5"/>
    </row>
    <row r="89" spans="1:24" ht="15.6" x14ac:dyDescent="0.3">
      <c r="A89" s="340"/>
      <c r="B89" s="288" t="s">
        <v>216</v>
      </c>
      <c r="C89" s="288"/>
      <c r="D89" s="288"/>
      <c r="E89" s="288"/>
      <c r="F89" s="288"/>
      <c r="G89" s="288"/>
      <c r="H89" s="325"/>
      <c r="I89" s="325"/>
      <c r="J89" s="325"/>
      <c r="K89" s="341"/>
      <c r="L89" s="325"/>
      <c r="M89" s="288"/>
      <c r="N89" s="342"/>
      <c r="O89" s="288"/>
      <c r="P89" s="288"/>
      <c r="Q89" s="288"/>
      <c r="R89" s="288"/>
      <c r="S89" s="288"/>
      <c r="T89" s="337"/>
      <c r="U89" s="288"/>
      <c r="V89" s="338">
        <f>2996+3929-533-1287</f>
        <v>5105</v>
      </c>
      <c r="W89" s="291"/>
      <c r="X89" s="5"/>
    </row>
    <row r="90" spans="1:24" ht="15.6" x14ac:dyDescent="0.3">
      <c r="A90" s="340"/>
      <c r="B90" s="288" t="s">
        <v>211</v>
      </c>
      <c r="C90" s="288"/>
      <c r="D90" s="288"/>
      <c r="E90" s="288"/>
      <c r="F90" s="288"/>
      <c r="G90" s="288"/>
      <c r="H90" s="325"/>
      <c r="I90" s="325"/>
      <c r="J90" s="325"/>
      <c r="K90" s="341"/>
      <c r="L90" s="325"/>
      <c r="M90" s="288"/>
      <c r="N90" s="342"/>
      <c r="O90" s="288"/>
      <c r="P90" s="288"/>
      <c r="Q90" s="288"/>
      <c r="R90" s="288"/>
      <c r="S90" s="288"/>
      <c r="T90" s="337"/>
      <c r="U90" s="288"/>
      <c r="V90" s="338">
        <f>29+24</f>
        <v>53</v>
      </c>
      <c r="W90" s="291"/>
      <c r="X90" s="5"/>
    </row>
    <row r="91" spans="1:24" ht="15.6" x14ac:dyDescent="0.3">
      <c r="A91" s="340"/>
      <c r="B91" s="288" t="s">
        <v>212</v>
      </c>
      <c r="C91" s="288"/>
      <c r="D91" s="288"/>
      <c r="E91" s="288"/>
      <c r="F91" s="288"/>
      <c r="G91" s="288"/>
      <c r="H91" s="325"/>
      <c r="I91" s="325"/>
      <c r="J91" s="325"/>
      <c r="K91" s="341"/>
      <c r="L91" s="325"/>
      <c r="M91" s="288"/>
      <c r="N91" s="342"/>
      <c r="O91" s="288"/>
      <c r="P91" s="288"/>
      <c r="Q91" s="288"/>
      <c r="R91" s="288"/>
      <c r="S91" s="288"/>
      <c r="T91" s="337"/>
      <c r="U91" s="288"/>
      <c r="V91" s="338">
        <v>31</v>
      </c>
      <c r="W91" s="291"/>
      <c r="X91" s="5"/>
    </row>
    <row r="92" spans="1:24" ht="15.6" x14ac:dyDescent="0.3">
      <c r="A92" s="340"/>
      <c r="B92" s="288" t="s">
        <v>272</v>
      </c>
      <c r="C92" s="288"/>
      <c r="D92" s="288"/>
      <c r="E92" s="288"/>
      <c r="F92" s="288"/>
      <c r="G92" s="288"/>
      <c r="H92" s="325"/>
      <c r="I92" s="325"/>
      <c r="J92" s="325"/>
      <c r="K92" s="341"/>
      <c r="L92" s="325"/>
      <c r="M92" s="288"/>
      <c r="N92" s="342"/>
      <c r="O92" s="288"/>
      <c r="P92" s="288"/>
      <c r="Q92" s="288"/>
      <c r="R92" s="288"/>
      <c r="S92" s="288"/>
      <c r="T92" s="337"/>
      <c r="U92" s="288"/>
      <c r="V92" s="338">
        <v>0</v>
      </c>
      <c r="W92" s="291"/>
      <c r="X92" s="5"/>
    </row>
    <row r="93" spans="1:24" ht="15.6" x14ac:dyDescent="0.3">
      <c r="A93" s="340"/>
      <c r="B93" s="288" t="s">
        <v>274</v>
      </c>
      <c r="C93" s="288"/>
      <c r="D93" s="288"/>
      <c r="E93" s="288"/>
      <c r="F93" s="288"/>
      <c r="G93" s="288"/>
      <c r="H93" s="325"/>
      <c r="I93" s="325"/>
      <c r="J93" s="325"/>
      <c r="K93" s="341"/>
      <c r="L93" s="325"/>
      <c r="M93" s="288"/>
      <c r="N93" s="342"/>
      <c r="O93" s="288"/>
      <c r="P93" s="288"/>
      <c r="Q93" s="288"/>
      <c r="R93" s="288"/>
      <c r="S93" s="288"/>
      <c r="T93" s="337"/>
      <c r="U93" s="288"/>
      <c r="V93" s="338">
        <v>0</v>
      </c>
      <c r="W93" s="291"/>
      <c r="X93" s="5"/>
    </row>
    <row r="94" spans="1:24" ht="15.6" x14ac:dyDescent="0.3">
      <c r="A94" s="340"/>
      <c r="B94" s="288" t="s">
        <v>135</v>
      </c>
      <c r="C94" s="288"/>
      <c r="D94" s="288"/>
      <c r="E94" s="288"/>
      <c r="F94" s="288"/>
      <c r="G94" s="288"/>
      <c r="H94" s="288"/>
      <c r="I94" s="288"/>
      <c r="J94" s="288"/>
      <c r="K94" s="288"/>
      <c r="L94" s="288"/>
      <c r="M94" s="288"/>
      <c r="N94" s="288"/>
      <c r="O94" s="288"/>
      <c r="P94" s="288"/>
      <c r="Q94" s="288"/>
      <c r="R94" s="288"/>
      <c r="S94" s="288"/>
      <c r="T94" s="337"/>
      <c r="U94" s="288"/>
      <c r="V94" s="338">
        <v>0</v>
      </c>
      <c r="W94" s="291"/>
      <c r="X94" s="5"/>
    </row>
    <row r="95" spans="1:24" ht="15.6" x14ac:dyDescent="0.3">
      <c r="A95" s="340"/>
      <c r="B95" s="288" t="s">
        <v>268</v>
      </c>
      <c r="C95" s="288"/>
      <c r="D95" s="288"/>
      <c r="E95" s="288"/>
      <c r="F95" s="288"/>
      <c r="G95" s="288"/>
      <c r="H95" s="288"/>
      <c r="I95" s="288"/>
      <c r="J95" s="288"/>
      <c r="K95" s="288"/>
      <c r="L95" s="288"/>
      <c r="M95" s="288"/>
      <c r="N95" s="288"/>
      <c r="O95" s="288"/>
      <c r="P95" s="288"/>
      <c r="Q95" s="288"/>
      <c r="R95" s="288"/>
      <c r="S95" s="288"/>
      <c r="T95" s="337"/>
      <c r="U95" s="288"/>
      <c r="V95" s="338">
        <v>257</v>
      </c>
      <c r="W95" s="291"/>
      <c r="X95" s="5"/>
    </row>
    <row r="96" spans="1:24" ht="15.6" x14ac:dyDescent="0.3">
      <c r="A96" s="340"/>
      <c r="B96" s="288" t="s">
        <v>30</v>
      </c>
      <c r="C96" s="288"/>
      <c r="D96" s="288"/>
      <c r="E96" s="288"/>
      <c r="F96" s="288"/>
      <c r="G96" s="288"/>
      <c r="H96" s="288"/>
      <c r="I96" s="288"/>
      <c r="J96" s="288"/>
      <c r="K96" s="288"/>
      <c r="L96" s="288"/>
      <c r="M96" s="288"/>
      <c r="N96" s="288"/>
      <c r="O96" s="288"/>
      <c r="P96" s="288"/>
      <c r="Q96" s="288"/>
      <c r="R96" s="288"/>
      <c r="S96" s="288"/>
      <c r="T96" s="337">
        <f>SUM(T87:T95)</f>
        <v>14335</v>
      </c>
      <c r="U96" s="288"/>
      <c r="V96" s="337">
        <f>SUM(V87:V95)</f>
        <v>5446</v>
      </c>
      <c r="W96" s="291"/>
      <c r="X96" s="5"/>
    </row>
    <row r="97" spans="1:25" ht="15.6" x14ac:dyDescent="0.3">
      <c r="A97" s="340"/>
      <c r="B97" s="288" t="s">
        <v>161</v>
      </c>
      <c r="C97" s="288"/>
      <c r="D97" s="288"/>
      <c r="E97" s="288"/>
      <c r="F97" s="288"/>
      <c r="G97" s="288"/>
      <c r="H97" s="288"/>
      <c r="I97" s="288"/>
      <c r="J97" s="288"/>
      <c r="K97" s="288"/>
      <c r="L97" s="288"/>
      <c r="M97" s="288"/>
      <c r="N97" s="288"/>
      <c r="O97" s="288"/>
      <c r="P97" s="288"/>
      <c r="Q97" s="288"/>
      <c r="R97" s="288"/>
      <c r="S97" s="288"/>
      <c r="T97" s="337">
        <f>-V97</f>
        <v>0</v>
      </c>
      <c r="U97" s="288"/>
      <c r="V97" s="337">
        <v>0</v>
      </c>
      <c r="W97" s="291"/>
      <c r="X97" s="5"/>
    </row>
    <row r="98" spans="1:25" ht="15.6" x14ac:dyDescent="0.3">
      <c r="A98" s="340"/>
      <c r="B98" s="288" t="s">
        <v>31</v>
      </c>
      <c r="C98" s="288"/>
      <c r="D98" s="288"/>
      <c r="E98" s="288"/>
      <c r="F98" s="288"/>
      <c r="G98" s="288"/>
      <c r="H98" s="288"/>
      <c r="I98" s="288"/>
      <c r="J98" s="288"/>
      <c r="K98" s="288"/>
      <c r="L98" s="288"/>
      <c r="M98" s="288"/>
      <c r="N98" s="288"/>
      <c r="O98" s="288"/>
      <c r="P98" s="288"/>
      <c r="Q98" s="288"/>
      <c r="R98" s="288"/>
      <c r="S98" s="288"/>
      <c r="T98" s="337">
        <f>-V98</f>
        <v>0</v>
      </c>
      <c r="U98" s="288"/>
      <c r="V98" s="338">
        <v>0</v>
      </c>
      <c r="W98" s="291"/>
      <c r="X98" s="5"/>
    </row>
    <row r="99" spans="1:25" ht="15.6" x14ac:dyDescent="0.3">
      <c r="A99" s="340"/>
      <c r="B99" s="288" t="s">
        <v>283</v>
      </c>
      <c r="C99" s="288"/>
      <c r="D99" s="288"/>
      <c r="E99" s="288"/>
      <c r="F99" s="288"/>
      <c r="G99" s="288"/>
      <c r="H99" s="288"/>
      <c r="I99" s="288"/>
      <c r="J99" s="288"/>
      <c r="K99" s="288"/>
      <c r="L99" s="288"/>
      <c r="M99" s="288"/>
      <c r="N99" s="288"/>
      <c r="O99" s="288"/>
      <c r="P99" s="288"/>
      <c r="Q99" s="288"/>
      <c r="R99" s="288"/>
      <c r="S99" s="288"/>
      <c r="T99" s="337"/>
      <c r="U99" s="288"/>
      <c r="V99" s="338">
        <v>-101</v>
      </c>
      <c r="W99" s="291"/>
      <c r="X99" s="5"/>
    </row>
    <row r="100" spans="1:25" ht="15.6" x14ac:dyDescent="0.3">
      <c r="A100" s="340"/>
      <c r="B100" s="288" t="s">
        <v>32</v>
      </c>
      <c r="C100" s="288"/>
      <c r="D100" s="288"/>
      <c r="E100" s="288"/>
      <c r="F100" s="288"/>
      <c r="G100" s="288"/>
      <c r="H100" s="288"/>
      <c r="I100" s="288"/>
      <c r="J100" s="288"/>
      <c r="K100" s="288"/>
      <c r="L100" s="288"/>
      <c r="M100" s="288"/>
      <c r="N100" s="288"/>
      <c r="O100" s="288"/>
      <c r="P100" s="288"/>
      <c r="Q100" s="288"/>
      <c r="R100" s="288"/>
      <c r="S100" s="288"/>
      <c r="T100" s="337">
        <f>T96+T98+T97</f>
        <v>14335</v>
      </c>
      <c r="U100" s="288"/>
      <c r="V100" s="337">
        <f>V96+V98+V97+V99</f>
        <v>5345</v>
      </c>
      <c r="W100" s="291"/>
      <c r="X100" s="5"/>
    </row>
    <row r="101" spans="1:25" ht="15.6" x14ac:dyDescent="0.3">
      <c r="A101" s="287"/>
      <c r="B101" s="343" t="s">
        <v>33</v>
      </c>
      <c r="C101" s="314"/>
      <c r="D101" s="314"/>
      <c r="E101" s="314"/>
      <c r="F101" s="314"/>
      <c r="G101" s="314"/>
      <c r="H101" s="314"/>
      <c r="I101" s="314"/>
      <c r="J101" s="314"/>
      <c r="K101" s="314"/>
      <c r="L101" s="314"/>
      <c r="M101" s="314"/>
      <c r="N101" s="314"/>
      <c r="O101" s="314"/>
      <c r="P101" s="314"/>
      <c r="Q101" s="314"/>
      <c r="R101" s="314"/>
      <c r="S101" s="314"/>
      <c r="T101" s="344"/>
      <c r="U101" s="314"/>
      <c r="V101" s="345"/>
      <c r="W101" s="318"/>
      <c r="X101" s="5"/>
    </row>
    <row r="102" spans="1:25" ht="15.6" x14ac:dyDescent="0.3">
      <c r="A102" s="340">
        <v>1</v>
      </c>
      <c r="B102" s="288" t="s">
        <v>34</v>
      </c>
      <c r="C102" s="288"/>
      <c r="D102" s="288"/>
      <c r="E102" s="288"/>
      <c r="F102" s="288"/>
      <c r="G102" s="288"/>
      <c r="H102" s="288"/>
      <c r="I102" s="288"/>
      <c r="J102" s="288"/>
      <c r="K102" s="288"/>
      <c r="L102" s="288"/>
      <c r="M102" s="288"/>
      <c r="N102" s="288"/>
      <c r="O102" s="288"/>
      <c r="P102" s="288"/>
      <c r="Q102" s="288"/>
      <c r="R102" s="288"/>
      <c r="S102" s="288"/>
      <c r="T102" s="288"/>
      <c r="U102" s="288"/>
      <c r="V102" s="338">
        <v>0</v>
      </c>
      <c r="W102" s="291"/>
      <c r="X102" s="5"/>
    </row>
    <row r="103" spans="1:25" ht="15.6" x14ac:dyDescent="0.3">
      <c r="A103" s="340">
        <f>+A102+1</f>
        <v>2</v>
      </c>
      <c r="B103" s="288" t="s">
        <v>330</v>
      </c>
      <c r="C103" s="288"/>
      <c r="D103" s="288"/>
      <c r="E103" s="288"/>
      <c r="F103" s="288"/>
      <c r="G103" s="288"/>
      <c r="H103" s="288"/>
      <c r="I103" s="288"/>
      <c r="J103" s="288"/>
      <c r="K103" s="288"/>
      <c r="L103" s="288"/>
      <c r="M103" s="288"/>
      <c r="N103" s="288"/>
      <c r="O103" s="288"/>
      <c r="P103" s="288"/>
      <c r="Q103" s="288"/>
      <c r="R103" s="288"/>
      <c r="S103" s="288"/>
      <c r="T103" s="288"/>
      <c r="U103" s="288"/>
      <c r="V103" s="338">
        <v>-2</v>
      </c>
      <c r="W103" s="291"/>
      <c r="X103" s="5"/>
    </row>
    <row r="104" spans="1:25" ht="15.6" x14ac:dyDescent="0.3">
      <c r="A104" s="340">
        <f>+A103+1</f>
        <v>3</v>
      </c>
      <c r="B104" s="288" t="s">
        <v>331</v>
      </c>
      <c r="C104" s="288"/>
      <c r="D104" s="288"/>
      <c r="E104" s="288"/>
      <c r="F104" s="288"/>
      <c r="G104" s="288"/>
      <c r="H104" s="288"/>
      <c r="I104" s="288"/>
      <c r="J104" s="288"/>
      <c r="K104" s="288"/>
      <c r="L104" s="288"/>
      <c r="M104" s="288"/>
      <c r="N104" s="288"/>
      <c r="O104" s="288"/>
      <c r="P104" s="288"/>
      <c r="Q104" s="288"/>
      <c r="R104" s="288"/>
      <c r="S104" s="288"/>
      <c r="T104" s="288"/>
      <c r="U104" s="288"/>
      <c r="V104" s="338">
        <f>-115-143-11</f>
        <v>-269</v>
      </c>
      <c r="W104" s="291"/>
      <c r="X104" s="5"/>
    </row>
    <row r="105" spans="1:25" ht="15.6" x14ac:dyDescent="0.3">
      <c r="A105" s="340" t="s">
        <v>127</v>
      </c>
      <c r="B105" s="288" t="s">
        <v>116</v>
      </c>
      <c r="C105" s="288"/>
      <c r="D105" s="288"/>
      <c r="E105" s="288"/>
      <c r="F105" s="288"/>
      <c r="G105" s="288"/>
      <c r="H105" s="288"/>
      <c r="I105" s="288"/>
      <c r="J105" s="288"/>
      <c r="K105" s="288"/>
      <c r="L105" s="288"/>
      <c r="M105" s="288"/>
      <c r="N105" s="288"/>
      <c r="O105" s="288"/>
      <c r="P105" s="288"/>
      <c r="Q105" s="288"/>
      <c r="R105" s="288"/>
      <c r="S105" s="288"/>
      <c r="T105" s="288"/>
      <c r="U105" s="288"/>
      <c r="V105" s="338">
        <v>0</v>
      </c>
      <c r="W105" s="291"/>
      <c r="X105" s="5"/>
    </row>
    <row r="106" spans="1:25" ht="15.6" x14ac:dyDescent="0.3">
      <c r="A106" s="340" t="s">
        <v>128</v>
      </c>
      <c r="B106" s="288" t="s">
        <v>363</v>
      </c>
      <c r="C106" s="288"/>
      <c r="D106" s="288"/>
      <c r="E106" s="288"/>
      <c r="F106" s="288"/>
      <c r="G106" s="288"/>
      <c r="H106" s="288"/>
      <c r="I106" s="288"/>
      <c r="J106" s="288"/>
      <c r="K106" s="288"/>
      <c r="L106" s="288"/>
      <c r="M106" s="288"/>
      <c r="N106" s="288"/>
      <c r="O106" s="288"/>
      <c r="P106" s="288"/>
      <c r="Q106" s="288"/>
      <c r="R106" s="288"/>
      <c r="S106" s="288"/>
      <c r="T106" s="288"/>
      <c r="U106" s="288"/>
      <c r="V106" s="338">
        <f>-960+301</f>
        <v>-659</v>
      </c>
      <c r="W106" s="291"/>
      <c r="X106" s="5"/>
      <c r="Y106" s="109"/>
    </row>
    <row r="107" spans="1:25" ht="15.6" x14ac:dyDescent="0.3">
      <c r="A107" s="340" t="s">
        <v>150</v>
      </c>
      <c r="B107" s="288" t="s">
        <v>364</v>
      </c>
      <c r="C107" s="288"/>
      <c r="D107" s="288"/>
      <c r="E107" s="288"/>
      <c r="F107" s="288"/>
      <c r="G107" s="288"/>
      <c r="H107" s="288"/>
      <c r="I107" s="288"/>
      <c r="J107" s="288"/>
      <c r="K107" s="288"/>
      <c r="L107" s="288"/>
      <c r="M107" s="288"/>
      <c r="N107" s="288"/>
      <c r="O107" s="288"/>
      <c r="P107" s="288"/>
      <c r="Q107" s="288"/>
      <c r="R107" s="288"/>
      <c r="S107" s="288"/>
      <c r="T107" s="288"/>
      <c r="U107" s="288"/>
      <c r="V107" s="338">
        <f>-129-172</f>
        <v>-301</v>
      </c>
      <c r="W107" s="291"/>
      <c r="X107" s="5"/>
      <c r="Y107" s="109"/>
    </row>
    <row r="108" spans="1:25" ht="15.6" x14ac:dyDescent="0.3">
      <c r="A108" s="340" t="s">
        <v>236</v>
      </c>
      <c r="B108" s="288" t="s">
        <v>238</v>
      </c>
      <c r="C108" s="288"/>
      <c r="D108" s="288"/>
      <c r="E108" s="288"/>
      <c r="F108" s="288"/>
      <c r="G108" s="288"/>
      <c r="H108" s="288"/>
      <c r="I108" s="288"/>
      <c r="J108" s="288"/>
      <c r="K108" s="288"/>
      <c r="L108" s="288"/>
      <c r="M108" s="288"/>
      <c r="N108" s="288"/>
      <c r="O108" s="288"/>
      <c r="P108" s="288"/>
      <c r="Q108" s="288"/>
      <c r="R108" s="288"/>
      <c r="S108" s="288"/>
      <c r="T108" s="288"/>
      <c r="U108" s="288"/>
      <c r="V108" s="338">
        <v>0</v>
      </c>
      <c r="W108" s="291"/>
      <c r="X108" s="5"/>
    </row>
    <row r="109" spans="1:25" ht="15.6" x14ac:dyDescent="0.3">
      <c r="A109" s="340" t="s">
        <v>205</v>
      </c>
      <c r="B109" s="288" t="s">
        <v>185</v>
      </c>
      <c r="C109" s="288"/>
      <c r="D109" s="288"/>
      <c r="E109" s="288"/>
      <c r="F109" s="288"/>
      <c r="G109" s="288"/>
      <c r="H109" s="288"/>
      <c r="I109" s="288"/>
      <c r="J109" s="288"/>
      <c r="K109" s="288"/>
      <c r="L109" s="288"/>
      <c r="M109" s="288"/>
      <c r="N109" s="288"/>
      <c r="O109" s="288"/>
      <c r="P109" s="288"/>
      <c r="Q109" s="288"/>
      <c r="R109" s="288"/>
      <c r="S109" s="288"/>
      <c r="T109" s="288"/>
      <c r="U109" s="288"/>
      <c r="V109" s="338">
        <v>-117</v>
      </c>
      <c r="W109" s="291"/>
      <c r="X109" s="5"/>
      <c r="Y109" s="109"/>
    </row>
    <row r="110" spans="1:25" ht="15.6" x14ac:dyDescent="0.3">
      <c r="A110" s="340" t="s">
        <v>206</v>
      </c>
      <c r="B110" s="288" t="s">
        <v>186</v>
      </c>
      <c r="C110" s="288"/>
      <c r="D110" s="288"/>
      <c r="E110" s="288"/>
      <c r="F110" s="288"/>
      <c r="G110" s="288"/>
      <c r="H110" s="288"/>
      <c r="I110" s="288"/>
      <c r="J110" s="288"/>
      <c r="K110" s="288"/>
      <c r="L110" s="288"/>
      <c r="M110" s="288"/>
      <c r="N110" s="288"/>
      <c r="O110" s="288"/>
      <c r="P110" s="288"/>
      <c r="Q110" s="288"/>
      <c r="R110" s="288"/>
      <c r="S110" s="288"/>
      <c r="T110" s="288"/>
      <c r="U110" s="288"/>
      <c r="V110" s="338">
        <v>-92</v>
      </c>
      <c r="W110" s="291"/>
      <c r="X110" s="179"/>
      <c r="Y110" s="109"/>
    </row>
    <row r="111" spans="1:25" ht="15.6" x14ac:dyDescent="0.3">
      <c r="A111" s="340" t="s">
        <v>207</v>
      </c>
      <c r="B111" s="288" t="s">
        <v>196</v>
      </c>
      <c r="C111" s="288"/>
      <c r="D111" s="288"/>
      <c r="E111" s="288"/>
      <c r="F111" s="288"/>
      <c r="G111" s="288"/>
      <c r="H111" s="288"/>
      <c r="I111" s="288"/>
      <c r="J111" s="288"/>
      <c r="K111" s="288"/>
      <c r="L111" s="288"/>
      <c r="M111" s="288"/>
      <c r="N111" s="288"/>
      <c r="O111" s="288"/>
      <c r="P111" s="288"/>
      <c r="Q111" s="288"/>
      <c r="R111" s="288"/>
      <c r="S111" s="288"/>
      <c r="T111" s="288"/>
      <c r="U111" s="288"/>
      <c r="V111" s="338">
        <v>-283</v>
      </c>
      <c r="W111" s="291"/>
      <c r="X111" s="5"/>
      <c r="Y111" s="109"/>
    </row>
    <row r="112" spans="1:25" ht="15.6" x14ac:dyDescent="0.3">
      <c r="A112" s="340" t="s">
        <v>224</v>
      </c>
      <c r="B112" s="288" t="s">
        <v>223</v>
      </c>
      <c r="C112" s="288"/>
      <c r="D112" s="288"/>
      <c r="E112" s="288"/>
      <c r="F112" s="288"/>
      <c r="G112" s="288"/>
      <c r="H112" s="288"/>
      <c r="I112" s="288"/>
      <c r="J112" s="288"/>
      <c r="K112" s="288"/>
      <c r="L112" s="288"/>
      <c r="M112" s="288"/>
      <c r="N112" s="288"/>
      <c r="O112" s="288"/>
      <c r="P112" s="288"/>
      <c r="Q112" s="288"/>
      <c r="R112" s="288"/>
      <c r="S112" s="288"/>
      <c r="T112" s="288"/>
      <c r="U112" s="288"/>
      <c r="V112" s="338">
        <v>-56</v>
      </c>
      <c r="W112" s="291"/>
      <c r="X112" s="5"/>
      <c r="Y112" s="109"/>
    </row>
    <row r="113" spans="1:24" ht="15.6" x14ac:dyDescent="0.3">
      <c r="A113" s="340">
        <v>7</v>
      </c>
      <c r="B113" s="288" t="s">
        <v>35</v>
      </c>
      <c r="C113" s="288"/>
      <c r="D113" s="288"/>
      <c r="E113" s="288"/>
      <c r="F113" s="288"/>
      <c r="G113" s="288"/>
      <c r="H113" s="288"/>
      <c r="I113" s="288"/>
      <c r="J113" s="288"/>
      <c r="K113" s="288"/>
      <c r="L113" s="288"/>
      <c r="M113" s="288"/>
      <c r="N113" s="288"/>
      <c r="O113" s="288"/>
      <c r="P113" s="288"/>
      <c r="Q113" s="288"/>
      <c r="R113" s="288"/>
      <c r="S113" s="288"/>
      <c r="T113" s="288"/>
      <c r="U113" s="288"/>
      <c r="V113" s="338">
        <v>-51</v>
      </c>
      <c r="W113" s="291"/>
      <c r="X113" s="5"/>
    </row>
    <row r="114" spans="1:24" ht="15.6" x14ac:dyDescent="0.3">
      <c r="A114" s="340">
        <f t="shared" ref="A114:A120" si="0">+A113+1</f>
        <v>8</v>
      </c>
      <c r="B114" s="288" t="s">
        <v>45</v>
      </c>
      <c r="C114" s="288"/>
      <c r="D114" s="288"/>
      <c r="E114" s="288"/>
      <c r="F114" s="288"/>
      <c r="G114" s="288"/>
      <c r="H114" s="288"/>
      <c r="I114" s="288"/>
      <c r="J114" s="288"/>
      <c r="K114" s="288"/>
      <c r="L114" s="288"/>
      <c r="M114" s="288"/>
      <c r="N114" s="288"/>
      <c r="O114" s="288"/>
      <c r="P114" s="288"/>
      <c r="Q114" s="288"/>
      <c r="R114" s="288"/>
      <c r="S114" s="288"/>
      <c r="T114" s="337">
        <f>-V114</f>
        <v>29</v>
      </c>
      <c r="U114" s="288"/>
      <c r="V114" s="338">
        <v>-29</v>
      </c>
      <c r="W114" s="291"/>
      <c r="X114" s="5"/>
    </row>
    <row r="115" spans="1:24" ht="15.6" x14ac:dyDescent="0.3">
      <c r="A115" s="340">
        <f t="shared" si="0"/>
        <v>9</v>
      </c>
      <c r="B115" s="288" t="s">
        <v>125</v>
      </c>
      <c r="C115" s="288"/>
      <c r="D115" s="288"/>
      <c r="E115" s="288"/>
      <c r="F115" s="288"/>
      <c r="G115" s="288"/>
      <c r="H115" s="288"/>
      <c r="I115" s="288"/>
      <c r="J115" s="288"/>
      <c r="K115" s="288"/>
      <c r="L115" s="288"/>
      <c r="M115" s="288"/>
      <c r="N115" s="288"/>
      <c r="O115" s="288"/>
      <c r="P115" s="288"/>
      <c r="Q115" s="288"/>
      <c r="R115" s="288"/>
      <c r="S115" s="288"/>
      <c r="T115" s="288"/>
      <c r="U115" s="288"/>
      <c r="V115" s="338">
        <v>0</v>
      </c>
      <c r="W115" s="291"/>
      <c r="X115" s="5"/>
    </row>
    <row r="116" spans="1:24" ht="15.6" x14ac:dyDescent="0.3">
      <c r="A116" s="340">
        <f t="shared" si="0"/>
        <v>10</v>
      </c>
      <c r="B116" s="288" t="s">
        <v>240</v>
      </c>
      <c r="C116" s="288"/>
      <c r="D116" s="288"/>
      <c r="E116" s="288"/>
      <c r="F116" s="288"/>
      <c r="G116" s="288"/>
      <c r="H116" s="288"/>
      <c r="I116" s="288"/>
      <c r="J116" s="288"/>
      <c r="K116" s="288"/>
      <c r="L116" s="288"/>
      <c r="M116" s="288"/>
      <c r="N116" s="288"/>
      <c r="O116" s="288"/>
      <c r="P116" s="288"/>
      <c r="Q116" s="288"/>
      <c r="R116" s="288"/>
      <c r="S116" s="288"/>
      <c r="T116" s="288"/>
      <c r="U116" s="288"/>
      <c r="V116" s="338">
        <v>0</v>
      </c>
      <c r="W116" s="291"/>
      <c r="X116" s="5"/>
    </row>
    <row r="117" spans="1:24" ht="15.6" x14ac:dyDescent="0.3">
      <c r="A117" s="340">
        <f t="shared" si="0"/>
        <v>11</v>
      </c>
      <c r="B117" s="288" t="s">
        <v>36</v>
      </c>
      <c r="C117" s="288"/>
      <c r="D117" s="288"/>
      <c r="E117" s="288"/>
      <c r="F117" s="288"/>
      <c r="G117" s="288"/>
      <c r="H117" s="288"/>
      <c r="I117" s="288"/>
      <c r="J117" s="288"/>
      <c r="K117" s="288"/>
      <c r="L117" s="288"/>
      <c r="M117" s="288"/>
      <c r="N117" s="288"/>
      <c r="O117" s="288"/>
      <c r="P117" s="288"/>
      <c r="Q117" s="288"/>
      <c r="R117" s="288"/>
      <c r="S117" s="288"/>
      <c r="T117" s="288"/>
      <c r="U117" s="288"/>
      <c r="V117" s="338">
        <v>0</v>
      </c>
      <c r="W117" s="291"/>
      <c r="X117" s="5"/>
    </row>
    <row r="118" spans="1:24" ht="15.6" x14ac:dyDescent="0.3">
      <c r="A118" s="340">
        <f t="shared" si="0"/>
        <v>12</v>
      </c>
      <c r="B118" s="288" t="s">
        <v>239</v>
      </c>
      <c r="C118" s="288"/>
      <c r="D118" s="288"/>
      <c r="E118" s="288"/>
      <c r="F118" s="288"/>
      <c r="G118" s="288"/>
      <c r="H118" s="288"/>
      <c r="I118" s="288"/>
      <c r="J118" s="288"/>
      <c r="K118" s="288"/>
      <c r="L118" s="288"/>
      <c r="M118" s="288"/>
      <c r="N118" s="288"/>
      <c r="O118" s="288"/>
      <c r="P118" s="288"/>
      <c r="Q118" s="288"/>
      <c r="R118" s="288"/>
      <c r="S118" s="288"/>
      <c r="T118" s="288"/>
      <c r="U118" s="288"/>
      <c r="V118" s="338">
        <v>0</v>
      </c>
      <c r="W118" s="291"/>
      <c r="X118" s="5"/>
    </row>
    <row r="119" spans="1:24" ht="15.6" x14ac:dyDescent="0.3">
      <c r="A119" s="340">
        <f t="shared" si="0"/>
        <v>13</v>
      </c>
      <c r="B119" s="288" t="s">
        <v>149</v>
      </c>
      <c r="C119" s="288"/>
      <c r="D119" s="288"/>
      <c r="E119" s="288"/>
      <c r="F119" s="288"/>
      <c r="G119" s="288"/>
      <c r="H119" s="288"/>
      <c r="I119" s="288"/>
      <c r="J119" s="288"/>
      <c r="K119" s="288"/>
      <c r="L119" s="288"/>
      <c r="M119" s="288"/>
      <c r="N119" s="288"/>
      <c r="O119" s="288"/>
      <c r="P119" s="288"/>
      <c r="Q119" s="288"/>
      <c r="R119" s="288"/>
      <c r="S119" s="288"/>
      <c r="T119" s="288"/>
      <c r="U119" s="288"/>
      <c r="V119" s="338">
        <v>-577</v>
      </c>
      <c r="W119" s="291"/>
      <c r="X119" s="5"/>
    </row>
    <row r="120" spans="1:24" ht="15.6" x14ac:dyDescent="0.3">
      <c r="A120" s="340">
        <f t="shared" si="0"/>
        <v>14</v>
      </c>
      <c r="B120" s="288" t="s">
        <v>126</v>
      </c>
      <c r="C120" s="288"/>
      <c r="D120" s="288"/>
      <c r="E120" s="288"/>
      <c r="F120" s="288"/>
      <c r="G120" s="288"/>
      <c r="H120" s="288"/>
      <c r="I120" s="288"/>
      <c r="J120" s="288"/>
      <c r="K120" s="288"/>
      <c r="L120" s="288"/>
      <c r="M120" s="288"/>
      <c r="N120" s="288"/>
      <c r="O120" s="288"/>
      <c r="P120" s="288"/>
      <c r="Q120" s="288"/>
      <c r="R120" s="288"/>
      <c r="S120" s="288"/>
      <c r="T120" s="288"/>
      <c r="U120" s="288"/>
      <c r="V120" s="338">
        <f>-V100-SUM(V102:V119)</f>
        <v>-2909</v>
      </c>
      <c r="W120" s="291"/>
      <c r="X120" s="5"/>
    </row>
    <row r="121" spans="1:24" ht="15.6" x14ac:dyDescent="0.3">
      <c r="A121" s="287"/>
      <c r="B121" s="343" t="s">
        <v>37</v>
      </c>
      <c r="C121" s="314"/>
      <c r="D121" s="314"/>
      <c r="E121" s="314"/>
      <c r="F121" s="314"/>
      <c r="G121" s="314"/>
      <c r="H121" s="314"/>
      <c r="I121" s="314"/>
      <c r="J121" s="314"/>
      <c r="K121" s="314"/>
      <c r="L121" s="314"/>
      <c r="M121" s="314"/>
      <c r="N121" s="314"/>
      <c r="O121" s="314"/>
      <c r="P121" s="314"/>
      <c r="Q121" s="314"/>
      <c r="R121" s="314"/>
      <c r="S121" s="314"/>
      <c r="T121" s="314"/>
      <c r="U121" s="314"/>
      <c r="V121" s="346"/>
      <c r="W121" s="318"/>
      <c r="X121" s="5"/>
    </row>
    <row r="122" spans="1:24" ht="15.6" x14ac:dyDescent="0.3">
      <c r="A122" s="340"/>
      <c r="B122" s="288" t="s">
        <v>173</v>
      </c>
      <c r="C122" s="288"/>
      <c r="D122" s="288"/>
      <c r="E122" s="288"/>
      <c r="F122" s="288"/>
      <c r="G122" s="288"/>
      <c r="H122" s="288"/>
      <c r="I122" s="288"/>
      <c r="J122" s="288"/>
      <c r="K122" s="288"/>
      <c r="L122" s="288"/>
      <c r="M122" s="288"/>
      <c r="N122" s="288"/>
      <c r="O122" s="288"/>
      <c r="P122" s="288"/>
      <c r="Q122" s="288"/>
      <c r="R122" s="288"/>
      <c r="S122" s="288"/>
      <c r="T122" s="337">
        <f>-T188</f>
        <v>0</v>
      </c>
      <c r="U122" s="337"/>
      <c r="V122" s="338"/>
      <c r="W122" s="291"/>
      <c r="X122" s="5"/>
    </row>
    <row r="123" spans="1:24" ht="15.6" x14ac:dyDescent="0.3">
      <c r="A123" s="340"/>
      <c r="B123" s="288" t="s">
        <v>174</v>
      </c>
      <c r="C123" s="288"/>
      <c r="D123" s="288"/>
      <c r="E123" s="288"/>
      <c r="F123" s="288"/>
      <c r="G123" s="288"/>
      <c r="H123" s="288"/>
      <c r="I123" s="288"/>
      <c r="J123" s="288"/>
      <c r="K123" s="288"/>
      <c r="L123" s="288"/>
      <c r="M123" s="288"/>
      <c r="N123" s="288"/>
      <c r="O123" s="288"/>
      <c r="P123" s="288"/>
      <c r="Q123" s="288"/>
      <c r="R123" s="288"/>
      <c r="S123" s="288"/>
      <c r="T123" s="337">
        <v>0</v>
      </c>
      <c r="U123" s="337"/>
      <c r="V123" s="338"/>
      <c r="W123" s="291"/>
      <c r="X123" s="5"/>
    </row>
    <row r="124" spans="1:24" ht="15.6" x14ac:dyDescent="0.3">
      <c r="A124" s="340"/>
      <c r="B124" s="288" t="s">
        <v>38</v>
      </c>
      <c r="C124" s="288"/>
      <c r="D124" s="288"/>
      <c r="E124" s="288"/>
      <c r="F124" s="288"/>
      <c r="G124" s="288"/>
      <c r="H124" s="288"/>
      <c r="I124" s="288"/>
      <c r="J124" s="288"/>
      <c r="K124" s="288"/>
      <c r="L124" s="288"/>
      <c r="M124" s="288"/>
      <c r="N124" s="288"/>
      <c r="O124" s="288"/>
      <c r="P124" s="288"/>
      <c r="Q124" s="288"/>
      <c r="R124" s="288"/>
      <c r="S124" s="288"/>
      <c r="T124" s="337">
        <f>-S188</f>
        <v>-133</v>
      </c>
      <c r="U124" s="337"/>
      <c r="V124" s="338"/>
      <c r="W124" s="291"/>
      <c r="X124" s="5"/>
    </row>
    <row r="125" spans="1:24" ht="15.6" x14ac:dyDescent="0.3">
      <c r="A125" s="340"/>
      <c r="B125" s="288" t="s">
        <v>388</v>
      </c>
      <c r="C125" s="288"/>
      <c r="D125" s="288"/>
      <c r="E125" s="288"/>
      <c r="F125" s="288"/>
      <c r="G125" s="288"/>
      <c r="H125" s="288"/>
      <c r="I125" s="288"/>
      <c r="J125" s="288"/>
      <c r="K125" s="288"/>
      <c r="L125" s="288"/>
      <c r="M125" s="288"/>
      <c r="N125" s="288"/>
      <c r="O125" s="288"/>
      <c r="P125" s="288"/>
      <c r="Q125" s="288"/>
      <c r="R125" s="288"/>
      <c r="S125" s="288"/>
      <c r="T125" s="337">
        <v>-8652</v>
      </c>
      <c r="U125" s="337"/>
      <c r="V125" s="338"/>
      <c r="W125" s="291"/>
      <c r="X125" s="5"/>
    </row>
    <row r="126" spans="1:24" ht="15.6" x14ac:dyDescent="0.3">
      <c r="A126" s="340"/>
      <c r="B126" s="288" t="s">
        <v>195</v>
      </c>
      <c r="C126" s="288"/>
      <c r="D126" s="288"/>
      <c r="E126" s="288"/>
      <c r="F126" s="288"/>
      <c r="G126" s="288"/>
      <c r="H126" s="288"/>
      <c r="I126" s="288"/>
      <c r="J126" s="288"/>
      <c r="K126" s="288"/>
      <c r="L126" s="288"/>
      <c r="M126" s="288"/>
      <c r="N126" s="288"/>
      <c r="O126" s="288"/>
      <c r="P126" s="288"/>
      <c r="Q126" s="288"/>
      <c r="R126" s="288"/>
      <c r="S126" s="288"/>
      <c r="T126" s="337">
        <v>-1395</v>
      </c>
      <c r="U126" s="337"/>
      <c r="V126" s="338"/>
      <c r="W126" s="291"/>
      <c r="X126" s="5"/>
    </row>
    <row r="127" spans="1:24" ht="15.6" x14ac:dyDescent="0.3">
      <c r="A127" s="340"/>
      <c r="B127" s="288" t="s">
        <v>194</v>
      </c>
      <c r="C127" s="288"/>
      <c r="D127" s="288"/>
      <c r="E127" s="288"/>
      <c r="F127" s="288"/>
      <c r="G127" s="288"/>
      <c r="H127" s="288"/>
      <c r="I127" s="288"/>
      <c r="J127" s="288"/>
      <c r="K127" s="288"/>
      <c r="L127" s="288"/>
      <c r="M127" s="288"/>
      <c r="N127" s="288"/>
      <c r="O127" s="288"/>
      <c r="P127" s="288"/>
      <c r="Q127" s="288"/>
      <c r="R127" s="288"/>
      <c r="S127" s="288"/>
      <c r="T127" s="337">
        <v>-1877</v>
      </c>
      <c r="U127" s="337"/>
      <c r="V127" s="338"/>
      <c r="W127" s="291"/>
      <c r="X127" s="5"/>
    </row>
    <row r="128" spans="1:24" ht="15.6" x14ac:dyDescent="0.3">
      <c r="A128" s="340"/>
      <c r="B128" s="288" t="s">
        <v>226</v>
      </c>
      <c r="C128" s="288"/>
      <c r="D128" s="288"/>
      <c r="E128" s="288"/>
      <c r="F128" s="288"/>
      <c r="G128" s="288"/>
      <c r="H128" s="288"/>
      <c r="I128" s="288"/>
      <c r="J128" s="288"/>
      <c r="K128" s="288"/>
      <c r="L128" s="288"/>
      <c r="M128" s="288"/>
      <c r="N128" s="288"/>
      <c r="O128" s="288"/>
      <c r="P128" s="288"/>
      <c r="Q128" s="288"/>
      <c r="R128" s="288"/>
      <c r="S128" s="288"/>
      <c r="T128" s="337">
        <v>-2307</v>
      </c>
      <c r="U128" s="337"/>
      <c r="V128" s="338"/>
      <c r="W128" s="291"/>
      <c r="X128" s="5"/>
    </row>
    <row r="129" spans="1:24" ht="15.6" x14ac:dyDescent="0.3">
      <c r="A129" s="340"/>
      <c r="B129" s="288" t="s">
        <v>189</v>
      </c>
      <c r="C129" s="288"/>
      <c r="D129" s="288"/>
      <c r="E129" s="288"/>
      <c r="F129" s="288"/>
      <c r="G129" s="288"/>
      <c r="H129" s="288"/>
      <c r="I129" s="288"/>
      <c r="J129" s="288"/>
      <c r="K129" s="288"/>
      <c r="L129" s="288"/>
      <c r="M129" s="288"/>
      <c r="N129" s="288"/>
      <c r="O129" s="288"/>
      <c r="P129" s="288"/>
      <c r="Q129" s="288"/>
      <c r="R129" s="288"/>
      <c r="S129" s="288"/>
      <c r="T129" s="337">
        <v>0</v>
      </c>
      <c r="U129" s="337"/>
      <c r="V129" s="338"/>
      <c r="W129" s="291"/>
      <c r="X129" s="5"/>
    </row>
    <row r="130" spans="1:24" ht="15.6" x14ac:dyDescent="0.3">
      <c r="A130" s="340"/>
      <c r="B130" s="288" t="s">
        <v>188</v>
      </c>
      <c r="C130" s="288"/>
      <c r="D130" s="288"/>
      <c r="E130" s="288"/>
      <c r="F130" s="288"/>
      <c r="G130" s="288"/>
      <c r="H130" s="288"/>
      <c r="I130" s="288"/>
      <c r="J130" s="288"/>
      <c r="K130" s="288"/>
      <c r="L130" s="288"/>
      <c r="M130" s="288"/>
      <c r="N130" s="288"/>
      <c r="O130" s="288"/>
      <c r="P130" s="288"/>
      <c r="Q130" s="288"/>
      <c r="R130" s="288"/>
      <c r="S130" s="288"/>
      <c r="T130" s="337">
        <v>0</v>
      </c>
      <c r="U130" s="337"/>
      <c r="V130" s="338"/>
      <c r="W130" s="291"/>
      <c r="X130" s="5"/>
    </row>
    <row r="131" spans="1:24" ht="15.6" x14ac:dyDescent="0.3">
      <c r="A131" s="340"/>
      <c r="B131" s="288" t="s">
        <v>227</v>
      </c>
      <c r="C131" s="288"/>
      <c r="D131" s="288"/>
      <c r="E131" s="288"/>
      <c r="F131" s="288"/>
      <c r="G131" s="288"/>
      <c r="H131" s="288"/>
      <c r="I131" s="288"/>
      <c r="J131" s="288"/>
      <c r="K131" s="288"/>
      <c r="L131" s="288"/>
      <c r="M131" s="288"/>
      <c r="N131" s="288"/>
      <c r="O131" s="288"/>
      <c r="P131" s="288"/>
      <c r="Q131" s="288"/>
      <c r="R131" s="288"/>
      <c r="S131" s="288"/>
      <c r="T131" s="337">
        <v>0</v>
      </c>
      <c r="U131" s="337"/>
      <c r="V131" s="338"/>
      <c r="W131" s="291"/>
      <c r="X131" s="5"/>
    </row>
    <row r="132" spans="1:24" ht="15.6" x14ac:dyDescent="0.3">
      <c r="A132" s="340"/>
      <c r="B132" s="288" t="s">
        <v>187</v>
      </c>
      <c r="C132" s="288"/>
      <c r="D132" s="288"/>
      <c r="E132" s="288"/>
      <c r="F132" s="288"/>
      <c r="G132" s="288"/>
      <c r="H132" s="288"/>
      <c r="I132" s="288"/>
      <c r="J132" s="288"/>
      <c r="K132" s="288"/>
      <c r="L132" s="288"/>
      <c r="M132" s="288"/>
      <c r="N132" s="288"/>
      <c r="O132" s="288"/>
      <c r="P132" s="288"/>
      <c r="Q132" s="288"/>
      <c r="R132" s="288"/>
      <c r="S132" s="288"/>
      <c r="T132" s="337">
        <v>0</v>
      </c>
      <c r="U132" s="337"/>
      <c r="V132" s="338"/>
      <c r="W132" s="291"/>
      <c r="X132" s="5"/>
    </row>
    <row r="133" spans="1:24" ht="15.6" x14ac:dyDescent="0.3">
      <c r="A133" s="340"/>
      <c r="B133" s="288" t="s">
        <v>39</v>
      </c>
      <c r="C133" s="288"/>
      <c r="D133" s="288"/>
      <c r="E133" s="288"/>
      <c r="F133" s="288"/>
      <c r="G133" s="288"/>
      <c r="H133" s="288"/>
      <c r="I133" s="288"/>
      <c r="J133" s="288"/>
      <c r="K133" s="288"/>
      <c r="L133" s="288"/>
      <c r="M133" s="288"/>
      <c r="N133" s="288"/>
      <c r="O133" s="288"/>
      <c r="P133" s="288"/>
      <c r="Q133" s="288"/>
      <c r="R133" s="288"/>
      <c r="S133" s="288"/>
      <c r="T133" s="337">
        <f>SUM(T122:T132)</f>
        <v>-14364</v>
      </c>
      <c r="U133" s="337"/>
      <c r="V133" s="337">
        <f>SUM(V101:V130)</f>
        <v>-5345</v>
      </c>
      <c r="W133" s="291"/>
      <c r="X133" s="5"/>
    </row>
    <row r="134" spans="1:24" ht="15.6" x14ac:dyDescent="0.3">
      <c r="A134" s="340"/>
      <c r="B134" s="288" t="s">
        <v>40</v>
      </c>
      <c r="C134" s="288"/>
      <c r="D134" s="288"/>
      <c r="E134" s="288"/>
      <c r="F134" s="288"/>
      <c r="G134" s="288"/>
      <c r="H134" s="288"/>
      <c r="I134" s="288"/>
      <c r="J134" s="288"/>
      <c r="K134" s="288"/>
      <c r="L134" s="288"/>
      <c r="M134" s="288"/>
      <c r="N134" s="288"/>
      <c r="O134" s="288"/>
      <c r="P134" s="288"/>
      <c r="Q134" s="288"/>
      <c r="R134" s="288"/>
      <c r="S134" s="288"/>
      <c r="T134" s="337">
        <f>T100+T133+T114</f>
        <v>0</v>
      </c>
      <c r="U134" s="337"/>
      <c r="V134" s="337">
        <f>V100+V133</f>
        <v>0</v>
      </c>
      <c r="W134" s="291"/>
      <c r="X134" s="5"/>
    </row>
    <row r="135" spans="1:24" ht="15.6" x14ac:dyDescent="0.3">
      <c r="A135" s="243"/>
      <c r="B135" s="284"/>
      <c r="C135" s="284"/>
      <c r="D135" s="284"/>
      <c r="E135" s="284"/>
      <c r="F135" s="284"/>
      <c r="G135" s="284"/>
      <c r="H135" s="284"/>
      <c r="I135" s="284"/>
      <c r="J135" s="284"/>
      <c r="K135" s="284"/>
      <c r="L135" s="284"/>
      <c r="M135" s="284"/>
      <c r="N135" s="284"/>
      <c r="O135" s="284"/>
      <c r="P135" s="284"/>
      <c r="Q135" s="284"/>
      <c r="R135" s="284"/>
      <c r="S135" s="284"/>
      <c r="T135" s="339"/>
      <c r="U135" s="339"/>
      <c r="V135" s="339"/>
      <c r="W135" s="284"/>
      <c r="X135" s="5"/>
    </row>
    <row r="136" spans="1:24" ht="15.6" x14ac:dyDescent="0.3">
      <c r="A136" s="243"/>
      <c r="B136" s="224"/>
      <c r="C136" s="224"/>
      <c r="D136" s="224"/>
      <c r="E136" s="224"/>
      <c r="F136" s="224"/>
      <c r="G136" s="224"/>
      <c r="H136" s="224"/>
      <c r="I136" s="224"/>
      <c r="J136" s="224"/>
      <c r="K136" s="224"/>
      <c r="L136" s="224"/>
      <c r="M136" s="224"/>
      <c r="N136" s="224"/>
      <c r="O136" s="224"/>
      <c r="P136" s="224"/>
      <c r="Q136" s="224"/>
      <c r="R136" s="224"/>
      <c r="S136" s="224"/>
      <c r="T136" s="224"/>
      <c r="U136" s="224"/>
      <c r="V136" s="244"/>
      <c r="W136" s="224"/>
      <c r="X136" s="5"/>
    </row>
    <row r="137" spans="1:24" ht="18" thickBot="1" x14ac:dyDescent="0.35">
      <c r="A137" s="245"/>
      <c r="B137" s="237" t="str">
        <f>B63</f>
        <v>PM14 INVESTOR REPORT QUARTER ENDING MAY 2017</v>
      </c>
      <c r="C137" s="238"/>
      <c r="D137" s="238"/>
      <c r="E137" s="238"/>
      <c r="F137" s="238"/>
      <c r="G137" s="238"/>
      <c r="H137" s="238"/>
      <c r="I137" s="238"/>
      <c r="J137" s="238"/>
      <c r="K137" s="238"/>
      <c r="L137" s="238"/>
      <c r="M137" s="238"/>
      <c r="N137" s="238"/>
      <c r="O137" s="238"/>
      <c r="P137" s="238"/>
      <c r="Q137" s="238"/>
      <c r="R137" s="238"/>
      <c r="S137" s="238"/>
      <c r="T137" s="238"/>
      <c r="U137" s="238"/>
      <c r="V137" s="246"/>
      <c r="W137" s="240"/>
      <c r="X137" s="5"/>
    </row>
    <row r="138" spans="1:24" ht="15.6" x14ac:dyDescent="0.3">
      <c r="A138" s="273"/>
      <c r="B138" s="403" t="s">
        <v>41</v>
      </c>
      <c r="C138" s="274"/>
      <c r="D138" s="274"/>
      <c r="E138" s="274"/>
      <c r="F138" s="274"/>
      <c r="G138" s="274"/>
      <c r="H138" s="274"/>
      <c r="I138" s="274"/>
      <c r="J138" s="274"/>
      <c r="K138" s="274"/>
      <c r="L138" s="274"/>
      <c r="M138" s="274"/>
      <c r="N138" s="274"/>
      <c r="O138" s="274"/>
      <c r="P138" s="274"/>
      <c r="Q138" s="274"/>
      <c r="R138" s="274"/>
      <c r="S138" s="274"/>
      <c r="T138" s="274"/>
      <c r="U138" s="274"/>
      <c r="V138" s="275"/>
      <c r="W138" s="274"/>
      <c r="X138" s="5"/>
    </row>
    <row r="139" spans="1:24" ht="15.6" x14ac:dyDescent="0.3">
      <c r="A139" s="183"/>
      <c r="B139" s="195"/>
      <c r="C139" s="185"/>
      <c r="D139" s="185"/>
      <c r="E139" s="185"/>
      <c r="F139" s="185"/>
      <c r="G139" s="185"/>
      <c r="H139" s="185"/>
      <c r="I139" s="185"/>
      <c r="J139" s="185"/>
      <c r="K139" s="185"/>
      <c r="L139" s="185"/>
      <c r="M139" s="185"/>
      <c r="N139" s="185"/>
      <c r="O139" s="185"/>
      <c r="P139" s="185"/>
      <c r="Q139" s="185"/>
      <c r="R139" s="185"/>
      <c r="S139" s="185"/>
      <c r="T139" s="185"/>
      <c r="U139" s="185"/>
      <c r="V139" s="201"/>
      <c r="W139" s="185"/>
      <c r="X139" s="5"/>
    </row>
    <row r="140" spans="1:24" ht="15.6" x14ac:dyDescent="0.3">
      <c r="A140" s="183"/>
      <c r="B140" s="208" t="s">
        <v>42</v>
      </c>
      <c r="C140" s="185"/>
      <c r="D140" s="185"/>
      <c r="E140" s="185"/>
      <c r="F140" s="185"/>
      <c r="G140" s="185"/>
      <c r="H140" s="185"/>
      <c r="I140" s="185"/>
      <c r="J140" s="185"/>
      <c r="K140" s="185"/>
      <c r="L140" s="185"/>
      <c r="M140" s="185"/>
      <c r="N140" s="185"/>
      <c r="O140" s="185"/>
      <c r="P140" s="185"/>
      <c r="Q140" s="185"/>
      <c r="R140" s="185"/>
      <c r="S140" s="185"/>
      <c r="T140" s="185"/>
      <c r="U140" s="185"/>
      <c r="V140" s="201"/>
      <c r="W140" s="185"/>
      <c r="X140" s="5"/>
    </row>
    <row r="141" spans="1:24" ht="15.6" x14ac:dyDescent="0.3">
      <c r="A141" s="287"/>
      <c r="B141" s="288" t="s">
        <v>43</v>
      </c>
      <c r="C141" s="288"/>
      <c r="D141" s="288"/>
      <c r="E141" s="288"/>
      <c r="F141" s="288"/>
      <c r="G141" s="288"/>
      <c r="H141" s="288"/>
      <c r="I141" s="288"/>
      <c r="J141" s="288"/>
      <c r="K141" s="288"/>
      <c r="L141" s="288"/>
      <c r="M141" s="288"/>
      <c r="N141" s="288"/>
      <c r="O141" s="288"/>
      <c r="P141" s="288"/>
      <c r="Q141" s="288"/>
      <c r="R141" s="288"/>
      <c r="S141" s="288"/>
      <c r="T141" s="288"/>
      <c r="U141" s="288"/>
      <c r="V141" s="338">
        <f>+V34*0.019</f>
        <v>28505.224999999999</v>
      </c>
      <c r="W141" s="291"/>
      <c r="X141" s="5"/>
    </row>
    <row r="142" spans="1:24" ht="15.6" x14ac:dyDescent="0.3">
      <c r="A142" s="287"/>
      <c r="B142" s="288" t="s">
        <v>44</v>
      </c>
      <c r="C142" s="288"/>
      <c r="D142" s="288"/>
      <c r="E142" s="288"/>
      <c r="F142" s="288"/>
      <c r="G142" s="288"/>
      <c r="H142" s="288"/>
      <c r="I142" s="288"/>
      <c r="J142" s="288"/>
      <c r="K142" s="288"/>
      <c r="L142" s="288"/>
      <c r="M142" s="288"/>
      <c r="N142" s="288"/>
      <c r="O142" s="288"/>
      <c r="P142" s="288"/>
      <c r="Q142" s="288"/>
      <c r="R142" s="288"/>
      <c r="S142" s="288"/>
      <c r="T142" s="288"/>
      <c r="U142" s="288"/>
      <c r="V142" s="338">
        <v>28505</v>
      </c>
      <c r="W142" s="291"/>
      <c r="X142" s="5"/>
    </row>
    <row r="143" spans="1:24" ht="15.6" x14ac:dyDescent="0.3">
      <c r="A143" s="287"/>
      <c r="B143" s="288" t="s">
        <v>136</v>
      </c>
      <c r="C143" s="288"/>
      <c r="D143" s="288"/>
      <c r="E143" s="288"/>
      <c r="F143" s="288"/>
      <c r="G143" s="288"/>
      <c r="H143" s="288"/>
      <c r="I143" s="288"/>
      <c r="J143" s="288"/>
      <c r="K143" s="288"/>
      <c r="L143" s="288"/>
      <c r="M143" s="288"/>
      <c r="N143" s="288"/>
      <c r="O143" s="288"/>
      <c r="P143" s="288"/>
      <c r="Q143" s="288"/>
      <c r="R143" s="288"/>
      <c r="S143" s="288"/>
      <c r="T143" s="288"/>
      <c r="U143" s="288"/>
      <c r="V143" s="338"/>
      <c r="W143" s="291"/>
      <c r="X143" s="5"/>
    </row>
    <row r="144" spans="1:24" ht="15.6" x14ac:dyDescent="0.3">
      <c r="A144" s="287"/>
      <c r="B144" s="288" t="s">
        <v>123</v>
      </c>
      <c r="C144" s="288"/>
      <c r="D144" s="288"/>
      <c r="E144" s="288"/>
      <c r="F144" s="288"/>
      <c r="G144" s="288"/>
      <c r="H144" s="288"/>
      <c r="I144" s="288"/>
      <c r="J144" s="288"/>
      <c r="K144" s="288"/>
      <c r="L144" s="288"/>
      <c r="M144" s="288"/>
      <c r="N144" s="288"/>
      <c r="O144" s="288"/>
      <c r="P144" s="288"/>
      <c r="Q144" s="288"/>
      <c r="R144" s="288"/>
      <c r="S144" s="288"/>
      <c r="T144" s="288"/>
      <c r="U144" s="288"/>
      <c r="V144" s="338">
        <v>0</v>
      </c>
      <c r="W144" s="291"/>
      <c r="X144" s="5"/>
    </row>
    <row r="145" spans="1:25" ht="15.6" x14ac:dyDescent="0.3">
      <c r="A145" s="287"/>
      <c r="B145" s="288" t="s">
        <v>124</v>
      </c>
      <c r="C145" s="288"/>
      <c r="D145" s="288"/>
      <c r="E145" s="288"/>
      <c r="F145" s="288"/>
      <c r="G145" s="288"/>
      <c r="H145" s="288"/>
      <c r="I145" s="288"/>
      <c r="J145" s="288"/>
      <c r="K145" s="288"/>
      <c r="L145" s="288"/>
      <c r="M145" s="288"/>
      <c r="N145" s="288"/>
      <c r="O145" s="288"/>
      <c r="P145" s="288"/>
      <c r="Q145" s="288"/>
      <c r="R145" s="288"/>
      <c r="S145" s="288"/>
      <c r="T145" s="288"/>
      <c r="U145" s="288"/>
      <c r="V145" s="338">
        <v>0</v>
      </c>
      <c r="W145" s="291"/>
      <c r="X145" s="5"/>
    </row>
    <row r="146" spans="1:25" ht="15.6" x14ac:dyDescent="0.3">
      <c r="A146" s="287"/>
      <c r="B146" s="288" t="s">
        <v>175</v>
      </c>
      <c r="C146" s="288"/>
      <c r="D146" s="288"/>
      <c r="E146" s="288"/>
      <c r="F146" s="288"/>
      <c r="G146" s="288"/>
      <c r="H146" s="288"/>
      <c r="I146" s="288"/>
      <c r="J146" s="288"/>
      <c r="K146" s="288"/>
      <c r="L146" s="288"/>
      <c r="M146" s="288"/>
      <c r="N146" s="288"/>
      <c r="O146" s="288"/>
      <c r="P146" s="288"/>
      <c r="Q146" s="288"/>
      <c r="R146" s="288"/>
      <c r="S146" s="288"/>
      <c r="T146" s="288"/>
      <c r="U146" s="288"/>
      <c r="V146" s="338">
        <v>0</v>
      </c>
      <c r="W146" s="291"/>
      <c r="X146" s="5"/>
    </row>
    <row r="147" spans="1:25" ht="15.6" x14ac:dyDescent="0.3">
      <c r="A147" s="287"/>
      <c r="B147" s="288" t="s">
        <v>45</v>
      </c>
      <c r="C147" s="288"/>
      <c r="D147" s="288"/>
      <c r="E147" s="288"/>
      <c r="F147" s="288"/>
      <c r="G147" s="288"/>
      <c r="H147" s="288"/>
      <c r="I147" s="288"/>
      <c r="J147" s="288"/>
      <c r="K147" s="288"/>
      <c r="L147" s="288"/>
      <c r="M147" s="288"/>
      <c r="N147" s="288"/>
      <c r="O147" s="288"/>
      <c r="P147" s="288"/>
      <c r="Q147" s="288"/>
      <c r="R147" s="288"/>
      <c r="S147" s="288"/>
      <c r="T147" s="288"/>
      <c r="U147" s="288"/>
      <c r="V147" s="338">
        <v>0</v>
      </c>
      <c r="W147" s="291"/>
      <c r="X147" s="5"/>
    </row>
    <row r="148" spans="1:25" ht="15.6" x14ac:dyDescent="0.3">
      <c r="A148" s="287"/>
      <c r="B148" s="288" t="s">
        <v>129</v>
      </c>
      <c r="C148" s="288"/>
      <c r="D148" s="288"/>
      <c r="E148" s="288"/>
      <c r="F148" s="288"/>
      <c r="G148" s="288"/>
      <c r="H148" s="288"/>
      <c r="I148" s="288"/>
      <c r="J148" s="288"/>
      <c r="K148" s="288"/>
      <c r="L148" s="288"/>
      <c r="M148" s="288"/>
      <c r="N148" s="288"/>
      <c r="O148" s="288"/>
      <c r="P148" s="288"/>
      <c r="Q148" s="288"/>
      <c r="R148" s="288"/>
      <c r="S148" s="288"/>
      <c r="T148" s="288"/>
      <c r="U148" s="288"/>
      <c r="V148" s="338">
        <v>0</v>
      </c>
      <c r="W148" s="291"/>
      <c r="X148" s="5"/>
    </row>
    <row r="149" spans="1:25" ht="15.6" x14ac:dyDescent="0.3">
      <c r="A149" s="287"/>
      <c r="B149" s="288" t="s">
        <v>267</v>
      </c>
      <c r="C149" s="288"/>
      <c r="D149" s="288"/>
      <c r="E149" s="288"/>
      <c r="F149" s="288"/>
      <c r="G149" s="288"/>
      <c r="H149" s="288"/>
      <c r="I149" s="288"/>
      <c r="J149" s="288"/>
      <c r="K149" s="288"/>
      <c r="L149" s="288"/>
      <c r="M149" s="288"/>
      <c r="N149" s="288"/>
      <c r="O149" s="288"/>
      <c r="P149" s="288"/>
      <c r="Q149" s="288"/>
      <c r="R149" s="288"/>
      <c r="S149" s="288"/>
      <c r="T149" s="288"/>
      <c r="U149" s="288"/>
      <c r="V149" s="338">
        <v>0</v>
      </c>
      <c r="W149" s="291"/>
      <c r="X149" s="5"/>
      <c r="Y149" s="109"/>
    </row>
    <row r="150" spans="1:25" ht="15.6" x14ac:dyDescent="0.3">
      <c r="A150" s="287"/>
      <c r="B150" s="288" t="s">
        <v>46</v>
      </c>
      <c r="C150" s="288"/>
      <c r="D150" s="288"/>
      <c r="E150" s="288"/>
      <c r="F150" s="288"/>
      <c r="G150" s="288"/>
      <c r="H150" s="288"/>
      <c r="I150" s="288"/>
      <c r="J150" s="288"/>
      <c r="K150" s="288"/>
      <c r="L150" s="288"/>
      <c r="M150" s="288"/>
      <c r="N150" s="288"/>
      <c r="O150" s="288"/>
      <c r="P150" s="288"/>
      <c r="Q150" s="288"/>
      <c r="R150" s="288"/>
      <c r="S150" s="288"/>
      <c r="T150" s="288"/>
      <c r="U150" s="288"/>
      <c r="V150" s="338">
        <f>SUM(V142:V149)</f>
        <v>28505</v>
      </c>
      <c r="W150" s="291"/>
      <c r="X150" s="5"/>
    </row>
    <row r="151" spans="1:25" ht="15.6" x14ac:dyDescent="0.3">
      <c r="A151" s="287"/>
      <c r="B151" s="314"/>
      <c r="C151" s="314"/>
      <c r="D151" s="314"/>
      <c r="E151" s="314"/>
      <c r="F151" s="314"/>
      <c r="G151" s="314"/>
      <c r="H151" s="314"/>
      <c r="I151" s="314"/>
      <c r="J151" s="314"/>
      <c r="K151" s="314"/>
      <c r="L151" s="314"/>
      <c r="M151" s="314"/>
      <c r="N151" s="314"/>
      <c r="O151" s="314"/>
      <c r="P151" s="314"/>
      <c r="Q151" s="314"/>
      <c r="R151" s="314"/>
      <c r="S151" s="314"/>
      <c r="T151" s="314"/>
      <c r="U151" s="314"/>
      <c r="V151" s="345"/>
      <c r="W151" s="318"/>
      <c r="X151" s="5"/>
    </row>
    <row r="152" spans="1:25" ht="15.6" x14ac:dyDescent="0.3">
      <c r="A152" s="287"/>
      <c r="B152" s="343" t="s">
        <v>237</v>
      </c>
      <c r="C152" s="314"/>
      <c r="D152" s="314"/>
      <c r="E152" s="314"/>
      <c r="F152" s="314"/>
      <c r="G152" s="314"/>
      <c r="H152" s="314"/>
      <c r="I152" s="314"/>
      <c r="J152" s="314"/>
      <c r="K152" s="314"/>
      <c r="L152" s="314"/>
      <c r="M152" s="314"/>
      <c r="N152" s="314"/>
      <c r="O152" s="314"/>
      <c r="P152" s="314"/>
      <c r="Q152" s="314"/>
      <c r="R152" s="314"/>
      <c r="S152" s="314"/>
      <c r="T152" s="314"/>
      <c r="U152" s="314"/>
      <c r="V152" s="345"/>
      <c r="W152" s="318"/>
      <c r="X152" s="5"/>
    </row>
    <row r="153" spans="1:25" ht="15.6" x14ac:dyDescent="0.3">
      <c r="A153" s="287"/>
      <c r="B153" s="288" t="s">
        <v>155</v>
      </c>
      <c r="C153" s="288"/>
      <c r="D153" s="288"/>
      <c r="E153" s="288"/>
      <c r="F153" s="288"/>
      <c r="G153" s="288"/>
      <c r="H153" s="288"/>
      <c r="I153" s="288"/>
      <c r="J153" s="288"/>
      <c r="K153" s="288"/>
      <c r="L153" s="288"/>
      <c r="M153" s="288"/>
      <c r="N153" s="288"/>
      <c r="O153" s="288"/>
      <c r="P153" s="288"/>
      <c r="Q153" s="288"/>
      <c r="R153" s="288"/>
      <c r="S153" s="288"/>
      <c r="T153" s="288"/>
      <c r="U153" s="288"/>
      <c r="V153" s="338">
        <v>7500</v>
      </c>
      <c r="W153" s="291"/>
      <c r="X153" s="5"/>
    </row>
    <row r="154" spans="1:25" ht="15.6" x14ac:dyDescent="0.3">
      <c r="A154" s="287"/>
      <c r="B154" s="288" t="s">
        <v>172</v>
      </c>
      <c r="C154" s="288"/>
      <c r="D154" s="288"/>
      <c r="E154" s="288"/>
      <c r="F154" s="288"/>
      <c r="G154" s="288"/>
      <c r="H154" s="288"/>
      <c r="I154" s="288"/>
      <c r="J154" s="288"/>
      <c r="K154" s="288"/>
      <c r="L154" s="288"/>
      <c r="M154" s="288"/>
      <c r="N154" s="288"/>
      <c r="O154" s="288"/>
      <c r="P154" s="288"/>
      <c r="Q154" s="288"/>
      <c r="R154" s="288"/>
      <c r="S154" s="288"/>
      <c r="T154" s="288"/>
      <c r="U154" s="288"/>
      <c r="V154" s="338">
        <v>0</v>
      </c>
      <c r="W154" s="291"/>
      <c r="X154" s="5"/>
    </row>
    <row r="155" spans="1:25" ht="15.6" x14ac:dyDescent="0.3">
      <c r="A155" s="287"/>
      <c r="B155" s="288" t="s">
        <v>344</v>
      </c>
      <c r="C155" s="288"/>
      <c r="D155" s="288"/>
      <c r="E155" s="288"/>
      <c r="F155" s="288"/>
      <c r="G155" s="288"/>
      <c r="H155" s="288"/>
      <c r="I155" s="288"/>
      <c r="J155" s="288"/>
      <c r="K155" s="288"/>
      <c r="L155" s="288"/>
      <c r="M155" s="288"/>
      <c r="N155" s="288"/>
      <c r="O155" s="288"/>
      <c r="P155" s="288"/>
      <c r="Q155" s="288"/>
      <c r="R155" s="288"/>
      <c r="S155" s="288"/>
      <c r="T155" s="288"/>
      <c r="U155" s="288"/>
      <c r="V155" s="338">
        <v>0</v>
      </c>
      <c r="W155" s="291"/>
      <c r="X155" s="5"/>
    </row>
    <row r="156" spans="1:25" ht="15.6" x14ac:dyDescent="0.3">
      <c r="A156" s="287"/>
      <c r="B156" s="288"/>
      <c r="C156" s="288"/>
      <c r="D156" s="288"/>
      <c r="E156" s="288"/>
      <c r="F156" s="288"/>
      <c r="G156" s="288"/>
      <c r="H156" s="288"/>
      <c r="I156" s="288"/>
      <c r="J156" s="288"/>
      <c r="K156" s="288"/>
      <c r="L156" s="288"/>
      <c r="M156" s="288"/>
      <c r="N156" s="288"/>
      <c r="O156" s="288"/>
      <c r="P156" s="288"/>
      <c r="Q156" s="288"/>
      <c r="R156" s="288"/>
      <c r="S156" s="288"/>
      <c r="T156" s="288"/>
      <c r="U156" s="288"/>
      <c r="V156" s="338"/>
      <c r="W156" s="291"/>
      <c r="X156" s="5"/>
    </row>
    <row r="157" spans="1:25" ht="15.6" x14ac:dyDescent="0.3">
      <c r="A157" s="183"/>
      <c r="B157" s="198"/>
      <c r="C157" s="198"/>
      <c r="D157" s="198"/>
      <c r="E157" s="198"/>
      <c r="F157" s="198"/>
      <c r="G157" s="198"/>
      <c r="H157" s="198"/>
      <c r="I157" s="198"/>
      <c r="J157" s="198"/>
      <c r="K157" s="198"/>
      <c r="L157" s="198"/>
      <c r="M157" s="198"/>
      <c r="N157" s="198"/>
      <c r="O157" s="198"/>
      <c r="P157" s="198"/>
      <c r="Q157" s="198"/>
      <c r="R157" s="198"/>
      <c r="S157" s="198"/>
      <c r="T157" s="198"/>
      <c r="U157" s="198"/>
      <c r="V157" s="347"/>
      <c r="W157" s="198"/>
      <c r="X157" s="5"/>
    </row>
    <row r="158" spans="1:25" ht="15.6" x14ac:dyDescent="0.3">
      <c r="A158" s="183"/>
      <c r="B158" s="208" t="s">
        <v>24</v>
      </c>
      <c r="C158" s="185"/>
      <c r="D158" s="185"/>
      <c r="E158" s="185"/>
      <c r="F158" s="185"/>
      <c r="G158" s="185"/>
      <c r="H158" s="185"/>
      <c r="I158" s="185"/>
      <c r="J158" s="185"/>
      <c r="K158" s="185"/>
      <c r="L158" s="185"/>
      <c r="M158" s="185"/>
      <c r="N158" s="185"/>
      <c r="O158" s="185"/>
      <c r="P158" s="185"/>
      <c r="Q158" s="185"/>
      <c r="R158" s="185"/>
      <c r="S158" s="185"/>
      <c r="T158" s="185"/>
      <c r="U158" s="185"/>
      <c r="V158" s="201"/>
      <c r="W158" s="185"/>
      <c r="X158" s="5"/>
    </row>
    <row r="159" spans="1:25" ht="15.6" x14ac:dyDescent="0.3">
      <c r="A159" s="287"/>
      <c r="B159" s="288" t="s">
        <v>47</v>
      </c>
      <c r="C159" s="288"/>
      <c r="D159" s="288"/>
      <c r="E159" s="288"/>
      <c r="F159" s="288"/>
      <c r="G159" s="288"/>
      <c r="H159" s="288"/>
      <c r="I159" s="288"/>
      <c r="J159" s="288"/>
      <c r="K159" s="288"/>
      <c r="L159" s="288"/>
      <c r="M159" s="288"/>
      <c r="N159" s="288"/>
      <c r="O159" s="288"/>
      <c r="P159" s="288"/>
      <c r="Q159" s="288"/>
      <c r="R159" s="288"/>
      <c r="S159" s="288"/>
      <c r="T159" s="288"/>
      <c r="U159" s="288"/>
      <c r="V159" s="348" t="s">
        <v>118</v>
      </c>
      <c r="W159" s="291"/>
      <c r="X159" s="5"/>
    </row>
    <row r="160" spans="1:25" ht="15.6" x14ac:dyDescent="0.3">
      <c r="A160" s="287"/>
      <c r="B160" s="288" t="s">
        <v>48</v>
      </c>
      <c r="C160" s="290"/>
      <c r="D160" s="290"/>
      <c r="E160" s="290"/>
      <c r="F160" s="290"/>
      <c r="G160" s="290"/>
      <c r="H160" s="290"/>
      <c r="I160" s="290"/>
      <c r="J160" s="290"/>
      <c r="K160" s="290"/>
      <c r="L160" s="290"/>
      <c r="M160" s="290"/>
      <c r="N160" s="290"/>
      <c r="O160" s="290"/>
      <c r="P160" s="290"/>
      <c r="Q160" s="290"/>
      <c r="R160" s="290"/>
      <c r="S160" s="290"/>
      <c r="T160" s="290"/>
      <c r="U160" s="290"/>
      <c r="V160" s="348" t="s">
        <v>118</v>
      </c>
      <c r="W160" s="291"/>
      <c r="X160" s="5"/>
    </row>
    <row r="161" spans="1:256" ht="15.6" x14ac:dyDescent="0.3">
      <c r="A161" s="287"/>
      <c r="B161" s="288" t="s">
        <v>49</v>
      </c>
      <c r="C161" s="288"/>
      <c r="D161" s="288"/>
      <c r="E161" s="288"/>
      <c r="F161" s="288"/>
      <c r="G161" s="288"/>
      <c r="H161" s="288"/>
      <c r="I161" s="288"/>
      <c r="J161" s="288"/>
      <c r="K161" s="288"/>
      <c r="L161" s="288"/>
      <c r="M161" s="288"/>
      <c r="N161" s="288"/>
      <c r="O161" s="288"/>
      <c r="P161" s="288"/>
      <c r="Q161" s="288"/>
      <c r="R161" s="288"/>
      <c r="S161" s="288"/>
      <c r="T161" s="288"/>
      <c r="U161" s="288"/>
      <c r="V161" s="348" t="s">
        <v>118</v>
      </c>
      <c r="W161" s="291"/>
      <c r="X161" s="5"/>
    </row>
    <row r="162" spans="1:256" ht="15.6" x14ac:dyDescent="0.3">
      <c r="A162" s="287"/>
      <c r="B162" s="288" t="s">
        <v>50</v>
      </c>
      <c r="C162" s="288"/>
      <c r="D162" s="288"/>
      <c r="E162" s="288"/>
      <c r="F162" s="288"/>
      <c r="G162" s="288"/>
      <c r="H162" s="288"/>
      <c r="I162" s="288"/>
      <c r="J162" s="288"/>
      <c r="K162" s="288"/>
      <c r="L162" s="288"/>
      <c r="M162" s="288"/>
      <c r="N162" s="288"/>
      <c r="O162" s="288"/>
      <c r="P162" s="288"/>
      <c r="Q162" s="288"/>
      <c r="R162" s="288"/>
      <c r="S162" s="288"/>
      <c r="T162" s="288"/>
      <c r="U162" s="288"/>
      <c r="V162" s="348" t="s">
        <v>118</v>
      </c>
      <c r="W162" s="291"/>
      <c r="X162" s="5"/>
    </row>
    <row r="163" spans="1:256" ht="15.6" x14ac:dyDescent="0.3">
      <c r="A163" s="183"/>
      <c r="B163" s="198"/>
      <c r="C163" s="198"/>
      <c r="D163" s="198"/>
      <c r="E163" s="198"/>
      <c r="F163" s="198"/>
      <c r="G163" s="198"/>
      <c r="H163" s="198"/>
      <c r="I163" s="198"/>
      <c r="J163" s="198"/>
      <c r="K163" s="198"/>
      <c r="L163" s="198"/>
      <c r="M163" s="198"/>
      <c r="N163" s="198"/>
      <c r="O163" s="198"/>
      <c r="P163" s="198"/>
      <c r="Q163" s="198"/>
      <c r="R163" s="198"/>
      <c r="S163" s="198"/>
      <c r="T163" s="198"/>
      <c r="U163" s="198"/>
      <c r="V163" s="347"/>
      <c r="W163" s="198"/>
      <c r="X163" s="5"/>
    </row>
    <row r="164" spans="1:256" ht="15.6" x14ac:dyDescent="0.3">
      <c r="A164" s="183"/>
      <c r="B164" s="208" t="s">
        <v>51</v>
      </c>
      <c r="C164" s="185"/>
      <c r="D164" s="185"/>
      <c r="E164" s="185"/>
      <c r="F164" s="185"/>
      <c r="G164" s="185"/>
      <c r="H164" s="185"/>
      <c r="I164" s="185"/>
      <c r="J164" s="185"/>
      <c r="K164" s="185"/>
      <c r="L164" s="185"/>
      <c r="M164" s="185"/>
      <c r="N164" s="185"/>
      <c r="O164" s="185"/>
      <c r="P164" s="185"/>
      <c r="Q164" s="185"/>
      <c r="R164" s="185"/>
      <c r="S164" s="185"/>
      <c r="T164" s="185"/>
      <c r="U164" s="185"/>
      <c r="V164" s="209"/>
      <c r="W164" s="185"/>
      <c r="X164" s="5"/>
    </row>
    <row r="165" spans="1:256" ht="15.6" x14ac:dyDescent="0.3">
      <c r="A165" s="287"/>
      <c r="B165" s="288" t="s">
        <v>52</v>
      </c>
      <c r="C165" s="288"/>
      <c r="D165" s="288"/>
      <c r="E165" s="288"/>
      <c r="F165" s="288"/>
      <c r="G165" s="288"/>
      <c r="H165" s="288"/>
      <c r="I165" s="288"/>
      <c r="J165" s="288"/>
      <c r="K165" s="288"/>
      <c r="L165" s="288"/>
      <c r="M165" s="288"/>
      <c r="N165" s="288"/>
      <c r="O165" s="288"/>
      <c r="P165" s="288"/>
      <c r="Q165" s="288"/>
      <c r="R165" s="288"/>
      <c r="S165" s="288"/>
      <c r="T165" s="288"/>
      <c r="U165" s="288"/>
      <c r="V165" s="338">
        <v>0</v>
      </c>
      <c r="W165" s="291"/>
      <c r="X165" s="5"/>
    </row>
    <row r="166" spans="1:256" ht="15.6" x14ac:dyDescent="0.3">
      <c r="A166" s="287"/>
      <c r="B166" s="288" t="s">
        <v>53</v>
      </c>
      <c r="C166" s="288"/>
      <c r="D166" s="288"/>
      <c r="E166" s="288"/>
      <c r="F166" s="288"/>
      <c r="G166" s="288"/>
      <c r="H166" s="288"/>
      <c r="I166" s="288"/>
      <c r="J166" s="288"/>
      <c r="K166" s="288"/>
      <c r="L166" s="288"/>
      <c r="M166" s="288"/>
      <c r="N166" s="288"/>
      <c r="O166" s="288"/>
      <c r="P166" s="288"/>
      <c r="Q166" s="288"/>
      <c r="R166" s="288"/>
      <c r="S166" s="288"/>
      <c r="T166" s="288"/>
      <c r="U166" s="288"/>
      <c r="V166" s="338">
        <v>29</v>
      </c>
      <c r="W166" s="291"/>
      <c r="X166" s="5"/>
    </row>
    <row r="167" spans="1:256" ht="15.6" x14ac:dyDescent="0.3">
      <c r="A167" s="287"/>
      <c r="B167" s="288" t="s">
        <v>54</v>
      </c>
      <c r="C167" s="288"/>
      <c r="D167" s="288"/>
      <c r="E167" s="288"/>
      <c r="F167" s="288"/>
      <c r="G167" s="288"/>
      <c r="H167" s="288"/>
      <c r="I167" s="288"/>
      <c r="J167" s="288"/>
      <c r="K167" s="288"/>
      <c r="L167" s="288"/>
      <c r="M167" s="288"/>
      <c r="N167" s="288"/>
      <c r="O167" s="288"/>
      <c r="P167" s="288"/>
      <c r="Q167" s="288"/>
      <c r="R167" s="288"/>
      <c r="S167" s="288"/>
      <c r="T167" s="288"/>
      <c r="U167" s="288"/>
      <c r="V167" s="338">
        <f>V166+V165</f>
        <v>29</v>
      </c>
      <c r="W167" s="291"/>
      <c r="X167" s="5"/>
    </row>
    <row r="168" spans="1:256" ht="15.6" x14ac:dyDescent="0.3">
      <c r="A168" s="287"/>
      <c r="B168" s="288" t="s">
        <v>315</v>
      </c>
      <c r="C168" s="288"/>
      <c r="D168" s="288"/>
      <c r="E168" s="288"/>
      <c r="F168" s="288"/>
      <c r="G168" s="288"/>
      <c r="H168" s="288"/>
      <c r="I168" s="288"/>
      <c r="J168" s="288"/>
      <c r="K168" s="288"/>
      <c r="L168" s="288"/>
      <c r="M168" s="288"/>
      <c r="N168" s="288"/>
      <c r="O168" s="288"/>
      <c r="P168" s="288"/>
      <c r="Q168" s="288"/>
      <c r="R168" s="288"/>
      <c r="S168" s="288"/>
      <c r="T168" s="288"/>
      <c r="U168" s="288"/>
      <c r="V168" s="338">
        <f>V114</f>
        <v>-29</v>
      </c>
      <c r="W168" s="291"/>
      <c r="X168" s="5"/>
    </row>
    <row r="169" spans="1:256" ht="15.6" x14ac:dyDescent="0.3">
      <c r="A169" s="287"/>
      <c r="B169" s="288" t="s">
        <v>55</v>
      </c>
      <c r="C169" s="288"/>
      <c r="D169" s="288"/>
      <c r="E169" s="288"/>
      <c r="F169" s="288"/>
      <c r="G169" s="288"/>
      <c r="H169" s="288"/>
      <c r="I169" s="288"/>
      <c r="J169" s="288"/>
      <c r="K169" s="288"/>
      <c r="L169" s="288"/>
      <c r="M169" s="288"/>
      <c r="N169" s="288"/>
      <c r="O169" s="288"/>
      <c r="P169" s="288"/>
      <c r="Q169" s="288"/>
      <c r="R169" s="288"/>
      <c r="S169" s="288"/>
      <c r="T169" s="288"/>
      <c r="U169" s="288"/>
      <c r="V169" s="338">
        <f>V167+V168</f>
        <v>0</v>
      </c>
      <c r="W169" s="291"/>
      <c r="X169" s="5"/>
    </row>
    <row r="170" spans="1:256" ht="15.6" x14ac:dyDescent="0.3">
      <c r="A170" s="287"/>
      <c r="B170" s="288" t="s">
        <v>283</v>
      </c>
      <c r="C170" s="288"/>
      <c r="D170" s="288"/>
      <c r="E170" s="288"/>
      <c r="F170" s="288"/>
      <c r="G170" s="288"/>
      <c r="H170" s="288"/>
      <c r="I170" s="288"/>
      <c r="J170" s="288"/>
      <c r="K170" s="288"/>
      <c r="L170" s="288"/>
      <c r="M170" s="288"/>
      <c r="N170" s="288"/>
      <c r="O170" s="288"/>
      <c r="P170" s="288"/>
      <c r="Q170" s="288"/>
      <c r="R170" s="288"/>
      <c r="S170" s="288"/>
      <c r="T170" s="288"/>
      <c r="U170" s="288"/>
      <c r="V170" s="338">
        <f>-V99</f>
        <v>101</v>
      </c>
      <c r="W170" s="291"/>
      <c r="X170" s="5"/>
    </row>
    <row r="171" spans="1:256" ht="16.2" thickBot="1" x14ac:dyDescent="0.35">
      <c r="A171" s="183"/>
      <c r="B171" s="284"/>
      <c r="C171" s="284"/>
      <c r="D171" s="284"/>
      <c r="E171" s="284"/>
      <c r="F171" s="284"/>
      <c r="G171" s="284"/>
      <c r="H171" s="284"/>
      <c r="I171" s="284"/>
      <c r="J171" s="284"/>
      <c r="K171" s="284"/>
      <c r="L171" s="284"/>
      <c r="M171" s="284"/>
      <c r="N171" s="284"/>
      <c r="O171" s="284"/>
      <c r="P171" s="284"/>
      <c r="Q171" s="284"/>
      <c r="R171" s="284"/>
      <c r="S171" s="284"/>
      <c r="T171" s="284"/>
      <c r="U171" s="284"/>
      <c r="V171" s="349"/>
      <c r="W171" s="284"/>
      <c r="X171" s="5"/>
    </row>
    <row r="172" spans="1:256" ht="15.6" x14ac:dyDescent="0.3">
      <c r="A172" s="180"/>
      <c r="B172" s="247"/>
      <c r="C172" s="247"/>
      <c r="D172" s="247"/>
      <c r="E172" s="247"/>
      <c r="F172" s="247"/>
      <c r="G172" s="247"/>
      <c r="H172" s="247"/>
      <c r="I172" s="247"/>
      <c r="J172" s="247"/>
      <c r="K172" s="247"/>
      <c r="L172" s="247"/>
      <c r="M172" s="247"/>
      <c r="N172" s="247"/>
      <c r="O172" s="247"/>
      <c r="P172" s="247"/>
      <c r="Q172" s="247"/>
      <c r="R172" s="247"/>
      <c r="S172" s="247"/>
      <c r="T172" s="247"/>
      <c r="U172" s="247"/>
      <c r="V172" s="248"/>
      <c r="W172" s="247"/>
      <c r="X172" s="5"/>
    </row>
    <row r="173" spans="1:256" s="161" customFormat="1" ht="15.6" x14ac:dyDescent="0.3">
      <c r="A173" s="183"/>
      <c r="B173" s="208" t="s">
        <v>269</v>
      </c>
      <c r="C173" s="198"/>
      <c r="D173" s="198"/>
      <c r="E173" s="198"/>
      <c r="F173" s="198"/>
      <c r="G173" s="198"/>
      <c r="H173" s="198"/>
      <c r="I173" s="198"/>
      <c r="J173" s="198"/>
      <c r="K173" s="198"/>
      <c r="L173" s="198"/>
      <c r="M173" s="198"/>
      <c r="N173" s="198"/>
      <c r="O173" s="198"/>
      <c r="P173" s="198"/>
      <c r="Q173" s="198"/>
      <c r="R173" s="198"/>
      <c r="S173" s="198"/>
      <c r="T173" s="198"/>
      <c r="U173" s="198"/>
      <c r="V173" s="210"/>
      <c r="W173" s="198"/>
      <c r="X173" s="5"/>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s="163" customFormat="1" ht="15.6" x14ac:dyDescent="0.3">
      <c r="A174" s="287"/>
      <c r="B174" s="288" t="s">
        <v>270</v>
      </c>
      <c r="C174" s="288"/>
      <c r="D174" s="288"/>
      <c r="E174" s="288"/>
      <c r="F174" s="288"/>
      <c r="G174" s="288"/>
      <c r="H174" s="288"/>
      <c r="I174" s="288"/>
      <c r="J174" s="288"/>
      <c r="K174" s="288"/>
      <c r="L174" s="288"/>
      <c r="M174" s="288"/>
      <c r="N174" s="288"/>
      <c r="O174" s="288"/>
      <c r="P174" s="288"/>
      <c r="Q174" s="288"/>
      <c r="R174" s="288"/>
      <c r="S174" s="288"/>
      <c r="T174" s="288"/>
      <c r="U174" s="288"/>
      <c r="V174" s="338">
        <f>+'Aug 08'!V177</f>
        <v>0</v>
      </c>
      <c r="W174" s="291"/>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5.6" x14ac:dyDescent="0.3">
      <c r="A175" s="287"/>
      <c r="B175" s="288" t="s">
        <v>273</v>
      </c>
      <c r="C175" s="288"/>
      <c r="D175" s="288"/>
      <c r="E175" s="288"/>
      <c r="F175" s="288"/>
      <c r="G175" s="288"/>
      <c r="H175" s="288"/>
      <c r="I175" s="288"/>
      <c r="J175" s="288"/>
      <c r="K175" s="288"/>
      <c r="L175" s="288"/>
      <c r="M175" s="288"/>
      <c r="N175" s="288"/>
      <c r="O175" s="288"/>
      <c r="P175" s="288"/>
      <c r="Q175" s="288"/>
      <c r="R175" s="288"/>
      <c r="S175" s="288"/>
      <c r="T175" s="288"/>
      <c r="U175" s="288"/>
      <c r="V175" s="338">
        <f>+V93</f>
        <v>0</v>
      </c>
      <c r="W175" s="291"/>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3" customFormat="1" ht="15.6" x14ac:dyDescent="0.3">
      <c r="A176" s="287"/>
      <c r="B176" s="288" t="s">
        <v>271</v>
      </c>
      <c r="C176" s="288"/>
      <c r="D176" s="288"/>
      <c r="E176" s="288"/>
      <c r="F176" s="288"/>
      <c r="G176" s="288"/>
      <c r="H176" s="288"/>
      <c r="I176" s="288"/>
      <c r="J176" s="288"/>
      <c r="K176" s="288"/>
      <c r="L176" s="288"/>
      <c r="M176" s="288"/>
      <c r="N176" s="288"/>
      <c r="O176" s="288"/>
      <c r="P176" s="288"/>
      <c r="Q176" s="288"/>
      <c r="R176" s="288"/>
      <c r="S176" s="288"/>
      <c r="T176" s="288"/>
      <c r="U176" s="288"/>
      <c r="V176" s="338">
        <f>+V174-V175</f>
        <v>0</v>
      </c>
      <c r="W176" s="291"/>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s="166" customFormat="1" ht="16.2" thickBot="1" x14ac:dyDescent="0.35">
      <c r="A177" s="199"/>
      <c r="B177" s="198"/>
      <c r="C177" s="198"/>
      <c r="D177" s="198"/>
      <c r="E177" s="198"/>
      <c r="F177" s="198"/>
      <c r="G177" s="198"/>
      <c r="H177" s="198"/>
      <c r="I177" s="198"/>
      <c r="J177" s="198"/>
      <c r="K177" s="198"/>
      <c r="L177" s="198"/>
      <c r="M177" s="198"/>
      <c r="N177" s="198"/>
      <c r="O177" s="198"/>
      <c r="P177" s="198"/>
      <c r="Q177" s="198"/>
      <c r="R177" s="198"/>
      <c r="S177" s="198"/>
      <c r="T177" s="198"/>
      <c r="U177" s="198"/>
      <c r="V177" s="347"/>
      <c r="W177" s="198"/>
      <c r="X177" s="5"/>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s="167" customFormat="1" ht="15.6" x14ac:dyDescent="0.3">
      <c r="A178" s="180"/>
      <c r="B178" s="181"/>
      <c r="C178" s="181"/>
      <c r="D178" s="181"/>
      <c r="E178" s="181"/>
      <c r="F178" s="181"/>
      <c r="G178" s="181"/>
      <c r="H178" s="181"/>
      <c r="I178" s="181"/>
      <c r="J178" s="181"/>
      <c r="K178" s="181"/>
      <c r="L178" s="181"/>
      <c r="M178" s="181"/>
      <c r="N178" s="181"/>
      <c r="O178" s="181"/>
      <c r="P178" s="181"/>
      <c r="Q178" s="181"/>
      <c r="R178" s="181"/>
      <c r="S178" s="181"/>
      <c r="T178" s="181"/>
      <c r="U178" s="181"/>
      <c r="V178" s="200"/>
      <c r="W178" s="181"/>
      <c r="X178" s="5"/>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ht="15.6" x14ac:dyDescent="0.3">
      <c r="A179" s="183"/>
      <c r="B179" s="208" t="s">
        <v>56</v>
      </c>
      <c r="C179" s="185"/>
      <c r="D179" s="185"/>
      <c r="E179" s="185"/>
      <c r="F179" s="185"/>
      <c r="G179" s="185"/>
      <c r="H179" s="185"/>
      <c r="I179" s="185"/>
      <c r="J179" s="185"/>
      <c r="K179" s="185"/>
      <c r="L179" s="185"/>
      <c r="M179" s="185"/>
      <c r="N179" s="185"/>
      <c r="O179" s="185"/>
      <c r="P179" s="185"/>
      <c r="Q179" s="185"/>
      <c r="R179" s="185"/>
      <c r="S179" s="185"/>
      <c r="T179" s="185"/>
      <c r="U179" s="185"/>
      <c r="V179" s="201"/>
      <c r="W179" s="185"/>
      <c r="X179" s="5"/>
    </row>
    <row r="180" spans="1:256" ht="15.6" x14ac:dyDescent="0.3">
      <c r="A180" s="183"/>
      <c r="B180" s="195"/>
      <c r="C180" s="185"/>
      <c r="D180" s="185"/>
      <c r="E180" s="185"/>
      <c r="F180" s="185"/>
      <c r="G180" s="185"/>
      <c r="H180" s="185"/>
      <c r="I180" s="185"/>
      <c r="J180" s="185"/>
      <c r="K180" s="185"/>
      <c r="L180" s="185"/>
      <c r="M180" s="185"/>
      <c r="N180" s="185"/>
      <c r="O180" s="185"/>
      <c r="P180" s="185"/>
      <c r="Q180" s="185"/>
      <c r="R180" s="185"/>
      <c r="S180" s="185"/>
      <c r="T180" s="185"/>
      <c r="U180" s="185"/>
      <c r="V180" s="201"/>
      <c r="W180" s="185"/>
      <c r="X180" s="5"/>
    </row>
    <row r="181" spans="1:256" ht="15.6" x14ac:dyDescent="0.3">
      <c r="A181" s="287"/>
      <c r="B181" s="288" t="s">
        <v>57</v>
      </c>
      <c r="C181" s="288"/>
      <c r="D181" s="288"/>
      <c r="E181" s="288"/>
      <c r="F181" s="288"/>
      <c r="G181" s="288"/>
      <c r="H181" s="288"/>
      <c r="I181" s="288"/>
      <c r="J181" s="288"/>
      <c r="K181" s="288"/>
      <c r="L181" s="288"/>
      <c r="M181" s="288"/>
      <c r="N181" s="288"/>
      <c r="O181" s="288"/>
      <c r="P181" s="288"/>
      <c r="Q181" s="288"/>
      <c r="R181" s="288"/>
      <c r="S181" s="288"/>
      <c r="T181" s="288"/>
      <c r="U181" s="288"/>
      <c r="V181" s="338">
        <f>V70</f>
        <v>892133</v>
      </c>
      <c r="W181" s="291"/>
      <c r="X181" s="5"/>
    </row>
    <row r="182" spans="1:256" ht="15.6" x14ac:dyDescent="0.3">
      <c r="A182" s="287"/>
      <c r="B182" s="288" t="s">
        <v>58</v>
      </c>
      <c r="C182" s="288"/>
      <c r="D182" s="288"/>
      <c r="E182" s="288"/>
      <c r="F182" s="288"/>
      <c r="G182" s="288"/>
      <c r="H182" s="288"/>
      <c r="I182" s="288"/>
      <c r="J182" s="288"/>
      <c r="K182" s="288"/>
      <c r="L182" s="288"/>
      <c r="M182" s="288"/>
      <c r="N182" s="288"/>
      <c r="O182" s="288"/>
      <c r="P182" s="288"/>
      <c r="Q182" s="288"/>
      <c r="R182" s="288"/>
      <c r="S182" s="288"/>
      <c r="T182" s="288"/>
      <c r="U182" s="288"/>
      <c r="V182" s="338">
        <f>V83</f>
        <v>892133</v>
      </c>
      <c r="W182" s="291"/>
      <c r="X182" s="5"/>
    </row>
    <row r="183" spans="1:256" ht="16.2" thickBot="1" x14ac:dyDescent="0.35">
      <c r="A183" s="183"/>
      <c r="B183" s="198"/>
      <c r="C183" s="198"/>
      <c r="D183" s="198"/>
      <c r="E183" s="198"/>
      <c r="F183" s="198"/>
      <c r="G183" s="198"/>
      <c r="H183" s="198"/>
      <c r="I183" s="198"/>
      <c r="J183" s="198"/>
      <c r="K183" s="198"/>
      <c r="L183" s="198"/>
      <c r="M183" s="198"/>
      <c r="N183" s="198"/>
      <c r="O183" s="198"/>
      <c r="P183" s="198"/>
      <c r="Q183" s="198"/>
      <c r="R183" s="198"/>
      <c r="S183" s="198"/>
      <c r="T183" s="198"/>
      <c r="U183" s="198"/>
      <c r="V183" s="347"/>
      <c r="W183" s="198"/>
      <c r="X183" s="5"/>
    </row>
    <row r="184" spans="1:256" ht="15.6" x14ac:dyDescent="0.3">
      <c r="A184" s="180"/>
      <c r="B184" s="181"/>
      <c r="C184" s="181"/>
      <c r="D184" s="181"/>
      <c r="E184" s="181"/>
      <c r="F184" s="181"/>
      <c r="G184" s="181"/>
      <c r="H184" s="181"/>
      <c r="I184" s="181"/>
      <c r="J184" s="181"/>
      <c r="K184" s="181"/>
      <c r="L184" s="181"/>
      <c r="M184" s="181"/>
      <c r="N184" s="181"/>
      <c r="O184" s="181"/>
      <c r="P184" s="181"/>
      <c r="Q184" s="181"/>
      <c r="R184" s="181"/>
      <c r="S184" s="181"/>
      <c r="T184" s="181"/>
      <c r="U184" s="181"/>
      <c r="V184" s="200"/>
      <c r="W184" s="181"/>
      <c r="X184" s="5"/>
    </row>
    <row r="185" spans="1:256" ht="15.6" x14ac:dyDescent="0.3">
      <c r="A185" s="183"/>
      <c r="B185" s="208" t="s">
        <v>59</v>
      </c>
      <c r="C185" s="205"/>
      <c r="D185" s="205"/>
      <c r="E185" s="205"/>
      <c r="F185" s="205"/>
      <c r="G185" s="205"/>
      <c r="H185" s="211"/>
      <c r="I185" s="211"/>
      <c r="J185" s="211"/>
      <c r="K185" s="211"/>
      <c r="L185" s="211"/>
      <c r="M185" s="211"/>
      <c r="N185" s="211"/>
      <c r="O185" s="211"/>
      <c r="P185" s="211"/>
      <c r="Q185" s="211"/>
      <c r="R185" s="211"/>
      <c r="S185" s="211" t="s">
        <v>101</v>
      </c>
      <c r="T185" s="211" t="s">
        <v>176</v>
      </c>
      <c r="U185" s="187"/>
      <c r="V185" s="212" t="s">
        <v>114</v>
      </c>
      <c r="W185" s="213"/>
      <c r="X185" s="5"/>
    </row>
    <row r="186" spans="1:256" ht="15.6" x14ac:dyDescent="0.3">
      <c r="A186" s="287"/>
      <c r="B186" s="288" t="s">
        <v>60</v>
      </c>
      <c r="C186" s="288"/>
      <c r="D186" s="288"/>
      <c r="E186" s="288"/>
      <c r="F186" s="288"/>
      <c r="G186" s="288"/>
      <c r="H186" s="288"/>
      <c r="I186" s="288"/>
      <c r="J186" s="288"/>
      <c r="K186" s="288"/>
      <c r="L186" s="288"/>
      <c r="M186" s="288"/>
      <c r="N186" s="288"/>
      <c r="O186" s="288"/>
      <c r="P186" s="288"/>
      <c r="Q186" s="288"/>
      <c r="R186" s="288"/>
      <c r="S186" s="338">
        <f>+V34*0.16</f>
        <v>240044</v>
      </c>
      <c r="T186" s="325"/>
      <c r="U186" s="288"/>
      <c r="V186" s="338"/>
      <c r="W186" s="291"/>
      <c r="X186" s="5"/>
    </row>
    <row r="187" spans="1:256" ht="15.6" x14ac:dyDescent="0.3">
      <c r="A187" s="287"/>
      <c r="B187" s="288" t="s">
        <v>61</v>
      </c>
      <c r="C187" s="288"/>
      <c r="D187" s="288"/>
      <c r="E187" s="288"/>
      <c r="F187" s="288"/>
      <c r="G187" s="288"/>
      <c r="H187" s="288"/>
      <c r="I187" s="288"/>
      <c r="J187" s="288"/>
      <c r="K187" s="288"/>
      <c r="L187" s="288"/>
      <c r="M187" s="288"/>
      <c r="N187" s="288"/>
      <c r="O187" s="288"/>
      <c r="P187" s="288"/>
      <c r="Q187" s="288"/>
      <c r="R187" s="288"/>
      <c r="S187" s="338">
        <f>+'Feb 17'!S189</f>
        <v>30796</v>
      </c>
      <c r="T187" s="338">
        <f>+'Feb 17'!T189</f>
        <v>6019</v>
      </c>
      <c r="U187" s="288"/>
      <c r="V187" s="338">
        <f>S187+T187</f>
        <v>36815</v>
      </c>
      <c r="W187" s="291"/>
      <c r="X187" s="5"/>
    </row>
    <row r="188" spans="1:256" ht="15.6" x14ac:dyDescent="0.3">
      <c r="A188" s="287"/>
      <c r="B188" s="288" t="s">
        <v>62</v>
      </c>
      <c r="C188" s="288"/>
      <c r="D188" s="288"/>
      <c r="E188" s="288"/>
      <c r="F188" s="288"/>
      <c r="G188" s="288"/>
      <c r="H188" s="288"/>
      <c r="I188" s="288"/>
      <c r="J188" s="288"/>
      <c r="K188" s="288"/>
      <c r="L188" s="288"/>
      <c r="M188" s="288"/>
      <c r="N188" s="288"/>
      <c r="O188" s="288"/>
      <c r="P188" s="288"/>
      <c r="Q188" s="288"/>
      <c r="R188" s="288"/>
      <c r="S188" s="337">
        <v>133</v>
      </c>
      <c r="T188" s="337">
        <v>0</v>
      </c>
      <c r="U188" s="288"/>
      <c r="V188" s="338">
        <f>S188+T188</f>
        <v>133</v>
      </c>
      <c r="W188" s="291"/>
      <c r="X188" s="5"/>
    </row>
    <row r="189" spans="1:256" ht="15.6" x14ac:dyDescent="0.3">
      <c r="A189" s="287"/>
      <c r="B189" s="288" t="s">
        <v>63</v>
      </c>
      <c r="C189" s="288"/>
      <c r="D189" s="288"/>
      <c r="E189" s="288"/>
      <c r="F189" s="288"/>
      <c r="G189" s="288"/>
      <c r="H189" s="288"/>
      <c r="I189" s="288"/>
      <c r="J189" s="288"/>
      <c r="K189" s="288"/>
      <c r="L189" s="288"/>
      <c r="M189" s="288"/>
      <c r="N189" s="288"/>
      <c r="O189" s="288"/>
      <c r="P189" s="288"/>
      <c r="Q189" s="288"/>
      <c r="R189" s="288"/>
      <c r="S189" s="338">
        <f>S187+S188</f>
        <v>30929</v>
      </c>
      <c r="T189" s="338">
        <f>T188+T187</f>
        <v>6019</v>
      </c>
      <c r="U189" s="288"/>
      <c r="V189" s="338">
        <f>S189+T189</f>
        <v>36948</v>
      </c>
      <c r="W189" s="291"/>
      <c r="X189" s="5"/>
    </row>
    <row r="190" spans="1:256" ht="15.6" x14ac:dyDescent="0.3">
      <c r="A190" s="287"/>
      <c r="B190" s="288" t="s">
        <v>64</v>
      </c>
      <c r="C190" s="288"/>
      <c r="D190" s="288"/>
      <c r="E190" s="288"/>
      <c r="F190" s="288"/>
      <c r="G190" s="288"/>
      <c r="H190" s="288"/>
      <c r="I190" s="288"/>
      <c r="J190" s="288"/>
      <c r="K190" s="288"/>
      <c r="L190" s="288"/>
      <c r="M190" s="288"/>
      <c r="N190" s="288"/>
      <c r="O190" s="288"/>
      <c r="P190" s="288"/>
      <c r="Q190" s="288"/>
      <c r="R190" s="288"/>
      <c r="S190" s="338">
        <f>S186-S189-T189</f>
        <v>203096</v>
      </c>
      <c r="T190" s="325"/>
      <c r="U190" s="288"/>
      <c r="V190" s="338"/>
      <c r="W190" s="291"/>
      <c r="X190" s="5"/>
    </row>
    <row r="191" spans="1:256" ht="16.2" thickBot="1" x14ac:dyDescent="0.35">
      <c r="A191" s="183"/>
      <c r="B191" s="198"/>
      <c r="C191" s="198"/>
      <c r="D191" s="198"/>
      <c r="E191" s="198"/>
      <c r="F191" s="198"/>
      <c r="G191" s="198"/>
      <c r="H191" s="198"/>
      <c r="I191" s="198"/>
      <c r="J191" s="198"/>
      <c r="K191" s="198"/>
      <c r="L191" s="198"/>
      <c r="M191" s="198"/>
      <c r="N191" s="198"/>
      <c r="O191" s="198"/>
      <c r="P191" s="198"/>
      <c r="Q191" s="198"/>
      <c r="R191" s="198"/>
      <c r="S191" s="198"/>
      <c r="T191" s="198"/>
      <c r="U191" s="198"/>
      <c r="V191" s="347"/>
      <c r="W191" s="198"/>
      <c r="X191" s="5"/>
    </row>
    <row r="192" spans="1:256" ht="15.6" x14ac:dyDescent="0.3">
      <c r="A192" s="180"/>
      <c r="B192" s="181"/>
      <c r="C192" s="181"/>
      <c r="D192" s="181"/>
      <c r="E192" s="181"/>
      <c r="F192" s="181"/>
      <c r="G192" s="181"/>
      <c r="H192" s="181"/>
      <c r="I192" s="181"/>
      <c r="J192" s="181"/>
      <c r="K192" s="181"/>
      <c r="L192" s="181"/>
      <c r="M192" s="181"/>
      <c r="N192" s="181"/>
      <c r="O192" s="181"/>
      <c r="P192" s="181"/>
      <c r="Q192" s="181"/>
      <c r="R192" s="181"/>
      <c r="S192" s="181"/>
      <c r="T192" s="181"/>
      <c r="U192" s="181"/>
      <c r="V192" s="200"/>
      <c r="W192" s="181"/>
      <c r="X192" s="5"/>
    </row>
    <row r="193" spans="1:24" ht="15.6" x14ac:dyDescent="0.3">
      <c r="A193" s="183"/>
      <c r="B193" s="208" t="s">
        <v>65</v>
      </c>
      <c r="C193" s="185"/>
      <c r="D193" s="185"/>
      <c r="E193" s="185"/>
      <c r="F193" s="185"/>
      <c r="G193" s="185"/>
      <c r="H193" s="185"/>
      <c r="I193" s="185"/>
      <c r="J193" s="185"/>
      <c r="K193" s="185"/>
      <c r="L193" s="185"/>
      <c r="M193" s="185"/>
      <c r="N193" s="185"/>
      <c r="O193" s="185"/>
      <c r="P193" s="185"/>
      <c r="Q193" s="185"/>
      <c r="R193" s="185"/>
      <c r="S193" s="185"/>
      <c r="T193" s="185"/>
      <c r="U193" s="185"/>
      <c r="V193" s="214"/>
      <c r="W193" s="185"/>
      <c r="X193" s="5"/>
    </row>
    <row r="194" spans="1:24" ht="15.6" x14ac:dyDescent="0.3">
      <c r="A194" s="287"/>
      <c r="B194" s="288" t="s">
        <v>66</v>
      </c>
      <c r="C194" s="288"/>
      <c r="D194" s="288"/>
      <c r="E194" s="288"/>
      <c r="F194" s="288"/>
      <c r="G194" s="288"/>
      <c r="H194" s="288"/>
      <c r="I194" s="288"/>
      <c r="J194" s="288"/>
      <c r="K194" s="288"/>
      <c r="L194" s="288"/>
      <c r="M194" s="288"/>
      <c r="N194" s="288"/>
      <c r="O194" s="288"/>
      <c r="P194" s="288"/>
      <c r="Q194" s="288"/>
      <c r="R194" s="288"/>
      <c r="S194" s="288"/>
      <c r="T194" s="288"/>
      <c r="U194" s="288"/>
      <c r="V194" s="348">
        <f>(V100+V102+V103+V104+V105)/-(V106+V107)</f>
        <v>5.2854166666666664</v>
      </c>
      <c r="W194" s="291" t="s">
        <v>115</v>
      </c>
      <c r="X194" s="5"/>
    </row>
    <row r="195" spans="1:24" ht="15.6" x14ac:dyDescent="0.3">
      <c r="A195" s="287"/>
      <c r="B195" s="288" t="s">
        <v>67</v>
      </c>
      <c r="C195" s="288"/>
      <c r="D195" s="288"/>
      <c r="E195" s="288"/>
      <c r="F195" s="288"/>
      <c r="G195" s="288"/>
      <c r="H195" s="288"/>
      <c r="I195" s="288"/>
      <c r="J195" s="288"/>
      <c r="K195" s="288"/>
      <c r="L195" s="288"/>
      <c r="M195" s="288"/>
      <c r="N195" s="288"/>
      <c r="O195" s="288"/>
      <c r="P195" s="288"/>
      <c r="Q195" s="288"/>
      <c r="R195" s="288"/>
      <c r="S195" s="288"/>
      <c r="T195" s="288"/>
      <c r="U195" s="288"/>
      <c r="V195" s="350">
        <v>2.0499999999999998</v>
      </c>
      <c r="W195" s="291" t="s">
        <v>115</v>
      </c>
      <c r="X195" s="5"/>
    </row>
    <row r="196" spans="1:24" ht="15.6" x14ac:dyDescent="0.3">
      <c r="A196" s="287"/>
      <c r="B196" s="288" t="s">
        <v>68</v>
      </c>
      <c r="C196" s="288"/>
      <c r="D196" s="288"/>
      <c r="E196" s="288"/>
      <c r="F196" s="288"/>
      <c r="G196" s="288"/>
      <c r="H196" s="288"/>
      <c r="I196" s="288"/>
      <c r="J196" s="288"/>
      <c r="K196" s="288"/>
      <c r="L196" s="288"/>
      <c r="M196" s="288"/>
      <c r="N196" s="288"/>
      <c r="O196" s="288"/>
      <c r="P196" s="288"/>
      <c r="Q196" s="288"/>
      <c r="R196" s="288"/>
      <c r="S196" s="288"/>
      <c r="T196" s="288"/>
      <c r="U196" s="288"/>
      <c r="V196" s="348">
        <f>(V100+V102+V103+V104+V105+V106+V107)/-(V109+V110)</f>
        <v>19.684210526315791</v>
      </c>
      <c r="W196" s="291" t="s">
        <v>115</v>
      </c>
      <c r="X196" s="5"/>
    </row>
    <row r="197" spans="1:24" ht="15.6" x14ac:dyDescent="0.3">
      <c r="A197" s="287"/>
      <c r="B197" s="288" t="s">
        <v>69</v>
      </c>
      <c r="C197" s="288"/>
      <c r="D197" s="288"/>
      <c r="E197" s="288"/>
      <c r="F197" s="288"/>
      <c r="G197" s="288"/>
      <c r="H197" s="288"/>
      <c r="I197" s="288"/>
      <c r="J197" s="288"/>
      <c r="K197" s="288"/>
      <c r="L197" s="288"/>
      <c r="M197" s="288"/>
      <c r="N197" s="288"/>
      <c r="O197" s="288"/>
      <c r="P197" s="288"/>
      <c r="Q197" s="288"/>
      <c r="R197" s="288"/>
      <c r="S197" s="288"/>
      <c r="T197" s="288"/>
      <c r="U197" s="288"/>
      <c r="V197" s="350">
        <v>9.4</v>
      </c>
      <c r="W197" s="291" t="s">
        <v>115</v>
      </c>
      <c r="X197" s="5"/>
    </row>
    <row r="198" spans="1:24" ht="15.6" x14ac:dyDescent="0.3">
      <c r="A198" s="287"/>
      <c r="B198" s="288" t="s">
        <v>198</v>
      </c>
      <c r="C198" s="288"/>
      <c r="D198" s="288"/>
      <c r="E198" s="288"/>
      <c r="F198" s="288"/>
      <c r="G198" s="288"/>
      <c r="H198" s="288"/>
      <c r="I198" s="288"/>
      <c r="J198" s="288"/>
      <c r="K198" s="288"/>
      <c r="L198" s="288"/>
      <c r="M198" s="288"/>
      <c r="N198" s="288"/>
      <c r="O198" s="288"/>
      <c r="P198" s="288"/>
      <c r="Q198" s="288"/>
      <c r="R198" s="288"/>
      <c r="S198" s="288"/>
      <c r="T198" s="288"/>
      <c r="U198" s="288"/>
      <c r="V198" s="348">
        <f>(V100+V102+V103+V104+V105+V106+V107+V109+V110)/-(V111+V112)</f>
        <v>11.519174041297935</v>
      </c>
      <c r="W198" s="291" t="s">
        <v>115</v>
      </c>
      <c r="X198" s="5"/>
    </row>
    <row r="199" spans="1:24" ht="15.6" x14ac:dyDescent="0.3">
      <c r="A199" s="287"/>
      <c r="B199" s="288" t="s">
        <v>199</v>
      </c>
      <c r="C199" s="288"/>
      <c r="D199" s="288"/>
      <c r="E199" s="288"/>
      <c r="F199" s="288"/>
      <c r="G199" s="288"/>
      <c r="H199" s="288"/>
      <c r="I199" s="288"/>
      <c r="J199" s="288"/>
      <c r="K199" s="288"/>
      <c r="L199" s="288"/>
      <c r="M199" s="288"/>
      <c r="N199" s="288"/>
      <c r="O199" s="288"/>
      <c r="P199" s="288"/>
      <c r="Q199" s="288"/>
      <c r="R199" s="288"/>
      <c r="S199" s="288"/>
      <c r="T199" s="288"/>
      <c r="U199" s="288"/>
      <c r="V199" s="350">
        <v>7.13</v>
      </c>
      <c r="W199" s="291" t="s">
        <v>115</v>
      </c>
      <c r="X199" s="5"/>
    </row>
    <row r="200" spans="1:24" ht="15.6" x14ac:dyDescent="0.3">
      <c r="A200" s="287"/>
      <c r="B200" s="314"/>
      <c r="C200" s="314"/>
      <c r="D200" s="314"/>
      <c r="E200" s="314"/>
      <c r="F200" s="314"/>
      <c r="G200" s="314"/>
      <c r="H200" s="314"/>
      <c r="I200" s="314"/>
      <c r="J200" s="314"/>
      <c r="K200" s="314"/>
      <c r="L200" s="314"/>
      <c r="M200" s="314"/>
      <c r="N200" s="314"/>
      <c r="O200" s="314"/>
      <c r="P200" s="314"/>
      <c r="Q200" s="314"/>
      <c r="R200" s="314"/>
      <c r="S200" s="314"/>
      <c r="T200" s="314"/>
      <c r="U200" s="314"/>
      <c r="V200" s="314"/>
      <c r="W200" s="318"/>
      <c r="X200" s="5"/>
    </row>
    <row r="201" spans="1:24" ht="15.6" x14ac:dyDescent="0.3">
      <c r="A201" s="183"/>
      <c r="B201" s="198"/>
      <c r="C201" s="198"/>
      <c r="D201" s="198"/>
      <c r="E201" s="198"/>
      <c r="F201" s="198"/>
      <c r="G201" s="198"/>
      <c r="H201" s="198"/>
      <c r="I201" s="198"/>
      <c r="J201" s="198"/>
      <c r="K201" s="198"/>
      <c r="L201" s="198"/>
      <c r="M201" s="198"/>
      <c r="N201" s="198"/>
      <c r="O201" s="198"/>
      <c r="P201" s="198"/>
      <c r="Q201" s="198"/>
      <c r="R201" s="198"/>
      <c r="S201" s="198"/>
      <c r="T201" s="198"/>
      <c r="U201" s="198"/>
      <c r="V201" s="198"/>
      <c r="W201" s="198"/>
      <c r="X201" s="5"/>
    </row>
    <row r="202" spans="1:24" ht="15.6" x14ac:dyDescent="0.3">
      <c r="A202" s="183"/>
      <c r="B202" s="185"/>
      <c r="C202" s="185"/>
      <c r="D202" s="185"/>
      <c r="E202" s="185"/>
      <c r="F202" s="185"/>
      <c r="G202" s="185"/>
      <c r="H202" s="185"/>
      <c r="I202" s="185"/>
      <c r="J202" s="185"/>
      <c r="K202" s="185"/>
      <c r="L202" s="185"/>
      <c r="M202" s="185"/>
      <c r="N202" s="185"/>
      <c r="O202" s="185"/>
      <c r="P202" s="185"/>
      <c r="Q202" s="185"/>
      <c r="R202" s="185"/>
      <c r="S202" s="185"/>
      <c r="T202" s="185"/>
      <c r="U202" s="185"/>
      <c r="V202" s="185"/>
      <c r="W202" s="185"/>
      <c r="X202" s="5"/>
    </row>
    <row r="203" spans="1:24" ht="18" thickBot="1" x14ac:dyDescent="0.35">
      <c r="A203" s="199"/>
      <c r="B203" s="237" t="str">
        <f>B137</f>
        <v>PM14 INVESTOR REPORT QUARTER ENDING MAY 2017</v>
      </c>
      <c r="C203" s="215"/>
      <c r="D203" s="215"/>
      <c r="E203" s="215"/>
      <c r="F203" s="215"/>
      <c r="G203" s="215"/>
      <c r="H203" s="215"/>
      <c r="I203" s="215"/>
      <c r="J203" s="215"/>
      <c r="K203" s="215"/>
      <c r="L203" s="215"/>
      <c r="M203" s="215"/>
      <c r="N203" s="215"/>
      <c r="O203" s="215"/>
      <c r="P203" s="215"/>
      <c r="Q203" s="215"/>
      <c r="R203" s="215"/>
      <c r="S203" s="215"/>
      <c r="T203" s="215"/>
      <c r="U203" s="215"/>
      <c r="V203" s="215"/>
      <c r="W203" s="216"/>
      <c r="X203" s="5"/>
    </row>
    <row r="204" spans="1:24" ht="15.6" x14ac:dyDescent="0.3">
      <c r="A204" s="273"/>
      <c r="B204" s="403" t="s">
        <v>70</v>
      </c>
      <c r="C204" s="404"/>
      <c r="D204" s="404"/>
      <c r="E204" s="404"/>
      <c r="F204" s="404"/>
      <c r="G204" s="405"/>
      <c r="H204" s="405"/>
      <c r="I204" s="405"/>
      <c r="J204" s="405"/>
      <c r="K204" s="405"/>
      <c r="L204" s="405"/>
      <c r="M204" s="405"/>
      <c r="N204" s="405"/>
      <c r="O204" s="405"/>
      <c r="P204" s="405"/>
      <c r="Q204" s="405"/>
      <c r="R204" s="405"/>
      <c r="S204" s="405"/>
      <c r="T204" s="405">
        <v>42886</v>
      </c>
      <c r="U204" s="274"/>
      <c r="V204" s="274"/>
      <c r="W204" s="274"/>
      <c r="X204" s="5"/>
    </row>
    <row r="205" spans="1:24" ht="15.6" x14ac:dyDescent="0.3">
      <c r="A205" s="217"/>
      <c r="B205" s="230"/>
      <c r="C205" s="249"/>
      <c r="D205" s="249"/>
      <c r="E205" s="249"/>
      <c r="F205" s="249"/>
      <c r="G205" s="229"/>
      <c r="H205" s="229"/>
      <c r="I205" s="229"/>
      <c r="J205" s="229"/>
      <c r="K205" s="229"/>
      <c r="L205" s="229"/>
      <c r="M205" s="229"/>
      <c r="N205" s="229"/>
      <c r="O205" s="229"/>
      <c r="P205" s="229"/>
      <c r="Q205" s="229"/>
      <c r="R205" s="229"/>
      <c r="S205" s="229"/>
      <c r="T205" s="229"/>
      <c r="U205" s="224"/>
      <c r="V205" s="224"/>
      <c r="W205" s="224"/>
      <c r="X205" s="5"/>
    </row>
    <row r="206" spans="1:24" ht="15.6" x14ac:dyDescent="0.3">
      <c r="A206" s="352"/>
      <c r="B206" s="288" t="s">
        <v>71</v>
      </c>
      <c r="C206" s="353"/>
      <c r="D206" s="353"/>
      <c r="E206" s="353"/>
      <c r="F206" s="353"/>
      <c r="G206" s="330"/>
      <c r="H206" s="330"/>
      <c r="I206" s="330"/>
      <c r="J206" s="330"/>
      <c r="K206" s="330"/>
      <c r="L206" s="330"/>
      <c r="M206" s="330"/>
      <c r="N206" s="330"/>
      <c r="O206" s="330"/>
      <c r="P206" s="330"/>
      <c r="Q206" s="330"/>
      <c r="R206" s="330"/>
      <c r="S206" s="330"/>
      <c r="T206" s="321">
        <v>5.2819999999999999E-2</v>
      </c>
      <c r="U206" s="288"/>
      <c r="V206" s="288"/>
      <c r="W206" s="291"/>
      <c r="X206" s="5"/>
    </row>
    <row r="207" spans="1:24" ht="15.6" x14ac:dyDescent="0.3">
      <c r="A207" s="352"/>
      <c r="B207" s="288" t="s">
        <v>151</v>
      </c>
      <c r="C207" s="353"/>
      <c r="D207" s="353"/>
      <c r="E207" s="353"/>
      <c r="F207" s="353"/>
      <c r="G207" s="330"/>
      <c r="H207" s="330"/>
      <c r="I207" s="330"/>
      <c r="J207" s="330"/>
      <c r="K207" s="330"/>
      <c r="L207" s="330"/>
      <c r="M207" s="330"/>
      <c r="N207" s="330"/>
      <c r="O207" s="330"/>
      <c r="P207" s="330"/>
      <c r="Q207" s="330"/>
      <c r="R207" s="330"/>
      <c r="S207" s="330"/>
      <c r="T207" s="321">
        <v>5.7799999999999997E-2</v>
      </c>
      <c r="U207" s="288"/>
      <c r="V207" s="288"/>
      <c r="W207" s="291"/>
      <c r="X207" s="5"/>
    </row>
    <row r="208" spans="1:24" ht="15.6" x14ac:dyDescent="0.3">
      <c r="A208" s="352"/>
      <c r="B208" s="288" t="s">
        <v>72</v>
      </c>
      <c r="C208" s="353"/>
      <c r="D208" s="353"/>
      <c r="E208" s="353"/>
      <c r="F208" s="353"/>
      <c r="G208" s="330"/>
      <c r="H208" s="330"/>
      <c r="I208" s="330"/>
      <c r="J208" s="330"/>
      <c r="K208" s="330"/>
      <c r="L208" s="330"/>
      <c r="M208" s="330"/>
      <c r="N208" s="330"/>
      <c r="O208" s="330"/>
      <c r="P208" s="330"/>
      <c r="Q208" s="330"/>
      <c r="R208" s="330"/>
      <c r="S208" s="330"/>
      <c r="T208" s="321">
        <f>T206-T207</f>
        <v>-4.9799999999999983E-3</v>
      </c>
      <c r="U208" s="288"/>
      <c r="V208" s="288"/>
      <c r="W208" s="291"/>
      <c r="X208" s="5"/>
    </row>
    <row r="209" spans="1:24" ht="15.6" x14ac:dyDescent="0.3">
      <c r="A209" s="352"/>
      <c r="B209" s="288" t="s">
        <v>73</v>
      </c>
      <c r="C209" s="353"/>
      <c r="D209" s="353"/>
      <c r="E209" s="353"/>
      <c r="F209" s="353"/>
      <c r="G209" s="330"/>
      <c r="H209" s="330"/>
      <c r="I209" s="330"/>
      <c r="J209" s="330"/>
      <c r="K209" s="330"/>
      <c r="L209" s="330"/>
      <c r="M209" s="330"/>
      <c r="N209" s="330"/>
      <c r="O209" s="330"/>
      <c r="P209" s="330"/>
      <c r="Q209" s="330"/>
      <c r="R209" s="330"/>
      <c r="S209" s="330"/>
      <c r="T209" s="321">
        <v>2.198E-2</v>
      </c>
      <c r="U209" s="288"/>
      <c r="V209" s="288"/>
      <c r="W209" s="291"/>
      <c r="X209" s="5"/>
    </row>
    <row r="210" spans="1:24" ht="15.6" x14ac:dyDescent="0.3">
      <c r="A210" s="352"/>
      <c r="B210" s="288" t="s">
        <v>219</v>
      </c>
      <c r="C210" s="353"/>
      <c r="D210" s="353"/>
      <c r="E210" s="353"/>
      <c r="F210" s="353"/>
      <c r="G210" s="330"/>
      <c r="H210" s="330"/>
      <c r="I210" s="330"/>
      <c r="J210" s="330"/>
      <c r="K210" s="330"/>
      <c r="L210" s="330"/>
      <c r="M210" s="330"/>
      <c r="N210" s="330"/>
      <c r="O210" s="330"/>
      <c r="P210" s="330"/>
      <c r="Q210" s="330"/>
      <c r="R210" s="330"/>
      <c r="S210" s="330"/>
      <c r="T210" s="321">
        <f>V43</f>
        <v>6.5981612391412935E-3</v>
      </c>
      <c r="U210" s="288"/>
      <c r="V210" s="288"/>
      <c r="W210" s="291"/>
      <c r="X210" s="5"/>
    </row>
    <row r="211" spans="1:24" ht="15.6" x14ac:dyDescent="0.3">
      <c r="A211" s="352"/>
      <c r="B211" s="288" t="s">
        <v>74</v>
      </c>
      <c r="C211" s="353"/>
      <c r="D211" s="353"/>
      <c r="E211" s="353"/>
      <c r="F211" s="353"/>
      <c r="G211" s="330"/>
      <c r="H211" s="330"/>
      <c r="I211" s="330"/>
      <c r="J211" s="330"/>
      <c r="K211" s="330"/>
      <c r="L211" s="330"/>
      <c r="M211" s="330"/>
      <c r="N211" s="330"/>
      <c r="O211" s="330"/>
      <c r="P211" s="330"/>
      <c r="Q211" s="330"/>
      <c r="R211" s="330"/>
      <c r="S211" s="330"/>
      <c r="T211" s="321">
        <f>T209-T210</f>
        <v>1.5381838760858706E-2</v>
      </c>
      <c r="U211" s="288"/>
      <c r="V211" s="288"/>
      <c r="W211" s="291"/>
      <c r="X211" s="5"/>
    </row>
    <row r="212" spans="1:24" ht="15.6" x14ac:dyDescent="0.3">
      <c r="A212" s="352"/>
      <c r="B212" s="288" t="s">
        <v>242</v>
      </c>
      <c r="C212" s="353"/>
      <c r="D212" s="353"/>
      <c r="E212" s="353"/>
      <c r="F212" s="353"/>
      <c r="G212" s="330"/>
      <c r="H212" s="330"/>
      <c r="I212" s="330"/>
      <c r="J212" s="330"/>
      <c r="K212" s="330"/>
      <c r="L212" s="330"/>
      <c r="M212" s="330"/>
      <c r="N212" s="330"/>
      <c r="O212" s="330"/>
      <c r="P212" s="330"/>
      <c r="Q212" s="330"/>
      <c r="R212" s="330"/>
      <c r="S212" s="330"/>
      <c r="T212" s="321">
        <f>V100/N70</f>
        <v>5.8971892087505678E-3</v>
      </c>
      <c r="U212" s="288"/>
      <c r="V212" s="288"/>
      <c r="W212" s="291"/>
      <c r="X212" s="5"/>
    </row>
    <row r="213" spans="1:24" ht="15.6" x14ac:dyDescent="0.3">
      <c r="A213" s="352"/>
      <c r="B213" s="288" t="s">
        <v>208</v>
      </c>
      <c r="C213" s="353"/>
      <c r="D213" s="353"/>
      <c r="E213" s="353"/>
      <c r="F213" s="353"/>
      <c r="G213" s="330"/>
      <c r="H213" s="330"/>
      <c r="I213" s="330"/>
      <c r="J213" s="330"/>
      <c r="K213" s="330"/>
      <c r="L213" s="330"/>
      <c r="M213" s="330"/>
      <c r="N213" s="330"/>
      <c r="O213" s="330"/>
      <c r="P213" s="330"/>
      <c r="Q213" s="330"/>
      <c r="R213" s="330"/>
      <c r="S213" s="330"/>
      <c r="T213" s="354">
        <v>51014</v>
      </c>
      <c r="U213" s="288"/>
      <c r="V213" s="288"/>
      <c r="W213" s="291"/>
      <c r="X213" s="5"/>
    </row>
    <row r="214" spans="1:24" ht="15.6" x14ac:dyDescent="0.3">
      <c r="A214" s="352"/>
      <c r="B214" s="288" t="s">
        <v>209</v>
      </c>
      <c r="C214" s="353"/>
      <c r="D214" s="353"/>
      <c r="E214" s="353"/>
      <c r="F214" s="353"/>
      <c r="G214" s="330"/>
      <c r="H214" s="330"/>
      <c r="I214" s="330"/>
      <c r="J214" s="330"/>
      <c r="K214" s="330"/>
      <c r="L214" s="330"/>
      <c r="M214" s="330"/>
      <c r="N214" s="330"/>
      <c r="O214" s="330"/>
      <c r="P214" s="330"/>
      <c r="Q214" s="330"/>
      <c r="R214" s="330"/>
      <c r="S214" s="330"/>
      <c r="T214" s="354">
        <v>51014</v>
      </c>
      <c r="U214" s="288"/>
      <c r="V214" s="288"/>
      <c r="W214" s="291"/>
      <c r="X214" s="5"/>
    </row>
    <row r="215" spans="1:24" ht="15.6" x14ac:dyDescent="0.3">
      <c r="A215" s="352"/>
      <c r="B215" s="288" t="s">
        <v>210</v>
      </c>
      <c r="C215" s="353"/>
      <c r="D215" s="353"/>
      <c r="E215" s="353"/>
      <c r="F215" s="353"/>
      <c r="G215" s="330"/>
      <c r="H215" s="330"/>
      <c r="I215" s="330"/>
      <c r="J215" s="330"/>
      <c r="K215" s="330"/>
      <c r="L215" s="330"/>
      <c r="M215" s="330"/>
      <c r="N215" s="330"/>
      <c r="O215" s="330"/>
      <c r="P215" s="330"/>
      <c r="Q215" s="330"/>
      <c r="R215" s="330"/>
      <c r="S215" s="330"/>
      <c r="T215" s="354">
        <v>51014</v>
      </c>
      <c r="U215" s="288"/>
      <c r="V215" s="288"/>
      <c r="W215" s="291"/>
      <c r="X215" s="5"/>
    </row>
    <row r="216" spans="1:24" ht="15.6" x14ac:dyDescent="0.3">
      <c r="A216" s="352"/>
      <c r="B216" s="288" t="s">
        <v>75</v>
      </c>
      <c r="C216" s="353"/>
      <c r="D216" s="353"/>
      <c r="E216" s="353"/>
      <c r="F216" s="353"/>
      <c r="G216" s="330"/>
      <c r="H216" s="330"/>
      <c r="I216" s="330"/>
      <c r="J216" s="330"/>
      <c r="K216" s="330"/>
      <c r="L216" s="330"/>
      <c r="M216" s="330"/>
      <c r="N216" s="330"/>
      <c r="O216" s="330"/>
      <c r="P216" s="330"/>
      <c r="Q216" s="330"/>
      <c r="R216" s="330"/>
      <c r="S216" s="330"/>
      <c r="T216" s="327">
        <v>20.66</v>
      </c>
      <c r="U216" s="288" t="s">
        <v>110</v>
      </c>
      <c r="V216" s="288"/>
      <c r="W216" s="291"/>
      <c r="X216" s="5"/>
    </row>
    <row r="217" spans="1:24" ht="15.6" x14ac:dyDescent="0.3">
      <c r="A217" s="352"/>
      <c r="B217" s="288" t="s">
        <v>76</v>
      </c>
      <c r="C217" s="353"/>
      <c r="D217" s="353"/>
      <c r="E217" s="353"/>
      <c r="F217" s="353"/>
      <c r="G217" s="330"/>
      <c r="H217" s="330"/>
      <c r="I217" s="330"/>
      <c r="J217" s="330"/>
      <c r="K217" s="330"/>
      <c r="L217" s="330"/>
      <c r="M217" s="330"/>
      <c r="N217" s="330"/>
      <c r="O217" s="330"/>
      <c r="P217" s="330"/>
      <c r="Q217" s="330"/>
      <c r="R217" s="330"/>
      <c r="S217" s="330"/>
      <c r="T217" s="327">
        <v>11.7</v>
      </c>
      <c r="U217" s="288" t="s">
        <v>110</v>
      </c>
      <c r="V217" s="288"/>
      <c r="W217" s="291"/>
      <c r="X217" s="5"/>
    </row>
    <row r="218" spans="1:24" ht="15.6" x14ac:dyDescent="0.3">
      <c r="A218" s="352"/>
      <c r="B218" s="288" t="s">
        <v>77</v>
      </c>
      <c r="C218" s="353"/>
      <c r="D218" s="353"/>
      <c r="E218" s="353"/>
      <c r="F218" s="353"/>
      <c r="G218" s="330"/>
      <c r="H218" s="330"/>
      <c r="I218" s="330"/>
      <c r="J218" s="330"/>
      <c r="K218" s="330"/>
      <c r="L218" s="330"/>
      <c r="M218" s="330"/>
      <c r="N218" s="330"/>
      <c r="O218" s="330"/>
      <c r="P218" s="330"/>
      <c r="Q218" s="330"/>
      <c r="R218" s="330"/>
      <c r="S218" s="330"/>
      <c r="T218" s="321">
        <f>+P67/N67</f>
        <v>1.5847937473244745E-2</v>
      </c>
      <c r="U218" s="288"/>
      <c r="V218" s="288"/>
      <c r="W218" s="291"/>
      <c r="X218" s="5"/>
    </row>
    <row r="219" spans="1:24" ht="15.6" x14ac:dyDescent="0.3">
      <c r="A219" s="352"/>
      <c r="B219" s="288" t="s">
        <v>78</v>
      </c>
      <c r="C219" s="353"/>
      <c r="D219" s="353"/>
      <c r="E219" s="353"/>
      <c r="F219" s="353"/>
      <c r="G219" s="330"/>
      <c r="H219" s="330"/>
      <c r="I219" s="330"/>
      <c r="J219" s="330"/>
      <c r="K219" s="330"/>
      <c r="L219" s="330"/>
      <c r="M219" s="330"/>
      <c r="N219" s="330"/>
      <c r="O219" s="330"/>
      <c r="P219" s="330"/>
      <c r="Q219" s="330"/>
      <c r="R219" s="330"/>
      <c r="S219" s="330"/>
      <c r="T219" s="321">
        <v>5.2400000000000002E-2</v>
      </c>
      <c r="U219" s="288"/>
      <c r="V219" s="288"/>
      <c r="W219" s="291"/>
      <c r="X219" s="5"/>
    </row>
    <row r="220" spans="1:24" ht="15.6" x14ac:dyDescent="0.3">
      <c r="A220" s="217"/>
      <c r="B220" s="284"/>
      <c r="C220" s="284"/>
      <c r="D220" s="284"/>
      <c r="E220" s="284"/>
      <c r="F220" s="284"/>
      <c r="G220" s="284"/>
      <c r="H220" s="284"/>
      <c r="I220" s="284"/>
      <c r="J220" s="284"/>
      <c r="K220" s="284"/>
      <c r="L220" s="284"/>
      <c r="M220" s="284"/>
      <c r="N220" s="284"/>
      <c r="O220" s="284"/>
      <c r="P220" s="284"/>
      <c r="Q220" s="284"/>
      <c r="R220" s="284"/>
      <c r="S220" s="284"/>
      <c r="T220" s="349"/>
      <c r="U220" s="284"/>
      <c r="V220" s="351"/>
      <c r="W220" s="284"/>
      <c r="X220" s="5"/>
    </row>
    <row r="221" spans="1:24" ht="15.6" x14ac:dyDescent="0.3">
      <c r="A221" s="278"/>
      <c r="B221" s="399" t="s">
        <v>79</v>
      </c>
      <c r="C221" s="400"/>
      <c r="D221" s="400"/>
      <c r="E221" s="400"/>
      <c r="F221" s="406"/>
      <c r="G221" s="400"/>
      <c r="H221" s="400"/>
      <c r="I221" s="400"/>
      <c r="J221" s="400"/>
      <c r="K221" s="400"/>
      <c r="L221" s="400"/>
      <c r="M221" s="400"/>
      <c r="N221" s="400"/>
      <c r="O221" s="400"/>
      <c r="P221" s="400"/>
      <c r="Q221" s="400"/>
      <c r="R221" s="400"/>
      <c r="S221" s="400" t="s">
        <v>102</v>
      </c>
      <c r="T221" s="406" t="s">
        <v>108</v>
      </c>
      <c r="U221" s="263"/>
      <c r="V221" s="263"/>
      <c r="W221" s="263"/>
      <c r="X221" s="5"/>
    </row>
    <row r="222" spans="1:24" ht="15.6" x14ac:dyDescent="0.3">
      <c r="A222" s="218"/>
      <c r="B222" s="231" t="s">
        <v>80</v>
      </c>
      <c r="C222" s="234"/>
      <c r="D222" s="234"/>
      <c r="E222" s="234"/>
      <c r="F222" s="231"/>
      <c r="G222" s="231"/>
      <c r="H222" s="233"/>
      <c r="I222" s="233"/>
      <c r="J222" s="233"/>
      <c r="K222" s="233"/>
      <c r="L222" s="233"/>
      <c r="M222" s="233"/>
      <c r="N222" s="233"/>
      <c r="O222" s="233"/>
      <c r="P222" s="233"/>
      <c r="Q222" s="233"/>
      <c r="R222" s="233"/>
      <c r="S222" s="233">
        <v>2</v>
      </c>
      <c r="T222" s="251">
        <v>240</v>
      </c>
      <c r="U222" s="231"/>
      <c r="V222" s="250"/>
      <c r="W222" s="252"/>
      <c r="X222" s="5"/>
    </row>
    <row r="223" spans="1:24" ht="15.6" x14ac:dyDescent="0.3">
      <c r="A223" s="362"/>
      <c r="B223" s="288" t="s">
        <v>145</v>
      </c>
      <c r="C223" s="337"/>
      <c r="D223" s="337"/>
      <c r="E223" s="337"/>
      <c r="F223" s="288"/>
      <c r="G223" s="288"/>
      <c r="H223" s="296"/>
      <c r="I223" s="296"/>
      <c r="J223" s="296"/>
      <c r="K223" s="296"/>
      <c r="L223" s="296"/>
      <c r="M223" s="296"/>
      <c r="N223" s="296"/>
      <c r="O223" s="296"/>
      <c r="P223" s="296"/>
      <c r="Q223" s="296"/>
      <c r="R223" s="296"/>
      <c r="S223" s="363">
        <f>+R275</f>
        <v>124</v>
      </c>
      <c r="T223" s="364">
        <f>+T275</f>
        <v>17547</v>
      </c>
      <c r="U223" s="288"/>
      <c r="V223" s="365"/>
      <c r="W223" s="366"/>
      <c r="X223" s="5"/>
    </row>
    <row r="224" spans="1:24" ht="15.6" x14ac:dyDescent="0.3">
      <c r="A224" s="362"/>
      <c r="B224" s="288" t="s">
        <v>81</v>
      </c>
      <c r="C224" s="337"/>
      <c r="D224" s="337"/>
      <c r="E224" s="337"/>
      <c r="F224" s="288"/>
      <c r="G224" s="288"/>
      <c r="H224" s="296"/>
      <c r="I224" s="296"/>
      <c r="J224" s="296"/>
      <c r="K224" s="296"/>
      <c r="L224" s="296"/>
      <c r="M224" s="296"/>
      <c r="N224" s="296"/>
      <c r="O224" s="296"/>
      <c r="P224" s="296"/>
      <c r="Q224" s="296"/>
      <c r="R224" s="296"/>
      <c r="S224" s="363">
        <f>+R287</f>
        <v>0</v>
      </c>
      <c r="T224" s="364">
        <f>+T287</f>
        <v>0</v>
      </c>
      <c r="U224" s="288"/>
      <c r="V224" s="365"/>
      <c r="W224" s="366"/>
      <c r="X224" s="5"/>
    </row>
    <row r="225" spans="1:24" ht="15.6" x14ac:dyDescent="0.3">
      <c r="A225" s="362"/>
      <c r="B225" s="313" t="s">
        <v>82</v>
      </c>
      <c r="C225" s="367"/>
      <c r="D225" s="367"/>
      <c r="E225" s="367"/>
      <c r="F225" s="314"/>
      <c r="G225" s="314"/>
      <c r="H225" s="314"/>
      <c r="I225" s="314"/>
      <c r="J225" s="314"/>
      <c r="K225" s="314"/>
      <c r="L225" s="314"/>
      <c r="M225" s="314"/>
      <c r="N225" s="314"/>
      <c r="O225" s="314"/>
      <c r="P225" s="314"/>
      <c r="Q225" s="314"/>
      <c r="R225" s="314"/>
      <c r="S225" s="314"/>
      <c r="T225" s="364">
        <v>0</v>
      </c>
      <c r="U225" s="314"/>
      <c r="V225" s="369"/>
      <c r="W225" s="370"/>
      <c r="X225" s="5"/>
    </row>
    <row r="226" spans="1:24" ht="15.6" x14ac:dyDescent="0.3">
      <c r="A226" s="362"/>
      <c r="B226" s="313" t="s">
        <v>243</v>
      </c>
      <c r="C226" s="367"/>
      <c r="D226" s="367"/>
      <c r="E226" s="367"/>
      <c r="F226" s="314"/>
      <c r="G226" s="314"/>
      <c r="H226" s="314"/>
      <c r="I226" s="314"/>
      <c r="J226" s="314"/>
      <c r="K226" s="314"/>
      <c r="L226" s="314"/>
      <c r="M226" s="314"/>
      <c r="N226" s="314"/>
      <c r="O226" s="314"/>
      <c r="P226" s="314"/>
      <c r="Q226" s="314"/>
      <c r="R226" s="314"/>
      <c r="S226" s="314"/>
      <c r="T226" s="364">
        <f>+N80</f>
        <v>0</v>
      </c>
      <c r="U226" s="314"/>
      <c r="V226" s="369"/>
      <c r="W226" s="370"/>
      <c r="X226" s="5"/>
    </row>
    <row r="227" spans="1:24" ht="15.6" x14ac:dyDescent="0.3">
      <c r="A227" s="371"/>
      <c r="B227" s="313" t="s">
        <v>83</v>
      </c>
      <c r="C227" s="372"/>
      <c r="D227" s="372"/>
      <c r="E227" s="372"/>
      <c r="F227" s="372"/>
      <c r="G227" s="314"/>
      <c r="H227" s="314"/>
      <c r="I227" s="314"/>
      <c r="J227" s="314"/>
      <c r="K227" s="314"/>
      <c r="L227" s="314"/>
      <c r="M227" s="314"/>
      <c r="N227" s="314"/>
      <c r="O227" s="314"/>
      <c r="P227" s="314"/>
      <c r="Q227" s="314"/>
      <c r="R227" s="314"/>
      <c r="S227" s="314"/>
      <c r="T227" s="368"/>
      <c r="U227" s="314"/>
      <c r="V227" s="369"/>
      <c r="W227" s="373"/>
      <c r="X227" s="5"/>
    </row>
    <row r="228" spans="1:24" ht="15.6" x14ac:dyDescent="0.3">
      <c r="A228" s="371"/>
      <c r="B228" s="288" t="s">
        <v>84</v>
      </c>
      <c r="C228" s="288"/>
      <c r="D228" s="288"/>
      <c r="E228" s="288"/>
      <c r="F228" s="288"/>
      <c r="G228" s="288"/>
      <c r="H228" s="288"/>
      <c r="I228" s="288"/>
      <c r="J228" s="288"/>
      <c r="K228" s="288"/>
      <c r="L228" s="288"/>
      <c r="M228" s="288"/>
      <c r="N228" s="288"/>
      <c r="O228" s="288"/>
      <c r="P228" s="288"/>
      <c r="Q228" s="288"/>
      <c r="R228" s="288"/>
      <c r="S228" s="296"/>
      <c r="T228" s="364">
        <f>V166</f>
        <v>29</v>
      </c>
      <c r="U228" s="288"/>
      <c r="V228" s="365"/>
      <c r="W228" s="378"/>
      <c r="X228" s="5"/>
    </row>
    <row r="229" spans="1:24" ht="15.6" x14ac:dyDescent="0.3">
      <c r="A229" s="362"/>
      <c r="B229" s="288" t="s">
        <v>85</v>
      </c>
      <c r="C229" s="337"/>
      <c r="D229" s="337"/>
      <c r="E229" s="337"/>
      <c r="F229" s="337"/>
      <c r="G229" s="288"/>
      <c r="H229" s="288"/>
      <c r="I229" s="288"/>
      <c r="J229" s="288"/>
      <c r="K229" s="288"/>
      <c r="L229" s="288"/>
      <c r="M229" s="288"/>
      <c r="N229" s="288"/>
      <c r="O229" s="288"/>
      <c r="P229" s="288"/>
      <c r="Q229" s="288"/>
      <c r="R229" s="288"/>
      <c r="S229" s="296"/>
      <c r="T229" s="364">
        <f>'Feb 17'!T229+T228</f>
        <v>7726</v>
      </c>
      <c r="U229" s="288"/>
      <c r="V229" s="365"/>
      <c r="W229" s="378"/>
      <c r="X229" s="5"/>
    </row>
    <row r="230" spans="1:24" ht="15.6" x14ac:dyDescent="0.3">
      <c r="A230" s="371"/>
      <c r="B230" s="313" t="s">
        <v>295</v>
      </c>
      <c r="C230" s="372"/>
      <c r="D230" s="372"/>
      <c r="E230" s="372"/>
      <c r="F230" s="372"/>
      <c r="G230" s="314"/>
      <c r="H230" s="314"/>
      <c r="I230" s="314"/>
      <c r="J230" s="314"/>
      <c r="K230" s="314"/>
      <c r="L230" s="314"/>
      <c r="M230" s="314"/>
      <c r="N230" s="314"/>
      <c r="O230" s="314"/>
      <c r="P230" s="314"/>
      <c r="Q230" s="314"/>
      <c r="R230" s="314"/>
      <c r="S230" s="316"/>
      <c r="T230" s="368"/>
      <c r="U230" s="314"/>
      <c r="V230" s="369"/>
      <c r="W230" s="373"/>
      <c r="X230" s="5"/>
    </row>
    <row r="231" spans="1:24" ht="15.6" x14ac:dyDescent="0.3">
      <c r="A231" s="371"/>
      <c r="B231" s="288" t="s">
        <v>291</v>
      </c>
      <c r="C231" s="288"/>
      <c r="D231" s="288"/>
      <c r="E231" s="288"/>
      <c r="F231" s="288"/>
      <c r="G231" s="288"/>
      <c r="H231" s="288"/>
      <c r="I231" s="288"/>
      <c r="J231" s="288"/>
      <c r="K231" s="288"/>
      <c r="L231" s="288"/>
      <c r="M231" s="288"/>
      <c r="N231" s="288"/>
      <c r="O231" s="288"/>
      <c r="P231" s="288"/>
      <c r="Q231" s="288"/>
      <c r="R231" s="288"/>
      <c r="S231" s="296">
        <v>0</v>
      </c>
      <c r="T231" s="364">
        <v>0</v>
      </c>
      <c r="U231" s="288"/>
      <c r="V231" s="365"/>
      <c r="W231" s="378"/>
      <c r="X231" s="5"/>
    </row>
    <row r="232" spans="1:24" ht="15.6" x14ac:dyDescent="0.3">
      <c r="A232" s="362"/>
      <c r="B232" s="288" t="s">
        <v>86</v>
      </c>
      <c r="C232" s="325"/>
      <c r="D232" s="325"/>
      <c r="E232" s="325"/>
      <c r="F232" s="379"/>
      <c r="G232" s="288"/>
      <c r="H232" s="288"/>
      <c r="I232" s="288"/>
      <c r="J232" s="288"/>
      <c r="K232" s="288"/>
      <c r="L232" s="288"/>
      <c r="M232" s="288"/>
      <c r="N232" s="288"/>
      <c r="O232" s="288"/>
      <c r="P232" s="288"/>
      <c r="Q232" s="288"/>
      <c r="R232" s="288"/>
      <c r="S232" s="288"/>
      <c r="T232" s="380">
        <v>0</v>
      </c>
      <c r="U232" s="288"/>
      <c r="V232" s="365"/>
      <c r="W232" s="378"/>
      <c r="X232" s="5"/>
    </row>
    <row r="233" spans="1:24" ht="15.6" x14ac:dyDescent="0.3">
      <c r="A233" s="362"/>
      <c r="B233" s="288" t="s">
        <v>87</v>
      </c>
      <c r="C233" s="325"/>
      <c r="D233" s="325"/>
      <c r="E233" s="325"/>
      <c r="F233" s="379"/>
      <c r="G233" s="288"/>
      <c r="H233" s="288"/>
      <c r="I233" s="288"/>
      <c r="J233" s="288"/>
      <c r="K233" s="288"/>
      <c r="L233" s="288"/>
      <c r="M233" s="288"/>
      <c r="N233" s="288"/>
      <c r="O233" s="288"/>
      <c r="P233" s="288"/>
      <c r="Q233" s="288"/>
      <c r="R233" s="288"/>
      <c r="S233" s="288"/>
      <c r="T233" s="380">
        <v>0</v>
      </c>
      <c r="U233" s="288"/>
      <c r="V233" s="365"/>
      <c r="W233" s="378"/>
      <c r="X233" s="5"/>
    </row>
    <row r="234" spans="1:24" ht="15.6" x14ac:dyDescent="0.3">
      <c r="A234" s="362"/>
      <c r="B234" s="313" t="s">
        <v>217</v>
      </c>
      <c r="C234" s="381"/>
      <c r="D234" s="381"/>
      <c r="E234" s="381"/>
      <c r="F234" s="382"/>
      <c r="G234" s="314"/>
      <c r="H234" s="314"/>
      <c r="I234" s="314"/>
      <c r="J234" s="314"/>
      <c r="K234" s="314"/>
      <c r="L234" s="314"/>
      <c r="M234" s="314"/>
      <c r="N234" s="314"/>
      <c r="O234" s="314"/>
      <c r="P234" s="314"/>
      <c r="Q234" s="314"/>
      <c r="R234" s="314"/>
      <c r="S234" s="314"/>
      <c r="T234" s="383"/>
      <c r="U234" s="314"/>
      <c r="V234" s="369"/>
      <c r="W234" s="373"/>
      <c r="X234" s="5"/>
    </row>
    <row r="235" spans="1:24" ht="15.6" x14ac:dyDescent="0.3">
      <c r="A235" s="362"/>
      <c r="B235" s="288" t="s">
        <v>291</v>
      </c>
      <c r="C235" s="381"/>
      <c r="D235" s="381"/>
      <c r="E235" s="381"/>
      <c r="F235" s="382"/>
      <c r="G235" s="314"/>
      <c r="H235" s="314"/>
      <c r="I235" s="314"/>
      <c r="J235" s="314"/>
      <c r="K235" s="314"/>
      <c r="L235" s="314"/>
      <c r="M235" s="314"/>
      <c r="N235" s="314"/>
      <c r="O235" s="314"/>
      <c r="P235" s="314"/>
      <c r="Q235" s="314"/>
      <c r="R235" s="314"/>
      <c r="S235" s="296">
        <v>3</v>
      </c>
      <c r="T235" s="364">
        <v>484</v>
      </c>
      <c r="U235" s="314"/>
      <c r="V235" s="369"/>
      <c r="W235" s="373"/>
      <c r="X235" s="5"/>
    </row>
    <row r="236" spans="1:24" ht="15.6" x14ac:dyDescent="0.3">
      <c r="A236" s="362"/>
      <c r="B236" s="288" t="s">
        <v>218</v>
      </c>
      <c r="C236" s="381"/>
      <c r="D236" s="381"/>
      <c r="E236" s="381"/>
      <c r="F236" s="382"/>
      <c r="G236" s="314"/>
      <c r="H236" s="314"/>
      <c r="I236" s="314"/>
      <c r="J236" s="314"/>
      <c r="K236" s="314"/>
      <c r="L236" s="314"/>
      <c r="M236" s="314"/>
      <c r="N236" s="314"/>
      <c r="O236" s="314"/>
      <c r="P236" s="314"/>
      <c r="Q236" s="314"/>
      <c r="R236" s="314"/>
      <c r="S236" s="288"/>
      <c r="T236" s="380">
        <v>0.82</v>
      </c>
      <c r="U236" s="314"/>
      <c r="V236" s="369"/>
      <c r="W236" s="373"/>
      <c r="X236" s="5"/>
    </row>
    <row r="237" spans="1:24" ht="15.6" x14ac:dyDescent="0.3">
      <c r="A237" s="362"/>
      <c r="B237" s="372"/>
      <c r="C237" s="381"/>
      <c r="D237" s="381"/>
      <c r="E237" s="381"/>
      <c r="F237" s="382"/>
      <c r="G237" s="314"/>
      <c r="H237" s="314"/>
      <c r="I237" s="314"/>
      <c r="J237" s="314"/>
      <c r="K237" s="314"/>
      <c r="L237" s="314"/>
      <c r="M237" s="314"/>
      <c r="N237" s="314"/>
      <c r="O237" s="314"/>
      <c r="P237" s="314"/>
      <c r="Q237" s="314"/>
      <c r="R237" s="314"/>
      <c r="S237" s="314"/>
      <c r="T237" s="383"/>
      <c r="U237" s="314"/>
      <c r="V237" s="369"/>
      <c r="W237" s="373"/>
      <c r="X237" s="5"/>
    </row>
    <row r="238" spans="1:24" ht="15.6" x14ac:dyDescent="0.3">
      <c r="A238" s="362"/>
      <c r="B238" s="372"/>
      <c r="C238" s="381"/>
      <c r="D238" s="381"/>
      <c r="E238" s="381"/>
      <c r="F238" s="382"/>
      <c r="G238" s="314"/>
      <c r="H238" s="314"/>
      <c r="I238" s="314"/>
      <c r="J238" s="314"/>
      <c r="K238" s="314"/>
      <c r="L238" s="314"/>
      <c r="M238" s="314"/>
      <c r="N238" s="314"/>
      <c r="O238" s="314"/>
      <c r="P238" s="314"/>
      <c r="Q238" s="314"/>
      <c r="R238" s="314"/>
      <c r="S238" s="314"/>
      <c r="T238" s="383"/>
      <c r="U238" s="314"/>
      <c r="V238" s="369"/>
      <c r="W238" s="373"/>
      <c r="X238" s="5"/>
    </row>
    <row r="239" spans="1:24" ht="17.399999999999999" x14ac:dyDescent="0.3">
      <c r="A239" s="362"/>
      <c r="B239" s="384" t="s">
        <v>168</v>
      </c>
      <c r="C239" s="381"/>
      <c r="D239" s="381"/>
      <c r="E239" s="381"/>
      <c r="F239" s="382"/>
      <c r="G239" s="314"/>
      <c r="H239" s="314"/>
      <c r="I239" s="314"/>
      <c r="J239" s="314"/>
      <c r="K239" s="314"/>
      <c r="L239" s="314"/>
      <c r="M239" s="314"/>
      <c r="N239" s="314"/>
      <c r="O239" s="314"/>
      <c r="P239" s="385" t="s">
        <v>167</v>
      </c>
      <c r="Q239" s="314"/>
      <c r="R239" s="314"/>
      <c r="S239" s="314"/>
      <c r="T239" s="383"/>
      <c r="U239" s="314"/>
      <c r="V239" s="369"/>
      <c r="W239" s="373"/>
      <c r="X239" s="5"/>
    </row>
    <row r="240" spans="1:24" ht="15.6" x14ac:dyDescent="0.3">
      <c r="A240" s="355"/>
      <c r="B240" s="356"/>
      <c r="C240" s="357"/>
      <c r="D240" s="357"/>
      <c r="E240" s="357"/>
      <c r="F240" s="358"/>
      <c r="G240" s="198"/>
      <c r="H240" s="198"/>
      <c r="I240" s="198"/>
      <c r="J240" s="198"/>
      <c r="K240" s="198"/>
      <c r="L240" s="198"/>
      <c r="M240" s="198"/>
      <c r="N240" s="198"/>
      <c r="O240" s="198"/>
      <c r="P240" s="198"/>
      <c r="Q240" s="198"/>
      <c r="R240" s="198"/>
      <c r="S240" s="198"/>
      <c r="T240" s="359"/>
      <c r="U240" s="198"/>
      <c r="V240" s="360"/>
      <c r="W240" s="361"/>
      <c r="X240" s="5"/>
    </row>
    <row r="241" spans="1:25" ht="15.6" x14ac:dyDescent="0.3">
      <c r="A241" s="262"/>
      <c r="B241" s="399" t="s">
        <v>308</v>
      </c>
      <c r="C241" s="400"/>
      <c r="D241" s="400"/>
      <c r="E241" s="400"/>
      <c r="F241" s="406"/>
      <c r="G241" s="400"/>
      <c r="H241" s="400"/>
      <c r="I241" s="400"/>
      <c r="J241" s="400"/>
      <c r="K241" s="400"/>
      <c r="L241" s="400"/>
      <c r="M241" s="400"/>
      <c r="N241" s="400"/>
      <c r="O241" s="400"/>
      <c r="P241" s="400"/>
      <c r="Q241" s="400"/>
      <c r="R241" s="406" t="s">
        <v>102</v>
      </c>
      <c r="S241" s="400" t="s">
        <v>103</v>
      </c>
      <c r="T241" s="406" t="s">
        <v>109</v>
      </c>
      <c r="U241" s="400" t="s">
        <v>103</v>
      </c>
      <c r="V241" s="263"/>
      <c r="W241" s="399"/>
      <c r="X241" s="5"/>
    </row>
    <row r="242" spans="1:25" ht="15.6" x14ac:dyDescent="0.3">
      <c r="A242" s="197"/>
      <c r="B242" s="234" t="s">
        <v>88</v>
      </c>
      <c r="C242" s="253"/>
      <c r="D242" s="253"/>
      <c r="E242" s="253"/>
      <c r="F242" s="231"/>
      <c r="G242" s="253"/>
      <c r="H242" s="253"/>
      <c r="I242" s="253"/>
      <c r="J242" s="253"/>
      <c r="K242" s="253"/>
      <c r="L242" s="253"/>
      <c r="M242" s="253"/>
      <c r="N242" s="253"/>
      <c r="O242" s="253"/>
      <c r="P242" s="253"/>
      <c r="Q242" s="253"/>
      <c r="R242" s="234">
        <f t="shared" ref="R242:R249" si="1">+R254+R266+R278</f>
        <v>6457</v>
      </c>
      <c r="S242" s="254">
        <f t="shared" ref="S242:S249" si="2">R242/$R$251</f>
        <v>0.99614316568960193</v>
      </c>
      <c r="T242" s="241">
        <f t="shared" ref="T242:T249" si="3">+T254+T266+T278</f>
        <v>888956</v>
      </c>
      <c r="U242" s="254">
        <f t="shared" ref="U242:U249" si="4">T242/$T$251</f>
        <v>0.99643887178257051</v>
      </c>
      <c r="V242" s="250"/>
      <c r="W242" s="232"/>
      <c r="X242" s="5"/>
    </row>
    <row r="243" spans="1:25" ht="15.6" x14ac:dyDescent="0.3">
      <c r="A243" s="287"/>
      <c r="B243" s="337" t="s">
        <v>89</v>
      </c>
      <c r="C243" s="389"/>
      <c r="D243" s="389"/>
      <c r="E243" s="389"/>
      <c r="F243" s="288"/>
      <c r="G243" s="390"/>
      <c r="H243" s="389"/>
      <c r="I243" s="389"/>
      <c r="J243" s="389"/>
      <c r="K243" s="389"/>
      <c r="L243" s="389"/>
      <c r="M243" s="389"/>
      <c r="N243" s="389"/>
      <c r="O243" s="389"/>
      <c r="P243" s="389"/>
      <c r="Q243" s="389"/>
      <c r="R243" s="337">
        <f t="shared" si="1"/>
        <v>10</v>
      </c>
      <c r="S243" s="390">
        <f t="shared" si="2"/>
        <v>1.5427337241592102E-3</v>
      </c>
      <c r="T243" s="338">
        <f t="shared" si="3"/>
        <v>1246</v>
      </c>
      <c r="U243" s="390">
        <f t="shared" si="4"/>
        <v>1.3966527412392546E-3</v>
      </c>
      <c r="V243" s="365"/>
      <c r="W243" s="378"/>
      <c r="X243" s="5"/>
      <c r="Y243" s="109"/>
    </row>
    <row r="244" spans="1:25" ht="15.6" x14ac:dyDescent="0.3">
      <c r="A244" s="287"/>
      <c r="B244" s="337" t="s">
        <v>90</v>
      </c>
      <c r="C244" s="389"/>
      <c r="D244" s="389"/>
      <c r="E244" s="389"/>
      <c r="F244" s="288"/>
      <c r="G244" s="390"/>
      <c r="H244" s="389"/>
      <c r="I244" s="389"/>
      <c r="J244" s="389"/>
      <c r="K244" s="389"/>
      <c r="L244" s="389"/>
      <c r="M244" s="389"/>
      <c r="N244" s="389"/>
      <c r="O244" s="389"/>
      <c r="P244" s="389"/>
      <c r="Q244" s="389"/>
      <c r="R244" s="337">
        <f t="shared" si="1"/>
        <v>3</v>
      </c>
      <c r="S244" s="390">
        <f t="shared" si="2"/>
        <v>4.6282011724776306E-4</v>
      </c>
      <c r="T244" s="338">
        <f t="shared" si="3"/>
        <v>270</v>
      </c>
      <c r="U244" s="390">
        <f t="shared" si="4"/>
        <v>3.0264545757190911E-4</v>
      </c>
      <c r="V244" s="365"/>
      <c r="W244" s="378"/>
      <c r="X244" s="5"/>
    </row>
    <row r="245" spans="1:25" ht="15.6" x14ac:dyDescent="0.3">
      <c r="A245" s="287"/>
      <c r="B245" s="337" t="s">
        <v>156</v>
      </c>
      <c r="C245" s="389"/>
      <c r="D245" s="389"/>
      <c r="E245" s="389"/>
      <c r="F245" s="288"/>
      <c r="G245" s="390"/>
      <c r="H245" s="389"/>
      <c r="I245" s="389"/>
      <c r="J245" s="389"/>
      <c r="K245" s="389"/>
      <c r="L245" s="389"/>
      <c r="M245" s="389"/>
      <c r="N245" s="389"/>
      <c r="O245" s="389"/>
      <c r="P245" s="389"/>
      <c r="Q245" s="389"/>
      <c r="R245" s="337">
        <f t="shared" si="1"/>
        <v>1</v>
      </c>
      <c r="S245" s="390">
        <f t="shared" si="2"/>
        <v>1.5427337241592101E-4</v>
      </c>
      <c r="T245" s="338">
        <f t="shared" si="3"/>
        <v>189</v>
      </c>
      <c r="U245" s="390">
        <f t="shared" si="4"/>
        <v>2.1185182030033638E-4</v>
      </c>
      <c r="V245" s="365"/>
      <c r="W245" s="378"/>
      <c r="X245" s="5"/>
      <c r="Y245" s="109"/>
    </row>
    <row r="246" spans="1:25" ht="15.6" x14ac:dyDescent="0.3">
      <c r="A246" s="287"/>
      <c r="B246" s="337" t="s">
        <v>157</v>
      </c>
      <c r="C246" s="389"/>
      <c r="D246" s="389"/>
      <c r="E246" s="389"/>
      <c r="F246" s="288"/>
      <c r="G246" s="390"/>
      <c r="H246" s="389"/>
      <c r="I246" s="389"/>
      <c r="J246" s="389"/>
      <c r="K246" s="389"/>
      <c r="L246" s="389"/>
      <c r="M246" s="389"/>
      <c r="N246" s="389"/>
      <c r="O246" s="389"/>
      <c r="P246" s="389"/>
      <c r="Q246" s="389"/>
      <c r="R246" s="337">
        <f t="shared" si="1"/>
        <v>1</v>
      </c>
      <c r="S246" s="390">
        <f t="shared" si="2"/>
        <v>1.5427337241592101E-4</v>
      </c>
      <c r="T246" s="338">
        <f t="shared" si="3"/>
        <v>149</v>
      </c>
      <c r="U246" s="390">
        <f t="shared" si="4"/>
        <v>1.6701545621560911E-4</v>
      </c>
      <c r="V246" s="365"/>
      <c r="W246" s="378"/>
      <c r="X246" s="5"/>
    </row>
    <row r="247" spans="1:25" ht="15.6" x14ac:dyDescent="0.3">
      <c r="A247" s="287"/>
      <c r="B247" s="337" t="s">
        <v>158</v>
      </c>
      <c r="C247" s="389"/>
      <c r="D247" s="389"/>
      <c r="E247" s="389"/>
      <c r="F247" s="288"/>
      <c r="G247" s="390"/>
      <c r="H247" s="389"/>
      <c r="I247" s="389"/>
      <c r="J247" s="389"/>
      <c r="K247" s="389"/>
      <c r="L247" s="389"/>
      <c r="M247" s="389"/>
      <c r="N247" s="389"/>
      <c r="O247" s="389"/>
      <c r="P247" s="389"/>
      <c r="Q247" s="389"/>
      <c r="R247" s="337">
        <f t="shared" si="1"/>
        <v>1</v>
      </c>
      <c r="S247" s="390">
        <f t="shared" si="2"/>
        <v>1.5427337241592101E-4</v>
      </c>
      <c r="T247" s="338">
        <f t="shared" si="3"/>
        <v>190</v>
      </c>
      <c r="U247" s="390">
        <f t="shared" si="4"/>
        <v>2.1297272940245458E-4</v>
      </c>
      <c r="V247" s="365"/>
      <c r="W247" s="378"/>
      <c r="X247" s="5"/>
      <c r="Y247" s="109"/>
    </row>
    <row r="248" spans="1:25" ht="15.6" x14ac:dyDescent="0.3">
      <c r="A248" s="287"/>
      <c r="B248" s="337" t="s">
        <v>159</v>
      </c>
      <c r="C248" s="389"/>
      <c r="D248" s="389"/>
      <c r="E248" s="389"/>
      <c r="F248" s="288"/>
      <c r="G248" s="390"/>
      <c r="H248" s="389"/>
      <c r="I248" s="389"/>
      <c r="J248" s="389"/>
      <c r="K248" s="389"/>
      <c r="L248" s="389"/>
      <c r="M248" s="389"/>
      <c r="N248" s="389"/>
      <c r="O248" s="389"/>
      <c r="P248" s="389"/>
      <c r="Q248" s="389"/>
      <c r="R248" s="337">
        <f t="shared" si="1"/>
        <v>5</v>
      </c>
      <c r="S248" s="390">
        <f t="shared" si="2"/>
        <v>7.7136686207960508E-4</v>
      </c>
      <c r="T248" s="338">
        <f t="shared" si="3"/>
        <v>559</v>
      </c>
      <c r="U248" s="390">
        <f t="shared" si="4"/>
        <v>6.265881880840637E-4</v>
      </c>
      <c r="V248" s="365"/>
      <c r="W248" s="378"/>
      <c r="X248" s="5"/>
    </row>
    <row r="249" spans="1:25" ht="15.6" x14ac:dyDescent="0.3">
      <c r="A249" s="287"/>
      <c r="B249" s="337" t="s">
        <v>160</v>
      </c>
      <c r="C249" s="389"/>
      <c r="D249" s="389"/>
      <c r="E249" s="389"/>
      <c r="F249" s="288"/>
      <c r="G249" s="390"/>
      <c r="H249" s="389"/>
      <c r="I249" s="389"/>
      <c r="J249" s="389"/>
      <c r="K249" s="389"/>
      <c r="L249" s="389"/>
      <c r="M249" s="389"/>
      <c r="N249" s="389"/>
      <c r="O249" s="389"/>
      <c r="P249" s="389"/>
      <c r="Q249" s="389"/>
      <c r="R249" s="339">
        <f t="shared" si="1"/>
        <v>4</v>
      </c>
      <c r="S249" s="393">
        <f t="shared" si="2"/>
        <v>6.1709348966368404E-4</v>
      </c>
      <c r="T249" s="394">
        <f t="shared" si="3"/>
        <v>574</v>
      </c>
      <c r="U249" s="393">
        <f t="shared" si="4"/>
        <v>6.4340182461583638E-4</v>
      </c>
      <c r="V249" s="365"/>
      <c r="W249" s="378"/>
      <c r="X249" s="5"/>
      <c r="Y249" s="109"/>
    </row>
    <row r="250" spans="1:25" ht="15.6" x14ac:dyDescent="0.3">
      <c r="A250" s="287"/>
      <c r="B250" s="337"/>
      <c r="C250" s="389"/>
      <c r="D250" s="389"/>
      <c r="E250" s="389"/>
      <c r="F250" s="288"/>
      <c r="G250" s="390"/>
      <c r="H250" s="389"/>
      <c r="I250" s="389"/>
      <c r="J250" s="389"/>
      <c r="K250" s="389"/>
      <c r="L250" s="389"/>
      <c r="M250" s="389"/>
      <c r="N250" s="389"/>
      <c r="O250" s="389"/>
      <c r="P250" s="389"/>
      <c r="Q250" s="389"/>
      <c r="R250" s="337"/>
      <c r="S250" s="390"/>
      <c r="T250" s="338"/>
      <c r="U250" s="390"/>
      <c r="V250" s="365"/>
      <c r="W250" s="378"/>
      <c r="X250" s="5"/>
    </row>
    <row r="251" spans="1:25" ht="15.6" x14ac:dyDescent="0.3">
      <c r="A251" s="287"/>
      <c r="B251" s="288"/>
      <c r="C251" s="288"/>
      <c r="D251" s="288"/>
      <c r="E251" s="288"/>
      <c r="F251" s="288"/>
      <c r="G251" s="288"/>
      <c r="H251" s="391"/>
      <c r="I251" s="391"/>
      <c r="J251" s="391"/>
      <c r="K251" s="391"/>
      <c r="L251" s="391"/>
      <c r="M251" s="391"/>
      <c r="N251" s="391"/>
      <c r="O251" s="391"/>
      <c r="P251" s="391"/>
      <c r="Q251" s="391"/>
      <c r="R251" s="337">
        <f>SUM(R242:R250)</f>
        <v>6482</v>
      </c>
      <c r="S251" s="390">
        <f>SUM(S242:S250)</f>
        <v>0.99999999999999989</v>
      </c>
      <c r="T251" s="338">
        <f>SUM(T242:T250)</f>
        <v>892133</v>
      </c>
      <c r="U251" s="390">
        <f>SUM(U242:U250)</f>
        <v>0.99999999999999989</v>
      </c>
      <c r="V251" s="288"/>
      <c r="W251" s="291"/>
      <c r="X251" s="5"/>
    </row>
    <row r="252" spans="1:25" ht="15.6" x14ac:dyDescent="0.3">
      <c r="A252" s="183"/>
      <c r="B252" s="198"/>
      <c r="C252" s="198"/>
      <c r="D252" s="198"/>
      <c r="E252" s="198"/>
      <c r="F252" s="198"/>
      <c r="G252" s="198"/>
      <c r="H252" s="386"/>
      <c r="I252" s="386"/>
      <c r="J252" s="386"/>
      <c r="K252" s="386"/>
      <c r="L252" s="386"/>
      <c r="M252" s="386"/>
      <c r="N252" s="386"/>
      <c r="O252" s="386"/>
      <c r="P252" s="386"/>
      <c r="Q252" s="386"/>
      <c r="R252" s="335"/>
      <c r="S252" s="387"/>
      <c r="T252" s="388"/>
      <c r="U252" s="387"/>
      <c r="V252" s="198"/>
      <c r="W252" s="198"/>
      <c r="X252" s="5"/>
    </row>
    <row r="253" spans="1:25" ht="15.6" x14ac:dyDescent="0.3">
      <c r="A253" s="262"/>
      <c r="B253" s="399" t="s">
        <v>162</v>
      </c>
      <c r="C253" s="400"/>
      <c r="D253" s="400"/>
      <c r="E253" s="400"/>
      <c r="F253" s="406"/>
      <c r="G253" s="400"/>
      <c r="H253" s="400"/>
      <c r="I253" s="400"/>
      <c r="J253" s="400"/>
      <c r="K253" s="400"/>
      <c r="L253" s="400"/>
      <c r="M253" s="400"/>
      <c r="N253" s="400"/>
      <c r="O253" s="400"/>
      <c r="P253" s="400"/>
      <c r="Q253" s="400"/>
      <c r="R253" s="406" t="s">
        <v>102</v>
      </c>
      <c r="S253" s="400" t="s">
        <v>103</v>
      </c>
      <c r="T253" s="406" t="s">
        <v>109</v>
      </c>
      <c r="U253" s="400" t="s">
        <v>103</v>
      </c>
      <c r="V253" s="263"/>
      <c r="W253" s="399"/>
      <c r="X253" s="5"/>
    </row>
    <row r="254" spans="1:25" ht="15.6" x14ac:dyDescent="0.3">
      <c r="A254" s="197"/>
      <c r="B254" s="234" t="s">
        <v>88</v>
      </c>
      <c r="C254" s="253"/>
      <c r="D254" s="253"/>
      <c r="E254" s="253"/>
      <c r="F254" s="231"/>
      <c r="G254" s="253"/>
      <c r="H254" s="253"/>
      <c r="I254" s="253"/>
      <c r="J254" s="253"/>
      <c r="K254" s="253"/>
      <c r="L254" s="253"/>
      <c r="M254" s="253"/>
      <c r="N254" s="253"/>
      <c r="O254" s="253"/>
      <c r="P254" s="253"/>
      <c r="Q254" s="253"/>
      <c r="R254" s="234">
        <v>6346</v>
      </c>
      <c r="S254" s="254">
        <f t="shared" ref="S254:S261" si="5">R254/$R$263</f>
        <v>0.99811261402956908</v>
      </c>
      <c r="T254" s="241">
        <v>873056</v>
      </c>
      <c r="U254" s="254">
        <f t="shared" ref="U254:U261" si="6">T254/$T$263</f>
        <v>0.99825060085571915</v>
      </c>
      <c r="V254" s="250"/>
      <c r="W254" s="232"/>
      <c r="X254" s="5"/>
    </row>
    <row r="255" spans="1:25" ht="15.6" x14ac:dyDescent="0.3">
      <c r="A255" s="287"/>
      <c r="B255" s="337" t="s">
        <v>89</v>
      </c>
      <c r="C255" s="389"/>
      <c r="D255" s="389"/>
      <c r="E255" s="389"/>
      <c r="F255" s="288"/>
      <c r="G255" s="390"/>
      <c r="H255" s="389"/>
      <c r="I255" s="389"/>
      <c r="J255" s="389"/>
      <c r="K255" s="389"/>
      <c r="L255" s="389"/>
      <c r="M255" s="389"/>
      <c r="N255" s="389"/>
      <c r="O255" s="389"/>
      <c r="P255" s="389"/>
      <c r="Q255" s="389"/>
      <c r="R255" s="337">
        <v>10</v>
      </c>
      <c r="S255" s="390">
        <f t="shared" si="5"/>
        <v>1.5728216420257944E-3</v>
      </c>
      <c r="T255" s="338">
        <v>1246</v>
      </c>
      <c r="U255" s="390">
        <f t="shared" si="6"/>
        <v>1.424674074362041E-3</v>
      </c>
      <c r="V255" s="365"/>
      <c r="W255" s="378"/>
      <c r="X255" s="5"/>
      <c r="Y255" s="109"/>
    </row>
    <row r="256" spans="1:25" ht="15.6" x14ac:dyDescent="0.3">
      <c r="A256" s="287"/>
      <c r="B256" s="337" t="s">
        <v>90</v>
      </c>
      <c r="C256" s="389"/>
      <c r="D256" s="389"/>
      <c r="E256" s="389"/>
      <c r="F256" s="288"/>
      <c r="G256" s="390"/>
      <c r="H256" s="389"/>
      <c r="I256" s="389"/>
      <c r="J256" s="389"/>
      <c r="K256" s="389"/>
      <c r="L256" s="389"/>
      <c r="M256" s="389"/>
      <c r="N256" s="389"/>
      <c r="O256" s="389"/>
      <c r="P256" s="389"/>
      <c r="Q256" s="389"/>
      <c r="R256" s="337">
        <v>1</v>
      </c>
      <c r="S256" s="390">
        <f t="shared" si="5"/>
        <v>1.5728216420257942E-4</v>
      </c>
      <c r="T256" s="338">
        <v>82</v>
      </c>
      <c r="U256" s="390">
        <f t="shared" si="6"/>
        <v>9.3758646948384722E-5</v>
      </c>
      <c r="V256" s="365"/>
      <c r="W256" s="378"/>
      <c r="X256" s="5"/>
    </row>
    <row r="257" spans="1:25" ht="15.6" x14ac:dyDescent="0.3">
      <c r="A257" s="287"/>
      <c r="B257" s="337" t="s">
        <v>156</v>
      </c>
      <c r="C257" s="389"/>
      <c r="D257" s="389"/>
      <c r="E257" s="389"/>
      <c r="F257" s="288"/>
      <c r="G257" s="390"/>
      <c r="H257" s="389"/>
      <c r="I257" s="389"/>
      <c r="J257" s="389"/>
      <c r="K257" s="389"/>
      <c r="L257" s="389"/>
      <c r="M257" s="389"/>
      <c r="N257" s="389"/>
      <c r="O257" s="389"/>
      <c r="P257" s="389"/>
      <c r="Q257" s="389"/>
      <c r="R257" s="337">
        <v>0</v>
      </c>
      <c r="S257" s="390">
        <f t="shared" si="5"/>
        <v>0</v>
      </c>
      <c r="T257" s="338">
        <v>0</v>
      </c>
      <c r="U257" s="390">
        <f t="shared" si="6"/>
        <v>0</v>
      </c>
      <c r="V257" s="365"/>
      <c r="W257" s="378"/>
      <c r="X257" s="5"/>
      <c r="Y257" s="109"/>
    </row>
    <row r="258" spans="1:25" ht="15.6" x14ac:dyDescent="0.3">
      <c r="A258" s="287"/>
      <c r="B258" s="337" t="s">
        <v>157</v>
      </c>
      <c r="C258" s="389"/>
      <c r="D258" s="389"/>
      <c r="E258" s="389"/>
      <c r="F258" s="288"/>
      <c r="G258" s="390"/>
      <c r="H258" s="389"/>
      <c r="I258" s="389"/>
      <c r="J258" s="389"/>
      <c r="K258" s="389"/>
      <c r="L258" s="389"/>
      <c r="M258" s="389"/>
      <c r="N258" s="389"/>
      <c r="O258" s="389"/>
      <c r="P258" s="389"/>
      <c r="Q258" s="389"/>
      <c r="R258" s="337">
        <v>0</v>
      </c>
      <c r="S258" s="390">
        <f t="shared" si="5"/>
        <v>0</v>
      </c>
      <c r="T258" s="338">
        <v>0</v>
      </c>
      <c r="U258" s="390">
        <f t="shared" si="6"/>
        <v>0</v>
      </c>
      <c r="V258" s="365"/>
      <c r="W258" s="378"/>
      <c r="X258" s="5"/>
    </row>
    <row r="259" spans="1:25" ht="15.6" x14ac:dyDescent="0.3">
      <c r="A259" s="287"/>
      <c r="B259" s="337" t="s">
        <v>158</v>
      </c>
      <c r="C259" s="389"/>
      <c r="D259" s="389"/>
      <c r="E259" s="389"/>
      <c r="F259" s="288"/>
      <c r="G259" s="390"/>
      <c r="H259" s="389"/>
      <c r="I259" s="389"/>
      <c r="J259" s="389"/>
      <c r="K259" s="389"/>
      <c r="L259" s="389"/>
      <c r="M259" s="389"/>
      <c r="N259" s="389"/>
      <c r="O259" s="389"/>
      <c r="P259" s="389"/>
      <c r="Q259" s="389"/>
      <c r="R259" s="337">
        <v>0</v>
      </c>
      <c r="S259" s="390">
        <f t="shared" si="5"/>
        <v>0</v>
      </c>
      <c r="T259" s="338">
        <v>0</v>
      </c>
      <c r="U259" s="390">
        <f t="shared" si="6"/>
        <v>0</v>
      </c>
      <c r="V259" s="365"/>
      <c r="W259" s="378"/>
      <c r="X259" s="5"/>
      <c r="Y259" s="109"/>
    </row>
    <row r="260" spans="1:25" ht="15.6" x14ac:dyDescent="0.3">
      <c r="A260" s="287"/>
      <c r="B260" s="337" t="s">
        <v>159</v>
      </c>
      <c r="C260" s="389"/>
      <c r="D260" s="389"/>
      <c r="E260" s="389"/>
      <c r="F260" s="288"/>
      <c r="G260" s="390"/>
      <c r="H260" s="389"/>
      <c r="I260" s="389"/>
      <c r="J260" s="389"/>
      <c r="K260" s="389"/>
      <c r="L260" s="389"/>
      <c r="M260" s="389"/>
      <c r="N260" s="389"/>
      <c r="O260" s="389"/>
      <c r="P260" s="389"/>
      <c r="Q260" s="389"/>
      <c r="R260" s="337">
        <v>1</v>
      </c>
      <c r="S260" s="390">
        <f t="shared" si="5"/>
        <v>1.5728216420257942E-4</v>
      </c>
      <c r="T260" s="338">
        <v>202</v>
      </c>
      <c r="U260" s="390">
        <f t="shared" si="6"/>
        <v>2.3096642297041115E-4</v>
      </c>
      <c r="V260" s="365"/>
      <c r="W260" s="378"/>
      <c r="X260" s="5"/>
    </row>
    <row r="261" spans="1:25" ht="15.6" x14ac:dyDescent="0.3">
      <c r="A261" s="287"/>
      <c r="B261" s="337" t="s">
        <v>160</v>
      </c>
      <c r="C261" s="389"/>
      <c r="D261" s="389"/>
      <c r="E261" s="389"/>
      <c r="F261" s="288"/>
      <c r="G261" s="390"/>
      <c r="H261" s="389"/>
      <c r="I261" s="389"/>
      <c r="J261" s="389"/>
      <c r="K261" s="389"/>
      <c r="L261" s="389"/>
      <c r="M261" s="389"/>
      <c r="N261" s="389"/>
      <c r="O261" s="389"/>
      <c r="P261" s="389"/>
      <c r="Q261" s="389"/>
      <c r="R261" s="337">
        <v>0</v>
      </c>
      <c r="S261" s="390">
        <f t="shared" si="5"/>
        <v>0</v>
      </c>
      <c r="T261" s="338">
        <v>0</v>
      </c>
      <c r="U261" s="390">
        <f t="shared" si="6"/>
        <v>0</v>
      </c>
      <c r="V261" s="365"/>
      <c r="W261" s="378"/>
      <c r="X261" s="5"/>
      <c r="Y261" s="109"/>
    </row>
    <row r="262" spans="1:25" ht="15.6" x14ac:dyDescent="0.3">
      <c r="A262" s="287"/>
      <c r="B262" s="337"/>
      <c r="C262" s="389"/>
      <c r="D262" s="389"/>
      <c r="E262" s="389"/>
      <c r="F262" s="288"/>
      <c r="G262" s="390"/>
      <c r="H262" s="389"/>
      <c r="I262" s="389"/>
      <c r="J262" s="389"/>
      <c r="K262" s="389"/>
      <c r="L262" s="389"/>
      <c r="M262" s="389"/>
      <c r="N262" s="389"/>
      <c r="O262" s="389"/>
      <c r="P262" s="389"/>
      <c r="Q262" s="389"/>
      <c r="R262" s="337"/>
      <c r="S262" s="390"/>
      <c r="T262" s="338"/>
      <c r="U262" s="390"/>
      <c r="V262" s="365"/>
      <c r="W262" s="378"/>
      <c r="X262" s="5"/>
    </row>
    <row r="263" spans="1:25" ht="15.6" x14ac:dyDescent="0.3">
      <c r="A263" s="287"/>
      <c r="B263" s="288"/>
      <c r="C263" s="288"/>
      <c r="D263" s="288"/>
      <c r="E263" s="288"/>
      <c r="F263" s="288"/>
      <c r="G263" s="288"/>
      <c r="H263" s="391"/>
      <c r="I263" s="391"/>
      <c r="J263" s="391"/>
      <c r="K263" s="391"/>
      <c r="L263" s="391"/>
      <c r="M263" s="391"/>
      <c r="N263" s="391"/>
      <c r="O263" s="391"/>
      <c r="P263" s="391"/>
      <c r="Q263" s="391"/>
      <c r="R263" s="337">
        <f>SUM(R254:R262)</f>
        <v>6358</v>
      </c>
      <c r="S263" s="390">
        <f>SUM(S254:S262)</f>
        <v>1</v>
      </c>
      <c r="T263" s="338">
        <f>SUM(T254:T262)</f>
        <v>874586</v>
      </c>
      <c r="U263" s="390">
        <f>SUM(U254:U262)</f>
        <v>1</v>
      </c>
      <c r="V263" s="288"/>
      <c r="W263" s="291"/>
      <c r="X263" s="5"/>
    </row>
    <row r="264" spans="1:25" ht="15.6" x14ac:dyDescent="0.3">
      <c r="A264" s="183"/>
      <c r="B264" s="198"/>
      <c r="C264" s="198"/>
      <c r="D264" s="198"/>
      <c r="E264" s="198"/>
      <c r="F264" s="198"/>
      <c r="G264" s="198"/>
      <c r="H264" s="386"/>
      <c r="I264" s="386"/>
      <c r="J264" s="386"/>
      <c r="K264" s="386"/>
      <c r="L264" s="386"/>
      <c r="M264" s="386"/>
      <c r="N264" s="386"/>
      <c r="O264" s="386"/>
      <c r="P264" s="386"/>
      <c r="Q264" s="386"/>
      <c r="R264" s="335"/>
      <c r="S264" s="387"/>
      <c r="T264" s="388"/>
      <c r="U264" s="387"/>
      <c r="V264" s="198"/>
      <c r="W264" s="198"/>
      <c r="X264" s="5"/>
    </row>
    <row r="265" spans="1:25" ht="15.6" x14ac:dyDescent="0.3">
      <c r="A265" s="280"/>
      <c r="B265" s="399" t="s">
        <v>275</v>
      </c>
      <c r="C265" s="400"/>
      <c r="D265" s="400"/>
      <c r="E265" s="400"/>
      <c r="F265" s="406"/>
      <c r="G265" s="400"/>
      <c r="H265" s="400"/>
      <c r="I265" s="400"/>
      <c r="J265" s="400"/>
      <c r="K265" s="400"/>
      <c r="L265" s="400"/>
      <c r="M265" s="400"/>
      <c r="N265" s="400"/>
      <c r="O265" s="400"/>
      <c r="P265" s="400"/>
      <c r="Q265" s="400"/>
      <c r="R265" s="406" t="s">
        <v>102</v>
      </c>
      <c r="S265" s="400" t="s">
        <v>103</v>
      </c>
      <c r="T265" s="406" t="s">
        <v>109</v>
      </c>
      <c r="U265" s="400" t="s">
        <v>103</v>
      </c>
      <c r="V265" s="281"/>
      <c r="W265" s="282"/>
      <c r="X265" s="5"/>
    </row>
    <row r="266" spans="1:25" ht="15.6" x14ac:dyDescent="0.3">
      <c r="A266" s="197"/>
      <c r="B266" s="234" t="s">
        <v>88</v>
      </c>
      <c r="C266" s="253"/>
      <c r="D266" s="253"/>
      <c r="E266" s="253"/>
      <c r="F266" s="231"/>
      <c r="G266" s="253"/>
      <c r="H266" s="253"/>
      <c r="I266" s="253"/>
      <c r="J266" s="253"/>
      <c r="K266" s="253"/>
      <c r="L266" s="253"/>
      <c r="M266" s="253"/>
      <c r="N266" s="253"/>
      <c r="O266" s="253"/>
      <c r="P266" s="253"/>
      <c r="Q266" s="253"/>
      <c r="R266" s="234">
        <v>111</v>
      </c>
      <c r="S266" s="254">
        <f t="shared" ref="S266:S273" si="7">R266/$R$275</f>
        <v>0.89516129032258063</v>
      </c>
      <c r="T266" s="241">
        <v>15900</v>
      </c>
      <c r="U266" s="254">
        <f t="shared" ref="U266:U273" si="8">T266/$T$275</f>
        <v>0.90613780133356125</v>
      </c>
      <c r="V266" s="231"/>
      <c r="W266" s="231"/>
      <c r="X266" s="5"/>
    </row>
    <row r="267" spans="1:25" ht="15.6" x14ac:dyDescent="0.3">
      <c r="A267" s="287"/>
      <c r="B267" s="337" t="s">
        <v>89</v>
      </c>
      <c r="C267" s="389"/>
      <c r="D267" s="389"/>
      <c r="E267" s="389"/>
      <c r="F267" s="288"/>
      <c r="G267" s="390"/>
      <c r="H267" s="389"/>
      <c r="I267" s="389"/>
      <c r="J267" s="389"/>
      <c r="K267" s="389"/>
      <c r="L267" s="389"/>
      <c r="M267" s="389"/>
      <c r="N267" s="389"/>
      <c r="O267" s="389"/>
      <c r="P267" s="389"/>
      <c r="Q267" s="389"/>
      <c r="R267" s="337">
        <v>0</v>
      </c>
      <c r="S267" s="390">
        <f t="shared" si="7"/>
        <v>0</v>
      </c>
      <c r="T267" s="338">
        <v>0</v>
      </c>
      <c r="U267" s="390">
        <f t="shared" si="8"/>
        <v>0</v>
      </c>
      <c r="V267" s="288"/>
      <c r="W267" s="291"/>
      <c r="X267" s="5"/>
    </row>
    <row r="268" spans="1:25" ht="15.6" x14ac:dyDescent="0.3">
      <c r="A268" s="287"/>
      <c r="B268" s="337" t="s">
        <v>90</v>
      </c>
      <c r="C268" s="389"/>
      <c r="D268" s="389"/>
      <c r="E268" s="389"/>
      <c r="F268" s="288"/>
      <c r="G268" s="390"/>
      <c r="H268" s="389"/>
      <c r="I268" s="389"/>
      <c r="J268" s="389"/>
      <c r="K268" s="389"/>
      <c r="L268" s="389"/>
      <c r="M268" s="389"/>
      <c r="N268" s="389"/>
      <c r="O268" s="389"/>
      <c r="P268" s="389"/>
      <c r="Q268" s="389"/>
      <c r="R268" s="337">
        <v>2</v>
      </c>
      <c r="S268" s="390">
        <f t="shared" si="7"/>
        <v>1.6129032258064516E-2</v>
      </c>
      <c r="T268" s="338">
        <v>188</v>
      </c>
      <c r="U268" s="390">
        <f t="shared" si="8"/>
        <v>1.0714082179289907E-2</v>
      </c>
      <c r="V268" s="288"/>
      <c r="W268" s="291"/>
      <c r="X268" s="5"/>
    </row>
    <row r="269" spans="1:25" ht="15.6" x14ac:dyDescent="0.3">
      <c r="A269" s="287"/>
      <c r="B269" s="337" t="s">
        <v>156</v>
      </c>
      <c r="C269" s="389"/>
      <c r="D269" s="389"/>
      <c r="E269" s="389"/>
      <c r="F269" s="288"/>
      <c r="G269" s="390"/>
      <c r="H269" s="389"/>
      <c r="I269" s="389"/>
      <c r="J269" s="389"/>
      <c r="K269" s="389"/>
      <c r="L269" s="389"/>
      <c r="M269" s="389"/>
      <c r="N269" s="389"/>
      <c r="O269" s="389"/>
      <c r="P269" s="389"/>
      <c r="Q269" s="389"/>
      <c r="R269" s="337">
        <v>1</v>
      </c>
      <c r="S269" s="390">
        <f t="shared" si="7"/>
        <v>8.0645161290322578E-3</v>
      </c>
      <c r="T269" s="338">
        <v>189</v>
      </c>
      <c r="U269" s="390">
        <f t="shared" si="8"/>
        <v>1.0771071978115917E-2</v>
      </c>
      <c r="V269" s="288"/>
      <c r="W269" s="291"/>
      <c r="X269" s="5"/>
    </row>
    <row r="270" spans="1:25" ht="15.6" x14ac:dyDescent="0.3">
      <c r="A270" s="287"/>
      <c r="B270" s="337" t="s">
        <v>157</v>
      </c>
      <c r="C270" s="389"/>
      <c r="D270" s="389"/>
      <c r="E270" s="389"/>
      <c r="F270" s="288"/>
      <c r="G270" s="390"/>
      <c r="H270" s="389"/>
      <c r="I270" s="389"/>
      <c r="J270" s="389"/>
      <c r="K270" s="389"/>
      <c r="L270" s="389"/>
      <c r="M270" s="389"/>
      <c r="N270" s="389"/>
      <c r="O270" s="389"/>
      <c r="P270" s="389"/>
      <c r="Q270" s="389"/>
      <c r="R270" s="337">
        <v>1</v>
      </c>
      <c r="S270" s="390">
        <f t="shared" si="7"/>
        <v>8.0645161290322578E-3</v>
      </c>
      <c r="T270" s="338">
        <v>149</v>
      </c>
      <c r="U270" s="390">
        <f t="shared" si="8"/>
        <v>8.491480025075512E-3</v>
      </c>
      <c r="V270" s="288"/>
      <c r="W270" s="291"/>
      <c r="X270" s="5"/>
    </row>
    <row r="271" spans="1:25" ht="15.6" x14ac:dyDescent="0.3">
      <c r="A271" s="287"/>
      <c r="B271" s="337" t="s">
        <v>158</v>
      </c>
      <c r="C271" s="389"/>
      <c r="D271" s="389"/>
      <c r="E271" s="389"/>
      <c r="F271" s="288"/>
      <c r="G271" s="390"/>
      <c r="H271" s="389"/>
      <c r="I271" s="389"/>
      <c r="J271" s="389"/>
      <c r="K271" s="389"/>
      <c r="L271" s="389"/>
      <c r="M271" s="389"/>
      <c r="N271" s="389"/>
      <c r="O271" s="389"/>
      <c r="P271" s="389"/>
      <c r="Q271" s="389"/>
      <c r="R271" s="337">
        <v>1</v>
      </c>
      <c r="S271" s="390">
        <f t="shared" si="7"/>
        <v>8.0645161290322578E-3</v>
      </c>
      <c r="T271" s="338">
        <v>190</v>
      </c>
      <c r="U271" s="390">
        <f t="shared" si="8"/>
        <v>1.0828061776941927E-2</v>
      </c>
      <c r="V271" s="288"/>
      <c r="W271" s="291"/>
      <c r="X271" s="5"/>
    </row>
    <row r="272" spans="1:25" ht="15.6" x14ac:dyDescent="0.3">
      <c r="A272" s="287"/>
      <c r="B272" s="337" t="s">
        <v>159</v>
      </c>
      <c r="C272" s="389"/>
      <c r="D272" s="389"/>
      <c r="E272" s="389"/>
      <c r="F272" s="288"/>
      <c r="G272" s="390"/>
      <c r="H272" s="389"/>
      <c r="I272" s="389"/>
      <c r="J272" s="389"/>
      <c r="K272" s="389"/>
      <c r="L272" s="389"/>
      <c r="M272" s="389"/>
      <c r="N272" s="389"/>
      <c r="O272" s="389"/>
      <c r="P272" s="389"/>
      <c r="Q272" s="389"/>
      <c r="R272" s="337">
        <v>4</v>
      </c>
      <c r="S272" s="390">
        <f t="shared" si="7"/>
        <v>3.2258064516129031E-2</v>
      </c>
      <c r="T272" s="338">
        <v>357</v>
      </c>
      <c r="U272" s="390">
        <f t="shared" si="8"/>
        <v>2.034535818088562E-2</v>
      </c>
      <c r="V272" s="288"/>
      <c r="W272" s="291"/>
      <c r="X272" s="5"/>
    </row>
    <row r="273" spans="1:24" ht="15.6" x14ac:dyDescent="0.3">
      <c r="A273" s="287"/>
      <c r="B273" s="337" t="s">
        <v>160</v>
      </c>
      <c r="C273" s="389"/>
      <c r="D273" s="389"/>
      <c r="E273" s="389"/>
      <c r="F273" s="288"/>
      <c r="G273" s="390"/>
      <c r="H273" s="389"/>
      <c r="I273" s="389"/>
      <c r="J273" s="389"/>
      <c r="K273" s="389"/>
      <c r="L273" s="389"/>
      <c r="M273" s="389"/>
      <c r="N273" s="389"/>
      <c r="O273" s="389"/>
      <c r="P273" s="389"/>
      <c r="Q273" s="389"/>
      <c r="R273" s="337">
        <v>4</v>
      </c>
      <c r="S273" s="390">
        <f t="shared" si="7"/>
        <v>3.2258064516129031E-2</v>
      </c>
      <c r="T273" s="338">
        <v>574</v>
      </c>
      <c r="U273" s="390">
        <f t="shared" si="8"/>
        <v>3.2712144526129826E-2</v>
      </c>
      <c r="V273" s="288"/>
      <c r="W273" s="291"/>
      <c r="X273" s="5"/>
    </row>
    <row r="274" spans="1:24" ht="15.6" x14ac:dyDescent="0.3">
      <c r="A274" s="287"/>
      <c r="B274" s="337"/>
      <c r="C274" s="389"/>
      <c r="D274" s="389"/>
      <c r="E274" s="389"/>
      <c r="F274" s="288"/>
      <c r="G274" s="390"/>
      <c r="H274" s="389"/>
      <c r="I274" s="389"/>
      <c r="J274" s="389"/>
      <c r="K274" s="389"/>
      <c r="L274" s="389"/>
      <c r="M274" s="389"/>
      <c r="N274" s="389"/>
      <c r="O274" s="389"/>
      <c r="P274" s="389"/>
      <c r="Q274" s="389"/>
      <c r="R274" s="337"/>
      <c r="S274" s="390"/>
      <c r="T274" s="338"/>
      <c r="U274" s="390"/>
      <c r="V274" s="288"/>
      <c r="W274" s="291"/>
      <c r="X274" s="5"/>
    </row>
    <row r="275" spans="1:24" ht="15.6" x14ac:dyDescent="0.3">
      <c r="A275" s="287"/>
      <c r="B275" s="288"/>
      <c r="C275" s="288"/>
      <c r="D275" s="288"/>
      <c r="E275" s="288"/>
      <c r="F275" s="288"/>
      <c r="G275" s="288"/>
      <c r="H275" s="391"/>
      <c r="I275" s="391"/>
      <c r="J275" s="391"/>
      <c r="K275" s="391"/>
      <c r="L275" s="391"/>
      <c r="M275" s="391"/>
      <c r="N275" s="391"/>
      <c r="O275" s="391"/>
      <c r="P275" s="391"/>
      <c r="Q275" s="391"/>
      <c r="R275" s="337">
        <f>SUM(R266:R274)</f>
        <v>124</v>
      </c>
      <c r="S275" s="390">
        <f>SUM(S266:S274)</f>
        <v>0.99999999999999989</v>
      </c>
      <c r="T275" s="338">
        <f>SUM(T266:T274)</f>
        <v>17547</v>
      </c>
      <c r="U275" s="390">
        <f>SUM(U266:U274)</f>
        <v>1</v>
      </c>
      <c r="V275" s="288"/>
      <c r="W275" s="291"/>
      <c r="X275" s="5"/>
    </row>
    <row r="276" spans="1:24" ht="15.6" x14ac:dyDescent="0.3">
      <c r="A276" s="183"/>
      <c r="B276" s="284"/>
      <c r="C276" s="284"/>
      <c r="D276" s="284"/>
      <c r="E276" s="284"/>
      <c r="F276" s="284"/>
      <c r="G276" s="284"/>
      <c r="H276" s="392"/>
      <c r="I276" s="392"/>
      <c r="J276" s="392"/>
      <c r="K276" s="392"/>
      <c r="L276" s="392"/>
      <c r="M276" s="392"/>
      <c r="N276" s="392"/>
      <c r="O276" s="392"/>
      <c r="P276" s="392"/>
      <c r="Q276" s="392"/>
      <c r="R276" s="339"/>
      <c r="S276" s="393"/>
      <c r="T276" s="394"/>
      <c r="U276" s="393"/>
      <c r="V276" s="284"/>
      <c r="W276" s="284"/>
      <c r="X276" s="5"/>
    </row>
    <row r="277" spans="1:24" ht="15.6" x14ac:dyDescent="0.3">
      <c r="A277" s="280"/>
      <c r="B277" s="399" t="s">
        <v>163</v>
      </c>
      <c r="C277" s="281"/>
      <c r="D277" s="281"/>
      <c r="E277" s="281"/>
      <c r="F277" s="281"/>
      <c r="G277" s="281"/>
      <c r="H277" s="283"/>
      <c r="I277" s="283"/>
      <c r="J277" s="283"/>
      <c r="K277" s="283"/>
      <c r="L277" s="283"/>
      <c r="M277" s="283"/>
      <c r="N277" s="283"/>
      <c r="O277" s="283"/>
      <c r="P277" s="283"/>
      <c r="Q277" s="283"/>
      <c r="R277" s="406" t="s">
        <v>102</v>
      </c>
      <c r="S277" s="400" t="s">
        <v>103</v>
      </c>
      <c r="T277" s="406" t="s">
        <v>109</v>
      </c>
      <c r="U277" s="400" t="s">
        <v>103</v>
      </c>
      <c r="V277" s="281"/>
      <c r="W277" s="282"/>
      <c r="X277" s="5"/>
    </row>
    <row r="278" spans="1:24" ht="15.6" x14ac:dyDescent="0.3">
      <c r="A278" s="197"/>
      <c r="B278" s="234" t="s">
        <v>88</v>
      </c>
      <c r="C278" s="231"/>
      <c r="D278" s="231"/>
      <c r="E278" s="231"/>
      <c r="F278" s="231"/>
      <c r="G278" s="231"/>
      <c r="H278" s="255"/>
      <c r="I278" s="255"/>
      <c r="J278" s="255"/>
      <c r="K278" s="255"/>
      <c r="L278" s="255"/>
      <c r="M278" s="255"/>
      <c r="N278" s="255"/>
      <c r="O278" s="255"/>
      <c r="P278" s="255"/>
      <c r="Q278" s="255"/>
      <c r="R278" s="234">
        <v>0</v>
      </c>
      <c r="S278" s="254">
        <v>0</v>
      </c>
      <c r="T278" s="241">
        <v>0</v>
      </c>
      <c r="U278" s="254">
        <v>0</v>
      </c>
      <c r="V278" s="231"/>
      <c r="W278" s="231"/>
      <c r="X278" s="5"/>
    </row>
    <row r="279" spans="1:24" ht="15.6" x14ac:dyDescent="0.3">
      <c r="A279" s="287"/>
      <c r="B279" s="337" t="s">
        <v>89</v>
      </c>
      <c r="C279" s="288"/>
      <c r="D279" s="288"/>
      <c r="E279" s="288"/>
      <c r="F279" s="288"/>
      <c r="G279" s="288"/>
      <c r="H279" s="391"/>
      <c r="I279" s="391"/>
      <c r="J279" s="391"/>
      <c r="K279" s="391"/>
      <c r="L279" s="391"/>
      <c r="M279" s="391"/>
      <c r="N279" s="391"/>
      <c r="O279" s="391"/>
      <c r="P279" s="391"/>
      <c r="Q279" s="391"/>
      <c r="R279" s="337">
        <v>0</v>
      </c>
      <c r="S279" s="390">
        <v>0</v>
      </c>
      <c r="T279" s="338">
        <v>0</v>
      </c>
      <c r="U279" s="390">
        <v>0</v>
      </c>
      <c r="V279" s="288"/>
      <c r="W279" s="291"/>
      <c r="X279" s="5"/>
    </row>
    <row r="280" spans="1:24" ht="15.6" x14ac:dyDescent="0.3">
      <c r="A280" s="287"/>
      <c r="B280" s="337" t="s">
        <v>90</v>
      </c>
      <c r="C280" s="288"/>
      <c r="D280" s="288"/>
      <c r="E280" s="288"/>
      <c r="F280" s="288"/>
      <c r="G280" s="288"/>
      <c r="H280" s="391"/>
      <c r="I280" s="391"/>
      <c r="J280" s="391"/>
      <c r="K280" s="391"/>
      <c r="L280" s="391"/>
      <c r="M280" s="391"/>
      <c r="N280" s="391"/>
      <c r="O280" s="391"/>
      <c r="P280" s="391"/>
      <c r="Q280" s="391"/>
      <c r="R280" s="337">
        <v>0</v>
      </c>
      <c r="S280" s="390">
        <v>0</v>
      </c>
      <c r="T280" s="338">
        <v>0</v>
      </c>
      <c r="U280" s="390">
        <v>0</v>
      </c>
      <c r="V280" s="288"/>
      <c r="W280" s="291"/>
      <c r="X280" s="5"/>
    </row>
    <row r="281" spans="1:24" ht="15.6" x14ac:dyDescent="0.3">
      <c r="A281" s="287"/>
      <c r="B281" s="337" t="s">
        <v>156</v>
      </c>
      <c r="C281" s="288"/>
      <c r="D281" s="288"/>
      <c r="E281" s="288"/>
      <c r="F281" s="288"/>
      <c r="G281" s="288"/>
      <c r="H281" s="391"/>
      <c r="I281" s="391"/>
      <c r="J281" s="391"/>
      <c r="K281" s="391"/>
      <c r="L281" s="391"/>
      <c r="M281" s="391"/>
      <c r="N281" s="391"/>
      <c r="O281" s="391"/>
      <c r="P281" s="391"/>
      <c r="Q281" s="391"/>
      <c r="R281" s="337">
        <v>0</v>
      </c>
      <c r="S281" s="390">
        <v>0</v>
      </c>
      <c r="T281" s="338">
        <v>0</v>
      </c>
      <c r="U281" s="390">
        <v>0</v>
      </c>
      <c r="V281" s="288"/>
      <c r="W281" s="291"/>
      <c r="X281" s="5"/>
    </row>
    <row r="282" spans="1:24" ht="15.6" x14ac:dyDescent="0.3">
      <c r="A282" s="287"/>
      <c r="B282" s="337" t="s">
        <v>157</v>
      </c>
      <c r="C282" s="288"/>
      <c r="D282" s="288"/>
      <c r="E282" s="288"/>
      <c r="F282" s="288"/>
      <c r="G282" s="288"/>
      <c r="H282" s="391"/>
      <c r="I282" s="391"/>
      <c r="J282" s="391"/>
      <c r="K282" s="391"/>
      <c r="L282" s="391"/>
      <c r="M282" s="391"/>
      <c r="N282" s="391"/>
      <c r="O282" s="391"/>
      <c r="P282" s="391"/>
      <c r="Q282" s="391"/>
      <c r="R282" s="337">
        <v>0</v>
      </c>
      <c r="S282" s="390">
        <v>0</v>
      </c>
      <c r="T282" s="338">
        <v>0</v>
      </c>
      <c r="U282" s="390">
        <v>0</v>
      </c>
      <c r="V282" s="288"/>
      <c r="W282" s="291"/>
      <c r="X282" s="5"/>
    </row>
    <row r="283" spans="1:24" ht="15.6" x14ac:dyDescent="0.3">
      <c r="A283" s="287"/>
      <c r="B283" s="337" t="s">
        <v>158</v>
      </c>
      <c r="C283" s="288"/>
      <c r="D283" s="288"/>
      <c r="E283" s="288"/>
      <c r="F283" s="288"/>
      <c r="G283" s="288"/>
      <c r="H283" s="391"/>
      <c r="I283" s="391"/>
      <c r="J283" s="391"/>
      <c r="K283" s="391"/>
      <c r="L283" s="391"/>
      <c r="M283" s="391"/>
      <c r="N283" s="391"/>
      <c r="O283" s="391"/>
      <c r="P283" s="391"/>
      <c r="Q283" s="391"/>
      <c r="R283" s="337">
        <v>0</v>
      </c>
      <c r="S283" s="390">
        <v>0</v>
      </c>
      <c r="T283" s="338">
        <v>0</v>
      </c>
      <c r="U283" s="390">
        <v>0</v>
      </c>
      <c r="V283" s="288"/>
      <c r="W283" s="291"/>
      <c r="X283" s="5"/>
    </row>
    <row r="284" spans="1:24" ht="15.6" x14ac:dyDescent="0.3">
      <c r="A284" s="287"/>
      <c r="B284" s="337" t="s">
        <v>159</v>
      </c>
      <c r="C284" s="288"/>
      <c r="D284" s="288"/>
      <c r="E284" s="288"/>
      <c r="F284" s="288"/>
      <c r="G284" s="288"/>
      <c r="H284" s="391"/>
      <c r="I284" s="391"/>
      <c r="J284" s="391"/>
      <c r="K284" s="391"/>
      <c r="L284" s="391"/>
      <c r="M284" s="391"/>
      <c r="N284" s="391"/>
      <c r="O284" s="391"/>
      <c r="P284" s="391"/>
      <c r="Q284" s="391"/>
      <c r="R284" s="337">
        <v>0</v>
      </c>
      <c r="S284" s="390">
        <v>0</v>
      </c>
      <c r="T284" s="338">
        <v>0</v>
      </c>
      <c r="U284" s="390">
        <v>0</v>
      </c>
      <c r="V284" s="288"/>
      <c r="W284" s="291"/>
      <c r="X284" s="5"/>
    </row>
    <row r="285" spans="1:24" ht="15.6" x14ac:dyDescent="0.3">
      <c r="A285" s="287"/>
      <c r="B285" s="337" t="s">
        <v>160</v>
      </c>
      <c r="C285" s="288"/>
      <c r="D285" s="288"/>
      <c r="E285" s="288"/>
      <c r="F285" s="288"/>
      <c r="G285" s="288"/>
      <c r="H285" s="391"/>
      <c r="I285" s="391"/>
      <c r="J285" s="391"/>
      <c r="K285" s="391"/>
      <c r="L285" s="391"/>
      <c r="M285" s="391"/>
      <c r="N285" s="391"/>
      <c r="O285" s="391"/>
      <c r="P285" s="391"/>
      <c r="Q285" s="391"/>
      <c r="R285" s="337">
        <v>0</v>
      </c>
      <c r="S285" s="390">
        <v>0</v>
      </c>
      <c r="T285" s="338">
        <v>0</v>
      </c>
      <c r="U285" s="390">
        <v>0</v>
      </c>
      <c r="V285" s="288"/>
      <c r="W285" s="291"/>
      <c r="X285" s="5"/>
    </row>
    <row r="286" spans="1:24" ht="15.6" x14ac:dyDescent="0.3">
      <c r="A286" s="287"/>
      <c r="B286" s="337"/>
      <c r="C286" s="288"/>
      <c r="D286" s="288"/>
      <c r="E286" s="288"/>
      <c r="F286" s="288"/>
      <c r="G286" s="288"/>
      <c r="H286" s="391"/>
      <c r="I286" s="391"/>
      <c r="J286" s="391"/>
      <c r="K286" s="391"/>
      <c r="L286" s="391"/>
      <c r="M286" s="391"/>
      <c r="N286" s="391"/>
      <c r="O286" s="391"/>
      <c r="P286" s="391"/>
      <c r="Q286" s="391"/>
      <c r="R286" s="337"/>
      <c r="S286" s="390"/>
      <c r="T286" s="338"/>
      <c r="U286" s="390"/>
      <c r="V286" s="288"/>
      <c r="W286" s="291"/>
      <c r="X286" s="5"/>
    </row>
    <row r="287" spans="1:24" ht="15.6" x14ac:dyDescent="0.3">
      <c r="A287" s="287"/>
      <c r="B287" s="288" t="s">
        <v>114</v>
      </c>
      <c r="C287" s="288"/>
      <c r="D287" s="288"/>
      <c r="E287" s="288"/>
      <c r="F287" s="288"/>
      <c r="G287" s="288"/>
      <c r="H287" s="391"/>
      <c r="I287" s="391"/>
      <c r="J287" s="391"/>
      <c r="K287" s="391"/>
      <c r="L287" s="391"/>
      <c r="M287" s="391"/>
      <c r="N287" s="391"/>
      <c r="O287" s="391"/>
      <c r="P287" s="391"/>
      <c r="Q287" s="391"/>
      <c r="R287" s="337">
        <f>SUM(R278:R285)</f>
        <v>0</v>
      </c>
      <c r="S287" s="390">
        <f>SUM(S278:S286)</f>
        <v>0</v>
      </c>
      <c r="T287" s="338">
        <f>SUM(T278:T285)</f>
        <v>0</v>
      </c>
      <c r="U287" s="390">
        <f>SUM(U278:U286)</f>
        <v>0</v>
      </c>
      <c r="V287" s="288"/>
      <c r="W287" s="291"/>
      <c r="X287" s="5"/>
    </row>
    <row r="288" spans="1:24" ht="15.6" x14ac:dyDescent="0.3">
      <c r="A288" s="287"/>
      <c r="B288" s="288"/>
      <c r="C288" s="288"/>
      <c r="D288" s="288"/>
      <c r="E288" s="288"/>
      <c r="F288" s="288"/>
      <c r="G288" s="288"/>
      <c r="H288" s="391"/>
      <c r="I288" s="391"/>
      <c r="J288" s="391"/>
      <c r="K288" s="391"/>
      <c r="L288" s="391"/>
      <c r="M288" s="391"/>
      <c r="N288" s="391"/>
      <c r="O288" s="391"/>
      <c r="P288" s="391"/>
      <c r="Q288" s="391"/>
      <c r="R288" s="337"/>
      <c r="S288" s="390"/>
      <c r="T288" s="338"/>
      <c r="U288" s="390"/>
      <c r="V288" s="288"/>
      <c r="W288" s="291"/>
      <c r="X288" s="5"/>
    </row>
    <row r="289" spans="1:24" ht="15.6" x14ac:dyDescent="0.3">
      <c r="A289" s="287"/>
      <c r="B289" s="295" t="s">
        <v>164</v>
      </c>
      <c r="C289" s="288"/>
      <c r="D289" s="288"/>
      <c r="E289" s="288"/>
      <c r="F289" s="288"/>
      <c r="G289" s="288"/>
      <c r="H289" s="391"/>
      <c r="I289" s="391"/>
      <c r="J289" s="391"/>
      <c r="K289" s="391"/>
      <c r="L289" s="391"/>
      <c r="M289" s="391"/>
      <c r="N289" s="391"/>
      <c r="O289" s="391"/>
      <c r="P289" s="391"/>
      <c r="Q289" s="391"/>
      <c r="R289" s="407">
        <f>R287+R275+R263</f>
        <v>6482</v>
      </c>
      <c r="S289" s="390"/>
      <c r="T289" s="396">
        <f>+T287+T275+T263</f>
        <v>892133</v>
      </c>
      <c r="U289" s="390"/>
      <c r="V289" s="288"/>
      <c r="W289" s="291"/>
      <c r="X289" s="5"/>
    </row>
    <row r="290" spans="1:24" ht="15.6" x14ac:dyDescent="0.3">
      <c r="A290" s="183"/>
      <c r="B290" s="284"/>
      <c r="C290" s="284"/>
      <c r="D290" s="284"/>
      <c r="E290" s="284"/>
      <c r="F290" s="284"/>
      <c r="G290" s="284"/>
      <c r="H290" s="392"/>
      <c r="I290" s="392"/>
      <c r="J290" s="392"/>
      <c r="K290" s="392"/>
      <c r="L290" s="392"/>
      <c r="M290" s="392"/>
      <c r="N290" s="392"/>
      <c r="O290" s="392"/>
      <c r="P290" s="392"/>
      <c r="Q290" s="392"/>
      <c r="R290" s="392"/>
      <c r="S290" s="392"/>
      <c r="T290" s="394"/>
      <c r="U290" s="392"/>
      <c r="V290" s="284"/>
      <c r="W290" s="284"/>
      <c r="X290" s="5"/>
    </row>
    <row r="291" spans="1:24" ht="15.6" x14ac:dyDescent="0.3">
      <c r="A291" s="183"/>
      <c r="B291" s="224"/>
      <c r="C291" s="224"/>
      <c r="D291" s="224"/>
      <c r="E291" s="224"/>
      <c r="F291" s="224"/>
      <c r="G291" s="224"/>
      <c r="H291" s="256"/>
      <c r="I291" s="256"/>
      <c r="J291" s="256"/>
      <c r="K291" s="256"/>
      <c r="L291" s="256"/>
      <c r="M291" s="256"/>
      <c r="N291" s="256"/>
      <c r="O291" s="256"/>
      <c r="P291" s="256"/>
      <c r="Q291" s="256"/>
      <c r="R291" s="256"/>
      <c r="S291" s="256"/>
      <c r="T291" s="257"/>
      <c r="U291" s="256"/>
      <c r="V291" s="224"/>
      <c r="W291" s="224"/>
      <c r="X291" s="5"/>
    </row>
    <row r="292" spans="1:24" ht="15.6" x14ac:dyDescent="0.3">
      <c r="A292" s="219"/>
      <c r="B292" s="222" t="s">
        <v>91</v>
      </c>
      <c r="C292" s="224"/>
      <c r="D292" s="224"/>
      <c r="E292" s="224"/>
      <c r="F292" s="228" t="s">
        <v>97</v>
      </c>
      <c r="G292" s="224"/>
      <c r="H292" s="222" t="s">
        <v>99</v>
      </c>
      <c r="I292" s="222"/>
      <c r="J292" s="222"/>
      <c r="K292" s="258"/>
      <c r="L292" s="258"/>
      <c r="M292" s="258"/>
      <c r="N292" s="258"/>
      <c r="O292" s="258"/>
      <c r="P292" s="258"/>
      <c r="Q292" s="258"/>
      <c r="R292" s="258"/>
      <c r="S292" s="258"/>
      <c r="T292" s="258"/>
      <c r="U292" s="258"/>
      <c r="V292" s="258"/>
      <c r="W292" s="258"/>
      <c r="X292" s="5"/>
    </row>
    <row r="293" spans="1:24" ht="15.6" x14ac:dyDescent="0.3">
      <c r="A293" s="219"/>
      <c r="B293" s="222" t="s">
        <v>339</v>
      </c>
      <c r="C293" s="222"/>
      <c r="D293" s="222"/>
      <c r="E293" s="222"/>
      <c r="F293" s="259" t="s">
        <v>278</v>
      </c>
      <c r="G293" s="222"/>
      <c r="H293" s="222" t="s">
        <v>279</v>
      </c>
      <c r="I293" s="258"/>
      <c r="J293" s="222"/>
      <c r="K293" s="258"/>
      <c r="L293" s="258"/>
      <c r="M293" s="258"/>
      <c r="N293" s="258"/>
      <c r="O293" s="258"/>
      <c r="P293" s="258"/>
      <c r="Q293" s="258"/>
      <c r="R293" s="258"/>
      <c r="S293" s="258"/>
      <c r="T293" s="258"/>
      <c r="U293" s="258"/>
      <c r="V293" s="258"/>
      <c r="W293" s="258"/>
      <c r="X293" s="5"/>
    </row>
    <row r="294" spans="1:24" ht="15.6" x14ac:dyDescent="0.3">
      <c r="A294" s="219"/>
      <c r="B294" s="222" t="s">
        <v>340</v>
      </c>
      <c r="C294" s="222"/>
      <c r="D294" s="222"/>
      <c r="E294" s="222"/>
      <c r="F294" s="259" t="s">
        <v>147</v>
      </c>
      <c r="G294" s="222"/>
      <c r="H294" s="222" t="s">
        <v>153</v>
      </c>
      <c r="I294" s="222"/>
      <c r="J294" s="222"/>
      <c r="K294" s="258"/>
      <c r="L294" s="258"/>
      <c r="M294" s="258"/>
      <c r="N294" s="258"/>
      <c r="O294" s="258"/>
      <c r="P294" s="258"/>
      <c r="Q294" s="258"/>
      <c r="R294" s="258"/>
      <c r="S294" s="258"/>
      <c r="T294" s="258"/>
      <c r="U294" s="258"/>
      <c r="V294" s="258"/>
      <c r="W294" s="258"/>
      <c r="X294" s="5"/>
    </row>
    <row r="295" spans="1:24" ht="15.6" x14ac:dyDescent="0.3">
      <c r="A295" s="219"/>
      <c r="B295" s="222"/>
      <c r="C295" s="222"/>
      <c r="D295" s="222"/>
      <c r="E295" s="222"/>
      <c r="F295" s="259"/>
      <c r="G295" s="222"/>
      <c r="H295" s="222"/>
      <c r="I295" s="222"/>
      <c r="J295" s="222"/>
      <c r="K295" s="258"/>
      <c r="L295" s="258"/>
      <c r="M295" s="258"/>
      <c r="N295" s="258"/>
      <c r="O295" s="258"/>
      <c r="P295" s="258"/>
      <c r="Q295" s="258"/>
      <c r="R295" s="258"/>
      <c r="S295" s="258"/>
      <c r="T295" s="258"/>
      <c r="U295" s="258"/>
      <c r="V295" s="258"/>
      <c r="W295" s="258"/>
      <c r="X295" s="5"/>
    </row>
    <row r="296" spans="1:24" ht="15.6" x14ac:dyDescent="0.3">
      <c r="A296" s="219"/>
      <c r="B296" s="284" t="s">
        <v>368</v>
      </c>
      <c r="C296" s="222"/>
      <c r="D296" s="222"/>
      <c r="E296" s="222"/>
      <c r="F296" s="259"/>
      <c r="G296" s="222"/>
      <c r="H296" s="222"/>
      <c r="I296" s="222"/>
      <c r="J296" s="222"/>
      <c r="K296" s="258"/>
      <c r="L296" s="258"/>
      <c r="M296" s="258"/>
      <c r="N296" s="258"/>
      <c r="O296" s="258"/>
      <c r="P296" s="258"/>
      <c r="Q296" s="258"/>
      <c r="R296" s="258"/>
      <c r="S296" s="258"/>
      <c r="T296" s="258"/>
      <c r="U296" s="258"/>
      <c r="V296" s="258"/>
      <c r="W296" s="258"/>
      <c r="X296" s="5"/>
    </row>
    <row r="297" spans="1:24" ht="15.6" x14ac:dyDescent="0.3">
      <c r="A297" s="219"/>
      <c r="B297" s="284" t="s">
        <v>367</v>
      </c>
      <c r="C297" s="222"/>
      <c r="D297" s="222"/>
      <c r="E297" s="222"/>
      <c r="F297" s="259"/>
      <c r="G297" s="222"/>
      <c r="H297" s="222"/>
      <c r="I297" s="222"/>
      <c r="J297" s="222"/>
      <c r="K297" s="258"/>
      <c r="L297" s="258"/>
      <c r="M297" s="258"/>
      <c r="N297" s="258"/>
      <c r="O297" s="258"/>
      <c r="P297" s="258"/>
      <c r="Q297" s="258"/>
      <c r="R297" s="258"/>
      <c r="S297" s="258"/>
      <c r="T297" s="258"/>
      <c r="U297" s="258"/>
      <c r="V297" s="258"/>
      <c r="W297" s="258"/>
      <c r="X297" s="5"/>
    </row>
    <row r="298" spans="1:24" ht="15.6" x14ac:dyDescent="0.3">
      <c r="A298" s="219"/>
      <c r="B298" s="284" t="s">
        <v>365</v>
      </c>
      <c r="C298" s="222"/>
      <c r="D298" s="222"/>
      <c r="E298" s="222"/>
      <c r="F298" s="259"/>
      <c r="G298" s="222"/>
      <c r="H298" s="222"/>
      <c r="I298" s="222"/>
      <c r="J298" s="222"/>
      <c r="K298" s="258"/>
      <c r="L298" s="258"/>
      <c r="M298" s="258"/>
      <c r="N298" s="258"/>
      <c r="O298" s="258"/>
      <c r="P298" s="258"/>
      <c r="Q298" s="258"/>
      <c r="R298" s="258"/>
      <c r="S298" s="258"/>
      <c r="T298" s="258"/>
      <c r="U298" s="258"/>
      <c r="V298" s="258"/>
      <c r="W298" s="258"/>
      <c r="X298" s="5"/>
    </row>
    <row r="299" spans="1:24" ht="15.6" x14ac:dyDescent="0.3">
      <c r="A299" s="219"/>
      <c r="B299" s="284" t="s">
        <v>366</v>
      </c>
      <c r="C299" s="222"/>
      <c r="D299" s="222"/>
      <c r="E299" s="222"/>
      <c r="F299" s="259"/>
      <c r="G299" s="222"/>
      <c r="H299" s="222"/>
      <c r="I299" s="222"/>
      <c r="J299" s="222"/>
      <c r="K299" s="258"/>
      <c r="L299" s="258"/>
      <c r="M299" s="258"/>
      <c r="N299" s="258"/>
      <c r="O299" s="258"/>
      <c r="P299" s="258"/>
      <c r="Q299" s="258"/>
      <c r="R299" s="258"/>
      <c r="S299" s="258"/>
      <c r="T299" s="258"/>
      <c r="U299" s="258"/>
      <c r="V299" s="258"/>
      <c r="W299" s="258"/>
      <c r="X299" s="5"/>
    </row>
    <row r="300" spans="1:24" ht="15.6" x14ac:dyDescent="0.3">
      <c r="A300" s="219"/>
      <c r="B300" s="222"/>
      <c r="C300" s="222"/>
      <c r="D300" s="222"/>
      <c r="E300" s="222"/>
      <c r="F300" s="259"/>
      <c r="G300" s="222"/>
      <c r="H300" s="222"/>
      <c r="I300" s="222"/>
      <c r="J300" s="222"/>
      <c r="K300" s="258"/>
      <c r="L300" s="258"/>
      <c r="M300" s="258"/>
      <c r="N300" s="258"/>
      <c r="O300" s="258"/>
      <c r="P300" s="258"/>
      <c r="Q300" s="258"/>
      <c r="R300" s="258"/>
      <c r="S300" s="258"/>
      <c r="T300" s="258"/>
      <c r="U300" s="258"/>
      <c r="V300" s="258"/>
      <c r="W300" s="258"/>
      <c r="X300" s="5"/>
    </row>
    <row r="301" spans="1:24" ht="17.399999999999999" x14ac:dyDescent="0.3">
      <c r="A301" s="219"/>
      <c r="B301" s="410" t="s">
        <v>369</v>
      </c>
      <c r="C301" s="222"/>
      <c r="D301" s="222"/>
      <c r="E301" s="222"/>
      <c r="F301" s="222"/>
      <c r="G301" s="260"/>
      <c r="H301" s="258"/>
      <c r="I301" s="258"/>
      <c r="J301" s="258"/>
      <c r="K301" s="258"/>
      <c r="L301" s="182"/>
      <c r="M301" s="182"/>
      <c r="N301" s="411"/>
      <c r="O301" s="182"/>
      <c r="P301" s="411" t="s">
        <v>167</v>
      </c>
      <c r="Q301" s="258"/>
      <c r="R301" s="258"/>
      <c r="S301" s="258"/>
      <c r="T301" s="258"/>
      <c r="U301" s="258"/>
      <c r="V301" s="258"/>
      <c r="W301" s="258"/>
      <c r="X301" s="5"/>
    </row>
    <row r="302" spans="1:24" ht="15.6" x14ac:dyDescent="0.3">
      <c r="A302" s="219"/>
      <c r="B302" s="222"/>
      <c r="C302" s="222"/>
      <c r="D302" s="222"/>
      <c r="E302" s="222"/>
      <c r="F302" s="222"/>
      <c r="G302" s="260"/>
      <c r="H302" s="258"/>
      <c r="I302" s="258"/>
      <c r="J302" s="258"/>
      <c r="K302" s="258"/>
      <c r="L302" s="258"/>
      <c r="M302" s="258"/>
      <c r="N302" s="258"/>
      <c r="O302" s="258"/>
      <c r="P302" s="258"/>
      <c r="Q302" s="258"/>
      <c r="R302" s="258"/>
      <c r="S302" s="258"/>
      <c r="T302" s="258"/>
      <c r="U302" s="258"/>
      <c r="V302" s="258"/>
      <c r="W302" s="258"/>
      <c r="X302" s="5"/>
    </row>
    <row r="303" spans="1:24" ht="18" thickBot="1" x14ac:dyDescent="0.35">
      <c r="A303" s="219"/>
      <c r="B303" s="261" t="str">
        <f>B203</f>
        <v>PM14 INVESTOR REPORT QUARTER ENDING MAY 2017</v>
      </c>
      <c r="C303" s="222"/>
      <c r="D303" s="222"/>
      <c r="E303" s="222"/>
      <c r="F303" s="222"/>
      <c r="G303" s="260"/>
      <c r="H303" s="258"/>
      <c r="I303" s="258"/>
      <c r="J303" s="258"/>
      <c r="K303" s="258"/>
      <c r="L303" s="258"/>
      <c r="M303" s="258"/>
      <c r="N303" s="258"/>
      <c r="O303" s="258"/>
      <c r="P303" s="258"/>
      <c r="Q303" s="258"/>
      <c r="R303" s="258"/>
      <c r="S303" s="258"/>
      <c r="T303" s="258"/>
      <c r="U303" s="258"/>
      <c r="V303" s="258"/>
      <c r="W303" s="258"/>
      <c r="X303" s="5"/>
    </row>
    <row r="304" spans="1:24" x14ac:dyDescent="0.25">
      <c r="A304" s="100"/>
      <c r="B304" s="100"/>
      <c r="C304" s="100"/>
      <c r="D304" s="100"/>
      <c r="E304" s="100"/>
      <c r="F304" s="100"/>
      <c r="G304" s="100"/>
      <c r="H304" s="100"/>
      <c r="I304" s="100"/>
      <c r="J304" s="100"/>
      <c r="K304" s="100"/>
      <c r="L304" s="100"/>
      <c r="M304" s="100"/>
      <c r="N304" s="100"/>
      <c r="O304" s="100"/>
      <c r="P304" s="100"/>
      <c r="Q304" s="100"/>
      <c r="R304" s="100"/>
      <c r="S304" s="100"/>
      <c r="T304" s="100"/>
      <c r="U304" s="100"/>
      <c r="V304" s="100"/>
      <c r="W304" s="100"/>
    </row>
  </sheetData>
  <hyperlinks>
    <hyperlink ref="P239" r:id="rId1" xr:uid="{00000000-0004-0000-2700-000000000000}"/>
    <hyperlink ref="I9" r:id="rId2" xr:uid="{00000000-0004-0000-2700-000001000000}"/>
    <hyperlink ref="P301" r:id="rId3" xr:uid="{00000000-0004-0000-2700-000002000000}"/>
  </hyperlinks>
  <printOptions horizontalCentered="1" verticalCentered="1"/>
  <pageMargins left="0.19685039370078741" right="0.19685039370078741" top="0.27559055118110237" bottom="0.27559055118110237" header="0" footer="0"/>
  <pageSetup scale="37" orientation="landscape" r:id="rId4"/>
  <headerFooter alignWithMargins="0"/>
  <rowBreaks count="3" manualBreakCount="3">
    <brk id="63" max="23" man="1"/>
    <brk id="137" max="14" man="1"/>
    <brk id="203" max="14" man="1"/>
  </rowBreaks>
  <drawing r:id="rId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6"/>
  </sheetPr>
  <dimension ref="A1:IV304"/>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180"/>
      <c r="B1" s="220" t="s">
        <v>244</v>
      </c>
      <c r="C1" s="181"/>
      <c r="D1" s="181"/>
      <c r="E1" s="181"/>
      <c r="F1" s="181"/>
      <c r="G1" s="181"/>
      <c r="H1" s="181"/>
      <c r="I1" s="181"/>
      <c r="J1" s="181"/>
      <c r="K1" s="181"/>
      <c r="L1" s="181"/>
      <c r="M1" s="181"/>
      <c r="N1" s="181"/>
      <c r="O1" s="181"/>
      <c r="P1" s="181"/>
      <c r="Q1" s="181"/>
      <c r="R1" s="181"/>
      <c r="S1" s="181"/>
      <c r="T1" s="181"/>
      <c r="U1" s="181"/>
      <c r="V1" s="181"/>
      <c r="W1" s="181"/>
      <c r="X1" s="5"/>
    </row>
    <row r="2" spans="1:24" ht="15.6" x14ac:dyDescent="0.3">
      <c r="A2" s="183"/>
      <c r="B2" s="184"/>
      <c r="C2" s="185"/>
      <c r="D2" s="185"/>
      <c r="E2" s="185"/>
      <c r="F2" s="185"/>
      <c r="G2" s="185"/>
      <c r="H2" s="185"/>
      <c r="I2" s="185"/>
      <c r="J2" s="185"/>
      <c r="K2" s="185"/>
      <c r="L2" s="185"/>
      <c r="M2" s="185"/>
      <c r="N2" s="185"/>
      <c r="O2" s="185"/>
      <c r="P2" s="185"/>
      <c r="Q2" s="185"/>
      <c r="R2" s="185"/>
      <c r="S2" s="185"/>
      <c r="T2" s="185"/>
      <c r="U2" s="185"/>
      <c r="V2" s="185"/>
      <c r="W2" s="185"/>
      <c r="X2" s="5"/>
    </row>
    <row r="3" spans="1:24" ht="15.6" x14ac:dyDescent="0.3">
      <c r="A3" s="186"/>
      <c r="B3" s="187" t="s">
        <v>245</v>
      </c>
      <c r="C3" s="185"/>
      <c r="D3" s="185"/>
      <c r="E3" s="185"/>
      <c r="F3" s="185"/>
      <c r="G3" s="185"/>
      <c r="H3" s="185"/>
      <c r="I3" s="185"/>
      <c r="J3" s="185"/>
      <c r="K3" s="185"/>
      <c r="L3" s="185"/>
      <c r="M3" s="185"/>
      <c r="N3" s="185"/>
      <c r="O3" s="185"/>
      <c r="P3" s="185"/>
      <c r="Q3" s="185"/>
      <c r="R3" s="185"/>
      <c r="S3" s="185"/>
      <c r="T3" s="185"/>
      <c r="U3" s="185"/>
      <c r="V3" s="185"/>
      <c r="W3" s="185"/>
      <c r="X3" s="5"/>
    </row>
    <row r="4" spans="1:24" ht="15.6" x14ac:dyDescent="0.3">
      <c r="A4" s="183"/>
      <c r="B4" s="184"/>
      <c r="C4" s="185"/>
      <c r="D4" s="185"/>
      <c r="E4" s="185"/>
      <c r="F4" s="185"/>
      <c r="G4" s="185"/>
      <c r="H4" s="185"/>
      <c r="I4" s="185"/>
      <c r="J4" s="185"/>
      <c r="K4" s="185"/>
      <c r="L4" s="185"/>
      <c r="M4" s="185"/>
      <c r="N4" s="185"/>
      <c r="O4" s="185"/>
      <c r="P4" s="185"/>
      <c r="Q4" s="185"/>
      <c r="R4" s="185"/>
      <c r="S4" s="185"/>
      <c r="T4" s="185"/>
      <c r="U4" s="185"/>
      <c r="V4" s="185"/>
      <c r="W4" s="185"/>
      <c r="X4" s="5"/>
    </row>
    <row r="5" spans="1:24" ht="15.6" x14ac:dyDescent="0.3">
      <c r="A5" s="183"/>
      <c r="B5" s="221" t="s">
        <v>137</v>
      </c>
      <c r="C5" s="185"/>
      <c r="D5" s="185"/>
      <c r="E5" s="185"/>
      <c r="F5" s="185"/>
      <c r="G5" s="185"/>
      <c r="H5" s="185"/>
      <c r="I5" s="185"/>
      <c r="J5" s="185"/>
      <c r="K5" s="185"/>
      <c r="L5" s="185"/>
      <c r="M5" s="185"/>
      <c r="N5" s="185"/>
      <c r="O5" s="185"/>
      <c r="P5" s="185"/>
      <c r="Q5" s="185"/>
      <c r="R5" s="185"/>
      <c r="S5" s="185"/>
      <c r="T5" s="185"/>
      <c r="U5" s="185"/>
      <c r="V5" s="185"/>
      <c r="W5" s="185"/>
      <c r="X5" s="5"/>
    </row>
    <row r="6" spans="1:24" ht="15.6" x14ac:dyDescent="0.3">
      <c r="A6" s="183"/>
      <c r="B6" s="221" t="s">
        <v>139</v>
      </c>
      <c r="C6" s="185"/>
      <c r="D6" s="185"/>
      <c r="E6" s="185"/>
      <c r="F6" s="185"/>
      <c r="G6" s="185"/>
      <c r="H6" s="185"/>
      <c r="I6" s="185"/>
      <c r="J6" s="185"/>
      <c r="K6" s="185"/>
      <c r="L6" s="185"/>
      <c r="M6" s="185"/>
      <c r="N6" s="185"/>
      <c r="O6" s="185"/>
      <c r="P6" s="185"/>
      <c r="Q6" s="185"/>
      <c r="R6" s="185"/>
      <c r="S6" s="185"/>
      <c r="T6" s="185"/>
      <c r="U6" s="185"/>
      <c r="V6" s="185"/>
      <c r="W6" s="185"/>
      <c r="X6" s="5"/>
    </row>
    <row r="7" spans="1:24" ht="15.6" x14ac:dyDescent="0.3">
      <c r="A7" s="183"/>
      <c r="B7" s="221" t="s">
        <v>138</v>
      </c>
      <c r="C7" s="185"/>
      <c r="D7" s="185"/>
      <c r="E7" s="185"/>
      <c r="F7" s="185"/>
      <c r="G7" s="185"/>
      <c r="H7" s="185"/>
      <c r="I7" s="185"/>
      <c r="J7" s="185"/>
      <c r="K7" s="185"/>
      <c r="L7" s="185"/>
      <c r="M7" s="185"/>
      <c r="N7" s="185"/>
      <c r="O7" s="185"/>
      <c r="P7" s="185"/>
      <c r="Q7" s="185"/>
      <c r="R7" s="185"/>
      <c r="S7" s="185"/>
      <c r="T7" s="185"/>
      <c r="U7" s="185"/>
      <c r="V7" s="185"/>
      <c r="W7" s="185"/>
      <c r="X7" s="5"/>
    </row>
    <row r="8" spans="1:24" ht="15.6" x14ac:dyDescent="0.3">
      <c r="A8" s="183"/>
      <c r="B8" s="188"/>
      <c r="C8" s="185"/>
      <c r="D8" s="185"/>
      <c r="E8" s="185"/>
      <c r="F8" s="185"/>
      <c r="G8" s="185"/>
      <c r="H8" s="185"/>
      <c r="I8" s="185"/>
      <c r="J8" s="185"/>
      <c r="K8" s="185"/>
      <c r="L8" s="185"/>
      <c r="M8" s="185"/>
      <c r="N8" s="185"/>
      <c r="O8" s="185"/>
      <c r="P8" s="185"/>
      <c r="Q8" s="185"/>
      <c r="R8" s="185"/>
      <c r="S8" s="185"/>
      <c r="T8" s="185"/>
      <c r="U8" s="185"/>
      <c r="V8" s="185"/>
      <c r="W8" s="185"/>
      <c r="X8" s="5"/>
    </row>
    <row r="9" spans="1:24" ht="17.399999999999999" x14ac:dyDescent="0.3">
      <c r="A9" s="183"/>
      <c r="B9" s="189" t="s">
        <v>166</v>
      </c>
      <c r="C9" s="185"/>
      <c r="D9" s="185"/>
      <c r="E9" s="185"/>
      <c r="F9" s="185"/>
      <c r="G9" s="185"/>
      <c r="H9" s="185"/>
      <c r="I9" s="190" t="s">
        <v>167</v>
      </c>
      <c r="J9" s="185"/>
      <c r="K9" s="185"/>
      <c r="L9" s="190"/>
      <c r="M9" s="185"/>
      <c r="N9" s="190"/>
      <c r="O9" s="185"/>
      <c r="P9" s="185"/>
      <c r="Q9" s="185"/>
      <c r="R9" s="185"/>
      <c r="S9" s="185"/>
      <c r="T9" s="185"/>
      <c r="U9" s="185"/>
      <c r="V9" s="185"/>
      <c r="W9" s="185"/>
      <c r="X9" s="5"/>
    </row>
    <row r="10" spans="1:24" ht="15.6" x14ac:dyDescent="0.3">
      <c r="A10" s="183"/>
      <c r="B10" s="188"/>
      <c r="C10" s="191"/>
      <c r="D10" s="191"/>
      <c r="E10" s="191"/>
      <c r="F10" s="185"/>
      <c r="G10" s="185"/>
      <c r="H10" s="185"/>
      <c r="I10" s="185"/>
      <c r="J10" s="185"/>
      <c r="K10" s="185"/>
      <c r="L10" s="185"/>
      <c r="M10" s="185"/>
      <c r="N10" s="185"/>
      <c r="O10" s="185"/>
      <c r="P10" s="185"/>
      <c r="Q10" s="185"/>
      <c r="R10" s="185"/>
      <c r="S10" s="185"/>
      <c r="T10" s="185"/>
      <c r="U10" s="185"/>
      <c r="V10" s="185"/>
      <c r="W10" s="185"/>
      <c r="X10" s="5"/>
    </row>
    <row r="11" spans="1:24" ht="15.6" x14ac:dyDescent="0.3">
      <c r="A11" s="183"/>
      <c r="B11" s="222" t="s">
        <v>0</v>
      </c>
      <c r="C11" s="185"/>
      <c r="D11" s="185"/>
      <c r="E11" s="185"/>
      <c r="F11" s="185"/>
      <c r="G11" s="185"/>
      <c r="H11" s="185"/>
      <c r="I11" s="185"/>
      <c r="J11" s="185"/>
      <c r="K11" s="185"/>
      <c r="L11" s="185"/>
      <c r="M11" s="185"/>
      <c r="N11" s="185"/>
      <c r="O11" s="185"/>
      <c r="P11" s="185"/>
      <c r="Q11" s="185"/>
      <c r="R11" s="185"/>
      <c r="S11" s="185"/>
      <c r="T11" s="185"/>
      <c r="U11" s="185"/>
      <c r="V11" s="185"/>
      <c r="W11" s="185"/>
      <c r="X11" s="5"/>
    </row>
    <row r="12" spans="1:24" ht="16.2" thickBot="1" x14ac:dyDescent="0.35">
      <c r="A12" s="183"/>
      <c r="B12" s="191"/>
      <c r="C12" s="185"/>
      <c r="D12" s="185"/>
      <c r="E12" s="185"/>
      <c r="F12" s="185"/>
      <c r="G12" s="185"/>
      <c r="H12" s="185"/>
      <c r="I12" s="185"/>
      <c r="J12" s="185"/>
      <c r="K12" s="185"/>
      <c r="L12" s="185"/>
      <c r="M12" s="185"/>
      <c r="N12" s="185"/>
      <c r="O12" s="185"/>
      <c r="P12" s="185"/>
      <c r="Q12" s="185"/>
      <c r="R12" s="185"/>
      <c r="S12" s="185"/>
      <c r="T12" s="185"/>
      <c r="U12" s="185"/>
      <c r="V12" s="185"/>
      <c r="W12" s="185"/>
      <c r="X12" s="5"/>
    </row>
    <row r="13" spans="1:24" ht="15.6" x14ac:dyDescent="0.3">
      <c r="A13" s="180"/>
      <c r="B13" s="181"/>
      <c r="C13" s="181"/>
      <c r="D13" s="181"/>
      <c r="E13" s="181"/>
      <c r="F13" s="181"/>
      <c r="G13" s="181"/>
      <c r="H13" s="181"/>
      <c r="I13" s="181"/>
      <c r="J13" s="181"/>
      <c r="K13" s="181"/>
      <c r="L13" s="181"/>
      <c r="M13" s="181"/>
      <c r="N13" s="181"/>
      <c r="O13" s="181"/>
      <c r="P13" s="181"/>
      <c r="Q13" s="181"/>
      <c r="R13" s="181"/>
      <c r="S13" s="181"/>
      <c r="T13" s="181"/>
      <c r="U13" s="181"/>
      <c r="V13" s="181"/>
      <c r="W13" s="181"/>
      <c r="X13" s="5"/>
    </row>
    <row r="14" spans="1:24" ht="15.6" x14ac:dyDescent="0.3">
      <c r="A14" s="183"/>
      <c r="B14" s="222" t="s">
        <v>1</v>
      </c>
      <c r="C14" s="192"/>
      <c r="D14" s="192"/>
      <c r="E14" s="192"/>
      <c r="F14" s="192"/>
      <c r="G14" s="192"/>
      <c r="H14" s="192"/>
      <c r="I14" s="192"/>
      <c r="J14" s="192"/>
      <c r="K14" s="192"/>
      <c r="L14" s="192"/>
      <c r="M14" s="192"/>
      <c r="N14" s="192"/>
      <c r="O14" s="192"/>
      <c r="P14" s="192"/>
      <c r="Q14" s="192"/>
      <c r="R14" s="224"/>
      <c r="S14" s="224"/>
      <c r="T14" s="224"/>
      <c r="U14" s="224"/>
      <c r="V14" s="225" t="s">
        <v>246</v>
      </c>
      <c r="W14" s="192"/>
      <c r="X14" s="5"/>
    </row>
    <row r="15" spans="1:24" ht="15.6" x14ac:dyDescent="0.3">
      <c r="A15" s="183"/>
      <c r="B15" s="222" t="s">
        <v>2</v>
      </c>
      <c r="C15" s="192"/>
      <c r="D15" s="192"/>
      <c r="E15" s="192"/>
      <c r="F15" s="192"/>
      <c r="G15" s="192"/>
      <c r="H15" s="193"/>
      <c r="I15" s="193"/>
      <c r="J15" s="193"/>
      <c r="K15" s="193"/>
      <c r="L15" s="193"/>
      <c r="M15" s="193"/>
      <c r="N15" s="193"/>
      <c r="O15" s="193"/>
      <c r="P15" s="193"/>
      <c r="Q15" s="193"/>
      <c r="R15" s="226" t="s">
        <v>104</v>
      </c>
      <c r="S15" s="227">
        <v>0.38300000000000001</v>
      </c>
      <c r="T15" s="228" t="s">
        <v>140</v>
      </c>
      <c r="U15" s="227">
        <v>0.61699999999999999</v>
      </c>
      <c r="V15" s="225"/>
      <c r="W15" s="192"/>
      <c r="X15" s="5"/>
    </row>
    <row r="16" spans="1:24" ht="15.6" x14ac:dyDescent="0.3">
      <c r="A16" s="183"/>
      <c r="B16" s="222" t="s">
        <v>3</v>
      </c>
      <c r="C16" s="192"/>
      <c r="D16" s="192"/>
      <c r="E16" s="192"/>
      <c r="F16" s="192"/>
      <c r="G16" s="192"/>
      <c r="H16" s="193"/>
      <c r="I16" s="193"/>
      <c r="J16" s="193"/>
      <c r="K16" s="193"/>
      <c r="L16" s="193"/>
      <c r="M16" s="193"/>
      <c r="N16" s="193"/>
      <c r="O16" s="193"/>
      <c r="P16" s="193"/>
      <c r="Q16" s="193"/>
      <c r="R16" s="226" t="s">
        <v>104</v>
      </c>
      <c r="S16" s="227">
        <v>0.48630000000000001</v>
      </c>
      <c r="T16" s="228" t="s">
        <v>140</v>
      </c>
      <c r="U16" s="227">
        <v>0.51370000000000005</v>
      </c>
      <c r="V16" s="225"/>
      <c r="W16" s="192"/>
      <c r="X16" s="5"/>
    </row>
    <row r="17" spans="1:24" ht="15.6" x14ac:dyDescent="0.3">
      <c r="A17" s="183"/>
      <c r="B17" s="222" t="s">
        <v>4</v>
      </c>
      <c r="C17" s="192"/>
      <c r="D17" s="192"/>
      <c r="E17" s="192"/>
      <c r="F17" s="192"/>
      <c r="G17" s="192"/>
      <c r="H17" s="192"/>
      <c r="I17" s="192"/>
      <c r="J17" s="192"/>
      <c r="K17" s="192"/>
      <c r="L17" s="192"/>
      <c r="M17" s="192"/>
      <c r="N17" s="192"/>
      <c r="O17" s="192"/>
      <c r="P17" s="192"/>
      <c r="Q17" s="192"/>
      <c r="R17" s="224"/>
      <c r="S17" s="224"/>
      <c r="T17" s="224"/>
      <c r="U17" s="224"/>
      <c r="V17" s="229">
        <v>39163</v>
      </c>
      <c r="W17" s="192"/>
      <c r="X17" s="5"/>
    </row>
    <row r="18" spans="1:24" ht="15.6" x14ac:dyDescent="0.3">
      <c r="A18" s="183"/>
      <c r="B18" s="222" t="s">
        <v>5</v>
      </c>
      <c r="C18" s="192"/>
      <c r="D18" s="192"/>
      <c r="E18" s="192"/>
      <c r="F18" s="192"/>
      <c r="G18" s="192"/>
      <c r="H18" s="192"/>
      <c r="I18" s="192"/>
      <c r="J18" s="192"/>
      <c r="K18" s="192"/>
      <c r="L18" s="192"/>
      <c r="M18" s="192"/>
      <c r="N18" s="192"/>
      <c r="O18" s="192"/>
      <c r="P18" s="192"/>
      <c r="Q18" s="192"/>
      <c r="R18" s="224"/>
      <c r="S18" s="224"/>
      <c r="T18" s="224"/>
      <c r="U18" s="224"/>
      <c r="V18" s="229">
        <v>42996</v>
      </c>
      <c r="W18" s="192"/>
      <c r="X18" s="5"/>
    </row>
    <row r="19" spans="1:24" ht="15.6" x14ac:dyDescent="0.3">
      <c r="A19" s="183"/>
      <c r="B19" s="185"/>
      <c r="C19" s="185"/>
      <c r="D19" s="185"/>
      <c r="E19" s="185"/>
      <c r="F19" s="185"/>
      <c r="G19" s="185"/>
      <c r="H19" s="185"/>
      <c r="I19" s="185"/>
      <c r="J19" s="185"/>
      <c r="K19" s="185"/>
      <c r="L19" s="185"/>
      <c r="M19" s="185"/>
      <c r="N19" s="185"/>
      <c r="O19" s="185"/>
      <c r="P19" s="185"/>
      <c r="Q19" s="185"/>
      <c r="R19" s="185"/>
      <c r="S19" s="185"/>
      <c r="T19" s="185"/>
      <c r="U19" s="185"/>
      <c r="V19" s="194"/>
      <c r="W19" s="185"/>
      <c r="X19" s="5"/>
    </row>
    <row r="20" spans="1:24" ht="15.6" x14ac:dyDescent="0.3">
      <c r="A20" s="183"/>
      <c r="B20" s="230" t="s">
        <v>6</v>
      </c>
      <c r="C20" s="185"/>
      <c r="D20" s="185"/>
      <c r="E20" s="185"/>
      <c r="F20" s="185"/>
      <c r="G20" s="185"/>
      <c r="H20" s="185"/>
      <c r="I20" s="185"/>
      <c r="J20" s="185"/>
      <c r="K20" s="185"/>
      <c r="L20" s="185"/>
      <c r="M20" s="185"/>
      <c r="N20" s="185"/>
      <c r="O20" s="185"/>
      <c r="P20" s="185"/>
      <c r="Q20" s="185"/>
      <c r="R20" s="185"/>
      <c r="S20" s="185"/>
      <c r="T20" s="223" t="s">
        <v>105</v>
      </c>
      <c r="U20" s="185"/>
      <c r="V20" s="182"/>
      <c r="W20" s="185"/>
      <c r="X20" s="5"/>
    </row>
    <row r="21" spans="1:24" ht="15.6" x14ac:dyDescent="0.3">
      <c r="A21" s="183"/>
      <c r="B21" s="185"/>
      <c r="C21" s="185"/>
      <c r="D21" s="185"/>
      <c r="E21" s="185"/>
      <c r="F21" s="185"/>
      <c r="G21" s="185"/>
      <c r="H21" s="185"/>
      <c r="I21" s="185"/>
      <c r="J21" s="185"/>
      <c r="K21" s="185"/>
      <c r="L21" s="185"/>
      <c r="M21" s="185"/>
      <c r="N21" s="185"/>
      <c r="O21" s="185"/>
      <c r="P21" s="185"/>
      <c r="Q21" s="185"/>
      <c r="R21" s="185"/>
      <c r="S21" s="185"/>
      <c r="T21" s="185"/>
      <c r="U21" s="185"/>
      <c r="V21" s="196"/>
      <c r="W21" s="185"/>
      <c r="X21" s="5"/>
    </row>
    <row r="22" spans="1:24" ht="15.6" x14ac:dyDescent="0.3">
      <c r="A22" s="262"/>
      <c r="B22" s="263"/>
      <c r="C22" s="264"/>
      <c r="D22" s="264" t="s">
        <v>177</v>
      </c>
      <c r="E22" s="264"/>
      <c r="F22" s="264" t="s">
        <v>178</v>
      </c>
      <c r="G22" s="264"/>
      <c r="H22" s="264" t="s">
        <v>179</v>
      </c>
      <c r="I22" s="264"/>
      <c r="J22" s="264" t="s">
        <v>220</v>
      </c>
      <c r="K22" s="264"/>
      <c r="L22" s="264" t="s">
        <v>180</v>
      </c>
      <c r="M22" s="264"/>
      <c r="N22" s="264" t="s">
        <v>181</v>
      </c>
      <c r="O22" s="264"/>
      <c r="P22" s="264" t="s">
        <v>221</v>
      </c>
      <c r="Q22" s="264"/>
      <c r="R22" s="264" t="s">
        <v>182</v>
      </c>
      <c r="S22" s="266"/>
      <c r="T22" s="266"/>
      <c r="U22" s="267"/>
      <c r="V22" s="267"/>
      <c r="W22" s="263"/>
      <c r="X22" s="5"/>
    </row>
    <row r="23" spans="1:24" ht="15.6" x14ac:dyDescent="0.3">
      <c r="A23" s="287"/>
      <c r="B23" s="288" t="s">
        <v>7</v>
      </c>
      <c r="C23" s="289"/>
      <c r="D23" s="289" t="s">
        <v>213</v>
      </c>
      <c r="E23" s="289"/>
      <c r="F23" s="289" t="s">
        <v>141</v>
      </c>
      <c r="G23" s="289"/>
      <c r="H23" s="289" t="s">
        <v>141</v>
      </c>
      <c r="I23" s="289"/>
      <c r="J23" s="289" t="s">
        <v>141</v>
      </c>
      <c r="K23" s="289"/>
      <c r="L23" s="289" t="s">
        <v>183</v>
      </c>
      <c r="M23" s="289"/>
      <c r="N23" s="289" t="s">
        <v>183</v>
      </c>
      <c r="O23" s="289"/>
      <c r="P23" s="289" t="s">
        <v>142</v>
      </c>
      <c r="Q23" s="289"/>
      <c r="R23" s="289" t="s">
        <v>142</v>
      </c>
      <c r="S23" s="289"/>
      <c r="T23" s="289"/>
      <c r="U23" s="290"/>
      <c r="V23" s="290"/>
      <c r="W23" s="291"/>
      <c r="X23" s="5"/>
    </row>
    <row r="24" spans="1:24" ht="15.6" x14ac:dyDescent="0.3">
      <c r="A24" s="287"/>
      <c r="B24" s="288" t="s">
        <v>8</v>
      </c>
      <c r="C24" s="289"/>
      <c r="D24" s="289" t="s">
        <v>214</v>
      </c>
      <c r="E24" s="289"/>
      <c r="F24" s="289" t="s">
        <v>143</v>
      </c>
      <c r="G24" s="289"/>
      <c r="H24" s="289" t="s">
        <v>143</v>
      </c>
      <c r="I24" s="289"/>
      <c r="J24" s="289" t="s">
        <v>143</v>
      </c>
      <c r="K24" s="289"/>
      <c r="L24" s="289" t="s">
        <v>165</v>
      </c>
      <c r="M24" s="289"/>
      <c r="N24" s="289" t="s">
        <v>165</v>
      </c>
      <c r="O24" s="289"/>
      <c r="P24" s="289" t="s">
        <v>144</v>
      </c>
      <c r="Q24" s="289"/>
      <c r="R24" s="289" t="s">
        <v>144</v>
      </c>
      <c r="S24" s="289"/>
      <c r="T24" s="289"/>
      <c r="U24" s="290"/>
      <c r="V24" s="290"/>
      <c r="W24" s="291"/>
      <c r="X24" s="5"/>
    </row>
    <row r="25" spans="1:24" ht="15.6" x14ac:dyDescent="0.3">
      <c r="A25" s="292"/>
      <c r="B25" s="288" t="s">
        <v>190</v>
      </c>
      <c r="C25" s="398"/>
      <c r="D25" s="289" t="s">
        <v>215</v>
      </c>
      <c r="E25" s="289"/>
      <c r="F25" s="289" t="s">
        <v>143</v>
      </c>
      <c r="G25" s="289"/>
      <c r="H25" s="289" t="s">
        <v>143</v>
      </c>
      <c r="I25" s="289"/>
      <c r="J25" s="289" t="s">
        <v>143</v>
      </c>
      <c r="K25" s="289"/>
      <c r="L25" s="289" t="s">
        <v>293</v>
      </c>
      <c r="M25" s="289"/>
      <c r="N25" s="289" t="s">
        <v>293</v>
      </c>
      <c r="O25" s="289"/>
      <c r="P25" s="289" t="s">
        <v>144</v>
      </c>
      <c r="Q25" s="289"/>
      <c r="R25" s="289" t="s">
        <v>144</v>
      </c>
      <c r="S25" s="398"/>
      <c r="T25" s="289"/>
      <c r="U25" s="290"/>
      <c r="V25" s="290"/>
      <c r="W25" s="291"/>
      <c r="X25" s="5"/>
    </row>
    <row r="26" spans="1:24" ht="15.6" x14ac:dyDescent="0.3">
      <c r="A26" s="292"/>
      <c r="B26" s="295" t="s">
        <v>9</v>
      </c>
      <c r="C26" s="398"/>
      <c r="D26" s="398" t="s">
        <v>333</v>
      </c>
      <c r="E26" s="398"/>
      <c r="F26" s="398" t="s">
        <v>333</v>
      </c>
      <c r="G26" s="398"/>
      <c r="H26" s="398" t="s">
        <v>333</v>
      </c>
      <c r="I26" s="398"/>
      <c r="J26" s="398" t="s">
        <v>333</v>
      </c>
      <c r="K26" s="398"/>
      <c r="L26" s="398" t="s">
        <v>333</v>
      </c>
      <c r="M26" s="398"/>
      <c r="N26" s="398" t="s">
        <v>333</v>
      </c>
      <c r="O26" s="398"/>
      <c r="P26" s="398" t="s">
        <v>334</v>
      </c>
      <c r="Q26" s="398"/>
      <c r="R26" s="398" t="s">
        <v>334</v>
      </c>
      <c r="S26" s="398"/>
      <c r="T26" s="289"/>
      <c r="U26" s="290"/>
      <c r="V26" s="290"/>
      <c r="W26" s="291"/>
      <c r="X26" s="5"/>
    </row>
    <row r="27" spans="1:24" ht="15.6" x14ac:dyDescent="0.3">
      <c r="A27" s="287"/>
      <c r="B27" s="295" t="s">
        <v>191</v>
      </c>
      <c r="C27" s="289"/>
      <c r="D27" s="398" t="s">
        <v>143</v>
      </c>
      <c r="E27" s="398"/>
      <c r="F27" s="398" t="s">
        <v>143</v>
      </c>
      <c r="G27" s="398"/>
      <c r="H27" s="398" t="s">
        <v>143</v>
      </c>
      <c r="I27" s="398"/>
      <c r="J27" s="398" t="s">
        <v>143</v>
      </c>
      <c r="K27" s="398"/>
      <c r="L27" s="398" t="s">
        <v>293</v>
      </c>
      <c r="M27" s="398"/>
      <c r="N27" s="398" t="s">
        <v>293</v>
      </c>
      <c r="O27" s="398"/>
      <c r="P27" s="398" t="s">
        <v>144</v>
      </c>
      <c r="Q27" s="398"/>
      <c r="R27" s="398" t="s">
        <v>144</v>
      </c>
      <c r="S27" s="289"/>
      <c r="T27" s="296"/>
      <c r="U27" s="290"/>
      <c r="V27" s="290"/>
      <c r="W27" s="291"/>
      <c r="X27" s="5"/>
    </row>
    <row r="28" spans="1:24" ht="15.6" x14ac:dyDescent="0.3">
      <c r="A28" s="287"/>
      <c r="B28" s="295" t="s">
        <v>192</v>
      </c>
      <c r="C28" s="289"/>
      <c r="D28" s="398" t="s">
        <v>143</v>
      </c>
      <c r="E28" s="398"/>
      <c r="F28" s="398" t="s">
        <v>143</v>
      </c>
      <c r="G28" s="398"/>
      <c r="H28" s="398" t="s">
        <v>143</v>
      </c>
      <c r="I28" s="398"/>
      <c r="J28" s="398" t="s">
        <v>143</v>
      </c>
      <c r="K28" s="398"/>
      <c r="L28" s="398" t="s">
        <v>143</v>
      </c>
      <c r="M28" s="398"/>
      <c r="N28" s="398" t="s">
        <v>143</v>
      </c>
      <c r="O28" s="398"/>
      <c r="P28" s="398" t="s">
        <v>337</v>
      </c>
      <c r="Q28" s="398"/>
      <c r="R28" s="398" t="s">
        <v>337</v>
      </c>
      <c r="S28" s="289"/>
      <c r="T28" s="296"/>
      <c r="U28" s="290"/>
      <c r="V28" s="290"/>
      <c r="W28" s="291"/>
      <c r="X28" s="5"/>
    </row>
    <row r="29" spans="1:24" ht="15.6" x14ac:dyDescent="0.3">
      <c r="A29" s="287"/>
      <c r="B29" s="288" t="s">
        <v>10</v>
      </c>
      <c r="C29" s="298"/>
      <c r="D29" s="289" t="s">
        <v>249</v>
      </c>
      <c r="E29" s="289"/>
      <c r="F29" s="296" t="s">
        <v>250</v>
      </c>
      <c r="G29" s="289"/>
      <c r="H29" s="289" t="s">
        <v>251</v>
      </c>
      <c r="I29" s="289"/>
      <c r="J29" s="289" t="s">
        <v>253</v>
      </c>
      <c r="K29" s="289"/>
      <c r="L29" s="289" t="s">
        <v>254</v>
      </c>
      <c r="M29" s="289"/>
      <c r="N29" s="289" t="s">
        <v>255</v>
      </c>
      <c r="O29" s="289"/>
      <c r="P29" s="289" t="s">
        <v>256</v>
      </c>
      <c r="Q29" s="289"/>
      <c r="R29" s="289" t="s">
        <v>257</v>
      </c>
      <c r="S29" s="299"/>
      <c r="T29" s="299"/>
      <c r="U29" s="300"/>
      <c r="V29" s="299"/>
      <c r="W29" s="301"/>
      <c r="X29" s="5"/>
    </row>
    <row r="30" spans="1:24" ht="15.6" x14ac:dyDescent="0.3">
      <c r="A30" s="287"/>
      <c r="B30" s="288" t="s">
        <v>10</v>
      </c>
      <c r="C30" s="298"/>
      <c r="D30" s="289" t="s">
        <v>248</v>
      </c>
      <c r="E30" s="289"/>
      <c r="F30" s="296" t="s">
        <v>118</v>
      </c>
      <c r="G30" s="289"/>
      <c r="H30" s="289" t="s">
        <v>118</v>
      </c>
      <c r="I30" s="289"/>
      <c r="J30" s="289" t="s">
        <v>252</v>
      </c>
      <c r="K30" s="289"/>
      <c r="L30" s="289" t="s">
        <v>118</v>
      </c>
      <c r="M30" s="289"/>
      <c r="N30" s="289" t="s">
        <v>118</v>
      </c>
      <c r="O30" s="289"/>
      <c r="P30" s="289" t="s">
        <v>118</v>
      </c>
      <c r="Q30" s="289"/>
      <c r="R30" s="289" t="s">
        <v>118</v>
      </c>
      <c r="S30" s="299"/>
      <c r="T30" s="299"/>
      <c r="U30" s="300"/>
      <c r="V30" s="299"/>
      <c r="W30" s="301"/>
      <c r="X30" s="5"/>
    </row>
    <row r="31" spans="1:24" ht="15.6" x14ac:dyDescent="0.3">
      <c r="A31" s="292"/>
      <c r="B31" s="288" t="s">
        <v>133</v>
      </c>
      <c r="C31" s="302"/>
      <c r="D31" s="303">
        <v>1500000</v>
      </c>
      <c r="E31" s="298"/>
      <c r="F31" s="299">
        <v>125000</v>
      </c>
      <c r="G31" s="299"/>
      <c r="H31" s="304">
        <v>246000</v>
      </c>
      <c r="I31" s="304"/>
      <c r="J31" s="303">
        <v>400000</v>
      </c>
      <c r="K31" s="299"/>
      <c r="L31" s="299">
        <v>51900</v>
      </c>
      <c r="M31" s="299"/>
      <c r="N31" s="304">
        <v>88800</v>
      </c>
      <c r="O31" s="299"/>
      <c r="P31" s="299">
        <v>20000</v>
      </c>
      <c r="Q31" s="299"/>
      <c r="R31" s="304">
        <v>135500</v>
      </c>
      <c r="S31" s="305"/>
      <c r="T31" s="305"/>
      <c r="U31" s="306"/>
      <c r="V31" s="305"/>
      <c r="W31" s="301"/>
      <c r="X31" s="5"/>
    </row>
    <row r="32" spans="1:24" ht="15.6" x14ac:dyDescent="0.3">
      <c r="A32" s="287"/>
      <c r="B32" s="288" t="s">
        <v>132</v>
      </c>
      <c r="C32" s="298"/>
      <c r="D32" s="408">
        <f>D34*D38</f>
        <v>405463.59379260003</v>
      </c>
      <c r="E32" s="298"/>
      <c r="F32" s="299">
        <f>F31*F38</f>
        <v>65381.2</v>
      </c>
      <c r="G32" s="299"/>
      <c r="H32" s="304">
        <f>H31*H38</f>
        <v>128670.2016</v>
      </c>
      <c r="I32" s="304"/>
      <c r="J32" s="303">
        <f>J31*J38</f>
        <v>209219.16</v>
      </c>
      <c r="K32" s="299"/>
      <c r="L32" s="299">
        <f>+L31</f>
        <v>51900</v>
      </c>
      <c r="M32" s="299"/>
      <c r="N32" s="304">
        <f>+N31</f>
        <v>88800</v>
      </c>
      <c r="O32" s="299"/>
      <c r="P32" s="299">
        <f>+P31</f>
        <v>20000</v>
      </c>
      <c r="Q32" s="299"/>
      <c r="R32" s="304">
        <f>+R31</f>
        <v>135500</v>
      </c>
      <c r="S32" s="299"/>
      <c r="T32" s="299"/>
      <c r="U32" s="300"/>
      <c r="V32" s="299"/>
      <c r="W32" s="301"/>
      <c r="X32" s="5"/>
    </row>
    <row r="33" spans="1:24" ht="15.6" x14ac:dyDescent="0.3">
      <c r="A33" s="287"/>
      <c r="B33" s="295" t="s">
        <v>134</v>
      </c>
      <c r="C33" s="298"/>
      <c r="D33" s="409">
        <f>D34*D37</f>
        <v>396561.96357120003</v>
      </c>
      <c r="E33" s="302"/>
      <c r="F33" s="305">
        <f>F37*F31</f>
        <v>63945.824999999997</v>
      </c>
      <c r="G33" s="305"/>
      <c r="H33" s="308">
        <f>H31*H37</f>
        <v>125845.3836</v>
      </c>
      <c r="I33" s="308"/>
      <c r="J33" s="307">
        <f>J37*J31</f>
        <v>204625.92000000001</v>
      </c>
      <c r="K33" s="305"/>
      <c r="L33" s="305">
        <f>L31*L37</f>
        <v>51900</v>
      </c>
      <c r="M33" s="305"/>
      <c r="N33" s="308">
        <f>N31*N37</f>
        <v>88800</v>
      </c>
      <c r="O33" s="305"/>
      <c r="P33" s="305">
        <f>P31*P37</f>
        <v>20000</v>
      </c>
      <c r="Q33" s="305"/>
      <c r="R33" s="308">
        <f>R31*R37</f>
        <v>135500</v>
      </c>
      <c r="S33" s="299"/>
      <c r="T33" s="299"/>
      <c r="U33" s="300"/>
      <c r="V33" s="299"/>
      <c r="W33" s="301"/>
      <c r="X33" s="5"/>
    </row>
    <row r="34" spans="1:24" ht="15.6" x14ac:dyDescent="0.3">
      <c r="A34" s="292"/>
      <c r="B34" s="288" t="s">
        <v>296</v>
      </c>
      <c r="C34" s="302"/>
      <c r="D34" s="299">
        <v>775194</v>
      </c>
      <c r="E34" s="298"/>
      <c r="F34" s="299">
        <v>125000</v>
      </c>
      <c r="G34" s="299"/>
      <c r="H34" s="299">
        <v>168148</v>
      </c>
      <c r="I34" s="299"/>
      <c r="J34" s="299">
        <v>206718</v>
      </c>
      <c r="K34" s="299"/>
      <c r="L34" s="299">
        <v>51900</v>
      </c>
      <c r="M34" s="299"/>
      <c r="N34" s="299">
        <v>60697</v>
      </c>
      <c r="O34" s="299"/>
      <c r="P34" s="299">
        <v>20000</v>
      </c>
      <c r="Q34" s="299"/>
      <c r="R34" s="299">
        <v>92618</v>
      </c>
      <c r="S34" s="305"/>
      <c r="T34" s="305"/>
      <c r="U34" s="306"/>
      <c r="V34" s="299">
        <f>SUM(C34:R34)</f>
        <v>1500275</v>
      </c>
      <c r="W34" s="301"/>
      <c r="X34" s="5"/>
    </row>
    <row r="35" spans="1:24" ht="15.6" x14ac:dyDescent="0.3">
      <c r="A35" s="292"/>
      <c r="B35" s="288" t="s">
        <v>297</v>
      </c>
      <c r="C35" s="302"/>
      <c r="D35" s="299">
        <f>D34*D38</f>
        <v>405463.59379260003</v>
      </c>
      <c r="E35" s="298"/>
      <c r="F35" s="299">
        <f>F34*F38</f>
        <v>65381.2</v>
      </c>
      <c r="G35" s="299"/>
      <c r="H35" s="299">
        <f>H34*H38</f>
        <v>87949.744140800001</v>
      </c>
      <c r="I35" s="299"/>
      <c r="J35" s="299">
        <f>J34*J38</f>
        <v>108123.4157922</v>
      </c>
      <c r="K35" s="299"/>
      <c r="L35" s="299">
        <f>+L34</f>
        <v>51900</v>
      </c>
      <c r="M35" s="299"/>
      <c r="N35" s="299">
        <f>+N34</f>
        <v>60697</v>
      </c>
      <c r="O35" s="299"/>
      <c r="P35" s="299">
        <f>+P34</f>
        <v>20000</v>
      </c>
      <c r="Q35" s="299"/>
      <c r="R35" s="299">
        <f>+R34</f>
        <v>92618</v>
      </c>
      <c r="S35" s="299"/>
      <c r="T35" s="299"/>
      <c r="U35" s="300"/>
      <c r="V35" s="299">
        <f>SUM(C35:R35)</f>
        <v>892132.95372560003</v>
      </c>
      <c r="W35" s="301"/>
      <c r="X35" s="5"/>
    </row>
    <row r="36" spans="1:24" ht="15.6" x14ac:dyDescent="0.3">
      <c r="A36" s="292"/>
      <c r="B36" s="295" t="s">
        <v>298</v>
      </c>
      <c r="C36" s="302"/>
      <c r="D36" s="305">
        <f>D34*D37</f>
        <v>396561.96357120003</v>
      </c>
      <c r="E36" s="302"/>
      <c r="F36" s="305">
        <f>F34*F37</f>
        <v>63945.824999999997</v>
      </c>
      <c r="G36" s="305"/>
      <c r="H36" s="305">
        <f>H34*H37</f>
        <v>86018.900656800004</v>
      </c>
      <c r="I36" s="305"/>
      <c r="J36" s="305">
        <f>J34*J37</f>
        <v>105749.65232640001</v>
      </c>
      <c r="K36" s="305"/>
      <c r="L36" s="305">
        <f>L34*L37</f>
        <v>51900</v>
      </c>
      <c r="M36" s="305"/>
      <c r="N36" s="305">
        <f>N34*N37</f>
        <v>60697</v>
      </c>
      <c r="O36" s="305"/>
      <c r="P36" s="305">
        <f>P34*P37</f>
        <v>20000</v>
      </c>
      <c r="Q36" s="305"/>
      <c r="R36" s="305">
        <f>R34*R37</f>
        <v>92618</v>
      </c>
      <c r="S36" s="328"/>
      <c r="T36" s="328"/>
      <c r="U36" s="300"/>
      <c r="V36" s="305">
        <f>SUM(C36:R36)</f>
        <v>877491.34155440005</v>
      </c>
      <c r="W36" s="301"/>
      <c r="X36" s="5"/>
    </row>
    <row r="37" spans="1:24" ht="15.6" x14ac:dyDescent="0.3">
      <c r="A37" s="287"/>
      <c r="B37" s="313" t="s">
        <v>130</v>
      </c>
      <c r="C37" s="314"/>
      <c r="D37" s="315">
        <v>0.51156480000000004</v>
      </c>
      <c r="E37" s="315"/>
      <c r="F37" s="315">
        <v>0.51156659999999998</v>
      </c>
      <c r="G37" s="315"/>
      <c r="H37" s="315">
        <v>0.51156659999999998</v>
      </c>
      <c r="I37" s="315"/>
      <c r="J37" s="315">
        <v>0.51156480000000004</v>
      </c>
      <c r="K37" s="315"/>
      <c r="L37" s="315">
        <v>1</v>
      </c>
      <c r="M37" s="315"/>
      <c r="N37" s="315">
        <v>1</v>
      </c>
      <c r="O37" s="315"/>
      <c r="P37" s="315">
        <v>1</v>
      </c>
      <c r="Q37" s="315"/>
      <c r="R37" s="315">
        <v>1</v>
      </c>
      <c r="S37" s="316"/>
      <c r="T37" s="316"/>
      <c r="U37" s="317"/>
      <c r="V37" s="317"/>
      <c r="W37" s="318"/>
      <c r="X37" s="5"/>
    </row>
    <row r="38" spans="1:24" ht="15.6" x14ac:dyDescent="0.3">
      <c r="A38" s="287"/>
      <c r="B38" s="313" t="s">
        <v>131</v>
      </c>
      <c r="C38" s="314"/>
      <c r="D38" s="315">
        <v>0.52304790000000001</v>
      </c>
      <c r="E38" s="315"/>
      <c r="F38" s="315">
        <v>0.5230496</v>
      </c>
      <c r="G38" s="315"/>
      <c r="H38" s="315">
        <v>0.5230496</v>
      </c>
      <c r="I38" s="315"/>
      <c r="J38" s="315">
        <v>0.52304790000000001</v>
      </c>
      <c r="K38" s="315"/>
      <c r="L38" s="315">
        <v>1</v>
      </c>
      <c r="M38" s="315"/>
      <c r="N38" s="315">
        <v>1</v>
      </c>
      <c r="O38" s="315"/>
      <c r="P38" s="315">
        <v>1</v>
      </c>
      <c r="Q38" s="315"/>
      <c r="R38" s="315">
        <v>1</v>
      </c>
      <c r="S38" s="319"/>
      <c r="T38" s="320"/>
      <c r="U38" s="317"/>
      <c r="V38" s="319"/>
      <c r="W38" s="318"/>
      <c r="X38" s="5"/>
    </row>
    <row r="39" spans="1:24" ht="15.6" x14ac:dyDescent="0.3">
      <c r="A39" s="287"/>
      <c r="B39" s="288" t="s">
        <v>11</v>
      </c>
      <c r="C39" s="288"/>
      <c r="D39" s="296" t="s">
        <v>321</v>
      </c>
      <c r="E39" s="288"/>
      <c r="F39" s="296" t="s">
        <v>231</v>
      </c>
      <c r="G39" s="296"/>
      <c r="H39" s="296" t="s">
        <v>231</v>
      </c>
      <c r="I39" s="296"/>
      <c r="J39" s="296" t="s">
        <v>231</v>
      </c>
      <c r="K39" s="296"/>
      <c r="L39" s="296" t="s">
        <v>265</v>
      </c>
      <c r="M39" s="296"/>
      <c r="N39" s="296" t="s">
        <v>265</v>
      </c>
      <c r="O39" s="296"/>
      <c r="P39" s="296" t="s">
        <v>266</v>
      </c>
      <c r="Q39" s="296"/>
      <c r="R39" s="296" t="s">
        <v>266</v>
      </c>
      <c r="S39" s="321"/>
      <c r="T39" s="322"/>
      <c r="U39" s="290"/>
      <c r="V39" s="290"/>
      <c r="W39" s="291"/>
      <c r="X39" s="5"/>
    </row>
    <row r="40" spans="1:24" ht="15.6" x14ac:dyDescent="0.3">
      <c r="A40" s="287"/>
      <c r="B40" s="288" t="s">
        <v>12</v>
      </c>
      <c r="C40" s="288"/>
      <c r="D40" s="322">
        <v>4.8868999999999996E-3</v>
      </c>
      <c r="E40" s="288"/>
      <c r="F40" s="322">
        <v>4.8868999999999996E-3</v>
      </c>
      <c r="G40" s="321"/>
      <c r="H40" s="322">
        <v>0</v>
      </c>
      <c r="I40" s="322"/>
      <c r="J40" s="322">
        <v>1.4455600000000001E-2</v>
      </c>
      <c r="K40" s="321"/>
      <c r="L40" s="322">
        <v>6.4869000000000003E-3</v>
      </c>
      <c r="M40" s="321"/>
      <c r="N40" s="322">
        <v>2.9E-4</v>
      </c>
      <c r="O40" s="321"/>
      <c r="P40" s="322">
        <v>1.04869E-2</v>
      </c>
      <c r="Q40" s="321"/>
      <c r="R40" s="322">
        <v>4.2900000000000004E-3</v>
      </c>
      <c r="S40" s="321"/>
      <c r="T40" s="322"/>
      <c r="U40" s="290"/>
      <c r="V40" s="296"/>
      <c r="W40" s="291"/>
      <c r="X40" s="5"/>
    </row>
    <row r="41" spans="1:24" ht="15.6" x14ac:dyDescent="0.3">
      <c r="A41" s="287"/>
      <c r="B41" s="288" t="s">
        <v>13</v>
      </c>
      <c r="C41" s="288"/>
      <c r="D41" s="322">
        <v>5.4387999999999997E-3</v>
      </c>
      <c r="E41" s="288"/>
      <c r="F41" s="322">
        <v>5.4387999999999997E-3</v>
      </c>
      <c r="G41" s="321"/>
      <c r="H41" s="322">
        <v>0</v>
      </c>
      <c r="I41" s="322"/>
      <c r="J41" s="322">
        <v>1.33122E-2</v>
      </c>
      <c r="K41" s="321"/>
      <c r="L41" s="322">
        <v>7.0387999999999996E-3</v>
      </c>
      <c r="M41" s="321"/>
      <c r="N41" s="322">
        <v>2.9999999999999997E-4</v>
      </c>
      <c r="O41" s="321"/>
      <c r="P41" s="322">
        <v>1.10388E-2</v>
      </c>
      <c r="Q41" s="321"/>
      <c r="R41" s="322">
        <v>4.3E-3</v>
      </c>
      <c r="S41" s="321"/>
      <c r="T41" s="322"/>
      <c r="U41" s="290"/>
      <c r="V41" s="321" t="s">
        <v>193</v>
      </c>
      <c r="W41" s="291"/>
      <c r="X41" s="5"/>
    </row>
    <row r="42" spans="1:24" ht="15.6" x14ac:dyDescent="0.3">
      <c r="A42" s="287"/>
      <c r="B42" s="288" t="s">
        <v>299</v>
      </c>
      <c r="C42" s="288"/>
      <c r="D42" s="296" t="s">
        <v>321</v>
      </c>
      <c r="E42" s="288"/>
      <c r="F42" s="296" t="s">
        <v>231</v>
      </c>
      <c r="G42" s="296"/>
      <c r="H42" s="296" t="s">
        <v>323</v>
      </c>
      <c r="I42" s="296"/>
      <c r="J42" s="296" t="s">
        <v>324</v>
      </c>
      <c r="K42" s="296"/>
      <c r="L42" s="296" t="s">
        <v>265</v>
      </c>
      <c r="M42" s="296"/>
      <c r="N42" s="296" t="s">
        <v>234</v>
      </c>
      <c r="O42" s="296"/>
      <c r="P42" s="296" t="s">
        <v>266</v>
      </c>
      <c r="Q42" s="296"/>
      <c r="R42" s="296" t="s">
        <v>264</v>
      </c>
      <c r="S42" s="321"/>
      <c r="T42" s="322"/>
      <c r="U42" s="290"/>
      <c r="V42" s="290"/>
      <c r="W42" s="291"/>
      <c r="X42" s="5"/>
    </row>
    <row r="43" spans="1:24" ht="15.6" x14ac:dyDescent="0.3">
      <c r="A43" s="287"/>
      <c r="B43" s="288" t="s">
        <v>300</v>
      </c>
      <c r="C43" s="323"/>
      <c r="D43" s="322">
        <f>D40</f>
        <v>4.8868999999999996E-3</v>
      </c>
      <c r="E43" s="322"/>
      <c r="F43" s="322">
        <f>+F40</f>
        <v>4.8868999999999996E-3</v>
      </c>
      <c r="G43" s="322"/>
      <c r="H43" s="322">
        <v>5.1669000000000003E-3</v>
      </c>
      <c r="I43" s="322"/>
      <c r="J43" s="322">
        <v>5.6128999999999997E-3</v>
      </c>
      <c r="K43" s="322"/>
      <c r="L43" s="322">
        <f>+L40</f>
        <v>6.4869000000000003E-3</v>
      </c>
      <c r="M43" s="322"/>
      <c r="N43" s="322">
        <v>7.0788999999999999E-3</v>
      </c>
      <c r="O43" s="322"/>
      <c r="P43" s="322">
        <f>+P40</f>
        <v>1.04869E-2</v>
      </c>
      <c r="Q43" s="321"/>
      <c r="R43" s="322">
        <v>1.15529E-2</v>
      </c>
      <c r="S43" s="296"/>
      <c r="T43" s="296"/>
      <c r="U43" s="290"/>
      <c r="V43" s="321">
        <f>SUMPRODUCT(D43:R43,D35:R35)/V35</f>
        <v>6.0622886411722974E-3</v>
      </c>
      <c r="W43" s="291"/>
      <c r="X43" s="5"/>
    </row>
    <row r="44" spans="1:24" ht="15.6" x14ac:dyDescent="0.3">
      <c r="A44" s="287"/>
      <c r="B44" s="288" t="s">
        <v>301</v>
      </c>
      <c r="C44" s="323"/>
      <c r="D44" s="322">
        <f>D41</f>
        <v>5.4387999999999997E-3</v>
      </c>
      <c r="E44" s="322"/>
      <c r="F44" s="322">
        <f>+F41</f>
        <v>5.4387999999999997E-3</v>
      </c>
      <c r="G44" s="322"/>
      <c r="H44" s="322">
        <v>5.7187999999999996E-3</v>
      </c>
      <c r="I44" s="322"/>
      <c r="J44" s="322">
        <v>6.1647999999999998E-3</v>
      </c>
      <c r="K44" s="322"/>
      <c r="L44" s="322">
        <f>+L41</f>
        <v>7.0387999999999996E-3</v>
      </c>
      <c r="M44" s="322"/>
      <c r="N44" s="322">
        <v>7.6308000000000001E-3</v>
      </c>
      <c r="O44" s="322"/>
      <c r="P44" s="322">
        <f>+P41</f>
        <v>1.10388E-2</v>
      </c>
      <c r="Q44" s="321"/>
      <c r="R44" s="322">
        <v>1.2104800000000001E-2</v>
      </c>
      <c r="S44" s="296"/>
      <c r="T44" s="296"/>
      <c r="U44" s="290"/>
      <c r="V44" s="290"/>
      <c r="W44" s="291"/>
      <c r="X44" s="5"/>
    </row>
    <row r="45" spans="1:24" ht="15.6" x14ac:dyDescent="0.3">
      <c r="A45" s="287"/>
      <c r="B45" s="288" t="s">
        <v>14</v>
      </c>
      <c r="C45" s="288"/>
      <c r="D45" s="323">
        <v>40617</v>
      </c>
      <c r="E45" s="323"/>
      <c r="F45" s="323">
        <v>40617</v>
      </c>
      <c r="G45" s="323"/>
      <c r="H45" s="323">
        <v>40617</v>
      </c>
      <c r="I45" s="323"/>
      <c r="J45" s="323">
        <v>40617</v>
      </c>
      <c r="K45" s="323"/>
      <c r="L45" s="323">
        <v>40617</v>
      </c>
      <c r="M45" s="323"/>
      <c r="N45" s="323">
        <v>40617</v>
      </c>
      <c r="O45" s="323"/>
      <c r="P45" s="323">
        <v>40617</v>
      </c>
      <c r="Q45" s="323"/>
      <c r="R45" s="323">
        <v>40617</v>
      </c>
      <c r="S45" s="296"/>
      <c r="T45" s="296"/>
      <c r="U45" s="290"/>
      <c r="V45" s="290"/>
      <c r="W45" s="291"/>
      <c r="X45" s="5"/>
    </row>
    <row r="46" spans="1:24" ht="15.6" x14ac:dyDescent="0.3">
      <c r="A46" s="287"/>
      <c r="B46" s="288" t="s">
        <v>15</v>
      </c>
      <c r="C46" s="288"/>
      <c r="D46" s="323">
        <v>40983</v>
      </c>
      <c r="E46" s="323"/>
      <c r="F46" s="323">
        <v>40983</v>
      </c>
      <c r="G46" s="323"/>
      <c r="H46" s="323">
        <v>40983</v>
      </c>
      <c r="I46" s="323"/>
      <c r="J46" s="323">
        <v>40983</v>
      </c>
      <c r="K46" s="296"/>
      <c r="L46" s="323">
        <v>40983</v>
      </c>
      <c r="M46" s="296"/>
      <c r="N46" s="323">
        <v>40983</v>
      </c>
      <c r="O46" s="296"/>
      <c r="P46" s="323">
        <v>40983</v>
      </c>
      <c r="Q46" s="296"/>
      <c r="R46" s="323">
        <v>40983</v>
      </c>
      <c r="S46" s="296"/>
      <c r="T46" s="296"/>
      <c r="U46" s="290"/>
      <c r="V46" s="290"/>
      <c r="W46" s="291"/>
      <c r="X46" s="5"/>
    </row>
    <row r="47" spans="1:24" ht="15.6" x14ac:dyDescent="0.3">
      <c r="A47" s="287"/>
      <c r="B47" s="288" t="s">
        <v>119</v>
      </c>
      <c r="C47" s="288"/>
      <c r="D47" s="296" t="s">
        <v>231</v>
      </c>
      <c r="E47" s="288"/>
      <c r="F47" s="296" t="s">
        <v>231</v>
      </c>
      <c r="G47" s="296"/>
      <c r="H47" s="296" t="s">
        <v>231</v>
      </c>
      <c r="I47" s="296"/>
      <c r="J47" s="296" t="s">
        <v>231</v>
      </c>
      <c r="K47" s="296"/>
      <c r="L47" s="296" t="s">
        <v>265</v>
      </c>
      <c r="M47" s="296"/>
      <c r="N47" s="296" t="s">
        <v>265</v>
      </c>
      <c r="O47" s="296"/>
      <c r="P47" s="296" t="s">
        <v>266</v>
      </c>
      <c r="Q47" s="296"/>
      <c r="R47" s="296" t="s">
        <v>266</v>
      </c>
      <c r="S47" s="325"/>
      <c r="T47" s="325"/>
      <c r="U47" s="325"/>
      <c r="V47" s="325"/>
      <c r="W47" s="291"/>
      <c r="X47" s="5"/>
    </row>
    <row r="48" spans="1:24" ht="15.6" x14ac:dyDescent="0.3">
      <c r="A48" s="287"/>
      <c r="B48" s="288" t="s">
        <v>302</v>
      </c>
      <c r="C48" s="288"/>
      <c r="D48" s="296" t="s">
        <v>325</v>
      </c>
      <c r="E48" s="288"/>
      <c r="F48" s="296" t="s">
        <v>231</v>
      </c>
      <c r="G48" s="296"/>
      <c r="H48" s="296" t="s">
        <v>262</v>
      </c>
      <c r="I48" s="296"/>
      <c r="J48" s="296" t="s">
        <v>263</v>
      </c>
      <c r="K48" s="296"/>
      <c r="L48" s="296" t="s">
        <v>265</v>
      </c>
      <c r="M48" s="296"/>
      <c r="N48" s="296" t="s">
        <v>234</v>
      </c>
      <c r="O48" s="296"/>
      <c r="P48" s="296" t="s">
        <v>266</v>
      </c>
      <c r="Q48" s="296"/>
      <c r="R48" s="296" t="s">
        <v>264</v>
      </c>
      <c r="S48" s="288"/>
      <c r="T48" s="288"/>
      <c r="U48" s="288"/>
      <c r="V48" s="321"/>
      <c r="W48" s="291"/>
      <c r="X48" s="5"/>
    </row>
    <row r="49" spans="1:25" ht="15.6" x14ac:dyDescent="0.3">
      <c r="A49" s="287"/>
      <c r="B49" s="288"/>
      <c r="C49" s="288"/>
      <c r="D49" s="296"/>
      <c r="E49" s="288"/>
      <c r="F49" s="296"/>
      <c r="G49" s="296"/>
      <c r="H49" s="296"/>
      <c r="I49" s="296"/>
      <c r="J49" s="296"/>
      <c r="K49" s="296"/>
      <c r="L49" s="296"/>
      <c r="M49" s="296"/>
      <c r="N49" s="296"/>
      <c r="O49" s="296"/>
      <c r="P49" s="296"/>
      <c r="Q49" s="296"/>
      <c r="R49" s="296"/>
      <c r="S49" s="288"/>
      <c r="T49" s="288"/>
      <c r="U49" s="288"/>
      <c r="V49" s="321" t="s">
        <v>193</v>
      </c>
      <c r="W49" s="291"/>
      <c r="X49" s="5"/>
    </row>
    <row r="50" spans="1:25" ht="15.6" x14ac:dyDescent="0.3">
      <c r="A50" s="287"/>
      <c r="B50" s="288" t="s">
        <v>169</v>
      </c>
      <c r="C50" s="288"/>
      <c r="D50" s="296"/>
      <c r="E50" s="288"/>
      <c r="F50" s="296"/>
      <c r="G50" s="296"/>
      <c r="H50" s="296"/>
      <c r="I50" s="296"/>
      <c r="J50" s="296"/>
      <c r="K50" s="296"/>
      <c r="L50" s="296"/>
      <c r="M50" s="296"/>
      <c r="N50" s="296"/>
      <c r="O50" s="296"/>
      <c r="P50" s="296"/>
      <c r="Q50" s="296"/>
      <c r="R50" s="296"/>
      <c r="S50" s="288"/>
      <c r="T50" s="288"/>
      <c r="U50" s="288"/>
      <c r="V50" s="321">
        <f>SUM(L34:R34)/SUM(D34:J34)</f>
        <v>0.17663090364375009</v>
      </c>
      <c r="W50" s="291"/>
      <c r="X50" s="5"/>
    </row>
    <row r="51" spans="1:25" ht="15.6" x14ac:dyDescent="0.3">
      <c r="A51" s="287"/>
      <c r="B51" s="288" t="s">
        <v>170</v>
      </c>
      <c r="C51" s="288"/>
      <c r="D51" s="288"/>
      <c r="E51" s="288"/>
      <c r="F51" s="326"/>
      <c r="G51" s="288"/>
      <c r="H51" s="288"/>
      <c r="I51" s="288"/>
      <c r="J51" s="288"/>
      <c r="K51" s="288"/>
      <c r="L51" s="288"/>
      <c r="M51" s="288"/>
      <c r="N51" s="288"/>
      <c r="O51" s="288"/>
      <c r="P51" s="288"/>
      <c r="Q51" s="288"/>
      <c r="R51" s="288"/>
      <c r="S51" s="288"/>
      <c r="T51" s="288"/>
      <c r="U51" s="288"/>
      <c r="V51" s="321">
        <f>SUM(L36:R36)/SUM(D36:J36)</f>
        <v>0.34527543872479544</v>
      </c>
      <c r="W51" s="291"/>
      <c r="X51" s="5"/>
    </row>
    <row r="52" spans="1:25" ht="15.6" x14ac:dyDescent="0.3">
      <c r="A52" s="287"/>
      <c r="B52" s="288" t="s">
        <v>171</v>
      </c>
      <c r="C52" s="288"/>
      <c r="D52" s="288"/>
      <c r="E52" s="288"/>
      <c r="F52" s="288"/>
      <c r="G52" s="288"/>
      <c r="H52" s="288"/>
      <c r="I52" s="288"/>
      <c r="J52" s="288"/>
      <c r="K52" s="288"/>
      <c r="L52" s="288"/>
      <c r="M52" s="288"/>
      <c r="N52" s="288"/>
      <c r="O52" s="288"/>
      <c r="P52" s="288"/>
      <c r="Q52" s="288"/>
      <c r="R52" s="288"/>
      <c r="S52" s="288"/>
      <c r="T52" s="296"/>
      <c r="U52" s="296"/>
      <c r="V52" s="299" t="s">
        <v>276</v>
      </c>
      <c r="W52" s="291"/>
      <c r="X52" s="5"/>
    </row>
    <row r="53" spans="1:25" ht="15.6" x14ac:dyDescent="0.3">
      <c r="A53" s="287"/>
      <c r="B53" s="288"/>
      <c r="C53" s="288"/>
      <c r="D53" s="288"/>
      <c r="E53" s="288"/>
      <c r="F53" s="288"/>
      <c r="G53" s="288"/>
      <c r="H53" s="288"/>
      <c r="I53" s="288"/>
      <c r="J53" s="288"/>
      <c r="K53" s="288"/>
      <c r="L53" s="288"/>
      <c r="M53" s="288"/>
      <c r="N53" s="288"/>
      <c r="O53" s="288"/>
      <c r="P53" s="288"/>
      <c r="Q53" s="288"/>
      <c r="R53" s="288"/>
      <c r="S53" s="288"/>
      <c r="T53" s="288"/>
      <c r="U53" s="288"/>
      <c r="V53" s="327"/>
      <c r="W53" s="291"/>
      <c r="X53" s="5"/>
    </row>
    <row r="54" spans="1:25" ht="15.6" x14ac:dyDescent="0.3">
      <c r="A54" s="287"/>
      <c r="B54" s="288" t="s">
        <v>361</v>
      </c>
      <c r="C54" s="288"/>
      <c r="D54" s="288"/>
      <c r="E54" s="288"/>
      <c r="F54" s="288"/>
      <c r="G54" s="288"/>
      <c r="H54" s="288"/>
      <c r="I54" s="288"/>
      <c r="J54" s="288"/>
      <c r="K54" s="288"/>
      <c r="L54" s="288"/>
      <c r="M54" s="288"/>
      <c r="N54" s="288"/>
      <c r="O54" s="288"/>
      <c r="P54" s="288"/>
      <c r="Q54" s="288"/>
      <c r="R54" s="288"/>
      <c r="S54" s="288"/>
      <c r="T54" s="296"/>
      <c r="U54" s="296"/>
      <c r="V54" s="329" t="s">
        <v>111</v>
      </c>
      <c r="W54" s="291"/>
      <c r="X54" s="5"/>
    </row>
    <row r="55" spans="1:25" ht="15.6" x14ac:dyDescent="0.3">
      <c r="A55" s="287"/>
      <c r="B55" s="295" t="s">
        <v>201</v>
      </c>
      <c r="C55" s="295"/>
      <c r="D55" s="295"/>
      <c r="E55" s="295"/>
      <c r="F55" s="295"/>
      <c r="G55" s="295"/>
      <c r="H55" s="295"/>
      <c r="I55" s="295"/>
      <c r="J55" s="295"/>
      <c r="K55" s="295"/>
      <c r="L55" s="295"/>
      <c r="M55" s="295"/>
      <c r="N55" s="295"/>
      <c r="O55" s="295"/>
      <c r="P55" s="295"/>
      <c r="Q55" s="295"/>
      <c r="R55" s="295"/>
      <c r="S55" s="295"/>
      <c r="T55" s="330"/>
      <c r="U55" s="330"/>
      <c r="V55" s="331">
        <v>42993</v>
      </c>
      <c r="W55" s="291"/>
      <c r="X55" s="5"/>
    </row>
    <row r="56" spans="1:25" ht="15.6" x14ac:dyDescent="0.3">
      <c r="A56" s="287"/>
      <c r="B56" s="288" t="s">
        <v>121</v>
      </c>
      <c r="C56" s="288"/>
      <c r="D56" s="288"/>
      <c r="E56" s="288"/>
      <c r="F56" s="288"/>
      <c r="G56" s="288"/>
      <c r="H56" s="332"/>
      <c r="I56" s="332"/>
      <c r="J56" s="332"/>
      <c r="K56" s="332"/>
      <c r="L56" s="332"/>
      <c r="M56" s="332"/>
      <c r="N56" s="332"/>
      <c r="O56" s="332"/>
      <c r="P56" s="332"/>
      <c r="Q56" s="332"/>
      <c r="R56" s="288">
        <f>+V56-T56+1</f>
        <v>92</v>
      </c>
      <c r="S56" s="332"/>
      <c r="T56" s="333">
        <v>42809</v>
      </c>
      <c r="U56" s="334"/>
      <c r="V56" s="333">
        <v>42900</v>
      </c>
      <c r="W56" s="291"/>
      <c r="X56" s="5"/>
    </row>
    <row r="57" spans="1:25" ht="15.6" x14ac:dyDescent="0.3">
      <c r="A57" s="287"/>
      <c r="B57" s="288" t="s">
        <v>122</v>
      </c>
      <c r="C57" s="288"/>
      <c r="D57" s="288"/>
      <c r="E57" s="288"/>
      <c r="F57" s="288"/>
      <c r="G57" s="288"/>
      <c r="H57" s="288"/>
      <c r="I57" s="288"/>
      <c r="J57" s="288"/>
      <c r="K57" s="288"/>
      <c r="L57" s="288"/>
      <c r="M57" s="288"/>
      <c r="N57" s="288"/>
      <c r="O57" s="288"/>
      <c r="P57" s="288"/>
      <c r="Q57" s="288"/>
      <c r="R57" s="288">
        <f>+V57-T57+1</f>
        <v>92</v>
      </c>
      <c r="S57" s="288"/>
      <c r="T57" s="333">
        <v>42901</v>
      </c>
      <c r="U57" s="334"/>
      <c r="V57" s="333">
        <v>42992</v>
      </c>
      <c r="W57" s="291"/>
      <c r="X57" s="5"/>
    </row>
    <row r="58" spans="1:25" ht="15.6" x14ac:dyDescent="0.3">
      <c r="A58" s="287"/>
      <c r="B58" s="288" t="s">
        <v>360</v>
      </c>
      <c r="C58" s="288"/>
      <c r="D58" s="288"/>
      <c r="E58" s="288"/>
      <c r="F58" s="288"/>
      <c r="G58" s="288"/>
      <c r="H58" s="288"/>
      <c r="I58" s="288"/>
      <c r="J58" s="288"/>
      <c r="K58" s="288"/>
      <c r="L58" s="288"/>
      <c r="M58" s="288"/>
      <c r="N58" s="288"/>
      <c r="O58" s="288"/>
      <c r="P58" s="288"/>
      <c r="Q58" s="288"/>
      <c r="R58" s="288"/>
      <c r="S58" s="288"/>
      <c r="T58" s="333"/>
      <c r="U58" s="334"/>
      <c r="V58" s="333" t="s">
        <v>120</v>
      </c>
      <c r="W58" s="291"/>
      <c r="X58" s="5"/>
    </row>
    <row r="59" spans="1:25" ht="15.6" x14ac:dyDescent="0.3">
      <c r="A59" s="287"/>
      <c r="B59" s="288" t="s">
        <v>359</v>
      </c>
      <c r="C59" s="288"/>
      <c r="D59" s="288"/>
      <c r="E59" s="288"/>
      <c r="F59" s="288"/>
      <c r="G59" s="288"/>
      <c r="H59" s="288"/>
      <c r="I59" s="288"/>
      <c r="J59" s="288"/>
      <c r="K59" s="288"/>
      <c r="L59" s="288"/>
      <c r="M59" s="288"/>
      <c r="N59" s="288"/>
      <c r="O59" s="288"/>
      <c r="P59" s="288"/>
      <c r="Q59" s="288"/>
      <c r="R59" s="288"/>
      <c r="S59" s="288"/>
      <c r="T59" s="333"/>
      <c r="U59" s="334"/>
      <c r="V59" s="333" t="s">
        <v>154</v>
      </c>
      <c r="W59" s="291"/>
      <c r="X59" s="5"/>
      <c r="Y59" s="134"/>
    </row>
    <row r="60" spans="1:25" ht="15.6" x14ac:dyDescent="0.3">
      <c r="A60" s="287"/>
      <c r="B60" s="288" t="s">
        <v>16</v>
      </c>
      <c r="C60" s="288"/>
      <c r="D60" s="288"/>
      <c r="E60" s="288"/>
      <c r="F60" s="288"/>
      <c r="G60" s="288"/>
      <c r="H60" s="288"/>
      <c r="I60" s="288"/>
      <c r="J60" s="288"/>
      <c r="K60" s="288"/>
      <c r="L60" s="288"/>
      <c r="M60" s="288"/>
      <c r="N60" s="288"/>
      <c r="O60" s="288"/>
      <c r="P60" s="288"/>
      <c r="Q60" s="288"/>
      <c r="R60" s="288"/>
      <c r="S60" s="288"/>
      <c r="T60" s="333"/>
      <c r="U60" s="334"/>
      <c r="V60" s="333">
        <v>42979</v>
      </c>
      <c r="W60" s="291"/>
      <c r="X60" s="5"/>
    </row>
    <row r="61" spans="1:25" ht="15.6" x14ac:dyDescent="0.3">
      <c r="A61" s="183"/>
      <c r="B61" s="284"/>
      <c r="C61" s="284"/>
      <c r="D61" s="284"/>
      <c r="E61" s="284"/>
      <c r="F61" s="284"/>
      <c r="G61" s="284"/>
      <c r="H61" s="284"/>
      <c r="I61" s="284"/>
      <c r="J61" s="284"/>
      <c r="K61" s="284"/>
      <c r="L61" s="284"/>
      <c r="M61" s="284"/>
      <c r="N61" s="284"/>
      <c r="O61" s="284"/>
      <c r="P61" s="284"/>
      <c r="Q61" s="284"/>
      <c r="R61" s="284"/>
      <c r="S61" s="284"/>
      <c r="T61" s="285"/>
      <c r="U61" s="286"/>
      <c r="V61" s="285"/>
      <c r="W61" s="284"/>
      <c r="X61" s="5"/>
    </row>
    <row r="62" spans="1:25" ht="15.6" x14ac:dyDescent="0.3">
      <c r="A62" s="183"/>
      <c r="B62" s="224"/>
      <c r="C62" s="224"/>
      <c r="D62" s="224"/>
      <c r="E62" s="224"/>
      <c r="F62" s="224"/>
      <c r="G62" s="224"/>
      <c r="H62" s="224"/>
      <c r="I62" s="224"/>
      <c r="J62" s="224"/>
      <c r="K62" s="224"/>
      <c r="L62" s="224"/>
      <c r="M62" s="224"/>
      <c r="N62" s="224"/>
      <c r="O62" s="224"/>
      <c r="P62" s="224"/>
      <c r="Q62" s="224"/>
      <c r="R62" s="224"/>
      <c r="S62" s="224"/>
      <c r="T62" s="235"/>
      <c r="U62" s="236"/>
      <c r="V62" s="235"/>
      <c r="W62" s="224"/>
      <c r="X62" s="5"/>
    </row>
    <row r="63" spans="1:25" ht="18" thickBot="1" x14ac:dyDescent="0.35">
      <c r="A63" s="199"/>
      <c r="B63" s="237" t="s">
        <v>370</v>
      </c>
      <c r="C63" s="238"/>
      <c r="D63" s="238"/>
      <c r="E63" s="238"/>
      <c r="F63" s="238"/>
      <c r="G63" s="238"/>
      <c r="H63" s="238"/>
      <c r="I63" s="238"/>
      <c r="J63" s="238"/>
      <c r="K63" s="238"/>
      <c r="L63" s="238"/>
      <c r="M63" s="238"/>
      <c r="N63" s="238"/>
      <c r="O63" s="238"/>
      <c r="P63" s="238"/>
      <c r="Q63" s="238"/>
      <c r="R63" s="238"/>
      <c r="S63" s="238"/>
      <c r="T63" s="238"/>
      <c r="U63" s="238"/>
      <c r="V63" s="239"/>
      <c r="W63" s="240"/>
      <c r="X63" s="5"/>
    </row>
    <row r="64" spans="1:25" ht="15.6" x14ac:dyDescent="0.3">
      <c r="A64" s="262"/>
      <c r="B64" s="399" t="s">
        <v>17</v>
      </c>
      <c r="C64" s="263"/>
      <c r="D64" s="263"/>
      <c r="E64" s="263"/>
      <c r="F64" s="263"/>
      <c r="G64" s="263"/>
      <c r="H64" s="263"/>
      <c r="I64" s="263"/>
      <c r="J64" s="263"/>
      <c r="K64" s="263"/>
      <c r="L64" s="263"/>
      <c r="M64" s="263"/>
      <c r="N64" s="263"/>
      <c r="O64" s="263"/>
      <c r="P64" s="263"/>
      <c r="Q64" s="263"/>
      <c r="R64" s="263"/>
      <c r="S64" s="263"/>
      <c r="T64" s="263"/>
      <c r="U64" s="263"/>
      <c r="V64" s="268"/>
      <c r="W64" s="263"/>
      <c r="X64" s="5"/>
    </row>
    <row r="65" spans="1:24" ht="15.6" x14ac:dyDescent="0.3">
      <c r="A65" s="183"/>
      <c r="B65" s="191"/>
      <c r="C65" s="185"/>
      <c r="D65" s="185"/>
      <c r="E65" s="185"/>
      <c r="F65" s="185"/>
      <c r="G65" s="185"/>
      <c r="H65" s="185"/>
      <c r="I65" s="185"/>
      <c r="J65" s="185"/>
      <c r="K65" s="185"/>
      <c r="L65" s="185"/>
      <c r="M65" s="185"/>
      <c r="N65" s="185"/>
      <c r="O65" s="185"/>
      <c r="P65" s="185"/>
      <c r="Q65" s="185"/>
      <c r="R65" s="185"/>
      <c r="S65" s="185"/>
      <c r="T65" s="185"/>
      <c r="U65" s="185"/>
      <c r="V65" s="201"/>
      <c r="W65" s="185"/>
      <c r="X65" s="5"/>
    </row>
    <row r="66" spans="1:24" ht="46.8" x14ac:dyDescent="0.3">
      <c r="A66" s="183"/>
      <c r="B66" s="202" t="s">
        <v>18</v>
      </c>
      <c r="C66" s="203"/>
      <c r="D66" s="203"/>
      <c r="E66" s="203"/>
      <c r="F66" s="203"/>
      <c r="G66" s="203"/>
      <c r="H66" s="203"/>
      <c r="I66" s="203"/>
      <c r="J66" s="203"/>
      <c r="K66" s="203"/>
      <c r="L66" s="203" t="s">
        <v>94</v>
      </c>
      <c r="M66" s="203"/>
      <c r="N66" s="203" t="s">
        <v>96</v>
      </c>
      <c r="O66" s="203"/>
      <c r="P66" s="203" t="s">
        <v>98</v>
      </c>
      <c r="Q66" s="203"/>
      <c r="R66" s="203" t="s">
        <v>100</v>
      </c>
      <c r="S66" s="203"/>
      <c r="T66" s="203" t="s">
        <v>106</v>
      </c>
      <c r="U66" s="203"/>
      <c r="V66" s="204" t="s">
        <v>112</v>
      </c>
      <c r="W66" s="205"/>
      <c r="X66" s="5"/>
    </row>
    <row r="67" spans="1:24" ht="15.6" x14ac:dyDescent="0.3">
      <c r="A67" s="287"/>
      <c r="B67" s="288" t="s">
        <v>19</v>
      </c>
      <c r="C67" s="337"/>
      <c r="D67" s="337"/>
      <c r="E67" s="337"/>
      <c r="F67" s="337"/>
      <c r="G67" s="337"/>
      <c r="H67" s="337"/>
      <c r="I67" s="337"/>
      <c r="J67" s="337"/>
      <c r="K67" s="337"/>
      <c r="L67" s="337">
        <v>1158015</v>
      </c>
      <c r="M67" s="337"/>
      <c r="N67" s="338">
        <v>892133</v>
      </c>
      <c r="O67" s="337"/>
      <c r="P67" s="337">
        <f>14642+35</f>
        <v>14677</v>
      </c>
      <c r="Q67" s="337"/>
      <c r="R67" s="337">
        <v>35</v>
      </c>
      <c r="S67" s="337"/>
      <c r="T67" s="337">
        <v>0</v>
      </c>
      <c r="U67" s="337"/>
      <c r="V67" s="338">
        <f>+N67-P67+R67-T67</f>
        <v>877491</v>
      </c>
      <c r="W67" s="291"/>
      <c r="X67" s="5"/>
    </row>
    <row r="68" spans="1:24" ht="15.6" x14ac:dyDescent="0.3">
      <c r="A68" s="287"/>
      <c r="B68" s="288" t="s">
        <v>20</v>
      </c>
      <c r="C68" s="337"/>
      <c r="D68" s="337"/>
      <c r="E68" s="337"/>
      <c r="F68" s="337"/>
      <c r="G68" s="337"/>
      <c r="H68" s="337"/>
      <c r="I68" s="337"/>
      <c r="J68" s="337"/>
      <c r="K68" s="337"/>
      <c r="L68" s="337">
        <v>15</v>
      </c>
      <c r="M68" s="337"/>
      <c r="N68" s="338">
        <v>0</v>
      </c>
      <c r="O68" s="337"/>
      <c r="P68" s="337">
        <v>0</v>
      </c>
      <c r="Q68" s="337"/>
      <c r="R68" s="337">
        <v>0</v>
      </c>
      <c r="S68" s="337"/>
      <c r="T68" s="337">
        <v>0</v>
      </c>
      <c r="U68" s="337"/>
      <c r="V68" s="338">
        <v>0</v>
      </c>
      <c r="W68" s="291"/>
      <c r="X68" s="5"/>
    </row>
    <row r="69" spans="1:24" ht="15.6" x14ac:dyDescent="0.3">
      <c r="A69" s="287"/>
      <c r="B69" s="288"/>
      <c r="C69" s="337"/>
      <c r="D69" s="337"/>
      <c r="E69" s="337"/>
      <c r="F69" s="337"/>
      <c r="G69" s="337"/>
      <c r="H69" s="337"/>
      <c r="I69" s="337"/>
      <c r="J69" s="337"/>
      <c r="K69" s="337"/>
      <c r="L69" s="337"/>
      <c r="M69" s="337"/>
      <c r="N69" s="338"/>
      <c r="O69" s="337"/>
      <c r="P69" s="337"/>
      <c r="Q69" s="337"/>
      <c r="R69" s="337"/>
      <c r="S69" s="337"/>
      <c r="T69" s="337"/>
      <c r="U69" s="337"/>
      <c r="V69" s="338"/>
      <c r="W69" s="291"/>
      <c r="X69" s="5"/>
    </row>
    <row r="70" spans="1:24" ht="15.6" x14ac:dyDescent="0.3">
      <c r="A70" s="287"/>
      <c r="B70" s="288" t="s">
        <v>21</v>
      </c>
      <c r="C70" s="337"/>
      <c r="D70" s="337"/>
      <c r="E70" s="337"/>
      <c r="F70" s="337"/>
      <c r="G70" s="337"/>
      <c r="H70" s="337"/>
      <c r="I70" s="337"/>
      <c r="J70" s="337"/>
      <c r="K70" s="337"/>
      <c r="L70" s="337">
        <f>SUM(L67:L69)</f>
        <v>1158030</v>
      </c>
      <c r="M70" s="337"/>
      <c r="N70" s="337">
        <f>N67+N68</f>
        <v>892133</v>
      </c>
      <c r="O70" s="337"/>
      <c r="P70" s="337">
        <f>SUM(P67:P69)</f>
        <v>14677</v>
      </c>
      <c r="Q70" s="337"/>
      <c r="R70" s="337">
        <f>SUM(R67:R69)</f>
        <v>35</v>
      </c>
      <c r="S70" s="337"/>
      <c r="T70" s="337">
        <f>SUM(T67:T69)</f>
        <v>0</v>
      </c>
      <c r="U70" s="337"/>
      <c r="V70" s="337">
        <f>SUM(V67:V69)</f>
        <v>877491</v>
      </c>
      <c r="W70" s="291"/>
      <c r="X70" s="5"/>
    </row>
    <row r="71" spans="1:24" ht="15.6" x14ac:dyDescent="0.3">
      <c r="A71" s="183"/>
      <c r="B71" s="198"/>
      <c r="C71" s="335"/>
      <c r="D71" s="335"/>
      <c r="E71" s="335"/>
      <c r="F71" s="335"/>
      <c r="G71" s="335"/>
      <c r="H71" s="335"/>
      <c r="I71" s="335"/>
      <c r="J71" s="335"/>
      <c r="K71" s="335"/>
      <c r="L71" s="335"/>
      <c r="M71" s="335"/>
      <c r="N71" s="335"/>
      <c r="O71" s="335"/>
      <c r="P71" s="335"/>
      <c r="Q71" s="335"/>
      <c r="R71" s="335"/>
      <c r="S71" s="335"/>
      <c r="T71" s="335"/>
      <c r="U71" s="335"/>
      <c r="V71" s="336"/>
      <c r="W71" s="198"/>
      <c r="X71" s="5"/>
    </row>
    <row r="72" spans="1:24" ht="15.6" x14ac:dyDescent="0.3">
      <c r="A72" s="183"/>
      <c r="B72" s="187" t="s">
        <v>22</v>
      </c>
      <c r="C72" s="206"/>
      <c r="D72" s="206"/>
      <c r="E72" s="206"/>
      <c r="F72" s="206"/>
      <c r="G72" s="206"/>
      <c r="H72" s="206"/>
      <c r="I72" s="206"/>
      <c r="J72" s="206"/>
      <c r="K72" s="206"/>
      <c r="L72" s="206"/>
      <c r="M72" s="206"/>
      <c r="N72" s="206"/>
      <c r="O72" s="206"/>
      <c r="P72" s="206"/>
      <c r="Q72" s="206"/>
      <c r="R72" s="206"/>
      <c r="S72" s="206"/>
      <c r="T72" s="206"/>
      <c r="U72" s="206"/>
      <c r="V72" s="207"/>
      <c r="W72" s="185"/>
      <c r="X72" s="5"/>
    </row>
    <row r="73" spans="1:24" ht="15.6" x14ac:dyDescent="0.3">
      <c r="A73" s="183"/>
      <c r="B73" s="185"/>
      <c r="C73" s="206"/>
      <c r="D73" s="206"/>
      <c r="E73" s="206"/>
      <c r="F73" s="206"/>
      <c r="G73" s="206"/>
      <c r="H73" s="206"/>
      <c r="I73" s="206"/>
      <c r="J73" s="206"/>
      <c r="K73" s="206"/>
      <c r="L73" s="206"/>
      <c r="M73" s="206"/>
      <c r="N73" s="206"/>
      <c r="O73" s="206"/>
      <c r="P73" s="206"/>
      <c r="Q73" s="206"/>
      <c r="R73" s="206"/>
      <c r="S73" s="206"/>
      <c r="T73" s="206"/>
      <c r="U73" s="206"/>
      <c r="V73" s="207"/>
      <c r="W73" s="185"/>
      <c r="X73" s="5"/>
    </row>
    <row r="74" spans="1:24" ht="15.6" x14ac:dyDescent="0.3">
      <c r="A74" s="340"/>
      <c r="B74" s="288" t="s">
        <v>19</v>
      </c>
      <c r="C74" s="337"/>
      <c r="D74" s="337"/>
      <c r="E74" s="337"/>
      <c r="F74" s="337"/>
      <c r="G74" s="337"/>
      <c r="H74" s="337"/>
      <c r="I74" s="337"/>
      <c r="J74" s="337"/>
      <c r="K74" s="337"/>
      <c r="L74" s="337"/>
      <c r="M74" s="337"/>
      <c r="N74" s="337"/>
      <c r="O74" s="337"/>
      <c r="P74" s="337"/>
      <c r="Q74" s="337"/>
      <c r="R74" s="337"/>
      <c r="S74" s="337"/>
      <c r="T74" s="337"/>
      <c r="U74" s="337"/>
      <c r="V74" s="337"/>
      <c r="W74" s="291"/>
      <c r="X74" s="5"/>
    </row>
    <row r="75" spans="1:24" ht="15.6" x14ac:dyDescent="0.3">
      <c r="A75" s="340"/>
      <c r="B75" s="288" t="s">
        <v>20</v>
      </c>
      <c r="C75" s="337"/>
      <c r="D75" s="337"/>
      <c r="E75" s="337"/>
      <c r="F75" s="337"/>
      <c r="G75" s="337"/>
      <c r="H75" s="337"/>
      <c r="I75" s="337"/>
      <c r="J75" s="337"/>
      <c r="K75" s="337"/>
      <c r="L75" s="337"/>
      <c r="M75" s="337"/>
      <c r="N75" s="337"/>
      <c r="O75" s="337"/>
      <c r="P75" s="337"/>
      <c r="Q75" s="337"/>
      <c r="R75" s="337"/>
      <c r="S75" s="337"/>
      <c r="T75" s="337"/>
      <c r="U75" s="337"/>
      <c r="V75" s="337"/>
      <c r="W75" s="291"/>
      <c r="X75" s="5"/>
    </row>
    <row r="76" spans="1:24" ht="15.6" x14ac:dyDescent="0.3">
      <c r="A76" s="340"/>
      <c r="B76" s="288"/>
      <c r="C76" s="337"/>
      <c r="D76" s="337"/>
      <c r="E76" s="337"/>
      <c r="F76" s="337"/>
      <c r="G76" s="337"/>
      <c r="H76" s="337"/>
      <c r="I76" s="337"/>
      <c r="J76" s="337"/>
      <c r="K76" s="337"/>
      <c r="L76" s="337"/>
      <c r="M76" s="337"/>
      <c r="N76" s="337"/>
      <c r="O76" s="337"/>
      <c r="P76" s="337"/>
      <c r="Q76" s="337"/>
      <c r="R76" s="337"/>
      <c r="S76" s="337"/>
      <c r="T76" s="337"/>
      <c r="U76" s="337"/>
      <c r="V76" s="337"/>
      <c r="W76" s="291"/>
      <c r="X76" s="5"/>
    </row>
    <row r="77" spans="1:24" ht="15.6" x14ac:dyDescent="0.3">
      <c r="A77" s="340"/>
      <c r="B77" s="288" t="s">
        <v>21</v>
      </c>
      <c r="C77" s="337"/>
      <c r="D77" s="337"/>
      <c r="E77" s="337"/>
      <c r="F77" s="337"/>
      <c r="G77" s="337"/>
      <c r="H77" s="337"/>
      <c r="I77" s="337"/>
      <c r="J77" s="337"/>
      <c r="K77" s="337"/>
      <c r="L77" s="337"/>
      <c r="M77" s="337"/>
      <c r="N77" s="337"/>
      <c r="O77" s="337"/>
      <c r="P77" s="337"/>
      <c r="Q77" s="337"/>
      <c r="R77" s="337"/>
      <c r="S77" s="337"/>
      <c r="T77" s="337"/>
      <c r="U77" s="337"/>
      <c r="V77" s="337"/>
      <c r="W77" s="291"/>
      <c r="X77" s="5"/>
    </row>
    <row r="78" spans="1:24" ht="15.6" x14ac:dyDescent="0.3">
      <c r="A78" s="340"/>
      <c r="B78" s="288"/>
      <c r="C78" s="337"/>
      <c r="D78" s="337"/>
      <c r="E78" s="337"/>
      <c r="F78" s="337"/>
      <c r="G78" s="337"/>
      <c r="H78" s="337"/>
      <c r="I78" s="337"/>
      <c r="J78" s="337"/>
      <c r="K78" s="337"/>
      <c r="L78" s="337"/>
      <c r="M78" s="337"/>
      <c r="N78" s="337"/>
      <c r="O78" s="337"/>
      <c r="P78" s="337"/>
      <c r="Q78" s="337"/>
      <c r="R78" s="337"/>
      <c r="S78" s="337"/>
      <c r="T78" s="337"/>
      <c r="U78" s="337"/>
      <c r="V78" s="337"/>
      <c r="W78" s="291"/>
      <c r="X78" s="5"/>
    </row>
    <row r="79" spans="1:24" ht="15.6" x14ac:dyDescent="0.3">
      <c r="A79" s="340"/>
      <c r="B79" s="288" t="s">
        <v>23</v>
      </c>
      <c r="C79" s="337"/>
      <c r="D79" s="337"/>
      <c r="E79" s="337"/>
      <c r="F79" s="337"/>
      <c r="G79" s="337"/>
      <c r="H79" s="337"/>
      <c r="I79" s="337"/>
      <c r="J79" s="337"/>
      <c r="K79" s="337"/>
      <c r="L79" s="337">
        <v>0</v>
      </c>
      <c r="M79" s="337"/>
      <c r="N79" s="337">
        <v>0</v>
      </c>
      <c r="O79" s="337"/>
      <c r="P79" s="337"/>
      <c r="Q79" s="337"/>
      <c r="R79" s="337"/>
      <c r="S79" s="337"/>
      <c r="T79" s="337"/>
      <c r="U79" s="337"/>
      <c r="V79" s="338">
        <v>0</v>
      </c>
      <c r="W79" s="291"/>
      <c r="X79" s="5"/>
    </row>
    <row r="80" spans="1:24" ht="15.6" x14ac:dyDescent="0.3">
      <c r="A80" s="340"/>
      <c r="B80" s="288" t="s">
        <v>117</v>
      </c>
      <c r="C80" s="337"/>
      <c r="D80" s="337"/>
      <c r="E80" s="337"/>
      <c r="F80" s="337"/>
      <c r="G80" s="337"/>
      <c r="H80" s="337"/>
      <c r="I80" s="337"/>
      <c r="J80" s="337"/>
      <c r="K80" s="337"/>
      <c r="L80" s="337">
        <v>342245</v>
      </c>
      <c r="M80" s="337"/>
      <c r="N80" s="337">
        <v>0</v>
      </c>
      <c r="O80" s="337"/>
      <c r="P80" s="337">
        <v>0</v>
      </c>
      <c r="Q80" s="337"/>
      <c r="R80" s="337"/>
      <c r="S80" s="337"/>
      <c r="T80" s="337"/>
      <c r="U80" s="337"/>
      <c r="V80" s="337">
        <f>SUM(N80:R80)</f>
        <v>0</v>
      </c>
      <c r="W80" s="291"/>
      <c r="X80" s="5"/>
    </row>
    <row r="81" spans="1:24" ht="15.6" x14ac:dyDescent="0.3">
      <c r="A81" s="340"/>
      <c r="B81" s="288" t="s">
        <v>146</v>
      </c>
      <c r="C81" s="337"/>
      <c r="D81" s="337"/>
      <c r="E81" s="337"/>
      <c r="F81" s="337"/>
      <c r="G81" s="337"/>
      <c r="H81" s="337"/>
      <c r="I81" s="337"/>
      <c r="J81" s="337"/>
      <c r="K81" s="337"/>
      <c r="L81" s="337">
        <v>0</v>
      </c>
      <c r="M81" s="337"/>
      <c r="N81" s="337">
        <v>0</v>
      </c>
      <c r="O81" s="337"/>
      <c r="P81" s="337">
        <v>0</v>
      </c>
      <c r="Q81" s="337"/>
      <c r="R81" s="337"/>
      <c r="S81" s="337"/>
      <c r="T81" s="337"/>
      <c r="U81" s="337"/>
      <c r="V81" s="337">
        <f>+N81+P81</f>
        <v>0</v>
      </c>
      <c r="W81" s="291"/>
      <c r="X81" s="5"/>
    </row>
    <row r="82" spans="1:24" ht="15.6" x14ac:dyDescent="0.3">
      <c r="A82" s="340"/>
      <c r="B82" s="288" t="s">
        <v>25</v>
      </c>
      <c r="C82" s="337"/>
      <c r="D82" s="337"/>
      <c r="E82" s="337"/>
      <c r="F82" s="337"/>
      <c r="G82" s="337"/>
      <c r="H82" s="337"/>
      <c r="I82" s="337"/>
      <c r="J82" s="337"/>
      <c r="K82" s="337"/>
      <c r="L82" s="337">
        <v>0</v>
      </c>
      <c r="M82" s="337"/>
      <c r="N82" s="337">
        <v>0</v>
      </c>
      <c r="O82" s="337"/>
      <c r="P82" s="337"/>
      <c r="Q82" s="337"/>
      <c r="R82" s="337"/>
      <c r="S82" s="337"/>
      <c r="T82" s="337"/>
      <c r="U82" s="337"/>
      <c r="V82" s="337">
        <v>0</v>
      </c>
      <c r="W82" s="291"/>
      <c r="X82" s="5"/>
    </row>
    <row r="83" spans="1:24" ht="15.6" x14ac:dyDescent="0.3">
      <c r="A83" s="340"/>
      <c r="B83" s="288" t="s">
        <v>26</v>
      </c>
      <c r="C83" s="337"/>
      <c r="D83" s="337"/>
      <c r="E83" s="337"/>
      <c r="F83" s="337"/>
      <c r="G83" s="337"/>
      <c r="H83" s="337"/>
      <c r="I83" s="337"/>
      <c r="J83" s="337"/>
      <c r="K83" s="337"/>
      <c r="L83" s="337">
        <f>SUM(L70:L82)</f>
        <v>1500275</v>
      </c>
      <c r="M83" s="337"/>
      <c r="N83" s="337">
        <f>SUM(N70:N82)</f>
        <v>892133</v>
      </c>
      <c r="O83" s="337"/>
      <c r="P83" s="337"/>
      <c r="Q83" s="337"/>
      <c r="R83" s="337"/>
      <c r="S83" s="337"/>
      <c r="T83" s="337"/>
      <c r="U83" s="337"/>
      <c r="V83" s="337">
        <f>SUM(V70:V82)</f>
        <v>877491</v>
      </c>
      <c r="W83" s="291"/>
      <c r="X83" s="5"/>
    </row>
    <row r="84" spans="1:24" ht="15.6" x14ac:dyDescent="0.3">
      <c r="A84" s="243"/>
      <c r="B84" s="284"/>
      <c r="C84" s="339"/>
      <c r="D84" s="339"/>
      <c r="E84" s="339"/>
      <c r="F84" s="339"/>
      <c r="G84" s="339"/>
      <c r="H84" s="339"/>
      <c r="I84" s="339"/>
      <c r="J84" s="339"/>
      <c r="K84" s="339"/>
      <c r="L84" s="339"/>
      <c r="M84" s="339"/>
      <c r="N84" s="339"/>
      <c r="O84" s="339"/>
      <c r="P84" s="339"/>
      <c r="Q84" s="339"/>
      <c r="R84" s="339"/>
      <c r="S84" s="339"/>
      <c r="T84" s="339"/>
      <c r="U84" s="339"/>
      <c r="V84" s="339"/>
      <c r="W84" s="284"/>
      <c r="X84" s="5"/>
    </row>
    <row r="85" spans="1:24" ht="15.6" x14ac:dyDescent="0.3">
      <c r="A85" s="243"/>
      <c r="B85" s="224"/>
      <c r="C85" s="224"/>
      <c r="D85" s="224"/>
      <c r="E85" s="224"/>
      <c r="F85" s="224"/>
      <c r="G85" s="224"/>
      <c r="H85" s="224"/>
      <c r="I85" s="224"/>
      <c r="J85" s="224"/>
      <c r="K85" s="224"/>
      <c r="L85" s="224"/>
      <c r="M85" s="224"/>
      <c r="N85" s="224"/>
      <c r="O85" s="224"/>
      <c r="P85" s="224"/>
      <c r="Q85" s="224"/>
      <c r="R85" s="224"/>
      <c r="S85" s="224"/>
      <c r="T85" s="224"/>
      <c r="U85" s="224"/>
      <c r="V85" s="224"/>
      <c r="W85" s="224"/>
      <c r="X85" s="5"/>
    </row>
    <row r="86" spans="1:24" ht="15.6" x14ac:dyDescent="0.3">
      <c r="A86" s="262"/>
      <c r="B86" s="399" t="s">
        <v>27</v>
      </c>
      <c r="C86" s="399"/>
      <c r="D86" s="399"/>
      <c r="E86" s="399"/>
      <c r="F86" s="399"/>
      <c r="G86" s="399"/>
      <c r="H86" s="400"/>
      <c r="I86" s="400"/>
      <c r="J86" s="400"/>
      <c r="K86" s="400"/>
      <c r="L86" s="401" t="s">
        <v>95</v>
      </c>
      <c r="M86" s="400"/>
      <c r="N86" s="402">
        <f>+T204</f>
        <v>42978</v>
      </c>
      <c r="O86" s="400"/>
      <c r="P86" s="400"/>
      <c r="Q86" s="400"/>
      <c r="R86" s="400"/>
      <c r="S86" s="400"/>
      <c r="T86" s="400" t="s">
        <v>107</v>
      </c>
      <c r="U86" s="400"/>
      <c r="V86" s="400" t="s">
        <v>113</v>
      </c>
      <c r="W86" s="263"/>
      <c r="X86" s="5"/>
    </row>
    <row r="87" spans="1:24" ht="15.6" x14ac:dyDescent="0.3">
      <c r="A87" s="242"/>
      <c r="B87" s="231" t="s">
        <v>28</v>
      </c>
      <c r="C87" s="231"/>
      <c r="D87" s="231"/>
      <c r="E87" s="231"/>
      <c r="F87" s="231"/>
      <c r="G87" s="231"/>
      <c r="H87" s="231"/>
      <c r="I87" s="231"/>
      <c r="J87" s="231"/>
      <c r="K87" s="231"/>
      <c r="L87" s="231"/>
      <c r="M87" s="231"/>
      <c r="N87" s="231"/>
      <c r="O87" s="231"/>
      <c r="P87" s="231"/>
      <c r="Q87" s="231"/>
      <c r="R87" s="231"/>
      <c r="S87" s="231"/>
      <c r="T87" s="234">
        <v>0</v>
      </c>
      <c r="U87" s="231"/>
      <c r="V87" s="241">
        <v>0</v>
      </c>
      <c r="W87" s="231"/>
      <c r="X87" s="5"/>
    </row>
    <row r="88" spans="1:24" ht="15.6" x14ac:dyDescent="0.3">
      <c r="A88" s="340"/>
      <c r="B88" s="288" t="s">
        <v>29</v>
      </c>
      <c r="C88" s="288"/>
      <c r="D88" s="288"/>
      <c r="E88" s="288"/>
      <c r="F88" s="288"/>
      <c r="G88" s="288"/>
      <c r="H88" s="325"/>
      <c r="I88" s="325"/>
      <c r="J88" s="325"/>
      <c r="K88" s="341"/>
      <c r="L88" s="325"/>
      <c r="M88" s="288"/>
      <c r="N88" s="342"/>
      <c r="O88" s="288"/>
      <c r="P88" s="288"/>
      <c r="Q88" s="288"/>
      <c r="R88" s="288"/>
      <c r="S88" s="288"/>
      <c r="T88" s="337">
        <f>14677-147</f>
        <v>14530</v>
      </c>
      <c r="U88" s="288"/>
      <c r="V88" s="338"/>
      <c r="W88" s="291"/>
      <c r="X88" s="5"/>
    </row>
    <row r="89" spans="1:24" ht="15.6" x14ac:dyDescent="0.3">
      <c r="A89" s="340"/>
      <c r="B89" s="288" t="s">
        <v>216</v>
      </c>
      <c r="C89" s="288"/>
      <c r="D89" s="288"/>
      <c r="E89" s="288"/>
      <c r="F89" s="288"/>
      <c r="G89" s="288"/>
      <c r="H89" s="325"/>
      <c r="I89" s="325"/>
      <c r="J89" s="325"/>
      <c r="K89" s="341"/>
      <c r="L89" s="325"/>
      <c r="M89" s="288"/>
      <c r="N89" s="342"/>
      <c r="O89" s="288"/>
      <c r="P89" s="288"/>
      <c r="Q89" s="288"/>
      <c r="R89" s="288"/>
      <c r="S89" s="288"/>
      <c r="T89" s="337"/>
      <c r="U89" s="288"/>
      <c r="V89" s="338">
        <f>2844+3830-480-1173</f>
        <v>5021</v>
      </c>
      <c r="W89" s="291"/>
      <c r="X89" s="5"/>
    </row>
    <row r="90" spans="1:24" ht="15.6" x14ac:dyDescent="0.3">
      <c r="A90" s="340"/>
      <c r="B90" s="288" t="s">
        <v>211</v>
      </c>
      <c r="C90" s="288"/>
      <c r="D90" s="288"/>
      <c r="E90" s="288"/>
      <c r="F90" s="288"/>
      <c r="G90" s="288"/>
      <c r="H90" s="325"/>
      <c r="I90" s="325"/>
      <c r="J90" s="325"/>
      <c r="K90" s="341"/>
      <c r="L90" s="325"/>
      <c r="M90" s="288"/>
      <c r="N90" s="342"/>
      <c r="O90" s="288"/>
      <c r="P90" s="288"/>
      <c r="Q90" s="288"/>
      <c r="R90" s="288"/>
      <c r="S90" s="288"/>
      <c r="T90" s="337"/>
      <c r="U90" s="288"/>
      <c r="V90" s="338">
        <f>18+99</f>
        <v>117</v>
      </c>
      <c r="W90" s="291"/>
      <c r="X90" s="5"/>
    </row>
    <row r="91" spans="1:24" ht="15.6" x14ac:dyDescent="0.3">
      <c r="A91" s="340"/>
      <c r="B91" s="288" t="s">
        <v>212</v>
      </c>
      <c r="C91" s="288"/>
      <c r="D91" s="288"/>
      <c r="E91" s="288"/>
      <c r="F91" s="288"/>
      <c r="G91" s="288"/>
      <c r="H91" s="325"/>
      <c r="I91" s="325"/>
      <c r="J91" s="325"/>
      <c r="K91" s="341"/>
      <c r="L91" s="325"/>
      <c r="M91" s="288"/>
      <c r="N91" s="342"/>
      <c r="O91" s="288"/>
      <c r="P91" s="288"/>
      <c r="Q91" s="288"/>
      <c r="R91" s="288"/>
      <c r="S91" s="288"/>
      <c r="T91" s="337"/>
      <c r="U91" s="288"/>
      <c r="V91" s="338">
        <v>29</v>
      </c>
      <c r="W91" s="291"/>
      <c r="X91" s="5"/>
    </row>
    <row r="92" spans="1:24" ht="15.6" x14ac:dyDescent="0.3">
      <c r="A92" s="340"/>
      <c r="B92" s="288" t="s">
        <v>272</v>
      </c>
      <c r="C92" s="288"/>
      <c r="D92" s="288"/>
      <c r="E92" s="288"/>
      <c r="F92" s="288"/>
      <c r="G92" s="288"/>
      <c r="H92" s="325"/>
      <c r="I92" s="325"/>
      <c r="J92" s="325"/>
      <c r="K92" s="341"/>
      <c r="L92" s="325"/>
      <c r="M92" s="288"/>
      <c r="N92" s="342"/>
      <c r="O92" s="288"/>
      <c r="P92" s="288"/>
      <c r="Q92" s="288"/>
      <c r="R92" s="288"/>
      <c r="S92" s="288"/>
      <c r="T92" s="337"/>
      <c r="U92" s="288"/>
      <c r="V92" s="338">
        <v>0</v>
      </c>
      <c r="W92" s="291"/>
      <c r="X92" s="5"/>
    </row>
    <row r="93" spans="1:24" ht="15.6" x14ac:dyDescent="0.3">
      <c r="A93" s="340"/>
      <c r="B93" s="288" t="s">
        <v>274</v>
      </c>
      <c r="C93" s="288"/>
      <c r="D93" s="288"/>
      <c r="E93" s="288"/>
      <c r="F93" s="288"/>
      <c r="G93" s="288"/>
      <c r="H93" s="325"/>
      <c r="I93" s="325"/>
      <c r="J93" s="325"/>
      <c r="K93" s="341"/>
      <c r="L93" s="325"/>
      <c r="M93" s="288"/>
      <c r="N93" s="342"/>
      <c r="O93" s="288"/>
      <c r="P93" s="288"/>
      <c r="Q93" s="288"/>
      <c r="R93" s="288"/>
      <c r="S93" s="288"/>
      <c r="T93" s="337"/>
      <c r="U93" s="288"/>
      <c r="V93" s="338">
        <v>0</v>
      </c>
      <c r="W93" s="291"/>
      <c r="X93" s="5"/>
    </row>
    <row r="94" spans="1:24" ht="15.6" x14ac:dyDescent="0.3">
      <c r="A94" s="340"/>
      <c r="B94" s="288" t="s">
        <v>135</v>
      </c>
      <c r="C94" s="288"/>
      <c r="D94" s="288"/>
      <c r="E94" s="288"/>
      <c r="F94" s="288"/>
      <c r="G94" s="288"/>
      <c r="H94" s="288"/>
      <c r="I94" s="288"/>
      <c r="J94" s="288"/>
      <c r="K94" s="288"/>
      <c r="L94" s="288"/>
      <c r="M94" s="288"/>
      <c r="N94" s="288"/>
      <c r="O94" s="288"/>
      <c r="P94" s="288"/>
      <c r="Q94" s="288"/>
      <c r="R94" s="288"/>
      <c r="S94" s="288"/>
      <c r="T94" s="337"/>
      <c r="U94" s="288"/>
      <c r="V94" s="338">
        <v>0</v>
      </c>
      <c r="W94" s="291"/>
      <c r="X94" s="5"/>
    </row>
    <row r="95" spans="1:24" ht="15.6" x14ac:dyDescent="0.3">
      <c r="A95" s="340"/>
      <c r="B95" s="288" t="s">
        <v>268</v>
      </c>
      <c r="C95" s="288"/>
      <c r="D95" s="288"/>
      <c r="E95" s="288"/>
      <c r="F95" s="288"/>
      <c r="G95" s="288"/>
      <c r="H95" s="288"/>
      <c r="I95" s="288"/>
      <c r="J95" s="288"/>
      <c r="K95" s="288"/>
      <c r="L95" s="288"/>
      <c r="M95" s="288"/>
      <c r="N95" s="288"/>
      <c r="O95" s="288"/>
      <c r="P95" s="288"/>
      <c r="Q95" s="288"/>
      <c r="R95" s="288"/>
      <c r="S95" s="288"/>
      <c r="T95" s="337"/>
      <c r="U95" s="288"/>
      <c r="V95" s="338">
        <v>114</v>
      </c>
      <c r="W95" s="291"/>
      <c r="X95" s="5"/>
    </row>
    <row r="96" spans="1:24" ht="15.6" x14ac:dyDescent="0.3">
      <c r="A96" s="340"/>
      <c r="B96" s="288" t="s">
        <v>30</v>
      </c>
      <c r="C96" s="288"/>
      <c r="D96" s="288"/>
      <c r="E96" s="288"/>
      <c r="F96" s="288"/>
      <c r="G96" s="288"/>
      <c r="H96" s="288"/>
      <c r="I96" s="288"/>
      <c r="J96" s="288"/>
      <c r="K96" s="288"/>
      <c r="L96" s="288"/>
      <c r="M96" s="288"/>
      <c r="N96" s="288"/>
      <c r="O96" s="288"/>
      <c r="P96" s="288"/>
      <c r="Q96" s="288"/>
      <c r="R96" s="288"/>
      <c r="S96" s="288"/>
      <c r="T96" s="337">
        <f>SUM(T87:T95)</f>
        <v>14530</v>
      </c>
      <c r="U96" s="288"/>
      <c r="V96" s="337">
        <f>SUM(V87:V95)</f>
        <v>5281</v>
      </c>
      <c r="W96" s="291"/>
      <c r="X96" s="5"/>
    </row>
    <row r="97" spans="1:25" ht="15.6" x14ac:dyDescent="0.3">
      <c r="A97" s="340"/>
      <c r="B97" s="288" t="s">
        <v>161</v>
      </c>
      <c r="C97" s="288"/>
      <c r="D97" s="288"/>
      <c r="E97" s="288"/>
      <c r="F97" s="288"/>
      <c r="G97" s="288"/>
      <c r="H97" s="288"/>
      <c r="I97" s="288"/>
      <c r="J97" s="288"/>
      <c r="K97" s="288"/>
      <c r="L97" s="288"/>
      <c r="M97" s="288"/>
      <c r="N97" s="288"/>
      <c r="O97" s="288"/>
      <c r="P97" s="288"/>
      <c r="Q97" s="288"/>
      <c r="R97" s="288"/>
      <c r="S97" s="288"/>
      <c r="T97" s="337">
        <f>-V97</f>
        <v>0</v>
      </c>
      <c r="U97" s="288"/>
      <c r="V97" s="337">
        <v>0</v>
      </c>
      <c r="W97" s="291"/>
      <c r="X97" s="5"/>
    </row>
    <row r="98" spans="1:25" ht="15.6" x14ac:dyDescent="0.3">
      <c r="A98" s="340"/>
      <c r="B98" s="288" t="s">
        <v>31</v>
      </c>
      <c r="C98" s="288"/>
      <c r="D98" s="288"/>
      <c r="E98" s="288"/>
      <c r="F98" s="288"/>
      <c r="G98" s="288"/>
      <c r="H98" s="288"/>
      <c r="I98" s="288"/>
      <c r="J98" s="288"/>
      <c r="K98" s="288"/>
      <c r="L98" s="288"/>
      <c r="M98" s="288"/>
      <c r="N98" s="288"/>
      <c r="O98" s="288"/>
      <c r="P98" s="288"/>
      <c r="Q98" s="288"/>
      <c r="R98" s="288"/>
      <c r="S98" s="288"/>
      <c r="T98" s="337">
        <f>-V98</f>
        <v>0</v>
      </c>
      <c r="U98" s="288"/>
      <c r="V98" s="338">
        <v>0</v>
      </c>
      <c r="W98" s="291"/>
      <c r="X98" s="5"/>
    </row>
    <row r="99" spans="1:25" ht="15.6" x14ac:dyDescent="0.3">
      <c r="A99" s="340"/>
      <c r="B99" s="288" t="s">
        <v>283</v>
      </c>
      <c r="C99" s="288"/>
      <c r="D99" s="288"/>
      <c r="E99" s="288"/>
      <c r="F99" s="288"/>
      <c r="G99" s="288"/>
      <c r="H99" s="288"/>
      <c r="I99" s="288"/>
      <c r="J99" s="288"/>
      <c r="K99" s="288"/>
      <c r="L99" s="288"/>
      <c r="M99" s="288"/>
      <c r="N99" s="288"/>
      <c r="O99" s="288"/>
      <c r="P99" s="288"/>
      <c r="Q99" s="288"/>
      <c r="R99" s="288"/>
      <c r="S99" s="288"/>
      <c r="T99" s="337"/>
      <c r="U99" s="288"/>
      <c r="V99" s="338">
        <v>67</v>
      </c>
      <c r="W99" s="291"/>
      <c r="X99" s="5"/>
    </row>
    <row r="100" spans="1:25" ht="15.6" x14ac:dyDescent="0.3">
      <c r="A100" s="340"/>
      <c r="B100" s="288" t="s">
        <v>32</v>
      </c>
      <c r="C100" s="288"/>
      <c r="D100" s="288"/>
      <c r="E100" s="288"/>
      <c r="F100" s="288"/>
      <c r="G100" s="288"/>
      <c r="H100" s="288"/>
      <c r="I100" s="288"/>
      <c r="J100" s="288"/>
      <c r="K100" s="288"/>
      <c r="L100" s="288"/>
      <c r="M100" s="288"/>
      <c r="N100" s="288"/>
      <c r="O100" s="288"/>
      <c r="P100" s="288"/>
      <c r="Q100" s="288"/>
      <c r="R100" s="288"/>
      <c r="S100" s="288"/>
      <c r="T100" s="337">
        <f>T96+T98+T97</f>
        <v>14530</v>
      </c>
      <c r="U100" s="288"/>
      <c r="V100" s="337">
        <f>V96+V98+V97+V99</f>
        <v>5348</v>
      </c>
      <c r="W100" s="291"/>
      <c r="X100" s="5"/>
    </row>
    <row r="101" spans="1:25" ht="15.6" x14ac:dyDescent="0.3">
      <c r="A101" s="287"/>
      <c r="B101" s="343" t="s">
        <v>33</v>
      </c>
      <c r="C101" s="314"/>
      <c r="D101" s="314"/>
      <c r="E101" s="314"/>
      <c r="F101" s="314"/>
      <c r="G101" s="314"/>
      <c r="H101" s="314"/>
      <c r="I101" s="314"/>
      <c r="J101" s="314"/>
      <c r="K101" s="314"/>
      <c r="L101" s="314"/>
      <c r="M101" s="314"/>
      <c r="N101" s="314"/>
      <c r="O101" s="314"/>
      <c r="P101" s="314"/>
      <c r="Q101" s="314"/>
      <c r="R101" s="314"/>
      <c r="S101" s="314"/>
      <c r="T101" s="344"/>
      <c r="U101" s="314"/>
      <c r="V101" s="345"/>
      <c r="W101" s="318"/>
      <c r="X101" s="5"/>
    </row>
    <row r="102" spans="1:25" ht="15.6" x14ac:dyDescent="0.3">
      <c r="A102" s="340">
        <v>1</v>
      </c>
      <c r="B102" s="288" t="s">
        <v>34</v>
      </c>
      <c r="C102" s="288"/>
      <c r="D102" s="288"/>
      <c r="E102" s="288"/>
      <c r="F102" s="288"/>
      <c r="G102" s="288"/>
      <c r="H102" s="288"/>
      <c r="I102" s="288"/>
      <c r="J102" s="288"/>
      <c r="K102" s="288"/>
      <c r="L102" s="288"/>
      <c r="M102" s="288"/>
      <c r="N102" s="288"/>
      <c r="O102" s="288"/>
      <c r="P102" s="288"/>
      <c r="Q102" s="288"/>
      <c r="R102" s="288"/>
      <c r="S102" s="288"/>
      <c r="T102" s="288"/>
      <c r="U102" s="288"/>
      <c r="V102" s="338">
        <v>0</v>
      </c>
      <c r="W102" s="291"/>
      <c r="X102" s="5"/>
    </row>
    <row r="103" spans="1:25" ht="15.6" x14ac:dyDescent="0.3">
      <c r="A103" s="340">
        <f>+A102+1</f>
        <v>2</v>
      </c>
      <c r="B103" s="288" t="s">
        <v>330</v>
      </c>
      <c r="C103" s="288"/>
      <c r="D103" s="288"/>
      <c r="E103" s="288"/>
      <c r="F103" s="288"/>
      <c r="G103" s="288"/>
      <c r="H103" s="288"/>
      <c r="I103" s="288"/>
      <c r="J103" s="288"/>
      <c r="K103" s="288"/>
      <c r="L103" s="288"/>
      <c r="M103" s="288"/>
      <c r="N103" s="288"/>
      <c r="O103" s="288"/>
      <c r="P103" s="288"/>
      <c r="Q103" s="288"/>
      <c r="R103" s="288"/>
      <c r="S103" s="288"/>
      <c r="T103" s="288"/>
      <c r="U103" s="288"/>
      <c r="V103" s="338">
        <v>-2</v>
      </c>
      <c r="W103" s="291"/>
      <c r="X103" s="5"/>
    </row>
    <row r="104" spans="1:25" ht="15.6" x14ac:dyDescent="0.3">
      <c r="A104" s="340">
        <f>+A103+1</f>
        <v>3</v>
      </c>
      <c r="B104" s="288" t="s">
        <v>331</v>
      </c>
      <c r="C104" s="288"/>
      <c r="D104" s="288"/>
      <c r="E104" s="288"/>
      <c r="F104" s="288"/>
      <c r="G104" s="288"/>
      <c r="H104" s="288"/>
      <c r="I104" s="288"/>
      <c r="J104" s="288"/>
      <c r="K104" s="288"/>
      <c r="L104" s="288"/>
      <c r="M104" s="288"/>
      <c r="N104" s="288"/>
      <c r="O104" s="288"/>
      <c r="P104" s="288"/>
      <c r="Q104" s="288"/>
      <c r="R104" s="288"/>
      <c r="S104" s="288"/>
      <c r="T104" s="288"/>
      <c r="U104" s="288"/>
      <c r="V104" s="338">
        <f>-114-144-11</f>
        <v>-269</v>
      </c>
      <c r="W104" s="291"/>
      <c r="X104" s="5"/>
    </row>
    <row r="105" spans="1:25" ht="15.6" x14ac:dyDescent="0.3">
      <c r="A105" s="340" t="s">
        <v>127</v>
      </c>
      <c r="B105" s="288" t="s">
        <v>116</v>
      </c>
      <c r="C105" s="288"/>
      <c r="D105" s="288"/>
      <c r="E105" s="288"/>
      <c r="F105" s="288"/>
      <c r="G105" s="288"/>
      <c r="H105" s="288"/>
      <c r="I105" s="288"/>
      <c r="J105" s="288"/>
      <c r="K105" s="288"/>
      <c r="L105" s="288"/>
      <c r="M105" s="288"/>
      <c r="N105" s="288"/>
      <c r="O105" s="288"/>
      <c r="P105" s="288"/>
      <c r="Q105" s="288"/>
      <c r="R105" s="288"/>
      <c r="S105" s="288"/>
      <c r="T105" s="288"/>
      <c r="U105" s="288"/>
      <c r="V105" s="338">
        <v>0</v>
      </c>
      <c r="W105" s="291"/>
      <c r="X105" s="5"/>
    </row>
    <row r="106" spans="1:25" ht="15.6" x14ac:dyDescent="0.3">
      <c r="A106" s="340" t="s">
        <v>128</v>
      </c>
      <c r="B106" s="288" t="s">
        <v>363</v>
      </c>
      <c r="C106" s="288"/>
      <c r="D106" s="288"/>
      <c r="E106" s="288"/>
      <c r="F106" s="288"/>
      <c r="G106" s="288"/>
      <c r="H106" s="288"/>
      <c r="I106" s="288"/>
      <c r="J106" s="288"/>
      <c r="K106" s="288"/>
      <c r="L106" s="288"/>
      <c r="M106" s="288"/>
      <c r="N106" s="288"/>
      <c r="O106" s="288"/>
      <c r="P106" s="288"/>
      <c r="Q106" s="288"/>
      <c r="R106" s="288"/>
      <c r="S106" s="288"/>
      <c r="T106" s="288"/>
      <c r="U106" s="288"/>
      <c r="V106" s="338">
        <f>-500-80</f>
        <v>-580</v>
      </c>
      <c r="W106" s="291"/>
      <c r="X106" s="5"/>
      <c r="Y106" s="109"/>
    </row>
    <row r="107" spans="1:25" ht="15.6" x14ac:dyDescent="0.3">
      <c r="A107" s="340" t="s">
        <v>150</v>
      </c>
      <c r="B107" s="288" t="s">
        <v>364</v>
      </c>
      <c r="C107" s="288"/>
      <c r="D107" s="288"/>
      <c r="E107" s="288"/>
      <c r="F107" s="288"/>
      <c r="G107" s="288"/>
      <c r="H107" s="288"/>
      <c r="I107" s="288"/>
      <c r="J107" s="288"/>
      <c r="K107" s="288"/>
      <c r="L107" s="288"/>
      <c r="M107" s="288"/>
      <c r="N107" s="288"/>
      <c r="O107" s="288"/>
      <c r="P107" s="288"/>
      <c r="Q107" s="288"/>
      <c r="R107" s="288"/>
      <c r="S107" s="288"/>
      <c r="T107" s="288"/>
      <c r="U107" s="288"/>
      <c r="V107" s="338">
        <f>-115-153</f>
        <v>-268</v>
      </c>
      <c r="W107" s="291"/>
      <c r="X107" s="5"/>
      <c r="Y107" s="109"/>
    </row>
    <row r="108" spans="1:25" ht="15.6" x14ac:dyDescent="0.3">
      <c r="A108" s="340" t="s">
        <v>236</v>
      </c>
      <c r="B108" s="288" t="s">
        <v>238</v>
      </c>
      <c r="C108" s="288"/>
      <c r="D108" s="288"/>
      <c r="E108" s="288"/>
      <c r="F108" s="288"/>
      <c r="G108" s="288"/>
      <c r="H108" s="288"/>
      <c r="I108" s="288"/>
      <c r="J108" s="288"/>
      <c r="K108" s="288"/>
      <c r="L108" s="288"/>
      <c r="M108" s="288"/>
      <c r="N108" s="288"/>
      <c r="O108" s="288"/>
      <c r="P108" s="288"/>
      <c r="Q108" s="288"/>
      <c r="R108" s="288"/>
      <c r="S108" s="288"/>
      <c r="T108" s="288"/>
      <c r="U108" s="288"/>
      <c r="V108" s="338">
        <v>0</v>
      </c>
      <c r="W108" s="291"/>
      <c r="X108" s="5"/>
    </row>
    <row r="109" spans="1:25" ht="15.6" x14ac:dyDescent="0.3">
      <c r="A109" s="340" t="s">
        <v>205</v>
      </c>
      <c r="B109" s="288" t="s">
        <v>185</v>
      </c>
      <c r="C109" s="288"/>
      <c r="D109" s="288"/>
      <c r="E109" s="288"/>
      <c r="F109" s="288"/>
      <c r="G109" s="288"/>
      <c r="H109" s="288"/>
      <c r="I109" s="288"/>
      <c r="J109" s="288"/>
      <c r="K109" s="288"/>
      <c r="L109" s="288"/>
      <c r="M109" s="288"/>
      <c r="N109" s="288"/>
      <c r="O109" s="288"/>
      <c r="P109" s="288"/>
      <c r="Q109" s="288"/>
      <c r="R109" s="288"/>
      <c r="S109" s="288"/>
      <c r="T109" s="288"/>
      <c r="U109" s="288"/>
      <c r="V109" s="338">
        <v>-108</v>
      </c>
      <c r="W109" s="291"/>
      <c r="X109" s="5"/>
      <c r="Y109" s="109"/>
    </row>
    <row r="110" spans="1:25" ht="15.6" x14ac:dyDescent="0.3">
      <c r="A110" s="340" t="s">
        <v>206</v>
      </c>
      <c r="B110" s="288" t="s">
        <v>186</v>
      </c>
      <c r="C110" s="288"/>
      <c r="D110" s="288"/>
      <c r="E110" s="288"/>
      <c r="F110" s="288"/>
      <c r="G110" s="288"/>
      <c r="H110" s="288"/>
      <c r="I110" s="288"/>
      <c r="J110" s="288"/>
      <c r="K110" s="288"/>
      <c r="L110" s="288"/>
      <c r="M110" s="288"/>
      <c r="N110" s="288"/>
      <c r="O110" s="288"/>
      <c r="P110" s="288"/>
      <c r="Q110" s="288"/>
      <c r="R110" s="288"/>
      <c r="S110" s="288"/>
      <c r="T110" s="288"/>
      <c r="U110" s="288"/>
      <c r="V110" s="338">
        <v>-85</v>
      </c>
      <c r="W110" s="291"/>
      <c r="X110" s="179"/>
      <c r="Y110" s="109"/>
    </row>
    <row r="111" spans="1:25" ht="15.6" x14ac:dyDescent="0.3">
      <c r="A111" s="340" t="s">
        <v>207</v>
      </c>
      <c r="B111" s="288" t="s">
        <v>196</v>
      </c>
      <c r="C111" s="288"/>
      <c r="D111" s="288"/>
      <c r="E111" s="288"/>
      <c r="F111" s="288"/>
      <c r="G111" s="288"/>
      <c r="H111" s="288"/>
      <c r="I111" s="288"/>
      <c r="J111" s="288"/>
      <c r="K111" s="288"/>
      <c r="L111" s="288"/>
      <c r="M111" s="288"/>
      <c r="N111" s="288"/>
      <c r="O111" s="288"/>
      <c r="P111" s="288"/>
      <c r="Q111" s="288"/>
      <c r="R111" s="288"/>
      <c r="S111" s="288"/>
      <c r="T111" s="288"/>
      <c r="U111" s="288"/>
      <c r="V111" s="338">
        <v>-270</v>
      </c>
      <c r="W111" s="291"/>
      <c r="X111" s="5"/>
      <c r="Y111" s="109"/>
    </row>
    <row r="112" spans="1:25" ht="15.6" x14ac:dyDescent="0.3">
      <c r="A112" s="340" t="s">
        <v>224</v>
      </c>
      <c r="B112" s="288" t="s">
        <v>223</v>
      </c>
      <c r="C112" s="288"/>
      <c r="D112" s="288"/>
      <c r="E112" s="288"/>
      <c r="F112" s="288"/>
      <c r="G112" s="288"/>
      <c r="H112" s="288"/>
      <c r="I112" s="288"/>
      <c r="J112" s="288"/>
      <c r="K112" s="288"/>
      <c r="L112" s="288"/>
      <c r="M112" s="288"/>
      <c r="N112" s="288"/>
      <c r="O112" s="288"/>
      <c r="P112" s="288"/>
      <c r="Q112" s="288"/>
      <c r="R112" s="288"/>
      <c r="S112" s="288"/>
      <c r="T112" s="288"/>
      <c r="U112" s="288"/>
      <c r="V112" s="338">
        <v>-53</v>
      </c>
      <c r="W112" s="291"/>
      <c r="X112" s="5"/>
      <c r="Y112" s="109"/>
    </row>
    <row r="113" spans="1:24" ht="15.6" x14ac:dyDescent="0.3">
      <c r="A113" s="340">
        <v>7</v>
      </c>
      <c r="B113" s="288" t="s">
        <v>35</v>
      </c>
      <c r="C113" s="288"/>
      <c r="D113" s="288"/>
      <c r="E113" s="288"/>
      <c r="F113" s="288"/>
      <c r="G113" s="288"/>
      <c r="H113" s="288"/>
      <c r="I113" s="288"/>
      <c r="J113" s="288"/>
      <c r="K113" s="288"/>
      <c r="L113" s="288"/>
      <c r="M113" s="288"/>
      <c r="N113" s="288"/>
      <c r="O113" s="288"/>
      <c r="P113" s="288"/>
      <c r="Q113" s="288"/>
      <c r="R113" s="288"/>
      <c r="S113" s="288"/>
      <c r="T113" s="288"/>
      <c r="U113" s="288"/>
      <c r="V113" s="338">
        <v>-51</v>
      </c>
      <c r="W113" s="291"/>
      <c r="X113" s="5"/>
    </row>
    <row r="114" spans="1:24" ht="15.6" x14ac:dyDescent="0.3">
      <c r="A114" s="340">
        <f t="shared" ref="A114:A120" si="0">+A113+1</f>
        <v>8</v>
      </c>
      <c r="B114" s="288" t="s">
        <v>45</v>
      </c>
      <c r="C114" s="288"/>
      <c r="D114" s="288"/>
      <c r="E114" s="288"/>
      <c r="F114" s="288"/>
      <c r="G114" s="288"/>
      <c r="H114" s="288"/>
      <c r="I114" s="288"/>
      <c r="J114" s="288"/>
      <c r="K114" s="288"/>
      <c r="L114" s="288"/>
      <c r="M114" s="288"/>
      <c r="N114" s="288"/>
      <c r="O114" s="288"/>
      <c r="P114" s="288"/>
      <c r="Q114" s="288"/>
      <c r="R114" s="288"/>
      <c r="S114" s="288"/>
      <c r="T114" s="337">
        <f>-V114</f>
        <v>147</v>
      </c>
      <c r="U114" s="288"/>
      <c r="V114" s="338">
        <v>-147</v>
      </c>
      <c r="W114" s="291"/>
      <c r="X114" s="5"/>
    </row>
    <row r="115" spans="1:24" ht="15.6" x14ac:dyDescent="0.3">
      <c r="A115" s="340">
        <f t="shared" si="0"/>
        <v>9</v>
      </c>
      <c r="B115" s="288" t="s">
        <v>125</v>
      </c>
      <c r="C115" s="288"/>
      <c r="D115" s="288"/>
      <c r="E115" s="288"/>
      <c r="F115" s="288"/>
      <c r="G115" s="288"/>
      <c r="H115" s="288"/>
      <c r="I115" s="288"/>
      <c r="J115" s="288"/>
      <c r="K115" s="288"/>
      <c r="L115" s="288"/>
      <c r="M115" s="288"/>
      <c r="N115" s="288"/>
      <c r="O115" s="288"/>
      <c r="P115" s="288"/>
      <c r="Q115" s="288"/>
      <c r="R115" s="288"/>
      <c r="S115" s="288"/>
      <c r="T115" s="288"/>
      <c r="U115" s="288"/>
      <c r="V115" s="338">
        <v>0</v>
      </c>
      <c r="W115" s="291"/>
      <c r="X115" s="5"/>
    </row>
    <row r="116" spans="1:24" ht="15.6" x14ac:dyDescent="0.3">
      <c r="A116" s="340">
        <f t="shared" si="0"/>
        <v>10</v>
      </c>
      <c r="B116" s="288" t="s">
        <v>240</v>
      </c>
      <c r="C116" s="288"/>
      <c r="D116" s="288"/>
      <c r="E116" s="288"/>
      <c r="F116" s="288"/>
      <c r="G116" s="288"/>
      <c r="H116" s="288"/>
      <c r="I116" s="288"/>
      <c r="J116" s="288"/>
      <c r="K116" s="288"/>
      <c r="L116" s="288"/>
      <c r="M116" s="288"/>
      <c r="N116" s="288"/>
      <c r="O116" s="288"/>
      <c r="P116" s="288"/>
      <c r="Q116" s="288"/>
      <c r="R116" s="288"/>
      <c r="S116" s="288"/>
      <c r="T116" s="288"/>
      <c r="U116" s="288"/>
      <c r="V116" s="338">
        <v>0</v>
      </c>
      <c r="W116" s="291"/>
      <c r="X116" s="5"/>
    </row>
    <row r="117" spans="1:24" ht="15.6" x14ac:dyDescent="0.3">
      <c r="A117" s="340">
        <f t="shared" si="0"/>
        <v>11</v>
      </c>
      <c r="B117" s="288" t="s">
        <v>36</v>
      </c>
      <c r="C117" s="288"/>
      <c r="D117" s="288"/>
      <c r="E117" s="288"/>
      <c r="F117" s="288"/>
      <c r="G117" s="288"/>
      <c r="H117" s="288"/>
      <c r="I117" s="288"/>
      <c r="J117" s="288"/>
      <c r="K117" s="288"/>
      <c r="L117" s="288"/>
      <c r="M117" s="288"/>
      <c r="N117" s="288"/>
      <c r="O117" s="288"/>
      <c r="P117" s="288"/>
      <c r="Q117" s="288"/>
      <c r="R117" s="288"/>
      <c r="S117" s="288"/>
      <c r="T117" s="288"/>
      <c r="U117" s="288"/>
      <c r="V117" s="338">
        <v>0</v>
      </c>
      <c r="W117" s="291"/>
      <c r="X117" s="5"/>
    </row>
    <row r="118" spans="1:24" ht="15.6" x14ac:dyDescent="0.3">
      <c r="A118" s="340">
        <f t="shared" si="0"/>
        <v>12</v>
      </c>
      <c r="B118" s="288" t="s">
        <v>239</v>
      </c>
      <c r="C118" s="288"/>
      <c r="D118" s="288"/>
      <c r="E118" s="288"/>
      <c r="F118" s="288"/>
      <c r="G118" s="288"/>
      <c r="H118" s="288"/>
      <c r="I118" s="288"/>
      <c r="J118" s="288"/>
      <c r="K118" s="288"/>
      <c r="L118" s="288"/>
      <c r="M118" s="288"/>
      <c r="N118" s="288"/>
      <c r="O118" s="288"/>
      <c r="P118" s="288"/>
      <c r="Q118" s="288"/>
      <c r="R118" s="288"/>
      <c r="S118" s="288"/>
      <c r="T118" s="288"/>
      <c r="U118" s="288"/>
      <c r="V118" s="338">
        <v>0</v>
      </c>
      <c r="W118" s="291"/>
      <c r="X118" s="5"/>
    </row>
    <row r="119" spans="1:24" ht="15.6" x14ac:dyDescent="0.3">
      <c r="A119" s="340">
        <f t="shared" si="0"/>
        <v>13</v>
      </c>
      <c r="B119" s="288" t="s">
        <v>149</v>
      </c>
      <c r="C119" s="288"/>
      <c r="D119" s="288"/>
      <c r="E119" s="288"/>
      <c r="F119" s="288"/>
      <c r="G119" s="288"/>
      <c r="H119" s="288"/>
      <c r="I119" s="288"/>
      <c r="J119" s="288"/>
      <c r="K119" s="288"/>
      <c r="L119" s="288"/>
      <c r="M119" s="288"/>
      <c r="N119" s="288"/>
      <c r="O119" s="288"/>
      <c r="P119" s="288"/>
      <c r="Q119" s="288"/>
      <c r="R119" s="288"/>
      <c r="S119" s="288"/>
      <c r="T119" s="288"/>
      <c r="U119" s="288"/>
      <c r="V119" s="338">
        <v>-568</v>
      </c>
      <c r="W119" s="291"/>
      <c r="X119" s="5"/>
    </row>
    <row r="120" spans="1:24" ht="15.6" x14ac:dyDescent="0.3">
      <c r="A120" s="340">
        <f t="shared" si="0"/>
        <v>14</v>
      </c>
      <c r="B120" s="288" t="s">
        <v>126</v>
      </c>
      <c r="C120" s="288"/>
      <c r="D120" s="288"/>
      <c r="E120" s="288"/>
      <c r="F120" s="288"/>
      <c r="G120" s="288"/>
      <c r="H120" s="288"/>
      <c r="I120" s="288"/>
      <c r="J120" s="288"/>
      <c r="K120" s="288"/>
      <c r="L120" s="288"/>
      <c r="M120" s="288"/>
      <c r="N120" s="288"/>
      <c r="O120" s="288"/>
      <c r="P120" s="288"/>
      <c r="Q120" s="288"/>
      <c r="R120" s="288"/>
      <c r="S120" s="288"/>
      <c r="T120" s="288"/>
      <c r="U120" s="288"/>
      <c r="V120" s="338">
        <f>-V100-SUM(V102:V119)</f>
        <v>-2947</v>
      </c>
      <c r="W120" s="291"/>
      <c r="X120" s="5"/>
    </row>
    <row r="121" spans="1:24" ht="15.6" x14ac:dyDescent="0.3">
      <c r="A121" s="287"/>
      <c r="B121" s="343" t="s">
        <v>37</v>
      </c>
      <c r="C121" s="314"/>
      <c r="D121" s="314"/>
      <c r="E121" s="314"/>
      <c r="F121" s="314"/>
      <c r="G121" s="314"/>
      <c r="H121" s="314"/>
      <c r="I121" s="314"/>
      <c r="J121" s="314"/>
      <c r="K121" s="314"/>
      <c r="L121" s="314"/>
      <c r="M121" s="314"/>
      <c r="N121" s="314"/>
      <c r="O121" s="314"/>
      <c r="P121" s="314"/>
      <c r="Q121" s="314"/>
      <c r="R121" s="314"/>
      <c r="S121" s="314"/>
      <c r="T121" s="314"/>
      <c r="U121" s="314"/>
      <c r="V121" s="346"/>
      <c r="W121" s="318"/>
      <c r="X121" s="5"/>
    </row>
    <row r="122" spans="1:24" ht="15.6" x14ac:dyDescent="0.3">
      <c r="A122" s="340"/>
      <c r="B122" s="288" t="s">
        <v>173</v>
      </c>
      <c r="C122" s="288"/>
      <c r="D122" s="288"/>
      <c r="E122" s="288"/>
      <c r="F122" s="288"/>
      <c r="G122" s="288"/>
      <c r="H122" s="288"/>
      <c r="I122" s="288"/>
      <c r="J122" s="288"/>
      <c r="K122" s="288"/>
      <c r="L122" s="288"/>
      <c r="M122" s="288"/>
      <c r="N122" s="288"/>
      <c r="O122" s="288"/>
      <c r="P122" s="288"/>
      <c r="Q122" s="288"/>
      <c r="R122" s="288"/>
      <c r="S122" s="288"/>
      <c r="T122" s="337">
        <f>-T188</f>
        <v>0</v>
      </c>
      <c r="U122" s="337"/>
      <c r="V122" s="338"/>
      <c r="W122" s="291"/>
      <c r="X122" s="5"/>
    </row>
    <row r="123" spans="1:24" ht="15.6" x14ac:dyDescent="0.3">
      <c r="A123" s="340"/>
      <c r="B123" s="288" t="s">
        <v>174</v>
      </c>
      <c r="C123" s="288"/>
      <c r="D123" s="288"/>
      <c r="E123" s="288"/>
      <c r="F123" s="288"/>
      <c r="G123" s="288"/>
      <c r="H123" s="288"/>
      <c r="I123" s="288"/>
      <c r="J123" s="288"/>
      <c r="K123" s="288"/>
      <c r="L123" s="288"/>
      <c r="M123" s="288"/>
      <c r="N123" s="288"/>
      <c r="O123" s="288"/>
      <c r="P123" s="288"/>
      <c r="Q123" s="288"/>
      <c r="R123" s="288"/>
      <c r="S123" s="288"/>
      <c r="T123" s="337">
        <v>0</v>
      </c>
      <c r="U123" s="337"/>
      <c r="V123" s="338"/>
      <c r="W123" s="291"/>
      <c r="X123" s="5"/>
    </row>
    <row r="124" spans="1:24" ht="15.6" x14ac:dyDescent="0.3">
      <c r="A124" s="340"/>
      <c r="B124" s="288" t="s">
        <v>38</v>
      </c>
      <c r="C124" s="288"/>
      <c r="D124" s="288"/>
      <c r="E124" s="288"/>
      <c r="F124" s="288"/>
      <c r="G124" s="288"/>
      <c r="H124" s="288"/>
      <c r="I124" s="288"/>
      <c r="J124" s="288"/>
      <c r="K124" s="288"/>
      <c r="L124" s="288"/>
      <c r="M124" s="288"/>
      <c r="N124" s="288"/>
      <c r="O124" s="288"/>
      <c r="P124" s="288"/>
      <c r="Q124" s="288"/>
      <c r="R124" s="288"/>
      <c r="S124" s="288"/>
      <c r="T124" s="337">
        <f>-S188</f>
        <v>-35</v>
      </c>
      <c r="U124" s="337"/>
      <c r="V124" s="338"/>
      <c r="W124" s="291"/>
      <c r="X124" s="5"/>
    </row>
    <row r="125" spans="1:24" ht="15.6" x14ac:dyDescent="0.3">
      <c r="A125" s="340"/>
      <c r="B125" s="288" t="s">
        <v>388</v>
      </c>
      <c r="C125" s="288"/>
      <c r="D125" s="288"/>
      <c r="E125" s="288"/>
      <c r="F125" s="288"/>
      <c r="G125" s="288"/>
      <c r="H125" s="288"/>
      <c r="I125" s="288"/>
      <c r="J125" s="288"/>
      <c r="K125" s="288"/>
      <c r="L125" s="288"/>
      <c r="M125" s="288"/>
      <c r="N125" s="288"/>
      <c r="O125" s="288"/>
      <c r="P125" s="288"/>
      <c r="Q125" s="288"/>
      <c r="R125" s="288"/>
      <c r="S125" s="288"/>
      <c r="T125" s="337">
        <v>-8902</v>
      </c>
      <c r="U125" s="337"/>
      <c r="V125" s="338"/>
      <c r="W125" s="291"/>
      <c r="X125" s="5"/>
    </row>
    <row r="126" spans="1:24" ht="15.6" x14ac:dyDescent="0.3">
      <c r="A126" s="340"/>
      <c r="B126" s="288" t="s">
        <v>195</v>
      </c>
      <c r="C126" s="288"/>
      <c r="D126" s="288"/>
      <c r="E126" s="288"/>
      <c r="F126" s="288"/>
      <c r="G126" s="288"/>
      <c r="H126" s="288"/>
      <c r="I126" s="288"/>
      <c r="J126" s="288"/>
      <c r="K126" s="288"/>
      <c r="L126" s="288"/>
      <c r="M126" s="288"/>
      <c r="N126" s="288"/>
      <c r="O126" s="288"/>
      <c r="P126" s="288"/>
      <c r="Q126" s="288"/>
      <c r="R126" s="288"/>
      <c r="S126" s="288"/>
      <c r="T126" s="337">
        <v>-1435</v>
      </c>
      <c r="U126" s="337"/>
      <c r="V126" s="338"/>
      <c r="W126" s="291"/>
      <c r="X126" s="5"/>
    </row>
    <row r="127" spans="1:24" ht="15.6" x14ac:dyDescent="0.3">
      <c r="A127" s="340"/>
      <c r="B127" s="288" t="s">
        <v>194</v>
      </c>
      <c r="C127" s="288"/>
      <c r="D127" s="288"/>
      <c r="E127" s="288"/>
      <c r="F127" s="288"/>
      <c r="G127" s="288"/>
      <c r="H127" s="288"/>
      <c r="I127" s="288"/>
      <c r="J127" s="288"/>
      <c r="K127" s="288"/>
      <c r="L127" s="288"/>
      <c r="M127" s="288"/>
      <c r="N127" s="288"/>
      <c r="O127" s="288"/>
      <c r="P127" s="288"/>
      <c r="Q127" s="288"/>
      <c r="R127" s="288"/>
      <c r="S127" s="288"/>
      <c r="T127" s="337">
        <v>-1931</v>
      </c>
      <c r="U127" s="337"/>
      <c r="V127" s="338"/>
      <c r="W127" s="291"/>
      <c r="X127" s="5"/>
    </row>
    <row r="128" spans="1:24" ht="15.6" x14ac:dyDescent="0.3">
      <c r="A128" s="340"/>
      <c r="B128" s="288" t="s">
        <v>226</v>
      </c>
      <c r="C128" s="288"/>
      <c r="D128" s="288"/>
      <c r="E128" s="288"/>
      <c r="F128" s="288"/>
      <c r="G128" s="288"/>
      <c r="H128" s="288"/>
      <c r="I128" s="288"/>
      <c r="J128" s="288"/>
      <c r="K128" s="288"/>
      <c r="L128" s="288"/>
      <c r="M128" s="288"/>
      <c r="N128" s="288"/>
      <c r="O128" s="288"/>
      <c r="P128" s="288"/>
      <c r="Q128" s="288"/>
      <c r="R128" s="288"/>
      <c r="S128" s="288"/>
      <c r="T128" s="337">
        <v>-2374</v>
      </c>
      <c r="U128" s="337"/>
      <c r="V128" s="338"/>
      <c r="W128" s="291"/>
      <c r="X128" s="5"/>
    </row>
    <row r="129" spans="1:24" ht="15.6" x14ac:dyDescent="0.3">
      <c r="A129" s="340"/>
      <c r="B129" s="288" t="s">
        <v>189</v>
      </c>
      <c r="C129" s="288"/>
      <c r="D129" s="288"/>
      <c r="E129" s="288"/>
      <c r="F129" s="288"/>
      <c r="G129" s="288"/>
      <c r="H129" s="288"/>
      <c r="I129" s="288"/>
      <c r="J129" s="288"/>
      <c r="K129" s="288"/>
      <c r="L129" s="288"/>
      <c r="M129" s="288"/>
      <c r="N129" s="288"/>
      <c r="O129" s="288"/>
      <c r="P129" s="288"/>
      <c r="Q129" s="288"/>
      <c r="R129" s="288"/>
      <c r="S129" s="288"/>
      <c r="T129" s="337">
        <v>0</v>
      </c>
      <c r="U129" s="337"/>
      <c r="V129" s="338"/>
      <c r="W129" s="291"/>
      <c r="X129" s="5"/>
    </row>
    <row r="130" spans="1:24" ht="15.6" x14ac:dyDescent="0.3">
      <c r="A130" s="340"/>
      <c r="B130" s="288" t="s">
        <v>188</v>
      </c>
      <c r="C130" s="288"/>
      <c r="D130" s="288"/>
      <c r="E130" s="288"/>
      <c r="F130" s="288"/>
      <c r="G130" s="288"/>
      <c r="H130" s="288"/>
      <c r="I130" s="288"/>
      <c r="J130" s="288"/>
      <c r="K130" s="288"/>
      <c r="L130" s="288"/>
      <c r="M130" s="288"/>
      <c r="N130" s="288"/>
      <c r="O130" s="288"/>
      <c r="P130" s="288"/>
      <c r="Q130" s="288"/>
      <c r="R130" s="288"/>
      <c r="S130" s="288"/>
      <c r="T130" s="337">
        <v>0</v>
      </c>
      <c r="U130" s="337"/>
      <c r="V130" s="338"/>
      <c r="W130" s="291"/>
      <c r="X130" s="5"/>
    </row>
    <row r="131" spans="1:24" ht="15.6" x14ac:dyDescent="0.3">
      <c r="A131" s="340"/>
      <c r="B131" s="288" t="s">
        <v>227</v>
      </c>
      <c r="C131" s="288"/>
      <c r="D131" s="288"/>
      <c r="E131" s="288"/>
      <c r="F131" s="288"/>
      <c r="G131" s="288"/>
      <c r="H131" s="288"/>
      <c r="I131" s="288"/>
      <c r="J131" s="288"/>
      <c r="K131" s="288"/>
      <c r="L131" s="288"/>
      <c r="M131" s="288"/>
      <c r="N131" s="288"/>
      <c r="O131" s="288"/>
      <c r="P131" s="288"/>
      <c r="Q131" s="288"/>
      <c r="R131" s="288"/>
      <c r="S131" s="288"/>
      <c r="T131" s="337">
        <v>0</v>
      </c>
      <c r="U131" s="337"/>
      <c r="V131" s="338"/>
      <c r="W131" s="291"/>
      <c r="X131" s="5"/>
    </row>
    <row r="132" spans="1:24" ht="15.6" x14ac:dyDescent="0.3">
      <c r="A132" s="340"/>
      <c r="B132" s="288" t="s">
        <v>187</v>
      </c>
      <c r="C132" s="288"/>
      <c r="D132" s="288"/>
      <c r="E132" s="288"/>
      <c r="F132" s="288"/>
      <c r="G132" s="288"/>
      <c r="H132" s="288"/>
      <c r="I132" s="288"/>
      <c r="J132" s="288"/>
      <c r="K132" s="288"/>
      <c r="L132" s="288"/>
      <c r="M132" s="288"/>
      <c r="N132" s="288"/>
      <c r="O132" s="288"/>
      <c r="P132" s="288"/>
      <c r="Q132" s="288"/>
      <c r="R132" s="288"/>
      <c r="S132" s="288"/>
      <c r="T132" s="337">
        <v>0</v>
      </c>
      <c r="U132" s="337"/>
      <c r="V132" s="338"/>
      <c r="W132" s="291"/>
      <c r="X132" s="5"/>
    </row>
    <row r="133" spans="1:24" ht="15.6" x14ac:dyDescent="0.3">
      <c r="A133" s="340"/>
      <c r="B133" s="288" t="s">
        <v>39</v>
      </c>
      <c r="C133" s="288"/>
      <c r="D133" s="288"/>
      <c r="E133" s="288"/>
      <c r="F133" s="288"/>
      <c r="G133" s="288"/>
      <c r="H133" s="288"/>
      <c r="I133" s="288"/>
      <c r="J133" s="288"/>
      <c r="K133" s="288"/>
      <c r="L133" s="288"/>
      <c r="M133" s="288"/>
      <c r="N133" s="288"/>
      <c r="O133" s="288"/>
      <c r="P133" s="288"/>
      <c r="Q133" s="288"/>
      <c r="R133" s="288"/>
      <c r="S133" s="288"/>
      <c r="T133" s="337">
        <f>SUM(T122:T132)</f>
        <v>-14677</v>
      </c>
      <c r="U133" s="337"/>
      <c r="V133" s="337">
        <f>SUM(V101:V130)</f>
        <v>-5348</v>
      </c>
      <c r="W133" s="291"/>
      <c r="X133" s="5"/>
    </row>
    <row r="134" spans="1:24" ht="15.6" x14ac:dyDescent="0.3">
      <c r="A134" s="340"/>
      <c r="B134" s="288" t="s">
        <v>40</v>
      </c>
      <c r="C134" s="288"/>
      <c r="D134" s="288"/>
      <c r="E134" s="288"/>
      <c r="F134" s="288"/>
      <c r="G134" s="288"/>
      <c r="H134" s="288"/>
      <c r="I134" s="288"/>
      <c r="J134" s="288"/>
      <c r="K134" s="288"/>
      <c r="L134" s="288"/>
      <c r="M134" s="288"/>
      <c r="N134" s="288"/>
      <c r="O134" s="288"/>
      <c r="P134" s="288"/>
      <c r="Q134" s="288"/>
      <c r="R134" s="288"/>
      <c r="S134" s="288"/>
      <c r="T134" s="337">
        <f>T100+T133+T114</f>
        <v>0</v>
      </c>
      <c r="U134" s="337"/>
      <c r="V134" s="337">
        <f>V100+V133</f>
        <v>0</v>
      </c>
      <c r="W134" s="291"/>
      <c r="X134" s="5"/>
    </row>
    <row r="135" spans="1:24" ht="15.6" x14ac:dyDescent="0.3">
      <c r="A135" s="243"/>
      <c r="B135" s="284"/>
      <c r="C135" s="284"/>
      <c r="D135" s="284"/>
      <c r="E135" s="284"/>
      <c r="F135" s="284"/>
      <c r="G135" s="284"/>
      <c r="H135" s="284"/>
      <c r="I135" s="284"/>
      <c r="J135" s="284"/>
      <c r="K135" s="284"/>
      <c r="L135" s="284"/>
      <c r="M135" s="284"/>
      <c r="N135" s="284"/>
      <c r="O135" s="284"/>
      <c r="P135" s="284"/>
      <c r="Q135" s="284"/>
      <c r="R135" s="284"/>
      <c r="S135" s="284"/>
      <c r="T135" s="339"/>
      <c r="U135" s="339"/>
      <c r="V135" s="339"/>
      <c r="W135" s="284"/>
      <c r="X135" s="5"/>
    </row>
    <row r="136" spans="1:24" ht="15.6" x14ac:dyDescent="0.3">
      <c r="A136" s="243"/>
      <c r="B136" s="224"/>
      <c r="C136" s="224"/>
      <c r="D136" s="224"/>
      <c r="E136" s="224"/>
      <c r="F136" s="224"/>
      <c r="G136" s="224"/>
      <c r="H136" s="224"/>
      <c r="I136" s="224"/>
      <c r="J136" s="224"/>
      <c r="K136" s="224"/>
      <c r="L136" s="224"/>
      <c r="M136" s="224"/>
      <c r="N136" s="224"/>
      <c r="O136" s="224"/>
      <c r="P136" s="224"/>
      <c r="Q136" s="224"/>
      <c r="R136" s="224"/>
      <c r="S136" s="224"/>
      <c r="T136" s="224"/>
      <c r="U136" s="224"/>
      <c r="V136" s="244"/>
      <c r="W136" s="224"/>
      <c r="X136" s="5"/>
    </row>
    <row r="137" spans="1:24" ht="18" thickBot="1" x14ac:dyDescent="0.35">
      <c r="A137" s="245"/>
      <c r="B137" s="237" t="str">
        <f>B63</f>
        <v>PM14 INVESTOR REPORT QUARTER ENDING AUGUST 2017</v>
      </c>
      <c r="C137" s="238"/>
      <c r="D137" s="238"/>
      <c r="E137" s="238"/>
      <c r="F137" s="238"/>
      <c r="G137" s="238"/>
      <c r="H137" s="238"/>
      <c r="I137" s="238"/>
      <c r="J137" s="238"/>
      <c r="K137" s="238"/>
      <c r="L137" s="238"/>
      <c r="M137" s="238"/>
      <c r="N137" s="238"/>
      <c r="O137" s="238"/>
      <c r="P137" s="238"/>
      <c r="Q137" s="238"/>
      <c r="R137" s="238"/>
      <c r="S137" s="238"/>
      <c r="T137" s="238"/>
      <c r="U137" s="238"/>
      <c r="V137" s="246"/>
      <c r="W137" s="240"/>
      <c r="X137" s="5"/>
    </row>
    <row r="138" spans="1:24" ht="15.6" x14ac:dyDescent="0.3">
      <c r="A138" s="273"/>
      <c r="B138" s="403" t="s">
        <v>41</v>
      </c>
      <c r="C138" s="274"/>
      <c r="D138" s="274"/>
      <c r="E138" s="274"/>
      <c r="F138" s="274"/>
      <c r="G138" s="274"/>
      <c r="H138" s="274"/>
      <c r="I138" s="274"/>
      <c r="J138" s="274"/>
      <c r="K138" s="274"/>
      <c r="L138" s="274"/>
      <c r="M138" s="274"/>
      <c r="N138" s="274"/>
      <c r="O138" s="274"/>
      <c r="P138" s="274"/>
      <c r="Q138" s="274"/>
      <c r="R138" s="274"/>
      <c r="S138" s="274"/>
      <c r="T138" s="274"/>
      <c r="U138" s="274"/>
      <c r="V138" s="275"/>
      <c r="W138" s="274"/>
      <c r="X138" s="5"/>
    </row>
    <row r="139" spans="1:24" ht="15.6" x14ac:dyDescent="0.3">
      <c r="A139" s="183"/>
      <c r="B139" s="195"/>
      <c r="C139" s="185"/>
      <c r="D139" s="185"/>
      <c r="E139" s="185"/>
      <c r="F139" s="185"/>
      <c r="G139" s="185"/>
      <c r="H139" s="185"/>
      <c r="I139" s="185"/>
      <c r="J139" s="185"/>
      <c r="K139" s="185"/>
      <c r="L139" s="185"/>
      <c r="M139" s="185"/>
      <c r="N139" s="185"/>
      <c r="O139" s="185"/>
      <c r="P139" s="185"/>
      <c r="Q139" s="185"/>
      <c r="R139" s="185"/>
      <c r="S139" s="185"/>
      <c r="T139" s="185"/>
      <c r="U139" s="185"/>
      <c r="V139" s="201"/>
      <c r="W139" s="185"/>
      <c r="X139" s="5"/>
    </row>
    <row r="140" spans="1:24" ht="15.6" x14ac:dyDescent="0.3">
      <c r="A140" s="183"/>
      <c r="B140" s="208" t="s">
        <v>42</v>
      </c>
      <c r="C140" s="185"/>
      <c r="D140" s="185"/>
      <c r="E140" s="185"/>
      <c r="F140" s="185"/>
      <c r="G140" s="185"/>
      <c r="H140" s="185"/>
      <c r="I140" s="185"/>
      <c r="J140" s="185"/>
      <c r="K140" s="185"/>
      <c r="L140" s="185"/>
      <c r="M140" s="185"/>
      <c r="N140" s="185"/>
      <c r="O140" s="185"/>
      <c r="P140" s="185"/>
      <c r="Q140" s="185"/>
      <c r="R140" s="185"/>
      <c r="S140" s="185"/>
      <c r="T140" s="185"/>
      <c r="U140" s="185"/>
      <c r="V140" s="201"/>
      <c r="W140" s="185"/>
      <c r="X140" s="5"/>
    </row>
    <row r="141" spans="1:24" ht="15.6" x14ac:dyDescent="0.3">
      <c r="A141" s="287"/>
      <c r="B141" s="288" t="s">
        <v>43</v>
      </c>
      <c r="C141" s="288"/>
      <c r="D141" s="288"/>
      <c r="E141" s="288"/>
      <c r="F141" s="288"/>
      <c r="G141" s="288"/>
      <c r="H141" s="288"/>
      <c r="I141" s="288"/>
      <c r="J141" s="288"/>
      <c r="K141" s="288"/>
      <c r="L141" s="288"/>
      <c r="M141" s="288"/>
      <c r="N141" s="288"/>
      <c r="O141" s="288"/>
      <c r="P141" s="288"/>
      <c r="Q141" s="288"/>
      <c r="R141" s="288"/>
      <c r="S141" s="288"/>
      <c r="T141" s="288"/>
      <c r="U141" s="288"/>
      <c r="V141" s="338">
        <f>+V34*0.019</f>
        <v>28505.224999999999</v>
      </c>
      <c r="W141" s="291"/>
      <c r="X141" s="5"/>
    </row>
    <row r="142" spans="1:24" ht="15.6" x14ac:dyDescent="0.3">
      <c r="A142" s="287"/>
      <c r="B142" s="288" t="s">
        <v>44</v>
      </c>
      <c r="C142" s="288"/>
      <c r="D142" s="288"/>
      <c r="E142" s="288"/>
      <c r="F142" s="288"/>
      <c r="G142" s="288"/>
      <c r="H142" s="288"/>
      <c r="I142" s="288"/>
      <c r="J142" s="288"/>
      <c r="K142" s="288"/>
      <c r="L142" s="288"/>
      <c r="M142" s="288"/>
      <c r="N142" s="288"/>
      <c r="O142" s="288"/>
      <c r="P142" s="288"/>
      <c r="Q142" s="288"/>
      <c r="R142" s="288"/>
      <c r="S142" s="288"/>
      <c r="T142" s="288"/>
      <c r="U142" s="288"/>
      <c r="V142" s="338">
        <v>28505</v>
      </c>
      <c r="W142" s="291"/>
      <c r="X142" s="5"/>
    </row>
    <row r="143" spans="1:24" ht="15.6" x14ac:dyDescent="0.3">
      <c r="A143" s="287"/>
      <c r="B143" s="288" t="s">
        <v>136</v>
      </c>
      <c r="C143" s="288"/>
      <c r="D143" s="288"/>
      <c r="E143" s="288"/>
      <c r="F143" s="288"/>
      <c r="G143" s="288"/>
      <c r="H143" s="288"/>
      <c r="I143" s="288"/>
      <c r="J143" s="288"/>
      <c r="K143" s="288"/>
      <c r="L143" s="288"/>
      <c r="M143" s="288"/>
      <c r="N143" s="288"/>
      <c r="O143" s="288"/>
      <c r="P143" s="288"/>
      <c r="Q143" s="288"/>
      <c r="R143" s="288"/>
      <c r="S143" s="288"/>
      <c r="T143" s="288"/>
      <c r="U143" s="288"/>
      <c r="V143" s="338"/>
      <c r="W143" s="291"/>
      <c r="X143" s="5"/>
    </row>
    <row r="144" spans="1:24" ht="15.6" x14ac:dyDescent="0.3">
      <c r="A144" s="287"/>
      <c r="B144" s="288" t="s">
        <v>123</v>
      </c>
      <c r="C144" s="288"/>
      <c r="D144" s="288"/>
      <c r="E144" s="288"/>
      <c r="F144" s="288"/>
      <c r="G144" s="288"/>
      <c r="H144" s="288"/>
      <c r="I144" s="288"/>
      <c r="J144" s="288"/>
      <c r="K144" s="288"/>
      <c r="L144" s="288"/>
      <c r="M144" s="288"/>
      <c r="N144" s="288"/>
      <c r="O144" s="288"/>
      <c r="P144" s="288"/>
      <c r="Q144" s="288"/>
      <c r="R144" s="288"/>
      <c r="S144" s="288"/>
      <c r="T144" s="288"/>
      <c r="U144" s="288"/>
      <c r="V144" s="338">
        <v>0</v>
      </c>
      <c r="W144" s="291"/>
      <c r="X144" s="5"/>
    </row>
    <row r="145" spans="1:25" ht="15.6" x14ac:dyDescent="0.3">
      <c r="A145" s="287"/>
      <c r="B145" s="288" t="s">
        <v>124</v>
      </c>
      <c r="C145" s="288"/>
      <c r="D145" s="288"/>
      <c r="E145" s="288"/>
      <c r="F145" s="288"/>
      <c r="G145" s="288"/>
      <c r="H145" s="288"/>
      <c r="I145" s="288"/>
      <c r="J145" s="288"/>
      <c r="K145" s="288"/>
      <c r="L145" s="288"/>
      <c r="M145" s="288"/>
      <c r="N145" s="288"/>
      <c r="O145" s="288"/>
      <c r="P145" s="288"/>
      <c r="Q145" s="288"/>
      <c r="R145" s="288"/>
      <c r="S145" s="288"/>
      <c r="T145" s="288"/>
      <c r="U145" s="288"/>
      <c r="V145" s="338">
        <v>0</v>
      </c>
      <c r="W145" s="291"/>
      <c r="X145" s="5"/>
    </row>
    <row r="146" spans="1:25" ht="15.6" x14ac:dyDescent="0.3">
      <c r="A146" s="287"/>
      <c r="B146" s="288" t="s">
        <v>175</v>
      </c>
      <c r="C146" s="288"/>
      <c r="D146" s="288"/>
      <c r="E146" s="288"/>
      <c r="F146" s="288"/>
      <c r="G146" s="288"/>
      <c r="H146" s="288"/>
      <c r="I146" s="288"/>
      <c r="J146" s="288"/>
      <c r="K146" s="288"/>
      <c r="L146" s="288"/>
      <c r="M146" s="288"/>
      <c r="N146" s="288"/>
      <c r="O146" s="288"/>
      <c r="P146" s="288"/>
      <c r="Q146" s="288"/>
      <c r="R146" s="288"/>
      <c r="S146" s="288"/>
      <c r="T146" s="288"/>
      <c r="U146" s="288"/>
      <c r="V146" s="338">
        <v>0</v>
      </c>
      <c r="W146" s="291"/>
      <c r="X146" s="5"/>
    </row>
    <row r="147" spans="1:25" ht="15.6" x14ac:dyDescent="0.3">
      <c r="A147" s="287"/>
      <c r="B147" s="288" t="s">
        <v>45</v>
      </c>
      <c r="C147" s="288"/>
      <c r="D147" s="288"/>
      <c r="E147" s="288"/>
      <c r="F147" s="288"/>
      <c r="G147" s="288"/>
      <c r="H147" s="288"/>
      <c r="I147" s="288"/>
      <c r="J147" s="288"/>
      <c r="K147" s="288"/>
      <c r="L147" s="288"/>
      <c r="M147" s="288"/>
      <c r="N147" s="288"/>
      <c r="O147" s="288"/>
      <c r="P147" s="288"/>
      <c r="Q147" s="288"/>
      <c r="R147" s="288"/>
      <c r="S147" s="288"/>
      <c r="T147" s="288"/>
      <c r="U147" s="288"/>
      <c r="V147" s="338">
        <v>0</v>
      </c>
      <c r="W147" s="291"/>
      <c r="X147" s="5"/>
    </row>
    <row r="148" spans="1:25" ht="15.6" x14ac:dyDescent="0.3">
      <c r="A148" s="287"/>
      <c r="B148" s="288" t="s">
        <v>129</v>
      </c>
      <c r="C148" s="288"/>
      <c r="D148" s="288"/>
      <c r="E148" s="288"/>
      <c r="F148" s="288"/>
      <c r="G148" s="288"/>
      <c r="H148" s="288"/>
      <c r="I148" s="288"/>
      <c r="J148" s="288"/>
      <c r="K148" s="288"/>
      <c r="L148" s="288"/>
      <c r="M148" s="288"/>
      <c r="N148" s="288"/>
      <c r="O148" s="288"/>
      <c r="P148" s="288"/>
      <c r="Q148" s="288"/>
      <c r="R148" s="288"/>
      <c r="S148" s="288"/>
      <c r="T148" s="288"/>
      <c r="U148" s="288"/>
      <c r="V148" s="338">
        <v>0</v>
      </c>
      <c r="W148" s="291"/>
      <c r="X148" s="5"/>
    </row>
    <row r="149" spans="1:25" ht="15.6" x14ac:dyDescent="0.3">
      <c r="A149" s="287"/>
      <c r="B149" s="288" t="s">
        <v>267</v>
      </c>
      <c r="C149" s="288"/>
      <c r="D149" s="288"/>
      <c r="E149" s="288"/>
      <c r="F149" s="288"/>
      <c r="G149" s="288"/>
      <c r="H149" s="288"/>
      <c r="I149" s="288"/>
      <c r="J149" s="288"/>
      <c r="K149" s="288"/>
      <c r="L149" s="288"/>
      <c r="M149" s="288"/>
      <c r="N149" s="288"/>
      <c r="O149" s="288"/>
      <c r="P149" s="288"/>
      <c r="Q149" s="288"/>
      <c r="R149" s="288"/>
      <c r="S149" s="288"/>
      <c r="T149" s="288"/>
      <c r="U149" s="288"/>
      <c r="V149" s="338">
        <v>0</v>
      </c>
      <c r="W149" s="291"/>
      <c r="X149" s="5"/>
      <c r="Y149" s="109"/>
    </row>
    <row r="150" spans="1:25" ht="15.6" x14ac:dyDescent="0.3">
      <c r="A150" s="287"/>
      <c r="B150" s="288" t="s">
        <v>46</v>
      </c>
      <c r="C150" s="288"/>
      <c r="D150" s="288"/>
      <c r="E150" s="288"/>
      <c r="F150" s="288"/>
      <c r="G150" s="288"/>
      <c r="H150" s="288"/>
      <c r="I150" s="288"/>
      <c r="J150" s="288"/>
      <c r="K150" s="288"/>
      <c r="L150" s="288"/>
      <c r="M150" s="288"/>
      <c r="N150" s="288"/>
      <c r="O150" s="288"/>
      <c r="P150" s="288"/>
      <c r="Q150" s="288"/>
      <c r="R150" s="288"/>
      <c r="S150" s="288"/>
      <c r="T150" s="288"/>
      <c r="U150" s="288"/>
      <c r="V150" s="338">
        <f>SUM(V142:V149)</f>
        <v>28505</v>
      </c>
      <c r="W150" s="291"/>
      <c r="X150" s="5"/>
    </row>
    <row r="151" spans="1:25" ht="15.6" x14ac:dyDescent="0.3">
      <c r="A151" s="287"/>
      <c r="B151" s="314"/>
      <c r="C151" s="314"/>
      <c r="D151" s="314"/>
      <c r="E151" s="314"/>
      <c r="F151" s="314"/>
      <c r="G151" s="314"/>
      <c r="H151" s="314"/>
      <c r="I151" s="314"/>
      <c r="J151" s="314"/>
      <c r="K151" s="314"/>
      <c r="L151" s="314"/>
      <c r="M151" s="314"/>
      <c r="N151" s="314"/>
      <c r="O151" s="314"/>
      <c r="P151" s="314"/>
      <c r="Q151" s="314"/>
      <c r="R151" s="314"/>
      <c r="S151" s="314"/>
      <c r="T151" s="314"/>
      <c r="U151" s="314"/>
      <c r="V151" s="345"/>
      <c r="W151" s="318"/>
      <c r="X151" s="5"/>
    </row>
    <row r="152" spans="1:25" ht="15.6" x14ac:dyDescent="0.3">
      <c r="A152" s="287"/>
      <c r="B152" s="343" t="s">
        <v>237</v>
      </c>
      <c r="C152" s="314"/>
      <c r="D152" s="314"/>
      <c r="E152" s="314"/>
      <c r="F152" s="314"/>
      <c r="G152" s="314"/>
      <c r="H152" s="314"/>
      <c r="I152" s="314"/>
      <c r="J152" s="314"/>
      <c r="K152" s="314"/>
      <c r="L152" s="314"/>
      <c r="M152" s="314"/>
      <c r="N152" s="314"/>
      <c r="O152" s="314"/>
      <c r="P152" s="314"/>
      <c r="Q152" s="314"/>
      <c r="R152" s="314"/>
      <c r="S152" s="314"/>
      <c r="T152" s="314"/>
      <c r="U152" s="314"/>
      <c r="V152" s="345"/>
      <c r="W152" s="318"/>
      <c r="X152" s="5"/>
    </row>
    <row r="153" spans="1:25" ht="15.6" x14ac:dyDescent="0.3">
      <c r="A153" s="287"/>
      <c r="B153" s="288" t="s">
        <v>155</v>
      </c>
      <c r="C153" s="288"/>
      <c r="D153" s="288"/>
      <c r="E153" s="288"/>
      <c r="F153" s="288"/>
      <c r="G153" s="288"/>
      <c r="H153" s="288"/>
      <c r="I153" s="288"/>
      <c r="J153" s="288"/>
      <c r="K153" s="288"/>
      <c r="L153" s="288"/>
      <c r="M153" s="288"/>
      <c r="N153" s="288"/>
      <c r="O153" s="288"/>
      <c r="P153" s="288"/>
      <c r="Q153" s="288"/>
      <c r="R153" s="288"/>
      <c r="S153" s="288"/>
      <c r="T153" s="288"/>
      <c r="U153" s="288"/>
      <c r="V153" s="338">
        <v>7500</v>
      </c>
      <c r="W153" s="291"/>
      <c r="X153" s="5"/>
    </row>
    <row r="154" spans="1:25" ht="15.6" x14ac:dyDescent="0.3">
      <c r="A154" s="287"/>
      <c r="B154" s="288" t="s">
        <v>172</v>
      </c>
      <c r="C154" s="288"/>
      <c r="D154" s="288"/>
      <c r="E154" s="288"/>
      <c r="F154" s="288"/>
      <c r="G154" s="288"/>
      <c r="H154" s="288"/>
      <c r="I154" s="288"/>
      <c r="J154" s="288"/>
      <c r="K154" s="288"/>
      <c r="L154" s="288"/>
      <c r="M154" s="288"/>
      <c r="N154" s="288"/>
      <c r="O154" s="288"/>
      <c r="P154" s="288"/>
      <c r="Q154" s="288"/>
      <c r="R154" s="288"/>
      <c r="S154" s="288"/>
      <c r="T154" s="288"/>
      <c r="U154" s="288"/>
      <c r="V154" s="338">
        <v>0</v>
      </c>
      <c r="W154" s="291"/>
      <c r="X154" s="5"/>
    </row>
    <row r="155" spans="1:25" ht="15.6" x14ac:dyDescent="0.3">
      <c r="A155" s="287"/>
      <c r="B155" s="288" t="s">
        <v>344</v>
      </c>
      <c r="C155" s="288"/>
      <c r="D155" s="288"/>
      <c r="E155" s="288"/>
      <c r="F155" s="288"/>
      <c r="G155" s="288"/>
      <c r="H155" s="288"/>
      <c r="I155" s="288"/>
      <c r="J155" s="288"/>
      <c r="K155" s="288"/>
      <c r="L155" s="288"/>
      <c r="M155" s="288"/>
      <c r="N155" s="288"/>
      <c r="O155" s="288"/>
      <c r="P155" s="288"/>
      <c r="Q155" s="288"/>
      <c r="R155" s="288"/>
      <c r="S155" s="288"/>
      <c r="T155" s="288"/>
      <c r="U155" s="288"/>
      <c r="V155" s="338">
        <v>0</v>
      </c>
      <c r="W155" s="291"/>
      <c r="X155" s="5"/>
    </row>
    <row r="156" spans="1:25" ht="15.6" x14ac:dyDescent="0.3">
      <c r="A156" s="287"/>
      <c r="B156" s="288"/>
      <c r="C156" s="288"/>
      <c r="D156" s="288"/>
      <c r="E156" s="288"/>
      <c r="F156" s="288"/>
      <c r="G156" s="288"/>
      <c r="H156" s="288"/>
      <c r="I156" s="288"/>
      <c r="J156" s="288"/>
      <c r="K156" s="288"/>
      <c r="L156" s="288"/>
      <c r="M156" s="288"/>
      <c r="N156" s="288"/>
      <c r="O156" s="288"/>
      <c r="P156" s="288"/>
      <c r="Q156" s="288"/>
      <c r="R156" s="288"/>
      <c r="S156" s="288"/>
      <c r="T156" s="288"/>
      <c r="U156" s="288"/>
      <c r="V156" s="338"/>
      <c r="W156" s="291"/>
      <c r="X156" s="5"/>
    </row>
    <row r="157" spans="1:25" ht="15.6" x14ac:dyDescent="0.3">
      <c r="A157" s="183"/>
      <c r="B157" s="198"/>
      <c r="C157" s="198"/>
      <c r="D157" s="198"/>
      <c r="E157" s="198"/>
      <c r="F157" s="198"/>
      <c r="G157" s="198"/>
      <c r="H157" s="198"/>
      <c r="I157" s="198"/>
      <c r="J157" s="198"/>
      <c r="K157" s="198"/>
      <c r="L157" s="198"/>
      <c r="M157" s="198"/>
      <c r="N157" s="198"/>
      <c r="O157" s="198"/>
      <c r="P157" s="198"/>
      <c r="Q157" s="198"/>
      <c r="R157" s="198"/>
      <c r="S157" s="198"/>
      <c r="T157" s="198"/>
      <c r="U157" s="198"/>
      <c r="V157" s="347"/>
      <c r="W157" s="198"/>
      <c r="X157" s="5"/>
    </row>
    <row r="158" spans="1:25" ht="15.6" x14ac:dyDescent="0.3">
      <c r="A158" s="183"/>
      <c r="B158" s="208" t="s">
        <v>24</v>
      </c>
      <c r="C158" s="185"/>
      <c r="D158" s="185"/>
      <c r="E158" s="185"/>
      <c r="F158" s="185"/>
      <c r="G158" s="185"/>
      <c r="H158" s="185"/>
      <c r="I158" s="185"/>
      <c r="J158" s="185"/>
      <c r="K158" s="185"/>
      <c r="L158" s="185"/>
      <c r="M158" s="185"/>
      <c r="N158" s="185"/>
      <c r="O158" s="185"/>
      <c r="P158" s="185"/>
      <c r="Q158" s="185"/>
      <c r="R158" s="185"/>
      <c r="S158" s="185"/>
      <c r="T158" s="185"/>
      <c r="U158" s="185"/>
      <c r="V158" s="201"/>
      <c r="W158" s="185"/>
      <c r="X158" s="5"/>
    </row>
    <row r="159" spans="1:25" ht="15.6" x14ac:dyDescent="0.3">
      <c r="A159" s="287"/>
      <c r="B159" s="288" t="s">
        <v>47</v>
      </c>
      <c r="C159" s="288"/>
      <c r="D159" s="288"/>
      <c r="E159" s="288"/>
      <c r="F159" s="288"/>
      <c r="G159" s="288"/>
      <c r="H159" s="288"/>
      <c r="I159" s="288"/>
      <c r="J159" s="288"/>
      <c r="K159" s="288"/>
      <c r="L159" s="288"/>
      <c r="M159" s="288"/>
      <c r="N159" s="288"/>
      <c r="O159" s="288"/>
      <c r="P159" s="288"/>
      <c r="Q159" s="288"/>
      <c r="R159" s="288"/>
      <c r="S159" s="288"/>
      <c r="T159" s="288"/>
      <c r="U159" s="288"/>
      <c r="V159" s="348" t="s">
        <v>118</v>
      </c>
      <c r="W159" s="291"/>
      <c r="X159" s="5"/>
    </row>
    <row r="160" spans="1:25" ht="15.6" x14ac:dyDescent="0.3">
      <c r="A160" s="287"/>
      <c r="B160" s="288" t="s">
        <v>48</v>
      </c>
      <c r="C160" s="290"/>
      <c r="D160" s="290"/>
      <c r="E160" s="290"/>
      <c r="F160" s="290"/>
      <c r="G160" s="290"/>
      <c r="H160" s="290"/>
      <c r="I160" s="290"/>
      <c r="J160" s="290"/>
      <c r="K160" s="290"/>
      <c r="L160" s="290"/>
      <c r="M160" s="290"/>
      <c r="N160" s="290"/>
      <c r="O160" s="290"/>
      <c r="P160" s="290"/>
      <c r="Q160" s="290"/>
      <c r="R160" s="290"/>
      <c r="S160" s="290"/>
      <c r="T160" s="290"/>
      <c r="U160" s="290"/>
      <c r="V160" s="348" t="s">
        <v>118</v>
      </c>
      <c r="W160" s="291"/>
      <c r="X160" s="5"/>
    </row>
    <row r="161" spans="1:256" ht="15.6" x14ac:dyDescent="0.3">
      <c r="A161" s="287"/>
      <c r="B161" s="288" t="s">
        <v>49</v>
      </c>
      <c r="C161" s="288"/>
      <c r="D161" s="288"/>
      <c r="E161" s="288"/>
      <c r="F161" s="288"/>
      <c r="G161" s="288"/>
      <c r="H161" s="288"/>
      <c r="I161" s="288"/>
      <c r="J161" s="288"/>
      <c r="K161" s="288"/>
      <c r="L161" s="288"/>
      <c r="M161" s="288"/>
      <c r="N161" s="288"/>
      <c r="O161" s="288"/>
      <c r="P161" s="288"/>
      <c r="Q161" s="288"/>
      <c r="R161" s="288"/>
      <c r="S161" s="288"/>
      <c r="T161" s="288"/>
      <c r="U161" s="288"/>
      <c r="V161" s="348" t="s">
        <v>118</v>
      </c>
      <c r="W161" s="291"/>
      <c r="X161" s="5"/>
    </row>
    <row r="162" spans="1:256" ht="15.6" x14ac:dyDescent="0.3">
      <c r="A162" s="287"/>
      <c r="B162" s="288" t="s">
        <v>50</v>
      </c>
      <c r="C162" s="288"/>
      <c r="D162" s="288"/>
      <c r="E162" s="288"/>
      <c r="F162" s="288"/>
      <c r="G162" s="288"/>
      <c r="H162" s="288"/>
      <c r="I162" s="288"/>
      <c r="J162" s="288"/>
      <c r="K162" s="288"/>
      <c r="L162" s="288"/>
      <c r="M162" s="288"/>
      <c r="N162" s="288"/>
      <c r="O162" s="288"/>
      <c r="P162" s="288"/>
      <c r="Q162" s="288"/>
      <c r="R162" s="288"/>
      <c r="S162" s="288"/>
      <c r="T162" s="288"/>
      <c r="U162" s="288"/>
      <c r="V162" s="348" t="s">
        <v>118</v>
      </c>
      <c r="W162" s="291"/>
      <c r="X162" s="5"/>
    </row>
    <row r="163" spans="1:256" ht="15.6" x14ac:dyDescent="0.3">
      <c r="A163" s="183"/>
      <c r="B163" s="198"/>
      <c r="C163" s="198"/>
      <c r="D163" s="198"/>
      <c r="E163" s="198"/>
      <c r="F163" s="198"/>
      <c r="G163" s="198"/>
      <c r="H163" s="198"/>
      <c r="I163" s="198"/>
      <c r="J163" s="198"/>
      <c r="K163" s="198"/>
      <c r="L163" s="198"/>
      <c r="M163" s="198"/>
      <c r="N163" s="198"/>
      <c r="O163" s="198"/>
      <c r="P163" s="198"/>
      <c r="Q163" s="198"/>
      <c r="R163" s="198"/>
      <c r="S163" s="198"/>
      <c r="T163" s="198"/>
      <c r="U163" s="198"/>
      <c r="V163" s="347"/>
      <c r="W163" s="198"/>
      <c r="X163" s="5"/>
    </row>
    <row r="164" spans="1:256" ht="15.6" x14ac:dyDescent="0.3">
      <c r="A164" s="183"/>
      <c r="B164" s="208" t="s">
        <v>51</v>
      </c>
      <c r="C164" s="185"/>
      <c r="D164" s="185"/>
      <c r="E164" s="185"/>
      <c r="F164" s="185"/>
      <c r="G164" s="185"/>
      <c r="H164" s="185"/>
      <c r="I164" s="185"/>
      <c r="J164" s="185"/>
      <c r="K164" s="185"/>
      <c r="L164" s="185"/>
      <c r="M164" s="185"/>
      <c r="N164" s="185"/>
      <c r="O164" s="185"/>
      <c r="P164" s="185"/>
      <c r="Q164" s="185"/>
      <c r="R164" s="185"/>
      <c r="S164" s="185"/>
      <c r="T164" s="185"/>
      <c r="U164" s="185"/>
      <c r="V164" s="209"/>
      <c r="W164" s="185"/>
      <c r="X164" s="5"/>
    </row>
    <row r="165" spans="1:256" ht="15.6" x14ac:dyDescent="0.3">
      <c r="A165" s="287"/>
      <c r="B165" s="288" t="s">
        <v>52</v>
      </c>
      <c r="C165" s="288"/>
      <c r="D165" s="288"/>
      <c r="E165" s="288"/>
      <c r="F165" s="288"/>
      <c r="G165" s="288"/>
      <c r="H165" s="288"/>
      <c r="I165" s="288"/>
      <c r="J165" s="288"/>
      <c r="K165" s="288"/>
      <c r="L165" s="288"/>
      <c r="M165" s="288"/>
      <c r="N165" s="288"/>
      <c r="O165" s="288"/>
      <c r="P165" s="288"/>
      <c r="Q165" s="288"/>
      <c r="R165" s="288"/>
      <c r="S165" s="288"/>
      <c r="T165" s="288"/>
      <c r="U165" s="288"/>
      <c r="V165" s="338">
        <v>0</v>
      </c>
      <c r="W165" s="291"/>
      <c r="X165" s="5"/>
    </row>
    <row r="166" spans="1:256" ht="15.6" x14ac:dyDescent="0.3">
      <c r="A166" s="287"/>
      <c r="B166" s="288" t="s">
        <v>53</v>
      </c>
      <c r="C166" s="288"/>
      <c r="D166" s="288"/>
      <c r="E166" s="288"/>
      <c r="F166" s="288"/>
      <c r="G166" s="288"/>
      <c r="H166" s="288"/>
      <c r="I166" s="288"/>
      <c r="J166" s="288"/>
      <c r="K166" s="288"/>
      <c r="L166" s="288"/>
      <c r="M166" s="288"/>
      <c r="N166" s="288"/>
      <c r="O166" s="288"/>
      <c r="P166" s="288"/>
      <c r="Q166" s="288"/>
      <c r="R166" s="288"/>
      <c r="S166" s="288"/>
      <c r="T166" s="288"/>
      <c r="U166" s="288"/>
      <c r="V166" s="338">
        <v>147</v>
      </c>
      <c r="W166" s="291"/>
      <c r="X166" s="5"/>
    </row>
    <row r="167" spans="1:256" ht="15.6" x14ac:dyDescent="0.3">
      <c r="A167" s="287"/>
      <c r="B167" s="288" t="s">
        <v>54</v>
      </c>
      <c r="C167" s="288"/>
      <c r="D167" s="288"/>
      <c r="E167" s="288"/>
      <c r="F167" s="288"/>
      <c r="G167" s="288"/>
      <c r="H167" s="288"/>
      <c r="I167" s="288"/>
      <c r="J167" s="288"/>
      <c r="K167" s="288"/>
      <c r="L167" s="288"/>
      <c r="M167" s="288"/>
      <c r="N167" s="288"/>
      <c r="O167" s="288"/>
      <c r="P167" s="288"/>
      <c r="Q167" s="288"/>
      <c r="R167" s="288"/>
      <c r="S167" s="288"/>
      <c r="T167" s="288"/>
      <c r="U167" s="288"/>
      <c r="V167" s="338">
        <f>V166+V165</f>
        <v>147</v>
      </c>
      <c r="W167" s="291"/>
      <c r="X167" s="5"/>
    </row>
    <row r="168" spans="1:256" ht="15.6" x14ac:dyDescent="0.3">
      <c r="A168" s="287"/>
      <c r="B168" s="288" t="s">
        <v>315</v>
      </c>
      <c r="C168" s="288"/>
      <c r="D168" s="288"/>
      <c r="E168" s="288"/>
      <c r="F168" s="288"/>
      <c r="G168" s="288"/>
      <c r="H168" s="288"/>
      <c r="I168" s="288"/>
      <c r="J168" s="288"/>
      <c r="K168" s="288"/>
      <c r="L168" s="288"/>
      <c r="M168" s="288"/>
      <c r="N168" s="288"/>
      <c r="O168" s="288"/>
      <c r="P168" s="288"/>
      <c r="Q168" s="288"/>
      <c r="R168" s="288"/>
      <c r="S168" s="288"/>
      <c r="T168" s="288"/>
      <c r="U168" s="288"/>
      <c r="V168" s="338">
        <f>V114</f>
        <v>-147</v>
      </c>
      <c r="W168" s="291"/>
      <c r="X168" s="5"/>
    </row>
    <row r="169" spans="1:256" ht="15.6" x14ac:dyDescent="0.3">
      <c r="A169" s="287"/>
      <c r="B169" s="288" t="s">
        <v>55</v>
      </c>
      <c r="C169" s="288"/>
      <c r="D169" s="288"/>
      <c r="E169" s="288"/>
      <c r="F169" s="288"/>
      <c r="G169" s="288"/>
      <c r="H169" s="288"/>
      <c r="I169" s="288"/>
      <c r="J169" s="288"/>
      <c r="K169" s="288"/>
      <c r="L169" s="288"/>
      <c r="M169" s="288"/>
      <c r="N169" s="288"/>
      <c r="O169" s="288"/>
      <c r="P169" s="288"/>
      <c r="Q169" s="288"/>
      <c r="R169" s="288"/>
      <c r="S169" s="288"/>
      <c r="T169" s="288"/>
      <c r="U169" s="288"/>
      <c r="V169" s="338">
        <f>V167+V168</f>
        <v>0</v>
      </c>
      <c r="W169" s="291"/>
      <c r="X169" s="5"/>
    </row>
    <row r="170" spans="1:256" ht="15.6" x14ac:dyDescent="0.3">
      <c r="A170" s="287"/>
      <c r="B170" s="288" t="s">
        <v>283</v>
      </c>
      <c r="C170" s="288"/>
      <c r="D170" s="288"/>
      <c r="E170" s="288"/>
      <c r="F170" s="288"/>
      <c r="G170" s="288"/>
      <c r="H170" s="288"/>
      <c r="I170" s="288"/>
      <c r="J170" s="288"/>
      <c r="K170" s="288"/>
      <c r="L170" s="288"/>
      <c r="M170" s="288"/>
      <c r="N170" s="288"/>
      <c r="O170" s="288"/>
      <c r="P170" s="288"/>
      <c r="Q170" s="288"/>
      <c r="R170" s="288"/>
      <c r="S170" s="288"/>
      <c r="T170" s="288"/>
      <c r="U170" s="288"/>
      <c r="V170" s="338">
        <v>0</v>
      </c>
      <c r="W170" s="291"/>
      <c r="X170" s="5"/>
    </row>
    <row r="171" spans="1:256" ht="16.2" thickBot="1" x14ac:dyDescent="0.35">
      <c r="A171" s="183"/>
      <c r="B171" s="284"/>
      <c r="C171" s="284"/>
      <c r="D171" s="284"/>
      <c r="E171" s="284"/>
      <c r="F171" s="284"/>
      <c r="G171" s="284"/>
      <c r="H171" s="284"/>
      <c r="I171" s="284"/>
      <c r="J171" s="284"/>
      <c r="K171" s="284"/>
      <c r="L171" s="284"/>
      <c r="M171" s="284"/>
      <c r="N171" s="284"/>
      <c r="O171" s="284"/>
      <c r="P171" s="284"/>
      <c r="Q171" s="284"/>
      <c r="R171" s="284"/>
      <c r="S171" s="284"/>
      <c r="T171" s="284"/>
      <c r="U171" s="284"/>
      <c r="V171" s="349"/>
      <c r="W171" s="284"/>
      <c r="X171" s="5"/>
    </row>
    <row r="172" spans="1:256" ht="15.6" x14ac:dyDescent="0.3">
      <c r="A172" s="180"/>
      <c r="B172" s="247"/>
      <c r="C172" s="247"/>
      <c r="D172" s="247"/>
      <c r="E172" s="247"/>
      <c r="F172" s="247"/>
      <c r="G172" s="247"/>
      <c r="H172" s="247"/>
      <c r="I172" s="247"/>
      <c r="J172" s="247"/>
      <c r="K172" s="247"/>
      <c r="L172" s="247"/>
      <c r="M172" s="247"/>
      <c r="N172" s="247"/>
      <c r="O172" s="247"/>
      <c r="P172" s="247"/>
      <c r="Q172" s="247"/>
      <c r="R172" s="247"/>
      <c r="S172" s="247"/>
      <c r="T172" s="247"/>
      <c r="U172" s="247"/>
      <c r="V172" s="248"/>
      <c r="W172" s="247"/>
      <c r="X172" s="5"/>
    </row>
    <row r="173" spans="1:256" s="161" customFormat="1" ht="15.6" x14ac:dyDescent="0.3">
      <c r="A173" s="183"/>
      <c r="B173" s="208" t="s">
        <v>269</v>
      </c>
      <c r="C173" s="198"/>
      <c r="D173" s="198"/>
      <c r="E173" s="198"/>
      <c r="F173" s="198"/>
      <c r="G173" s="198"/>
      <c r="H173" s="198"/>
      <c r="I173" s="198"/>
      <c r="J173" s="198"/>
      <c r="K173" s="198"/>
      <c r="L173" s="198"/>
      <c r="M173" s="198"/>
      <c r="N173" s="198"/>
      <c r="O173" s="198"/>
      <c r="P173" s="198"/>
      <c r="Q173" s="198"/>
      <c r="R173" s="198"/>
      <c r="S173" s="198"/>
      <c r="T173" s="198"/>
      <c r="U173" s="198"/>
      <c r="V173" s="210"/>
      <c r="W173" s="198"/>
      <c r="X173" s="5"/>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s="163" customFormat="1" ht="15.6" x14ac:dyDescent="0.3">
      <c r="A174" s="287"/>
      <c r="B174" s="288" t="s">
        <v>270</v>
      </c>
      <c r="C174" s="288"/>
      <c r="D174" s="288"/>
      <c r="E174" s="288"/>
      <c r="F174" s="288"/>
      <c r="G174" s="288"/>
      <c r="H174" s="288"/>
      <c r="I174" s="288"/>
      <c r="J174" s="288"/>
      <c r="K174" s="288"/>
      <c r="L174" s="288"/>
      <c r="M174" s="288"/>
      <c r="N174" s="288"/>
      <c r="O174" s="288"/>
      <c r="P174" s="288"/>
      <c r="Q174" s="288"/>
      <c r="R174" s="288"/>
      <c r="S174" s="288"/>
      <c r="T174" s="288"/>
      <c r="U174" s="288"/>
      <c r="V174" s="338">
        <f>+'Aug 08'!V177</f>
        <v>0</v>
      </c>
      <c r="W174" s="291"/>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5.6" x14ac:dyDescent="0.3">
      <c r="A175" s="287"/>
      <c r="B175" s="288" t="s">
        <v>273</v>
      </c>
      <c r="C175" s="288"/>
      <c r="D175" s="288"/>
      <c r="E175" s="288"/>
      <c r="F175" s="288"/>
      <c r="G175" s="288"/>
      <c r="H175" s="288"/>
      <c r="I175" s="288"/>
      <c r="J175" s="288"/>
      <c r="K175" s="288"/>
      <c r="L175" s="288"/>
      <c r="M175" s="288"/>
      <c r="N175" s="288"/>
      <c r="O175" s="288"/>
      <c r="P175" s="288"/>
      <c r="Q175" s="288"/>
      <c r="R175" s="288"/>
      <c r="S175" s="288"/>
      <c r="T175" s="288"/>
      <c r="U175" s="288"/>
      <c r="V175" s="338">
        <f>+V93</f>
        <v>0</v>
      </c>
      <c r="W175" s="291"/>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3" customFormat="1" ht="15.6" x14ac:dyDescent="0.3">
      <c r="A176" s="287"/>
      <c r="B176" s="288" t="s">
        <v>271</v>
      </c>
      <c r="C176" s="288"/>
      <c r="D176" s="288"/>
      <c r="E176" s="288"/>
      <c r="F176" s="288"/>
      <c r="G176" s="288"/>
      <c r="H176" s="288"/>
      <c r="I176" s="288"/>
      <c r="J176" s="288"/>
      <c r="K176" s="288"/>
      <c r="L176" s="288"/>
      <c r="M176" s="288"/>
      <c r="N176" s="288"/>
      <c r="O176" s="288"/>
      <c r="P176" s="288"/>
      <c r="Q176" s="288"/>
      <c r="R176" s="288"/>
      <c r="S176" s="288"/>
      <c r="T176" s="288"/>
      <c r="U176" s="288"/>
      <c r="V176" s="338">
        <f>+V174-V175</f>
        <v>0</v>
      </c>
      <c r="W176" s="291"/>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s="166" customFormat="1" ht="16.2" thickBot="1" x14ac:dyDescent="0.35">
      <c r="A177" s="199"/>
      <c r="B177" s="198"/>
      <c r="C177" s="198"/>
      <c r="D177" s="198"/>
      <c r="E177" s="198"/>
      <c r="F177" s="198"/>
      <c r="G177" s="198"/>
      <c r="H177" s="198"/>
      <c r="I177" s="198"/>
      <c r="J177" s="198"/>
      <c r="K177" s="198"/>
      <c r="L177" s="198"/>
      <c r="M177" s="198"/>
      <c r="N177" s="198"/>
      <c r="O177" s="198"/>
      <c r="P177" s="198"/>
      <c r="Q177" s="198"/>
      <c r="R177" s="198"/>
      <c r="S177" s="198"/>
      <c r="T177" s="198"/>
      <c r="U177" s="198"/>
      <c r="V177" s="347"/>
      <c r="W177" s="198"/>
      <c r="X177" s="5"/>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s="167" customFormat="1" ht="15.6" x14ac:dyDescent="0.3">
      <c r="A178" s="180"/>
      <c r="B178" s="181"/>
      <c r="C178" s="181"/>
      <c r="D178" s="181"/>
      <c r="E178" s="181"/>
      <c r="F178" s="181"/>
      <c r="G178" s="181"/>
      <c r="H178" s="181"/>
      <c r="I178" s="181"/>
      <c r="J178" s="181"/>
      <c r="K178" s="181"/>
      <c r="L178" s="181"/>
      <c r="M178" s="181"/>
      <c r="N178" s="181"/>
      <c r="O178" s="181"/>
      <c r="P178" s="181"/>
      <c r="Q178" s="181"/>
      <c r="R178" s="181"/>
      <c r="S178" s="181"/>
      <c r="T178" s="181"/>
      <c r="U178" s="181"/>
      <c r="V178" s="200"/>
      <c r="W178" s="181"/>
      <c r="X178" s="5"/>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ht="15.6" x14ac:dyDescent="0.3">
      <c r="A179" s="183"/>
      <c r="B179" s="208" t="s">
        <v>56</v>
      </c>
      <c r="C179" s="185"/>
      <c r="D179" s="185"/>
      <c r="E179" s="185"/>
      <c r="F179" s="185"/>
      <c r="G179" s="185"/>
      <c r="H179" s="185"/>
      <c r="I179" s="185"/>
      <c r="J179" s="185"/>
      <c r="K179" s="185"/>
      <c r="L179" s="185"/>
      <c r="M179" s="185"/>
      <c r="N179" s="185"/>
      <c r="O179" s="185"/>
      <c r="P179" s="185"/>
      <c r="Q179" s="185"/>
      <c r="R179" s="185"/>
      <c r="S179" s="185"/>
      <c r="T179" s="185"/>
      <c r="U179" s="185"/>
      <c r="V179" s="201"/>
      <c r="W179" s="185"/>
      <c r="X179" s="5"/>
    </row>
    <row r="180" spans="1:256" ht="15.6" x14ac:dyDescent="0.3">
      <c r="A180" s="183"/>
      <c r="B180" s="195"/>
      <c r="C180" s="185"/>
      <c r="D180" s="185"/>
      <c r="E180" s="185"/>
      <c r="F180" s="185"/>
      <c r="G180" s="185"/>
      <c r="H180" s="185"/>
      <c r="I180" s="185"/>
      <c r="J180" s="185"/>
      <c r="K180" s="185"/>
      <c r="L180" s="185"/>
      <c r="M180" s="185"/>
      <c r="N180" s="185"/>
      <c r="O180" s="185"/>
      <c r="P180" s="185"/>
      <c r="Q180" s="185"/>
      <c r="R180" s="185"/>
      <c r="S180" s="185"/>
      <c r="T180" s="185"/>
      <c r="U180" s="185"/>
      <c r="V180" s="201"/>
      <c r="W180" s="185"/>
      <c r="X180" s="5"/>
    </row>
    <row r="181" spans="1:256" ht="15.6" x14ac:dyDescent="0.3">
      <c r="A181" s="287"/>
      <c r="B181" s="288" t="s">
        <v>57</v>
      </c>
      <c r="C181" s="288"/>
      <c r="D181" s="288"/>
      <c r="E181" s="288"/>
      <c r="F181" s="288"/>
      <c r="G181" s="288"/>
      <c r="H181" s="288"/>
      <c r="I181" s="288"/>
      <c r="J181" s="288"/>
      <c r="K181" s="288"/>
      <c r="L181" s="288"/>
      <c r="M181" s="288"/>
      <c r="N181" s="288"/>
      <c r="O181" s="288"/>
      <c r="P181" s="288"/>
      <c r="Q181" s="288"/>
      <c r="R181" s="288"/>
      <c r="S181" s="288"/>
      <c r="T181" s="288"/>
      <c r="U181" s="288"/>
      <c r="V181" s="338">
        <f>V70</f>
        <v>877491</v>
      </c>
      <c r="W181" s="291"/>
      <c r="X181" s="5"/>
    </row>
    <row r="182" spans="1:256" ht="15.6" x14ac:dyDescent="0.3">
      <c r="A182" s="287"/>
      <c r="B182" s="288" t="s">
        <v>58</v>
      </c>
      <c r="C182" s="288"/>
      <c r="D182" s="288"/>
      <c r="E182" s="288"/>
      <c r="F182" s="288"/>
      <c r="G182" s="288"/>
      <c r="H182" s="288"/>
      <c r="I182" s="288"/>
      <c r="J182" s="288"/>
      <c r="K182" s="288"/>
      <c r="L182" s="288"/>
      <c r="M182" s="288"/>
      <c r="N182" s="288"/>
      <c r="O182" s="288"/>
      <c r="P182" s="288"/>
      <c r="Q182" s="288"/>
      <c r="R182" s="288"/>
      <c r="S182" s="288"/>
      <c r="T182" s="288"/>
      <c r="U182" s="288"/>
      <c r="V182" s="338">
        <f>V83</f>
        <v>877491</v>
      </c>
      <c r="W182" s="291"/>
      <c r="X182" s="5"/>
    </row>
    <row r="183" spans="1:256" ht="16.2" thickBot="1" x14ac:dyDescent="0.35">
      <c r="A183" s="183"/>
      <c r="B183" s="198"/>
      <c r="C183" s="198"/>
      <c r="D183" s="198"/>
      <c r="E183" s="198"/>
      <c r="F183" s="198"/>
      <c r="G183" s="198"/>
      <c r="H183" s="198"/>
      <c r="I183" s="198"/>
      <c r="J183" s="198"/>
      <c r="K183" s="198"/>
      <c r="L183" s="198"/>
      <c r="M183" s="198"/>
      <c r="N183" s="198"/>
      <c r="O183" s="198"/>
      <c r="P183" s="198"/>
      <c r="Q183" s="198"/>
      <c r="R183" s="198"/>
      <c r="S183" s="198"/>
      <c r="T183" s="198"/>
      <c r="U183" s="198"/>
      <c r="V183" s="347"/>
      <c r="W183" s="198"/>
      <c r="X183" s="5"/>
    </row>
    <row r="184" spans="1:256" ht="15.6" x14ac:dyDescent="0.3">
      <c r="A184" s="180"/>
      <c r="B184" s="181"/>
      <c r="C184" s="181"/>
      <c r="D184" s="181"/>
      <c r="E184" s="181"/>
      <c r="F184" s="181"/>
      <c r="G184" s="181"/>
      <c r="H184" s="181"/>
      <c r="I184" s="181"/>
      <c r="J184" s="181"/>
      <c r="K184" s="181"/>
      <c r="L184" s="181"/>
      <c r="M184" s="181"/>
      <c r="N184" s="181"/>
      <c r="O184" s="181"/>
      <c r="P184" s="181"/>
      <c r="Q184" s="181"/>
      <c r="R184" s="181"/>
      <c r="S184" s="181"/>
      <c r="T184" s="181"/>
      <c r="U184" s="181"/>
      <c r="V184" s="200"/>
      <c r="W184" s="181"/>
      <c r="X184" s="5"/>
    </row>
    <row r="185" spans="1:256" ht="15.6" x14ac:dyDescent="0.3">
      <c r="A185" s="183"/>
      <c r="B185" s="208" t="s">
        <v>59</v>
      </c>
      <c r="C185" s="205"/>
      <c r="D185" s="205"/>
      <c r="E185" s="205"/>
      <c r="F185" s="205"/>
      <c r="G185" s="205"/>
      <c r="H185" s="211"/>
      <c r="I185" s="211"/>
      <c r="J185" s="211"/>
      <c r="K185" s="211"/>
      <c r="L185" s="211"/>
      <c r="M185" s="211"/>
      <c r="N185" s="211"/>
      <c r="O185" s="211"/>
      <c r="P185" s="211"/>
      <c r="Q185" s="211"/>
      <c r="R185" s="211"/>
      <c r="S185" s="211" t="s">
        <v>101</v>
      </c>
      <c r="T185" s="211" t="s">
        <v>176</v>
      </c>
      <c r="U185" s="187"/>
      <c r="V185" s="212" t="s">
        <v>114</v>
      </c>
      <c r="W185" s="213"/>
      <c r="X185" s="5"/>
    </row>
    <row r="186" spans="1:256" ht="15.6" x14ac:dyDescent="0.3">
      <c r="A186" s="287"/>
      <c r="B186" s="288" t="s">
        <v>60</v>
      </c>
      <c r="C186" s="288"/>
      <c r="D186" s="288"/>
      <c r="E186" s="288"/>
      <c r="F186" s="288"/>
      <c r="G186" s="288"/>
      <c r="H186" s="288"/>
      <c r="I186" s="288"/>
      <c r="J186" s="288"/>
      <c r="K186" s="288"/>
      <c r="L186" s="288"/>
      <c r="M186" s="288"/>
      <c r="N186" s="288"/>
      <c r="O186" s="288"/>
      <c r="P186" s="288"/>
      <c r="Q186" s="288"/>
      <c r="R186" s="288"/>
      <c r="S186" s="338">
        <f>+V34*0.16</f>
        <v>240044</v>
      </c>
      <c r="T186" s="325"/>
      <c r="U186" s="288"/>
      <c r="V186" s="338"/>
      <c r="W186" s="291"/>
      <c r="X186" s="5"/>
    </row>
    <row r="187" spans="1:256" ht="15.6" x14ac:dyDescent="0.3">
      <c r="A187" s="287"/>
      <c r="B187" s="288" t="s">
        <v>61</v>
      </c>
      <c r="C187" s="288"/>
      <c r="D187" s="288"/>
      <c r="E187" s="288"/>
      <c r="F187" s="288"/>
      <c r="G187" s="288"/>
      <c r="H187" s="288"/>
      <c r="I187" s="288"/>
      <c r="J187" s="288"/>
      <c r="K187" s="288"/>
      <c r="L187" s="288"/>
      <c r="M187" s="288"/>
      <c r="N187" s="288"/>
      <c r="O187" s="288"/>
      <c r="P187" s="288"/>
      <c r="Q187" s="288"/>
      <c r="R187" s="288"/>
      <c r="S187" s="338">
        <f>+'May 17'!S189</f>
        <v>30929</v>
      </c>
      <c r="T187" s="338">
        <f>+'May 17'!T189</f>
        <v>6019</v>
      </c>
      <c r="U187" s="288"/>
      <c r="V187" s="338">
        <f>S187+T187</f>
        <v>36948</v>
      </c>
      <c r="W187" s="291"/>
      <c r="X187" s="5"/>
    </row>
    <row r="188" spans="1:256" ht="15.6" x14ac:dyDescent="0.3">
      <c r="A188" s="287"/>
      <c r="B188" s="288" t="s">
        <v>62</v>
      </c>
      <c r="C188" s="288"/>
      <c r="D188" s="288"/>
      <c r="E188" s="288"/>
      <c r="F188" s="288"/>
      <c r="G188" s="288"/>
      <c r="H188" s="288"/>
      <c r="I188" s="288"/>
      <c r="J188" s="288"/>
      <c r="K188" s="288"/>
      <c r="L188" s="288"/>
      <c r="M188" s="288"/>
      <c r="N188" s="288"/>
      <c r="O188" s="288"/>
      <c r="P188" s="288"/>
      <c r="Q188" s="288"/>
      <c r="R188" s="288"/>
      <c r="S188" s="337">
        <v>35</v>
      </c>
      <c r="T188" s="337">
        <v>0</v>
      </c>
      <c r="U188" s="288"/>
      <c r="V188" s="338">
        <f>S188+T188</f>
        <v>35</v>
      </c>
      <c r="W188" s="291"/>
      <c r="X188" s="5"/>
    </row>
    <row r="189" spans="1:256" ht="15.6" x14ac:dyDescent="0.3">
      <c r="A189" s="287"/>
      <c r="B189" s="288" t="s">
        <v>63</v>
      </c>
      <c r="C189" s="288"/>
      <c r="D189" s="288"/>
      <c r="E189" s="288"/>
      <c r="F189" s="288"/>
      <c r="G189" s="288"/>
      <c r="H189" s="288"/>
      <c r="I189" s="288"/>
      <c r="J189" s="288"/>
      <c r="K189" s="288"/>
      <c r="L189" s="288"/>
      <c r="M189" s="288"/>
      <c r="N189" s="288"/>
      <c r="O189" s="288"/>
      <c r="P189" s="288"/>
      <c r="Q189" s="288"/>
      <c r="R189" s="288"/>
      <c r="S189" s="338">
        <f>S187+S188</f>
        <v>30964</v>
      </c>
      <c r="T189" s="338">
        <f>T188+T187</f>
        <v>6019</v>
      </c>
      <c r="U189" s="288"/>
      <c r="V189" s="338">
        <f>S189+T189</f>
        <v>36983</v>
      </c>
      <c r="W189" s="291"/>
      <c r="X189" s="5"/>
    </row>
    <row r="190" spans="1:256" ht="15.6" x14ac:dyDescent="0.3">
      <c r="A190" s="287"/>
      <c r="B190" s="288" t="s">
        <v>64</v>
      </c>
      <c r="C190" s="288"/>
      <c r="D190" s="288"/>
      <c r="E190" s="288"/>
      <c r="F190" s="288"/>
      <c r="G190" s="288"/>
      <c r="H190" s="288"/>
      <c r="I190" s="288"/>
      <c r="J190" s="288"/>
      <c r="K190" s="288"/>
      <c r="L190" s="288"/>
      <c r="M190" s="288"/>
      <c r="N190" s="288"/>
      <c r="O190" s="288"/>
      <c r="P190" s="288"/>
      <c r="Q190" s="288"/>
      <c r="R190" s="288"/>
      <c r="S190" s="338">
        <f>S186-S189-T189</f>
        <v>203061</v>
      </c>
      <c r="T190" s="325"/>
      <c r="U190" s="288"/>
      <c r="V190" s="338"/>
      <c r="W190" s="291"/>
      <c r="X190" s="5"/>
    </row>
    <row r="191" spans="1:256" ht="16.2" thickBot="1" x14ac:dyDescent="0.35">
      <c r="A191" s="183"/>
      <c r="B191" s="198"/>
      <c r="C191" s="198"/>
      <c r="D191" s="198"/>
      <c r="E191" s="198"/>
      <c r="F191" s="198"/>
      <c r="G191" s="198"/>
      <c r="H191" s="198"/>
      <c r="I191" s="198"/>
      <c r="J191" s="198"/>
      <c r="K191" s="198"/>
      <c r="L191" s="198"/>
      <c r="M191" s="198"/>
      <c r="N191" s="198"/>
      <c r="O191" s="198"/>
      <c r="P191" s="198"/>
      <c r="Q191" s="198"/>
      <c r="R191" s="198"/>
      <c r="S191" s="198"/>
      <c r="T191" s="198"/>
      <c r="U191" s="198"/>
      <c r="V191" s="347"/>
      <c r="W191" s="198"/>
      <c r="X191" s="5"/>
    </row>
    <row r="192" spans="1:256" ht="15.6" x14ac:dyDescent="0.3">
      <c r="A192" s="180"/>
      <c r="B192" s="181"/>
      <c r="C192" s="181"/>
      <c r="D192" s="181"/>
      <c r="E192" s="181"/>
      <c r="F192" s="181"/>
      <c r="G192" s="181"/>
      <c r="H192" s="181"/>
      <c r="I192" s="181"/>
      <c r="J192" s="181"/>
      <c r="K192" s="181"/>
      <c r="L192" s="181"/>
      <c r="M192" s="181"/>
      <c r="N192" s="181"/>
      <c r="O192" s="181"/>
      <c r="P192" s="181"/>
      <c r="Q192" s="181"/>
      <c r="R192" s="181"/>
      <c r="S192" s="181"/>
      <c r="T192" s="181"/>
      <c r="U192" s="181"/>
      <c r="V192" s="200"/>
      <c r="W192" s="181"/>
      <c r="X192" s="5"/>
    </row>
    <row r="193" spans="1:24" ht="15.6" x14ac:dyDescent="0.3">
      <c r="A193" s="183"/>
      <c r="B193" s="208" t="s">
        <v>65</v>
      </c>
      <c r="C193" s="185"/>
      <c r="D193" s="185"/>
      <c r="E193" s="185"/>
      <c r="F193" s="185"/>
      <c r="G193" s="185"/>
      <c r="H193" s="185"/>
      <c r="I193" s="185"/>
      <c r="J193" s="185"/>
      <c r="K193" s="185"/>
      <c r="L193" s="185"/>
      <c r="M193" s="185"/>
      <c r="N193" s="185"/>
      <c r="O193" s="185"/>
      <c r="P193" s="185"/>
      <c r="Q193" s="185"/>
      <c r="R193" s="185"/>
      <c r="S193" s="185"/>
      <c r="T193" s="185"/>
      <c r="U193" s="185"/>
      <c r="V193" s="214"/>
      <c r="W193" s="185"/>
      <c r="X193" s="5"/>
    </row>
    <row r="194" spans="1:24" ht="15.6" x14ac:dyDescent="0.3">
      <c r="A194" s="287"/>
      <c r="B194" s="288" t="s">
        <v>66</v>
      </c>
      <c r="C194" s="288"/>
      <c r="D194" s="288"/>
      <c r="E194" s="288"/>
      <c r="F194" s="288"/>
      <c r="G194" s="288"/>
      <c r="H194" s="288"/>
      <c r="I194" s="288"/>
      <c r="J194" s="288"/>
      <c r="K194" s="288"/>
      <c r="L194" s="288"/>
      <c r="M194" s="288"/>
      <c r="N194" s="288"/>
      <c r="O194" s="288"/>
      <c r="P194" s="288"/>
      <c r="Q194" s="288"/>
      <c r="R194" s="288"/>
      <c r="S194" s="288"/>
      <c r="T194" s="288"/>
      <c r="U194" s="288"/>
      <c r="V194" s="348">
        <f>(V100+V102+V103+V104+V105)/-(V106+V107)</f>
        <v>5.9870283018867925</v>
      </c>
      <c r="W194" s="291" t="s">
        <v>115</v>
      </c>
      <c r="X194" s="5"/>
    </row>
    <row r="195" spans="1:24" ht="15.6" x14ac:dyDescent="0.3">
      <c r="A195" s="287"/>
      <c r="B195" s="288" t="s">
        <v>67</v>
      </c>
      <c r="C195" s="288"/>
      <c r="D195" s="288"/>
      <c r="E195" s="288"/>
      <c r="F195" s="288"/>
      <c r="G195" s="288"/>
      <c r="H195" s="288"/>
      <c r="I195" s="288"/>
      <c r="J195" s="288"/>
      <c r="K195" s="288"/>
      <c r="L195" s="288"/>
      <c r="M195" s="288"/>
      <c r="N195" s="288"/>
      <c r="O195" s="288"/>
      <c r="P195" s="288"/>
      <c r="Q195" s="288"/>
      <c r="R195" s="288"/>
      <c r="S195" s="288"/>
      <c r="T195" s="288"/>
      <c r="U195" s="288"/>
      <c r="V195" s="350">
        <v>2.0699999999999998</v>
      </c>
      <c r="W195" s="291" t="s">
        <v>115</v>
      </c>
      <c r="X195" s="5"/>
    </row>
    <row r="196" spans="1:24" ht="15.6" x14ac:dyDescent="0.3">
      <c r="A196" s="287"/>
      <c r="B196" s="288" t="s">
        <v>68</v>
      </c>
      <c r="C196" s="288"/>
      <c r="D196" s="288"/>
      <c r="E196" s="288"/>
      <c r="F196" s="288"/>
      <c r="G196" s="288"/>
      <c r="H196" s="288"/>
      <c r="I196" s="288"/>
      <c r="J196" s="288"/>
      <c r="K196" s="288"/>
      <c r="L196" s="288"/>
      <c r="M196" s="288"/>
      <c r="N196" s="288"/>
      <c r="O196" s="288"/>
      <c r="P196" s="288"/>
      <c r="Q196" s="288"/>
      <c r="R196" s="288"/>
      <c r="S196" s="288"/>
      <c r="T196" s="288"/>
      <c r="U196" s="288"/>
      <c r="V196" s="348">
        <f>(V100+V102+V103+V104+V105+V106+V107)/-(V109+V110)</f>
        <v>21.911917098445596</v>
      </c>
      <c r="W196" s="291" t="s">
        <v>115</v>
      </c>
      <c r="X196" s="5"/>
    </row>
    <row r="197" spans="1:24" ht="15.6" x14ac:dyDescent="0.3">
      <c r="A197" s="287"/>
      <c r="B197" s="288" t="s">
        <v>69</v>
      </c>
      <c r="C197" s="288"/>
      <c r="D197" s="288"/>
      <c r="E197" s="288"/>
      <c r="F197" s="288"/>
      <c r="G197" s="288"/>
      <c r="H197" s="288"/>
      <c r="I197" s="288"/>
      <c r="J197" s="288"/>
      <c r="K197" s="288"/>
      <c r="L197" s="288"/>
      <c r="M197" s="288"/>
      <c r="N197" s="288"/>
      <c r="O197" s="288"/>
      <c r="P197" s="288"/>
      <c r="Q197" s="288"/>
      <c r="R197" s="288"/>
      <c r="S197" s="288"/>
      <c r="T197" s="288"/>
      <c r="U197" s="288"/>
      <c r="V197" s="350">
        <v>9.5</v>
      </c>
      <c r="W197" s="291" t="s">
        <v>115</v>
      </c>
      <c r="X197" s="5"/>
    </row>
    <row r="198" spans="1:24" ht="15.6" x14ac:dyDescent="0.3">
      <c r="A198" s="287"/>
      <c r="B198" s="288" t="s">
        <v>198</v>
      </c>
      <c r="C198" s="288"/>
      <c r="D198" s="288"/>
      <c r="E198" s="288"/>
      <c r="F198" s="288"/>
      <c r="G198" s="288"/>
      <c r="H198" s="288"/>
      <c r="I198" s="288"/>
      <c r="J198" s="288"/>
      <c r="K198" s="288"/>
      <c r="L198" s="288"/>
      <c r="M198" s="288"/>
      <c r="N198" s="288"/>
      <c r="O198" s="288"/>
      <c r="P198" s="288"/>
      <c r="Q198" s="288"/>
      <c r="R198" s="288"/>
      <c r="S198" s="288"/>
      <c r="T198" s="288"/>
      <c r="U198" s="288"/>
      <c r="V198" s="348">
        <f>(V100+V102+V103+V104+V105+V106+V107+V109+V110)/-(V111+V112)</f>
        <v>12.495356037151703</v>
      </c>
      <c r="W198" s="291" t="s">
        <v>115</v>
      </c>
      <c r="X198" s="5"/>
    </row>
    <row r="199" spans="1:24" ht="15.6" x14ac:dyDescent="0.3">
      <c r="A199" s="287"/>
      <c r="B199" s="288" t="s">
        <v>199</v>
      </c>
      <c r="C199" s="288"/>
      <c r="D199" s="288"/>
      <c r="E199" s="288"/>
      <c r="F199" s="288"/>
      <c r="G199" s="288"/>
      <c r="H199" s="288"/>
      <c r="I199" s="288"/>
      <c r="J199" s="288"/>
      <c r="K199" s="288"/>
      <c r="L199" s="288"/>
      <c r="M199" s="288"/>
      <c r="N199" s="288"/>
      <c r="O199" s="288"/>
      <c r="P199" s="288"/>
      <c r="Q199" s="288"/>
      <c r="R199" s="288"/>
      <c r="S199" s="288"/>
      <c r="T199" s="288"/>
      <c r="U199" s="288"/>
      <c r="V199" s="350">
        <v>7.2</v>
      </c>
      <c r="W199" s="291" t="s">
        <v>115</v>
      </c>
      <c r="X199" s="5"/>
    </row>
    <row r="200" spans="1:24" ht="15.6" x14ac:dyDescent="0.3">
      <c r="A200" s="287"/>
      <c r="B200" s="314"/>
      <c r="C200" s="314"/>
      <c r="D200" s="314"/>
      <c r="E200" s="314"/>
      <c r="F200" s="314"/>
      <c r="G200" s="314"/>
      <c r="H200" s="314"/>
      <c r="I200" s="314"/>
      <c r="J200" s="314"/>
      <c r="K200" s="314"/>
      <c r="L200" s="314"/>
      <c r="M200" s="314"/>
      <c r="N200" s="314"/>
      <c r="O200" s="314"/>
      <c r="P200" s="314"/>
      <c r="Q200" s="314"/>
      <c r="R200" s="314"/>
      <c r="S200" s="314"/>
      <c r="T200" s="314"/>
      <c r="U200" s="314"/>
      <c r="V200" s="314"/>
      <c r="W200" s="318"/>
      <c r="X200" s="5"/>
    </row>
    <row r="201" spans="1:24" ht="15.6" x14ac:dyDescent="0.3">
      <c r="A201" s="183"/>
      <c r="B201" s="198"/>
      <c r="C201" s="198"/>
      <c r="D201" s="198"/>
      <c r="E201" s="198"/>
      <c r="F201" s="198"/>
      <c r="G201" s="198"/>
      <c r="H201" s="198"/>
      <c r="I201" s="198"/>
      <c r="J201" s="198"/>
      <c r="K201" s="198"/>
      <c r="L201" s="198"/>
      <c r="M201" s="198"/>
      <c r="N201" s="198"/>
      <c r="O201" s="198"/>
      <c r="P201" s="198"/>
      <c r="Q201" s="198"/>
      <c r="R201" s="198"/>
      <c r="S201" s="198"/>
      <c r="T201" s="198"/>
      <c r="U201" s="198"/>
      <c r="V201" s="198"/>
      <c r="W201" s="198"/>
      <c r="X201" s="5"/>
    </row>
    <row r="202" spans="1:24" ht="15.6" x14ac:dyDescent="0.3">
      <c r="A202" s="183"/>
      <c r="B202" s="185"/>
      <c r="C202" s="185"/>
      <c r="D202" s="185"/>
      <c r="E202" s="185"/>
      <c r="F202" s="185"/>
      <c r="G202" s="185"/>
      <c r="H202" s="185"/>
      <c r="I202" s="185"/>
      <c r="J202" s="185"/>
      <c r="K202" s="185"/>
      <c r="L202" s="185"/>
      <c r="M202" s="185"/>
      <c r="N202" s="185"/>
      <c r="O202" s="185"/>
      <c r="P202" s="185"/>
      <c r="Q202" s="185"/>
      <c r="R202" s="185"/>
      <c r="S202" s="185"/>
      <c r="T202" s="185"/>
      <c r="U202" s="185"/>
      <c r="V202" s="185"/>
      <c r="W202" s="185"/>
      <c r="X202" s="5"/>
    </row>
    <row r="203" spans="1:24" ht="18" thickBot="1" x14ac:dyDescent="0.35">
      <c r="A203" s="199"/>
      <c r="B203" s="237" t="str">
        <f>B137</f>
        <v>PM14 INVESTOR REPORT QUARTER ENDING AUGUST 2017</v>
      </c>
      <c r="C203" s="215"/>
      <c r="D203" s="215"/>
      <c r="E203" s="215"/>
      <c r="F203" s="215"/>
      <c r="G203" s="215"/>
      <c r="H203" s="215"/>
      <c r="I203" s="215"/>
      <c r="J203" s="215"/>
      <c r="K203" s="215"/>
      <c r="L203" s="215"/>
      <c r="M203" s="215"/>
      <c r="N203" s="215"/>
      <c r="O203" s="215"/>
      <c r="P203" s="215"/>
      <c r="Q203" s="215"/>
      <c r="R203" s="215"/>
      <c r="S203" s="215"/>
      <c r="T203" s="215"/>
      <c r="U203" s="215"/>
      <c r="V203" s="215"/>
      <c r="W203" s="216"/>
      <c r="X203" s="5"/>
    </row>
    <row r="204" spans="1:24" ht="15.6" x14ac:dyDescent="0.3">
      <c r="A204" s="273"/>
      <c r="B204" s="403" t="s">
        <v>70</v>
      </c>
      <c r="C204" s="404"/>
      <c r="D204" s="404"/>
      <c r="E204" s="404"/>
      <c r="F204" s="404"/>
      <c r="G204" s="405"/>
      <c r="H204" s="405"/>
      <c r="I204" s="405"/>
      <c r="J204" s="405"/>
      <c r="K204" s="405"/>
      <c r="L204" s="405"/>
      <c r="M204" s="405"/>
      <c r="N204" s="405"/>
      <c r="O204" s="405"/>
      <c r="P204" s="405"/>
      <c r="Q204" s="405"/>
      <c r="R204" s="405"/>
      <c r="S204" s="405"/>
      <c r="T204" s="405">
        <v>42978</v>
      </c>
      <c r="U204" s="274"/>
      <c r="V204" s="274"/>
      <c r="W204" s="274"/>
      <c r="X204" s="5"/>
    </row>
    <row r="205" spans="1:24" ht="15.6" x14ac:dyDescent="0.3">
      <c r="A205" s="217"/>
      <c r="B205" s="230"/>
      <c r="C205" s="249"/>
      <c r="D205" s="249"/>
      <c r="E205" s="249"/>
      <c r="F205" s="249"/>
      <c r="G205" s="229"/>
      <c r="H205" s="229"/>
      <c r="I205" s="229"/>
      <c r="J205" s="229"/>
      <c r="K205" s="229"/>
      <c r="L205" s="229"/>
      <c r="M205" s="229"/>
      <c r="N205" s="229"/>
      <c r="O205" s="229"/>
      <c r="P205" s="229"/>
      <c r="Q205" s="229"/>
      <c r="R205" s="229"/>
      <c r="S205" s="229"/>
      <c r="T205" s="229"/>
      <c r="U205" s="224"/>
      <c r="V205" s="224"/>
      <c r="W205" s="224"/>
      <c r="X205" s="5"/>
    </row>
    <row r="206" spans="1:24" ht="15.6" x14ac:dyDescent="0.3">
      <c r="A206" s="352"/>
      <c r="B206" s="288" t="s">
        <v>71</v>
      </c>
      <c r="C206" s="353"/>
      <c r="D206" s="353"/>
      <c r="E206" s="353"/>
      <c r="F206" s="353"/>
      <c r="G206" s="330"/>
      <c r="H206" s="330"/>
      <c r="I206" s="330"/>
      <c r="J206" s="330"/>
      <c r="K206" s="330"/>
      <c r="L206" s="330"/>
      <c r="M206" s="330"/>
      <c r="N206" s="330"/>
      <c r="O206" s="330"/>
      <c r="P206" s="330"/>
      <c r="Q206" s="330"/>
      <c r="R206" s="330"/>
      <c r="S206" s="330"/>
      <c r="T206" s="321">
        <v>5.2819999999999999E-2</v>
      </c>
      <c r="U206" s="288"/>
      <c r="V206" s="288"/>
      <c r="W206" s="291"/>
      <c r="X206" s="5"/>
    </row>
    <row r="207" spans="1:24" ht="15.6" x14ac:dyDescent="0.3">
      <c r="A207" s="352"/>
      <c r="B207" s="288" t="s">
        <v>151</v>
      </c>
      <c r="C207" s="353"/>
      <c r="D207" s="353"/>
      <c r="E207" s="353"/>
      <c r="F207" s="353"/>
      <c r="G207" s="330"/>
      <c r="H207" s="330"/>
      <c r="I207" s="330"/>
      <c r="J207" s="330"/>
      <c r="K207" s="330"/>
      <c r="L207" s="330"/>
      <c r="M207" s="330"/>
      <c r="N207" s="330"/>
      <c r="O207" s="330"/>
      <c r="P207" s="330"/>
      <c r="Q207" s="330"/>
      <c r="R207" s="330"/>
      <c r="S207" s="330"/>
      <c r="T207" s="321">
        <v>5.7799999999999997E-2</v>
      </c>
      <c r="U207" s="288"/>
      <c r="V207" s="288"/>
      <c r="W207" s="291"/>
      <c r="X207" s="5"/>
    </row>
    <row r="208" spans="1:24" ht="15.6" x14ac:dyDescent="0.3">
      <c r="A208" s="352"/>
      <c r="B208" s="288" t="s">
        <v>72</v>
      </c>
      <c r="C208" s="353"/>
      <c r="D208" s="353"/>
      <c r="E208" s="353"/>
      <c r="F208" s="353"/>
      <c r="G208" s="330"/>
      <c r="H208" s="330"/>
      <c r="I208" s="330"/>
      <c r="J208" s="330"/>
      <c r="K208" s="330"/>
      <c r="L208" s="330"/>
      <c r="M208" s="330"/>
      <c r="N208" s="330"/>
      <c r="O208" s="330"/>
      <c r="P208" s="330"/>
      <c r="Q208" s="330"/>
      <c r="R208" s="330"/>
      <c r="S208" s="330"/>
      <c r="T208" s="321">
        <f>T206-T207</f>
        <v>-4.9799999999999983E-3</v>
      </c>
      <c r="U208" s="288"/>
      <c r="V208" s="288"/>
      <c r="W208" s="291"/>
      <c r="X208" s="5"/>
    </row>
    <row r="209" spans="1:24" ht="15.6" x14ac:dyDescent="0.3">
      <c r="A209" s="352"/>
      <c r="B209" s="288" t="s">
        <v>73</v>
      </c>
      <c r="C209" s="353"/>
      <c r="D209" s="353"/>
      <c r="E209" s="353"/>
      <c r="F209" s="353"/>
      <c r="G209" s="330"/>
      <c r="H209" s="330"/>
      <c r="I209" s="330"/>
      <c r="J209" s="330"/>
      <c r="K209" s="330"/>
      <c r="L209" s="330"/>
      <c r="M209" s="330"/>
      <c r="N209" s="330"/>
      <c r="O209" s="330"/>
      <c r="P209" s="330"/>
      <c r="Q209" s="330"/>
      <c r="R209" s="330"/>
      <c r="S209" s="330"/>
      <c r="T209" s="321">
        <v>2.171E-2</v>
      </c>
      <c r="U209" s="288"/>
      <c r="V209" s="288"/>
      <c r="W209" s="291"/>
      <c r="X209" s="5"/>
    </row>
    <row r="210" spans="1:24" ht="15.6" x14ac:dyDescent="0.3">
      <c r="A210" s="352"/>
      <c r="B210" s="288" t="s">
        <v>219</v>
      </c>
      <c r="C210" s="353"/>
      <c r="D210" s="353"/>
      <c r="E210" s="353"/>
      <c r="F210" s="353"/>
      <c r="G210" s="330"/>
      <c r="H210" s="330"/>
      <c r="I210" s="330"/>
      <c r="J210" s="330"/>
      <c r="K210" s="330"/>
      <c r="L210" s="330"/>
      <c r="M210" s="330"/>
      <c r="N210" s="330"/>
      <c r="O210" s="330"/>
      <c r="P210" s="330"/>
      <c r="Q210" s="330"/>
      <c r="R210" s="330"/>
      <c r="S210" s="330"/>
      <c r="T210" s="321">
        <f>V43</f>
        <v>6.0622886411722974E-3</v>
      </c>
      <c r="U210" s="288"/>
      <c r="V210" s="288"/>
      <c r="W210" s="291"/>
      <c r="X210" s="5"/>
    </row>
    <row r="211" spans="1:24" ht="15.6" x14ac:dyDescent="0.3">
      <c r="A211" s="352"/>
      <c r="B211" s="288" t="s">
        <v>74</v>
      </c>
      <c r="C211" s="353"/>
      <c r="D211" s="353"/>
      <c r="E211" s="353"/>
      <c r="F211" s="353"/>
      <c r="G211" s="330"/>
      <c r="H211" s="330"/>
      <c r="I211" s="330"/>
      <c r="J211" s="330"/>
      <c r="K211" s="330"/>
      <c r="L211" s="330"/>
      <c r="M211" s="330"/>
      <c r="N211" s="330"/>
      <c r="O211" s="330"/>
      <c r="P211" s="330"/>
      <c r="Q211" s="330"/>
      <c r="R211" s="330"/>
      <c r="S211" s="330"/>
      <c r="T211" s="321">
        <f>T209-T210</f>
        <v>1.5647711358827702E-2</v>
      </c>
      <c r="U211" s="288"/>
      <c r="V211" s="288"/>
      <c r="W211" s="291"/>
      <c r="X211" s="5"/>
    </row>
    <row r="212" spans="1:24" ht="15.6" x14ac:dyDescent="0.3">
      <c r="A212" s="352"/>
      <c r="B212" s="288" t="s">
        <v>242</v>
      </c>
      <c r="C212" s="353"/>
      <c r="D212" s="353"/>
      <c r="E212" s="353"/>
      <c r="F212" s="353"/>
      <c r="G212" s="330"/>
      <c r="H212" s="330"/>
      <c r="I212" s="330"/>
      <c r="J212" s="330"/>
      <c r="K212" s="330"/>
      <c r="L212" s="330"/>
      <c r="M212" s="330"/>
      <c r="N212" s="330"/>
      <c r="O212" s="330"/>
      <c r="P212" s="330"/>
      <c r="Q212" s="330"/>
      <c r="R212" s="330"/>
      <c r="S212" s="330"/>
      <c r="T212" s="321">
        <f>V100/N70</f>
        <v>5.9946218781280368E-3</v>
      </c>
      <c r="U212" s="288"/>
      <c r="V212" s="288"/>
      <c r="W212" s="291"/>
      <c r="X212" s="5"/>
    </row>
    <row r="213" spans="1:24" ht="15.6" x14ac:dyDescent="0.3">
      <c r="A213" s="352"/>
      <c r="B213" s="288" t="s">
        <v>208</v>
      </c>
      <c r="C213" s="353"/>
      <c r="D213" s="353"/>
      <c r="E213" s="353"/>
      <c r="F213" s="353"/>
      <c r="G213" s="330"/>
      <c r="H213" s="330"/>
      <c r="I213" s="330"/>
      <c r="J213" s="330"/>
      <c r="K213" s="330"/>
      <c r="L213" s="330"/>
      <c r="M213" s="330"/>
      <c r="N213" s="330"/>
      <c r="O213" s="330"/>
      <c r="P213" s="330"/>
      <c r="Q213" s="330"/>
      <c r="R213" s="330"/>
      <c r="S213" s="330"/>
      <c r="T213" s="354">
        <v>51014</v>
      </c>
      <c r="U213" s="288"/>
      <c r="V213" s="288"/>
      <c r="W213" s="291"/>
      <c r="X213" s="5"/>
    </row>
    <row r="214" spans="1:24" ht="15.6" x14ac:dyDescent="0.3">
      <c r="A214" s="352"/>
      <c r="B214" s="288" t="s">
        <v>209</v>
      </c>
      <c r="C214" s="353"/>
      <c r="D214" s="353"/>
      <c r="E214" s="353"/>
      <c r="F214" s="353"/>
      <c r="G214" s="330"/>
      <c r="H214" s="330"/>
      <c r="I214" s="330"/>
      <c r="J214" s="330"/>
      <c r="K214" s="330"/>
      <c r="L214" s="330"/>
      <c r="M214" s="330"/>
      <c r="N214" s="330"/>
      <c r="O214" s="330"/>
      <c r="P214" s="330"/>
      <c r="Q214" s="330"/>
      <c r="R214" s="330"/>
      <c r="S214" s="330"/>
      <c r="T214" s="354">
        <v>51014</v>
      </c>
      <c r="U214" s="288"/>
      <c r="V214" s="288"/>
      <c r="W214" s="291"/>
      <c r="X214" s="5"/>
    </row>
    <row r="215" spans="1:24" ht="15.6" x14ac:dyDescent="0.3">
      <c r="A215" s="352"/>
      <c r="B215" s="288" t="s">
        <v>210</v>
      </c>
      <c r="C215" s="353"/>
      <c r="D215" s="353"/>
      <c r="E215" s="353"/>
      <c r="F215" s="353"/>
      <c r="G215" s="330"/>
      <c r="H215" s="330"/>
      <c r="I215" s="330"/>
      <c r="J215" s="330"/>
      <c r="K215" s="330"/>
      <c r="L215" s="330"/>
      <c r="M215" s="330"/>
      <c r="N215" s="330"/>
      <c r="O215" s="330"/>
      <c r="P215" s="330"/>
      <c r="Q215" s="330"/>
      <c r="R215" s="330"/>
      <c r="S215" s="330"/>
      <c r="T215" s="354">
        <v>51014</v>
      </c>
      <c r="U215" s="288"/>
      <c r="V215" s="288"/>
      <c r="W215" s="291"/>
      <c r="X215" s="5"/>
    </row>
    <row r="216" spans="1:24" ht="15.6" x14ac:dyDescent="0.3">
      <c r="A216" s="352"/>
      <c r="B216" s="288" t="s">
        <v>75</v>
      </c>
      <c r="C216" s="353"/>
      <c r="D216" s="353"/>
      <c r="E216" s="353"/>
      <c r="F216" s="353"/>
      <c r="G216" s="330"/>
      <c r="H216" s="330"/>
      <c r="I216" s="330"/>
      <c r="J216" s="330"/>
      <c r="K216" s="330"/>
      <c r="L216" s="330"/>
      <c r="M216" s="330"/>
      <c r="N216" s="330"/>
      <c r="O216" s="330"/>
      <c r="P216" s="330"/>
      <c r="Q216" s="330"/>
      <c r="R216" s="330"/>
      <c r="S216" s="330"/>
      <c r="T216" s="327">
        <v>20.66</v>
      </c>
      <c r="U216" s="288" t="s">
        <v>110</v>
      </c>
      <c r="V216" s="288"/>
      <c r="W216" s="291"/>
      <c r="X216" s="5"/>
    </row>
    <row r="217" spans="1:24" ht="15.6" x14ac:dyDescent="0.3">
      <c r="A217" s="352"/>
      <c r="B217" s="288" t="s">
        <v>76</v>
      </c>
      <c r="C217" s="353"/>
      <c r="D217" s="353"/>
      <c r="E217" s="353"/>
      <c r="F217" s="353"/>
      <c r="G217" s="330"/>
      <c r="H217" s="330"/>
      <c r="I217" s="330"/>
      <c r="J217" s="330"/>
      <c r="K217" s="330"/>
      <c r="L217" s="330"/>
      <c r="M217" s="330"/>
      <c r="N217" s="330"/>
      <c r="O217" s="330"/>
      <c r="P217" s="330"/>
      <c r="Q217" s="330"/>
      <c r="R217" s="330"/>
      <c r="S217" s="330"/>
      <c r="T217" s="327">
        <v>11.48</v>
      </c>
      <c r="U217" s="288" t="s">
        <v>110</v>
      </c>
      <c r="V217" s="288"/>
      <c r="W217" s="291"/>
      <c r="X217" s="5"/>
    </row>
    <row r="218" spans="1:24" ht="15.6" x14ac:dyDescent="0.3">
      <c r="A218" s="352"/>
      <c r="B218" s="288" t="s">
        <v>77</v>
      </c>
      <c r="C218" s="353"/>
      <c r="D218" s="353"/>
      <c r="E218" s="353"/>
      <c r="F218" s="353"/>
      <c r="G218" s="330"/>
      <c r="H218" s="330"/>
      <c r="I218" s="330"/>
      <c r="J218" s="330"/>
      <c r="K218" s="330"/>
      <c r="L218" s="330"/>
      <c r="M218" s="330"/>
      <c r="N218" s="330"/>
      <c r="O218" s="330"/>
      <c r="P218" s="330"/>
      <c r="Q218" s="330"/>
      <c r="R218" s="330"/>
      <c r="S218" s="330"/>
      <c r="T218" s="321">
        <f>+P67/N67</f>
        <v>1.6451582891788556E-2</v>
      </c>
      <c r="U218" s="288"/>
      <c r="V218" s="288"/>
      <c r="W218" s="291"/>
      <c r="X218" s="5"/>
    </row>
    <row r="219" spans="1:24" ht="15.6" x14ac:dyDescent="0.3">
      <c r="A219" s="352"/>
      <c r="B219" s="288" t="s">
        <v>78</v>
      </c>
      <c r="C219" s="353"/>
      <c r="D219" s="353"/>
      <c r="E219" s="353"/>
      <c r="F219" s="353"/>
      <c r="G219" s="330"/>
      <c r="H219" s="330"/>
      <c r="I219" s="330"/>
      <c r="J219" s="330"/>
      <c r="K219" s="330"/>
      <c r="L219" s="330"/>
      <c r="M219" s="330"/>
      <c r="N219" s="330"/>
      <c r="O219" s="330"/>
      <c r="P219" s="330"/>
      <c r="Q219" s="330"/>
      <c r="R219" s="330"/>
      <c r="S219" s="330"/>
      <c r="T219" s="321">
        <v>5.2699999999999997E-2</v>
      </c>
      <c r="U219" s="288"/>
      <c r="V219" s="288"/>
      <c r="W219" s="291"/>
      <c r="X219" s="5"/>
    </row>
    <row r="220" spans="1:24" ht="15.6" x14ac:dyDescent="0.3">
      <c r="A220" s="217"/>
      <c r="B220" s="284"/>
      <c r="C220" s="284"/>
      <c r="D220" s="284"/>
      <c r="E220" s="284"/>
      <c r="F220" s="284"/>
      <c r="G220" s="284"/>
      <c r="H220" s="284"/>
      <c r="I220" s="284"/>
      <c r="J220" s="284"/>
      <c r="K220" s="284"/>
      <c r="L220" s="284"/>
      <c r="M220" s="284"/>
      <c r="N220" s="284"/>
      <c r="O220" s="284"/>
      <c r="P220" s="284"/>
      <c r="Q220" s="284"/>
      <c r="R220" s="284"/>
      <c r="S220" s="284"/>
      <c r="T220" s="349"/>
      <c r="U220" s="284"/>
      <c r="V220" s="351"/>
      <c r="W220" s="284"/>
      <c r="X220" s="5"/>
    </row>
    <row r="221" spans="1:24" ht="15.6" x14ac:dyDescent="0.3">
      <c r="A221" s="278"/>
      <c r="B221" s="399" t="s">
        <v>79</v>
      </c>
      <c r="C221" s="400"/>
      <c r="D221" s="400"/>
      <c r="E221" s="400"/>
      <c r="F221" s="406"/>
      <c r="G221" s="400"/>
      <c r="H221" s="400"/>
      <c r="I221" s="400"/>
      <c r="J221" s="400"/>
      <c r="K221" s="400"/>
      <c r="L221" s="400"/>
      <c r="M221" s="400"/>
      <c r="N221" s="400"/>
      <c r="O221" s="400"/>
      <c r="P221" s="400"/>
      <c r="Q221" s="400"/>
      <c r="R221" s="400"/>
      <c r="S221" s="400" t="s">
        <v>102</v>
      </c>
      <c r="T221" s="406" t="s">
        <v>108</v>
      </c>
      <c r="U221" s="263"/>
      <c r="V221" s="263"/>
      <c r="W221" s="263"/>
      <c r="X221" s="5"/>
    </row>
    <row r="222" spans="1:24" ht="15.6" x14ac:dyDescent="0.3">
      <c r="A222" s="218"/>
      <c r="B222" s="231" t="s">
        <v>80</v>
      </c>
      <c r="C222" s="234"/>
      <c r="D222" s="234"/>
      <c r="E222" s="234"/>
      <c r="F222" s="231"/>
      <c r="G222" s="231"/>
      <c r="H222" s="233"/>
      <c r="I222" s="233"/>
      <c r="J222" s="233"/>
      <c r="K222" s="233"/>
      <c r="L222" s="233"/>
      <c r="M222" s="233"/>
      <c r="N222" s="233"/>
      <c r="O222" s="233"/>
      <c r="P222" s="233"/>
      <c r="Q222" s="233"/>
      <c r="R222" s="233"/>
      <c r="S222" s="233">
        <v>1</v>
      </c>
      <c r="T222" s="251">
        <v>77</v>
      </c>
      <c r="U222" s="231"/>
      <c r="V222" s="250"/>
      <c r="W222" s="252"/>
      <c r="X222" s="5"/>
    </row>
    <row r="223" spans="1:24" ht="15.6" x14ac:dyDescent="0.3">
      <c r="A223" s="362"/>
      <c r="B223" s="288" t="s">
        <v>145</v>
      </c>
      <c r="C223" s="337"/>
      <c r="D223" s="337"/>
      <c r="E223" s="337"/>
      <c r="F223" s="288"/>
      <c r="G223" s="288"/>
      <c r="H223" s="296"/>
      <c r="I223" s="296"/>
      <c r="J223" s="296"/>
      <c r="K223" s="296"/>
      <c r="L223" s="296"/>
      <c r="M223" s="296"/>
      <c r="N223" s="296"/>
      <c r="O223" s="296"/>
      <c r="P223" s="296"/>
      <c r="Q223" s="296"/>
      <c r="R223" s="296"/>
      <c r="S223" s="363">
        <f>+R275</f>
        <v>125</v>
      </c>
      <c r="T223" s="364">
        <f>+T275</f>
        <v>17489</v>
      </c>
      <c r="U223" s="288"/>
      <c r="V223" s="365"/>
      <c r="W223" s="366"/>
      <c r="X223" s="5"/>
    </row>
    <row r="224" spans="1:24" ht="15.6" x14ac:dyDescent="0.3">
      <c r="A224" s="362"/>
      <c r="B224" s="288" t="s">
        <v>81</v>
      </c>
      <c r="C224" s="337"/>
      <c r="D224" s="337"/>
      <c r="E224" s="337"/>
      <c r="F224" s="288"/>
      <c r="G224" s="288"/>
      <c r="H224" s="296"/>
      <c r="I224" s="296"/>
      <c r="J224" s="296"/>
      <c r="K224" s="296"/>
      <c r="L224" s="296"/>
      <c r="M224" s="296"/>
      <c r="N224" s="296"/>
      <c r="O224" s="296"/>
      <c r="P224" s="296"/>
      <c r="Q224" s="296"/>
      <c r="R224" s="296"/>
      <c r="S224" s="363">
        <f>+R287</f>
        <v>0</v>
      </c>
      <c r="T224" s="364">
        <f>+T287</f>
        <v>0</v>
      </c>
      <c r="U224" s="288"/>
      <c r="V224" s="365"/>
      <c r="W224" s="366"/>
      <c r="X224" s="5"/>
    </row>
    <row r="225" spans="1:24" ht="15.6" x14ac:dyDescent="0.3">
      <c r="A225" s="362"/>
      <c r="B225" s="313" t="s">
        <v>82</v>
      </c>
      <c r="C225" s="367"/>
      <c r="D225" s="367"/>
      <c r="E225" s="367"/>
      <c r="F225" s="314"/>
      <c r="G225" s="314"/>
      <c r="H225" s="314"/>
      <c r="I225" s="314"/>
      <c r="J225" s="314"/>
      <c r="K225" s="314"/>
      <c r="L225" s="314"/>
      <c r="M225" s="314"/>
      <c r="N225" s="314"/>
      <c r="O225" s="314"/>
      <c r="P225" s="314"/>
      <c r="Q225" s="314"/>
      <c r="R225" s="314"/>
      <c r="S225" s="314"/>
      <c r="T225" s="364">
        <v>0</v>
      </c>
      <c r="U225" s="314"/>
      <c r="V225" s="369"/>
      <c r="W225" s="370"/>
      <c r="X225" s="5"/>
    </row>
    <row r="226" spans="1:24" ht="15.6" x14ac:dyDescent="0.3">
      <c r="A226" s="362"/>
      <c r="B226" s="313" t="s">
        <v>243</v>
      </c>
      <c r="C226" s="367"/>
      <c r="D226" s="367"/>
      <c r="E226" s="367"/>
      <c r="F226" s="314"/>
      <c r="G226" s="314"/>
      <c r="H226" s="314"/>
      <c r="I226" s="314"/>
      <c r="J226" s="314"/>
      <c r="K226" s="314"/>
      <c r="L226" s="314"/>
      <c r="M226" s="314"/>
      <c r="N226" s="314"/>
      <c r="O226" s="314"/>
      <c r="P226" s="314"/>
      <c r="Q226" s="314"/>
      <c r="R226" s="314"/>
      <c r="S226" s="314"/>
      <c r="T226" s="364">
        <f>+N80</f>
        <v>0</v>
      </c>
      <c r="U226" s="314"/>
      <c r="V226" s="369"/>
      <c r="W226" s="370"/>
      <c r="X226" s="5"/>
    </row>
    <row r="227" spans="1:24" ht="15.6" x14ac:dyDescent="0.3">
      <c r="A227" s="371"/>
      <c r="B227" s="313" t="s">
        <v>83</v>
      </c>
      <c r="C227" s="372"/>
      <c r="D227" s="372"/>
      <c r="E227" s="372"/>
      <c r="F227" s="372"/>
      <c r="G227" s="314"/>
      <c r="H227" s="314"/>
      <c r="I227" s="314"/>
      <c r="J227" s="314"/>
      <c r="K227" s="314"/>
      <c r="L227" s="314"/>
      <c r="M227" s="314"/>
      <c r="N227" s="314"/>
      <c r="O227" s="314"/>
      <c r="P227" s="314"/>
      <c r="Q227" s="314"/>
      <c r="R227" s="314"/>
      <c r="S227" s="314"/>
      <c r="T227" s="368"/>
      <c r="U227" s="314"/>
      <c r="V227" s="369"/>
      <c r="W227" s="373"/>
      <c r="X227" s="5"/>
    </row>
    <row r="228" spans="1:24" ht="15.6" x14ac:dyDescent="0.3">
      <c r="A228" s="371"/>
      <c r="B228" s="288" t="s">
        <v>84</v>
      </c>
      <c r="C228" s="288"/>
      <c r="D228" s="288"/>
      <c r="E228" s="288"/>
      <c r="F228" s="288"/>
      <c r="G228" s="288"/>
      <c r="H228" s="288"/>
      <c r="I228" s="288"/>
      <c r="J228" s="288"/>
      <c r="K228" s="288"/>
      <c r="L228" s="288"/>
      <c r="M228" s="288"/>
      <c r="N228" s="288"/>
      <c r="O228" s="288"/>
      <c r="P228" s="288"/>
      <c r="Q228" s="288"/>
      <c r="R228" s="288"/>
      <c r="S228" s="296"/>
      <c r="T228" s="364">
        <f>V166</f>
        <v>147</v>
      </c>
      <c r="U228" s="288"/>
      <c r="V228" s="365"/>
      <c r="W228" s="378"/>
      <c r="X228" s="5"/>
    </row>
    <row r="229" spans="1:24" ht="15.6" x14ac:dyDescent="0.3">
      <c r="A229" s="362"/>
      <c r="B229" s="288" t="s">
        <v>85</v>
      </c>
      <c r="C229" s="337"/>
      <c r="D229" s="337"/>
      <c r="E229" s="337"/>
      <c r="F229" s="337"/>
      <c r="G229" s="288"/>
      <c r="H229" s="288"/>
      <c r="I229" s="288"/>
      <c r="J229" s="288"/>
      <c r="K229" s="288"/>
      <c r="L229" s="288"/>
      <c r="M229" s="288"/>
      <c r="N229" s="288"/>
      <c r="O229" s="288"/>
      <c r="P229" s="288"/>
      <c r="Q229" s="288"/>
      <c r="R229" s="288"/>
      <c r="S229" s="296"/>
      <c r="T229" s="364">
        <f>'May 17'!T229+T228</f>
        <v>7873</v>
      </c>
      <c r="U229" s="288"/>
      <c r="V229" s="365"/>
      <c r="W229" s="378"/>
      <c r="X229" s="5"/>
    </row>
    <row r="230" spans="1:24" ht="15.6" x14ac:dyDescent="0.3">
      <c r="A230" s="371"/>
      <c r="B230" s="313" t="s">
        <v>295</v>
      </c>
      <c r="C230" s="372"/>
      <c r="D230" s="372"/>
      <c r="E230" s="372"/>
      <c r="F230" s="372"/>
      <c r="G230" s="314"/>
      <c r="H230" s="314"/>
      <c r="I230" s="314"/>
      <c r="J230" s="314"/>
      <c r="K230" s="314"/>
      <c r="L230" s="314"/>
      <c r="M230" s="314"/>
      <c r="N230" s="314"/>
      <c r="O230" s="314"/>
      <c r="P230" s="314"/>
      <c r="Q230" s="314"/>
      <c r="R230" s="314"/>
      <c r="S230" s="316"/>
      <c r="T230" s="368"/>
      <c r="U230" s="314"/>
      <c r="V230" s="369"/>
      <c r="W230" s="373"/>
      <c r="X230" s="5"/>
    </row>
    <row r="231" spans="1:24" ht="15.6" x14ac:dyDescent="0.3">
      <c r="A231" s="371"/>
      <c r="B231" s="288" t="s">
        <v>291</v>
      </c>
      <c r="C231" s="288"/>
      <c r="D231" s="288"/>
      <c r="E231" s="288"/>
      <c r="F231" s="288"/>
      <c r="G231" s="288"/>
      <c r="H231" s="288"/>
      <c r="I231" s="288"/>
      <c r="J231" s="288"/>
      <c r="K231" s="288"/>
      <c r="L231" s="288"/>
      <c r="M231" s="288"/>
      <c r="N231" s="288"/>
      <c r="O231" s="288"/>
      <c r="P231" s="288"/>
      <c r="Q231" s="288"/>
      <c r="R231" s="288"/>
      <c r="S231" s="296">
        <v>0</v>
      </c>
      <c r="T231" s="364">
        <v>0</v>
      </c>
      <c r="U231" s="288"/>
      <c r="V231" s="365"/>
      <c r="W231" s="378"/>
      <c r="X231" s="5"/>
    </row>
    <row r="232" spans="1:24" ht="15.6" x14ac:dyDescent="0.3">
      <c r="A232" s="362"/>
      <c r="B232" s="288" t="s">
        <v>86</v>
      </c>
      <c r="C232" s="325"/>
      <c r="D232" s="325"/>
      <c r="E232" s="325"/>
      <c r="F232" s="379"/>
      <c r="G232" s="288"/>
      <c r="H232" s="288"/>
      <c r="I232" s="288"/>
      <c r="J232" s="288"/>
      <c r="K232" s="288"/>
      <c r="L232" s="288"/>
      <c r="M232" s="288"/>
      <c r="N232" s="288"/>
      <c r="O232" s="288"/>
      <c r="P232" s="288"/>
      <c r="Q232" s="288"/>
      <c r="R232" s="288"/>
      <c r="S232" s="288"/>
      <c r="T232" s="380">
        <v>0</v>
      </c>
      <c r="U232" s="288"/>
      <c r="V232" s="365"/>
      <c r="W232" s="378"/>
      <c r="X232" s="5"/>
    </row>
    <row r="233" spans="1:24" ht="15.6" x14ac:dyDescent="0.3">
      <c r="A233" s="362"/>
      <c r="B233" s="288" t="s">
        <v>87</v>
      </c>
      <c r="C233" s="325"/>
      <c r="D233" s="325"/>
      <c r="E233" s="325"/>
      <c r="F233" s="379"/>
      <c r="G233" s="288"/>
      <c r="H233" s="288"/>
      <c r="I233" s="288"/>
      <c r="J233" s="288"/>
      <c r="K233" s="288"/>
      <c r="L233" s="288"/>
      <c r="M233" s="288"/>
      <c r="N233" s="288"/>
      <c r="O233" s="288"/>
      <c r="P233" s="288"/>
      <c r="Q233" s="288"/>
      <c r="R233" s="288"/>
      <c r="S233" s="288"/>
      <c r="T233" s="380">
        <v>0</v>
      </c>
      <c r="U233" s="288"/>
      <c r="V233" s="365"/>
      <c r="W233" s="378"/>
      <c r="X233" s="5"/>
    </row>
    <row r="234" spans="1:24" ht="15.6" x14ac:dyDescent="0.3">
      <c r="A234" s="362"/>
      <c r="B234" s="313" t="s">
        <v>217</v>
      </c>
      <c r="C234" s="381"/>
      <c r="D234" s="381"/>
      <c r="E234" s="381"/>
      <c r="F234" s="382"/>
      <c r="G234" s="314"/>
      <c r="H234" s="314"/>
      <c r="I234" s="314"/>
      <c r="J234" s="314"/>
      <c r="K234" s="314"/>
      <c r="L234" s="314"/>
      <c r="M234" s="314"/>
      <c r="N234" s="314"/>
      <c r="O234" s="314"/>
      <c r="P234" s="314"/>
      <c r="Q234" s="314"/>
      <c r="R234" s="314"/>
      <c r="S234" s="314"/>
      <c r="T234" s="383"/>
      <c r="U234" s="314"/>
      <c r="V234" s="369"/>
      <c r="W234" s="373"/>
      <c r="X234" s="5"/>
    </row>
    <row r="235" spans="1:24" ht="15.6" x14ac:dyDescent="0.3">
      <c r="A235" s="362"/>
      <c r="B235" s="288" t="s">
        <v>291</v>
      </c>
      <c r="C235" s="381"/>
      <c r="D235" s="381"/>
      <c r="E235" s="381"/>
      <c r="F235" s="382"/>
      <c r="G235" s="314"/>
      <c r="H235" s="314"/>
      <c r="I235" s="314"/>
      <c r="J235" s="314"/>
      <c r="K235" s="314"/>
      <c r="L235" s="314"/>
      <c r="M235" s="314"/>
      <c r="N235" s="314"/>
      <c r="O235" s="314"/>
      <c r="P235" s="314"/>
      <c r="Q235" s="314"/>
      <c r="R235" s="314"/>
      <c r="S235" s="296">
        <v>4</v>
      </c>
      <c r="T235" s="364">
        <v>479</v>
      </c>
      <c r="U235" s="314"/>
      <c r="V235" s="369"/>
      <c r="W235" s="373"/>
      <c r="X235" s="5"/>
    </row>
    <row r="236" spans="1:24" ht="15.6" x14ac:dyDescent="0.3">
      <c r="A236" s="362"/>
      <c r="B236" s="288" t="s">
        <v>218</v>
      </c>
      <c r="C236" s="381"/>
      <c r="D236" s="381"/>
      <c r="E236" s="381"/>
      <c r="F236" s="382"/>
      <c r="G236" s="314"/>
      <c r="H236" s="314"/>
      <c r="I236" s="314"/>
      <c r="J236" s="314"/>
      <c r="K236" s="314"/>
      <c r="L236" s="314"/>
      <c r="M236" s="314"/>
      <c r="N236" s="314"/>
      <c r="O236" s="314"/>
      <c r="P236" s="314"/>
      <c r="Q236" s="314"/>
      <c r="R236" s="314"/>
      <c r="S236" s="288"/>
      <c r="T236" s="380">
        <v>1.82</v>
      </c>
      <c r="U236" s="314"/>
      <c r="V236" s="369"/>
      <c r="W236" s="373"/>
      <c r="X236" s="5"/>
    </row>
    <row r="237" spans="1:24" ht="15.6" x14ac:dyDescent="0.3">
      <c r="A237" s="362"/>
      <c r="B237" s="372"/>
      <c r="C237" s="381"/>
      <c r="D237" s="381"/>
      <c r="E237" s="381"/>
      <c r="F237" s="382"/>
      <c r="G237" s="314"/>
      <c r="H237" s="314"/>
      <c r="I237" s="314"/>
      <c r="J237" s="314"/>
      <c r="K237" s="314"/>
      <c r="L237" s="314"/>
      <c r="M237" s="314"/>
      <c r="N237" s="314"/>
      <c r="O237" s="314"/>
      <c r="P237" s="314"/>
      <c r="Q237" s="314"/>
      <c r="R237" s="314"/>
      <c r="S237" s="314"/>
      <c r="T237" s="383"/>
      <c r="U237" s="314"/>
      <c r="V237" s="369"/>
      <c r="W237" s="373"/>
      <c r="X237" s="5"/>
    </row>
    <row r="238" spans="1:24" ht="15.6" x14ac:dyDescent="0.3">
      <c r="A238" s="362"/>
      <c r="B238" s="372"/>
      <c r="C238" s="381"/>
      <c r="D238" s="381"/>
      <c r="E238" s="381"/>
      <c r="F238" s="382"/>
      <c r="G238" s="314"/>
      <c r="H238" s="314"/>
      <c r="I238" s="314"/>
      <c r="J238" s="314"/>
      <c r="K238" s="314"/>
      <c r="L238" s="314"/>
      <c r="M238" s="314"/>
      <c r="N238" s="314"/>
      <c r="O238" s="314"/>
      <c r="P238" s="314"/>
      <c r="Q238" s="314"/>
      <c r="R238" s="314"/>
      <c r="S238" s="314"/>
      <c r="T238" s="383"/>
      <c r="U238" s="314"/>
      <c r="V238" s="369"/>
      <c r="W238" s="373"/>
      <c r="X238" s="5"/>
    </row>
    <row r="239" spans="1:24" ht="17.399999999999999" x14ac:dyDescent="0.3">
      <c r="A239" s="362"/>
      <c r="B239" s="384" t="s">
        <v>168</v>
      </c>
      <c r="C239" s="381"/>
      <c r="D239" s="381"/>
      <c r="E239" s="381"/>
      <c r="F239" s="382"/>
      <c r="G239" s="314"/>
      <c r="H239" s="314"/>
      <c r="I239" s="314"/>
      <c r="J239" s="314"/>
      <c r="K239" s="314"/>
      <c r="L239" s="314"/>
      <c r="M239" s="314"/>
      <c r="N239" s="314"/>
      <c r="O239" s="314"/>
      <c r="P239" s="385" t="s">
        <v>167</v>
      </c>
      <c r="Q239" s="314"/>
      <c r="R239" s="314"/>
      <c r="S239" s="314"/>
      <c r="T239" s="383"/>
      <c r="U239" s="314"/>
      <c r="V239" s="369"/>
      <c r="W239" s="373"/>
      <c r="X239" s="5"/>
    </row>
    <row r="240" spans="1:24" ht="15.6" x14ac:dyDescent="0.3">
      <c r="A240" s="355"/>
      <c r="B240" s="356"/>
      <c r="C240" s="357"/>
      <c r="D240" s="357"/>
      <c r="E240" s="357"/>
      <c r="F240" s="358"/>
      <c r="G240" s="198"/>
      <c r="H240" s="198"/>
      <c r="I240" s="198"/>
      <c r="J240" s="198"/>
      <c r="K240" s="198"/>
      <c r="L240" s="198"/>
      <c r="M240" s="198"/>
      <c r="N240" s="198"/>
      <c r="O240" s="198"/>
      <c r="P240" s="198"/>
      <c r="Q240" s="198"/>
      <c r="R240" s="198"/>
      <c r="S240" s="198"/>
      <c r="T240" s="359"/>
      <c r="U240" s="198"/>
      <c r="V240" s="360"/>
      <c r="W240" s="361"/>
      <c r="X240" s="5"/>
    </row>
    <row r="241" spans="1:25" ht="15.6" x14ac:dyDescent="0.3">
      <c r="A241" s="262"/>
      <c r="B241" s="399" t="s">
        <v>308</v>
      </c>
      <c r="C241" s="400"/>
      <c r="D241" s="400"/>
      <c r="E241" s="400"/>
      <c r="F241" s="406"/>
      <c r="G241" s="400"/>
      <c r="H241" s="400"/>
      <c r="I241" s="400"/>
      <c r="J241" s="400"/>
      <c r="K241" s="400"/>
      <c r="L241" s="400"/>
      <c r="M241" s="400"/>
      <c r="N241" s="400"/>
      <c r="O241" s="400"/>
      <c r="P241" s="400"/>
      <c r="Q241" s="400"/>
      <c r="R241" s="406" t="s">
        <v>102</v>
      </c>
      <c r="S241" s="400" t="s">
        <v>103</v>
      </c>
      <c r="T241" s="406" t="s">
        <v>109</v>
      </c>
      <c r="U241" s="400" t="s">
        <v>103</v>
      </c>
      <c r="V241" s="263"/>
      <c r="W241" s="399"/>
      <c r="X241" s="5"/>
    </row>
    <row r="242" spans="1:25" ht="15.6" x14ac:dyDescent="0.3">
      <c r="A242" s="197"/>
      <c r="B242" s="234" t="s">
        <v>88</v>
      </c>
      <c r="C242" s="253"/>
      <c r="D242" s="253"/>
      <c r="E242" s="253"/>
      <c r="F242" s="231"/>
      <c r="G242" s="253"/>
      <c r="H242" s="253"/>
      <c r="I242" s="253"/>
      <c r="J242" s="253"/>
      <c r="K242" s="253"/>
      <c r="L242" s="253"/>
      <c r="M242" s="253"/>
      <c r="N242" s="253"/>
      <c r="O242" s="253"/>
      <c r="P242" s="253"/>
      <c r="Q242" s="253"/>
      <c r="R242" s="234">
        <f t="shared" ref="R242:R249" si="1">+R254+R266+R278</f>
        <v>6367</v>
      </c>
      <c r="S242" s="254">
        <f t="shared" ref="S242:S249" si="2">R242/$R$251</f>
        <v>0.99671258609893554</v>
      </c>
      <c r="T242" s="241">
        <f t="shared" ref="T242:T249" si="3">+T254+T266+T278</f>
        <v>875108</v>
      </c>
      <c r="U242" s="254">
        <f t="shared" ref="U242:U249" si="4">T242/$T$251</f>
        <v>0.99728430263102419</v>
      </c>
      <c r="V242" s="250"/>
      <c r="W242" s="232"/>
      <c r="X242" s="5"/>
    </row>
    <row r="243" spans="1:25" ht="15.6" x14ac:dyDescent="0.3">
      <c r="A243" s="287"/>
      <c r="B243" s="337" t="s">
        <v>89</v>
      </c>
      <c r="C243" s="389"/>
      <c r="D243" s="389"/>
      <c r="E243" s="389"/>
      <c r="F243" s="288"/>
      <c r="G243" s="390"/>
      <c r="H243" s="389"/>
      <c r="I243" s="389"/>
      <c r="J243" s="389"/>
      <c r="K243" s="389"/>
      <c r="L243" s="389"/>
      <c r="M243" s="389"/>
      <c r="N243" s="389"/>
      <c r="O243" s="389"/>
      <c r="P243" s="389"/>
      <c r="Q243" s="389"/>
      <c r="R243" s="337">
        <f t="shared" si="1"/>
        <v>7</v>
      </c>
      <c r="S243" s="390">
        <f t="shared" si="2"/>
        <v>1.0958046336881652E-3</v>
      </c>
      <c r="T243" s="338">
        <f t="shared" si="3"/>
        <v>830</v>
      </c>
      <c r="U243" s="390">
        <f t="shared" si="4"/>
        <v>9.4587864718840425E-4</v>
      </c>
      <c r="V243" s="365"/>
      <c r="W243" s="378"/>
      <c r="X243" s="5"/>
      <c r="Y243" s="109"/>
    </row>
    <row r="244" spans="1:25" ht="15.6" x14ac:dyDescent="0.3">
      <c r="A244" s="287"/>
      <c r="B244" s="337" t="s">
        <v>90</v>
      </c>
      <c r="C244" s="389"/>
      <c r="D244" s="389"/>
      <c r="E244" s="389"/>
      <c r="F244" s="288"/>
      <c r="G244" s="390"/>
      <c r="H244" s="389"/>
      <c r="I244" s="389"/>
      <c r="J244" s="389"/>
      <c r="K244" s="389"/>
      <c r="L244" s="389"/>
      <c r="M244" s="389"/>
      <c r="N244" s="389"/>
      <c r="O244" s="389"/>
      <c r="P244" s="389"/>
      <c r="Q244" s="389"/>
      <c r="R244" s="337">
        <f t="shared" si="1"/>
        <v>7</v>
      </c>
      <c r="S244" s="390">
        <f t="shared" si="2"/>
        <v>1.0958046336881652E-3</v>
      </c>
      <c r="T244" s="338">
        <f t="shared" si="3"/>
        <v>722</v>
      </c>
      <c r="U244" s="390">
        <f t="shared" si="4"/>
        <v>8.2280046177111792E-4</v>
      </c>
      <c r="V244" s="365"/>
      <c r="W244" s="378"/>
      <c r="X244" s="5"/>
    </row>
    <row r="245" spans="1:25" ht="15.6" x14ac:dyDescent="0.3">
      <c r="A245" s="287"/>
      <c r="B245" s="337" t="s">
        <v>156</v>
      </c>
      <c r="C245" s="389"/>
      <c r="D245" s="389"/>
      <c r="E245" s="389"/>
      <c r="F245" s="288"/>
      <c r="G245" s="390"/>
      <c r="H245" s="389"/>
      <c r="I245" s="389"/>
      <c r="J245" s="389"/>
      <c r="K245" s="389"/>
      <c r="L245" s="389"/>
      <c r="M245" s="389"/>
      <c r="N245" s="389"/>
      <c r="O245" s="389"/>
      <c r="P245" s="389"/>
      <c r="Q245" s="389"/>
      <c r="R245" s="337">
        <f t="shared" si="1"/>
        <v>0</v>
      </c>
      <c r="S245" s="390">
        <f t="shared" si="2"/>
        <v>0</v>
      </c>
      <c r="T245" s="338">
        <f t="shared" si="3"/>
        <v>0</v>
      </c>
      <c r="U245" s="390">
        <f t="shared" si="4"/>
        <v>0</v>
      </c>
      <c r="V245" s="365"/>
      <c r="W245" s="378"/>
      <c r="X245" s="5"/>
      <c r="Y245" s="109"/>
    </row>
    <row r="246" spans="1:25" ht="15.6" x14ac:dyDescent="0.3">
      <c r="A246" s="287"/>
      <c r="B246" s="337" t="s">
        <v>157</v>
      </c>
      <c r="C246" s="389"/>
      <c r="D246" s="389"/>
      <c r="E246" s="389"/>
      <c r="F246" s="288"/>
      <c r="G246" s="390"/>
      <c r="H246" s="389"/>
      <c r="I246" s="389"/>
      <c r="J246" s="389"/>
      <c r="K246" s="389"/>
      <c r="L246" s="389"/>
      <c r="M246" s="389"/>
      <c r="N246" s="389"/>
      <c r="O246" s="389"/>
      <c r="P246" s="389"/>
      <c r="Q246" s="389"/>
      <c r="R246" s="337">
        <f t="shared" si="1"/>
        <v>1</v>
      </c>
      <c r="S246" s="390">
        <f t="shared" si="2"/>
        <v>1.5654351909830932E-4</v>
      </c>
      <c r="T246" s="338">
        <f t="shared" si="3"/>
        <v>112</v>
      </c>
      <c r="U246" s="390">
        <f t="shared" si="4"/>
        <v>1.2763663672903767E-4</v>
      </c>
      <c r="V246" s="365"/>
      <c r="W246" s="378"/>
      <c r="X246" s="5"/>
    </row>
    <row r="247" spans="1:25" ht="15.6" x14ac:dyDescent="0.3">
      <c r="A247" s="287"/>
      <c r="B247" s="337" t="s">
        <v>158</v>
      </c>
      <c r="C247" s="389"/>
      <c r="D247" s="389"/>
      <c r="E247" s="389"/>
      <c r="F247" s="288"/>
      <c r="G247" s="390"/>
      <c r="H247" s="389"/>
      <c r="I247" s="389"/>
      <c r="J247" s="389"/>
      <c r="K247" s="389"/>
      <c r="L247" s="389"/>
      <c r="M247" s="389"/>
      <c r="N247" s="389"/>
      <c r="O247" s="389"/>
      <c r="P247" s="389"/>
      <c r="Q247" s="389"/>
      <c r="R247" s="337">
        <f t="shared" si="1"/>
        <v>0</v>
      </c>
      <c r="S247" s="390">
        <f t="shared" si="2"/>
        <v>0</v>
      </c>
      <c r="T247" s="338">
        <f t="shared" si="3"/>
        <v>0</v>
      </c>
      <c r="U247" s="390">
        <f t="shared" si="4"/>
        <v>0</v>
      </c>
      <c r="V247" s="365"/>
      <c r="W247" s="378"/>
      <c r="X247" s="5"/>
      <c r="Y247" s="109"/>
    </row>
    <row r="248" spans="1:25" ht="15.6" x14ac:dyDescent="0.3">
      <c r="A248" s="287"/>
      <c r="B248" s="337" t="s">
        <v>159</v>
      </c>
      <c r="C248" s="389"/>
      <c r="D248" s="389"/>
      <c r="E248" s="389"/>
      <c r="F248" s="288"/>
      <c r="G248" s="390"/>
      <c r="H248" s="389"/>
      <c r="I248" s="389"/>
      <c r="J248" s="389"/>
      <c r="K248" s="389"/>
      <c r="L248" s="389"/>
      <c r="M248" s="389"/>
      <c r="N248" s="389"/>
      <c r="O248" s="389"/>
      <c r="P248" s="389"/>
      <c r="Q248" s="389"/>
      <c r="R248" s="337">
        <f t="shared" si="1"/>
        <v>3</v>
      </c>
      <c r="S248" s="390">
        <f t="shared" si="2"/>
        <v>4.6963055729492799E-4</v>
      </c>
      <c r="T248" s="338">
        <f t="shared" si="3"/>
        <v>296</v>
      </c>
      <c r="U248" s="390">
        <f t="shared" si="4"/>
        <v>3.3732539706959956E-4</v>
      </c>
      <c r="V248" s="365"/>
      <c r="W248" s="378"/>
      <c r="X248" s="5"/>
    </row>
    <row r="249" spans="1:25" ht="15.6" x14ac:dyDescent="0.3">
      <c r="A249" s="287"/>
      <c r="B249" s="337" t="s">
        <v>160</v>
      </c>
      <c r="C249" s="389"/>
      <c r="D249" s="389"/>
      <c r="E249" s="389"/>
      <c r="F249" s="288"/>
      <c r="G249" s="390"/>
      <c r="H249" s="389"/>
      <c r="I249" s="389"/>
      <c r="J249" s="389"/>
      <c r="K249" s="389"/>
      <c r="L249" s="389"/>
      <c r="M249" s="389"/>
      <c r="N249" s="389"/>
      <c r="O249" s="389"/>
      <c r="P249" s="389"/>
      <c r="Q249" s="389"/>
      <c r="R249" s="339">
        <f t="shared" si="1"/>
        <v>3</v>
      </c>
      <c r="S249" s="393">
        <f t="shared" si="2"/>
        <v>4.6963055729492799E-4</v>
      </c>
      <c r="T249" s="394">
        <f t="shared" si="3"/>
        <v>423</v>
      </c>
      <c r="U249" s="393">
        <f t="shared" si="4"/>
        <v>4.820562262177048E-4</v>
      </c>
      <c r="V249" s="365"/>
      <c r="W249" s="378"/>
      <c r="X249" s="5"/>
      <c r="Y249" s="109"/>
    </row>
    <row r="250" spans="1:25" ht="15.6" x14ac:dyDescent="0.3">
      <c r="A250" s="287"/>
      <c r="B250" s="337"/>
      <c r="C250" s="389"/>
      <c r="D250" s="389"/>
      <c r="E250" s="389"/>
      <c r="F250" s="288"/>
      <c r="G250" s="390"/>
      <c r="H250" s="389"/>
      <c r="I250" s="389"/>
      <c r="J250" s="389"/>
      <c r="K250" s="389"/>
      <c r="L250" s="389"/>
      <c r="M250" s="389"/>
      <c r="N250" s="389"/>
      <c r="O250" s="389"/>
      <c r="P250" s="389"/>
      <c r="Q250" s="389"/>
      <c r="R250" s="337"/>
      <c r="S250" s="390"/>
      <c r="T250" s="338"/>
      <c r="U250" s="390"/>
      <c r="V250" s="365"/>
      <c r="W250" s="378"/>
      <c r="X250" s="5"/>
    </row>
    <row r="251" spans="1:25" ht="15.6" x14ac:dyDescent="0.3">
      <c r="A251" s="287"/>
      <c r="B251" s="288"/>
      <c r="C251" s="288"/>
      <c r="D251" s="288"/>
      <c r="E251" s="288"/>
      <c r="F251" s="288"/>
      <c r="G251" s="288"/>
      <c r="H251" s="391"/>
      <c r="I251" s="391"/>
      <c r="J251" s="391"/>
      <c r="K251" s="391"/>
      <c r="L251" s="391"/>
      <c r="M251" s="391"/>
      <c r="N251" s="391"/>
      <c r="O251" s="391"/>
      <c r="P251" s="391"/>
      <c r="Q251" s="391"/>
      <c r="R251" s="337">
        <f>SUM(R242:R250)</f>
        <v>6388</v>
      </c>
      <c r="S251" s="390">
        <f>SUM(S242:S250)</f>
        <v>1</v>
      </c>
      <c r="T251" s="338">
        <f>SUM(T242:T250)</f>
        <v>877491</v>
      </c>
      <c r="U251" s="390">
        <f>SUM(U242:U250)</f>
        <v>1</v>
      </c>
      <c r="V251" s="288"/>
      <c r="W251" s="291"/>
      <c r="X251" s="5"/>
    </row>
    <row r="252" spans="1:25" ht="15.6" x14ac:dyDescent="0.3">
      <c r="A252" s="183"/>
      <c r="B252" s="198"/>
      <c r="C252" s="198"/>
      <c r="D252" s="198"/>
      <c r="E252" s="198"/>
      <c r="F252" s="198"/>
      <c r="G252" s="198"/>
      <c r="H252" s="386"/>
      <c r="I252" s="386"/>
      <c r="J252" s="386"/>
      <c r="K252" s="386"/>
      <c r="L252" s="386"/>
      <c r="M252" s="386"/>
      <c r="N252" s="386"/>
      <c r="O252" s="386"/>
      <c r="P252" s="386"/>
      <c r="Q252" s="386"/>
      <c r="R252" s="335"/>
      <c r="S252" s="387"/>
      <c r="T252" s="388"/>
      <c r="U252" s="387"/>
      <c r="V252" s="198"/>
      <c r="W252" s="198"/>
      <c r="X252" s="5"/>
    </row>
    <row r="253" spans="1:25" ht="15.6" x14ac:dyDescent="0.3">
      <c r="A253" s="262"/>
      <c r="B253" s="399" t="s">
        <v>162</v>
      </c>
      <c r="C253" s="400"/>
      <c r="D253" s="400"/>
      <c r="E253" s="400"/>
      <c r="F253" s="406"/>
      <c r="G253" s="400"/>
      <c r="H253" s="400"/>
      <c r="I253" s="400"/>
      <c r="J253" s="400"/>
      <c r="K253" s="400"/>
      <c r="L253" s="400"/>
      <c r="M253" s="400"/>
      <c r="N253" s="400"/>
      <c r="O253" s="400"/>
      <c r="P253" s="400"/>
      <c r="Q253" s="400"/>
      <c r="R253" s="406" t="s">
        <v>102</v>
      </c>
      <c r="S253" s="400" t="s">
        <v>103</v>
      </c>
      <c r="T253" s="406" t="s">
        <v>109</v>
      </c>
      <c r="U253" s="400" t="s">
        <v>103</v>
      </c>
      <c r="V253" s="263"/>
      <c r="W253" s="399"/>
      <c r="X253" s="5"/>
    </row>
    <row r="254" spans="1:25" ht="15.6" x14ac:dyDescent="0.3">
      <c r="A254" s="197"/>
      <c r="B254" s="234" t="s">
        <v>88</v>
      </c>
      <c r="C254" s="253"/>
      <c r="D254" s="253"/>
      <c r="E254" s="253"/>
      <c r="F254" s="231"/>
      <c r="G254" s="253"/>
      <c r="H254" s="253"/>
      <c r="I254" s="253"/>
      <c r="J254" s="253"/>
      <c r="K254" s="253"/>
      <c r="L254" s="253"/>
      <c r="M254" s="253"/>
      <c r="N254" s="253"/>
      <c r="O254" s="253"/>
      <c r="P254" s="253"/>
      <c r="Q254" s="253"/>
      <c r="R254" s="234">
        <v>6257</v>
      </c>
      <c r="S254" s="254">
        <f t="shared" ref="S254:S261" si="5">R254/$R$263</f>
        <v>0.99904199265527704</v>
      </c>
      <c r="T254" s="241">
        <v>859263</v>
      </c>
      <c r="U254" s="254">
        <f t="shared" ref="U254:U261" si="6">T254/$T$263</f>
        <v>0.99914069967279151</v>
      </c>
      <c r="V254" s="250"/>
      <c r="W254" s="232"/>
      <c r="X254" s="5"/>
    </row>
    <row r="255" spans="1:25" ht="15.6" x14ac:dyDescent="0.3">
      <c r="A255" s="287"/>
      <c r="B255" s="337" t="s">
        <v>89</v>
      </c>
      <c r="C255" s="389"/>
      <c r="D255" s="389"/>
      <c r="E255" s="389"/>
      <c r="F255" s="288"/>
      <c r="G255" s="390"/>
      <c r="H255" s="389"/>
      <c r="I255" s="389"/>
      <c r="J255" s="389"/>
      <c r="K255" s="389"/>
      <c r="L255" s="389"/>
      <c r="M255" s="389"/>
      <c r="N255" s="389"/>
      <c r="O255" s="389"/>
      <c r="P255" s="389"/>
      <c r="Q255" s="389"/>
      <c r="R255" s="337">
        <v>6</v>
      </c>
      <c r="S255" s="390">
        <f t="shared" si="5"/>
        <v>9.5800734472297616E-4</v>
      </c>
      <c r="T255" s="338">
        <v>739</v>
      </c>
      <c r="U255" s="390">
        <f t="shared" si="6"/>
        <v>8.5930032720854142E-4</v>
      </c>
      <c r="V255" s="365"/>
      <c r="W255" s="378"/>
      <c r="X255" s="5"/>
      <c r="Y255" s="109"/>
    </row>
    <row r="256" spans="1:25" ht="15.6" x14ac:dyDescent="0.3">
      <c r="A256" s="287"/>
      <c r="B256" s="337" t="s">
        <v>90</v>
      </c>
      <c r="C256" s="389"/>
      <c r="D256" s="389"/>
      <c r="E256" s="389"/>
      <c r="F256" s="288"/>
      <c r="G256" s="390"/>
      <c r="H256" s="389"/>
      <c r="I256" s="389"/>
      <c r="J256" s="389"/>
      <c r="K256" s="389"/>
      <c r="L256" s="389"/>
      <c r="M256" s="389"/>
      <c r="N256" s="389"/>
      <c r="O256" s="389"/>
      <c r="P256" s="389"/>
      <c r="Q256" s="389"/>
      <c r="R256" s="337">
        <v>0</v>
      </c>
      <c r="S256" s="390">
        <f t="shared" si="5"/>
        <v>0</v>
      </c>
      <c r="T256" s="338">
        <v>0</v>
      </c>
      <c r="U256" s="390">
        <f t="shared" si="6"/>
        <v>0</v>
      </c>
      <c r="V256" s="365"/>
      <c r="W256" s="378"/>
      <c r="X256" s="5"/>
    </row>
    <row r="257" spans="1:25" ht="15.6" x14ac:dyDescent="0.3">
      <c r="A257" s="287"/>
      <c r="B257" s="337" t="s">
        <v>156</v>
      </c>
      <c r="C257" s="389"/>
      <c r="D257" s="389"/>
      <c r="E257" s="389"/>
      <c r="F257" s="288"/>
      <c r="G257" s="390"/>
      <c r="H257" s="389"/>
      <c r="I257" s="389"/>
      <c r="J257" s="389"/>
      <c r="K257" s="389"/>
      <c r="L257" s="389"/>
      <c r="M257" s="389"/>
      <c r="N257" s="389"/>
      <c r="O257" s="389"/>
      <c r="P257" s="389"/>
      <c r="Q257" s="389"/>
      <c r="R257" s="337">
        <v>0</v>
      </c>
      <c r="S257" s="390">
        <f t="shared" si="5"/>
        <v>0</v>
      </c>
      <c r="T257" s="338">
        <v>0</v>
      </c>
      <c r="U257" s="390">
        <f t="shared" si="6"/>
        <v>0</v>
      </c>
      <c r="V257" s="365"/>
      <c r="W257" s="378"/>
      <c r="X257" s="5"/>
      <c r="Y257" s="109"/>
    </row>
    <row r="258" spans="1:25" ht="15.6" x14ac:dyDescent="0.3">
      <c r="A258" s="287"/>
      <c r="B258" s="337" t="s">
        <v>157</v>
      </c>
      <c r="C258" s="389"/>
      <c r="D258" s="389"/>
      <c r="E258" s="389"/>
      <c r="F258" s="288"/>
      <c r="G258" s="390"/>
      <c r="H258" s="389"/>
      <c r="I258" s="389"/>
      <c r="J258" s="389"/>
      <c r="K258" s="389"/>
      <c r="L258" s="389"/>
      <c r="M258" s="389"/>
      <c r="N258" s="389"/>
      <c r="O258" s="389"/>
      <c r="P258" s="389"/>
      <c r="Q258" s="389"/>
      <c r="R258" s="337">
        <v>0</v>
      </c>
      <c r="S258" s="390">
        <f t="shared" si="5"/>
        <v>0</v>
      </c>
      <c r="T258" s="338">
        <v>0</v>
      </c>
      <c r="U258" s="390">
        <f t="shared" si="6"/>
        <v>0</v>
      </c>
      <c r="V258" s="365"/>
      <c r="W258" s="378"/>
      <c r="X258" s="5"/>
    </row>
    <row r="259" spans="1:25" ht="15.6" x14ac:dyDescent="0.3">
      <c r="A259" s="287"/>
      <c r="B259" s="337" t="s">
        <v>158</v>
      </c>
      <c r="C259" s="389"/>
      <c r="D259" s="389"/>
      <c r="E259" s="389"/>
      <c r="F259" s="288"/>
      <c r="G259" s="390"/>
      <c r="H259" s="389"/>
      <c r="I259" s="389"/>
      <c r="J259" s="389"/>
      <c r="K259" s="389"/>
      <c r="L259" s="389"/>
      <c r="M259" s="389"/>
      <c r="N259" s="389"/>
      <c r="O259" s="389"/>
      <c r="P259" s="389"/>
      <c r="Q259" s="389"/>
      <c r="R259" s="337">
        <v>0</v>
      </c>
      <c r="S259" s="390">
        <f t="shared" si="5"/>
        <v>0</v>
      </c>
      <c r="T259" s="338">
        <v>0</v>
      </c>
      <c r="U259" s="390">
        <f t="shared" si="6"/>
        <v>0</v>
      </c>
      <c r="V259" s="365"/>
      <c r="W259" s="378"/>
      <c r="X259" s="5"/>
      <c r="Y259" s="109"/>
    </row>
    <row r="260" spans="1:25" ht="15.6" x14ac:dyDescent="0.3">
      <c r="A260" s="287"/>
      <c r="B260" s="337" t="s">
        <v>159</v>
      </c>
      <c r="C260" s="389"/>
      <c r="D260" s="389"/>
      <c r="E260" s="389"/>
      <c r="F260" s="288"/>
      <c r="G260" s="390"/>
      <c r="H260" s="389"/>
      <c r="I260" s="389"/>
      <c r="J260" s="389"/>
      <c r="K260" s="389"/>
      <c r="L260" s="389"/>
      <c r="M260" s="389"/>
      <c r="N260" s="389"/>
      <c r="O260" s="389"/>
      <c r="P260" s="389"/>
      <c r="Q260" s="389"/>
      <c r="R260" s="337">
        <v>0</v>
      </c>
      <c r="S260" s="390">
        <f t="shared" si="5"/>
        <v>0</v>
      </c>
      <c r="T260" s="338">
        <v>0</v>
      </c>
      <c r="U260" s="390">
        <f t="shared" si="6"/>
        <v>0</v>
      </c>
      <c r="V260" s="365"/>
      <c r="W260" s="378"/>
      <c r="X260" s="5"/>
    </row>
    <row r="261" spans="1:25" ht="15.6" x14ac:dyDescent="0.3">
      <c r="A261" s="287"/>
      <c r="B261" s="337" t="s">
        <v>160</v>
      </c>
      <c r="C261" s="389"/>
      <c r="D261" s="389"/>
      <c r="E261" s="389"/>
      <c r="F261" s="288"/>
      <c r="G261" s="390"/>
      <c r="H261" s="389"/>
      <c r="I261" s="389"/>
      <c r="J261" s="389"/>
      <c r="K261" s="389"/>
      <c r="L261" s="389"/>
      <c r="M261" s="389"/>
      <c r="N261" s="389"/>
      <c r="O261" s="389"/>
      <c r="P261" s="389"/>
      <c r="Q261" s="389"/>
      <c r="R261" s="337">
        <v>0</v>
      </c>
      <c r="S261" s="390">
        <f t="shared" si="5"/>
        <v>0</v>
      </c>
      <c r="T261" s="338">
        <v>0</v>
      </c>
      <c r="U261" s="390">
        <f t="shared" si="6"/>
        <v>0</v>
      </c>
      <c r="V261" s="365"/>
      <c r="W261" s="378"/>
      <c r="X261" s="5"/>
      <c r="Y261" s="109"/>
    </row>
    <row r="262" spans="1:25" ht="15.6" x14ac:dyDescent="0.3">
      <c r="A262" s="287"/>
      <c r="B262" s="337"/>
      <c r="C262" s="389"/>
      <c r="D262" s="389"/>
      <c r="E262" s="389"/>
      <c r="F262" s="288"/>
      <c r="G262" s="390"/>
      <c r="H262" s="389"/>
      <c r="I262" s="389"/>
      <c r="J262" s="389"/>
      <c r="K262" s="389"/>
      <c r="L262" s="389"/>
      <c r="M262" s="389"/>
      <c r="N262" s="389"/>
      <c r="O262" s="389"/>
      <c r="P262" s="389"/>
      <c r="Q262" s="389"/>
      <c r="R262" s="337"/>
      <c r="S262" s="390"/>
      <c r="T262" s="338"/>
      <c r="U262" s="390"/>
      <c r="V262" s="365"/>
      <c r="W262" s="378"/>
      <c r="X262" s="5"/>
    </row>
    <row r="263" spans="1:25" ht="15.6" x14ac:dyDescent="0.3">
      <c r="A263" s="287"/>
      <c r="B263" s="288"/>
      <c r="C263" s="288"/>
      <c r="D263" s="288"/>
      <c r="E263" s="288"/>
      <c r="F263" s="288"/>
      <c r="G263" s="288"/>
      <c r="H263" s="391"/>
      <c r="I263" s="391"/>
      <c r="J263" s="391"/>
      <c r="K263" s="391"/>
      <c r="L263" s="391"/>
      <c r="M263" s="391"/>
      <c r="N263" s="391"/>
      <c r="O263" s="391"/>
      <c r="P263" s="391"/>
      <c r="Q263" s="391"/>
      <c r="R263" s="337">
        <f>SUM(R254:R262)</f>
        <v>6263</v>
      </c>
      <c r="S263" s="390">
        <f>SUM(S254:S262)</f>
        <v>1</v>
      </c>
      <c r="T263" s="338">
        <f>SUM(T254:T262)</f>
        <v>860002</v>
      </c>
      <c r="U263" s="390">
        <f>SUM(U254:U262)</f>
        <v>1</v>
      </c>
      <c r="V263" s="288"/>
      <c r="W263" s="291"/>
      <c r="X263" s="5"/>
    </row>
    <row r="264" spans="1:25" ht="15.6" x14ac:dyDescent="0.3">
      <c r="A264" s="183"/>
      <c r="B264" s="198"/>
      <c r="C264" s="198"/>
      <c r="D264" s="198"/>
      <c r="E264" s="198"/>
      <c r="F264" s="198"/>
      <c r="G264" s="198"/>
      <c r="H264" s="386"/>
      <c r="I264" s="386"/>
      <c r="J264" s="386"/>
      <c r="K264" s="386"/>
      <c r="L264" s="386"/>
      <c r="M264" s="386"/>
      <c r="N264" s="386"/>
      <c r="O264" s="386"/>
      <c r="P264" s="386"/>
      <c r="Q264" s="386"/>
      <c r="R264" s="335"/>
      <c r="S264" s="387"/>
      <c r="T264" s="388"/>
      <c r="U264" s="387"/>
      <c r="V264" s="198"/>
      <c r="W264" s="198"/>
      <c r="X264" s="5"/>
    </row>
    <row r="265" spans="1:25" ht="15.6" x14ac:dyDescent="0.3">
      <c r="A265" s="280"/>
      <c r="B265" s="399" t="s">
        <v>275</v>
      </c>
      <c r="C265" s="400"/>
      <c r="D265" s="400"/>
      <c r="E265" s="400"/>
      <c r="F265" s="406"/>
      <c r="G265" s="400"/>
      <c r="H265" s="400"/>
      <c r="I265" s="400"/>
      <c r="J265" s="400"/>
      <c r="K265" s="400"/>
      <c r="L265" s="400"/>
      <c r="M265" s="400"/>
      <c r="N265" s="400"/>
      <c r="O265" s="400"/>
      <c r="P265" s="400"/>
      <c r="Q265" s="400"/>
      <c r="R265" s="406" t="s">
        <v>102</v>
      </c>
      <c r="S265" s="400" t="s">
        <v>103</v>
      </c>
      <c r="T265" s="406" t="s">
        <v>109</v>
      </c>
      <c r="U265" s="400" t="s">
        <v>103</v>
      </c>
      <c r="V265" s="281"/>
      <c r="W265" s="282"/>
      <c r="X265" s="5"/>
    </row>
    <row r="266" spans="1:25" ht="15.6" x14ac:dyDescent="0.3">
      <c r="A266" s="197"/>
      <c r="B266" s="234" t="s">
        <v>88</v>
      </c>
      <c r="C266" s="253"/>
      <c r="D266" s="253"/>
      <c r="E266" s="253"/>
      <c r="F266" s="231"/>
      <c r="G266" s="253"/>
      <c r="H266" s="253"/>
      <c r="I266" s="253"/>
      <c r="J266" s="253"/>
      <c r="K266" s="253"/>
      <c r="L266" s="253"/>
      <c r="M266" s="253"/>
      <c r="N266" s="253"/>
      <c r="O266" s="253"/>
      <c r="P266" s="253"/>
      <c r="Q266" s="253"/>
      <c r="R266" s="234">
        <v>110</v>
      </c>
      <c r="S266" s="254">
        <f t="shared" ref="S266:S273" si="7">R266/$R$275</f>
        <v>0.88</v>
      </c>
      <c r="T266" s="241">
        <v>15845</v>
      </c>
      <c r="U266" s="254">
        <f t="shared" ref="U266:U273" si="8">T266/$T$275</f>
        <v>0.90599805592086458</v>
      </c>
      <c r="V266" s="231"/>
      <c r="W266" s="231"/>
      <c r="X266" s="5"/>
    </row>
    <row r="267" spans="1:25" ht="15.6" x14ac:dyDescent="0.3">
      <c r="A267" s="287"/>
      <c r="B267" s="337" t="s">
        <v>89</v>
      </c>
      <c r="C267" s="389"/>
      <c r="D267" s="389"/>
      <c r="E267" s="389"/>
      <c r="F267" s="288"/>
      <c r="G267" s="390"/>
      <c r="H267" s="389"/>
      <c r="I267" s="389"/>
      <c r="J267" s="389"/>
      <c r="K267" s="389"/>
      <c r="L267" s="389"/>
      <c r="M267" s="389"/>
      <c r="N267" s="389"/>
      <c r="O267" s="389"/>
      <c r="P267" s="389"/>
      <c r="Q267" s="389"/>
      <c r="R267" s="337">
        <v>1</v>
      </c>
      <c r="S267" s="390">
        <f t="shared" si="7"/>
        <v>8.0000000000000002E-3</v>
      </c>
      <c r="T267" s="338">
        <v>91</v>
      </c>
      <c r="U267" s="390">
        <f t="shared" si="8"/>
        <v>5.2032706272514152E-3</v>
      </c>
      <c r="V267" s="288"/>
      <c r="W267" s="291"/>
      <c r="X267" s="5"/>
    </row>
    <row r="268" spans="1:25" ht="15.6" x14ac:dyDescent="0.3">
      <c r="A268" s="287"/>
      <c r="B268" s="337" t="s">
        <v>90</v>
      </c>
      <c r="C268" s="389"/>
      <c r="D268" s="389"/>
      <c r="E268" s="389"/>
      <c r="F268" s="288"/>
      <c r="G268" s="390"/>
      <c r="H268" s="389"/>
      <c r="I268" s="389"/>
      <c r="J268" s="389"/>
      <c r="K268" s="389"/>
      <c r="L268" s="389"/>
      <c r="M268" s="389"/>
      <c r="N268" s="389"/>
      <c r="O268" s="389"/>
      <c r="P268" s="389"/>
      <c r="Q268" s="389"/>
      <c r="R268" s="337">
        <v>7</v>
      </c>
      <c r="S268" s="390">
        <f t="shared" si="7"/>
        <v>5.6000000000000001E-2</v>
      </c>
      <c r="T268" s="338">
        <v>722</v>
      </c>
      <c r="U268" s="390">
        <f t="shared" si="8"/>
        <v>4.1283092229401339E-2</v>
      </c>
      <c r="V268" s="288"/>
      <c r="W268" s="291"/>
      <c r="X268" s="5"/>
    </row>
    <row r="269" spans="1:25" ht="15.6" x14ac:dyDescent="0.3">
      <c r="A269" s="287"/>
      <c r="B269" s="337" t="s">
        <v>156</v>
      </c>
      <c r="C269" s="389"/>
      <c r="D269" s="389"/>
      <c r="E269" s="389"/>
      <c r="F269" s="288"/>
      <c r="G269" s="390"/>
      <c r="H269" s="389"/>
      <c r="I269" s="389"/>
      <c r="J269" s="389"/>
      <c r="K269" s="389"/>
      <c r="L269" s="389"/>
      <c r="M269" s="389"/>
      <c r="N269" s="389"/>
      <c r="O269" s="389"/>
      <c r="P269" s="389"/>
      <c r="Q269" s="389"/>
      <c r="R269" s="337">
        <v>0</v>
      </c>
      <c r="S269" s="390">
        <f t="shared" si="7"/>
        <v>0</v>
      </c>
      <c r="T269" s="338">
        <v>0</v>
      </c>
      <c r="U269" s="390">
        <f t="shared" si="8"/>
        <v>0</v>
      </c>
      <c r="V269" s="288"/>
      <c r="W269" s="291"/>
      <c r="X269" s="5"/>
    </row>
    <row r="270" spans="1:25" ht="15.6" x14ac:dyDescent="0.3">
      <c r="A270" s="287"/>
      <c r="B270" s="337" t="s">
        <v>157</v>
      </c>
      <c r="C270" s="389"/>
      <c r="D270" s="389"/>
      <c r="E270" s="389"/>
      <c r="F270" s="288"/>
      <c r="G270" s="390"/>
      <c r="H270" s="389"/>
      <c r="I270" s="389"/>
      <c r="J270" s="389"/>
      <c r="K270" s="389"/>
      <c r="L270" s="389"/>
      <c r="M270" s="389"/>
      <c r="N270" s="389"/>
      <c r="O270" s="389"/>
      <c r="P270" s="389"/>
      <c r="Q270" s="389"/>
      <c r="R270" s="337">
        <v>1</v>
      </c>
      <c r="S270" s="390">
        <f t="shared" si="7"/>
        <v>8.0000000000000002E-3</v>
      </c>
      <c r="T270" s="338">
        <v>112</v>
      </c>
      <c r="U270" s="390">
        <f t="shared" si="8"/>
        <v>6.4040253873863572E-3</v>
      </c>
      <c r="V270" s="288"/>
      <c r="W270" s="291"/>
      <c r="X270" s="5"/>
    </row>
    <row r="271" spans="1:25" ht="15.6" x14ac:dyDescent="0.3">
      <c r="A271" s="287"/>
      <c r="B271" s="337" t="s">
        <v>158</v>
      </c>
      <c r="C271" s="389"/>
      <c r="D271" s="389"/>
      <c r="E271" s="389"/>
      <c r="F271" s="288"/>
      <c r="G271" s="390"/>
      <c r="H271" s="389"/>
      <c r="I271" s="389"/>
      <c r="J271" s="389"/>
      <c r="K271" s="389"/>
      <c r="L271" s="389"/>
      <c r="M271" s="389"/>
      <c r="N271" s="389"/>
      <c r="O271" s="389"/>
      <c r="P271" s="389"/>
      <c r="Q271" s="389"/>
      <c r="R271" s="337">
        <v>0</v>
      </c>
      <c r="S271" s="390">
        <f t="shared" si="7"/>
        <v>0</v>
      </c>
      <c r="T271" s="338">
        <v>0</v>
      </c>
      <c r="U271" s="390">
        <f t="shared" si="8"/>
        <v>0</v>
      </c>
      <c r="V271" s="288"/>
      <c r="W271" s="291"/>
      <c r="X271" s="5"/>
    </row>
    <row r="272" spans="1:25" ht="15.6" x14ac:dyDescent="0.3">
      <c r="A272" s="287"/>
      <c r="B272" s="337" t="s">
        <v>159</v>
      </c>
      <c r="C272" s="389"/>
      <c r="D272" s="389"/>
      <c r="E272" s="389"/>
      <c r="F272" s="288"/>
      <c r="G272" s="390"/>
      <c r="H272" s="389"/>
      <c r="I272" s="389"/>
      <c r="J272" s="389"/>
      <c r="K272" s="389"/>
      <c r="L272" s="389"/>
      <c r="M272" s="389"/>
      <c r="N272" s="389"/>
      <c r="O272" s="389"/>
      <c r="P272" s="389"/>
      <c r="Q272" s="389"/>
      <c r="R272" s="337">
        <v>3</v>
      </c>
      <c r="S272" s="390">
        <f t="shared" si="7"/>
        <v>2.4E-2</v>
      </c>
      <c r="T272" s="338">
        <v>296</v>
      </c>
      <c r="U272" s="390">
        <f t="shared" si="8"/>
        <v>1.6924924238092515E-2</v>
      </c>
      <c r="V272" s="288"/>
      <c r="W272" s="291"/>
      <c r="X272" s="5"/>
    </row>
    <row r="273" spans="1:24" ht="15.6" x14ac:dyDescent="0.3">
      <c r="A273" s="287"/>
      <c r="B273" s="337" t="s">
        <v>160</v>
      </c>
      <c r="C273" s="389"/>
      <c r="D273" s="389"/>
      <c r="E273" s="389"/>
      <c r="F273" s="288"/>
      <c r="G273" s="390"/>
      <c r="H273" s="389"/>
      <c r="I273" s="389"/>
      <c r="J273" s="389"/>
      <c r="K273" s="389"/>
      <c r="L273" s="389"/>
      <c r="M273" s="389"/>
      <c r="N273" s="389"/>
      <c r="O273" s="389"/>
      <c r="P273" s="389"/>
      <c r="Q273" s="389"/>
      <c r="R273" s="337">
        <v>3</v>
      </c>
      <c r="S273" s="390">
        <f t="shared" si="7"/>
        <v>2.4E-2</v>
      </c>
      <c r="T273" s="338">
        <v>423</v>
      </c>
      <c r="U273" s="390">
        <f t="shared" si="8"/>
        <v>2.4186631597003832E-2</v>
      </c>
      <c r="V273" s="288"/>
      <c r="W273" s="291"/>
      <c r="X273" s="5"/>
    </row>
    <row r="274" spans="1:24" ht="15.6" x14ac:dyDescent="0.3">
      <c r="A274" s="287"/>
      <c r="B274" s="337"/>
      <c r="C274" s="389"/>
      <c r="D274" s="389"/>
      <c r="E274" s="389"/>
      <c r="F274" s="288"/>
      <c r="G274" s="390"/>
      <c r="H274" s="389"/>
      <c r="I274" s="389"/>
      <c r="J274" s="389"/>
      <c r="K274" s="389"/>
      <c r="L274" s="389"/>
      <c r="M274" s="389"/>
      <c r="N274" s="389"/>
      <c r="O274" s="389"/>
      <c r="P274" s="389"/>
      <c r="Q274" s="389"/>
      <c r="R274" s="337"/>
      <c r="S274" s="390"/>
      <c r="T274" s="338"/>
      <c r="U274" s="390"/>
      <c r="V274" s="288"/>
      <c r="W274" s="291"/>
      <c r="X274" s="5"/>
    </row>
    <row r="275" spans="1:24" ht="15.6" x14ac:dyDescent="0.3">
      <c r="A275" s="287"/>
      <c r="B275" s="288"/>
      <c r="C275" s="288"/>
      <c r="D275" s="288"/>
      <c r="E275" s="288"/>
      <c r="F275" s="288"/>
      <c r="G275" s="288"/>
      <c r="H275" s="391"/>
      <c r="I275" s="391"/>
      <c r="J275" s="391"/>
      <c r="K275" s="391"/>
      <c r="L275" s="391"/>
      <c r="M275" s="391"/>
      <c r="N275" s="391"/>
      <c r="O275" s="391"/>
      <c r="P275" s="391"/>
      <c r="Q275" s="391"/>
      <c r="R275" s="337">
        <f>SUM(R266:R274)</f>
        <v>125</v>
      </c>
      <c r="S275" s="390">
        <f>SUM(S266:S274)</f>
        <v>1</v>
      </c>
      <c r="T275" s="338">
        <f>SUM(T266:T274)</f>
        <v>17489</v>
      </c>
      <c r="U275" s="390">
        <f>SUM(U266:U274)</f>
        <v>1</v>
      </c>
      <c r="V275" s="288"/>
      <c r="W275" s="291"/>
      <c r="X275" s="5"/>
    </row>
    <row r="276" spans="1:24" ht="15.6" x14ac:dyDescent="0.3">
      <c r="A276" s="183"/>
      <c r="B276" s="284"/>
      <c r="C276" s="284"/>
      <c r="D276" s="284"/>
      <c r="E276" s="284"/>
      <c r="F276" s="284"/>
      <c r="G276" s="284"/>
      <c r="H276" s="392"/>
      <c r="I276" s="392"/>
      <c r="J276" s="392"/>
      <c r="K276" s="392"/>
      <c r="L276" s="392"/>
      <c r="M276" s="392"/>
      <c r="N276" s="392"/>
      <c r="O276" s="392"/>
      <c r="P276" s="392"/>
      <c r="Q276" s="392"/>
      <c r="R276" s="339"/>
      <c r="S276" s="393"/>
      <c r="T276" s="394"/>
      <c r="U276" s="393"/>
      <c r="V276" s="284"/>
      <c r="W276" s="284"/>
      <c r="X276" s="5"/>
    </row>
    <row r="277" spans="1:24" ht="15.6" x14ac:dyDescent="0.3">
      <c r="A277" s="280"/>
      <c r="B277" s="399" t="s">
        <v>163</v>
      </c>
      <c r="C277" s="281"/>
      <c r="D277" s="281"/>
      <c r="E277" s="281"/>
      <c r="F277" s="281"/>
      <c r="G277" s="281"/>
      <c r="H277" s="283"/>
      <c r="I277" s="283"/>
      <c r="J277" s="283"/>
      <c r="K277" s="283"/>
      <c r="L277" s="283"/>
      <c r="M277" s="283"/>
      <c r="N277" s="283"/>
      <c r="O277" s="283"/>
      <c r="P277" s="283"/>
      <c r="Q277" s="283"/>
      <c r="R277" s="406" t="s">
        <v>102</v>
      </c>
      <c r="S277" s="400" t="s">
        <v>103</v>
      </c>
      <c r="T277" s="406" t="s">
        <v>109</v>
      </c>
      <c r="U277" s="400" t="s">
        <v>103</v>
      </c>
      <c r="V277" s="281"/>
      <c r="W277" s="282"/>
      <c r="X277" s="5"/>
    </row>
    <row r="278" spans="1:24" ht="15.6" x14ac:dyDescent="0.3">
      <c r="A278" s="197"/>
      <c r="B278" s="234" t="s">
        <v>88</v>
      </c>
      <c r="C278" s="231"/>
      <c r="D278" s="231"/>
      <c r="E278" s="231"/>
      <c r="F278" s="231"/>
      <c r="G278" s="231"/>
      <c r="H278" s="255"/>
      <c r="I278" s="255"/>
      <c r="J278" s="255"/>
      <c r="K278" s="255"/>
      <c r="L278" s="255"/>
      <c r="M278" s="255"/>
      <c r="N278" s="255"/>
      <c r="O278" s="255"/>
      <c r="P278" s="255"/>
      <c r="Q278" s="255"/>
      <c r="R278" s="234">
        <v>0</v>
      </c>
      <c r="S278" s="254">
        <v>0</v>
      </c>
      <c r="T278" s="241">
        <v>0</v>
      </c>
      <c r="U278" s="254">
        <v>0</v>
      </c>
      <c r="V278" s="231"/>
      <c r="W278" s="231"/>
      <c r="X278" s="5"/>
    </row>
    <row r="279" spans="1:24" ht="15.6" x14ac:dyDescent="0.3">
      <c r="A279" s="287"/>
      <c r="B279" s="337" t="s">
        <v>89</v>
      </c>
      <c r="C279" s="288"/>
      <c r="D279" s="288"/>
      <c r="E279" s="288"/>
      <c r="F279" s="288"/>
      <c r="G279" s="288"/>
      <c r="H279" s="391"/>
      <c r="I279" s="391"/>
      <c r="J279" s="391"/>
      <c r="K279" s="391"/>
      <c r="L279" s="391"/>
      <c r="M279" s="391"/>
      <c r="N279" s="391"/>
      <c r="O279" s="391"/>
      <c r="P279" s="391"/>
      <c r="Q279" s="391"/>
      <c r="R279" s="337">
        <v>0</v>
      </c>
      <c r="S279" s="390">
        <v>0</v>
      </c>
      <c r="T279" s="338">
        <v>0</v>
      </c>
      <c r="U279" s="390">
        <v>0</v>
      </c>
      <c r="V279" s="288"/>
      <c r="W279" s="291"/>
      <c r="X279" s="5"/>
    </row>
    <row r="280" spans="1:24" ht="15.6" x14ac:dyDescent="0.3">
      <c r="A280" s="287"/>
      <c r="B280" s="337" t="s">
        <v>90</v>
      </c>
      <c r="C280" s="288"/>
      <c r="D280" s="288"/>
      <c r="E280" s="288"/>
      <c r="F280" s="288"/>
      <c r="G280" s="288"/>
      <c r="H280" s="391"/>
      <c r="I280" s="391"/>
      <c r="J280" s="391"/>
      <c r="K280" s="391"/>
      <c r="L280" s="391"/>
      <c r="M280" s="391"/>
      <c r="N280" s="391"/>
      <c r="O280" s="391"/>
      <c r="P280" s="391"/>
      <c r="Q280" s="391"/>
      <c r="R280" s="337">
        <v>0</v>
      </c>
      <c r="S280" s="390">
        <v>0</v>
      </c>
      <c r="T280" s="338">
        <v>0</v>
      </c>
      <c r="U280" s="390">
        <v>0</v>
      </c>
      <c r="V280" s="288"/>
      <c r="W280" s="291"/>
      <c r="X280" s="5"/>
    </row>
    <row r="281" spans="1:24" ht="15.6" x14ac:dyDescent="0.3">
      <c r="A281" s="287"/>
      <c r="B281" s="337" t="s">
        <v>156</v>
      </c>
      <c r="C281" s="288"/>
      <c r="D281" s="288"/>
      <c r="E281" s="288"/>
      <c r="F281" s="288"/>
      <c r="G281" s="288"/>
      <c r="H281" s="391"/>
      <c r="I281" s="391"/>
      <c r="J281" s="391"/>
      <c r="K281" s="391"/>
      <c r="L281" s="391"/>
      <c r="M281" s="391"/>
      <c r="N281" s="391"/>
      <c r="O281" s="391"/>
      <c r="P281" s="391"/>
      <c r="Q281" s="391"/>
      <c r="R281" s="337">
        <v>0</v>
      </c>
      <c r="S281" s="390">
        <v>0</v>
      </c>
      <c r="T281" s="338">
        <v>0</v>
      </c>
      <c r="U281" s="390">
        <v>0</v>
      </c>
      <c r="V281" s="288"/>
      <c r="W281" s="291"/>
      <c r="X281" s="5"/>
    </row>
    <row r="282" spans="1:24" ht="15.6" x14ac:dyDescent="0.3">
      <c r="A282" s="287"/>
      <c r="B282" s="337" t="s">
        <v>157</v>
      </c>
      <c r="C282" s="288"/>
      <c r="D282" s="288"/>
      <c r="E282" s="288"/>
      <c r="F282" s="288"/>
      <c r="G282" s="288"/>
      <c r="H282" s="391"/>
      <c r="I282" s="391"/>
      <c r="J282" s="391"/>
      <c r="K282" s="391"/>
      <c r="L282" s="391"/>
      <c r="M282" s="391"/>
      <c r="N282" s="391"/>
      <c r="O282" s="391"/>
      <c r="P282" s="391"/>
      <c r="Q282" s="391"/>
      <c r="R282" s="337">
        <v>0</v>
      </c>
      <c r="S282" s="390">
        <v>0</v>
      </c>
      <c r="T282" s="338">
        <v>0</v>
      </c>
      <c r="U282" s="390">
        <v>0</v>
      </c>
      <c r="V282" s="288"/>
      <c r="W282" s="291"/>
      <c r="X282" s="5"/>
    </row>
    <row r="283" spans="1:24" ht="15.6" x14ac:dyDescent="0.3">
      <c r="A283" s="287"/>
      <c r="B283" s="337" t="s">
        <v>158</v>
      </c>
      <c r="C283" s="288"/>
      <c r="D283" s="288"/>
      <c r="E283" s="288"/>
      <c r="F283" s="288"/>
      <c r="G283" s="288"/>
      <c r="H283" s="391"/>
      <c r="I283" s="391"/>
      <c r="J283" s="391"/>
      <c r="K283" s="391"/>
      <c r="L283" s="391"/>
      <c r="M283" s="391"/>
      <c r="N283" s="391"/>
      <c r="O283" s="391"/>
      <c r="P283" s="391"/>
      <c r="Q283" s="391"/>
      <c r="R283" s="337">
        <v>0</v>
      </c>
      <c r="S283" s="390">
        <v>0</v>
      </c>
      <c r="T283" s="338">
        <v>0</v>
      </c>
      <c r="U283" s="390">
        <v>0</v>
      </c>
      <c r="V283" s="288"/>
      <c r="W283" s="291"/>
      <c r="X283" s="5"/>
    </row>
    <row r="284" spans="1:24" ht="15.6" x14ac:dyDescent="0.3">
      <c r="A284" s="287"/>
      <c r="B284" s="337" t="s">
        <v>159</v>
      </c>
      <c r="C284" s="288"/>
      <c r="D284" s="288"/>
      <c r="E284" s="288"/>
      <c r="F284" s="288"/>
      <c r="G284" s="288"/>
      <c r="H284" s="391"/>
      <c r="I284" s="391"/>
      <c r="J284" s="391"/>
      <c r="K284" s="391"/>
      <c r="L284" s="391"/>
      <c r="M284" s="391"/>
      <c r="N284" s="391"/>
      <c r="O284" s="391"/>
      <c r="P284" s="391"/>
      <c r="Q284" s="391"/>
      <c r="R284" s="337">
        <v>0</v>
      </c>
      <c r="S284" s="390">
        <v>0</v>
      </c>
      <c r="T284" s="338">
        <v>0</v>
      </c>
      <c r="U284" s="390">
        <v>0</v>
      </c>
      <c r="V284" s="288"/>
      <c r="W284" s="291"/>
      <c r="X284" s="5"/>
    </row>
    <row r="285" spans="1:24" ht="15.6" x14ac:dyDescent="0.3">
      <c r="A285" s="287"/>
      <c r="B285" s="337" t="s">
        <v>160</v>
      </c>
      <c r="C285" s="288"/>
      <c r="D285" s="288"/>
      <c r="E285" s="288"/>
      <c r="F285" s="288"/>
      <c r="G285" s="288"/>
      <c r="H285" s="391"/>
      <c r="I285" s="391"/>
      <c r="J285" s="391"/>
      <c r="K285" s="391"/>
      <c r="L285" s="391"/>
      <c r="M285" s="391"/>
      <c r="N285" s="391"/>
      <c r="O285" s="391"/>
      <c r="P285" s="391"/>
      <c r="Q285" s="391"/>
      <c r="R285" s="337">
        <v>0</v>
      </c>
      <c r="S285" s="390">
        <v>0</v>
      </c>
      <c r="T285" s="338">
        <v>0</v>
      </c>
      <c r="U285" s="390">
        <v>0</v>
      </c>
      <c r="V285" s="288"/>
      <c r="W285" s="291"/>
      <c r="X285" s="5"/>
    </row>
    <row r="286" spans="1:24" ht="15.6" x14ac:dyDescent="0.3">
      <c r="A286" s="287"/>
      <c r="B286" s="337"/>
      <c r="C286" s="288"/>
      <c r="D286" s="288"/>
      <c r="E286" s="288"/>
      <c r="F286" s="288"/>
      <c r="G286" s="288"/>
      <c r="H286" s="391"/>
      <c r="I286" s="391"/>
      <c r="J286" s="391"/>
      <c r="K286" s="391"/>
      <c r="L286" s="391"/>
      <c r="M286" s="391"/>
      <c r="N286" s="391"/>
      <c r="O286" s="391"/>
      <c r="P286" s="391"/>
      <c r="Q286" s="391"/>
      <c r="R286" s="337"/>
      <c r="S286" s="390"/>
      <c r="T286" s="338"/>
      <c r="U286" s="390"/>
      <c r="V286" s="288"/>
      <c r="W286" s="291"/>
      <c r="X286" s="5"/>
    </row>
    <row r="287" spans="1:24" ht="15.6" x14ac:dyDescent="0.3">
      <c r="A287" s="287"/>
      <c r="B287" s="288" t="s">
        <v>114</v>
      </c>
      <c r="C287" s="288"/>
      <c r="D287" s="288"/>
      <c r="E287" s="288"/>
      <c r="F287" s="288"/>
      <c r="G287" s="288"/>
      <c r="H287" s="391"/>
      <c r="I287" s="391"/>
      <c r="J287" s="391"/>
      <c r="K287" s="391"/>
      <c r="L287" s="391"/>
      <c r="M287" s="391"/>
      <c r="N287" s="391"/>
      <c r="O287" s="391"/>
      <c r="P287" s="391"/>
      <c r="Q287" s="391"/>
      <c r="R287" s="337">
        <f>SUM(R278:R285)</f>
        <v>0</v>
      </c>
      <c r="S287" s="390">
        <f>SUM(S278:S286)</f>
        <v>0</v>
      </c>
      <c r="T287" s="338">
        <f>SUM(T278:T285)</f>
        <v>0</v>
      </c>
      <c r="U287" s="390">
        <f>SUM(U278:U286)</f>
        <v>0</v>
      </c>
      <c r="V287" s="288"/>
      <c r="W287" s="291"/>
      <c r="X287" s="5"/>
    </row>
    <row r="288" spans="1:24" ht="15.6" x14ac:dyDescent="0.3">
      <c r="A288" s="287"/>
      <c r="B288" s="288"/>
      <c r="C288" s="288"/>
      <c r="D288" s="288"/>
      <c r="E288" s="288"/>
      <c r="F288" s="288"/>
      <c r="G288" s="288"/>
      <c r="H288" s="391"/>
      <c r="I288" s="391"/>
      <c r="J288" s="391"/>
      <c r="K288" s="391"/>
      <c r="L288" s="391"/>
      <c r="M288" s="391"/>
      <c r="N288" s="391"/>
      <c r="O288" s="391"/>
      <c r="P288" s="391"/>
      <c r="Q288" s="391"/>
      <c r="R288" s="337"/>
      <c r="S288" s="390"/>
      <c r="T288" s="338"/>
      <c r="U288" s="390"/>
      <c r="V288" s="288"/>
      <c r="W288" s="291"/>
      <c r="X288" s="5"/>
    </row>
    <row r="289" spans="1:24" ht="15.6" x14ac:dyDescent="0.3">
      <c r="A289" s="287"/>
      <c r="B289" s="295" t="s">
        <v>164</v>
      </c>
      <c r="C289" s="288"/>
      <c r="D289" s="288"/>
      <c r="E289" s="288"/>
      <c r="F289" s="288"/>
      <c r="G289" s="288"/>
      <c r="H289" s="391"/>
      <c r="I289" s="391"/>
      <c r="J289" s="391"/>
      <c r="K289" s="391"/>
      <c r="L289" s="391"/>
      <c r="M289" s="391"/>
      <c r="N289" s="391"/>
      <c r="O289" s="391"/>
      <c r="P289" s="391"/>
      <c r="Q289" s="391"/>
      <c r="R289" s="407">
        <f>R287+R275+R263</f>
        <v>6388</v>
      </c>
      <c r="S289" s="390"/>
      <c r="T289" s="396">
        <f>+T287+T275+T263</f>
        <v>877491</v>
      </c>
      <c r="U289" s="390"/>
      <c r="V289" s="288"/>
      <c r="W289" s="291"/>
      <c r="X289" s="5"/>
    </row>
    <row r="290" spans="1:24" ht="15.6" x14ac:dyDescent="0.3">
      <c r="A290" s="183"/>
      <c r="B290" s="284"/>
      <c r="C290" s="284"/>
      <c r="D290" s="284"/>
      <c r="E290" s="284"/>
      <c r="F290" s="284"/>
      <c r="G290" s="284"/>
      <c r="H290" s="392"/>
      <c r="I290" s="392"/>
      <c r="J290" s="392"/>
      <c r="K290" s="392"/>
      <c r="L290" s="392"/>
      <c r="M290" s="392"/>
      <c r="N290" s="392"/>
      <c r="O290" s="392"/>
      <c r="P290" s="392"/>
      <c r="Q290" s="392"/>
      <c r="R290" s="392"/>
      <c r="S290" s="392"/>
      <c r="T290" s="394"/>
      <c r="U290" s="392"/>
      <c r="V290" s="284"/>
      <c r="W290" s="284"/>
      <c r="X290" s="5"/>
    </row>
    <row r="291" spans="1:24" ht="15.6" x14ac:dyDescent="0.3">
      <c r="A291" s="183"/>
      <c r="B291" s="224"/>
      <c r="C291" s="224"/>
      <c r="D291" s="224"/>
      <c r="E291" s="224"/>
      <c r="F291" s="224"/>
      <c r="G291" s="224"/>
      <c r="H291" s="256"/>
      <c r="I291" s="256"/>
      <c r="J291" s="256"/>
      <c r="K291" s="256"/>
      <c r="L291" s="256"/>
      <c r="M291" s="256"/>
      <c r="N291" s="256"/>
      <c r="O291" s="256"/>
      <c r="P291" s="256"/>
      <c r="Q291" s="256"/>
      <c r="R291" s="256"/>
      <c r="S291" s="256"/>
      <c r="T291" s="257"/>
      <c r="U291" s="256"/>
      <c r="V291" s="224"/>
      <c r="W291" s="224"/>
      <c r="X291" s="5"/>
    </row>
    <row r="292" spans="1:24" ht="15.6" x14ac:dyDescent="0.3">
      <c r="A292" s="219"/>
      <c r="B292" s="222" t="s">
        <v>91</v>
      </c>
      <c r="C292" s="224"/>
      <c r="D292" s="224"/>
      <c r="E292" s="224"/>
      <c r="F292" s="228" t="s">
        <v>97</v>
      </c>
      <c r="G292" s="224"/>
      <c r="H292" s="222" t="s">
        <v>99</v>
      </c>
      <c r="I292" s="222"/>
      <c r="J292" s="222"/>
      <c r="K292" s="258"/>
      <c r="L292" s="258"/>
      <c r="M292" s="258"/>
      <c r="N292" s="258"/>
      <c r="O292" s="258"/>
      <c r="P292" s="258"/>
      <c r="Q292" s="258"/>
      <c r="R292" s="258"/>
      <c r="S292" s="258"/>
      <c r="T292" s="258"/>
      <c r="U292" s="258"/>
      <c r="V292" s="258"/>
      <c r="W292" s="258"/>
      <c r="X292" s="5"/>
    </row>
    <row r="293" spans="1:24" ht="15.6" x14ac:dyDescent="0.3">
      <c r="A293" s="219"/>
      <c r="B293" s="222" t="s">
        <v>339</v>
      </c>
      <c r="C293" s="222"/>
      <c r="D293" s="222"/>
      <c r="E293" s="222"/>
      <c r="F293" s="259" t="s">
        <v>278</v>
      </c>
      <c r="G293" s="222"/>
      <c r="H293" s="222" t="s">
        <v>279</v>
      </c>
      <c r="I293" s="258"/>
      <c r="J293" s="222"/>
      <c r="K293" s="258"/>
      <c r="L293" s="258"/>
      <c r="M293" s="258"/>
      <c r="N293" s="258"/>
      <c r="O293" s="258"/>
      <c r="P293" s="258"/>
      <c r="Q293" s="258"/>
      <c r="R293" s="258"/>
      <c r="S293" s="258"/>
      <c r="T293" s="258"/>
      <c r="U293" s="258"/>
      <c r="V293" s="258"/>
      <c r="W293" s="258"/>
      <c r="X293" s="5"/>
    </row>
    <row r="294" spans="1:24" ht="15.6" x14ac:dyDescent="0.3">
      <c r="A294" s="219"/>
      <c r="B294" s="222" t="s">
        <v>340</v>
      </c>
      <c r="C294" s="222"/>
      <c r="D294" s="222"/>
      <c r="E294" s="222"/>
      <c r="F294" s="259" t="s">
        <v>147</v>
      </c>
      <c r="G294" s="222"/>
      <c r="H294" s="222" t="s">
        <v>153</v>
      </c>
      <c r="I294" s="222"/>
      <c r="J294" s="222"/>
      <c r="K294" s="258"/>
      <c r="L294" s="258"/>
      <c r="M294" s="258"/>
      <c r="N294" s="258"/>
      <c r="O294" s="258"/>
      <c r="P294" s="258"/>
      <c r="Q294" s="258"/>
      <c r="R294" s="258"/>
      <c r="S294" s="258"/>
      <c r="T294" s="258"/>
      <c r="U294" s="258"/>
      <c r="V294" s="258"/>
      <c r="W294" s="258"/>
      <c r="X294" s="5"/>
    </row>
    <row r="295" spans="1:24" ht="15.6" x14ac:dyDescent="0.3">
      <c r="A295" s="219"/>
      <c r="B295" s="222"/>
      <c r="C295" s="222"/>
      <c r="D295" s="222"/>
      <c r="E295" s="222"/>
      <c r="F295" s="259"/>
      <c r="G295" s="222"/>
      <c r="H295" s="222"/>
      <c r="I295" s="222"/>
      <c r="J295" s="222"/>
      <c r="K295" s="258"/>
      <c r="L295" s="258"/>
      <c r="M295" s="258"/>
      <c r="N295" s="258"/>
      <c r="O295" s="258"/>
      <c r="P295" s="258"/>
      <c r="Q295" s="258"/>
      <c r="R295" s="258"/>
      <c r="S295" s="258"/>
      <c r="T295" s="258"/>
      <c r="U295" s="258"/>
      <c r="V295" s="258"/>
      <c r="W295" s="258"/>
      <c r="X295" s="5"/>
    </row>
    <row r="296" spans="1:24" ht="15.6" x14ac:dyDescent="0.3">
      <c r="A296" s="219"/>
      <c r="B296" s="284" t="s">
        <v>368</v>
      </c>
      <c r="C296" s="222"/>
      <c r="D296" s="222"/>
      <c r="E296" s="222"/>
      <c r="F296" s="259"/>
      <c r="G296" s="222"/>
      <c r="H296" s="222"/>
      <c r="I296" s="222"/>
      <c r="J296" s="222"/>
      <c r="K296" s="258"/>
      <c r="L296" s="258"/>
      <c r="M296" s="258"/>
      <c r="N296" s="258"/>
      <c r="O296" s="258"/>
      <c r="P296" s="258"/>
      <c r="Q296" s="258"/>
      <c r="R296" s="258"/>
      <c r="S296" s="258"/>
      <c r="T296" s="258"/>
      <c r="U296" s="258"/>
      <c r="V296" s="258"/>
      <c r="W296" s="258"/>
      <c r="X296" s="5"/>
    </row>
    <row r="297" spans="1:24" ht="15.6" x14ac:dyDescent="0.3">
      <c r="A297" s="219"/>
      <c r="B297" s="284" t="s">
        <v>367</v>
      </c>
      <c r="C297" s="222"/>
      <c r="D297" s="222"/>
      <c r="E297" s="222"/>
      <c r="F297" s="259"/>
      <c r="G297" s="222"/>
      <c r="H297" s="222"/>
      <c r="I297" s="222"/>
      <c r="J297" s="222"/>
      <c r="K297" s="258"/>
      <c r="L297" s="258"/>
      <c r="M297" s="258"/>
      <c r="N297" s="258"/>
      <c r="O297" s="258"/>
      <c r="P297" s="258"/>
      <c r="Q297" s="258"/>
      <c r="R297" s="258"/>
      <c r="S297" s="258"/>
      <c r="T297" s="258"/>
      <c r="U297" s="258"/>
      <c r="V297" s="258"/>
      <c r="W297" s="258"/>
      <c r="X297" s="5"/>
    </row>
    <row r="298" spans="1:24" ht="15.6" x14ac:dyDescent="0.3">
      <c r="A298" s="219"/>
      <c r="B298" s="284" t="s">
        <v>365</v>
      </c>
      <c r="C298" s="222"/>
      <c r="D298" s="222"/>
      <c r="E298" s="222"/>
      <c r="F298" s="259"/>
      <c r="G298" s="222"/>
      <c r="H298" s="222"/>
      <c r="I298" s="222"/>
      <c r="J298" s="222"/>
      <c r="K298" s="258"/>
      <c r="L298" s="258"/>
      <c r="M298" s="258"/>
      <c r="N298" s="258"/>
      <c r="O298" s="258"/>
      <c r="P298" s="258"/>
      <c r="Q298" s="258"/>
      <c r="R298" s="258"/>
      <c r="S298" s="258"/>
      <c r="T298" s="258"/>
      <c r="U298" s="258"/>
      <c r="V298" s="258"/>
      <c r="W298" s="258"/>
      <c r="X298" s="5"/>
    </row>
    <row r="299" spans="1:24" ht="15.6" x14ac:dyDescent="0.3">
      <c r="A299" s="219"/>
      <c r="B299" s="284" t="s">
        <v>366</v>
      </c>
      <c r="C299" s="222"/>
      <c r="D299" s="222"/>
      <c r="E299" s="222"/>
      <c r="F299" s="259"/>
      <c r="G299" s="222"/>
      <c r="H299" s="222"/>
      <c r="I299" s="222"/>
      <c r="J299" s="222"/>
      <c r="K299" s="258"/>
      <c r="L299" s="258"/>
      <c r="M299" s="258"/>
      <c r="N299" s="258"/>
      <c r="O299" s="258"/>
      <c r="P299" s="258"/>
      <c r="Q299" s="258"/>
      <c r="R299" s="258"/>
      <c r="S299" s="258"/>
      <c r="T299" s="258"/>
      <c r="U299" s="258"/>
      <c r="V299" s="258"/>
      <c r="W299" s="258"/>
      <c r="X299" s="5"/>
    </row>
    <row r="300" spans="1:24" ht="15.6" x14ac:dyDescent="0.3">
      <c r="A300" s="219"/>
      <c r="B300" s="222"/>
      <c r="C300" s="222"/>
      <c r="D300" s="222"/>
      <c r="E300" s="222"/>
      <c r="F300" s="259"/>
      <c r="G300" s="222"/>
      <c r="H300" s="222"/>
      <c r="I300" s="222"/>
      <c r="J300" s="222"/>
      <c r="K300" s="258"/>
      <c r="L300" s="258"/>
      <c r="M300" s="258"/>
      <c r="N300" s="258"/>
      <c r="O300" s="258"/>
      <c r="P300" s="258"/>
      <c r="Q300" s="258"/>
      <c r="R300" s="258"/>
      <c r="S300" s="258"/>
      <c r="T300" s="258"/>
      <c r="U300" s="258"/>
      <c r="V300" s="258"/>
      <c r="W300" s="258"/>
      <c r="X300" s="5"/>
    </row>
    <row r="301" spans="1:24" ht="17.399999999999999" x14ac:dyDescent="0.3">
      <c r="A301" s="219"/>
      <c r="B301" s="410" t="s">
        <v>369</v>
      </c>
      <c r="C301" s="222"/>
      <c r="D301" s="222"/>
      <c r="E301" s="222"/>
      <c r="F301" s="222"/>
      <c r="G301" s="260"/>
      <c r="H301" s="258"/>
      <c r="I301" s="258"/>
      <c r="J301" s="258"/>
      <c r="K301" s="258"/>
      <c r="L301" s="182"/>
      <c r="M301" s="182"/>
      <c r="N301" s="411"/>
      <c r="O301" s="182"/>
      <c r="P301" s="411" t="s">
        <v>167</v>
      </c>
      <c r="Q301" s="258"/>
      <c r="R301" s="258"/>
      <c r="S301" s="258"/>
      <c r="T301" s="258"/>
      <c r="U301" s="258"/>
      <c r="V301" s="258"/>
      <c r="W301" s="258"/>
      <c r="X301" s="5"/>
    </row>
    <row r="302" spans="1:24" ht="15.6" x14ac:dyDescent="0.3">
      <c r="A302" s="219"/>
      <c r="B302" s="222"/>
      <c r="C302" s="222"/>
      <c r="D302" s="222"/>
      <c r="E302" s="222"/>
      <c r="F302" s="222"/>
      <c r="G302" s="260"/>
      <c r="H302" s="258"/>
      <c r="I302" s="258"/>
      <c r="J302" s="258"/>
      <c r="K302" s="258"/>
      <c r="L302" s="258"/>
      <c r="M302" s="258"/>
      <c r="N302" s="258"/>
      <c r="O302" s="258"/>
      <c r="P302" s="258"/>
      <c r="Q302" s="258"/>
      <c r="R302" s="258"/>
      <c r="S302" s="258"/>
      <c r="T302" s="258"/>
      <c r="U302" s="258"/>
      <c r="V302" s="258"/>
      <c r="W302" s="258"/>
      <c r="X302" s="5"/>
    </row>
    <row r="303" spans="1:24" ht="18" thickBot="1" x14ac:dyDescent="0.35">
      <c r="A303" s="219"/>
      <c r="B303" s="261" t="str">
        <f>B203</f>
        <v>PM14 INVESTOR REPORT QUARTER ENDING AUGUST 2017</v>
      </c>
      <c r="C303" s="222"/>
      <c r="D303" s="222"/>
      <c r="E303" s="222"/>
      <c r="F303" s="222"/>
      <c r="G303" s="260"/>
      <c r="H303" s="258"/>
      <c r="I303" s="258"/>
      <c r="J303" s="258"/>
      <c r="K303" s="258"/>
      <c r="L303" s="258"/>
      <c r="M303" s="258"/>
      <c r="N303" s="258"/>
      <c r="O303" s="258"/>
      <c r="P303" s="258"/>
      <c r="Q303" s="258"/>
      <c r="R303" s="258"/>
      <c r="S303" s="258"/>
      <c r="T303" s="258"/>
      <c r="U303" s="258"/>
      <c r="V303" s="258"/>
      <c r="W303" s="258"/>
      <c r="X303" s="5"/>
    </row>
    <row r="304" spans="1:24" x14ac:dyDescent="0.25">
      <c r="A304" s="100"/>
      <c r="B304" s="100"/>
      <c r="C304" s="100"/>
      <c r="D304" s="100"/>
      <c r="E304" s="100"/>
      <c r="F304" s="100"/>
      <c r="G304" s="100"/>
      <c r="H304" s="100"/>
      <c r="I304" s="100"/>
      <c r="J304" s="100"/>
      <c r="K304" s="100"/>
      <c r="L304" s="100"/>
      <c r="M304" s="100"/>
      <c r="N304" s="100"/>
      <c r="O304" s="100"/>
      <c r="P304" s="100"/>
      <c r="Q304" s="100"/>
      <c r="R304" s="100"/>
      <c r="S304" s="100"/>
      <c r="T304" s="100"/>
      <c r="U304" s="100"/>
      <c r="V304" s="100"/>
      <c r="W304" s="100"/>
    </row>
  </sheetData>
  <hyperlinks>
    <hyperlink ref="P239" r:id="rId1" xr:uid="{00000000-0004-0000-2800-000000000000}"/>
    <hyperlink ref="I9" r:id="rId2" xr:uid="{00000000-0004-0000-2800-000001000000}"/>
    <hyperlink ref="P301" r:id="rId3" xr:uid="{00000000-0004-0000-2800-000002000000}"/>
  </hyperlinks>
  <printOptions horizontalCentered="1" verticalCentered="1"/>
  <pageMargins left="0.19685039370078741" right="0.19685039370078741" top="0.27559055118110237" bottom="0.27559055118110237" header="0" footer="0"/>
  <pageSetup scale="37" orientation="landscape" r:id="rId4"/>
  <headerFooter alignWithMargins="0"/>
  <rowBreaks count="3" manualBreakCount="3">
    <brk id="63" max="23" man="1"/>
    <brk id="137" max="14" man="1"/>
    <brk id="203" max="14" man="1"/>
  </rowBreaks>
  <drawing r:id="rId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4"/>
  </sheetPr>
  <dimension ref="A1:IV304"/>
  <sheetViews>
    <sheetView showGridLines="0" showOutlineSymbols="0" zoomScale="70" zoomScaleNormal="70" workbookViewId="0"/>
  </sheetViews>
  <sheetFormatPr defaultColWidth="9.81640625" defaultRowHeight="15.6" x14ac:dyDescent="0.3"/>
  <cols>
    <col min="1" max="1" width="4" style="416" customWidth="1"/>
    <col min="2" max="2" width="71.08984375" style="416" customWidth="1"/>
    <col min="3" max="3" width="2.08984375" style="416" customWidth="1"/>
    <col min="4" max="4" width="19.1796875" style="416" customWidth="1"/>
    <col min="5" max="5" width="2.08984375" style="416" customWidth="1"/>
    <col min="6" max="6" width="25.08984375" style="416" customWidth="1"/>
    <col min="7" max="7" width="2.08984375" style="416" customWidth="1"/>
    <col min="8" max="8" width="16.08984375" style="416" customWidth="1"/>
    <col min="9" max="9" width="2.81640625" style="416" customWidth="1"/>
    <col min="10" max="10" width="16.08984375" style="416" customWidth="1"/>
    <col min="11" max="11" width="2.08984375" style="416" customWidth="1"/>
    <col min="12" max="12" width="17.81640625" style="416" customWidth="1"/>
    <col min="13" max="13" width="2.1796875" style="416" customWidth="1"/>
    <col min="14" max="14" width="14.81640625" style="416" customWidth="1"/>
    <col min="15" max="15" width="2.1796875" style="416" customWidth="1"/>
    <col min="16" max="16" width="15.54296875" style="416" customWidth="1"/>
    <col min="17" max="17" width="2.08984375" style="416" customWidth="1"/>
    <col min="18" max="18" width="15.54296875" style="416" customWidth="1"/>
    <col min="19" max="20" width="12.81640625" style="416" customWidth="1"/>
    <col min="21" max="21" width="7.81640625" style="416" customWidth="1"/>
    <col min="22" max="22" width="14.81640625" style="416" customWidth="1"/>
    <col min="23" max="23" width="11.81640625" style="416" customWidth="1"/>
    <col min="24" max="16384" width="9.81640625" style="416"/>
  </cols>
  <sheetData>
    <row r="1" spans="1:24" ht="21" x14ac:dyDescent="0.4">
      <c r="A1" s="413"/>
      <c r="B1" s="537" t="s">
        <v>244</v>
      </c>
      <c r="C1" s="414"/>
      <c r="D1" s="414"/>
      <c r="E1" s="414"/>
      <c r="F1" s="414"/>
      <c r="G1" s="414"/>
      <c r="H1" s="414"/>
      <c r="I1" s="414"/>
      <c r="J1" s="414"/>
      <c r="K1" s="414"/>
      <c r="L1" s="414"/>
      <c r="M1" s="414"/>
      <c r="N1" s="414"/>
      <c r="O1" s="414"/>
      <c r="P1" s="414"/>
      <c r="Q1" s="414"/>
      <c r="R1" s="414"/>
      <c r="S1" s="414"/>
      <c r="T1" s="414"/>
      <c r="U1" s="414"/>
      <c r="V1" s="414"/>
      <c r="W1" s="414"/>
      <c r="X1" s="415"/>
    </row>
    <row r="2" spans="1:24" x14ac:dyDescent="0.3">
      <c r="A2" s="417"/>
      <c r="B2" s="418"/>
      <c r="C2" s="419"/>
      <c r="D2" s="419"/>
      <c r="E2" s="419"/>
      <c r="F2" s="419"/>
      <c r="G2" s="419"/>
      <c r="H2" s="419"/>
      <c r="I2" s="419"/>
      <c r="J2" s="419"/>
      <c r="K2" s="419"/>
      <c r="L2" s="419"/>
      <c r="M2" s="419"/>
      <c r="N2" s="419"/>
      <c r="O2" s="419"/>
      <c r="P2" s="419"/>
      <c r="Q2" s="419"/>
      <c r="R2" s="419"/>
      <c r="S2" s="419"/>
      <c r="T2" s="419"/>
      <c r="U2" s="419"/>
      <c r="V2" s="419"/>
      <c r="W2" s="419"/>
      <c r="X2" s="415"/>
    </row>
    <row r="3" spans="1:24" x14ac:dyDescent="0.3">
      <c r="A3" s="420"/>
      <c r="B3" s="421" t="s">
        <v>245</v>
      </c>
      <c r="C3" s="419"/>
      <c r="D3" s="419"/>
      <c r="E3" s="419"/>
      <c r="F3" s="419"/>
      <c r="G3" s="419"/>
      <c r="H3" s="419"/>
      <c r="I3" s="419"/>
      <c r="J3" s="419"/>
      <c r="K3" s="419"/>
      <c r="L3" s="419"/>
      <c r="M3" s="419"/>
      <c r="N3" s="419"/>
      <c r="O3" s="419"/>
      <c r="P3" s="419"/>
      <c r="Q3" s="419"/>
      <c r="R3" s="419"/>
      <c r="S3" s="419"/>
      <c r="T3" s="419"/>
      <c r="U3" s="419"/>
      <c r="V3" s="419"/>
      <c r="W3" s="419"/>
      <c r="X3" s="415"/>
    </row>
    <row r="4" spans="1:24" x14ac:dyDescent="0.3">
      <c r="A4" s="417"/>
      <c r="B4" s="418"/>
      <c r="C4" s="419"/>
      <c r="D4" s="419"/>
      <c r="E4" s="419"/>
      <c r="F4" s="419"/>
      <c r="G4" s="419"/>
      <c r="H4" s="419"/>
      <c r="I4" s="419"/>
      <c r="J4" s="419"/>
      <c r="K4" s="419"/>
      <c r="L4" s="419"/>
      <c r="M4" s="419"/>
      <c r="N4" s="419"/>
      <c r="O4" s="419"/>
      <c r="P4" s="419"/>
      <c r="Q4" s="419"/>
      <c r="R4" s="419"/>
      <c r="S4" s="419"/>
      <c r="T4" s="419"/>
      <c r="U4" s="419"/>
      <c r="V4" s="419"/>
      <c r="W4" s="419"/>
      <c r="X4" s="415"/>
    </row>
    <row r="5" spans="1:24" x14ac:dyDescent="0.3">
      <c r="A5" s="417"/>
      <c r="B5" s="538" t="s">
        <v>137</v>
      </c>
      <c r="C5" s="419"/>
      <c r="D5" s="419"/>
      <c r="E5" s="419"/>
      <c r="F5" s="419"/>
      <c r="G5" s="419"/>
      <c r="H5" s="419"/>
      <c r="I5" s="419"/>
      <c r="J5" s="419"/>
      <c r="K5" s="419"/>
      <c r="L5" s="419"/>
      <c r="M5" s="419"/>
      <c r="N5" s="419"/>
      <c r="O5" s="419"/>
      <c r="P5" s="419"/>
      <c r="Q5" s="419"/>
      <c r="R5" s="419"/>
      <c r="S5" s="419"/>
      <c r="T5" s="419"/>
      <c r="U5" s="419"/>
      <c r="V5" s="419"/>
      <c r="W5" s="419"/>
      <c r="X5" s="415"/>
    </row>
    <row r="6" spans="1:24" x14ac:dyDescent="0.3">
      <c r="A6" s="417"/>
      <c r="B6" s="538" t="s">
        <v>139</v>
      </c>
      <c r="C6" s="419"/>
      <c r="D6" s="419"/>
      <c r="E6" s="419"/>
      <c r="F6" s="419"/>
      <c r="G6" s="419"/>
      <c r="H6" s="419"/>
      <c r="I6" s="419"/>
      <c r="J6" s="419"/>
      <c r="K6" s="419"/>
      <c r="L6" s="419"/>
      <c r="M6" s="419"/>
      <c r="N6" s="419"/>
      <c r="O6" s="419"/>
      <c r="P6" s="419"/>
      <c r="Q6" s="419"/>
      <c r="R6" s="419"/>
      <c r="S6" s="419"/>
      <c r="T6" s="419"/>
      <c r="U6" s="419"/>
      <c r="V6" s="419"/>
      <c r="W6" s="419"/>
      <c r="X6" s="415"/>
    </row>
    <row r="7" spans="1:24" x14ac:dyDescent="0.3">
      <c r="A7" s="417"/>
      <c r="B7" s="538" t="s">
        <v>138</v>
      </c>
      <c r="C7" s="419"/>
      <c r="D7" s="419"/>
      <c r="E7" s="419"/>
      <c r="F7" s="419"/>
      <c r="G7" s="419"/>
      <c r="H7" s="419"/>
      <c r="I7" s="419"/>
      <c r="J7" s="419"/>
      <c r="K7" s="419"/>
      <c r="L7" s="419"/>
      <c r="M7" s="419"/>
      <c r="N7" s="419"/>
      <c r="O7" s="419"/>
      <c r="P7" s="419"/>
      <c r="Q7" s="419"/>
      <c r="R7" s="419"/>
      <c r="S7" s="419"/>
      <c r="T7" s="419"/>
      <c r="U7" s="419"/>
      <c r="V7" s="419"/>
      <c r="W7" s="419"/>
      <c r="X7" s="415"/>
    </row>
    <row r="8" spans="1:24" x14ac:dyDescent="0.3">
      <c r="A8" s="417"/>
      <c r="B8" s="422"/>
      <c r="C8" s="419"/>
      <c r="D8" s="419"/>
      <c r="E8" s="419"/>
      <c r="F8" s="419"/>
      <c r="G8" s="419"/>
      <c r="H8" s="419"/>
      <c r="I8" s="419"/>
      <c r="J8" s="419"/>
      <c r="K8" s="419"/>
      <c r="L8" s="419"/>
      <c r="M8" s="419"/>
      <c r="N8" s="419"/>
      <c r="O8" s="419"/>
      <c r="P8" s="419"/>
      <c r="Q8" s="419"/>
      <c r="R8" s="419"/>
      <c r="S8" s="419"/>
      <c r="T8" s="419"/>
      <c r="U8" s="419"/>
      <c r="V8" s="419"/>
      <c r="W8" s="419"/>
      <c r="X8" s="415"/>
    </row>
    <row r="9" spans="1:24" ht="18" x14ac:dyDescent="0.35">
      <c r="A9" s="417"/>
      <c r="B9" s="423" t="s">
        <v>166</v>
      </c>
      <c r="C9" s="419"/>
      <c r="D9" s="419"/>
      <c r="E9" s="419"/>
      <c r="F9" s="419"/>
      <c r="G9" s="419"/>
      <c r="H9" s="419"/>
      <c r="I9" s="412" t="s">
        <v>371</v>
      </c>
      <c r="J9" s="419"/>
      <c r="K9" s="419"/>
      <c r="L9" s="424"/>
      <c r="M9" s="419"/>
      <c r="N9" s="424"/>
      <c r="O9" s="419"/>
      <c r="P9" s="419"/>
      <c r="Q9" s="419"/>
      <c r="R9" s="419"/>
      <c r="S9" s="419"/>
      <c r="T9" s="419"/>
      <c r="U9" s="419"/>
      <c r="V9" s="419"/>
      <c r="W9" s="419"/>
      <c r="X9" s="415"/>
    </row>
    <row r="10" spans="1:24" x14ac:dyDescent="0.3">
      <c r="A10" s="417"/>
      <c r="B10" s="422"/>
      <c r="C10" s="425"/>
      <c r="D10" s="425"/>
      <c r="E10" s="425"/>
      <c r="F10" s="419"/>
      <c r="G10" s="419"/>
      <c r="H10" s="419"/>
      <c r="I10" s="419"/>
      <c r="J10" s="419"/>
      <c r="K10" s="419"/>
      <c r="L10" s="419"/>
      <c r="M10" s="419"/>
      <c r="N10" s="419"/>
      <c r="O10" s="419"/>
      <c r="P10" s="419"/>
      <c r="Q10" s="419"/>
      <c r="R10" s="419"/>
      <c r="S10" s="419"/>
      <c r="T10" s="419"/>
      <c r="U10" s="419"/>
      <c r="V10" s="419"/>
      <c r="W10" s="419"/>
      <c r="X10" s="415"/>
    </row>
    <row r="11" spans="1:24" x14ac:dyDescent="0.3">
      <c r="A11" s="417"/>
      <c r="B11" s="539" t="s">
        <v>0</v>
      </c>
      <c r="C11" s="419"/>
      <c r="D11" s="419"/>
      <c r="E11" s="419"/>
      <c r="F11" s="419"/>
      <c r="G11" s="419"/>
      <c r="H11" s="419"/>
      <c r="I11" s="419"/>
      <c r="J11" s="419"/>
      <c r="K11" s="419"/>
      <c r="L11" s="419"/>
      <c r="M11" s="419"/>
      <c r="N11" s="419"/>
      <c r="O11" s="419"/>
      <c r="P11" s="419"/>
      <c r="Q11" s="419"/>
      <c r="R11" s="419"/>
      <c r="S11" s="419"/>
      <c r="T11" s="419"/>
      <c r="U11" s="419"/>
      <c r="V11" s="419"/>
      <c r="W11" s="419"/>
      <c r="X11" s="415"/>
    </row>
    <row r="12" spans="1:24" ht="16.2" thickBot="1" x14ac:dyDescent="0.35">
      <c r="A12" s="417"/>
      <c r="B12" s="425"/>
      <c r="C12" s="419"/>
      <c r="D12" s="419"/>
      <c r="E12" s="419"/>
      <c r="F12" s="419"/>
      <c r="G12" s="419"/>
      <c r="H12" s="419"/>
      <c r="I12" s="419"/>
      <c r="J12" s="419"/>
      <c r="K12" s="419"/>
      <c r="L12" s="419"/>
      <c r="M12" s="419"/>
      <c r="N12" s="419"/>
      <c r="O12" s="419"/>
      <c r="P12" s="419"/>
      <c r="Q12" s="419"/>
      <c r="R12" s="419"/>
      <c r="S12" s="419"/>
      <c r="T12" s="419"/>
      <c r="U12" s="419"/>
      <c r="V12" s="419"/>
      <c r="W12" s="419"/>
      <c r="X12" s="415"/>
    </row>
    <row r="13" spans="1:24" x14ac:dyDescent="0.3">
      <c r="A13" s="413"/>
      <c r="B13" s="414"/>
      <c r="C13" s="414"/>
      <c r="D13" s="414"/>
      <c r="E13" s="414"/>
      <c r="F13" s="414"/>
      <c r="G13" s="414"/>
      <c r="H13" s="414"/>
      <c r="I13" s="414"/>
      <c r="J13" s="414"/>
      <c r="K13" s="414"/>
      <c r="L13" s="414"/>
      <c r="M13" s="414"/>
      <c r="N13" s="414"/>
      <c r="O13" s="414"/>
      <c r="P13" s="414"/>
      <c r="Q13" s="414"/>
      <c r="R13" s="414"/>
      <c r="S13" s="414"/>
      <c r="T13" s="414"/>
      <c r="U13" s="414"/>
      <c r="V13" s="414"/>
      <c r="W13" s="414"/>
      <c r="X13" s="415"/>
    </row>
    <row r="14" spans="1:24" s="544" customFormat="1" x14ac:dyDescent="0.3">
      <c r="A14" s="540"/>
      <c r="B14" s="539" t="s">
        <v>1</v>
      </c>
      <c r="C14" s="541"/>
      <c r="D14" s="541"/>
      <c r="E14" s="541"/>
      <c r="F14" s="541"/>
      <c r="G14" s="541"/>
      <c r="H14" s="541"/>
      <c r="I14" s="541"/>
      <c r="J14" s="541"/>
      <c r="K14" s="541"/>
      <c r="L14" s="541"/>
      <c r="M14" s="541"/>
      <c r="N14" s="541"/>
      <c r="O14" s="541"/>
      <c r="P14" s="541"/>
      <c r="Q14" s="541"/>
      <c r="R14" s="541"/>
      <c r="S14" s="541"/>
      <c r="T14" s="541"/>
      <c r="U14" s="541"/>
      <c r="V14" s="542" t="s">
        <v>246</v>
      </c>
      <c r="W14" s="541"/>
      <c r="X14" s="543"/>
    </row>
    <row r="15" spans="1:24" s="544" customFormat="1" x14ac:dyDescent="0.3">
      <c r="A15" s="540"/>
      <c r="B15" s="539" t="s">
        <v>2</v>
      </c>
      <c r="C15" s="541"/>
      <c r="D15" s="541"/>
      <c r="E15" s="541"/>
      <c r="F15" s="541"/>
      <c r="G15" s="541"/>
      <c r="H15" s="545"/>
      <c r="I15" s="545"/>
      <c r="J15" s="545"/>
      <c r="K15" s="545"/>
      <c r="L15" s="545"/>
      <c r="M15" s="545"/>
      <c r="N15" s="545"/>
      <c r="O15" s="545"/>
      <c r="P15" s="545"/>
      <c r="Q15" s="545"/>
      <c r="R15" s="545" t="s">
        <v>104</v>
      </c>
      <c r="S15" s="546">
        <v>0.38300000000000001</v>
      </c>
      <c r="T15" s="547" t="s">
        <v>140</v>
      </c>
      <c r="U15" s="546">
        <v>0.61699999999999999</v>
      </c>
      <c r="V15" s="542"/>
      <c r="W15" s="541"/>
      <c r="X15" s="543"/>
    </row>
    <row r="16" spans="1:24" s="544" customFormat="1" x14ac:dyDescent="0.3">
      <c r="A16" s="540"/>
      <c r="B16" s="539" t="s">
        <v>3</v>
      </c>
      <c r="C16" s="541"/>
      <c r="D16" s="541"/>
      <c r="E16" s="541"/>
      <c r="F16" s="541"/>
      <c r="G16" s="541"/>
      <c r="H16" s="545"/>
      <c r="I16" s="545"/>
      <c r="J16" s="545"/>
      <c r="K16" s="545"/>
      <c r="L16" s="545"/>
      <c r="M16" s="545"/>
      <c r="N16" s="545"/>
      <c r="O16" s="545"/>
      <c r="P16" s="545"/>
      <c r="Q16" s="545"/>
      <c r="R16" s="545" t="s">
        <v>104</v>
      </c>
      <c r="S16" s="546">
        <v>0.48849999999999999</v>
      </c>
      <c r="T16" s="547" t="s">
        <v>140</v>
      </c>
      <c r="U16" s="546">
        <v>0.51149999999999995</v>
      </c>
      <c r="V16" s="542"/>
      <c r="W16" s="541"/>
      <c r="X16" s="543"/>
    </row>
    <row r="17" spans="1:24" s="544" customFormat="1" x14ac:dyDescent="0.3">
      <c r="A17" s="540"/>
      <c r="B17" s="539" t="s">
        <v>4</v>
      </c>
      <c r="C17" s="541"/>
      <c r="D17" s="541"/>
      <c r="E17" s="541"/>
      <c r="F17" s="541"/>
      <c r="G17" s="541"/>
      <c r="H17" s="541"/>
      <c r="I17" s="541"/>
      <c r="J17" s="541"/>
      <c r="K17" s="541"/>
      <c r="L17" s="541"/>
      <c r="M17" s="541"/>
      <c r="N17" s="541"/>
      <c r="O17" s="541"/>
      <c r="P17" s="541"/>
      <c r="Q17" s="541"/>
      <c r="R17" s="541"/>
      <c r="S17" s="541"/>
      <c r="T17" s="541"/>
      <c r="U17" s="541"/>
      <c r="V17" s="548">
        <v>39163</v>
      </c>
      <c r="W17" s="541"/>
      <c r="X17" s="543"/>
    </row>
    <row r="18" spans="1:24" s="544" customFormat="1" x14ac:dyDescent="0.3">
      <c r="A18" s="540"/>
      <c r="B18" s="539" t="s">
        <v>5</v>
      </c>
      <c r="C18" s="541"/>
      <c r="D18" s="541"/>
      <c r="E18" s="541"/>
      <c r="F18" s="541"/>
      <c r="G18" s="541"/>
      <c r="H18" s="541"/>
      <c r="I18" s="541"/>
      <c r="J18" s="541"/>
      <c r="K18" s="541"/>
      <c r="L18" s="541"/>
      <c r="M18" s="541"/>
      <c r="N18" s="541"/>
      <c r="O18" s="541"/>
      <c r="P18" s="541"/>
      <c r="Q18" s="541"/>
      <c r="R18" s="541"/>
      <c r="S18" s="541"/>
      <c r="T18" s="541"/>
      <c r="U18" s="541"/>
      <c r="V18" s="548">
        <v>43091</v>
      </c>
      <c r="W18" s="541"/>
      <c r="X18" s="543"/>
    </row>
    <row r="19" spans="1:24" s="544" customFormat="1" x14ac:dyDescent="0.3">
      <c r="A19" s="540"/>
      <c r="B19" s="541"/>
      <c r="C19" s="541"/>
      <c r="D19" s="541"/>
      <c r="E19" s="541"/>
      <c r="F19" s="541"/>
      <c r="G19" s="541"/>
      <c r="H19" s="541"/>
      <c r="I19" s="541"/>
      <c r="J19" s="541"/>
      <c r="K19" s="541"/>
      <c r="L19" s="541"/>
      <c r="M19" s="541"/>
      <c r="N19" s="541"/>
      <c r="O19" s="541"/>
      <c r="P19" s="541"/>
      <c r="Q19" s="541"/>
      <c r="R19" s="541"/>
      <c r="S19" s="541"/>
      <c r="T19" s="541"/>
      <c r="U19" s="541"/>
      <c r="V19" s="549"/>
      <c r="W19" s="541"/>
      <c r="X19" s="543"/>
    </row>
    <row r="20" spans="1:24" s="544" customFormat="1" x14ac:dyDescent="0.3">
      <c r="A20" s="540"/>
      <c r="B20" s="550" t="s">
        <v>6</v>
      </c>
      <c r="C20" s="541"/>
      <c r="D20" s="541"/>
      <c r="E20" s="541"/>
      <c r="F20" s="541"/>
      <c r="G20" s="541"/>
      <c r="H20" s="541"/>
      <c r="I20" s="541"/>
      <c r="J20" s="541"/>
      <c r="K20" s="541"/>
      <c r="L20" s="541"/>
      <c r="M20" s="541"/>
      <c r="N20" s="541"/>
      <c r="O20" s="541"/>
      <c r="P20" s="541"/>
      <c r="Q20" s="541"/>
      <c r="R20" s="541"/>
      <c r="S20" s="541"/>
      <c r="T20" s="549" t="s">
        <v>105</v>
      </c>
      <c r="U20" s="541"/>
      <c r="V20" s="541"/>
      <c r="W20" s="541"/>
      <c r="X20" s="543"/>
    </row>
    <row r="21" spans="1:24" x14ac:dyDescent="0.3">
      <c r="A21" s="417"/>
      <c r="B21" s="419"/>
      <c r="C21" s="419"/>
      <c r="D21" s="419"/>
      <c r="E21" s="419"/>
      <c r="F21" s="419"/>
      <c r="G21" s="419"/>
      <c r="H21" s="419"/>
      <c r="I21" s="419"/>
      <c r="J21" s="419"/>
      <c r="K21" s="419"/>
      <c r="L21" s="419"/>
      <c r="M21" s="419"/>
      <c r="N21" s="419"/>
      <c r="O21" s="419"/>
      <c r="P21" s="419"/>
      <c r="Q21" s="419"/>
      <c r="R21" s="419"/>
      <c r="S21" s="419"/>
      <c r="T21" s="419"/>
      <c r="U21" s="419"/>
      <c r="V21" s="430"/>
      <c r="W21" s="419"/>
      <c r="X21" s="415"/>
    </row>
    <row r="22" spans="1:24" x14ac:dyDescent="0.3">
      <c r="A22" s="515"/>
      <c r="B22" s="517"/>
      <c r="C22" s="518"/>
      <c r="D22" s="518" t="s">
        <v>177</v>
      </c>
      <c r="E22" s="518"/>
      <c r="F22" s="518" t="s">
        <v>178</v>
      </c>
      <c r="G22" s="518"/>
      <c r="H22" s="518" t="s">
        <v>179</v>
      </c>
      <c r="I22" s="518"/>
      <c r="J22" s="518" t="s">
        <v>220</v>
      </c>
      <c r="K22" s="518"/>
      <c r="L22" s="518" t="s">
        <v>180</v>
      </c>
      <c r="M22" s="518"/>
      <c r="N22" s="518" t="s">
        <v>181</v>
      </c>
      <c r="O22" s="518"/>
      <c r="P22" s="518" t="s">
        <v>221</v>
      </c>
      <c r="Q22" s="518"/>
      <c r="R22" s="518" t="s">
        <v>182</v>
      </c>
      <c r="S22" s="519"/>
      <c r="T22" s="519"/>
      <c r="U22" s="517"/>
      <c r="V22" s="517"/>
      <c r="W22" s="520"/>
      <c r="X22" s="415"/>
    </row>
    <row r="23" spans="1:24" s="544" customFormat="1" x14ac:dyDescent="0.3">
      <c r="A23" s="551"/>
      <c r="B23" s="552" t="s">
        <v>7</v>
      </c>
      <c r="C23" s="553"/>
      <c r="D23" s="553" t="s">
        <v>213</v>
      </c>
      <c r="E23" s="553"/>
      <c r="F23" s="553" t="s">
        <v>141</v>
      </c>
      <c r="G23" s="553"/>
      <c r="H23" s="553" t="s">
        <v>141</v>
      </c>
      <c r="I23" s="553"/>
      <c r="J23" s="553" t="s">
        <v>141</v>
      </c>
      <c r="K23" s="553"/>
      <c r="L23" s="553" t="s">
        <v>183</v>
      </c>
      <c r="M23" s="553"/>
      <c r="N23" s="553" t="s">
        <v>183</v>
      </c>
      <c r="O23" s="553"/>
      <c r="P23" s="553" t="s">
        <v>142</v>
      </c>
      <c r="Q23" s="553"/>
      <c r="R23" s="553" t="s">
        <v>142</v>
      </c>
      <c r="S23" s="553"/>
      <c r="T23" s="553"/>
      <c r="U23" s="552"/>
      <c r="V23" s="552"/>
      <c r="W23" s="554"/>
      <c r="X23" s="543"/>
    </row>
    <row r="24" spans="1:24" s="544" customFormat="1" x14ac:dyDescent="0.3">
      <c r="A24" s="555"/>
      <c r="B24" s="556" t="s">
        <v>8</v>
      </c>
      <c r="C24" s="557"/>
      <c r="D24" s="557" t="s">
        <v>214</v>
      </c>
      <c r="E24" s="557"/>
      <c r="F24" s="557" t="s">
        <v>143</v>
      </c>
      <c r="G24" s="557"/>
      <c r="H24" s="557" t="s">
        <v>143</v>
      </c>
      <c r="I24" s="557"/>
      <c r="J24" s="557" t="s">
        <v>143</v>
      </c>
      <c r="K24" s="557"/>
      <c r="L24" s="557" t="s">
        <v>165</v>
      </c>
      <c r="M24" s="557"/>
      <c r="N24" s="557" t="s">
        <v>165</v>
      </c>
      <c r="O24" s="557"/>
      <c r="P24" s="557" t="s">
        <v>144</v>
      </c>
      <c r="Q24" s="557"/>
      <c r="R24" s="557" t="s">
        <v>144</v>
      </c>
      <c r="S24" s="557"/>
      <c r="T24" s="557"/>
      <c r="U24" s="556"/>
      <c r="V24" s="556"/>
      <c r="W24" s="558"/>
      <c r="X24" s="543"/>
    </row>
    <row r="25" spans="1:24" s="544" customFormat="1" x14ac:dyDescent="0.3">
      <c r="A25" s="559"/>
      <c r="B25" s="556" t="s">
        <v>190</v>
      </c>
      <c r="C25" s="560"/>
      <c r="D25" s="557" t="s">
        <v>215</v>
      </c>
      <c r="E25" s="557"/>
      <c r="F25" s="557" t="s">
        <v>143</v>
      </c>
      <c r="G25" s="557"/>
      <c r="H25" s="557" t="s">
        <v>143</v>
      </c>
      <c r="I25" s="557"/>
      <c r="J25" s="557" t="s">
        <v>143</v>
      </c>
      <c r="K25" s="557"/>
      <c r="L25" s="557" t="s">
        <v>293</v>
      </c>
      <c r="M25" s="557"/>
      <c r="N25" s="557" t="s">
        <v>293</v>
      </c>
      <c r="O25" s="557"/>
      <c r="P25" s="557" t="s">
        <v>144</v>
      </c>
      <c r="Q25" s="557"/>
      <c r="R25" s="557" t="s">
        <v>144</v>
      </c>
      <c r="S25" s="560"/>
      <c r="T25" s="557"/>
      <c r="U25" s="556"/>
      <c r="V25" s="556"/>
      <c r="W25" s="558"/>
      <c r="X25" s="543"/>
    </row>
    <row r="26" spans="1:24" s="544" customFormat="1" x14ac:dyDescent="0.3">
      <c r="A26" s="559"/>
      <c r="B26" s="561" t="s">
        <v>9</v>
      </c>
      <c r="C26" s="560"/>
      <c r="D26" s="560" t="s">
        <v>333</v>
      </c>
      <c r="E26" s="560"/>
      <c r="F26" s="560" t="s">
        <v>333</v>
      </c>
      <c r="G26" s="560"/>
      <c r="H26" s="560" t="s">
        <v>333</v>
      </c>
      <c r="I26" s="560"/>
      <c r="J26" s="560" t="s">
        <v>333</v>
      </c>
      <c r="K26" s="560"/>
      <c r="L26" s="560" t="s">
        <v>333</v>
      </c>
      <c r="M26" s="560"/>
      <c r="N26" s="560" t="s">
        <v>333</v>
      </c>
      <c r="O26" s="560"/>
      <c r="P26" s="560" t="s">
        <v>334</v>
      </c>
      <c r="Q26" s="560"/>
      <c r="R26" s="560" t="s">
        <v>334</v>
      </c>
      <c r="S26" s="560"/>
      <c r="T26" s="557"/>
      <c r="U26" s="556"/>
      <c r="V26" s="556"/>
      <c r="W26" s="558"/>
      <c r="X26" s="543"/>
    </row>
    <row r="27" spans="1:24" s="544" customFormat="1" x14ac:dyDescent="0.3">
      <c r="A27" s="555"/>
      <c r="B27" s="561" t="s">
        <v>191</v>
      </c>
      <c r="C27" s="557"/>
      <c r="D27" s="560" t="s">
        <v>143</v>
      </c>
      <c r="E27" s="560"/>
      <c r="F27" s="560" t="s">
        <v>143</v>
      </c>
      <c r="G27" s="560"/>
      <c r="H27" s="560" t="s">
        <v>143</v>
      </c>
      <c r="I27" s="560"/>
      <c r="J27" s="560" t="s">
        <v>143</v>
      </c>
      <c r="K27" s="560"/>
      <c r="L27" s="560" t="s">
        <v>293</v>
      </c>
      <c r="M27" s="560"/>
      <c r="N27" s="560" t="s">
        <v>293</v>
      </c>
      <c r="O27" s="560"/>
      <c r="P27" s="560" t="s">
        <v>144</v>
      </c>
      <c r="Q27" s="560"/>
      <c r="R27" s="560" t="s">
        <v>144</v>
      </c>
      <c r="S27" s="557"/>
      <c r="T27" s="562"/>
      <c r="U27" s="556"/>
      <c r="V27" s="556"/>
      <c r="W27" s="558"/>
      <c r="X27" s="543"/>
    </row>
    <row r="28" spans="1:24" s="544" customFormat="1" x14ac:dyDescent="0.3">
      <c r="A28" s="555"/>
      <c r="B28" s="561" t="s">
        <v>192</v>
      </c>
      <c r="C28" s="557"/>
      <c r="D28" s="560" t="s">
        <v>143</v>
      </c>
      <c r="E28" s="560"/>
      <c r="F28" s="560" t="s">
        <v>143</v>
      </c>
      <c r="G28" s="560"/>
      <c r="H28" s="560" t="s">
        <v>143</v>
      </c>
      <c r="I28" s="560"/>
      <c r="J28" s="560" t="s">
        <v>143</v>
      </c>
      <c r="K28" s="560"/>
      <c r="L28" s="560" t="s">
        <v>143</v>
      </c>
      <c r="M28" s="560"/>
      <c r="N28" s="560" t="s">
        <v>143</v>
      </c>
      <c r="O28" s="560"/>
      <c r="P28" s="560" t="s">
        <v>337</v>
      </c>
      <c r="Q28" s="560"/>
      <c r="R28" s="560" t="s">
        <v>337</v>
      </c>
      <c r="S28" s="557"/>
      <c r="T28" s="562"/>
      <c r="U28" s="556"/>
      <c r="V28" s="556"/>
      <c r="W28" s="558"/>
      <c r="X28" s="543"/>
    </row>
    <row r="29" spans="1:24" s="544" customFormat="1" x14ac:dyDescent="0.3">
      <c r="A29" s="555"/>
      <c r="B29" s="556" t="s">
        <v>10</v>
      </c>
      <c r="C29" s="563"/>
      <c r="D29" s="557" t="s">
        <v>249</v>
      </c>
      <c r="E29" s="557"/>
      <c r="F29" s="562" t="s">
        <v>250</v>
      </c>
      <c r="G29" s="557"/>
      <c r="H29" s="557" t="s">
        <v>251</v>
      </c>
      <c r="I29" s="557"/>
      <c r="J29" s="557" t="s">
        <v>253</v>
      </c>
      <c r="K29" s="557"/>
      <c r="L29" s="557" t="s">
        <v>254</v>
      </c>
      <c r="M29" s="557"/>
      <c r="N29" s="557" t="s">
        <v>255</v>
      </c>
      <c r="O29" s="557"/>
      <c r="P29" s="557" t="s">
        <v>256</v>
      </c>
      <c r="Q29" s="557"/>
      <c r="R29" s="557" t="s">
        <v>257</v>
      </c>
      <c r="S29" s="564"/>
      <c r="T29" s="564"/>
      <c r="U29" s="563"/>
      <c r="V29" s="564"/>
      <c r="W29" s="565"/>
      <c r="X29" s="543"/>
    </row>
    <row r="30" spans="1:24" s="544" customFormat="1" x14ac:dyDescent="0.3">
      <c r="A30" s="555"/>
      <c r="B30" s="556" t="s">
        <v>10</v>
      </c>
      <c r="C30" s="563"/>
      <c r="D30" s="557" t="s">
        <v>248</v>
      </c>
      <c r="E30" s="557"/>
      <c r="F30" s="562" t="s">
        <v>118</v>
      </c>
      <c r="G30" s="557"/>
      <c r="H30" s="557" t="s">
        <v>118</v>
      </c>
      <c r="I30" s="557"/>
      <c r="J30" s="557" t="s">
        <v>252</v>
      </c>
      <c r="K30" s="557"/>
      <c r="L30" s="557" t="s">
        <v>118</v>
      </c>
      <c r="M30" s="557"/>
      <c r="N30" s="557" t="s">
        <v>118</v>
      </c>
      <c r="O30" s="557"/>
      <c r="P30" s="557" t="s">
        <v>118</v>
      </c>
      <c r="Q30" s="557"/>
      <c r="R30" s="557" t="s">
        <v>118</v>
      </c>
      <c r="S30" s="564"/>
      <c r="T30" s="564"/>
      <c r="U30" s="563"/>
      <c r="V30" s="564"/>
      <c r="W30" s="565"/>
      <c r="X30" s="543"/>
    </row>
    <row r="31" spans="1:24" s="544" customFormat="1" x14ac:dyDescent="0.3">
      <c r="A31" s="559"/>
      <c r="B31" s="556" t="s">
        <v>133</v>
      </c>
      <c r="C31" s="566"/>
      <c r="D31" s="567">
        <v>1500000</v>
      </c>
      <c r="E31" s="563"/>
      <c r="F31" s="564">
        <v>125000</v>
      </c>
      <c r="G31" s="564"/>
      <c r="H31" s="568">
        <v>246000</v>
      </c>
      <c r="I31" s="568"/>
      <c r="J31" s="567">
        <v>400000</v>
      </c>
      <c r="K31" s="564"/>
      <c r="L31" s="564">
        <v>51900</v>
      </c>
      <c r="M31" s="564"/>
      <c r="N31" s="568">
        <v>88800</v>
      </c>
      <c r="O31" s="564"/>
      <c r="P31" s="564">
        <v>20000</v>
      </c>
      <c r="Q31" s="564"/>
      <c r="R31" s="568">
        <v>135500</v>
      </c>
      <c r="S31" s="569"/>
      <c r="T31" s="569"/>
      <c r="U31" s="566"/>
      <c r="V31" s="569"/>
      <c r="W31" s="565"/>
      <c r="X31" s="543"/>
    </row>
    <row r="32" spans="1:24" s="544" customFormat="1" x14ac:dyDescent="0.3">
      <c r="A32" s="555"/>
      <c r="B32" s="556" t="s">
        <v>132</v>
      </c>
      <c r="C32" s="563"/>
      <c r="D32" s="570">
        <f>D34*D38</f>
        <v>396561.96357120003</v>
      </c>
      <c r="E32" s="563"/>
      <c r="F32" s="564">
        <f>F31*F38</f>
        <v>63945.824999999997</v>
      </c>
      <c r="G32" s="564"/>
      <c r="H32" s="568">
        <f>H31*H38</f>
        <v>125845.3836</v>
      </c>
      <c r="I32" s="568"/>
      <c r="J32" s="567">
        <f>J31*J38</f>
        <v>204625.92000000001</v>
      </c>
      <c r="K32" s="564"/>
      <c r="L32" s="564">
        <f>+L31</f>
        <v>51900</v>
      </c>
      <c r="M32" s="564"/>
      <c r="N32" s="568">
        <f>+N31</f>
        <v>88800</v>
      </c>
      <c r="O32" s="564"/>
      <c r="P32" s="564">
        <f>+P31</f>
        <v>20000</v>
      </c>
      <c r="Q32" s="564"/>
      <c r="R32" s="568">
        <f>+R31</f>
        <v>135500</v>
      </c>
      <c r="S32" s="564"/>
      <c r="T32" s="564"/>
      <c r="U32" s="563"/>
      <c r="V32" s="564"/>
      <c r="W32" s="565"/>
      <c r="X32" s="543"/>
    </row>
    <row r="33" spans="1:24" s="544" customFormat="1" x14ac:dyDescent="0.3">
      <c r="A33" s="555"/>
      <c r="B33" s="561" t="s">
        <v>134</v>
      </c>
      <c r="C33" s="563"/>
      <c r="D33" s="571">
        <f>D34*D37</f>
        <v>389909.24866319995</v>
      </c>
      <c r="E33" s="566"/>
      <c r="F33" s="569">
        <f>F37*F31</f>
        <v>62873.074999999997</v>
      </c>
      <c r="G33" s="569"/>
      <c r="H33" s="572">
        <f>H31*H37</f>
        <v>123734.2116</v>
      </c>
      <c r="I33" s="572"/>
      <c r="J33" s="573">
        <f>J37*J31</f>
        <v>201193.12</v>
      </c>
      <c r="K33" s="569"/>
      <c r="L33" s="569">
        <f>L31*L37</f>
        <v>51900</v>
      </c>
      <c r="M33" s="569"/>
      <c r="N33" s="572">
        <f>N31*N37</f>
        <v>88800</v>
      </c>
      <c r="O33" s="569"/>
      <c r="P33" s="569">
        <f>P31*P37</f>
        <v>20000</v>
      </c>
      <c r="Q33" s="569"/>
      <c r="R33" s="572">
        <f>R31*R37</f>
        <v>135500</v>
      </c>
      <c r="S33" s="564"/>
      <c r="T33" s="564"/>
      <c r="U33" s="563"/>
      <c r="V33" s="564"/>
      <c r="W33" s="565"/>
      <c r="X33" s="543"/>
    </row>
    <row r="34" spans="1:24" s="544" customFormat="1" x14ac:dyDescent="0.3">
      <c r="A34" s="559"/>
      <c r="B34" s="556" t="s">
        <v>296</v>
      </c>
      <c r="C34" s="566"/>
      <c r="D34" s="564">
        <v>775194</v>
      </c>
      <c r="E34" s="563"/>
      <c r="F34" s="564">
        <v>125000</v>
      </c>
      <c r="G34" s="564"/>
      <c r="H34" s="564">
        <v>168148</v>
      </c>
      <c r="I34" s="564"/>
      <c r="J34" s="564">
        <v>206718</v>
      </c>
      <c r="K34" s="564"/>
      <c r="L34" s="564">
        <v>51900</v>
      </c>
      <c r="M34" s="564"/>
      <c r="N34" s="564">
        <v>60697</v>
      </c>
      <c r="O34" s="564"/>
      <c r="P34" s="564">
        <v>20000</v>
      </c>
      <c r="Q34" s="564"/>
      <c r="R34" s="564">
        <v>92618</v>
      </c>
      <c r="S34" s="569"/>
      <c r="T34" s="569"/>
      <c r="U34" s="566"/>
      <c r="V34" s="564">
        <f>SUM(C34:R34)</f>
        <v>1500275</v>
      </c>
      <c r="W34" s="565"/>
      <c r="X34" s="543"/>
    </row>
    <row r="35" spans="1:24" s="544" customFormat="1" x14ac:dyDescent="0.3">
      <c r="A35" s="559"/>
      <c r="B35" s="556" t="s">
        <v>297</v>
      </c>
      <c r="C35" s="566"/>
      <c r="D35" s="564">
        <f>D34*D38</f>
        <v>396561.96357120003</v>
      </c>
      <c r="E35" s="563"/>
      <c r="F35" s="564">
        <f>F34*F38</f>
        <v>63945.824999999997</v>
      </c>
      <c r="G35" s="564"/>
      <c r="H35" s="564">
        <f>H34*H38</f>
        <v>86018.900656800004</v>
      </c>
      <c r="I35" s="564"/>
      <c r="J35" s="564">
        <f>J34*J38</f>
        <v>105749.65232640001</v>
      </c>
      <c r="K35" s="564"/>
      <c r="L35" s="564">
        <f>+L34</f>
        <v>51900</v>
      </c>
      <c r="M35" s="564"/>
      <c r="N35" s="564">
        <f>+N34</f>
        <v>60697</v>
      </c>
      <c r="O35" s="564"/>
      <c r="P35" s="564">
        <f>+P34</f>
        <v>20000</v>
      </c>
      <c r="Q35" s="564"/>
      <c r="R35" s="564">
        <f>+R34</f>
        <v>92618</v>
      </c>
      <c r="S35" s="564"/>
      <c r="T35" s="564"/>
      <c r="U35" s="563"/>
      <c r="V35" s="564">
        <f>SUM(C35:R35)</f>
        <v>877491.34155440005</v>
      </c>
      <c r="W35" s="565"/>
      <c r="X35" s="543"/>
    </row>
    <row r="36" spans="1:24" s="544" customFormat="1" x14ac:dyDescent="0.3">
      <c r="A36" s="559"/>
      <c r="B36" s="561" t="s">
        <v>298</v>
      </c>
      <c r="C36" s="566"/>
      <c r="D36" s="569">
        <f>D34*D37</f>
        <v>389909.24866319995</v>
      </c>
      <c r="E36" s="566"/>
      <c r="F36" s="569">
        <f>F34*F37</f>
        <v>62873.074999999997</v>
      </c>
      <c r="G36" s="569"/>
      <c r="H36" s="569">
        <f>H34*H37</f>
        <v>84575.8545208</v>
      </c>
      <c r="I36" s="569"/>
      <c r="J36" s="569">
        <f>J34*J37</f>
        <v>103975.59845039999</v>
      </c>
      <c r="K36" s="569"/>
      <c r="L36" s="569">
        <f>L34*L37</f>
        <v>51900</v>
      </c>
      <c r="M36" s="569"/>
      <c r="N36" s="569">
        <f>N34*N37</f>
        <v>60697</v>
      </c>
      <c r="O36" s="569"/>
      <c r="P36" s="569">
        <f>P34*P37</f>
        <v>20000</v>
      </c>
      <c r="Q36" s="569"/>
      <c r="R36" s="569">
        <f>R34*R37</f>
        <v>92618</v>
      </c>
      <c r="S36" s="574"/>
      <c r="T36" s="574"/>
      <c r="U36" s="563"/>
      <c r="V36" s="569">
        <f>SUM(C36:R36)</f>
        <v>866548.77663440001</v>
      </c>
      <c r="W36" s="565"/>
      <c r="X36" s="543"/>
    </row>
    <row r="37" spans="1:24" s="499" customFormat="1" x14ac:dyDescent="0.3">
      <c r="A37" s="492"/>
      <c r="B37" s="493" t="s">
        <v>130</v>
      </c>
      <c r="C37" s="494"/>
      <c r="D37" s="495">
        <v>0.50298279999999995</v>
      </c>
      <c r="E37" s="495"/>
      <c r="F37" s="495">
        <v>0.5029846</v>
      </c>
      <c r="G37" s="495"/>
      <c r="H37" s="495">
        <v>0.5029846</v>
      </c>
      <c r="I37" s="495"/>
      <c r="J37" s="495">
        <v>0.50298279999999995</v>
      </c>
      <c r="K37" s="495"/>
      <c r="L37" s="495">
        <v>1</v>
      </c>
      <c r="M37" s="495"/>
      <c r="N37" s="495">
        <v>1</v>
      </c>
      <c r="O37" s="495"/>
      <c r="P37" s="495">
        <v>1</v>
      </c>
      <c r="Q37" s="495"/>
      <c r="R37" s="495">
        <v>1</v>
      </c>
      <c r="S37" s="496"/>
      <c r="T37" s="496"/>
      <c r="U37" s="494"/>
      <c r="V37" s="494"/>
      <c r="W37" s="497"/>
      <c r="X37" s="498"/>
    </row>
    <row r="38" spans="1:24" s="499" customFormat="1" x14ac:dyDescent="0.3">
      <c r="A38" s="492"/>
      <c r="B38" s="493" t="s">
        <v>131</v>
      </c>
      <c r="C38" s="494"/>
      <c r="D38" s="495">
        <v>0.51156480000000004</v>
      </c>
      <c r="E38" s="495"/>
      <c r="F38" s="495">
        <v>0.51156659999999998</v>
      </c>
      <c r="G38" s="495"/>
      <c r="H38" s="495">
        <v>0.51156659999999998</v>
      </c>
      <c r="I38" s="495"/>
      <c r="J38" s="495">
        <v>0.51156480000000004</v>
      </c>
      <c r="K38" s="495"/>
      <c r="L38" s="495">
        <v>1</v>
      </c>
      <c r="M38" s="495"/>
      <c r="N38" s="495">
        <v>1</v>
      </c>
      <c r="O38" s="495"/>
      <c r="P38" s="495">
        <v>1</v>
      </c>
      <c r="Q38" s="495"/>
      <c r="R38" s="495">
        <v>1</v>
      </c>
      <c r="S38" s="500"/>
      <c r="T38" s="501"/>
      <c r="U38" s="494"/>
      <c r="V38" s="500"/>
      <c r="W38" s="497"/>
      <c r="X38" s="498"/>
    </row>
    <row r="39" spans="1:24" s="544" customFormat="1" x14ac:dyDescent="0.3">
      <c r="A39" s="555"/>
      <c r="B39" s="556" t="s">
        <v>11</v>
      </c>
      <c r="C39" s="556"/>
      <c r="D39" s="562" t="s">
        <v>321</v>
      </c>
      <c r="E39" s="556"/>
      <c r="F39" s="562" t="s">
        <v>231</v>
      </c>
      <c r="G39" s="562"/>
      <c r="H39" s="562" t="s">
        <v>231</v>
      </c>
      <c r="I39" s="562"/>
      <c r="J39" s="562" t="s">
        <v>231</v>
      </c>
      <c r="K39" s="562"/>
      <c r="L39" s="562" t="s">
        <v>265</v>
      </c>
      <c r="M39" s="562"/>
      <c r="N39" s="562" t="s">
        <v>265</v>
      </c>
      <c r="O39" s="562"/>
      <c r="P39" s="562" t="s">
        <v>266</v>
      </c>
      <c r="Q39" s="562"/>
      <c r="R39" s="562" t="s">
        <v>266</v>
      </c>
      <c r="S39" s="575"/>
      <c r="T39" s="576"/>
      <c r="U39" s="556"/>
      <c r="V39" s="556"/>
      <c r="W39" s="558"/>
      <c r="X39" s="543"/>
    </row>
    <row r="40" spans="1:24" s="544" customFormat="1" x14ac:dyDescent="0.3">
      <c r="A40" s="555"/>
      <c r="B40" s="556" t="s">
        <v>12</v>
      </c>
      <c r="C40" s="556"/>
      <c r="D40" s="576">
        <v>5.2687999999999997E-3</v>
      </c>
      <c r="E40" s="556"/>
      <c r="F40" s="576">
        <v>5.2687999999999997E-3</v>
      </c>
      <c r="G40" s="575"/>
      <c r="H40" s="576">
        <v>0</v>
      </c>
      <c r="I40" s="576"/>
      <c r="J40" s="576">
        <v>1.52E-2</v>
      </c>
      <c r="K40" s="575"/>
      <c r="L40" s="576">
        <v>6.8688000000000004E-3</v>
      </c>
      <c r="M40" s="575"/>
      <c r="N40" s="576">
        <v>3.1E-4</v>
      </c>
      <c r="O40" s="575"/>
      <c r="P40" s="576">
        <v>1.08688E-2</v>
      </c>
      <c r="Q40" s="575"/>
      <c r="R40" s="576">
        <v>4.3099999999999996E-3</v>
      </c>
      <c r="S40" s="575"/>
      <c r="T40" s="576"/>
      <c r="U40" s="556"/>
      <c r="V40" s="562"/>
      <c r="W40" s="558"/>
      <c r="X40" s="543"/>
    </row>
    <row r="41" spans="1:24" s="544" customFormat="1" x14ac:dyDescent="0.3">
      <c r="A41" s="555"/>
      <c r="B41" s="556" t="s">
        <v>13</v>
      </c>
      <c r="C41" s="556"/>
      <c r="D41" s="576">
        <v>4.8868999999999996E-3</v>
      </c>
      <c r="E41" s="556"/>
      <c r="F41" s="576">
        <v>4.8868999999999996E-3</v>
      </c>
      <c r="G41" s="575"/>
      <c r="H41" s="576">
        <v>0</v>
      </c>
      <c r="I41" s="576"/>
      <c r="J41" s="576">
        <v>1.4455600000000001E-2</v>
      </c>
      <c r="K41" s="575"/>
      <c r="L41" s="576">
        <v>6.4869000000000003E-3</v>
      </c>
      <c r="M41" s="575"/>
      <c r="N41" s="576">
        <v>2.9E-4</v>
      </c>
      <c r="O41" s="575"/>
      <c r="P41" s="576">
        <v>1.04869E-2</v>
      </c>
      <c r="Q41" s="575"/>
      <c r="R41" s="576">
        <v>4.2900000000000004E-3</v>
      </c>
      <c r="S41" s="575"/>
      <c r="T41" s="576"/>
      <c r="U41" s="556"/>
      <c r="V41" s="575" t="s">
        <v>193</v>
      </c>
      <c r="W41" s="558"/>
      <c r="X41" s="543"/>
    </row>
    <row r="42" spans="1:24" s="544" customFormat="1" x14ac:dyDescent="0.3">
      <c r="A42" s="555"/>
      <c r="B42" s="556" t="s">
        <v>299</v>
      </c>
      <c r="C42" s="556"/>
      <c r="D42" s="562" t="s">
        <v>321</v>
      </c>
      <c r="E42" s="556"/>
      <c r="F42" s="562" t="s">
        <v>231</v>
      </c>
      <c r="G42" s="562"/>
      <c r="H42" s="562" t="s">
        <v>323</v>
      </c>
      <c r="I42" s="562"/>
      <c r="J42" s="562" t="s">
        <v>324</v>
      </c>
      <c r="K42" s="562"/>
      <c r="L42" s="562" t="s">
        <v>265</v>
      </c>
      <c r="M42" s="562"/>
      <c r="N42" s="562" t="s">
        <v>234</v>
      </c>
      <c r="O42" s="562"/>
      <c r="P42" s="562" t="s">
        <v>266</v>
      </c>
      <c r="Q42" s="562"/>
      <c r="R42" s="562" t="s">
        <v>264</v>
      </c>
      <c r="S42" s="575"/>
      <c r="T42" s="576"/>
      <c r="U42" s="556"/>
      <c r="V42" s="556"/>
      <c r="W42" s="558"/>
      <c r="X42" s="543"/>
    </row>
    <row r="43" spans="1:24" s="544" customFormat="1" x14ac:dyDescent="0.3">
      <c r="A43" s="555"/>
      <c r="B43" s="556" t="s">
        <v>300</v>
      </c>
      <c r="C43" s="577"/>
      <c r="D43" s="576">
        <f>D40</f>
        <v>5.2687999999999997E-3</v>
      </c>
      <c r="E43" s="576"/>
      <c r="F43" s="576">
        <f>+F40</f>
        <v>5.2687999999999997E-3</v>
      </c>
      <c r="G43" s="576"/>
      <c r="H43" s="576">
        <v>5.5488000000000004E-3</v>
      </c>
      <c r="I43" s="576"/>
      <c r="J43" s="576">
        <v>5.9947999999999998E-3</v>
      </c>
      <c r="K43" s="576"/>
      <c r="L43" s="576">
        <f>+L40</f>
        <v>6.8688000000000004E-3</v>
      </c>
      <c r="M43" s="576"/>
      <c r="N43" s="576">
        <v>7.4608000000000001E-3</v>
      </c>
      <c r="O43" s="576"/>
      <c r="P43" s="576">
        <f>+P40</f>
        <v>1.08688E-2</v>
      </c>
      <c r="Q43" s="575"/>
      <c r="R43" s="576">
        <v>1.1934800000000001E-2</v>
      </c>
      <c r="S43" s="562"/>
      <c r="T43" s="562"/>
      <c r="U43" s="556"/>
      <c r="V43" s="575">
        <f>SUMPRODUCT(D43:R43,D35:R35)/V35</f>
        <v>6.4612208276737769E-3</v>
      </c>
      <c r="W43" s="558"/>
      <c r="X43" s="543"/>
    </row>
    <row r="44" spans="1:24" s="544" customFormat="1" x14ac:dyDescent="0.3">
      <c r="A44" s="555"/>
      <c r="B44" s="556" t="s">
        <v>301</v>
      </c>
      <c r="C44" s="577"/>
      <c r="D44" s="576">
        <f>D41</f>
        <v>4.8868999999999996E-3</v>
      </c>
      <c r="E44" s="576"/>
      <c r="F44" s="576">
        <f>+F41</f>
        <v>4.8868999999999996E-3</v>
      </c>
      <c r="G44" s="576"/>
      <c r="H44" s="576">
        <v>5.1669000000000003E-3</v>
      </c>
      <c r="I44" s="576"/>
      <c r="J44" s="576">
        <v>5.6128999999999997E-3</v>
      </c>
      <c r="K44" s="576"/>
      <c r="L44" s="576">
        <f>+L41</f>
        <v>6.4869000000000003E-3</v>
      </c>
      <c r="M44" s="576"/>
      <c r="N44" s="576">
        <v>7.0788999999999999E-3</v>
      </c>
      <c r="O44" s="576"/>
      <c r="P44" s="576">
        <f>+P41</f>
        <v>1.04869E-2</v>
      </c>
      <c r="Q44" s="575"/>
      <c r="R44" s="576">
        <v>1.15529E-2</v>
      </c>
      <c r="S44" s="562"/>
      <c r="T44" s="562"/>
      <c r="U44" s="556"/>
      <c r="V44" s="556"/>
      <c r="W44" s="558"/>
      <c r="X44" s="543"/>
    </row>
    <row r="45" spans="1:24" s="544" customFormat="1" x14ac:dyDescent="0.3">
      <c r="A45" s="555"/>
      <c r="B45" s="556" t="s">
        <v>14</v>
      </c>
      <c r="C45" s="556"/>
      <c r="D45" s="577">
        <v>40617</v>
      </c>
      <c r="E45" s="577"/>
      <c r="F45" s="577">
        <v>40617</v>
      </c>
      <c r="G45" s="577"/>
      <c r="H45" s="577">
        <v>40617</v>
      </c>
      <c r="I45" s="577"/>
      <c r="J45" s="577">
        <v>40617</v>
      </c>
      <c r="K45" s="577"/>
      <c r="L45" s="577">
        <v>40617</v>
      </c>
      <c r="M45" s="577"/>
      <c r="N45" s="577">
        <v>40617</v>
      </c>
      <c r="O45" s="577"/>
      <c r="P45" s="577">
        <v>40617</v>
      </c>
      <c r="Q45" s="577"/>
      <c r="R45" s="577">
        <v>40617</v>
      </c>
      <c r="S45" s="562"/>
      <c r="T45" s="562"/>
      <c r="U45" s="556"/>
      <c r="V45" s="556"/>
      <c r="W45" s="558"/>
      <c r="X45" s="543"/>
    </row>
    <row r="46" spans="1:24" s="544" customFormat="1" x14ac:dyDescent="0.3">
      <c r="A46" s="555"/>
      <c r="B46" s="556" t="s">
        <v>15</v>
      </c>
      <c r="C46" s="556"/>
      <c r="D46" s="577">
        <v>40983</v>
      </c>
      <c r="E46" s="577"/>
      <c r="F46" s="577">
        <v>40983</v>
      </c>
      <c r="G46" s="577"/>
      <c r="H46" s="577">
        <v>40983</v>
      </c>
      <c r="I46" s="577"/>
      <c r="J46" s="577">
        <v>40983</v>
      </c>
      <c r="K46" s="562"/>
      <c r="L46" s="577">
        <v>40983</v>
      </c>
      <c r="M46" s="562"/>
      <c r="N46" s="577">
        <v>40983</v>
      </c>
      <c r="O46" s="562"/>
      <c r="P46" s="577">
        <v>40983</v>
      </c>
      <c r="Q46" s="562"/>
      <c r="R46" s="577">
        <v>40983</v>
      </c>
      <c r="S46" s="562"/>
      <c r="T46" s="562"/>
      <c r="U46" s="556"/>
      <c r="V46" s="556"/>
      <c r="W46" s="558"/>
      <c r="X46" s="543"/>
    </row>
    <row r="47" spans="1:24" s="544" customFormat="1" x14ac:dyDescent="0.3">
      <c r="A47" s="555"/>
      <c r="B47" s="556" t="s">
        <v>119</v>
      </c>
      <c r="C47" s="556"/>
      <c r="D47" s="562" t="s">
        <v>231</v>
      </c>
      <c r="E47" s="556"/>
      <c r="F47" s="562" t="s">
        <v>231</v>
      </c>
      <c r="G47" s="562"/>
      <c r="H47" s="562" t="s">
        <v>231</v>
      </c>
      <c r="I47" s="562"/>
      <c r="J47" s="562" t="s">
        <v>231</v>
      </c>
      <c r="K47" s="562"/>
      <c r="L47" s="562" t="s">
        <v>265</v>
      </c>
      <c r="M47" s="562"/>
      <c r="N47" s="562" t="s">
        <v>265</v>
      </c>
      <c r="O47" s="562"/>
      <c r="P47" s="562" t="s">
        <v>266</v>
      </c>
      <c r="Q47" s="562"/>
      <c r="R47" s="562" t="s">
        <v>266</v>
      </c>
      <c r="S47" s="578"/>
      <c r="T47" s="578"/>
      <c r="U47" s="578"/>
      <c r="V47" s="578"/>
      <c r="W47" s="558"/>
      <c r="X47" s="543"/>
    </row>
    <row r="48" spans="1:24" s="544" customFormat="1" x14ac:dyDescent="0.3">
      <c r="A48" s="555"/>
      <c r="B48" s="556" t="s">
        <v>302</v>
      </c>
      <c r="C48" s="556"/>
      <c r="D48" s="562" t="s">
        <v>325</v>
      </c>
      <c r="E48" s="556"/>
      <c r="F48" s="562" t="s">
        <v>231</v>
      </c>
      <c r="G48" s="562"/>
      <c r="H48" s="562" t="s">
        <v>262</v>
      </c>
      <c r="I48" s="562"/>
      <c r="J48" s="562" t="s">
        <v>263</v>
      </c>
      <c r="K48" s="562"/>
      <c r="L48" s="562" t="s">
        <v>265</v>
      </c>
      <c r="M48" s="562"/>
      <c r="N48" s="562" t="s">
        <v>234</v>
      </c>
      <c r="O48" s="562"/>
      <c r="P48" s="562" t="s">
        <v>266</v>
      </c>
      <c r="Q48" s="562"/>
      <c r="R48" s="562" t="s">
        <v>264</v>
      </c>
      <c r="S48" s="556"/>
      <c r="T48" s="556"/>
      <c r="U48" s="556"/>
      <c r="V48" s="575"/>
      <c r="W48" s="558"/>
      <c r="X48" s="543"/>
    </row>
    <row r="49" spans="1:25" s="544" customFormat="1" x14ac:dyDescent="0.3">
      <c r="A49" s="555"/>
      <c r="B49" s="556"/>
      <c r="C49" s="556"/>
      <c r="D49" s="562"/>
      <c r="E49" s="556"/>
      <c r="F49" s="562"/>
      <c r="G49" s="562"/>
      <c r="H49" s="562"/>
      <c r="I49" s="562"/>
      <c r="J49" s="562"/>
      <c r="K49" s="562"/>
      <c r="L49" s="562"/>
      <c r="M49" s="562"/>
      <c r="N49" s="562"/>
      <c r="O49" s="562"/>
      <c r="P49" s="562"/>
      <c r="Q49" s="562"/>
      <c r="R49" s="562"/>
      <c r="S49" s="556"/>
      <c r="T49" s="556"/>
      <c r="U49" s="556"/>
      <c r="V49" s="575" t="s">
        <v>193</v>
      </c>
      <c r="W49" s="558"/>
      <c r="X49" s="543"/>
    </row>
    <row r="50" spans="1:25" s="544" customFormat="1" x14ac:dyDescent="0.3">
      <c r="A50" s="555"/>
      <c r="B50" s="556" t="s">
        <v>169</v>
      </c>
      <c r="C50" s="556"/>
      <c r="D50" s="562"/>
      <c r="E50" s="556"/>
      <c r="F50" s="562"/>
      <c r="G50" s="562"/>
      <c r="H50" s="562"/>
      <c r="I50" s="562"/>
      <c r="J50" s="562"/>
      <c r="K50" s="562"/>
      <c r="L50" s="562"/>
      <c r="M50" s="562"/>
      <c r="N50" s="562"/>
      <c r="O50" s="562"/>
      <c r="P50" s="562"/>
      <c r="Q50" s="562"/>
      <c r="R50" s="562"/>
      <c r="S50" s="556"/>
      <c r="T50" s="556"/>
      <c r="U50" s="556"/>
      <c r="V50" s="575">
        <f>SUM(L34:R34)/SUM(D34:J34)</f>
        <v>0.17663090364375009</v>
      </c>
      <c r="W50" s="558"/>
      <c r="X50" s="543"/>
    </row>
    <row r="51" spans="1:25" s="544" customFormat="1" x14ac:dyDescent="0.3">
      <c r="A51" s="555"/>
      <c r="B51" s="556" t="s">
        <v>170</v>
      </c>
      <c r="C51" s="556"/>
      <c r="D51" s="556"/>
      <c r="E51" s="556"/>
      <c r="F51" s="579"/>
      <c r="G51" s="556"/>
      <c r="H51" s="556"/>
      <c r="I51" s="556"/>
      <c r="J51" s="556"/>
      <c r="K51" s="556"/>
      <c r="L51" s="556"/>
      <c r="M51" s="556"/>
      <c r="N51" s="556"/>
      <c r="O51" s="556"/>
      <c r="P51" s="556"/>
      <c r="Q51" s="556"/>
      <c r="R51" s="556"/>
      <c r="S51" s="556"/>
      <c r="T51" s="556"/>
      <c r="U51" s="556"/>
      <c r="V51" s="575">
        <f>SUM(L36:R36)/SUM(D36:J36)</f>
        <v>0.35116659718420928</v>
      </c>
      <c r="W51" s="558"/>
      <c r="X51" s="543"/>
    </row>
    <row r="52" spans="1:25" s="544" customFormat="1" x14ac:dyDescent="0.3">
      <c r="A52" s="555"/>
      <c r="B52" s="556" t="s">
        <v>171</v>
      </c>
      <c r="C52" s="556"/>
      <c r="D52" s="556"/>
      <c r="E52" s="556"/>
      <c r="F52" s="556"/>
      <c r="G52" s="556"/>
      <c r="H52" s="556"/>
      <c r="I52" s="556"/>
      <c r="J52" s="556"/>
      <c r="K52" s="556"/>
      <c r="L52" s="556"/>
      <c r="M52" s="556"/>
      <c r="N52" s="556"/>
      <c r="O52" s="556"/>
      <c r="P52" s="556"/>
      <c r="Q52" s="556"/>
      <c r="R52" s="556"/>
      <c r="S52" s="556"/>
      <c r="T52" s="562"/>
      <c r="U52" s="562"/>
      <c r="V52" s="564" t="s">
        <v>276</v>
      </c>
      <c r="W52" s="558"/>
      <c r="X52" s="543"/>
    </row>
    <row r="53" spans="1:25" s="544" customFormat="1" x14ac:dyDescent="0.3">
      <c r="A53" s="555"/>
      <c r="B53" s="556"/>
      <c r="C53" s="556"/>
      <c r="D53" s="556"/>
      <c r="E53" s="556"/>
      <c r="F53" s="556"/>
      <c r="G53" s="556"/>
      <c r="H53" s="556"/>
      <c r="I53" s="556"/>
      <c r="J53" s="556"/>
      <c r="K53" s="556"/>
      <c r="L53" s="556"/>
      <c r="M53" s="556"/>
      <c r="N53" s="556"/>
      <c r="O53" s="556"/>
      <c r="P53" s="556"/>
      <c r="Q53" s="556"/>
      <c r="R53" s="556"/>
      <c r="S53" s="556"/>
      <c r="T53" s="556"/>
      <c r="U53" s="556"/>
      <c r="V53" s="580"/>
      <c r="W53" s="558"/>
      <c r="X53" s="543"/>
    </row>
    <row r="54" spans="1:25" s="544" customFormat="1" x14ac:dyDescent="0.3">
      <c r="A54" s="555"/>
      <c r="B54" s="556" t="s">
        <v>361</v>
      </c>
      <c r="C54" s="556"/>
      <c r="D54" s="556"/>
      <c r="E54" s="556"/>
      <c r="F54" s="556"/>
      <c r="G54" s="556"/>
      <c r="H54" s="556"/>
      <c r="I54" s="556"/>
      <c r="J54" s="556"/>
      <c r="K54" s="556"/>
      <c r="L54" s="556"/>
      <c r="M54" s="556"/>
      <c r="N54" s="556"/>
      <c r="O54" s="556"/>
      <c r="P54" s="556"/>
      <c r="Q54" s="556"/>
      <c r="R54" s="556"/>
      <c r="S54" s="556"/>
      <c r="T54" s="562"/>
      <c r="U54" s="562"/>
      <c r="V54" s="581" t="s">
        <v>111</v>
      </c>
      <c r="W54" s="558"/>
      <c r="X54" s="543"/>
    </row>
    <row r="55" spans="1:25" s="544" customFormat="1" x14ac:dyDescent="0.3">
      <c r="A55" s="555"/>
      <c r="B55" s="561" t="s">
        <v>201</v>
      </c>
      <c r="C55" s="561"/>
      <c r="D55" s="561"/>
      <c r="E55" s="561"/>
      <c r="F55" s="561"/>
      <c r="G55" s="561"/>
      <c r="H55" s="561"/>
      <c r="I55" s="561"/>
      <c r="J55" s="561"/>
      <c r="K55" s="561"/>
      <c r="L55" s="561"/>
      <c r="M55" s="561"/>
      <c r="N55" s="561"/>
      <c r="O55" s="561"/>
      <c r="P55" s="561"/>
      <c r="Q55" s="561"/>
      <c r="R55" s="561"/>
      <c r="S55" s="561"/>
      <c r="T55" s="582"/>
      <c r="U55" s="582"/>
      <c r="V55" s="583">
        <v>43084</v>
      </c>
      <c r="W55" s="558"/>
      <c r="X55" s="543"/>
    </row>
    <row r="56" spans="1:25" s="544" customFormat="1" x14ac:dyDescent="0.3">
      <c r="A56" s="555"/>
      <c r="B56" s="556" t="s">
        <v>121</v>
      </c>
      <c r="C56" s="556"/>
      <c r="D56" s="556"/>
      <c r="E56" s="556"/>
      <c r="F56" s="556"/>
      <c r="G56" s="556"/>
      <c r="H56" s="584"/>
      <c r="I56" s="584"/>
      <c r="J56" s="584"/>
      <c r="K56" s="584"/>
      <c r="L56" s="584"/>
      <c r="M56" s="584"/>
      <c r="N56" s="584"/>
      <c r="O56" s="584"/>
      <c r="P56" s="584"/>
      <c r="Q56" s="584"/>
      <c r="R56" s="556">
        <f>+V56-T56+1</f>
        <v>92</v>
      </c>
      <c r="S56" s="584"/>
      <c r="T56" s="585">
        <v>42901</v>
      </c>
      <c r="U56" s="586"/>
      <c r="V56" s="585">
        <v>42992</v>
      </c>
      <c r="W56" s="558"/>
      <c r="X56" s="543"/>
    </row>
    <row r="57" spans="1:25" s="544" customFormat="1" x14ac:dyDescent="0.3">
      <c r="A57" s="555"/>
      <c r="B57" s="556" t="s">
        <v>122</v>
      </c>
      <c r="C57" s="556"/>
      <c r="D57" s="556"/>
      <c r="E57" s="556"/>
      <c r="F57" s="556"/>
      <c r="G57" s="556"/>
      <c r="H57" s="556"/>
      <c r="I57" s="556"/>
      <c r="J57" s="556"/>
      <c r="K57" s="556"/>
      <c r="L57" s="556"/>
      <c r="M57" s="556"/>
      <c r="N57" s="556"/>
      <c r="O57" s="556"/>
      <c r="P57" s="556"/>
      <c r="Q57" s="556"/>
      <c r="R57" s="556">
        <f>+V57-T57+1</f>
        <v>91</v>
      </c>
      <c r="S57" s="556"/>
      <c r="T57" s="585">
        <v>42993</v>
      </c>
      <c r="U57" s="586"/>
      <c r="V57" s="585">
        <v>43083</v>
      </c>
      <c r="W57" s="558"/>
      <c r="X57" s="543"/>
    </row>
    <row r="58" spans="1:25" s="544" customFormat="1" x14ac:dyDescent="0.3">
      <c r="A58" s="555"/>
      <c r="B58" s="556" t="s">
        <v>360</v>
      </c>
      <c r="C58" s="556"/>
      <c r="D58" s="556"/>
      <c r="E58" s="556"/>
      <c r="F58" s="556"/>
      <c r="G58" s="556"/>
      <c r="H58" s="556"/>
      <c r="I58" s="556"/>
      <c r="J58" s="556"/>
      <c r="K58" s="556"/>
      <c r="L58" s="556"/>
      <c r="M58" s="556"/>
      <c r="N58" s="556"/>
      <c r="O58" s="556"/>
      <c r="P58" s="556"/>
      <c r="Q58" s="556"/>
      <c r="R58" s="556"/>
      <c r="S58" s="556"/>
      <c r="T58" s="585"/>
      <c r="U58" s="586"/>
      <c r="V58" s="585" t="s">
        <v>120</v>
      </c>
      <c r="W58" s="558"/>
      <c r="X58" s="543"/>
    </row>
    <row r="59" spans="1:25" s="544" customFormat="1" x14ac:dyDescent="0.3">
      <c r="A59" s="555"/>
      <c r="B59" s="556" t="s">
        <v>359</v>
      </c>
      <c r="C59" s="556"/>
      <c r="D59" s="556"/>
      <c r="E59" s="556"/>
      <c r="F59" s="556"/>
      <c r="G59" s="556"/>
      <c r="H59" s="556"/>
      <c r="I59" s="556"/>
      <c r="J59" s="556"/>
      <c r="K59" s="556"/>
      <c r="L59" s="556"/>
      <c r="M59" s="556"/>
      <c r="N59" s="556"/>
      <c r="O59" s="556"/>
      <c r="P59" s="556"/>
      <c r="Q59" s="556"/>
      <c r="R59" s="556"/>
      <c r="S59" s="556"/>
      <c r="T59" s="585"/>
      <c r="U59" s="586"/>
      <c r="V59" s="585" t="s">
        <v>154</v>
      </c>
      <c r="W59" s="558"/>
      <c r="X59" s="543"/>
      <c r="Y59" s="587"/>
    </row>
    <row r="60" spans="1:25" s="544" customFormat="1" x14ac:dyDescent="0.3">
      <c r="A60" s="555"/>
      <c r="B60" s="556" t="s">
        <v>16</v>
      </c>
      <c r="C60" s="556"/>
      <c r="D60" s="556"/>
      <c r="E60" s="556"/>
      <c r="F60" s="556"/>
      <c r="G60" s="556"/>
      <c r="H60" s="556"/>
      <c r="I60" s="556"/>
      <c r="J60" s="556"/>
      <c r="K60" s="556"/>
      <c r="L60" s="556"/>
      <c r="M60" s="556"/>
      <c r="N60" s="556"/>
      <c r="O60" s="556"/>
      <c r="P60" s="556"/>
      <c r="Q60" s="556"/>
      <c r="R60" s="556"/>
      <c r="S60" s="556"/>
      <c r="T60" s="585"/>
      <c r="U60" s="586"/>
      <c r="V60" s="585">
        <v>43070</v>
      </c>
      <c r="W60" s="558"/>
      <c r="X60" s="543"/>
    </row>
    <row r="61" spans="1:25" s="544" customFormat="1" x14ac:dyDescent="0.3">
      <c r="A61" s="540"/>
      <c r="B61" s="588"/>
      <c r="C61" s="588"/>
      <c r="D61" s="588"/>
      <c r="E61" s="588"/>
      <c r="F61" s="588"/>
      <c r="G61" s="588"/>
      <c r="H61" s="588"/>
      <c r="I61" s="588"/>
      <c r="J61" s="588"/>
      <c r="K61" s="588"/>
      <c r="L61" s="588"/>
      <c r="M61" s="588"/>
      <c r="N61" s="588"/>
      <c r="O61" s="588"/>
      <c r="P61" s="588"/>
      <c r="Q61" s="588"/>
      <c r="R61" s="588"/>
      <c r="S61" s="588"/>
      <c r="T61" s="589"/>
      <c r="U61" s="590"/>
      <c r="V61" s="589"/>
      <c r="W61" s="588"/>
      <c r="X61" s="543"/>
    </row>
    <row r="62" spans="1:25" s="544" customFormat="1" x14ac:dyDescent="0.3">
      <c r="A62" s="540"/>
      <c r="B62" s="541"/>
      <c r="C62" s="541"/>
      <c r="D62" s="541"/>
      <c r="E62" s="541"/>
      <c r="F62" s="541"/>
      <c r="G62" s="541"/>
      <c r="H62" s="541"/>
      <c r="I62" s="541"/>
      <c r="J62" s="541"/>
      <c r="K62" s="541"/>
      <c r="L62" s="541"/>
      <c r="M62" s="541"/>
      <c r="N62" s="541"/>
      <c r="O62" s="541"/>
      <c r="P62" s="541"/>
      <c r="Q62" s="541"/>
      <c r="R62" s="541"/>
      <c r="S62" s="541"/>
      <c r="T62" s="591"/>
      <c r="U62" s="592"/>
      <c r="V62" s="591"/>
      <c r="W62" s="541"/>
      <c r="X62" s="543"/>
    </row>
    <row r="63" spans="1:25" s="544" customFormat="1" ht="18.600000000000001" thickBot="1" x14ac:dyDescent="0.4">
      <c r="A63" s="593"/>
      <c r="B63" s="594" t="s">
        <v>375</v>
      </c>
      <c r="C63" s="595"/>
      <c r="D63" s="595"/>
      <c r="E63" s="595"/>
      <c r="F63" s="595"/>
      <c r="G63" s="595"/>
      <c r="H63" s="595"/>
      <c r="I63" s="595"/>
      <c r="J63" s="595"/>
      <c r="K63" s="595"/>
      <c r="L63" s="595"/>
      <c r="M63" s="595"/>
      <c r="N63" s="595"/>
      <c r="O63" s="595"/>
      <c r="P63" s="595"/>
      <c r="Q63" s="595"/>
      <c r="R63" s="595"/>
      <c r="S63" s="595"/>
      <c r="T63" s="595"/>
      <c r="U63" s="595"/>
      <c r="V63" s="596"/>
      <c r="W63" s="597"/>
      <c r="X63" s="543"/>
    </row>
    <row r="64" spans="1:25" x14ac:dyDescent="0.3">
      <c r="A64" s="515"/>
      <c r="B64" s="521" t="s">
        <v>17</v>
      </c>
      <c r="C64" s="516"/>
      <c r="D64" s="516"/>
      <c r="E64" s="516"/>
      <c r="F64" s="516"/>
      <c r="G64" s="516"/>
      <c r="H64" s="516"/>
      <c r="I64" s="516"/>
      <c r="J64" s="516"/>
      <c r="K64" s="516"/>
      <c r="L64" s="516"/>
      <c r="M64" s="516"/>
      <c r="N64" s="516"/>
      <c r="O64" s="516"/>
      <c r="P64" s="516"/>
      <c r="Q64" s="516"/>
      <c r="R64" s="516"/>
      <c r="S64" s="516"/>
      <c r="T64" s="516"/>
      <c r="U64" s="516"/>
      <c r="V64" s="522"/>
      <c r="W64" s="516"/>
      <c r="X64" s="415"/>
    </row>
    <row r="65" spans="1:24" x14ac:dyDescent="0.3">
      <c r="A65" s="417"/>
      <c r="B65" s="425"/>
      <c r="C65" s="419"/>
      <c r="D65" s="419"/>
      <c r="E65" s="419"/>
      <c r="F65" s="419"/>
      <c r="G65" s="419"/>
      <c r="H65" s="419"/>
      <c r="I65" s="419"/>
      <c r="J65" s="419"/>
      <c r="K65" s="419"/>
      <c r="L65" s="419"/>
      <c r="M65" s="419"/>
      <c r="N65" s="419"/>
      <c r="O65" s="419"/>
      <c r="P65" s="419"/>
      <c r="Q65" s="419"/>
      <c r="R65" s="419"/>
      <c r="S65" s="419"/>
      <c r="T65" s="419"/>
      <c r="U65" s="419"/>
      <c r="V65" s="439"/>
      <c r="W65" s="419"/>
      <c r="X65" s="415"/>
    </row>
    <row r="66" spans="1:24" s="499" customFormat="1" ht="46.8" x14ac:dyDescent="0.3">
      <c r="A66" s="502"/>
      <c r="B66" s="503" t="s">
        <v>18</v>
      </c>
      <c r="C66" s="504"/>
      <c r="D66" s="504"/>
      <c r="E66" s="504"/>
      <c r="F66" s="504"/>
      <c r="G66" s="504"/>
      <c r="H66" s="504"/>
      <c r="I66" s="504"/>
      <c r="J66" s="504"/>
      <c r="K66" s="504"/>
      <c r="L66" s="504" t="s">
        <v>94</v>
      </c>
      <c r="M66" s="504"/>
      <c r="N66" s="504" t="s">
        <v>96</v>
      </c>
      <c r="O66" s="504"/>
      <c r="P66" s="504" t="s">
        <v>98</v>
      </c>
      <c r="Q66" s="504"/>
      <c r="R66" s="504" t="s">
        <v>100</v>
      </c>
      <c r="S66" s="504"/>
      <c r="T66" s="504" t="s">
        <v>106</v>
      </c>
      <c r="U66" s="504"/>
      <c r="V66" s="505" t="s">
        <v>112</v>
      </c>
      <c r="W66" s="506"/>
      <c r="X66" s="498"/>
    </row>
    <row r="67" spans="1:24" s="544" customFormat="1" x14ac:dyDescent="0.3">
      <c r="A67" s="555"/>
      <c r="B67" s="556" t="s">
        <v>19</v>
      </c>
      <c r="C67" s="598"/>
      <c r="D67" s="598"/>
      <c r="E67" s="598"/>
      <c r="F67" s="598"/>
      <c r="G67" s="598"/>
      <c r="H67" s="598"/>
      <c r="I67" s="598"/>
      <c r="J67" s="598"/>
      <c r="K67" s="598"/>
      <c r="L67" s="598">
        <v>1158015</v>
      </c>
      <c r="M67" s="598"/>
      <c r="N67" s="599">
        <v>877491</v>
      </c>
      <c r="O67" s="598"/>
      <c r="P67" s="598">
        <f>10943+1097+41-1</f>
        <v>12080</v>
      </c>
      <c r="Q67" s="598"/>
      <c r="R67" s="598">
        <f>1097+41</f>
        <v>1138</v>
      </c>
      <c r="S67" s="598"/>
      <c r="T67" s="598">
        <v>0</v>
      </c>
      <c r="U67" s="598"/>
      <c r="V67" s="599">
        <f>+N67-P67+R67-T67</f>
        <v>866549</v>
      </c>
      <c r="W67" s="558"/>
      <c r="X67" s="543"/>
    </row>
    <row r="68" spans="1:24" s="544" customFormat="1" x14ac:dyDescent="0.3">
      <c r="A68" s="555"/>
      <c r="B68" s="556" t="s">
        <v>20</v>
      </c>
      <c r="C68" s="598"/>
      <c r="D68" s="598"/>
      <c r="E68" s="598"/>
      <c r="F68" s="598"/>
      <c r="G68" s="598"/>
      <c r="H68" s="598"/>
      <c r="I68" s="598"/>
      <c r="J68" s="598"/>
      <c r="K68" s="598"/>
      <c r="L68" s="598">
        <v>15</v>
      </c>
      <c r="M68" s="598"/>
      <c r="N68" s="599">
        <v>0</v>
      </c>
      <c r="O68" s="598"/>
      <c r="P68" s="598">
        <v>0</v>
      </c>
      <c r="Q68" s="598"/>
      <c r="R68" s="598">
        <v>0</v>
      </c>
      <c r="S68" s="598"/>
      <c r="T68" s="598">
        <v>0</v>
      </c>
      <c r="U68" s="598"/>
      <c r="V68" s="599">
        <v>0</v>
      </c>
      <c r="W68" s="558"/>
      <c r="X68" s="543"/>
    </row>
    <row r="69" spans="1:24" s="544" customFormat="1" x14ac:dyDescent="0.3">
      <c r="A69" s="555"/>
      <c r="B69" s="556"/>
      <c r="C69" s="598"/>
      <c r="D69" s="598"/>
      <c r="E69" s="598"/>
      <c r="F69" s="598"/>
      <c r="G69" s="598"/>
      <c r="H69" s="598"/>
      <c r="I69" s="598"/>
      <c r="J69" s="598"/>
      <c r="K69" s="598"/>
      <c r="L69" s="598"/>
      <c r="M69" s="598"/>
      <c r="N69" s="599"/>
      <c r="O69" s="598"/>
      <c r="P69" s="598"/>
      <c r="Q69" s="598"/>
      <c r="R69" s="598"/>
      <c r="S69" s="598"/>
      <c r="T69" s="598"/>
      <c r="U69" s="598"/>
      <c r="V69" s="599"/>
      <c r="W69" s="558"/>
      <c r="X69" s="543"/>
    </row>
    <row r="70" spans="1:24" s="544" customFormat="1" x14ac:dyDescent="0.3">
      <c r="A70" s="555"/>
      <c r="B70" s="556" t="s">
        <v>21</v>
      </c>
      <c r="C70" s="598"/>
      <c r="D70" s="598"/>
      <c r="E70" s="598"/>
      <c r="F70" s="598"/>
      <c r="G70" s="598"/>
      <c r="H70" s="598"/>
      <c r="I70" s="598"/>
      <c r="J70" s="598"/>
      <c r="K70" s="598"/>
      <c r="L70" s="598">
        <f>SUM(L67:L69)</f>
        <v>1158030</v>
      </c>
      <c r="M70" s="598"/>
      <c r="N70" s="598">
        <f>N67+N68</f>
        <v>877491</v>
      </c>
      <c r="O70" s="598"/>
      <c r="P70" s="598">
        <f>SUM(P67:P69)</f>
        <v>12080</v>
      </c>
      <c r="Q70" s="598"/>
      <c r="R70" s="598">
        <f>SUM(R67:R69)</f>
        <v>1138</v>
      </c>
      <c r="S70" s="598"/>
      <c r="T70" s="598">
        <f>SUM(T67:T69)</f>
        <v>0</v>
      </c>
      <c r="U70" s="598"/>
      <c r="V70" s="598">
        <f>SUM(V67:V69)</f>
        <v>866549</v>
      </c>
      <c r="W70" s="558"/>
      <c r="X70" s="543"/>
    </row>
    <row r="71" spans="1:24" x14ac:dyDescent="0.3">
      <c r="A71" s="417"/>
      <c r="B71" s="441"/>
      <c r="C71" s="442"/>
      <c r="D71" s="442"/>
      <c r="E71" s="442"/>
      <c r="F71" s="442"/>
      <c r="G71" s="442"/>
      <c r="H71" s="442"/>
      <c r="I71" s="442"/>
      <c r="J71" s="442"/>
      <c r="K71" s="442"/>
      <c r="L71" s="442"/>
      <c r="M71" s="442"/>
      <c r="N71" s="442"/>
      <c r="O71" s="442"/>
      <c r="P71" s="442"/>
      <c r="Q71" s="442"/>
      <c r="R71" s="442"/>
      <c r="S71" s="442"/>
      <c r="T71" s="442"/>
      <c r="U71" s="442"/>
      <c r="V71" s="443"/>
      <c r="W71" s="441"/>
      <c r="X71" s="415"/>
    </row>
    <row r="72" spans="1:24" x14ac:dyDescent="0.3">
      <c r="A72" s="417"/>
      <c r="B72" s="421" t="s">
        <v>22</v>
      </c>
      <c r="C72" s="444"/>
      <c r="D72" s="444"/>
      <c r="E72" s="444"/>
      <c r="F72" s="444"/>
      <c r="G72" s="444"/>
      <c r="H72" s="444"/>
      <c r="I72" s="444"/>
      <c r="J72" s="444"/>
      <c r="K72" s="444"/>
      <c r="L72" s="444"/>
      <c r="M72" s="444"/>
      <c r="N72" s="444"/>
      <c r="O72" s="444"/>
      <c r="P72" s="444"/>
      <c r="Q72" s="444"/>
      <c r="R72" s="444"/>
      <c r="S72" s="444"/>
      <c r="T72" s="444"/>
      <c r="U72" s="444"/>
      <c r="V72" s="445"/>
      <c r="W72" s="419"/>
      <c r="X72" s="415"/>
    </row>
    <row r="73" spans="1:24" x14ac:dyDescent="0.3">
      <c r="A73" s="417"/>
      <c r="B73" s="419"/>
      <c r="C73" s="444"/>
      <c r="D73" s="444"/>
      <c r="E73" s="444"/>
      <c r="F73" s="444"/>
      <c r="G73" s="444"/>
      <c r="H73" s="444"/>
      <c r="I73" s="444"/>
      <c r="J73" s="444"/>
      <c r="K73" s="444"/>
      <c r="L73" s="444"/>
      <c r="M73" s="444"/>
      <c r="N73" s="444"/>
      <c r="O73" s="444"/>
      <c r="P73" s="444"/>
      <c r="Q73" s="444"/>
      <c r="R73" s="444"/>
      <c r="S73" s="444"/>
      <c r="T73" s="444"/>
      <c r="U73" s="444"/>
      <c r="V73" s="445"/>
      <c r="W73" s="419"/>
      <c r="X73" s="415"/>
    </row>
    <row r="74" spans="1:24" s="544" customFormat="1" x14ac:dyDescent="0.3">
      <c r="A74" s="555"/>
      <c r="B74" s="556" t="s">
        <v>19</v>
      </c>
      <c r="C74" s="598"/>
      <c r="D74" s="598"/>
      <c r="E74" s="598"/>
      <c r="F74" s="598"/>
      <c r="G74" s="598"/>
      <c r="H74" s="598"/>
      <c r="I74" s="598"/>
      <c r="J74" s="598"/>
      <c r="K74" s="598"/>
      <c r="L74" s="598"/>
      <c r="M74" s="598"/>
      <c r="N74" s="598"/>
      <c r="O74" s="598"/>
      <c r="P74" s="598"/>
      <c r="Q74" s="598"/>
      <c r="R74" s="598"/>
      <c r="S74" s="598"/>
      <c r="T74" s="598"/>
      <c r="U74" s="598"/>
      <c r="V74" s="598"/>
      <c r="W74" s="558"/>
      <c r="X74" s="543"/>
    </row>
    <row r="75" spans="1:24" s="544" customFormat="1" x14ac:dyDescent="0.3">
      <c r="A75" s="555"/>
      <c r="B75" s="556" t="s">
        <v>20</v>
      </c>
      <c r="C75" s="598"/>
      <c r="D75" s="598"/>
      <c r="E75" s="598"/>
      <c r="F75" s="598"/>
      <c r="G75" s="598"/>
      <c r="H75" s="598"/>
      <c r="I75" s="598"/>
      <c r="J75" s="598"/>
      <c r="K75" s="598"/>
      <c r="L75" s="598"/>
      <c r="M75" s="598"/>
      <c r="N75" s="598"/>
      <c r="O75" s="598"/>
      <c r="P75" s="598"/>
      <c r="Q75" s="598"/>
      <c r="R75" s="598"/>
      <c r="S75" s="598"/>
      <c r="T75" s="598"/>
      <c r="U75" s="598"/>
      <c r="V75" s="598"/>
      <c r="W75" s="558"/>
      <c r="X75" s="543"/>
    </row>
    <row r="76" spans="1:24" s="544" customFormat="1" x14ac:dyDescent="0.3">
      <c r="A76" s="555"/>
      <c r="B76" s="556"/>
      <c r="C76" s="598"/>
      <c r="D76" s="598"/>
      <c r="E76" s="598"/>
      <c r="F76" s="598"/>
      <c r="G76" s="598"/>
      <c r="H76" s="598"/>
      <c r="I76" s="598"/>
      <c r="J76" s="598"/>
      <c r="K76" s="598"/>
      <c r="L76" s="598"/>
      <c r="M76" s="598"/>
      <c r="N76" s="598"/>
      <c r="O76" s="598"/>
      <c r="P76" s="598"/>
      <c r="Q76" s="598"/>
      <c r="R76" s="598"/>
      <c r="S76" s="598"/>
      <c r="T76" s="598"/>
      <c r="U76" s="598"/>
      <c r="V76" s="598"/>
      <c r="W76" s="558"/>
      <c r="X76" s="543"/>
    </row>
    <row r="77" spans="1:24" s="544" customFormat="1" x14ac:dyDescent="0.3">
      <c r="A77" s="555"/>
      <c r="B77" s="556" t="s">
        <v>21</v>
      </c>
      <c r="C77" s="598"/>
      <c r="D77" s="598"/>
      <c r="E77" s="598"/>
      <c r="F77" s="598"/>
      <c r="G77" s="598"/>
      <c r="H77" s="598"/>
      <c r="I77" s="598"/>
      <c r="J77" s="598"/>
      <c r="K77" s="598"/>
      <c r="L77" s="598"/>
      <c r="M77" s="598"/>
      <c r="N77" s="598"/>
      <c r="O77" s="598"/>
      <c r="P77" s="598"/>
      <c r="Q77" s="598"/>
      <c r="R77" s="598"/>
      <c r="S77" s="598"/>
      <c r="T77" s="598"/>
      <c r="U77" s="598"/>
      <c r="V77" s="598"/>
      <c r="W77" s="558"/>
      <c r="X77" s="543"/>
    </row>
    <row r="78" spans="1:24" s="544" customFormat="1" x14ac:dyDescent="0.3">
      <c r="A78" s="555"/>
      <c r="B78" s="556"/>
      <c r="C78" s="598"/>
      <c r="D78" s="598"/>
      <c r="E78" s="598"/>
      <c r="F78" s="598"/>
      <c r="G78" s="598"/>
      <c r="H78" s="598"/>
      <c r="I78" s="598"/>
      <c r="J78" s="598"/>
      <c r="K78" s="598"/>
      <c r="L78" s="598"/>
      <c r="M78" s="598"/>
      <c r="N78" s="598"/>
      <c r="O78" s="598"/>
      <c r="P78" s="598"/>
      <c r="Q78" s="598"/>
      <c r="R78" s="598"/>
      <c r="S78" s="598"/>
      <c r="T78" s="598"/>
      <c r="U78" s="598"/>
      <c r="V78" s="598"/>
      <c r="W78" s="558"/>
      <c r="X78" s="543"/>
    </row>
    <row r="79" spans="1:24" s="544" customFormat="1" x14ac:dyDescent="0.3">
      <c r="A79" s="555"/>
      <c r="B79" s="556" t="s">
        <v>23</v>
      </c>
      <c r="C79" s="598"/>
      <c r="D79" s="598"/>
      <c r="E79" s="598"/>
      <c r="F79" s="598"/>
      <c r="G79" s="598"/>
      <c r="H79" s="598"/>
      <c r="I79" s="598"/>
      <c r="J79" s="598"/>
      <c r="K79" s="598"/>
      <c r="L79" s="598">
        <v>0</v>
      </c>
      <c r="M79" s="598"/>
      <c r="N79" s="598">
        <v>0</v>
      </c>
      <c r="O79" s="598"/>
      <c r="P79" s="598"/>
      <c r="Q79" s="598"/>
      <c r="R79" s="598"/>
      <c r="S79" s="598"/>
      <c r="T79" s="598"/>
      <c r="U79" s="598"/>
      <c r="V79" s="599">
        <v>0</v>
      </c>
      <c r="W79" s="558"/>
      <c r="X79" s="543"/>
    </row>
    <row r="80" spans="1:24" s="544" customFormat="1" x14ac:dyDescent="0.3">
      <c r="A80" s="555"/>
      <c r="B80" s="556" t="s">
        <v>117</v>
      </c>
      <c r="C80" s="598"/>
      <c r="D80" s="598"/>
      <c r="E80" s="598"/>
      <c r="F80" s="598"/>
      <c r="G80" s="598"/>
      <c r="H80" s="598"/>
      <c r="I80" s="598"/>
      <c r="J80" s="598"/>
      <c r="K80" s="598"/>
      <c r="L80" s="598">
        <v>342245</v>
      </c>
      <c r="M80" s="598"/>
      <c r="N80" s="598">
        <v>0</v>
      </c>
      <c r="O80" s="598"/>
      <c r="P80" s="598">
        <v>0</v>
      </c>
      <c r="Q80" s="598"/>
      <c r="R80" s="598"/>
      <c r="S80" s="598"/>
      <c r="T80" s="598"/>
      <c r="U80" s="598"/>
      <c r="V80" s="598">
        <f>SUM(N80:R80)</f>
        <v>0</v>
      </c>
      <c r="W80" s="558"/>
      <c r="X80" s="543"/>
    </row>
    <row r="81" spans="1:24" s="544" customFormat="1" x14ac:dyDescent="0.3">
      <c r="A81" s="555"/>
      <c r="B81" s="556" t="s">
        <v>146</v>
      </c>
      <c r="C81" s="598"/>
      <c r="D81" s="598"/>
      <c r="E81" s="598"/>
      <c r="F81" s="598"/>
      <c r="G81" s="598"/>
      <c r="H81" s="598"/>
      <c r="I81" s="598"/>
      <c r="J81" s="598"/>
      <c r="K81" s="598"/>
      <c r="L81" s="598">
        <v>0</v>
      </c>
      <c r="M81" s="598"/>
      <c r="N81" s="598">
        <v>0</v>
      </c>
      <c r="O81" s="598"/>
      <c r="P81" s="598">
        <v>0</v>
      </c>
      <c r="Q81" s="598"/>
      <c r="R81" s="598"/>
      <c r="S81" s="598"/>
      <c r="T81" s="598"/>
      <c r="U81" s="598"/>
      <c r="V81" s="598">
        <f>+N81+P81</f>
        <v>0</v>
      </c>
      <c r="W81" s="558"/>
      <c r="X81" s="543"/>
    </row>
    <row r="82" spans="1:24" s="544" customFormat="1" x14ac:dyDescent="0.3">
      <c r="A82" s="555"/>
      <c r="B82" s="556" t="s">
        <v>25</v>
      </c>
      <c r="C82" s="598"/>
      <c r="D82" s="598"/>
      <c r="E82" s="598"/>
      <c r="F82" s="598"/>
      <c r="G82" s="598"/>
      <c r="H82" s="598"/>
      <c r="I82" s="598"/>
      <c r="J82" s="598"/>
      <c r="K82" s="598"/>
      <c r="L82" s="598">
        <v>0</v>
      </c>
      <c r="M82" s="598"/>
      <c r="N82" s="598">
        <v>0</v>
      </c>
      <c r="O82" s="598"/>
      <c r="P82" s="598"/>
      <c r="Q82" s="598"/>
      <c r="R82" s="598"/>
      <c r="S82" s="598"/>
      <c r="T82" s="598"/>
      <c r="U82" s="598"/>
      <c r="V82" s="598">
        <v>0</v>
      </c>
      <c r="W82" s="558"/>
      <c r="X82" s="543"/>
    </row>
    <row r="83" spans="1:24" s="544" customFormat="1" x14ac:dyDescent="0.3">
      <c r="A83" s="555"/>
      <c r="B83" s="556" t="s">
        <v>26</v>
      </c>
      <c r="C83" s="598"/>
      <c r="D83" s="598"/>
      <c r="E83" s="598"/>
      <c r="F83" s="598"/>
      <c r="G83" s="598"/>
      <c r="H83" s="598"/>
      <c r="I83" s="598"/>
      <c r="J83" s="598"/>
      <c r="K83" s="598"/>
      <c r="L83" s="598">
        <f>SUM(L70:L82)</f>
        <v>1500275</v>
      </c>
      <c r="M83" s="598"/>
      <c r="N83" s="598">
        <f>SUM(N70:N82)</f>
        <v>877491</v>
      </c>
      <c r="O83" s="598"/>
      <c r="P83" s="598"/>
      <c r="Q83" s="598"/>
      <c r="R83" s="598"/>
      <c r="S83" s="598"/>
      <c r="T83" s="598"/>
      <c r="U83" s="598"/>
      <c r="V83" s="598">
        <f>SUM(V70:V82)</f>
        <v>866549</v>
      </c>
      <c r="W83" s="558"/>
      <c r="X83" s="543"/>
    </row>
    <row r="84" spans="1:24" x14ac:dyDescent="0.3">
      <c r="A84" s="446"/>
      <c r="B84" s="437"/>
      <c r="C84" s="447"/>
      <c r="D84" s="447"/>
      <c r="E84" s="447"/>
      <c r="F84" s="447"/>
      <c r="G84" s="447"/>
      <c r="H84" s="447"/>
      <c r="I84" s="447"/>
      <c r="J84" s="447"/>
      <c r="K84" s="447"/>
      <c r="L84" s="447"/>
      <c r="M84" s="447"/>
      <c r="N84" s="447"/>
      <c r="O84" s="447"/>
      <c r="P84" s="447"/>
      <c r="Q84" s="447"/>
      <c r="R84" s="447"/>
      <c r="S84" s="447"/>
      <c r="T84" s="447"/>
      <c r="U84" s="447"/>
      <c r="V84" s="447"/>
      <c r="W84" s="437"/>
      <c r="X84" s="415"/>
    </row>
    <row r="85" spans="1:24" x14ac:dyDescent="0.3">
      <c r="A85" s="446"/>
      <c r="B85" s="427"/>
      <c r="C85" s="427"/>
      <c r="D85" s="427"/>
      <c r="E85" s="427"/>
      <c r="F85" s="427"/>
      <c r="G85" s="427"/>
      <c r="H85" s="427"/>
      <c r="I85" s="427"/>
      <c r="J85" s="427"/>
      <c r="K85" s="427"/>
      <c r="L85" s="427"/>
      <c r="M85" s="427"/>
      <c r="N85" s="427"/>
      <c r="O85" s="427"/>
      <c r="P85" s="427"/>
      <c r="Q85" s="427"/>
      <c r="R85" s="427"/>
      <c r="S85" s="427"/>
      <c r="T85" s="427"/>
      <c r="U85" s="427"/>
      <c r="V85" s="427"/>
      <c r="W85" s="427"/>
      <c r="X85" s="415"/>
    </row>
    <row r="86" spans="1:24" x14ac:dyDescent="0.3">
      <c r="A86" s="515"/>
      <c r="B86" s="523" t="s">
        <v>27</v>
      </c>
      <c r="C86" s="523"/>
      <c r="D86" s="523"/>
      <c r="E86" s="523"/>
      <c r="F86" s="523"/>
      <c r="G86" s="523"/>
      <c r="H86" s="524"/>
      <c r="I86" s="524"/>
      <c r="J86" s="524"/>
      <c r="K86" s="524"/>
      <c r="L86" s="525" t="s">
        <v>95</v>
      </c>
      <c r="M86" s="524"/>
      <c r="N86" s="526">
        <f>+T204</f>
        <v>43069</v>
      </c>
      <c r="O86" s="524"/>
      <c r="P86" s="524"/>
      <c r="Q86" s="524"/>
      <c r="R86" s="524"/>
      <c r="S86" s="524"/>
      <c r="T86" s="524" t="s">
        <v>107</v>
      </c>
      <c r="U86" s="524"/>
      <c r="V86" s="524" t="s">
        <v>113</v>
      </c>
      <c r="W86" s="520"/>
      <c r="X86" s="415"/>
    </row>
    <row r="87" spans="1:24" s="544" customFormat="1" x14ac:dyDescent="0.3">
      <c r="A87" s="540"/>
      <c r="B87" s="588" t="s">
        <v>28</v>
      </c>
      <c r="C87" s="588"/>
      <c r="D87" s="588"/>
      <c r="E87" s="588"/>
      <c r="F87" s="588"/>
      <c r="G87" s="588"/>
      <c r="H87" s="588"/>
      <c r="I87" s="588"/>
      <c r="J87" s="588"/>
      <c r="K87" s="588"/>
      <c r="L87" s="588"/>
      <c r="M87" s="588"/>
      <c r="N87" s="588"/>
      <c r="O87" s="588"/>
      <c r="P87" s="588"/>
      <c r="Q87" s="588"/>
      <c r="R87" s="588"/>
      <c r="S87" s="588"/>
      <c r="T87" s="600">
        <v>0</v>
      </c>
      <c r="U87" s="588"/>
      <c r="V87" s="601">
        <v>0</v>
      </c>
      <c r="W87" s="588"/>
      <c r="X87" s="543"/>
    </row>
    <row r="88" spans="1:24" s="544" customFormat="1" x14ac:dyDescent="0.3">
      <c r="A88" s="555"/>
      <c r="B88" s="556" t="s">
        <v>29</v>
      </c>
      <c r="C88" s="556"/>
      <c r="D88" s="556"/>
      <c r="E88" s="556"/>
      <c r="F88" s="556"/>
      <c r="G88" s="556"/>
      <c r="H88" s="578"/>
      <c r="I88" s="578"/>
      <c r="J88" s="578"/>
      <c r="K88" s="602"/>
      <c r="L88" s="578"/>
      <c r="M88" s="556"/>
      <c r="N88" s="603"/>
      <c r="O88" s="556"/>
      <c r="P88" s="556"/>
      <c r="Q88" s="556"/>
      <c r="R88" s="556"/>
      <c r="S88" s="556"/>
      <c r="T88" s="598">
        <f>12080-254</f>
        <v>11826</v>
      </c>
      <c r="U88" s="556"/>
      <c r="V88" s="599"/>
      <c r="W88" s="558"/>
      <c r="X88" s="543"/>
    </row>
    <row r="89" spans="1:24" s="544" customFormat="1" x14ac:dyDescent="0.3">
      <c r="A89" s="555"/>
      <c r="B89" s="556" t="s">
        <v>216</v>
      </c>
      <c r="C89" s="556"/>
      <c r="D89" s="556"/>
      <c r="E89" s="556"/>
      <c r="F89" s="556"/>
      <c r="G89" s="556"/>
      <c r="H89" s="578"/>
      <c r="I89" s="578"/>
      <c r="J89" s="578"/>
      <c r="K89" s="602"/>
      <c r="L89" s="578"/>
      <c r="M89" s="556"/>
      <c r="N89" s="603"/>
      <c r="O89" s="556"/>
      <c r="P89" s="556"/>
      <c r="Q89" s="556"/>
      <c r="R89" s="556"/>
      <c r="S89" s="556"/>
      <c r="T89" s="598"/>
      <c r="U89" s="556"/>
      <c r="V89" s="599">
        <f>3275+3641-878-1154</f>
        <v>4884</v>
      </c>
      <c r="W89" s="558"/>
      <c r="X89" s="543"/>
    </row>
    <row r="90" spans="1:24" s="544" customFormat="1" x14ac:dyDescent="0.3">
      <c r="A90" s="555"/>
      <c r="B90" s="556" t="s">
        <v>211</v>
      </c>
      <c r="C90" s="556"/>
      <c r="D90" s="556"/>
      <c r="E90" s="556"/>
      <c r="F90" s="556"/>
      <c r="G90" s="556"/>
      <c r="H90" s="578"/>
      <c r="I90" s="578"/>
      <c r="J90" s="578"/>
      <c r="K90" s="602"/>
      <c r="L90" s="578"/>
      <c r="M90" s="556"/>
      <c r="N90" s="603"/>
      <c r="O90" s="556"/>
      <c r="P90" s="556"/>
      <c r="Q90" s="556"/>
      <c r="R90" s="556"/>
      <c r="S90" s="556"/>
      <c r="T90" s="598"/>
      <c r="U90" s="556"/>
      <c r="V90" s="599">
        <f>85+40</f>
        <v>125</v>
      </c>
      <c r="W90" s="558"/>
      <c r="X90" s="543"/>
    </row>
    <row r="91" spans="1:24" s="544" customFormat="1" x14ac:dyDescent="0.3">
      <c r="A91" s="555"/>
      <c r="B91" s="556" t="s">
        <v>212</v>
      </c>
      <c r="C91" s="556"/>
      <c r="D91" s="556"/>
      <c r="E91" s="556"/>
      <c r="F91" s="556"/>
      <c r="G91" s="556"/>
      <c r="H91" s="578"/>
      <c r="I91" s="578"/>
      <c r="J91" s="578"/>
      <c r="K91" s="602"/>
      <c r="L91" s="578"/>
      <c r="M91" s="556"/>
      <c r="N91" s="603"/>
      <c r="O91" s="556"/>
      <c r="P91" s="556"/>
      <c r="Q91" s="556"/>
      <c r="R91" s="556"/>
      <c r="S91" s="556"/>
      <c r="T91" s="598"/>
      <c r="U91" s="556"/>
      <c r="V91" s="599">
        <v>28</v>
      </c>
      <c r="W91" s="558"/>
      <c r="X91" s="543"/>
    </row>
    <row r="92" spans="1:24" s="544" customFormat="1" x14ac:dyDescent="0.3">
      <c r="A92" s="555"/>
      <c r="B92" s="556" t="s">
        <v>272</v>
      </c>
      <c r="C92" s="556"/>
      <c r="D92" s="556"/>
      <c r="E92" s="556"/>
      <c r="F92" s="556"/>
      <c r="G92" s="556"/>
      <c r="H92" s="578"/>
      <c r="I92" s="578"/>
      <c r="J92" s="578"/>
      <c r="K92" s="602"/>
      <c r="L92" s="578"/>
      <c r="M92" s="556"/>
      <c r="N92" s="603"/>
      <c r="O92" s="556"/>
      <c r="P92" s="556"/>
      <c r="Q92" s="556"/>
      <c r="R92" s="556"/>
      <c r="S92" s="556"/>
      <c r="T92" s="598"/>
      <c r="U92" s="556"/>
      <c r="V92" s="599">
        <v>0</v>
      </c>
      <c r="W92" s="558"/>
      <c r="X92" s="543"/>
    </row>
    <row r="93" spans="1:24" s="544" customFormat="1" x14ac:dyDescent="0.3">
      <c r="A93" s="555"/>
      <c r="B93" s="556" t="s">
        <v>274</v>
      </c>
      <c r="C93" s="556"/>
      <c r="D93" s="556"/>
      <c r="E93" s="556"/>
      <c r="F93" s="556"/>
      <c r="G93" s="556"/>
      <c r="H93" s="578"/>
      <c r="I93" s="578"/>
      <c r="J93" s="578"/>
      <c r="K93" s="602"/>
      <c r="L93" s="578"/>
      <c r="M93" s="556"/>
      <c r="N93" s="603"/>
      <c r="O93" s="556"/>
      <c r="P93" s="556"/>
      <c r="Q93" s="556"/>
      <c r="R93" s="556"/>
      <c r="S93" s="556"/>
      <c r="T93" s="598"/>
      <c r="U93" s="556"/>
      <c r="V93" s="599">
        <v>0</v>
      </c>
      <c r="W93" s="558"/>
      <c r="X93" s="543"/>
    </row>
    <row r="94" spans="1:24" s="544" customFormat="1" x14ac:dyDescent="0.3">
      <c r="A94" s="555"/>
      <c r="B94" s="556" t="s">
        <v>135</v>
      </c>
      <c r="C94" s="556"/>
      <c r="D94" s="556"/>
      <c r="E94" s="556"/>
      <c r="F94" s="556"/>
      <c r="G94" s="556"/>
      <c r="H94" s="556"/>
      <c r="I94" s="556"/>
      <c r="J94" s="556"/>
      <c r="K94" s="556"/>
      <c r="L94" s="556"/>
      <c r="M94" s="556"/>
      <c r="N94" s="556"/>
      <c r="O94" s="556"/>
      <c r="P94" s="556"/>
      <c r="Q94" s="556"/>
      <c r="R94" s="556"/>
      <c r="S94" s="556"/>
      <c r="T94" s="598"/>
      <c r="U94" s="556"/>
      <c r="V94" s="599">
        <v>0</v>
      </c>
      <c r="W94" s="558"/>
      <c r="X94" s="543"/>
    </row>
    <row r="95" spans="1:24" s="544" customFormat="1" x14ac:dyDescent="0.3">
      <c r="A95" s="555"/>
      <c r="B95" s="556" t="s">
        <v>268</v>
      </c>
      <c r="C95" s="556"/>
      <c r="D95" s="556"/>
      <c r="E95" s="556"/>
      <c r="F95" s="556"/>
      <c r="G95" s="556"/>
      <c r="H95" s="556"/>
      <c r="I95" s="556"/>
      <c r="J95" s="556"/>
      <c r="K95" s="556"/>
      <c r="L95" s="556"/>
      <c r="M95" s="556"/>
      <c r="N95" s="556"/>
      <c r="O95" s="556"/>
      <c r="P95" s="556"/>
      <c r="Q95" s="556"/>
      <c r="R95" s="556"/>
      <c r="S95" s="556"/>
      <c r="T95" s="598"/>
      <c r="U95" s="556"/>
      <c r="V95" s="599">
        <v>203</v>
      </c>
      <c r="W95" s="558"/>
      <c r="X95" s="543"/>
    </row>
    <row r="96" spans="1:24" s="544" customFormat="1" x14ac:dyDescent="0.3">
      <c r="A96" s="555"/>
      <c r="B96" s="556" t="s">
        <v>30</v>
      </c>
      <c r="C96" s="556"/>
      <c r="D96" s="556"/>
      <c r="E96" s="556"/>
      <c r="F96" s="556"/>
      <c r="G96" s="556"/>
      <c r="H96" s="556"/>
      <c r="I96" s="556"/>
      <c r="J96" s="556"/>
      <c r="K96" s="556"/>
      <c r="L96" s="556"/>
      <c r="M96" s="556"/>
      <c r="N96" s="556"/>
      <c r="O96" s="556"/>
      <c r="P96" s="556"/>
      <c r="Q96" s="556"/>
      <c r="R96" s="556"/>
      <c r="S96" s="556"/>
      <c r="T96" s="598">
        <f>SUM(T87:T95)</f>
        <v>11826</v>
      </c>
      <c r="U96" s="556"/>
      <c r="V96" s="598">
        <f>SUM(V87:V95)</f>
        <v>5240</v>
      </c>
      <c r="W96" s="558"/>
      <c r="X96" s="543"/>
    </row>
    <row r="97" spans="1:25" s="544" customFormat="1" x14ac:dyDescent="0.3">
      <c r="A97" s="555"/>
      <c r="B97" s="556" t="s">
        <v>161</v>
      </c>
      <c r="C97" s="556"/>
      <c r="D97" s="556"/>
      <c r="E97" s="556"/>
      <c r="F97" s="556"/>
      <c r="G97" s="556"/>
      <c r="H97" s="556"/>
      <c r="I97" s="556"/>
      <c r="J97" s="556"/>
      <c r="K97" s="556"/>
      <c r="L97" s="556"/>
      <c r="M97" s="556"/>
      <c r="N97" s="556"/>
      <c r="O97" s="556"/>
      <c r="P97" s="556"/>
      <c r="Q97" s="556"/>
      <c r="R97" s="556"/>
      <c r="S97" s="556"/>
      <c r="T97" s="598">
        <f>-V97</f>
        <v>0</v>
      </c>
      <c r="U97" s="556"/>
      <c r="V97" s="598">
        <v>0</v>
      </c>
      <c r="W97" s="558"/>
      <c r="X97" s="543"/>
    </row>
    <row r="98" spans="1:25" s="544" customFormat="1" x14ac:dyDescent="0.3">
      <c r="A98" s="555"/>
      <c r="B98" s="556" t="s">
        <v>31</v>
      </c>
      <c r="C98" s="556"/>
      <c r="D98" s="556"/>
      <c r="E98" s="556"/>
      <c r="F98" s="556"/>
      <c r="G98" s="556"/>
      <c r="H98" s="556"/>
      <c r="I98" s="556"/>
      <c r="J98" s="556"/>
      <c r="K98" s="556"/>
      <c r="L98" s="556"/>
      <c r="M98" s="556"/>
      <c r="N98" s="556"/>
      <c r="O98" s="556"/>
      <c r="P98" s="556"/>
      <c r="Q98" s="556"/>
      <c r="R98" s="556"/>
      <c r="S98" s="556"/>
      <c r="T98" s="598">
        <f>-V98</f>
        <v>0</v>
      </c>
      <c r="U98" s="556"/>
      <c r="V98" s="599">
        <v>0</v>
      </c>
      <c r="W98" s="558"/>
      <c r="X98" s="543"/>
    </row>
    <row r="99" spans="1:25" s="544" customFormat="1" x14ac:dyDescent="0.3">
      <c r="A99" s="555"/>
      <c r="B99" s="556" t="s">
        <v>283</v>
      </c>
      <c r="C99" s="556"/>
      <c r="D99" s="556"/>
      <c r="E99" s="556"/>
      <c r="F99" s="556"/>
      <c r="G99" s="556"/>
      <c r="H99" s="556"/>
      <c r="I99" s="556"/>
      <c r="J99" s="556"/>
      <c r="K99" s="556"/>
      <c r="L99" s="556"/>
      <c r="M99" s="556"/>
      <c r="N99" s="556"/>
      <c r="O99" s="556"/>
      <c r="P99" s="556"/>
      <c r="Q99" s="556"/>
      <c r="R99" s="556"/>
      <c r="S99" s="556"/>
      <c r="T99" s="598"/>
      <c r="U99" s="556"/>
      <c r="V99" s="599">
        <v>98</v>
      </c>
      <c r="W99" s="558"/>
      <c r="X99" s="543"/>
    </row>
    <row r="100" spans="1:25" s="544" customFormat="1" x14ac:dyDescent="0.3">
      <c r="A100" s="555"/>
      <c r="B100" s="556" t="s">
        <v>32</v>
      </c>
      <c r="C100" s="556"/>
      <c r="D100" s="556"/>
      <c r="E100" s="556"/>
      <c r="F100" s="556"/>
      <c r="G100" s="556"/>
      <c r="H100" s="556"/>
      <c r="I100" s="556"/>
      <c r="J100" s="556"/>
      <c r="K100" s="556"/>
      <c r="L100" s="556"/>
      <c r="M100" s="556"/>
      <c r="N100" s="556"/>
      <c r="O100" s="556"/>
      <c r="P100" s="556"/>
      <c r="Q100" s="556"/>
      <c r="R100" s="556"/>
      <c r="S100" s="556"/>
      <c r="T100" s="598">
        <f>T96+T98+T97</f>
        <v>11826</v>
      </c>
      <c r="U100" s="556"/>
      <c r="V100" s="598">
        <f>V96+V98+V97+V99</f>
        <v>5338</v>
      </c>
      <c r="W100" s="558"/>
      <c r="X100" s="543"/>
    </row>
    <row r="101" spans="1:25" x14ac:dyDescent="0.3">
      <c r="A101" s="431"/>
      <c r="B101" s="507" t="s">
        <v>33</v>
      </c>
      <c r="C101" s="434"/>
      <c r="D101" s="434"/>
      <c r="E101" s="434"/>
      <c r="F101" s="434"/>
      <c r="G101" s="434"/>
      <c r="H101" s="434"/>
      <c r="I101" s="434"/>
      <c r="J101" s="434"/>
      <c r="K101" s="434"/>
      <c r="L101" s="434"/>
      <c r="M101" s="434"/>
      <c r="N101" s="434"/>
      <c r="O101" s="434"/>
      <c r="P101" s="434"/>
      <c r="Q101" s="434"/>
      <c r="R101" s="434"/>
      <c r="S101" s="434"/>
      <c r="T101" s="448"/>
      <c r="U101" s="434"/>
      <c r="V101" s="449"/>
      <c r="W101" s="436"/>
      <c r="X101" s="415"/>
    </row>
    <row r="102" spans="1:25" s="544" customFormat="1" x14ac:dyDescent="0.3">
      <c r="A102" s="555">
        <v>1</v>
      </c>
      <c r="B102" s="556" t="s">
        <v>34</v>
      </c>
      <c r="C102" s="556"/>
      <c r="D102" s="556"/>
      <c r="E102" s="556"/>
      <c r="F102" s="556"/>
      <c r="G102" s="556"/>
      <c r="H102" s="556"/>
      <c r="I102" s="556"/>
      <c r="J102" s="556"/>
      <c r="K102" s="556"/>
      <c r="L102" s="556"/>
      <c r="M102" s="556"/>
      <c r="N102" s="556"/>
      <c r="O102" s="556"/>
      <c r="P102" s="556"/>
      <c r="Q102" s="556"/>
      <c r="R102" s="556"/>
      <c r="S102" s="556"/>
      <c r="T102" s="556"/>
      <c r="U102" s="556"/>
      <c r="V102" s="599">
        <v>0</v>
      </c>
      <c r="W102" s="558"/>
      <c r="X102" s="543"/>
    </row>
    <row r="103" spans="1:25" s="544" customFormat="1" x14ac:dyDescent="0.3">
      <c r="A103" s="555">
        <f>+A102+1</f>
        <v>2</v>
      </c>
      <c r="B103" s="556" t="s">
        <v>330</v>
      </c>
      <c r="C103" s="556"/>
      <c r="D103" s="556"/>
      <c r="E103" s="556"/>
      <c r="F103" s="556"/>
      <c r="G103" s="556"/>
      <c r="H103" s="556"/>
      <c r="I103" s="556"/>
      <c r="J103" s="556"/>
      <c r="K103" s="556"/>
      <c r="L103" s="556"/>
      <c r="M103" s="556"/>
      <c r="N103" s="556"/>
      <c r="O103" s="556"/>
      <c r="P103" s="556"/>
      <c r="Q103" s="556"/>
      <c r="R103" s="556"/>
      <c r="S103" s="556"/>
      <c r="T103" s="556"/>
      <c r="U103" s="556"/>
      <c r="V103" s="599">
        <v>-2</v>
      </c>
      <c r="W103" s="558"/>
      <c r="X103" s="543"/>
    </row>
    <row r="104" spans="1:25" s="544" customFormat="1" x14ac:dyDescent="0.3">
      <c r="A104" s="555">
        <f>+A103+1</f>
        <v>3</v>
      </c>
      <c r="B104" s="556" t="s">
        <v>331</v>
      </c>
      <c r="C104" s="556"/>
      <c r="D104" s="556"/>
      <c r="E104" s="556"/>
      <c r="F104" s="556"/>
      <c r="G104" s="556"/>
      <c r="H104" s="556"/>
      <c r="I104" s="556"/>
      <c r="J104" s="556"/>
      <c r="K104" s="556"/>
      <c r="L104" s="556"/>
      <c r="M104" s="556"/>
      <c r="N104" s="556"/>
      <c r="O104" s="556"/>
      <c r="P104" s="556"/>
      <c r="Q104" s="556"/>
      <c r="R104" s="556"/>
      <c r="S104" s="556"/>
      <c r="T104" s="556"/>
      <c r="U104" s="556"/>
      <c r="V104" s="599">
        <f>-111-171-11</f>
        <v>-293</v>
      </c>
      <c r="W104" s="558"/>
      <c r="X104" s="543"/>
    </row>
    <row r="105" spans="1:25" s="544" customFormat="1" x14ac:dyDescent="0.3">
      <c r="A105" s="555" t="s">
        <v>127</v>
      </c>
      <c r="B105" s="556" t="s">
        <v>116</v>
      </c>
      <c r="C105" s="556"/>
      <c r="D105" s="556"/>
      <c r="E105" s="556"/>
      <c r="F105" s="556"/>
      <c r="G105" s="556"/>
      <c r="H105" s="556"/>
      <c r="I105" s="556"/>
      <c r="J105" s="556"/>
      <c r="K105" s="556"/>
      <c r="L105" s="556"/>
      <c r="M105" s="556"/>
      <c r="N105" s="556"/>
      <c r="O105" s="556"/>
      <c r="P105" s="556"/>
      <c r="Q105" s="556"/>
      <c r="R105" s="556"/>
      <c r="S105" s="556"/>
      <c r="T105" s="556"/>
      <c r="U105" s="556"/>
      <c r="V105" s="599">
        <v>0</v>
      </c>
      <c r="W105" s="558"/>
      <c r="X105" s="543"/>
    </row>
    <row r="106" spans="1:25" s="544" customFormat="1" x14ac:dyDescent="0.3">
      <c r="A106" s="555" t="s">
        <v>128</v>
      </c>
      <c r="B106" s="556" t="s">
        <v>363</v>
      </c>
      <c r="C106" s="556"/>
      <c r="D106" s="556"/>
      <c r="E106" s="556"/>
      <c r="F106" s="556"/>
      <c r="G106" s="556"/>
      <c r="H106" s="556"/>
      <c r="I106" s="556"/>
      <c r="J106" s="556"/>
      <c r="K106" s="556"/>
      <c r="L106" s="556"/>
      <c r="M106" s="556"/>
      <c r="N106" s="556"/>
      <c r="O106" s="556"/>
      <c r="P106" s="556"/>
      <c r="Q106" s="556"/>
      <c r="R106" s="556"/>
      <c r="S106" s="556"/>
      <c r="T106" s="556"/>
      <c r="U106" s="556"/>
      <c r="V106" s="599">
        <f>-521-84</f>
        <v>-605</v>
      </c>
      <c r="W106" s="558"/>
      <c r="X106" s="543"/>
      <c r="Y106" s="604"/>
    </row>
    <row r="107" spans="1:25" s="544" customFormat="1" x14ac:dyDescent="0.3">
      <c r="A107" s="555" t="s">
        <v>150</v>
      </c>
      <c r="B107" s="556" t="s">
        <v>364</v>
      </c>
      <c r="C107" s="556"/>
      <c r="D107" s="556"/>
      <c r="E107" s="556"/>
      <c r="F107" s="556"/>
      <c r="G107" s="556"/>
      <c r="H107" s="556"/>
      <c r="I107" s="556"/>
      <c r="J107" s="556"/>
      <c r="K107" s="556"/>
      <c r="L107" s="556"/>
      <c r="M107" s="556"/>
      <c r="N107" s="556"/>
      <c r="O107" s="556"/>
      <c r="P107" s="556"/>
      <c r="Q107" s="556"/>
      <c r="R107" s="556"/>
      <c r="S107" s="556"/>
      <c r="T107" s="556"/>
      <c r="U107" s="556"/>
      <c r="V107" s="599">
        <f>-119-158</f>
        <v>-277</v>
      </c>
      <c r="W107" s="558"/>
      <c r="X107" s="543"/>
      <c r="Y107" s="604"/>
    </row>
    <row r="108" spans="1:25" s="544" customFormat="1" x14ac:dyDescent="0.3">
      <c r="A108" s="555" t="s">
        <v>236</v>
      </c>
      <c r="B108" s="556" t="s">
        <v>238</v>
      </c>
      <c r="C108" s="556"/>
      <c r="D108" s="556"/>
      <c r="E108" s="556"/>
      <c r="F108" s="556"/>
      <c r="G108" s="556"/>
      <c r="H108" s="556"/>
      <c r="I108" s="556"/>
      <c r="J108" s="556"/>
      <c r="K108" s="556"/>
      <c r="L108" s="556"/>
      <c r="M108" s="556"/>
      <c r="N108" s="556"/>
      <c r="O108" s="556"/>
      <c r="P108" s="556"/>
      <c r="Q108" s="556"/>
      <c r="R108" s="556"/>
      <c r="S108" s="556"/>
      <c r="T108" s="556"/>
      <c r="U108" s="556"/>
      <c r="V108" s="599">
        <v>0</v>
      </c>
      <c r="W108" s="558"/>
      <c r="X108" s="543"/>
    </row>
    <row r="109" spans="1:25" s="544" customFormat="1" x14ac:dyDescent="0.3">
      <c r="A109" s="555" t="s">
        <v>205</v>
      </c>
      <c r="B109" s="556" t="s">
        <v>185</v>
      </c>
      <c r="C109" s="556"/>
      <c r="D109" s="556"/>
      <c r="E109" s="556"/>
      <c r="F109" s="556"/>
      <c r="G109" s="556"/>
      <c r="H109" s="556"/>
      <c r="I109" s="556"/>
      <c r="J109" s="556"/>
      <c r="K109" s="556"/>
      <c r="L109" s="556"/>
      <c r="M109" s="556"/>
      <c r="N109" s="556"/>
      <c r="O109" s="556"/>
      <c r="P109" s="556"/>
      <c r="Q109" s="556"/>
      <c r="R109" s="556"/>
      <c r="S109" s="556"/>
      <c r="T109" s="556"/>
      <c r="U109" s="556"/>
      <c r="V109" s="599">
        <v>-113</v>
      </c>
      <c r="W109" s="558"/>
      <c r="X109" s="543"/>
      <c r="Y109" s="604"/>
    </row>
    <row r="110" spans="1:25" s="544" customFormat="1" x14ac:dyDescent="0.3">
      <c r="A110" s="555" t="s">
        <v>206</v>
      </c>
      <c r="B110" s="556" t="s">
        <v>186</v>
      </c>
      <c r="C110" s="556"/>
      <c r="D110" s="556"/>
      <c r="E110" s="556"/>
      <c r="F110" s="556"/>
      <c r="G110" s="556"/>
      <c r="H110" s="556"/>
      <c r="I110" s="556"/>
      <c r="J110" s="556"/>
      <c r="K110" s="556"/>
      <c r="L110" s="556"/>
      <c r="M110" s="556"/>
      <c r="N110" s="556"/>
      <c r="O110" s="556"/>
      <c r="P110" s="556"/>
      <c r="Q110" s="556"/>
      <c r="R110" s="556"/>
      <c r="S110" s="556"/>
      <c r="T110" s="556"/>
      <c r="U110" s="556"/>
      <c r="V110" s="599">
        <v>-89</v>
      </c>
      <c r="W110" s="558"/>
      <c r="X110" s="605"/>
      <c r="Y110" s="604"/>
    </row>
    <row r="111" spans="1:25" s="544" customFormat="1" x14ac:dyDescent="0.3">
      <c r="A111" s="555" t="s">
        <v>207</v>
      </c>
      <c r="B111" s="556" t="s">
        <v>196</v>
      </c>
      <c r="C111" s="556"/>
      <c r="D111" s="556"/>
      <c r="E111" s="556"/>
      <c r="F111" s="556"/>
      <c r="G111" s="556"/>
      <c r="H111" s="556"/>
      <c r="I111" s="556"/>
      <c r="J111" s="556"/>
      <c r="K111" s="556"/>
      <c r="L111" s="556"/>
      <c r="M111" s="556"/>
      <c r="N111" s="556"/>
      <c r="O111" s="556"/>
      <c r="P111" s="556"/>
      <c r="Q111" s="556"/>
      <c r="R111" s="556"/>
      <c r="S111" s="556"/>
      <c r="T111" s="556"/>
      <c r="U111" s="556"/>
      <c r="V111" s="599">
        <v>-276</v>
      </c>
      <c r="W111" s="558"/>
      <c r="X111" s="543"/>
      <c r="Y111" s="604"/>
    </row>
    <row r="112" spans="1:25" s="544" customFormat="1" x14ac:dyDescent="0.3">
      <c r="A112" s="555" t="s">
        <v>224</v>
      </c>
      <c r="B112" s="556" t="s">
        <v>223</v>
      </c>
      <c r="C112" s="556"/>
      <c r="D112" s="556"/>
      <c r="E112" s="556"/>
      <c r="F112" s="556"/>
      <c r="G112" s="556"/>
      <c r="H112" s="556"/>
      <c r="I112" s="556"/>
      <c r="J112" s="556"/>
      <c r="K112" s="556"/>
      <c r="L112" s="556"/>
      <c r="M112" s="556"/>
      <c r="N112" s="556"/>
      <c r="O112" s="556"/>
      <c r="P112" s="556"/>
      <c r="Q112" s="556"/>
      <c r="R112" s="556"/>
      <c r="S112" s="556"/>
      <c r="T112" s="556"/>
      <c r="U112" s="556"/>
      <c r="V112" s="599">
        <v>-54</v>
      </c>
      <c r="W112" s="558"/>
      <c r="X112" s="543"/>
      <c r="Y112" s="604"/>
    </row>
    <row r="113" spans="1:24" s="544" customFormat="1" x14ac:dyDescent="0.3">
      <c r="A113" s="555">
        <v>7</v>
      </c>
      <c r="B113" s="556" t="s">
        <v>35</v>
      </c>
      <c r="C113" s="556"/>
      <c r="D113" s="556"/>
      <c r="E113" s="556"/>
      <c r="F113" s="556"/>
      <c r="G113" s="556"/>
      <c r="H113" s="556"/>
      <c r="I113" s="556"/>
      <c r="J113" s="556"/>
      <c r="K113" s="556"/>
      <c r="L113" s="556"/>
      <c r="M113" s="556"/>
      <c r="N113" s="556"/>
      <c r="O113" s="556"/>
      <c r="P113" s="556"/>
      <c r="Q113" s="556"/>
      <c r="R113" s="556"/>
      <c r="S113" s="556"/>
      <c r="T113" s="556"/>
      <c r="U113" s="556"/>
      <c r="V113" s="599">
        <v>-49</v>
      </c>
      <c r="W113" s="558"/>
      <c r="X113" s="543"/>
    </row>
    <row r="114" spans="1:24" s="544" customFormat="1" x14ac:dyDescent="0.3">
      <c r="A114" s="555">
        <f t="shared" ref="A114:A120" si="0">+A113+1</f>
        <v>8</v>
      </c>
      <c r="B114" s="556" t="s">
        <v>45</v>
      </c>
      <c r="C114" s="556"/>
      <c r="D114" s="556"/>
      <c r="E114" s="556"/>
      <c r="F114" s="556"/>
      <c r="G114" s="556"/>
      <c r="H114" s="556"/>
      <c r="I114" s="556"/>
      <c r="J114" s="556"/>
      <c r="K114" s="556"/>
      <c r="L114" s="556"/>
      <c r="M114" s="556"/>
      <c r="N114" s="556"/>
      <c r="O114" s="556"/>
      <c r="P114" s="556"/>
      <c r="Q114" s="556"/>
      <c r="R114" s="556"/>
      <c r="S114" s="556"/>
      <c r="T114" s="598">
        <f>-V114</f>
        <v>254</v>
      </c>
      <c r="U114" s="556"/>
      <c r="V114" s="599">
        <v>-254</v>
      </c>
      <c r="W114" s="558"/>
      <c r="X114" s="543"/>
    </row>
    <row r="115" spans="1:24" s="544" customFormat="1" x14ac:dyDescent="0.3">
      <c r="A115" s="555">
        <f t="shared" si="0"/>
        <v>9</v>
      </c>
      <c r="B115" s="556" t="s">
        <v>125</v>
      </c>
      <c r="C115" s="556"/>
      <c r="D115" s="556"/>
      <c r="E115" s="556"/>
      <c r="F115" s="556"/>
      <c r="G115" s="556"/>
      <c r="H115" s="556"/>
      <c r="I115" s="556"/>
      <c r="J115" s="556"/>
      <c r="K115" s="556"/>
      <c r="L115" s="556"/>
      <c r="M115" s="556"/>
      <c r="N115" s="556"/>
      <c r="O115" s="556"/>
      <c r="P115" s="556"/>
      <c r="Q115" s="556"/>
      <c r="R115" s="556"/>
      <c r="S115" s="556"/>
      <c r="T115" s="556"/>
      <c r="U115" s="556"/>
      <c r="V115" s="599">
        <v>0</v>
      </c>
      <c r="W115" s="558"/>
      <c r="X115" s="543"/>
    </row>
    <row r="116" spans="1:24" s="544" customFormat="1" x14ac:dyDescent="0.3">
      <c r="A116" s="555">
        <f t="shared" si="0"/>
        <v>10</v>
      </c>
      <c r="B116" s="556" t="s">
        <v>240</v>
      </c>
      <c r="C116" s="556"/>
      <c r="D116" s="556"/>
      <c r="E116" s="556"/>
      <c r="F116" s="556"/>
      <c r="G116" s="556"/>
      <c r="H116" s="556"/>
      <c r="I116" s="556"/>
      <c r="J116" s="556"/>
      <c r="K116" s="556"/>
      <c r="L116" s="556"/>
      <c r="M116" s="556"/>
      <c r="N116" s="556"/>
      <c r="O116" s="556"/>
      <c r="P116" s="556"/>
      <c r="Q116" s="556"/>
      <c r="R116" s="556"/>
      <c r="S116" s="556"/>
      <c r="T116" s="556"/>
      <c r="U116" s="556"/>
      <c r="V116" s="599">
        <v>0</v>
      </c>
      <c r="W116" s="558"/>
      <c r="X116" s="543"/>
    </row>
    <row r="117" spans="1:24" s="544" customFormat="1" x14ac:dyDescent="0.3">
      <c r="A117" s="555">
        <f t="shared" si="0"/>
        <v>11</v>
      </c>
      <c r="B117" s="556" t="s">
        <v>36</v>
      </c>
      <c r="C117" s="556"/>
      <c r="D117" s="556"/>
      <c r="E117" s="556"/>
      <c r="F117" s="556"/>
      <c r="G117" s="556"/>
      <c r="H117" s="556"/>
      <c r="I117" s="556"/>
      <c r="J117" s="556"/>
      <c r="K117" s="556"/>
      <c r="L117" s="556"/>
      <c r="M117" s="556"/>
      <c r="N117" s="556"/>
      <c r="O117" s="556"/>
      <c r="P117" s="556"/>
      <c r="Q117" s="556"/>
      <c r="R117" s="556"/>
      <c r="S117" s="556"/>
      <c r="T117" s="556"/>
      <c r="U117" s="556"/>
      <c r="V117" s="599">
        <v>0</v>
      </c>
      <c r="W117" s="558"/>
      <c r="X117" s="543"/>
    </row>
    <row r="118" spans="1:24" s="544" customFormat="1" x14ac:dyDescent="0.3">
      <c r="A118" s="555">
        <f t="shared" si="0"/>
        <v>12</v>
      </c>
      <c r="B118" s="556" t="s">
        <v>239</v>
      </c>
      <c r="C118" s="556"/>
      <c r="D118" s="556"/>
      <c r="E118" s="556"/>
      <c r="F118" s="556"/>
      <c r="G118" s="556"/>
      <c r="H118" s="556"/>
      <c r="I118" s="556"/>
      <c r="J118" s="556"/>
      <c r="K118" s="556"/>
      <c r="L118" s="556"/>
      <c r="M118" s="556"/>
      <c r="N118" s="556"/>
      <c r="O118" s="556"/>
      <c r="P118" s="556"/>
      <c r="Q118" s="556"/>
      <c r="R118" s="556"/>
      <c r="S118" s="556"/>
      <c r="T118" s="556"/>
      <c r="U118" s="556"/>
      <c r="V118" s="599">
        <v>0</v>
      </c>
      <c r="W118" s="558"/>
      <c r="X118" s="543"/>
    </row>
    <row r="119" spans="1:24" s="544" customFormat="1" x14ac:dyDescent="0.3">
      <c r="A119" s="555">
        <f t="shared" si="0"/>
        <v>13</v>
      </c>
      <c r="B119" s="556" t="s">
        <v>149</v>
      </c>
      <c r="C119" s="556"/>
      <c r="D119" s="556"/>
      <c r="E119" s="556"/>
      <c r="F119" s="556"/>
      <c r="G119" s="556"/>
      <c r="H119" s="556"/>
      <c r="I119" s="556"/>
      <c r="J119" s="556"/>
      <c r="K119" s="556"/>
      <c r="L119" s="556"/>
      <c r="M119" s="556"/>
      <c r="N119" s="556"/>
      <c r="O119" s="556"/>
      <c r="P119" s="556"/>
      <c r="Q119" s="556"/>
      <c r="R119" s="556"/>
      <c r="S119" s="556"/>
      <c r="T119" s="556"/>
      <c r="U119" s="556"/>
      <c r="V119" s="599">
        <v>-552</v>
      </c>
      <c r="W119" s="558"/>
      <c r="X119" s="543"/>
    </row>
    <row r="120" spans="1:24" s="544" customFormat="1" x14ac:dyDescent="0.3">
      <c r="A120" s="555">
        <f t="shared" si="0"/>
        <v>14</v>
      </c>
      <c r="B120" s="556" t="s">
        <v>126</v>
      </c>
      <c r="C120" s="556"/>
      <c r="D120" s="556"/>
      <c r="E120" s="556"/>
      <c r="F120" s="556"/>
      <c r="G120" s="556"/>
      <c r="H120" s="556"/>
      <c r="I120" s="556"/>
      <c r="J120" s="556"/>
      <c r="K120" s="556"/>
      <c r="L120" s="556"/>
      <c r="M120" s="556"/>
      <c r="N120" s="556"/>
      <c r="O120" s="556"/>
      <c r="P120" s="556"/>
      <c r="Q120" s="556"/>
      <c r="R120" s="556"/>
      <c r="S120" s="556"/>
      <c r="T120" s="556"/>
      <c r="U120" s="556"/>
      <c r="V120" s="599">
        <f>-V100-SUM(V102:V119)</f>
        <v>-2774</v>
      </c>
      <c r="W120" s="558"/>
      <c r="X120" s="543"/>
    </row>
    <row r="121" spans="1:24" x14ac:dyDescent="0.3">
      <c r="A121" s="431"/>
      <c r="B121" s="507" t="s">
        <v>37</v>
      </c>
      <c r="C121" s="434"/>
      <c r="D121" s="434"/>
      <c r="E121" s="434"/>
      <c r="F121" s="434"/>
      <c r="G121" s="434"/>
      <c r="H121" s="434"/>
      <c r="I121" s="434"/>
      <c r="J121" s="434"/>
      <c r="K121" s="434"/>
      <c r="L121" s="434"/>
      <c r="M121" s="434"/>
      <c r="N121" s="434"/>
      <c r="O121" s="434"/>
      <c r="P121" s="434"/>
      <c r="Q121" s="434"/>
      <c r="R121" s="434"/>
      <c r="S121" s="434"/>
      <c r="T121" s="434"/>
      <c r="U121" s="434"/>
      <c r="V121" s="450"/>
      <c r="W121" s="436"/>
      <c r="X121" s="415"/>
    </row>
    <row r="122" spans="1:24" s="544" customFormat="1" x14ac:dyDescent="0.3">
      <c r="A122" s="555"/>
      <c r="B122" s="556" t="s">
        <v>173</v>
      </c>
      <c r="C122" s="556"/>
      <c r="D122" s="556"/>
      <c r="E122" s="556"/>
      <c r="F122" s="556"/>
      <c r="G122" s="556"/>
      <c r="H122" s="556"/>
      <c r="I122" s="556"/>
      <c r="J122" s="556"/>
      <c r="K122" s="556"/>
      <c r="L122" s="556"/>
      <c r="M122" s="556"/>
      <c r="N122" s="556"/>
      <c r="O122" s="556"/>
      <c r="P122" s="556"/>
      <c r="Q122" s="556"/>
      <c r="R122" s="556"/>
      <c r="S122" s="556"/>
      <c r="T122" s="598">
        <f>-T188</f>
        <v>0</v>
      </c>
      <c r="U122" s="598"/>
      <c r="V122" s="599"/>
      <c r="W122" s="558"/>
      <c r="X122" s="543"/>
    </row>
    <row r="123" spans="1:24" s="544" customFormat="1" x14ac:dyDescent="0.3">
      <c r="A123" s="555"/>
      <c r="B123" s="556" t="s">
        <v>174</v>
      </c>
      <c r="C123" s="556"/>
      <c r="D123" s="556"/>
      <c r="E123" s="556"/>
      <c r="F123" s="556"/>
      <c r="G123" s="556"/>
      <c r="H123" s="556"/>
      <c r="I123" s="556"/>
      <c r="J123" s="556"/>
      <c r="K123" s="556"/>
      <c r="L123" s="556"/>
      <c r="M123" s="556"/>
      <c r="N123" s="556"/>
      <c r="O123" s="556"/>
      <c r="P123" s="556"/>
      <c r="Q123" s="556"/>
      <c r="R123" s="556"/>
      <c r="S123" s="556"/>
      <c r="T123" s="598">
        <v>0</v>
      </c>
      <c r="U123" s="598"/>
      <c r="V123" s="599"/>
      <c r="W123" s="558"/>
      <c r="X123" s="543"/>
    </row>
    <row r="124" spans="1:24" s="544" customFormat="1" x14ac:dyDescent="0.3">
      <c r="A124" s="555"/>
      <c r="B124" s="556" t="s">
        <v>38</v>
      </c>
      <c r="C124" s="556"/>
      <c r="D124" s="556"/>
      <c r="E124" s="556"/>
      <c r="F124" s="556"/>
      <c r="G124" s="556"/>
      <c r="H124" s="556"/>
      <c r="I124" s="556"/>
      <c r="J124" s="556"/>
      <c r="K124" s="556"/>
      <c r="L124" s="556"/>
      <c r="M124" s="556"/>
      <c r="N124" s="556"/>
      <c r="O124" s="556"/>
      <c r="P124" s="556"/>
      <c r="Q124" s="556"/>
      <c r="R124" s="556"/>
      <c r="S124" s="556"/>
      <c r="T124" s="598">
        <f>-S188</f>
        <v>-1138</v>
      </c>
      <c r="U124" s="598"/>
      <c r="V124" s="599"/>
      <c r="W124" s="558"/>
      <c r="X124" s="543"/>
    </row>
    <row r="125" spans="1:24" s="544" customFormat="1" x14ac:dyDescent="0.3">
      <c r="A125" s="555"/>
      <c r="B125" s="556" t="s">
        <v>388</v>
      </c>
      <c r="C125" s="556"/>
      <c r="D125" s="556"/>
      <c r="E125" s="556"/>
      <c r="F125" s="556"/>
      <c r="G125" s="556"/>
      <c r="H125" s="556"/>
      <c r="I125" s="556"/>
      <c r="J125" s="556"/>
      <c r="K125" s="556"/>
      <c r="L125" s="556"/>
      <c r="M125" s="556"/>
      <c r="N125" s="556"/>
      <c r="O125" s="556"/>
      <c r="P125" s="556"/>
      <c r="Q125" s="556"/>
      <c r="R125" s="556"/>
      <c r="S125" s="556"/>
      <c r="T125" s="598">
        <v>-6652</v>
      </c>
      <c r="U125" s="598"/>
      <c r="V125" s="599"/>
      <c r="W125" s="558"/>
      <c r="X125" s="543"/>
    </row>
    <row r="126" spans="1:24" s="544" customFormat="1" x14ac:dyDescent="0.3">
      <c r="A126" s="555"/>
      <c r="B126" s="556" t="s">
        <v>195</v>
      </c>
      <c r="C126" s="556"/>
      <c r="D126" s="556"/>
      <c r="E126" s="556"/>
      <c r="F126" s="556"/>
      <c r="G126" s="556"/>
      <c r="H126" s="556"/>
      <c r="I126" s="556"/>
      <c r="J126" s="556"/>
      <c r="K126" s="556"/>
      <c r="L126" s="556"/>
      <c r="M126" s="556"/>
      <c r="N126" s="556"/>
      <c r="O126" s="556"/>
      <c r="P126" s="556"/>
      <c r="Q126" s="556"/>
      <c r="R126" s="556"/>
      <c r="S126" s="556"/>
      <c r="T126" s="598">
        <v>-1073</v>
      </c>
      <c r="U126" s="598"/>
      <c r="V126" s="599"/>
      <c r="W126" s="558"/>
      <c r="X126" s="543"/>
    </row>
    <row r="127" spans="1:24" s="544" customFormat="1" x14ac:dyDescent="0.3">
      <c r="A127" s="555"/>
      <c r="B127" s="556" t="s">
        <v>194</v>
      </c>
      <c r="C127" s="556"/>
      <c r="D127" s="556"/>
      <c r="E127" s="556"/>
      <c r="F127" s="556"/>
      <c r="G127" s="556"/>
      <c r="H127" s="556"/>
      <c r="I127" s="556"/>
      <c r="J127" s="556"/>
      <c r="K127" s="556"/>
      <c r="L127" s="556"/>
      <c r="M127" s="556"/>
      <c r="N127" s="556"/>
      <c r="O127" s="556"/>
      <c r="P127" s="556"/>
      <c r="Q127" s="556"/>
      <c r="R127" s="556"/>
      <c r="S127" s="556"/>
      <c r="T127" s="598">
        <v>-1443</v>
      </c>
      <c r="U127" s="598"/>
      <c r="V127" s="599"/>
      <c r="W127" s="558"/>
      <c r="X127" s="543"/>
    </row>
    <row r="128" spans="1:24" s="544" customFormat="1" x14ac:dyDescent="0.3">
      <c r="A128" s="555"/>
      <c r="B128" s="556" t="s">
        <v>226</v>
      </c>
      <c r="C128" s="556"/>
      <c r="D128" s="556"/>
      <c r="E128" s="556"/>
      <c r="F128" s="556"/>
      <c r="G128" s="556"/>
      <c r="H128" s="556"/>
      <c r="I128" s="556"/>
      <c r="J128" s="556"/>
      <c r="K128" s="556"/>
      <c r="L128" s="556"/>
      <c r="M128" s="556"/>
      <c r="N128" s="556"/>
      <c r="O128" s="556"/>
      <c r="P128" s="556"/>
      <c r="Q128" s="556"/>
      <c r="R128" s="556"/>
      <c r="S128" s="556"/>
      <c r="T128" s="598">
        <v>-1774</v>
      </c>
      <c r="U128" s="598"/>
      <c r="V128" s="599"/>
      <c r="W128" s="558"/>
      <c r="X128" s="543"/>
    </row>
    <row r="129" spans="1:24" s="544" customFormat="1" x14ac:dyDescent="0.3">
      <c r="A129" s="555"/>
      <c r="B129" s="556" t="s">
        <v>189</v>
      </c>
      <c r="C129" s="556"/>
      <c r="D129" s="556"/>
      <c r="E129" s="556"/>
      <c r="F129" s="556"/>
      <c r="G129" s="556"/>
      <c r="H129" s="556"/>
      <c r="I129" s="556"/>
      <c r="J129" s="556"/>
      <c r="K129" s="556"/>
      <c r="L129" s="556"/>
      <c r="M129" s="556"/>
      <c r="N129" s="556"/>
      <c r="O129" s="556"/>
      <c r="P129" s="556"/>
      <c r="Q129" s="556"/>
      <c r="R129" s="556"/>
      <c r="S129" s="556"/>
      <c r="T129" s="598">
        <v>0</v>
      </c>
      <c r="U129" s="598"/>
      <c r="V129" s="599"/>
      <c r="W129" s="558"/>
      <c r="X129" s="543"/>
    </row>
    <row r="130" spans="1:24" s="544" customFormat="1" x14ac:dyDescent="0.3">
      <c r="A130" s="555"/>
      <c r="B130" s="556" t="s">
        <v>188</v>
      </c>
      <c r="C130" s="556"/>
      <c r="D130" s="556"/>
      <c r="E130" s="556"/>
      <c r="F130" s="556"/>
      <c r="G130" s="556"/>
      <c r="H130" s="556"/>
      <c r="I130" s="556"/>
      <c r="J130" s="556"/>
      <c r="K130" s="556"/>
      <c r="L130" s="556"/>
      <c r="M130" s="556"/>
      <c r="N130" s="556"/>
      <c r="O130" s="556"/>
      <c r="P130" s="556"/>
      <c r="Q130" s="556"/>
      <c r="R130" s="556"/>
      <c r="S130" s="556"/>
      <c r="T130" s="598">
        <v>0</v>
      </c>
      <c r="U130" s="598"/>
      <c r="V130" s="599"/>
      <c r="W130" s="558"/>
      <c r="X130" s="543"/>
    </row>
    <row r="131" spans="1:24" s="544" customFormat="1" x14ac:dyDescent="0.3">
      <c r="A131" s="555"/>
      <c r="B131" s="556" t="s">
        <v>227</v>
      </c>
      <c r="C131" s="556"/>
      <c r="D131" s="556"/>
      <c r="E131" s="556"/>
      <c r="F131" s="556"/>
      <c r="G131" s="556"/>
      <c r="H131" s="556"/>
      <c r="I131" s="556"/>
      <c r="J131" s="556"/>
      <c r="K131" s="556"/>
      <c r="L131" s="556"/>
      <c r="M131" s="556"/>
      <c r="N131" s="556"/>
      <c r="O131" s="556"/>
      <c r="P131" s="556"/>
      <c r="Q131" s="556"/>
      <c r="R131" s="556"/>
      <c r="S131" s="556"/>
      <c r="T131" s="598">
        <v>0</v>
      </c>
      <c r="U131" s="598"/>
      <c r="V131" s="599"/>
      <c r="W131" s="558"/>
      <c r="X131" s="543"/>
    </row>
    <row r="132" spans="1:24" s="544" customFormat="1" x14ac:dyDescent="0.3">
      <c r="A132" s="555"/>
      <c r="B132" s="556" t="s">
        <v>187</v>
      </c>
      <c r="C132" s="556"/>
      <c r="D132" s="556"/>
      <c r="E132" s="556"/>
      <c r="F132" s="556"/>
      <c r="G132" s="556"/>
      <c r="H132" s="556"/>
      <c r="I132" s="556"/>
      <c r="J132" s="556"/>
      <c r="K132" s="556"/>
      <c r="L132" s="556"/>
      <c r="M132" s="556"/>
      <c r="N132" s="556"/>
      <c r="O132" s="556"/>
      <c r="P132" s="556"/>
      <c r="Q132" s="556"/>
      <c r="R132" s="556"/>
      <c r="S132" s="556"/>
      <c r="T132" s="598">
        <v>0</v>
      </c>
      <c r="U132" s="598"/>
      <c r="V132" s="599"/>
      <c r="W132" s="558"/>
      <c r="X132" s="543"/>
    </row>
    <row r="133" spans="1:24" s="544" customFormat="1" x14ac:dyDescent="0.3">
      <c r="A133" s="555"/>
      <c r="B133" s="556" t="s">
        <v>39</v>
      </c>
      <c r="C133" s="556"/>
      <c r="D133" s="556"/>
      <c r="E133" s="556"/>
      <c r="F133" s="556"/>
      <c r="G133" s="556"/>
      <c r="H133" s="556"/>
      <c r="I133" s="556"/>
      <c r="J133" s="556"/>
      <c r="K133" s="556"/>
      <c r="L133" s="556"/>
      <c r="M133" s="556"/>
      <c r="N133" s="556"/>
      <c r="O133" s="556"/>
      <c r="P133" s="556"/>
      <c r="Q133" s="556"/>
      <c r="R133" s="556"/>
      <c r="S133" s="556"/>
      <c r="T133" s="598">
        <f>SUM(T122:T132)</f>
        <v>-12080</v>
      </c>
      <c r="U133" s="598"/>
      <c r="V133" s="598">
        <f>SUM(V101:V130)</f>
        <v>-5338</v>
      </c>
      <c r="W133" s="558"/>
      <c r="X133" s="543"/>
    </row>
    <row r="134" spans="1:24" s="544" customFormat="1" x14ac:dyDescent="0.3">
      <c r="A134" s="555"/>
      <c r="B134" s="556" t="s">
        <v>40</v>
      </c>
      <c r="C134" s="556"/>
      <c r="D134" s="556"/>
      <c r="E134" s="556"/>
      <c r="F134" s="556"/>
      <c r="G134" s="556"/>
      <c r="H134" s="556"/>
      <c r="I134" s="556"/>
      <c r="J134" s="556"/>
      <c r="K134" s="556"/>
      <c r="L134" s="556"/>
      <c r="M134" s="556"/>
      <c r="N134" s="556"/>
      <c r="O134" s="556"/>
      <c r="P134" s="556"/>
      <c r="Q134" s="556"/>
      <c r="R134" s="556"/>
      <c r="S134" s="556"/>
      <c r="T134" s="598">
        <f>T100+T133+T114</f>
        <v>0</v>
      </c>
      <c r="U134" s="598"/>
      <c r="V134" s="598">
        <f>V100+V133</f>
        <v>0</v>
      </c>
      <c r="W134" s="558"/>
      <c r="X134" s="543"/>
    </row>
    <row r="135" spans="1:24" s="544" customFormat="1" x14ac:dyDescent="0.3">
      <c r="A135" s="540"/>
      <c r="B135" s="588"/>
      <c r="C135" s="588"/>
      <c r="D135" s="588"/>
      <c r="E135" s="588"/>
      <c r="F135" s="588"/>
      <c r="G135" s="588"/>
      <c r="H135" s="588"/>
      <c r="I135" s="588"/>
      <c r="J135" s="588"/>
      <c r="K135" s="588"/>
      <c r="L135" s="588"/>
      <c r="M135" s="588"/>
      <c r="N135" s="588"/>
      <c r="O135" s="588"/>
      <c r="P135" s="588"/>
      <c r="Q135" s="588"/>
      <c r="R135" s="588"/>
      <c r="S135" s="588"/>
      <c r="T135" s="600"/>
      <c r="U135" s="600"/>
      <c r="V135" s="600"/>
      <c r="W135" s="588"/>
      <c r="X135" s="543"/>
    </row>
    <row r="136" spans="1:24" s="544" customFormat="1" x14ac:dyDescent="0.3">
      <c r="A136" s="540"/>
      <c r="B136" s="541"/>
      <c r="C136" s="541"/>
      <c r="D136" s="541"/>
      <c r="E136" s="541"/>
      <c r="F136" s="541"/>
      <c r="G136" s="541"/>
      <c r="H136" s="541"/>
      <c r="I136" s="541"/>
      <c r="J136" s="541"/>
      <c r="K136" s="541"/>
      <c r="L136" s="541"/>
      <c r="M136" s="541"/>
      <c r="N136" s="541"/>
      <c r="O136" s="541"/>
      <c r="P136" s="541"/>
      <c r="Q136" s="541"/>
      <c r="R136" s="541"/>
      <c r="S136" s="541"/>
      <c r="T136" s="541"/>
      <c r="U136" s="541"/>
      <c r="V136" s="606"/>
      <c r="W136" s="541"/>
      <c r="X136" s="543"/>
    </row>
    <row r="137" spans="1:24" s="544" customFormat="1" ht="18.600000000000001" thickBot="1" x14ac:dyDescent="0.4">
      <c r="A137" s="593"/>
      <c r="B137" s="594" t="str">
        <f>B63</f>
        <v>PM14 INVESTOR REPORT QUARTER ENDING NOVEMBER 2017</v>
      </c>
      <c r="C137" s="595"/>
      <c r="D137" s="595"/>
      <c r="E137" s="595"/>
      <c r="F137" s="595"/>
      <c r="G137" s="595"/>
      <c r="H137" s="595"/>
      <c r="I137" s="595"/>
      <c r="J137" s="595"/>
      <c r="K137" s="595"/>
      <c r="L137" s="595"/>
      <c r="M137" s="595"/>
      <c r="N137" s="595"/>
      <c r="O137" s="595"/>
      <c r="P137" s="595"/>
      <c r="Q137" s="595"/>
      <c r="R137" s="595"/>
      <c r="S137" s="595"/>
      <c r="T137" s="595"/>
      <c r="U137" s="595"/>
      <c r="V137" s="607"/>
      <c r="W137" s="597"/>
      <c r="X137" s="543"/>
    </row>
    <row r="138" spans="1:24" x14ac:dyDescent="0.3">
      <c r="A138" s="527"/>
      <c r="B138" s="528" t="s">
        <v>41</v>
      </c>
      <c r="C138" s="529"/>
      <c r="D138" s="529"/>
      <c r="E138" s="529"/>
      <c r="F138" s="529"/>
      <c r="G138" s="529"/>
      <c r="H138" s="529"/>
      <c r="I138" s="529"/>
      <c r="J138" s="529"/>
      <c r="K138" s="529"/>
      <c r="L138" s="529"/>
      <c r="M138" s="529"/>
      <c r="N138" s="529"/>
      <c r="O138" s="529"/>
      <c r="P138" s="529"/>
      <c r="Q138" s="529"/>
      <c r="R138" s="529"/>
      <c r="S138" s="529"/>
      <c r="T138" s="529"/>
      <c r="U138" s="529"/>
      <c r="V138" s="530"/>
      <c r="W138" s="529"/>
      <c r="X138" s="415"/>
    </row>
    <row r="139" spans="1:24" x14ac:dyDescent="0.3">
      <c r="A139" s="417"/>
      <c r="B139" s="451"/>
      <c r="C139" s="419"/>
      <c r="D139" s="419"/>
      <c r="E139" s="419"/>
      <c r="F139" s="419"/>
      <c r="G139" s="419"/>
      <c r="H139" s="419"/>
      <c r="I139" s="419"/>
      <c r="J139" s="419"/>
      <c r="K139" s="419"/>
      <c r="L139" s="419"/>
      <c r="M139" s="419"/>
      <c r="N139" s="419"/>
      <c r="O139" s="419"/>
      <c r="P139" s="419"/>
      <c r="Q139" s="419"/>
      <c r="R139" s="419"/>
      <c r="S139" s="419"/>
      <c r="T139" s="419"/>
      <c r="U139" s="419"/>
      <c r="V139" s="439"/>
      <c r="W139" s="419"/>
      <c r="X139" s="415"/>
    </row>
    <row r="140" spans="1:24" x14ac:dyDescent="0.3">
      <c r="A140" s="417"/>
      <c r="B140" s="508" t="s">
        <v>42</v>
      </c>
      <c r="C140" s="419"/>
      <c r="D140" s="419"/>
      <c r="E140" s="419"/>
      <c r="F140" s="419"/>
      <c r="G140" s="419"/>
      <c r="H140" s="419"/>
      <c r="I140" s="419"/>
      <c r="J140" s="419"/>
      <c r="K140" s="419"/>
      <c r="L140" s="419"/>
      <c r="M140" s="419"/>
      <c r="N140" s="419"/>
      <c r="O140" s="419"/>
      <c r="P140" s="419"/>
      <c r="Q140" s="419"/>
      <c r="R140" s="419"/>
      <c r="S140" s="419"/>
      <c r="T140" s="419"/>
      <c r="U140" s="419"/>
      <c r="V140" s="439"/>
      <c r="W140" s="419"/>
      <c r="X140" s="415"/>
    </row>
    <row r="141" spans="1:24" s="544" customFormat="1" x14ac:dyDescent="0.3">
      <c r="A141" s="555"/>
      <c r="B141" s="556" t="s">
        <v>43</v>
      </c>
      <c r="C141" s="556"/>
      <c r="D141" s="556"/>
      <c r="E141" s="556"/>
      <c r="F141" s="556"/>
      <c r="G141" s="556"/>
      <c r="H141" s="556"/>
      <c r="I141" s="556"/>
      <c r="J141" s="556"/>
      <c r="K141" s="556"/>
      <c r="L141" s="556"/>
      <c r="M141" s="556"/>
      <c r="N141" s="556"/>
      <c r="O141" s="556"/>
      <c r="P141" s="556"/>
      <c r="Q141" s="556"/>
      <c r="R141" s="556"/>
      <c r="S141" s="556"/>
      <c r="T141" s="556"/>
      <c r="U141" s="556"/>
      <c r="V141" s="599">
        <f>+V34*0.019</f>
        <v>28505.224999999999</v>
      </c>
      <c r="W141" s="558"/>
      <c r="X141" s="543"/>
    </row>
    <row r="142" spans="1:24" s="544" customFormat="1" x14ac:dyDescent="0.3">
      <c r="A142" s="555"/>
      <c r="B142" s="556" t="s">
        <v>44</v>
      </c>
      <c r="C142" s="556"/>
      <c r="D142" s="556"/>
      <c r="E142" s="556"/>
      <c r="F142" s="556"/>
      <c r="G142" s="556"/>
      <c r="H142" s="556"/>
      <c r="I142" s="556"/>
      <c r="J142" s="556"/>
      <c r="K142" s="556"/>
      <c r="L142" s="556"/>
      <c r="M142" s="556"/>
      <c r="N142" s="556"/>
      <c r="O142" s="556"/>
      <c r="P142" s="556"/>
      <c r="Q142" s="556"/>
      <c r="R142" s="556"/>
      <c r="S142" s="556"/>
      <c r="T142" s="556"/>
      <c r="U142" s="556"/>
      <c r="V142" s="599">
        <v>28505</v>
      </c>
      <c r="W142" s="558"/>
      <c r="X142" s="543"/>
    </row>
    <row r="143" spans="1:24" s="544" customFormat="1" x14ac:dyDescent="0.3">
      <c r="A143" s="555"/>
      <c r="B143" s="556" t="s">
        <v>136</v>
      </c>
      <c r="C143" s="556"/>
      <c r="D143" s="556"/>
      <c r="E143" s="556"/>
      <c r="F143" s="556"/>
      <c r="G143" s="556"/>
      <c r="H143" s="556"/>
      <c r="I143" s="556"/>
      <c r="J143" s="556"/>
      <c r="K143" s="556"/>
      <c r="L143" s="556"/>
      <c r="M143" s="556"/>
      <c r="N143" s="556"/>
      <c r="O143" s="556"/>
      <c r="P143" s="556"/>
      <c r="Q143" s="556"/>
      <c r="R143" s="556"/>
      <c r="S143" s="556"/>
      <c r="T143" s="556"/>
      <c r="U143" s="556"/>
      <c r="V143" s="599"/>
      <c r="W143" s="558"/>
      <c r="X143" s="543"/>
    </row>
    <row r="144" spans="1:24" s="544" customFormat="1" x14ac:dyDescent="0.3">
      <c r="A144" s="555"/>
      <c r="B144" s="556" t="s">
        <v>123</v>
      </c>
      <c r="C144" s="556"/>
      <c r="D144" s="556"/>
      <c r="E144" s="556"/>
      <c r="F144" s="556"/>
      <c r="G144" s="556"/>
      <c r="H144" s="556"/>
      <c r="I144" s="556"/>
      <c r="J144" s="556"/>
      <c r="K144" s="556"/>
      <c r="L144" s="556"/>
      <c r="M144" s="556"/>
      <c r="N144" s="556"/>
      <c r="O144" s="556"/>
      <c r="P144" s="556"/>
      <c r="Q144" s="556"/>
      <c r="R144" s="556"/>
      <c r="S144" s="556"/>
      <c r="T144" s="556"/>
      <c r="U144" s="556"/>
      <c r="V144" s="599">
        <v>0</v>
      </c>
      <c r="W144" s="558"/>
      <c r="X144" s="543"/>
    </row>
    <row r="145" spans="1:25" s="544" customFormat="1" x14ac:dyDescent="0.3">
      <c r="A145" s="555"/>
      <c r="B145" s="556" t="s">
        <v>124</v>
      </c>
      <c r="C145" s="556"/>
      <c r="D145" s="556"/>
      <c r="E145" s="556"/>
      <c r="F145" s="556"/>
      <c r="G145" s="556"/>
      <c r="H145" s="556"/>
      <c r="I145" s="556"/>
      <c r="J145" s="556"/>
      <c r="K145" s="556"/>
      <c r="L145" s="556"/>
      <c r="M145" s="556"/>
      <c r="N145" s="556"/>
      <c r="O145" s="556"/>
      <c r="P145" s="556"/>
      <c r="Q145" s="556"/>
      <c r="R145" s="556"/>
      <c r="S145" s="556"/>
      <c r="T145" s="556"/>
      <c r="U145" s="556"/>
      <c r="V145" s="599">
        <v>0</v>
      </c>
      <c r="W145" s="558"/>
      <c r="X145" s="543"/>
    </row>
    <row r="146" spans="1:25" s="544" customFormat="1" x14ac:dyDescent="0.3">
      <c r="A146" s="555"/>
      <c r="B146" s="556" t="s">
        <v>175</v>
      </c>
      <c r="C146" s="556"/>
      <c r="D146" s="556"/>
      <c r="E146" s="556"/>
      <c r="F146" s="556"/>
      <c r="G146" s="556"/>
      <c r="H146" s="556"/>
      <c r="I146" s="556"/>
      <c r="J146" s="556"/>
      <c r="K146" s="556"/>
      <c r="L146" s="556"/>
      <c r="M146" s="556"/>
      <c r="N146" s="556"/>
      <c r="O146" s="556"/>
      <c r="P146" s="556"/>
      <c r="Q146" s="556"/>
      <c r="R146" s="556"/>
      <c r="S146" s="556"/>
      <c r="T146" s="556"/>
      <c r="U146" s="556"/>
      <c r="V146" s="599">
        <v>0</v>
      </c>
      <c r="W146" s="558"/>
      <c r="X146" s="543"/>
    </row>
    <row r="147" spans="1:25" s="544" customFormat="1" x14ac:dyDescent="0.3">
      <c r="A147" s="555"/>
      <c r="B147" s="556" t="s">
        <v>45</v>
      </c>
      <c r="C147" s="556"/>
      <c r="D147" s="556"/>
      <c r="E147" s="556"/>
      <c r="F147" s="556"/>
      <c r="G147" s="556"/>
      <c r="H147" s="556"/>
      <c r="I147" s="556"/>
      <c r="J147" s="556"/>
      <c r="K147" s="556"/>
      <c r="L147" s="556"/>
      <c r="M147" s="556"/>
      <c r="N147" s="556"/>
      <c r="O147" s="556"/>
      <c r="P147" s="556"/>
      <c r="Q147" s="556"/>
      <c r="R147" s="556"/>
      <c r="S147" s="556"/>
      <c r="T147" s="556"/>
      <c r="U147" s="556"/>
      <c r="V147" s="599">
        <v>0</v>
      </c>
      <c r="W147" s="558"/>
      <c r="X147" s="543"/>
    </row>
    <row r="148" spans="1:25" s="544" customFormat="1" x14ac:dyDescent="0.3">
      <c r="A148" s="555"/>
      <c r="B148" s="556" t="s">
        <v>129</v>
      </c>
      <c r="C148" s="556"/>
      <c r="D148" s="556"/>
      <c r="E148" s="556"/>
      <c r="F148" s="556"/>
      <c r="G148" s="556"/>
      <c r="H148" s="556"/>
      <c r="I148" s="556"/>
      <c r="J148" s="556"/>
      <c r="K148" s="556"/>
      <c r="L148" s="556"/>
      <c r="M148" s="556"/>
      <c r="N148" s="556"/>
      <c r="O148" s="556"/>
      <c r="P148" s="556"/>
      <c r="Q148" s="556"/>
      <c r="R148" s="556"/>
      <c r="S148" s="556"/>
      <c r="T148" s="556"/>
      <c r="U148" s="556"/>
      <c r="V148" s="599">
        <v>0</v>
      </c>
      <c r="W148" s="558"/>
      <c r="X148" s="543"/>
    </row>
    <row r="149" spans="1:25" s="544" customFormat="1" x14ac:dyDescent="0.3">
      <c r="A149" s="555"/>
      <c r="B149" s="556" t="s">
        <v>267</v>
      </c>
      <c r="C149" s="556"/>
      <c r="D149" s="556"/>
      <c r="E149" s="556"/>
      <c r="F149" s="556"/>
      <c r="G149" s="556"/>
      <c r="H149" s="556"/>
      <c r="I149" s="556"/>
      <c r="J149" s="556"/>
      <c r="K149" s="556"/>
      <c r="L149" s="556"/>
      <c r="M149" s="556"/>
      <c r="N149" s="556"/>
      <c r="O149" s="556"/>
      <c r="P149" s="556"/>
      <c r="Q149" s="556"/>
      <c r="R149" s="556"/>
      <c r="S149" s="556"/>
      <c r="T149" s="556"/>
      <c r="U149" s="556"/>
      <c r="V149" s="599">
        <v>0</v>
      </c>
      <c r="W149" s="558"/>
      <c r="X149" s="543"/>
      <c r="Y149" s="604"/>
    </row>
    <row r="150" spans="1:25" s="544" customFormat="1" x14ac:dyDescent="0.3">
      <c r="A150" s="555"/>
      <c r="B150" s="556" t="s">
        <v>46</v>
      </c>
      <c r="C150" s="556"/>
      <c r="D150" s="556"/>
      <c r="E150" s="556"/>
      <c r="F150" s="556"/>
      <c r="G150" s="556"/>
      <c r="H150" s="556"/>
      <c r="I150" s="556"/>
      <c r="J150" s="556"/>
      <c r="K150" s="556"/>
      <c r="L150" s="556"/>
      <c r="M150" s="556"/>
      <c r="N150" s="556"/>
      <c r="O150" s="556"/>
      <c r="P150" s="556"/>
      <c r="Q150" s="556"/>
      <c r="R150" s="556"/>
      <c r="S150" s="556"/>
      <c r="T150" s="556"/>
      <c r="U150" s="556"/>
      <c r="V150" s="599">
        <f>SUM(V142:V149)</f>
        <v>28505</v>
      </c>
      <c r="W150" s="558"/>
      <c r="X150" s="543"/>
    </row>
    <row r="151" spans="1:25" x14ac:dyDescent="0.3">
      <c r="A151" s="431"/>
      <c r="B151" s="434"/>
      <c r="C151" s="434"/>
      <c r="D151" s="434"/>
      <c r="E151" s="434"/>
      <c r="F151" s="434"/>
      <c r="G151" s="434"/>
      <c r="H151" s="434"/>
      <c r="I151" s="434"/>
      <c r="J151" s="434"/>
      <c r="K151" s="434"/>
      <c r="L151" s="434"/>
      <c r="M151" s="434"/>
      <c r="N151" s="434"/>
      <c r="O151" s="434"/>
      <c r="P151" s="434"/>
      <c r="Q151" s="434"/>
      <c r="R151" s="434"/>
      <c r="S151" s="434"/>
      <c r="T151" s="434"/>
      <c r="U151" s="434"/>
      <c r="V151" s="449"/>
      <c r="W151" s="436"/>
      <c r="X151" s="415"/>
    </row>
    <row r="152" spans="1:25" x14ac:dyDescent="0.3">
      <c r="A152" s="431"/>
      <c r="B152" s="507" t="s">
        <v>237</v>
      </c>
      <c r="C152" s="434"/>
      <c r="D152" s="434"/>
      <c r="E152" s="434"/>
      <c r="F152" s="434"/>
      <c r="G152" s="434"/>
      <c r="H152" s="434"/>
      <c r="I152" s="434"/>
      <c r="J152" s="434"/>
      <c r="K152" s="434"/>
      <c r="L152" s="434"/>
      <c r="M152" s="434"/>
      <c r="N152" s="434"/>
      <c r="O152" s="434"/>
      <c r="P152" s="434"/>
      <c r="Q152" s="434"/>
      <c r="R152" s="434"/>
      <c r="S152" s="434"/>
      <c r="T152" s="434"/>
      <c r="U152" s="434"/>
      <c r="V152" s="449"/>
      <c r="W152" s="436"/>
      <c r="X152" s="415"/>
    </row>
    <row r="153" spans="1:25" s="544" customFormat="1" x14ac:dyDescent="0.3">
      <c r="A153" s="555"/>
      <c r="B153" s="556" t="s">
        <v>155</v>
      </c>
      <c r="C153" s="556"/>
      <c r="D153" s="556"/>
      <c r="E153" s="556"/>
      <c r="F153" s="556"/>
      <c r="G153" s="556"/>
      <c r="H153" s="556"/>
      <c r="I153" s="556"/>
      <c r="J153" s="556"/>
      <c r="K153" s="556"/>
      <c r="L153" s="556"/>
      <c r="M153" s="556"/>
      <c r="N153" s="556"/>
      <c r="O153" s="556"/>
      <c r="P153" s="556"/>
      <c r="Q153" s="556"/>
      <c r="R153" s="556"/>
      <c r="S153" s="556"/>
      <c r="T153" s="556"/>
      <c r="U153" s="556"/>
      <c r="V153" s="599">
        <v>7500</v>
      </c>
      <c r="W153" s="558"/>
      <c r="X153" s="543"/>
    </row>
    <row r="154" spans="1:25" s="544" customFormat="1" x14ac:dyDescent="0.3">
      <c r="A154" s="555"/>
      <c r="B154" s="556" t="s">
        <v>172</v>
      </c>
      <c r="C154" s="556"/>
      <c r="D154" s="556"/>
      <c r="E154" s="556"/>
      <c r="F154" s="556"/>
      <c r="G154" s="556"/>
      <c r="H154" s="556"/>
      <c r="I154" s="556"/>
      <c r="J154" s="556"/>
      <c r="K154" s="556"/>
      <c r="L154" s="556"/>
      <c r="M154" s="556"/>
      <c r="N154" s="556"/>
      <c r="O154" s="556"/>
      <c r="P154" s="556"/>
      <c r="Q154" s="556"/>
      <c r="R154" s="556"/>
      <c r="S154" s="556"/>
      <c r="T154" s="556"/>
      <c r="U154" s="556"/>
      <c r="V154" s="599">
        <v>0</v>
      </c>
      <c r="W154" s="558"/>
      <c r="X154" s="543"/>
    </row>
    <row r="155" spans="1:25" s="544" customFormat="1" x14ac:dyDescent="0.3">
      <c r="A155" s="555"/>
      <c r="B155" s="556" t="s">
        <v>344</v>
      </c>
      <c r="C155" s="556"/>
      <c r="D155" s="556"/>
      <c r="E155" s="556"/>
      <c r="F155" s="556"/>
      <c r="G155" s="556"/>
      <c r="H155" s="556"/>
      <c r="I155" s="556"/>
      <c r="J155" s="556"/>
      <c r="K155" s="556"/>
      <c r="L155" s="556"/>
      <c r="M155" s="556"/>
      <c r="N155" s="556"/>
      <c r="O155" s="556"/>
      <c r="P155" s="556"/>
      <c r="Q155" s="556"/>
      <c r="R155" s="556"/>
      <c r="S155" s="556"/>
      <c r="T155" s="556"/>
      <c r="U155" s="556"/>
      <c r="V155" s="599">
        <v>0</v>
      </c>
      <c r="W155" s="558"/>
      <c r="X155" s="543"/>
    </row>
    <row r="156" spans="1:25" x14ac:dyDescent="0.3">
      <c r="A156" s="431"/>
      <c r="B156" s="432"/>
      <c r="C156" s="432"/>
      <c r="D156" s="432"/>
      <c r="E156" s="432"/>
      <c r="F156" s="432"/>
      <c r="G156" s="432"/>
      <c r="H156" s="432"/>
      <c r="I156" s="432"/>
      <c r="J156" s="432"/>
      <c r="K156" s="432"/>
      <c r="L156" s="432"/>
      <c r="M156" s="432"/>
      <c r="N156" s="432"/>
      <c r="O156" s="432"/>
      <c r="P156" s="432"/>
      <c r="Q156" s="432"/>
      <c r="R156" s="432"/>
      <c r="S156" s="432"/>
      <c r="T156" s="432"/>
      <c r="U156" s="432"/>
      <c r="V156" s="440"/>
      <c r="W156" s="433"/>
      <c r="X156" s="415"/>
    </row>
    <row r="157" spans="1:25" x14ac:dyDescent="0.3">
      <c r="A157" s="417"/>
      <c r="B157" s="441"/>
      <c r="C157" s="441"/>
      <c r="D157" s="441"/>
      <c r="E157" s="441"/>
      <c r="F157" s="441"/>
      <c r="G157" s="441"/>
      <c r="H157" s="441"/>
      <c r="I157" s="441"/>
      <c r="J157" s="441"/>
      <c r="K157" s="441"/>
      <c r="L157" s="441"/>
      <c r="M157" s="441"/>
      <c r="N157" s="441"/>
      <c r="O157" s="441"/>
      <c r="P157" s="441"/>
      <c r="Q157" s="441"/>
      <c r="R157" s="441"/>
      <c r="S157" s="441"/>
      <c r="T157" s="441"/>
      <c r="U157" s="441"/>
      <c r="V157" s="452"/>
      <c r="W157" s="441"/>
      <c r="X157" s="415"/>
    </row>
    <row r="158" spans="1:25" x14ac:dyDescent="0.3">
      <c r="A158" s="417"/>
      <c r="B158" s="508" t="s">
        <v>24</v>
      </c>
      <c r="C158" s="419"/>
      <c r="D158" s="419"/>
      <c r="E158" s="419"/>
      <c r="F158" s="419"/>
      <c r="G158" s="419"/>
      <c r="H158" s="419"/>
      <c r="I158" s="419"/>
      <c r="J158" s="419"/>
      <c r="K158" s="419"/>
      <c r="L158" s="419"/>
      <c r="M158" s="419"/>
      <c r="N158" s="419"/>
      <c r="O158" s="419"/>
      <c r="P158" s="419"/>
      <c r="Q158" s="419"/>
      <c r="R158" s="419"/>
      <c r="S158" s="419"/>
      <c r="T158" s="419"/>
      <c r="U158" s="419"/>
      <c r="V158" s="439"/>
      <c r="W158" s="419"/>
      <c r="X158" s="415"/>
    </row>
    <row r="159" spans="1:25" s="544" customFormat="1" x14ac:dyDescent="0.3">
      <c r="A159" s="555"/>
      <c r="B159" s="556" t="s">
        <v>47</v>
      </c>
      <c r="C159" s="556"/>
      <c r="D159" s="556"/>
      <c r="E159" s="556"/>
      <c r="F159" s="556"/>
      <c r="G159" s="556"/>
      <c r="H159" s="556"/>
      <c r="I159" s="556"/>
      <c r="J159" s="556"/>
      <c r="K159" s="556"/>
      <c r="L159" s="556"/>
      <c r="M159" s="556"/>
      <c r="N159" s="556"/>
      <c r="O159" s="556"/>
      <c r="P159" s="556"/>
      <c r="Q159" s="556"/>
      <c r="R159" s="556"/>
      <c r="S159" s="556"/>
      <c r="T159" s="556"/>
      <c r="U159" s="556"/>
      <c r="V159" s="608" t="s">
        <v>118</v>
      </c>
      <c r="W159" s="558"/>
      <c r="X159" s="543"/>
    </row>
    <row r="160" spans="1:25" s="544" customFormat="1" x14ac:dyDescent="0.3">
      <c r="A160" s="555"/>
      <c r="B160" s="556" t="s">
        <v>48</v>
      </c>
      <c r="C160" s="556"/>
      <c r="D160" s="556"/>
      <c r="E160" s="556"/>
      <c r="F160" s="556"/>
      <c r="G160" s="556"/>
      <c r="H160" s="556"/>
      <c r="I160" s="556"/>
      <c r="J160" s="556"/>
      <c r="K160" s="556"/>
      <c r="L160" s="556"/>
      <c r="M160" s="556"/>
      <c r="N160" s="556"/>
      <c r="O160" s="556"/>
      <c r="P160" s="556"/>
      <c r="Q160" s="556"/>
      <c r="R160" s="556"/>
      <c r="S160" s="556"/>
      <c r="T160" s="556"/>
      <c r="U160" s="556"/>
      <c r="V160" s="608" t="s">
        <v>118</v>
      </c>
      <c r="W160" s="558"/>
      <c r="X160" s="543"/>
    </row>
    <row r="161" spans="1:256" s="544" customFormat="1" x14ac:dyDescent="0.3">
      <c r="A161" s="555"/>
      <c r="B161" s="556" t="s">
        <v>49</v>
      </c>
      <c r="C161" s="556"/>
      <c r="D161" s="556"/>
      <c r="E161" s="556"/>
      <c r="F161" s="556"/>
      <c r="G161" s="556"/>
      <c r="H161" s="556"/>
      <c r="I161" s="556"/>
      <c r="J161" s="556"/>
      <c r="K161" s="556"/>
      <c r="L161" s="556"/>
      <c r="M161" s="556"/>
      <c r="N161" s="556"/>
      <c r="O161" s="556"/>
      <c r="P161" s="556"/>
      <c r="Q161" s="556"/>
      <c r="R161" s="556"/>
      <c r="S161" s="556"/>
      <c r="T161" s="556"/>
      <c r="U161" s="556"/>
      <c r="V161" s="608" t="s">
        <v>118</v>
      </c>
      <c r="W161" s="558"/>
      <c r="X161" s="543"/>
    </row>
    <row r="162" spans="1:256" s="544" customFormat="1" x14ac:dyDescent="0.3">
      <c r="A162" s="555"/>
      <c r="B162" s="556" t="s">
        <v>50</v>
      </c>
      <c r="C162" s="556"/>
      <c r="D162" s="556"/>
      <c r="E162" s="556"/>
      <c r="F162" s="556"/>
      <c r="G162" s="556"/>
      <c r="H162" s="556"/>
      <c r="I162" s="556"/>
      <c r="J162" s="556"/>
      <c r="K162" s="556"/>
      <c r="L162" s="556"/>
      <c r="M162" s="556"/>
      <c r="N162" s="556"/>
      <c r="O162" s="556"/>
      <c r="P162" s="556"/>
      <c r="Q162" s="556"/>
      <c r="R162" s="556"/>
      <c r="S162" s="556"/>
      <c r="T162" s="556"/>
      <c r="U162" s="556"/>
      <c r="V162" s="608" t="s">
        <v>118</v>
      </c>
      <c r="W162" s="558"/>
      <c r="X162" s="543"/>
    </row>
    <row r="163" spans="1:256" x14ac:dyDescent="0.3">
      <c r="A163" s="417"/>
      <c r="B163" s="441"/>
      <c r="C163" s="441"/>
      <c r="D163" s="441"/>
      <c r="E163" s="441"/>
      <c r="F163" s="441"/>
      <c r="G163" s="441"/>
      <c r="H163" s="441"/>
      <c r="I163" s="441"/>
      <c r="J163" s="441"/>
      <c r="K163" s="441"/>
      <c r="L163" s="441"/>
      <c r="M163" s="441"/>
      <c r="N163" s="441"/>
      <c r="O163" s="441"/>
      <c r="P163" s="441"/>
      <c r="Q163" s="441"/>
      <c r="R163" s="441"/>
      <c r="S163" s="441"/>
      <c r="T163" s="441"/>
      <c r="U163" s="441"/>
      <c r="V163" s="452"/>
      <c r="W163" s="441"/>
      <c r="X163" s="415"/>
    </row>
    <row r="164" spans="1:256" x14ac:dyDescent="0.3">
      <c r="A164" s="417"/>
      <c r="B164" s="508" t="s">
        <v>51</v>
      </c>
      <c r="C164" s="419"/>
      <c r="D164" s="419"/>
      <c r="E164" s="419"/>
      <c r="F164" s="419"/>
      <c r="G164" s="419"/>
      <c r="H164" s="419"/>
      <c r="I164" s="419"/>
      <c r="J164" s="419"/>
      <c r="K164" s="419"/>
      <c r="L164" s="419"/>
      <c r="M164" s="419"/>
      <c r="N164" s="419"/>
      <c r="O164" s="419"/>
      <c r="P164" s="419"/>
      <c r="Q164" s="419"/>
      <c r="R164" s="419"/>
      <c r="S164" s="419"/>
      <c r="T164" s="419"/>
      <c r="U164" s="419"/>
      <c r="V164" s="453"/>
      <c r="W164" s="419"/>
      <c r="X164" s="415"/>
    </row>
    <row r="165" spans="1:256" s="544" customFormat="1" x14ac:dyDescent="0.3">
      <c r="A165" s="555"/>
      <c r="B165" s="556" t="s">
        <v>52</v>
      </c>
      <c r="C165" s="556"/>
      <c r="D165" s="556"/>
      <c r="E165" s="556"/>
      <c r="F165" s="556"/>
      <c r="G165" s="556"/>
      <c r="H165" s="556"/>
      <c r="I165" s="556"/>
      <c r="J165" s="556"/>
      <c r="K165" s="556"/>
      <c r="L165" s="556"/>
      <c r="M165" s="556"/>
      <c r="N165" s="556"/>
      <c r="O165" s="556"/>
      <c r="P165" s="556"/>
      <c r="Q165" s="556"/>
      <c r="R165" s="556"/>
      <c r="S165" s="556"/>
      <c r="T165" s="556"/>
      <c r="U165" s="556"/>
      <c r="V165" s="599">
        <v>0</v>
      </c>
      <c r="W165" s="558"/>
      <c r="X165" s="543"/>
    </row>
    <row r="166" spans="1:256" s="544" customFormat="1" x14ac:dyDescent="0.3">
      <c r="A166" s="555"/>
      <c r="B166" s="556" t="s">
        <v>53</v>
      </c>
      <c r="C166" s="556"/>
      <c r="D166" s="556"/>
      <c r="E166" s="556"/>
      <c r="F166" s="556"/>
      <c r="G166" s="556"/>
      <c r="H166" s="556"/>
      <c r="I166" s="556"/>
      <c r="J166" s="556"/>
      <c r="K166" s="556"/>
      <c r="L166" s="556"/>
      <c r="M166" s="556"/>
      <c r="N166" s="556"/>
      <c r="O166" s="556"/>
      <c r="P166" s="556"/>
      <c r="Q166" s="556"/>
      <c r="R166" s="556"/>
      <c r="S166" s="556"/>
      <c r="T166" s="556"/>
      <c r="U166" s="556"/>
      <c r="V166" s="599">
        <v>254</v>
      </c>
      <c r="W166" s="558"/>
      <c r="X166" s="543"/>
    </row>
    <row r="167" spans="1:256" s="544" customFormat="1" x14ac:dyDescent="0.3">
      <c r="A167" s="555"/>
      <c r="B167" s="556" t="s">
        <v>54</v>
      </c>
      <c r="C167" s="556"/>
      <c r="D167" s="556"/>
      <c r="E167" s="556"/>
      <c r="F167" s="556"/>
      <c r="G167" s="556"/>
      <c r="H167" s="556"/>
      <c r="I167" s="556"/>
      <c r="J167" s="556"/>
      <c r="K167" s="556"/>
      <c r="L167" s="556"/>
      <c r="M167" s="556"/>
      <c r="N167" s="556"/>
      <c r="O167" s="556"/>
      <c r="P167" s="556"/>
      <c r="Q167" s="556"/>
      <c r="R167" s="556"/>
      <c r="S167" s="556"/>
      <c r="T167" s="556"/>
      <c r="U167" s="556"/>
      <c r="V167" s="599">
        <f>V166+V165</f>
        <v>254</v>
      </c>
      <c r="W167" s="558"/>
      <c r="X167" s="543"/>
    </row>
    <row r="168" spans="1:256" s="544" customFormat="1" x14ac:dyDescent="0.3">
      <c r="A168" s="555"/>
      <c r="B168" s="556" t="s">
        <v>315</v>
      </c>
      <c r="C168" s="556"/>
      <c r="D168" s="556"/>
      <c r="E168" s="556"/>
      <c r="F168" s="556"/>
      <c r="G168" s="556"/>
      <c r="H168" s="556"/>
      <c r="I168" s="556"/>
      <c r="J168" s="556"/>
      <c r="K168" s="556"/>
      <c r="L168" s="556"/>
      <c r="M168" s="556"/>
      <c r="N168" s="556"/>
      <c r="O168" s="556"/>
      <c r="P168" s="556"/>
      <c r="Q168" s="556"/>
      <c r="R168" s="556"/>
      <c r="S168" s="556"/>
      <c r="T168" s="556"/>
      <c r="U168" s="556"/>
      <c r="V168" s="599">
        <f>V114</f>
        <v>-254</v>
      </c>
      <c r="W168" s="558"/>
      <c r="X168" s="543"/>
    </row>
    <row r="169" spans="1:256" s="544" customFormat="1" x14ac:dyDescent="0.3">
      <c r="A169" s="555"/>
      <c r="B169" s="556" t="s">
        <v>55</v>
      </c>
      <c r="C169" s="556"/>
      <c r="D169" s="556"/>
      <c r="E169" s="556"/>
      <c r="F169" s="556"/>
      <c r="G169" s="556"/>
      <c r="H169" s="556"/>
      <c r="I169" s="556"/>
      <c r="J169" s="556"/>
      <c r="K169" s="556"/>
      <c r="L169" s="556"/>
      <c r="M169" s="556"/>
      <c r="N169" s="556"/>
      <c r="O169" s="556"/>
      <c r="P169" s="556"/>
      <c r="Q169" s="556"/>
      <c r="R169" s="556"/>
      <c r="S169" s="556"/>
      <c r="T169" s="556"/>
      <c r="U169" s="556"/>
      <c r="V169" s="599">
        <f>V167+V168</f>
        <v>0</v>
      </c>
      <c r="W169" s="558"/>
      <c r="X169" s="543"/>
    </row>
    <row r="170" spans="1:256" s="544" customFormat="1" x14ac:dyDescent="0.3">
      <c r="A170" s="555"/>
      <c r="B170" s="556" t="s">
        <v>283</v>
      </c>
      <c r="C170" s="556"/>
      <c r="D170" s="556"/>
      <c r="E170" s="556"/>
      <c r="F170" s="556"/>
      <c r="G170" s="556"/>
      <c r="H170" s="556"/>
      <c r="I170" s="556"/>
      <c r="J170" s="556"/>
      <c r="K170" s="556"/>
      <c r="L170" s="556"/>
      <c r="M170" s="556"/>
      <c r="N170" s="556"/>
      <c r="O170" s="556"/>
      <c r="P170" s="556"/>
      <c r="Q170" s="556"/>
      <c r="R170" s="556"/>
      <c r="S170" s="556"/>
      <c r="T170" s="556"/>
      <c r="U170" s="556"/>
      <c r="V170" s="599">
        <v>0</v>
      </c>
      <c r="W170" s="558"/>
      <c r="X170" s="543"/>
    </row>
    <row r="171" spans="1:256" ht="16.2" thickBot="1" x14ac:dyDescent="0.35">
      <c r="A171" s="417"/>
      <c r="B171" s="437"/>
      <c r="C171" s="437"/>
      <c r="D171" s="437"/>
      <c r="E171" s="437"/>
      <c r="F171" s="437"/>
      <c r="G171" s="437"/>
      <c r="H171" s="437"/>
      <c r="I171" s="437"/>
      <c r="J171" s="437"/>
      <c r="K171" s="437"/>
      <c r="L171" s="437"/>
      <c r="M171" s="437"/>
      <c r="N171" s="437"/>
      <c r="O171" s="437"/>
      <c r="P171" s="437"/>
      <c r="Q171" s="437"/>
      <c r="R171" s="437"/>
      <c r="S171" s="437"/>
      <c r="T171" s="437"/>
      <c r="U171" s="437"/>
      <c r="V171" s="454"/>
      <c r="W171" s="437"/>
      <c r="X171" s="415"/>
    </row>
    <row r="172" spans="1:256" x14ac:dyDescent="0.3">
      <c r="A172" s="413"/>
      <c r="B172" s="455"/>
      <c r="C172" s="455"/>
      <c r="D172" s="455"/>
      <c r="E172" s="455"/>
      <c r="F172" s="455"/>
      <c r="G172" s="455"/>
      <c r="H172" s="455"/>
      <c r="I172" s="455"/>
      <c r="J172" s="455"/>
      <c r="K172" s="455"/>
      <c r="L172" s="455"/>
      <c r="M172" s="455"/>
      <c r="N172" s="455"/>
      <c r="O172" s="455"/>
      <c r="P172" s="455"/>
      <c r="Q172" s="455"/>
      <c r="R172" s="455"/>
      <c r="S172" s="455"/>
      <c r="T172" s="455"/>
      <c r="U172" s="455"/>
      <c r="V172" s="456"/>
      <c r="W172" s="455"/>
      <c r="X172" s="415"/>
    </row>
    <row r="173" spans="1:256" s="458" customFormat="1" x14ac:dyDescent="0.3">
      <c r="A173" s="417"/>
      <c r="B173" s="508" t="s">
        <v>269</v>
      </c>
      <c r="C173" s="441"/>
      <c r="D173" s="441"/>
      <c r="E173" s="441"/>
      <c r="F173" s="441"/>
      <c r="G173" s="441"/>
      <c r="H173" s="441"/>
      <c r="I173" s="441"/>
      <c r="J173" s="441"/>
      <c r="K173" s="441"/>
      <c r="L173" s="441"/>
      <c r="M173" s="441"/>
      <c r="N173" s="441"/>
      <c r="O173" s="441"/>
      <c r="P173" s="441"/>
      <c r="Q173" s="441"/>
      <c r="R173" s="441"/>
      <c r="S173" s="441"/>
      <c r="T173" s="441"/>
      <c r="U173" s="441"/>
      <c r="V173" s="457"/>
      <c r="W173" s="441"/>
      <c r="X173" s="415"/>
      <c r="Y173" s="416"/>
      <c r="Z173" s="416"/>
      <c r="AA173" s="416"/>
      <c r="AB173" s="416"/>
      <c r="AC173" s="416"/>
      <c r="AD173" s="416"/>
      <c r="AE173" s="416"/>
      <c r="AF173" s="416"/>
      <c r="AG173" s="416"/>
      <c r="AH173" s="416"/>
      <c r="AI173" s="416"/>
      <c r="AJ173" s="416"/>
      <c r="AK173" s="416"/>
      <c r="AL173" s="416"/>
      <c r="AM173" s="416"/>
      <c r="AN173" s="416"/>
      <c r="AO173" s="416"/>
      <c r="AP173" s="416"/>
      <c r="AQ173" s="416"/>
      <c r="AR173" s="416"/>
      <c r="AS173" s="416"/>
      <c r="AT173" s="416"/>
      <c r="AU173" s="416"/>
      <c r="AV173" s="416"/>
      <c r="AW173" s="416"/>
      <c r="AX173" s="416"/>
      <c r="AY173" s="416"/>
      <c r="AZ173" s="416"/>
      <c r="BA173" s="416"/>
      <c r="BB173" s="416"/>
      <c r="BC173" s="416"/>
      <c r="BD173" s="416"/>
      <c r="BE173" s="416"/>
      <c r="BF173" s="416"/>
      <c r="BG173" s="416"/>
      <c r="BH173" s="416"/>
      <c r="BI173" s="416"/>
      <c r="BJ173" s="416"/>
      <c r="BK173" s="416"/>
      <c r="BL173" s="416"/>
      <c r="BM173" s="416"/>
      <c r="BN173" s="416"/>
      <c r="BO173" s="416"/>
      <c r="BP173" s="416"/>
      <c r="BQ173" s="416"/>
      <c r="BR173" s="416"/>
      <c r="BS173" s="416"/>
      <c r="BT173" s="416"/>
      <c r="BU173" s="416"/>
      <c r="BV173" s="416"/>
      <c r="BW173" s="416"/>
      <c r="BX173" s="416"/>
      <c r="BY173" s="416"/>
      <c r="BZ173" s="416"/>
      <c r="CA173" s="416"/>
      <c r="CB173" s="416"/>
      <c r="CC173" s="416"/>
      <c r="CD173" s="416"/>
      <c r="CE173" s="416"/>
      <c r="CF173" s="416"/>
      <c r="CG173" s="416"/>
      <c r="CH173" s="416"/>
      <c r="CI173" s="416"/>
      <c r="CJ173" s="416"/>
      <c r="CK173" s="416"/>
      <c r="CL173" s="416"/>
      <c r="CM173" s="416"/>
      <c r="CN173" s="416"/>
      <c r="CO173" s="416"/>
      <c r="CP173" s="416"/>
      <c r="CQ173" s="416"/>
      <c r="CR173" s="416"/>
      <c r="CS173" s="416"/>
      <c r="CT173" s="416"/>
      <c r="CU173" s="416"/>
      <c r="CV173" s="416"/>
      <c r="CW173" s="416"/>
      <c r="CX173" s="416"/>
      <c r="CY173" s="416"/>
      <c r="CZ173" s="416"/>
      <c r="DA173" s="416"/>
      <c r="DB173" s="416"/>
      <c r="DC173" s="416"/>
      <c r="DD173" s="416"/>
      <c r="DE173" s="416"/>
      <c r="DF173" s="416"/>
      <c r="DG173" s="416"/>
      <c r="DH173" s="416"/>
      <c r="DI173" s="416"/>
      <c r="DJ173" s="416"/>
      <c r="DK173" s="416"/>
      <c r="DL173" s="416"/>
      <c r="DM173" s="416"/>
      <c r="DN173" s="416"/>
      <c r="DO173" s="416"/>
      <c r="DP173" s="416"/>
      <c r="DQ173" s="416"/>
      <c r="DR173" s="416"/>
      <c r="DS173" s="416"/>
      <c r="DT173" s="416"/>
      <c r="DU173" s="416"/>
      <c r="DV173" s="416"/>
      <c r="DW173" s="416"/>
      <c r="DX173" s="416"/>
      <c r="DY173" s="416"/>
      <c r="DZ173" s="416"/>
      <c r="EA173" s="416"/>
      <c r="EB173" s="416"/>
      <c r="EC173" s="416"/>
      <c r="ED173" s="416"/>
      <c r="EE173" s="416"/>
      <c r="EF173" s="416"/>
      <c r="EG173" s="416"/>
      <c r="EH173" s="416"/>
      <c r="EI173" s="416"/>
      <c r="EJ173" s="416"/>
      <c r="EK173" s="416"/>
      <c r="EL173" s="416"/>
      <c r="EM173" s="416"/>
      <c r="EN173" s="416"/>
      <c r="EO173" s="416"/>
      <c r="EP173" s="416"/>
      <c r="EQ173" s="416"/>
      <c r="ER173" s="416"/>
      <c r="ES173" s="416"/>
      <c r="ET173" s="416"/>
      <c r="EU173" s="416"/>
      <c r="EV173" s="416"/>
      <c r="EW173" s="416"/>
      <c r="EX173" s="416"/>
      <c r="EY173" s="416"/>
      <c r="EZ173" s="416"/>
      <c r="FA173" s="416"/>
      <c r="FB173" s="416"/>
      <c r="FC173" s="416"/>
      <c r="FD173" s="416"/>
      <c r="FE173" s="416"/>
      <c r="FF173" s="416"/>
      <c r="FG173" s="416"/>
      <c r="FH173" s="416"/>
      <c r="FI173" s="416"/>
      <c r="FJ173" s="416"/>
      <c r="FK173" s="416"/>
      <c r="FL173" s="416"/>
      <c r="FM173" s="416"/>
      <c r="FN173" s="416"/>
      <c r="FO173" s="416"/>
      <c r="FP173" s="416"/>
      <c r="FQ173" s="416"/>
      <c r="FR173" s="416"/>
      <c r="FS173" s="416"/>
      <c r="FT173" s="416"/>
      <c r="FU173" s="416"/>
      <c r="FV173" s="416"/>
      <c r="FW173" s="416"/>
      <c r="FX173" s="416"/>
      <c r="FY173" s="416"/>
      <c r="FZ173" s="416"/>
      <c r="GA173" s="416"/>
      <c r="GB173" s="416"/>
      <c r="GC173" s="416"/>
      <c r="GD173" s="416"/>
      <c r="GE173" s="416"/>
      <c r="GF173" s="416"/>
      <c r="GG173" s="416"/>
      <c r="GH173" s="416"/>
      <c r="GI173" s="416"/>
      <c r="GJ173" s="416"/>
      <c r="GK173" s="416"/>
      <c r="GL173" s="416"/>
      <c r="GM173" s="416"/>
      <c r="GN173" s="416"/>
      <c r="GO173" s="416"/>
      <c r="GP173" s="416"/>
      <c r="GQ173" s="416"/>
      <c r="GR173" s="416"/>
      <c r="GS173" s="416"/>
      <c r="GT173" s="416"/>
      <c r="GU173" s="416"/>
      <c r="GV173" s="416"/>
      <c r="GW173" s="416"/>
      <c r="GX173" s="416"/>
      <c r="GY173" s="416"/>
      <c r="GZ173" s="416"/>
      <c r="HA173" s="416"/>
      <c r="HB173" s="416"/>
      <c r="HC173" s="416"/>
      <c r="HD173" s="416"/>
      <c r="HE173" s="416"/>
      <c r="HF173" s="416"/>
      <c r="HG173" s="416"/>
      <c r="HH173" s="416"/>
      <c r="HI173" s="416"/>
      <c r="HJ173" s="416"/>
      <c r="HK173" s="416"/>
      <c r="HL173" s="416"/>
      <c r="HM173" s="416"/>
      <c r="HN173" s="416"/>
      <c r="HO173" s="416"/>
      <c r="HP173" s="416"/>
      <c r="HQ173" s="416"/>
      <c r="HR173" s="416"/>
      <c r="HS173" s="416"/>
      <c r="HT173" s="416"/>
      <c r="HU173" s="416"/>
      <c r="HV173" s="416"/>
      <c r="HW173" s="416"/>
      <c r="HX173" s="416"/>
      <c r="HY173" s="416"/>
      <c r="HZ173" s="416"/>
      <c r="IA173" s="416"/>
      <c r="IB173" s="416"/>
      <c r="IC173" s="416"/>
      <c r="ID173" s="416"/>
      <c r="IE173" s="416"/>
      <c r="IF173" s="416"/>
      <c r="IG173" s="416"/>
      <c r="IH173" s="416"/>
      <c r="II173" s="416"/>
      <c r="IJ173" s="416"/>
      <c r="IK173" s="416"/>
      <c r="IL173" s="416"/>
      <c r="IM173" s="416"/>
      <c r="IN173" s="416"/>
      <c r="IO173" s="416"/>
      <c r="IP173" s="416"/>
      <c r="IQ173" s="416"/>
      <c r="IR173" s="416"/>
      <c r="IS173" s="416"/>
      <c r="IT173" s="416"/>
      <c r="IU173" s="416"/>
      <c r="IV173" s="416"/>
    </row>
    <row r="174" spans="1:256" s="609" customFormat="1" x14ac:dyDescent="0.3">
      <c r="A174" s="555"/>
      <c r="B174" s="556" t="s">
        <v>270</v>
      </c>
      <c r="C174" s="556"/>
      <c r="D174" s="556"/>
      <c r="E174" s="556"/>
      <c r="F174" s="556"/>
      <c r="G174" s="556"/>
      <c r="H174" s="556"/>
      <c r="I174" s="556"/>
      <c r="J174" s="556"/>
      <c r="K174" s="556"/>
      <c r="L174" s="556"/>
      <c r="M174" s="556"/>
      <c r="N174" s="556"/>
      <c r="O174" s="556"/>
      <c r="P174" s="556"/>
      <c r="Q174" s="556"/>
      <c r="R174" s="556"/>
      <c r="S174" s="556"/>
      <c r="T174" s="556"/>
      <c r="U174" s="556"/>
      <c r="V174" s="599">
        <f>+'Aug 08'!V177</f>
        <v>0</v>
      </c>
      <c r="W174" s="558"/>
      <c r="X174" s="543"/>
      <c r="Y174" s="544"/>
      <c r="Z174" s="544"/>
      <c r="AA174" s="544"/>
      <c r="AB174" s="544"/>
      <c r="AC174" s="544"/>
      <c r="AD174" s="544"/>
      <c r="AE174" s="544"/>
      <c r="AF174" s="544"/>
      <c r="AG174" s="544"/>
      <c r="AH174" s="544"/>
      <c r="AI174" s="544"/>
      <c r="AJ174" s="544"/>
      <c r="AK174" s="544"/>
      <c r="AL174" s="544"/>
      <c r="AM174" s="544"/>
      <c r="AN174" s="544"/>
      <c r="AO174" s="544"/>
      <c r="AP174" s="544"/>
      <c r="AQ174" s="544"/>
      <c r="AR174" s="544"/>
      <c r="AS174" s="544"/>
      <c r="AT174" s="544"/>
      <c r="AU174" s="544"/>
      <c r="AV174" s="544"/>
      <c r="AW174" s="544"/>
      <c r="AX174" s="544"/>
      <c r="AY174" s="544"/>
      <c r="AZ174" s="544"/>
      <c r="BA174" s="544"/>
      <c r="BB174" s="544"/>
      <c r="BC174" s="544"/>
      <c r="BD174" s="544"/>
      <c r="BE174" s="544"/>
      <c r="BF174" s="544"/>
      <c r="BG174" s="544"/>
      <c r="BH174" s="544"/>
      <c r="BI174" s="544"/>
      <c r="BJ174" s="544"/>
      <c r="BK174" s="544"/>
      <c r="BL174" s="544"/>
      <c r="BM174" s="544"/>
      <c r="BN174" s="544"/>
      <c r="BO174" s="544"/>
      <c r="BP174" s="544"/>
      <c r="BQ174" s="544"/>
      <c r="BR174" s="544"/>
      <c r="BS174" s="544"/>
      <c r="BT174" s="544"/>
      <c r="BU174" s="544"/>
      <c r="BV174" s="544"/>
      <c r="BW174" s="544"/>
      <c r="BX174" s="544"/>
      <c r="BY174" s="544"/>
      <c r="BZ174" s="544"/>
      <c r="CA174" s="544"/>
      <c r="CB174" s="544"/>
      <c r="CC174" s="544"/>
      <c r="CD174" s="544"/>
      <c r="CE174" s="544"/>
      <c r="CF174" s="544"/>
      <c r="CG174" s="544"/>
      <c r="CH174" s="544"/>
      <c r="CI174" s="544"/>
      <c r="CJ174" s="544"/>
      <c r="CK174" s="544"/>
      <c r="CL174" s="544"/>
      <c r="CM174" s="544"/>
      <c r="CN174" s="544"/>
      <c r="CO174" s="544"/>
      <c r="CP174" s="544"/>
      <c r="CQ174" s="544"/>
      <c r="CR174" s="544"/>
      <c r="CS174" s="544"/>
      <c r="CT174" s="544"/>
      <c r="CU174" s="544"/>
      <c r="CV174" s="544"/>
      <c r="CW174" s="544"/>
      <c r="CX174" s="544"/>
      <c r="CY174" s="544"/>
      <c r="CZ174" s="544"/>
      <c r="DA174" s="544"/>
      <c r="DB174" s="544"/>
      <c r="DC174" s="544"/>
      <c r="DD174" s="544"/>
      <c r="DE174" s="544"/>
      <c r="DF174" s="544"/>
      <c r="DG174" s="544"/>
      <c r="DH174" s="544"/>
      <c r="DI174" s="544"/>
      <c r="DJ174" s="544"/>
      <c r="DK174" s="544"/>
      <c r="DL174" s="544"/>
      <c r="DM174" s="544"/>
      <c r="DN174" s="544"/>
      <c r="DO174" s="544"/>
      <c r="DP174" s="544"/>
      <c r="DQ174" s="544"/>
      <c r="DR174" s="544"/>
      <c r="DS174" s="544"/>
      <c r="DT174" s="544"/>
      <c r="DU174" s="544"/>
      <c r="DV174" s="544"/>
      <c r="DW174" s="544"/>
      <c r="DX174" s="544"/>
      <c r="DY174" s="544"/>
      <c r="DZ174" s="544"/>
      <c r="EA174" s="544"/>
      <c r="EB174" s="544"/>
      <c r="EC174" s="544"/>
      <c r="ED174" s="544"/>
      <c r="EE174" s="544"/>
      <c r="EF174" s="544"/>
      <c r="EG174" s="544"/>
      <c r="EH174" s="544"/>
      <c r="EI174" s="544"/>
      <c r="EJ174" s="544"/>
      <c r="EK174" s="544"/>
      <c r="EL174" s="544"/>
      <c r="EM174" s="544"/>
      <c r="EN174" s="544"/>
      <c r="EO174" s="544"/>
      <c r="EP174" s="544"/>
      <c r="EQ174" s="544"/>
      <c r="ER174" s="544"/>
      <c r="ES174" s="544"/>
      <c r="ET174" s="544"/>
      <c r="EU174" s="544"/>
      <c r="EV174" s="544"/>
      <c r="EW174" s="544"/>
      <c r="EX174" s="544"/>
      <c r="EY174" s="544"/>
      <c r="EZ174" s="544"/>
      <c r="FA174" s="544"/>
      <c r="FB174" s="544"/>
      <c r="FC174" s="544"/>
      <c r="FD174" s="544"/>
      <c r="FE174" s="544"/>
      <c r="FF174" s="544"/>
      <c r="FG174" s="544"/>
      <c r="FH174" s="544"/>
      <c r="FI174" s="544"/>
      <c r="FJ174" s="544"/>
      <c r="FK174" s="544"/>
      <c r="FL174" s="544"/>
      <c r="FM174" s="544"/>
      <c r="FN174" s="544"/>
      <c r="FO174" s="544"/>
      <c r="FP174" s="544"/>
      <c r="FQ174" s="544"/>
      <c r="FR174" s="544"/>
      <c r="FS174" s="544"/>
      <c r="FT174" s="544"/>
      <c r="FU174" s="544"/>
      <c r="FV174" s="544"/>
      <c r="FW174" s="544"/>
      <c r="FX174" s="544"/>
      <c r="FY174" s="544"/>
      <c r="FZ174" s="544"/>
      <c r="GA174" s="544"/>
      <c r="GB174" s="544"/>
      <c r="GC174" s="544"/>
      <c r="GD174" s="544"/>
      <c r="GE174" s="544"/>
      <c r="GF174" s="544"/>
      <c r="GG174" s="544"/>
      <c r="GH174" s="544"/>
      <c r="GI174" s="544"/>
      <c r="GJ174" s="544"/>
      <c r="GK174" s="544"/>
      <c r="GL174" s="544"/>
      <c r="GM174" s="544"/>
      <c r="GN174" s="544"/>
      <c r="GO174" s="544"/>
      <c r="GP174" s="544"/>
      <c r="GQ174" s="544"/>
      <c r="GR174" s="544"/>
      <c r="GS174" s="544"/>
      <c r="GT174" s="544"/>
      <c r="GU174" s="544"/>
      <c r="GV174" s="544"/>
      <c r="GW174" s="544"/>
      <c r="GX174" s="544"/>
      <c r="GY174" s="544"/>
      <c r="GZ174" s="544"/>
      <c r="HA174" s="544"/>
      <c r="HB174" s="544"/>
      <c r="HC174" s="544"/>
      <c r="HD174" s="544"/>
      <c r="HE174" s="544"/>
      <c r="HF174" s="544"/>
      <c r="HG174" s="544"/>
      <c r="HH174" s="544"/>
      <c r="HI174" s="544"/>
      <c r="HJ174" s="544"/>
      <c r="HK174" s="544"/>
      <c r="HL174" s="544"/>
      <c r="HM174" s="544"/>
      <c r="HN174" s="544"/>
      <c r="HO174" s="544"/>
      <c r="HP174" s="544"/>
      <c r="HQ174" s="544"/>
      <c r="HR174" s="544"/>
      <c r="HS174" s="544"/>
      <c r="HT174" s="544"/>
      <c r="HU174" s="544"/>
      <c r="HV174" s="544"/>
      <c r="HW174" s="544"/>
      <c r="HX174" s="544"/>
      <c r="HY174" s="544"/>
      <c r="HZ174" s="544"/>
      <c r="IA174" s="544"/>
      <c r="IB174" s="544"/>
      <c r="IC174" s="544"/>
      <c r="ID174" s="544"/>
      <c r="IE174" s="544"/>
      <c r="IF174" s="544"/>
      <c r="IG174" s="544"/>
      <c r="IH174" s="544"/>
      <c r="II174" s="544"/>
      <c r="IJ174" s="544"/>
      <c r="IK174" s="544"/>
      <c r="IL174" s="544"/>
      <c r="IM174" s="544"/>
      <c r="IN174" s="544"/>
      <c r="IO174" s="544"/>
      <c r="IP174" s="544"/>
      <c r="IQ174" s="544"/>
      <c r="IR174" s="544"/>
      <c r="IS174" s="544"/>
      <c r="IT174" s="544"/>
      <c r="IU174" s="544"/>
      <c r="IV174" s="544"/>
    </row>
    <row r="175" spans="1:256" s="609" customFormat="1" x14ac:dyDescent="0.3">
      <c r="A175" s="555"/>
      <c r="B175" s="556" t="s">
        <v>273</v>
      </c>
      <c r="C175" s="556"/>
      <c r="D175" s="556"/>
      <c r="E175" s="556"/>
      <c r="F175" s="556"/>
      <c r="G175" s="556"/>
      <c r="H175" s="556"/>
      <c r="I175" s="556"/>
      <c r="J175" s="556"/>
      <c r="K175" s="556"/>
      <c r="L175" s="556"/>
      <c r="M175" s="556"/>
      <c r="N175" s="556"/>
      <c r="O175" s="556"/>
      <c r="P175" s="556"/>
      <c r="Q175" s="556"/>
      <c r="R175" s="556"/>
      <c r="S175" s="556"/>
      <c r="T175" s="556"/>
      <c r="U175" s="556"/>
      <c r="V175" s="599">
        <f>+V93</f>
        <v>0</v>
      </c>
      <c r="W175" s="558"/>
      <c r="X175" s="543"/>
      <c r="Y175" s="544"/>
      <c r="Z175" s="544"/>
      <c r="AA175" s="544"/>
      <c r="AB175" s="544"/>
      <c r="AC175" s="544"/>
      <c r="AD175" s="544"/>
      <c r="AE175" s="544"/>
      <c r="AF175" s="544"/>
      <c r="AG175" s="544"/>
      <c r="AH175" s="544"/>
      <c r="AI175" s="544"/>
      <c r="AJ175" s="544"/>
      <c r="AK175" s="544"/>
      <c r="AL175" s="544"/>
      <c r="AM175" s="544"/>
      <c r="AN175" s="544"/>
      <c r="AO175" s="544"/>
      <c r="AP175" s="544"/>
      <c r="AQ175" s="544"/>
      <c r="AR175" s="544"/>
      <c r="AS175" s="544"/>
      <c r="AT175" s="544"/>
      <c r="AU175" s="544"/>
      <c r="AV175" s="544"/>
      <c r="AW175" s="544"/>
      <c r="AX175" s="544"/>
      <c r="AY175" s="544"/>
      <c r="AZ175" s="544"/>
      <c r="BA175" s="544"/>
      <c r="BB175" s="544"/>
      <c r="BC175" s="544"/>
      <c r="BD175" s="544"/>
      <c r="BE175" s="544"/>
      <c r="BF175" s="544"/>
      <c r="BG175" s="544"/>
      <c r="BH175" s="544"/>
      <c r="BI175" s="544"/>
      <c r="BJ175" s="544"/>
      <c r="BK175" s="544"/>
      <c r="BL175" s="544"/>
      <c r="BM175" s="544"/>
      <c r="BN175" s="544"/>
      <c r="BO175" s="544"/>
      <c r="BP175" s="544"/>
      <c r="BQ175" s="544"/>
      <c r="BR175" s="544"/>
      <c r="BS175" s="544"/>
      <c r="BT175" s="544"/>
      <c r="BU175" s="544"/>
      <c r="BV175" s="544"/>
      <c r="BW175" s="544"/>
      <c r="BX175" s="544"/>
      <c r="BY175" s="544"/>
      <c r="BZ175" s="544"/>
      <c r="CA175" s="544"/>
      <c r="CB175" s="544"/>
      <c r="CC175" s="544"/>
      <c r="CD175" s="544"/>
      <c r="CE175" s="544"/>
      <c r="CF175" s="544"/>
      <c r="CG175" s="544"/>
      <c r="CH175" s="544"/>
      <c r="CI175" s="544"/>
      <c r="CJ175" s="544"/>
      <c r="CK175" s="544"/>
      <c r="CL175" s="544"/>
      <c r="CM175" s="544"/>
      <c r="CN175" s="544"/>
      <c r="CO175" s="544"/>
      <c r="CP175" s="544"/>
      <c r="CQ175" s="544"/>
      <c r="CR175" s="544"/>
      <c r="CS175" s="544"/>
      <c r="CT175" s="544"/>
      <c r="CU175" s="544"/>
      <c r="CV175" s="544"/>
      <c r="CW175" s="544"/>
      <c r="CX175" s="544"/>
      <c r="CY175" s="544"/>
      <c r="CZ175" s="544"/>
      <c r="DA175" s="544"/>
      <c r="DB175" s="544"/>
      <c r="DC175" s="544"/>
      <c r="DD175" s="544"/>
      <c r="DE175" s="544"/>
      <c r="DF175" s="544"/>
      <c r="DG175" s="544"/>
      <c r="DH175" s="544"/>
      <c r="DI175" s="544"/>
      <c r="DJ175" s="544"/>
      <c r="DK175" s="544"/>
      <c r="DL175" s="544"/>
      <c r="DM175" s="544"/>
      <c r="DN175" s="544"/>
      <c r="DO175" s="544"/>
      <c r="DP175" s="544"/>
      <c r="DQ175" s="544"/>
      <c r="DR175" s="544"/>
      <c r="DS175" s="544"/>
      <c r="DT175" s="544"/>
      <c r="DU175" s="544"/>
      <c r="DV175" s="544"/>
      <c r="DW175" s="544"/>
      <c r="DX175" s="544"/>
      <c r="DY175" s="544"/>
      <c r="DZ175" s="544"/>
      <c r="EA175" s="544"/>
      <c r="EB175" s="544"/>
      <c r="EC175" s="544"/>
      <c r="ED175" s="544"/>
      <c r="EE175" s="544"/>
      <c r="EF175" s="544"/>
      <c r="EG175" s="544"/>
      <c r="EH175" s="544"/>
      <c r="EI175" s="544"/>
      <c r="EJ175" s="544"/>
      <c r="EK175" s="544"/>
      <c r="EL175" s="544"/>
      <c r="EM175" s="544"/>
      <c r="EN175" s="544"/>
      <c r="EO175" s="544"/>
      <c r="EP175" s="544"/>
      <c r="EQ175" s="544"/>
      <c r="ER175" s="544"/>
      <c r="ES175" s="544"/>
      <c r="ET175" s="544"/>
      <c r="EU175" s="544"/>
      <c r="EV175" s="544"/>
      <c r="EW175" s="544"/>
      <c r="EX175" s="544"/>
      <c r="EY175" s="544"/>
      <c r="EZ175" s="544"/>
      <c r="FA175" s="544"/>
      <c r="FB175" s="544"/>
      <c r="FC175" s="544"/>
      <c r="FD175" s="544"/>
      <c r="FE175" s="544"/>
      <c r="FF175" s="544"/>
      <c r="FG175" s="544"/>
      <c r="FH175" s="544"/>
      <c r="FI175" s="544"/>
      <c r="FJ175" s="544"/>
      <c r="FK175" s="544"/>
      <c r="FL175" s="544"/>
      <c r="FM175" s="544"/>
      <c r="FN175" s="544"/>
      <c r="FO175" s="544"/>
      <c r="FP175" s="544"/>
      <c r="FQ175" s="544"/>
      <c r="FR175" s="544"/>
      <c r="FS175" s="544"/>
      <c r="FT175" s="544"/>
      <c r="FU175" s="544"/>
      <c r="FV175" s="544"/>
      <c r="FW175" s="544"/>
      <c r="FX175" s="544"/>
      <c r="FY175" s="544"/>
      <c r="FZ175" s="544"/>
      <c r="GA175" s="544"/>
      <c r="GB175" s="544"/>
      <c r="GC175" s="544"/>
      <c r="GD175" s="544"/>
      <c r="GE175" s="544"/>
      <c r="GF175" s="544"/>
      <c r="GG175" s="544"/>
      <c r="GH175" s="544"/>
      <c r="GI175" s="544"/>
      <c r="GJ175" s="544"/>
      <c r="GK175" s="544"/>
      <c r="GL175" s="544"/>
      <c r="GM175" s="544"/>
      <c r="GN175" s="544"/>
      <c r="GO175" s="544"/>
      <c r="GP175" s="544"/>
      <c r="GQ175" s="544"/>
      <c r="GR175" s="544"/>
      <c r="GS175" s="544"/>
      <c r="GT175" s="544"/>
      <c r="GU175" s="544"/>
      <c r="GV175" s="544"/>
      <c r="GW175" s="544"/>
      <c r="GX175" s="544"/>
      <c r="GY175" s="544"/>
      <c r="GZ175" s="544"/>
      <c r="HA175" s="544"/>
      <c r="HB175" s="544"/>
      <c r="HC175" s="544"/>
      <c r="HD175" s="544"/>
      <c r="HE175" s="544"/>
      <c r="HF175" s="544"/>
      <c r="HG175" s="544"/>
      <c r="HH175" s="544"/>
      <c r="HI175" s="544"/>
      <c r="HJ175" s="544"/>
      <c r="HK175" s="544"/>
      <c r="HL175" s="544"/>
      <c r="HM175" s="544"/>
      <c r="HN175" s="544"/>
      <c r="HO175" s="544"/>
      <c r="HP175" s="544"/>
      <c r="HQ175" s="544"/>
      <c r="HR175" s="544"/>
      <c r="HS175" s="544"/>
      <c r="HT175" s="544"/>
      <c r="HU175" s="544"/>
      <c r="HV175" s="544"/>
      <c r="HW175" s="544"/>
      <c r="HX175" s="544"/>
      <c r="HY175" s="544"/>
      <c r="HZ175" s="544"/>
      <c r="IA175" s="544"/>
      <c r="IB175" s="544"/>
      <c r="IC175" s="544"/>
      <c r="ID175" s="544"/>
      <c r="IE175" s="544"/>
      <c r="IF175" s="544"/>
      <c r="IG175" s="544"/>
      <c r="IH175" s="544"/>
      <c r="II175" s="544"/>
      <c r="IJ175" s="544"/>
      <c r="IK175" s="544"/>
      <c r="IL175" s="544"/>
      <c r="IM175" s="544"/>
      <c r="IN175" s="544"/>
      <c r="IO175" s="544"/>
      <c r="IP175" s="544"/>
      <c r="IQ175" s="544"/>
      <c r="IR175" s="544"/>
      <c r="IS175" s="544"/>
      <c r="IT175" s="544"/>
      <c r="IU175" s="544"/>
      <c r="IV175" s="544"/>
    </row>
    <row r="176" spans="1:256" s="609" customFormat="1" x14ac:dyDescent="0.3">
      <c r="A176" s="555"/>
      <c r="B176" s="556" t="s">
        <v>271</v>
      </c>
      <c r="C176" s="556"/>
      <c r="D176" s="556"/>
      <c r="E176" s="556"/>
      <c r="F176" s="556"/>
      <c r="G176" s="556"/>
      <c r="H176" s="556"/>
      <c r="I176" s="556"/>
      <c r="J176" s="556"/>
      <c r="K176" s="556"/>
      <c r="L176" s="556"/>
      <c r="M176" s="556"/>
      <c r="N176" s="556"/>
      <c r="O176" s="556"/>
      <c r="P176" s="556"/>
      <c r="Q176" s="556"/>
      <c r="R176" s="556"/>
      <c r="S176" s="556"/>
      <c r="T176" s="556"/>
      <c r="U176" s="556"/>
      <c r="V176" s="599">
        <f>+V174-V175</f>
        <v>0</v>
      </c>
      <c r="W176" s="558"/>
      <c r="X176" s="543"/>
      <c r="Y176" s="544"/>
      <c r="Z176" s="544"/>
      <c r="AA176" s="544"/>
      <c r="AB176" s="544"/>
      <c r="AC176" s="544"/>
      <c r="AD176" s="544"/>
      <c r="AE176" s="544"/>
      <c r="AF176" s="544"/>
      <c r="AG176" s="544"/>
      <c r="AH176" s="544"/>
      <c r="AI176" s="544"/>
      <c r="AJ176" s="544"/>
      <c r="AK176" s="544"/>
      <c r="AL176" s="544"/>
      <c r="AM176" s="544"/>
      <c r="AN176" s="544"/>
      <c r="AO176" s="544"/>
      <c r="AP176" s="544"/>
      <c r="AQ176" s="544"/>
      <c r="AR176" s="544"/>
      <c r="AS176" s="544"/>
      <c r="AT176" s="544"/>
      <c r="AU176" s="544"/>
      <c r="AV176" s="544"/>
      <c r="AW176" s="544"/>
      <c r="AX176" s="544"/>
      <c r="AY176" s="544"/>
      <c r="AZ176" s="544"/>
      <c r="BA176" s="544"/>
      <c r="BB176" s="544"/>
      <c r="BC176" s="544"/>
      <c r="BD176" s="544"/>
      <c r="BE176" s="544"/>
      <c r="BF176" s="544"/>
      <c r="BG176" s="544"/>
      <c r="BH176" s="544"/>
      <c r="BI176" s="544"/>
      <c r="BJ176" s="544"/>
      <c r="BK176" s="544"/>
      <c r="BL176" s="544"/>
      <c r="BM176" s="544"/>
      <c r="BN176" s="544"/>
      <c r="BO176" s="544"/>
      <c r="BP176" s="544"/>
      <c r="BQ176" s="544"/>
      <c r="BR176" s="544"/>
      <c r="BS176" s="544"/>
      <c r="BT176" s="544"/>
      <c r="BU176" s="544"/>
      <c r="BV176" s="544"/>
      <c r="BW176" s="544"/>
      <c r="BX176" s="544"/>
      <c r="BY176" s="544"/>
      <c r="BZ176" s="544"/>
      <c r="CA176" s="544"/>
      <c r="CB176" s="544"/>
      <c r="CC176" s="544"/>
      <c r="CD176" s="544"/>
      <c r="CE176" s="544"/>
      <c r="CF176" s="544"/>
      <c r="CG176" s="544"/>
      <c r="CH176" s="544"/>
      <c r="CI176" s="544"/>
      <c r="CJ176" s="544"/>
      <c r="CK176" s="544"/>
      <c r="CL176" s="544"/>
      <c r="CM176" s="544"/>
      <c r="CN176" s="544"/>
      <c r="CO176" s="544"/>
      <c r="CP176" s="544"/>
      <c r="CQ176" s="544"/>
      <c r="CR176" s="544"/>
      <c r="CS176" s="544"/>
      <c r="CT176" s="544"/>
      <c r="CU176" s="544"/>
      <c r="CV176" s="544"/>
      <c r="CW176" s="544"/>
      <c r="CX176" s="544"/>
      <c r="CY176" s="544"/>
      <c r="CZ176" s="544"/>
      <c r="DA176" s="544"/>
      <c r="DB176" s="544"/>
      <c r="DC176" s="544"/>
      <c r="DD176" s="544"/>
      <c r="DE176" s="544"/>
      <c r="DF176" s="544"/>
      <c r="DG176" s="544"/>
      <c r="DH176" s="544"/>
      <c r="DI176" s="544"/>
      <c r="DJ176" s="544"/>
      <c r="DK176" s="544"/>
      <c r="DL176" s="544"/>
      <c r="DM176" s="544"/>
      <c r="DN176" s="544"/>
      <c r="DO176" s="544"/>
      <c r="DP176" s="544"/>
      <c r="DQ176" s="544"/>
      <c r="DR176" s="544"/>
      <c r="DS176" s="544"/>
      <c r="DT176" s="544"/>
      <c r="DU176" s="544"/>
      <c r="DV176" s="544"/>
      <c r="DW176" s="544"/>
      <c r="DX176" s="544"/>
      <c r="DY176" s="544"/>
      <c r="DZ176" s="544"/>
      <c r="EA176" s="544"/>
      <c r="EB176" s="544"/>
      <c r="EC176" s="544"/>
      <c r="ED176" s="544"/>
      <c r="EE176" s="544"/>
      <c r="EF176" s="544"/>
      <c r="EG176" s="544"/>
      <c r="EH176" s="544"/>
      <c r="EI176" s="544"/>
      <c r="EJ176" s="544"/>
      <c r="EK176" s="544"/>
      <c r="EL176" s="544"/>
      <c r="EM176" s="544"/>
      <c r="EN176" s="544"/>
      <c r="EO176" s="544"/>
      <c r="EP176" s="544"/>
      <c r="EQ176" s="544"/>
      <c r="ER176" s="544"/>
      <c r="ES176" s="544"/>
      <c r="ET176" s="544"/>
      <c r="EU176" s="544"/>
      <c r="EV176" s="544"/>
      <c r="EW176" s="544"/>
      <c r="EX176" s="544"/>
      <c r="EY176" s="544"/>
      <c r="EZ176" s="544"/>
      <c r="FA176" s="544"/>
      <c r="FB176" s="544"/>
      <c r="FC176" s="544"/>
      <c r="FD176" s="544"/>
      <c r="FE176" s="544"/>
      <c r="FF176" s="544"/>
      <c r="FG176" s="544"/>
      <c r="FH176" s="544"/>
      <c r="FI176" s="544"/>
      <c r="FJ176" s="544"/>
      <c r="FK176" s="544"/>
      <c r="FL176" s="544"/>
      <c r="FM176" s="544"/>
      <c r="FN176" s="544"/>
      <c r="FO176" s="544"/>
      <c r="FP176" s="544"/>
      <c r="FQ176" s="544"/>
      <c r="FR176" s="544"/>
      <c r="FS176" s="544"/>
      <c r="FT176" s="544"/>
      <c r="FU176" s="544"/>
      <c r="FV176" s="544"/>
      <c r="FW176" s="544"/>
      <c r="FX176" s="544"/>
      <c r="FY176" s="544"/>
      <c r="FZ176" s="544"/>
      <c r="GA176" s="544"/>
      <c r="GB176" s="544"/>
      <c r="GC176" s="544"/>
      <c r="GD176" s="544"/>
      <c r="GE176" s="544"/>
      <c r="GF176" s="544"/>
      <c r="GG176" s="544"/>
      <c r="GH176" s="544"/>
      <c r="GI176" s="544"/>
      <c r="GJ176" s="544"/>
      <c r="GK176" s="544"/>
      <c r="GL176" s="544"/>
      <c r="GM176" s="544"/>
      <c r="GN176" s="544"/>
      <c r="GO176" s="544"/>
      <c r="GP176" s="544"/>
      <c r="GQ176" s="544"/>
      <c r="GR176" s="544"/>
      <c r="GS176" s="544"/>
      <c r="GT176" s="544"/>
      <c r="GU176" s="544"/>
      <c r="GV176" s="544"/>
      <c r="GW176" s="544"/>
      <c r="GX176" s="544"/>
      <c r="GY176" s="544"/>
      <c r="GZ176" s="544"/>
      <c r="HA176" s="544"/>
      <c r="HB176" s="544"/>
      <c r="HC176" s="544"/>
      <c r="HD176" s="544"/>
      <c r="HE176" s="544"/>
      <c r="HF176" s="544"/>
      <c r="HG176" s="544"/>
      <c r="HH176" s="544"/>
      <c r="HI176" s="544"/>
      <c r="HJ176" s="544"/>
      <c r="HK176" s="544"/>
      <c r="HL176" s="544"/>
      <c r="HM176" s="544"/>
      <c r="HN176" s="544"/>
      <c r="HO176" s="544"/>
      <c r="HP176" s="544"/>
      <c r="HQ176" s="544"/>
      <c r="HR176" s="544"/>
      <c r="HS176" s="544"/>
      <c r="HT176" s="544"/>
      <c r="HU176" s="544"/>
      <c r="HV176" s="544"/>
      <c r="HW176" s="544"/>
      <c r="HX176" s="544"/>
      <c r="HY176" s="544"/>
      <c r="HZ176" s="544"/>
      <c r="IA176" s="544"/>
      <c r="IB176" s="544"/>
      <c r="IC176" s="544"/>
      <c r="ID176" s="544"/>
      <c r="IE176" s="544"/>
      <c r="IF176" s="544"/>
      <c r="IG176" s="544"/>
      <c r="IH176" s="544"/>
      <c r="II176" s="544"/>
      <c r="IJ176" s="544"/>
      <c r="IK176" s="544"/>
      <c r="IL176" s="544"/>
      <c r="IM176" s="544"/>
      <c r="IN176" s="544"/>
      <c r="IO176" s="544"/>
      <c r="IP176" s="544"/>
      <c r="IQ176" s="544"/>
      <c r="IR176" s="544"/>
      <c r="IS176" s="544"/>
      <c r="IT176" s="544"/>
      <c r="IU176" s="544"/>
      <c r="IV176" s="544"/>
    </row>
    <row r="177" spans="1:256" s="459" customFormat="1" ht="16.2" thickBot="1" x14ac:dyDescent="0.35">
      <c r="A177" s="438"/>
      <c r="B177" s="441"/>
      <c r="C177" s="441"/>
      <c r="D177" s="441"/>
      <c r="E177" s="441"/>
      <c r="F177" s="441"/>
      <c r="G177" s="441"/>
      <c r="H177" s="441"/>
      <c r="I177" s="441"/>
      <c r="J177" s="441"/>
      <c r="K177" s="441"/>
      <c r="L177" s="441"/>
      <c r="M177" s="441"/>
      <c r="N177" s="441"/>
      <c r="O177" s="441"/>
      <c r="P177" s="441"/>
      <c r="Q177" s="441"/>
      <c r="R177" s="441"/>
      <c r="S177" s="441"/>
      <c r="T177" s="441"/>
      <c r="U177" s="441"/>
      <c r="V177" s="452"/>
      <c r="W177" s="441"/>
      <c r="X177" s="415"/>
      <c r="Y177" s="416"/>
      <c r="Z177" s="416"/>
      <c r="AA177" s="416"/>
      <c r="AB177" s="416"/>
      <c r="AC177" s="416"/>
      <c r="AD177" s="416"/>
      <c r="AE177" s="416"/>
      <c r="AF177" s="416"/>
      <c r="AG177" s="416"/>
      <c r="AH177" s="416"/>
      <c r="AI177" s="416"/>
      <c r="AJ177" s="416"/>
      <c r="AK177" s="416"/>
      <c r="AL177" s="416"/>
      <c r="AM177" s="416"/>
      <c r="AN177" s="416"/>
      <c r="AO177" s="416"/>
      <c r="AP177" s="416"/>
      <c r="AQ177" s="416"/>
      <c r="AR177" s="416"/>
      <c r="AS177" s="416"/>
      <c r="AT177" s="416"/>
      <c r="AU177" s="416"/>
      <c r="AV177" s="416"/>
      <c r="AW177" s="416"/>
      <c r="AX177" s="416"/>
      <c r="AY177" s="416"/>
      <c r="AZ177" s="416"/>
      <c r="BA177" s="416"/>
      <c r="BB177" s="416"/>
      <c r="BC177" s="416"/>
      <c r="BD177" s="416"/>
      <c r="BE177" s="416"/>
      <c r="BF177" s="416"/>
      <c r="BG177" s="416"/>
      <c r="BH177" s="416"/>
      <c r="BI177" s="416"/>
      <c r="BJ177" s="416"/>
      <c r="BK177" s="416"/>
      <c r="BL177" s="416"/>
      <c r="BM177" s="416"/>
      <c r="BN177" s="416"/>
      <c r="BO177" s="416"/>
      <c r="BP177" s="416"/>
      <c r="BQ177" s="416"/>
      <c r="BR177" s="416"/>
      <c r="BS177" s="416"/>
      <c r="BT177" s="416"/>
      <c r="BU177" s="416"/>
      <c r="BV177" s="416"/>
      <c r="BW177" s="416"/>
      <c r="BX177" s="416"/>
      <c r="BY177" s="416"/>
      <c r="BZ177" s="416"/>
      <c r="CA177" s="416"/>
      <c r="CB177" s="416"/>
      <c r="CC177" s="416"/>
      <c r="CD177" s="416"/>
      <c r="CE177" s="416"/>
      <c r="CF177" s="416"/>
      <c r="CG177" s="416"/>
      <c r="CH177" s="416"/>
      <c r="CI177" s="416"/>
      <c r="CJ177" s="416"/>
      <c r="CK177" s="416"/>
      <c r="CL177" s="416"/>
      <c r="CM177" s="416"/>
      <c r="CN177" s="416"/>
      <c r="CO177" s="416"/>
      <c r="CP177" s="416"/>
      <c r="CQ177" s="416"/>
      <c r="CR177" s="416"/>
      <c r="CS177" s="416"/>
      <c r="CT177" s="416"/>
      <c r="CU177" s="416"/>
      <c r="CV177" s="416"/>
      <c r="CW177" s="416"/>
      <c r="CX177" s="416"/>
      <c r="CY177" s="416"/>
      <c r="CZ177" s="416"/>
      <c r="DA177" s="416"/>
      <c r="DB177" s="416"/>
      <c r="DC177" s="416"/>
      <c r="DD177" s="416"/>
      <c r="DE177" s="416"/>
      <c r="DF177" s="416"/>
      <c r="DG177" s="416"/>
      <c r="DH177" s="416"/>
      <c r="DI177" s="416"/>
      <c r="DJ177" s="416"/>
      <c r="DK177" s="416"/>
      <c r="DL177" s="416"/>
      <c r="DM177" s="416"/>
      <c r="DN177" s="416"/>
      <c r="DO177" s="416"/>
      <c r="DP177" s="416"/>
      <c r="DQ177" s="416"/>
      <c r="DR177" s="416"/>
      <c r="DS177" s="416"/>
      <c r="DT177" s="416"/>
      <c r="DU177" s="416"/>
      <c r="DV177" s="416"/>
      <c r="DW177" s="416"/>
      <c r="DX177" s="416"/>
      <c r="DY177" s="416"/>
      <c r="DZ177" s="416"/>
      <c r="EA177" s="416"/>
      <c r="EB177" s="416"/>
      <c r="EC177" s="416"/>
      <c r="ED177" s="416"/>
      <c r="EE177" s="416"/>
      <c r="EF177" s="416"/>
      <c r="EG177" s="416"/>
      <c r="EH177" s="416"/>
      <c r="EI177" s="416"/>
      <c r="EJ177" s="416"/>
      <c r="EK177" s="416"/>
      <c r="EL177" s="416"/>
      <c r="EM177" s="416"/>
      <c r="EN177" s="416"/>
      <c r="EO177" s="416"/>
      <c r="EP177" s="416"/>
      <c r="EQ177" s="416"/>
      <c r="ER177" s="416"/>
      <c r="ES177" s="416"/>
      <c r="ET177" s="416"/>
      <c r="EU177" s="416"/>
      <c r="EV177" s="416"/>
      <c r="EW177" s="416"/>
      <c r="EX177" s="416"/>
      <c r="EY177" s="416"/>
      <c r="EZ177" s="416"/>
      <c r="FA177" s="416"/>
      <c r="FB177" s="416"/>
      <c r="FC177" s="416"/>
      <c r="FD177" s="416"/>
      <c r="FE177" s="416"/>
      <c r="FF177" s="416"/>
      <c r="FG177" s="416"/>
      <c r="FH177" s="416"/>
      <c r="FI177" s="416"/>
      <c r="FJ177" s="416"/>
      <c r="FK177" s="416"/>
      <c r="FL177" s="416"/>
      <c r="FM177" s="416"/>
      <c r="FN177" s="416"/>
      <c r="FO177" s="416"/>
      <c r="FP177" s="416"/>
      <c r="FQ177" s="416"/>
      <c r="FR177" s="416"/>
      <c r="FS177" s="416"/>
      <c r="FT177" s="416"/>
      <c r="FU177" s="416"/>
      <c r="FV177" s="416"/>
      <c r="FW177" s="416"/>
      <c r="FX177" s="416"/>
      <c r="FY177" s="416"/>
      <c r="FZ177" s="416"/>
      <c r="GA177" s="416"/>
      <c r="GB177" s="416"/>
      <c r="GC177" s="416"/>
      <c r="GD177" s="416"/>
      <c r="GE177" s="416"/>
      <c r="GF177" s="416"/>
      <c r="GG177" s="416"/>
      <c r="GH177" s="416"/>
      <c r="GI177" s="416"/>
      <c r="GJ177" s="416"/>
      <c r="GK177" s="416"/>
      <c r="GL177" s="416"/>
      <c r="GM177" s="416"/>
      <c r="GN177" s="416"/>
      <c r="GO177" s="416"/>
      <c r="GP177" s="416"/>
      <c r="GQ177" s="416"/>
      <c r="GR177" s="416"/>
      <c r="GS177" s="416"/>
      <c r="GT177" s="416"/>
      <c r="GU177" s="416"/>
      <c r="GV177" s="416"/>
      <c r="GW177" s="416"/>
      <c r="GX177" s="416"/>
      <c r="GY177" s="416"/>
      <c r="GZ177" s="416"/>
      <c r="HA177" s="416"/>
      <c r="HB177" s="416"/>
      <c r="HC177" s="416"/>
      <c r="HD177" s="416"/>
      <c r="HE177" s="416"/>
      <c r="HF177" s="416"/>
      <c r="HG177" s="416"/>
      <c r="HH177" s="416"/>
      <c r="HI177" s="416"/>
      <c r="HJ177" s="416"/>
      <c r="HK177" s="416"/>
      <c r="HL177" s="416"/>
      <c r="HM177" s="416"/>
      <c r="HN177" s="416"/>
      <c r="HO177" s="416"/>
      <c r="HP177" s="416"/>
      <c r="HQ177" s="416"/>
      <c r="HR177" s="416"/>
      <c r="HS177" s="416"/>
      <c r="HT177" s="416"/>
      <c r="HU177" s="416"/>
      <c r="HV177" s="416"/>
      <c r="HW177" s="416"/>
      <c r="HX177" s="416"/>
      <c r="HY177" s="416"/>
      <c r="HZ177" s="416"/>
      <c r="IA177" s="416"/>
      <c r="IB177" s="416"/>
      <c r="IC177" s="416"/>
      <c r="ID177" s="416"/>
      <c r="IE177" s="416"/>
      <c r="IF177" s="416"/>
      <c r="IG177" s="416"/>
      <c r="IH177" s="416"/>
      <c r="II177" s="416"/>
      <c r="IJ177" s="416"/>
      <c r="IK177" s="416"/>
      <c r="IL177" s="416"/>
      <c r="IM177" s="416"/>
      <c r="IN177" s="416"/>
      <c r="IO177" s="416"/>
      <c r="IP177" s="416"/>
      <c r="IQ177" s="416"/>
      <c r="IR177" s="416"/>
      <c r="IS177" s="416"/>
      <c r="IT177" s="416"/>
      <c r="IU177" s="416"/>
      <c r="IV177" s="416"/>
    </row>
    <row r="178" spans="1:256" s="461" customFormat="1" x14ac:dyDescent="0.3">
      <c r="A178" s="413"/>
      <c r="B178" s="414"/>
      <c r="C178" s="414"/>
      <c r="D178" s="414"/>
      <c r="E178" s="414"/>
      <c r="F178" s="414"/>
      <c r="G178" s="414"/>
      <c r="H178" s="414"/>
      <c r="I178" s="414"/>
      <c r="J178" s="414"/>
      <c r="K178" s="414"/>
      <c r="L178" s="414"/>
      <c r="M178" s="414"/>
      <c r="N178" s="414"/>
      <c r="O178" s="414"/>
      <c r="P178" s="414"/>
      <c r="Q178" s="414"/>
      <c r="R178" s="414"/>
      <c r="S178" s="414"/>
      <c r="T178" s="414"/>
      <c r="U178" s="414"/>
      <c r="V178" s="460"/>
      <c r="W178" s="414"/>
      <c r="X178" s="415"/>
      <c r="Y178" s="416"/>
      <c r="Z178" s="416"/>
      <c r="AA178" s="416"/>
      <c r="AB178" s="416"/>
      <c r="AC178" s="416"/>
      <c r="AD178" s="416"/>
      <c r="AE178" s="416"/>
      <c r="AF178" s="416"/>
      <c r="AG178" s="416"/>
      <c r="AH178" s="416"/>
      <c r="AI178" s="416"/>
      <c r="AJ178" s="416"/>
      <c r="AK178" s="416"/>
      <c r="AL178" s="416"/>
      <c r="AM178" s="416"/>
      <c r="AN178" s="416"/>
      <c r="AO178" s="416"/>
      <c r="AP178" s="416"/>
      <c r="AQ178" s="416"/>
      <c r="AR178" s="416"/>
      <c r="AS178" s="416"/>
      <c r="AT178" s="416"/>
      <c r="AU178" s="416"/>
      <c r="AV178" s="416"/>
      <c r="AW178" s="416"/>
      <c r="AX178" s="416"/>
      <c r="AY178" s="416"/>
      <c r="AZ178" s="416"/>
      <c r="BA178" s="416"/>
      <c r="BB178" s="416"/>
      <c r="BC178" s="416"/>
      <c r="BD178" s="416"/>
      <c r="BE178" s="416"/>
      <c r="BF178" s="416"/>
      <c r="BG178" s="416"/>
      <c r="BH178" s="416"/>
      <c r="BI178" s="416"/>
      <c r="BJ178" s="416"/>
      <c r="BK178" s="416"/>
      <c r="BL178" s="416"/>
      <c r="BM178" s="416"/>
      <c r="BN178" s="416"/>
      <c r="BO178" s="416"/>
      <c r="BP178" s="416"/>
      <c r="BQ178" s="416"/>
      <c r="BR178" s="416"/>
      <c r="BS178" s="416"/>
      <c r="BT178" s="416"/>
      <c r="BU178" s="416"/>
      <c r="BV178" s="416"/>
      <c r="BW178" s="416"/>
      <c r="BX178" s="416"/>
      <c r="BY178" s="416"/>
      <c r="BZ178" s="416"/>
      <c r="CA178" s="416"/>
      <c r="CB178" s="416"/>
      <c r="CC178" s="416"/>
      <c r="CD178" s="416"/>
      <c r="CE178" s="416"/>
      <c r="CF178" s="416"/>
      <c r="CG178" s="416"/>
      <c r="CH178" s="416"/>
      <c r="CI178" s="416"/>
      <c r="CJ178" s="416"/>
      <c r="CK178" s="416"/>
      <c r="CL178" s="416"/>
      <c r="CM178" s="416"/>
      <c r="CN178" s="416"/>
      <c r="CO178" s="416"/>
      <c r="CP178" s="416"/>
      <c r="CQ178" s="416"/>
      <c r="CR178" s="416"/>
      <c r="CS178" s="416"/>
      <c r="CT178" s="416"/>
      <c r="CU178" s="416"/>
      <c r="CV178" s="416"/>
      <c r="CW178" s="416"/>
      <c r="CX178" s="416"/>
      <c r="CY178" s="416"/>
      <c r="CZ178" s="416"/>
      <c r="DA178" s="416"/>
      <c r="DB178" s="416"/>
      <c r="DC178" s="416"/>
      <c r="DD178" s="416"/>
      <c r="DE178" s="416"/>
      <c r="DF178" s="416"/>
      <c r="DG178" s="416"/>
      <c r="DH178" s="416"/>
      <c r="DI178" s="416"/>
      <c r="DJ178" s="416"/>
      <c r="DK178" s="416"/>
      <c r="DL178" s="416"/>
      <c r="DM178" s="416"/>
      <c r="DN178" s="416"/>
      <c r="DO178" s="416"/>
      <c r="DP178" s="416"/>
      <c r="DQ178" s="416"/>
      <c r="DR178" s="416"/>
      <c r="DS178" s="416"/>
      <c r="DT178" s="416"/>
      <c r="DU178" s="416"/>
      <c r="DV178" s="416"/>
      <c r="DW178" s="416"/>
      <c r="DX178" s="416"/>
      <c r="DY178" s="416"/>
      <c r="DZ178" s="416"/>
      <c r="EA178" s="416"/>
      <c r="EB178" s="416"/>
      <c r="EC178" s="416"/>
      <c r="ED178" s="416"/>
      <c r="EE178" s="416"/>
      <c r="EF178" s="416"/>
      <c r="EG178" s="416"/>
      <c r="EH178" s="416"/>
      <c r="EI178" s="416"/>
      <c r="EJ178" s="416"/>
      <c r="EK178" s="416"/>
      <c r="EL178" s="416"/>
      <c r="EM178" s="416"/>
      <c r="EN178" s="416"/>
      <c r="EO178" s="416"/>
      <c r="EP178" s="416"/>
      <c r="EQ178" s="416"/>
      <c r="ER178" s="416"/>
      <c r="ES178" s="416"/>
      <c r="ET178" s="416"/>
      <c r="EU178" s="416"/>
      <c r="EV178" s="416"/>
      <c r="EW178" s="416"/>
      <c r="EX178" s="416"/>
      <c r="EY178" s="416"/>
      <c r="EZ178" s="416"/>
      <c r="FA178" s="416"/>
      <c r="FB178" s="416"/>
      <c r="FC178" s="416"/>
      <c r="FD178" s="416"/>
      <c r="FE178" s="416"/>
      <c r="FF178" s="416"/>
      <c r="FG178" s="416"/>
      <c r="FH178" s="416"/>
      <c r="FI178" s="416"/>
      <c r="FJ178" s="416"/>
      <c r="FK178" s="416"/>
      <c r="FL178" s="416"/>
      <c r="FM178" s="416"/>
      <c r="FN178" s="416"/>
      <c r="FO178" s="416"/>
      <c r="FP178" s="416"/>
      <c r="FQ178" s="416"/>
      <c r="FR178" s="416"/>
      <c r="FS178" s="416"/>
      <c r="FT178" s="416"/>
      <c r="FU178" s="416"/>
      <c r="FV178" s="416"/>
      <c r="FW178" s="416"/>
      <c r="FX178" s="416"/>
      <c r="FY178" s="416"/>
      <c r="FZ178" s="416"/>
      <c r="GA178" s="416"/>
      <c r="GB178" s="416"/>
      <c r="GC178" s="416"/>
      <c r="GD178" s="416"/>
      <c r="GE178" s="416"/>
      <c r="GF178" s="416"/>
      <c r="GG178" s="416"/>
      <c r="GH178" s="416"/>
      <c r="GI178" s="416"/>
      <c r="GJ178" s="416"/>
      <c r="GK178" s="416"/>
      <c r="GL178" s="416"/>
      <c r="GM178" s="416"/>
      <c r="GN178" s="416"/>
      <c r="GO178" s="416"/>
      <c r="GP178" s="416"/>
      <c r="GQ178" s="416"/>
      <c r="GR178" s="416"/>
      <c r="GS178" s="416"/>
      <c r="GT178" s="416"/>
      <c r="GU178" s="416"/>
      <c r="GV178" s="416"/>
      <c r="GW178" s="416"/>
      <c r="GX178" s="416"/>
      <c r="GY178" s="416"/>
      <c r="GZ178" s="416"/>
      <c r="HA178" s="416"/>
      <c r="HB178" s="416"/>
      <c r="HC178" s="416"/>
      <c r="HD178" s="416"/>
      <c r="HE178" s="416"/>
      <c r="HF178" s="416"/>
      <c r="HG178" s="416"/>
      <c r="HH178" s="416"/>
      <c r="HI178" s="416"/>
      <c r="HJ178" s="416"/>
      <c r="HK178" s="416"/>
      <c r="HL178" s="416"/>
      <c r="HM178" s="416"/>
      <c r="HN178" s="416"/>
      <c r="HO178" s="416"/>
      <c r="HP178" s="416"/>
      <c r="HQ178" s="416"/>
      <c r="HR178" s="416"/>
      <c r="HS178" s="416"/>
      <c r="HT178" s="416"/>
      <c r="HU178" s="416"/>
      <c r="HV178" s="416"/>
      <c r="HW178" s="416"/>
      <c r="HX178" s="416"/>
      <c r="HY178" s="416"/>
      <c r="HZ178" s="416"/>
      <c r="IA178" s="416"/>
      <c r="IB178" s="416"/>
      <c r="IC178" s="416"/>
      <c r="ID178" s="416"/>
      <c r="IE178" s="416"/>
      <c r="IF178" s="416"/>
      <c r="IG178" s="416"/>
      <c r="IH178" s="416"/>
      <c r="II178" s="416"/>
      <c r="IJ178" s="416"/>
      <c r="IK178" s="416"/>
      <c r="IL178" s="416"/>
      <c r="IM178" s="416"/>
      <c r="IN178" s="416"/>
      <c r="IO178" s="416"/>
      <c r="IP178" s="416"/>
      <c r="IQ178" s="416"/>
      <c r="IR178" s="416"/>
      <c r="IS178" s="416"/>
      <c r="IT178" s="416"/>
      <c r="IU178" s="416"/>
      <c r="IV178" s="416"/>
    </row>
    <row r="179" spans="1:256" x14ac:dyDescent="0.3">
      <c r="A179" s="417"/>
      <c r="B179" s="508" t="s">
        <v>56</v>
      </c>
      <c r="C179" s="419"/>
      <c r="D179" s="419"/>
      <c r="E179" s="419"/>
      <c r="F179" s="419"/>
      <c r="G179" s="419"/>
      <c r="H179" s="419"/>
      <c r="I179" s="419"/>
      <c r="J179" s="419"/>
      <c r="K179" s="419"/>
      <c r="L179" s="419"/>
      <c r="M179" s="419"/>
      <c r="N179" s="419"/>
      <c r="O179" s="419"/>
      <c r="P179" s="419"/>
      <c r="Q179" s="419"/>
      <c r="R179" s="419"/>
      <c r="S179" s="419"/>
      <c r="T179" s="419"/>
      <c r="U179" s="419"/>
      <c r="V179" s="439"/>
      <c r="W179" s="419"/>
      <c r="X179" s="415"/>
    </row>
    <row r="180" spans="1:256" x14ac:dyDescent="0.3">
      <c r="A180" s="417"/>
      <c r="B180" s="451"/>
      <c r="C180" s="419"/>
      <c r="D180" s="419"/>
      <c r="E180" s="419"/>
      <c r="F180" s="419"/>
      <c r="G180" s="419"/>
      <c r="H180" s="419"/>
      <c r="I180" s="419"/>
      <c r="J180" s="419"/>
      <c r="K180" s="419"/>
      <c r="L180" s="419"/>
      <c r="M180" s="419"/>
      <c r="N180" s="419"/>
      <c r="O180" s="419"/>
      <c r="P180" s="419"/>
      <c r="Q180" s="419"/>
      <c r="R180" s="419"/>
      <c r="S180" s="419"/>
      <c r="T180" s="419"/>
      <c r="U180" s="419"/>
      <c r="V180" s="439"/>
      <c r="W180" s="419"/>
      <c r="X180" s="415"/>
    </row>
    <row r="181" spans="1:256" s="544" customFormat="1" x14ac:dyDescent="0.3">
      <c r="A181" s="555"/>
      <c r="B181" s="556" t="s">
        <v>57</v>
      </c>
      <c r="C181" s="556"/>
      <c r="D181" s="556"/>
      <c r="E181" s="556"/>
      <c r="F181" s="556"/>
      <c r="G181" s="556"/>
      <c r="H181" s="556"/>
      <c r="I181" s="556"/>
      <c r="J181" s="556"/>
      <c r="K181" s="556"/>
      <c r="L181" s="556"/>
      <c r="M181" s="556"/>
      <c r="N181" s="556"/>
      <c r="O181" s="556"/>
      <c r="P181" s="556"/>
      <c r="Q181" s="556"/>
      <c r="R181" s="556"/>
      <c r="S181" s="556"/>
      <c r="T181" s="556"/>
      <c r="U181" s="556"/>
      <c r="V181" s="599">
        <f>V70</f>
        <v>866549</v>
      </c>
      <c r="W181" s="558"/>
      <c r="X181" s="543"/>
    </row>
    <row r="182" spans="1:256" s="544" customFormat="1" x14ac:dyDescent="0.3">
      <c r="A182" s="555"/>
      <c r="B182" s="556" t="s">
        <v>58</v>
      </c>
      <c r="C182" s="556"/>
      <c r="D182" s="556"/>
      <c r="E182" s="556"/>
      <c r="F182" s="556"/>
      <c r="G182" s="556"/>
      <c r="H182" s="556"/>
      <c r="I182" s="556"/>
      <c r="J182" s="556"/>
      <c r="K182" s="556"/>
      <c r="L182" s="556"/>
      <c r="M182" s="556"/>
      <c r="N182" s="556"/>
      <c r="O182" s="556"/>
      <c r="P182" s="556"/>
      <c r="Q182" s="556"/>
      <c r="R182" s="556"/>
      <c r="S182" s="556"/>
      <c r="T182" s="556"/>
      <c r="U182" s="556"/>
      <c r="V182" s="599">
        <f>V83</f>
        <v>866549</v>
      </c>
      <c r="W182" s="558"/>
      <c r="X182" s="543"/>
    </row>
    <row r="183" spans="1:256" ht="16.2" thickBot="1" x14ac:dyDescent="0.35">
      <c r="A183" s="417"/>
      <c r="B183" s="441"/>
      <c r="C183" s="441"/>
      <c r="D183" s="441"/>
      <c r="E183" s="441"/>
      <c r="F183" s="441"/>
      <c r="G183" s="441"/>
      <c r="H183" s="441"/>
      <c r="I183" s="441"/>
      <c r="J183" s="441"/>
      <c r="K183" s="441"/>
      <c r="L183" s="441"/>
      <c r="M183" s="441"/>
      <c r="N183" s="441"/>
      <c r="O183" s="441"/>
      <c r="P183" s="441"/>
      <c r="Q183" s="441"/>
      <c r="R183" s="441"/>
      <c r="S183" s="441"/>
      <c r="T183" s="441"/>
      <c r="U183" s="441"/>
      <c r="V183" s="452"/>
      <c r="W183" s="441"/>
      <c r="X183" s="415"/>
    </row>
    <row r="184" spans="1:256" x14ac:dyDescent="0.3">
      <c r="A184" s="413"/>
      <c r="B184" s="414"/>
      <c r="C184" s="414"/>
      <c r="D184" s="414"/>
      <c r="E184" s="414"/>
      <c r="F184" s="414"/>
      <c r="G184" s="414"/>
      <c r="H184" s="414"/>
      <c r="I184" s="414"/>
      <c r="J184" s="414"/>
      <c r="K184" s="414"/>
      <c r="L184" s="414"/>
      <c r="M184" s="414"/>
      <c r="N184" s="414"/>
      <c r="O184" s="414"/>
      <c r="P184" s="414"/>
      <c r="Q184" s="414"/>
      <c r="R184" s="414"/>
      <c r="S184" s="414"/>
      <c r="T184" s="414"/>
      <c r="U184" s="414"/>
      <c r="V184" s="460"/>
      <c r="W184" s="414"/>
      <c r="X184" s="415"/>
    </row>
    <row r="185" spans="1:256" s="499" customFormat="1" x14ac:dyDescent="0.3">
      <c r="A185" s="502"/>
      <c r="B185" s="508" t="s">
        <v>59</v>
      </c>
      <c r="C185" s="506"/>
      <c r="D185" s="506"/>
      <c r="E185" s="506"/>
      <c r="F185" s="506"/>
      <c r="G185" s="506"/>
      <c r="H185" s="509"/>
      <c r="I185" s="509"/>
      <c r="J185" s="509"/>
      <c r="K185" s="509"/>
      <c r="L185" s="509"/>
      <c r="M185" s="509"/>
      <c r="N185" s="509"/>
      <c r="O185" s="509"/>
      <c r="P185" s="509"/>
      <c r="Q185" s="509"/>
      <c r="R185" s="509"/>
      <c r="S185" s="509" t="s">
        <v>101</v>
      </c>
      <c r="T185" s="509" t="s">
        <v>176</v>
      </c>
      <c r="U185" s="421"/>
      <c r="V185" s="510" t="s">
        <v>114</v>
      </c>
      <c r="W185" s="421"/>
      <c r="X185" s="498"/>
    </row>
    <row r="186" spans="1:256" s="544" customFormat="1" x14ac:dyDescent="0.3">
      <c r="A186" s="555"/>
      <c r="B186" s="556" t="s">
        <v>60</v>
      </c>
      <c r="C186" s="556"/>
      <c r="D186" s="556"/>
      <c r="E186" s="556"/>
      <c r="F186" s="556"/>
      <c r="G186" s="556"/>
      <c r="H186" s="556"/>
      <c r="I186" s="556"/>
      <c r="J186" s="556"/>
      <c r="K186" s="556"/>
      <c r="L186" s="556"/>
      <c r="M186" s="556"/>
      <c r="N186" s="556"/>
      <c r="O186" s="556"/>
      <c r="P186" s="556"/>
      <c r="Q186" s="556"/>
      <c r="R186" s="556"/>
      <c r="S186" s="599">
        <f>+V34*0.16</f>
        <v>240044</v>
      </c>
      <c r="T186" s="578"/>
      <c r="U186" s="556"/>
      <c r="V186" s="599"/>
      <c r="W186" s="558"/>
      <c r="X186" s="543"/>
    </row>
    <row r="187" spans="1:256" s="544" customFormat="1" x14ac:dyDescent="0.3">
      <c r="A187" s="555"/>
      <c r="B187" s="556" t="s">
        <v>61</v>
      </c>
      <c r="C187" s="556"/>
      <c r="D187" s="556"/>
      <c r="E187" s="556"/>
      <c r="F187" s="556"/>
      <c r="G187" s="556"/>
      <c r="H187" s="556"/>
      <c r="I187" s="556"/>
      <c r="J187" s="556"/>
      <c r="K187" s="556"/>
      <c r="L187" s="556"/>
      <c r="M187" s="556"/>
      <c r="N187" s="556"/>
      <c r="O187" s="556"/>
      <c r="P187" s="556"/>
      <c r="Q187" s="556"/>
      <c r="R187" s="556"/>
      <c r="S187" s="599">
        <f>+'Aug 17'!S189</f>
        <v>30964</v>
      </c>
      <c r="T187" s="599">
        <f>+'Aug 17'!T189</f>
        <v>6019</v>
      </c>
      <c r="U187" s="556"/>
      <c r="V187" s="599">
        <f>S187+T187</f>
        <v>36983</v>
      </c>
      <c r="W187" s="558"/>
      <c r="X187" s="543"/>
    </row>
    <row r="188" spans="1:256" s="544" customFormat="1" x14ac:dyDescent="0.3">
      <c r="A188" s="555"/>
      <c r="B188" s="556" t="s">
        <v>62</v>
      </c>
      <c r="C188" s="556"/>
      <c r="D188" s="556"/>
      <c r="E188" s="556"/>
      <c r="F188" s="556"/>
      <c r="G188" s="556"/>
      <c r="H188" s="556"/>
      <c r="I188" s="556"/>
      <c r="J188" s="556"/>
      <c r="K188" s="556"/>
      <c r="L188" s="556"/>
      <c r="M188" s="556"/>
      <c r="N188" s="556"/>
      <c r="O188" s="556"/>
      <c r="P188" s="556"/>
      <c r="Q188" s="556"/>
      <c r="R188" s="556"/>
      <c r="S188" s="598">
        <f>1097+41</f>
        <v>1138</v>
      </c>
      <c r="T188" s="598">
        <v>0</v>
      </c>
      <c r="U188" s="556"/>
      <c r="V188" s="599">
        <f>S188+T188</f>
        <v>1138</v>
      </c>
      <c r="W188" s="558"/>
      <c r="X188" s="543"/>
    </row>
    <row r="189" spans="1:256" s="544" customFormat="1" x14ac:dyDescent="0.3">
      <c r="A189" s="555"/>
      <c r="B189" s="556" t="s">
        <v>63</v>
      </c>
      <c r="C189" s="556"/>
      <c r="D189" s="556"/>
      <c r="E189" s="556"/>
      <c r="F189" s="556"/>
      <c r="G189" s="556"/>
      <c r="H189" s="556"/>
      <c r="I189" s="556"/>
      <c r="J189" s="556"/>
      <c r="K189" s="556"/>
      <c r="L189" s="556"/>
      <c r="M189" s="556"/>
      <c r="N189" s="556"/>
      <c r="O189" s="556"/>
      <c r="P189" s="556"/>
      <c r="Q189" s="556"/>
      <c r="R189" s="556"/>
      <c r="S189" s="599">
        <f>S187+S188</f>
        <v>32102</v>
      </c>
      <c r="T189" s="599">
        <f>T188+T187</f>
        <v>6019</v>
      </c>
      <c r="U189" s="556"/>
      <c r="V189" s="599">
        <f>S189+T189</f>
        <v>38121</v>
      </c>
      <c r="W189" s="558"/>
      <c r="X189" s="543"/>
    </row>
    <row r="190" spans="1:256" s="544" customFormat="1" x14ac:dyDescent="0.3">
      <c r="A190" s="555"/>
      <c r="B190" s="556" t="s">
        <v>64</v>
      </c>
      <c r="C190" s="556"/>
      <c r="D190" s="556"/>
      <c r="E190" s="556"/>
      <c r="F190" s="556"/>
      <c r="G190" s="556"/>
      <c r="H190" s="556"/>
      <c r="I190" s="556"/>
      <c r="J190" s="556"/>
      <c r="K190" s="556"/>
      <c r="L190" s="556"/>
      <c r="M190" s="556"/>
      <c r="N190" s="556"/>
      <c r="O190" s="556"/>
      <c r="P190" s="556"/>
      <c r="Q190" s="556"/>
      <c r="R190" s="556"/>
      <c r="S190" s="599">
        <f>S186-S189-T189</f>
        <v>201923</v>
      </c>
      <c r="T190" s="578"/>
      <c r="U190" s="556"/>
      <c r="V190" s="599"/>
      <c r="W190" s="558"/>
      <c r="X190" s="543"/>
    </row>
    <row r="191" spans="1:256" ht="16.2" thickBot="1" x14ac:dyDescent="0.35">
      <c r="A191" s="417"/>
      <c r="B191" s="441"/>
      <c r="C191" s="441"/>
      <c r="D191" s="441"/>
      <c r="E191" s="441"/>
      <c r="F191" s="441"/>
      <c r="G191" s="441"/>
      <c r="H191" s="441"/>
      <c r="I191" s="441"/>
      <c r="J191" s="441"/>
      <c r="K191" s="441"/>
      <c r="L191" s="441"/>
      <c r="M191" s="441"/>
      <c r="N191" s="441"/>
      <c r="O191" s="441"/>
      <c r="P191" s="441"/>
      <c r="Q191" s="441"/>
      <c r="R191" s="441"/>
      <c r="S191" s="441"/>
      <c r="T191" s="441"/>
      <c r="U191" s="441"/>
      <c r="V191" s="452"/>
      <c r="W191" s="441"/>
      <c r="X191" s="415"/>
    </row>
    <row r="192" spans="1:256" x14ac:dyDescent="0.3">
      <c r="A192" s="413"/>
      <c r="B192" s="414"/>
      <c r="C192" s="414"/>
      <c r="D192" s="414"/>
      <c r="E192" s="414"/>
      <c r="F192" s="414"/>
      <c r="G192" s="414"/>
      <c r="H192" s="414"/>
      <c r="I192" s="414"/>
      <c r="J192" s="414"/>
      <c r="K192" s="414"/>
      <c r="L192" s="414"/>
      <c r="M192" s="414"/>
      <c r="N192" s="414"/>
      <c r="O192" s="414"/>
      <c r="P192" s="414"/>
      <c r="Q192" s="414"/>
      <c r="R192" s="414"/>
      <c r="S192" s="414"/>
      <c r="T192" s="414"/>
      <c r="U192" s="414"/>
      <c r="V192" s="460"/>
      <c r="W192" s="414"/>
      <c r="X192" s="415"/>
    </row>
    <row r="193" spans="1:24" x14ac:dyDescent="0.3">
      <c r="A193" s="417"/>
      <c r="B193" s="508" t="s">
        <v>65</v>
      </c>
      <c r="C193" s="419"/>
      <c r="D193" s="419"/>
      <c r="E193" s="419"/>
      <c r="F193" s="419"/>
      <c r="G193" s="419"/>
      <c r="H193" s="419"/>
      <c r="I193" s="419"/>
      <c r="J193" s="419"/>
      <c r="K193" s="419"/>
      <c r="L193" s="419"/>
      <c r="M193" s="419"/>
      <c r="N193" s="419"/>
      <c r="O193" s="419"/>
      <c r="P193" s="419"/>
      <c r="Q193" s="419"/>
      <c r="R193" s="419"/>
      <c r="S193" s="419"/>
      <c r="T193" s="419"/>
      <c r="U193" s="419"/>
      <c r="V193" s="462"/>
      <c r="W193" s="419"/>
      <c r="X193" s="415"/>
    </row>
    <row r="194" spans="1:24" s="544" customFormat="1" x14ac:dyDescent="0.3">
      <c r="A194" s="555"/>
      <c r="B194" s="556" t="s">
        <v>66</v>
      </c>
      <c r="C194" s="556"/>
      <c r="D194" s="556"/>
      <c r="E194" s="556"/>
      <c r="F194" s="556"/>
      <c r="G194" s="556"/>
      <c r="H194" s="556"/>
      <c r="I194" s="556"/>
      <c r="J194" s="556"/>
      <c r="K194" s="556"/>
      <c r="L194" s="556"/>
      <c r="M194" s="556"/>
      <c r="N194" s="556"/>
      <c r="O194" s="556"/>
      <c r="P194" s="556"/>
      <c r="Q194" s="556"/>
      <c r="R194" s="556"/>
      <c r="S194" s="556"/>
      <c r="T194" s="556"/>
      <c r="U194" s="556"/>
      <c r="V194" s="608">
        <f>(V100+V102+V103+V104+V105)/-(V106+V107)</f>
        <v>5.7176870748299322</v>
      </c>
      <c r="W194" s="558" t="s">
        <v>115</v>
      </c>
      <c r="X194" s="543"/>
    </row>
    <row r="195" spans="1:24" s="544" customFormat="1" x14ac:dyDescent="0.3">
      <c r="A195" s="555"/>
      <c r="B195" s="556" t="s">
        <v>67</v>
      </c>
      <c r="C195" s="556"/>
      <c r="D195" s="556"/>
      <c r="E195" s="556"/>
      <c r="F195" s="556"/>
      <c r="G195" s="556"/>
      <c r="H195" s="556"/>
      <c r="I195" s="556"/>
      <c r="J195" s="556"/>
      <c r="K195" s="556"/>
      <c r="L195" s="556"/>
      <c r="M195" s="556"/>
      <c r="N195" s="556"/>
      <c r="O195" s="556"/>
      <c r="P195" s="556"/>
      <c r="Q195" s="556"/>
      <c r="R195" s="556"/>
      <c r="S195" s="556"/>
      <c r="T195" s="556"/>
      <c r="U195" s="556"/>
      <c r="V195" s="610">
        <v>2.09</v>
      </c>
      <c r="W195" s="558" t="s">
        <v>115</v>
      </c>
      <c r="X195" s="543"/>
    </row>
    <row r="196" spans="1:24" s="544" customFormat="1" x14ac:dyDescent="0.3">
      <c r="A196" s="555"/>
      <c r="B196" s="556" t="s">
        <v>68</v>
      </c>
      <c r="C196" s="556"/>
      <c r="D196" s="556"/>
      <c r="E196" s="556"/>
      <c r="F196" s="556"/>
      <c r="G196" s="556"/>
      <c r="H196" s="556"/>
      <c r="I196" s="556"/>
      <c r="J196" s="556"/>
      <c r="K196" s="556"/>
      <c r="L196" s="556"/>
      <c r="M196" s="556"/>
      <c r="N196" s="556"/>
      <c r="O196" s="556"/>
      <c r="P196" s="556"/>
      <c r="Q196" s="556"/>
      <c r="R196" s="556"/>
      <c r="S196" s="556"/>
      <c r="T196" s="556"/>
      <c r="U196" s="556"/>
      <c r="V196" s="608">
        <f>(V100+V102+V103+V104+V105+V106+V107)/-(V109+V110)</f>
        <v>20.599009900990097</v>
      </c>
      <c r="W196" s="558" t="s">
        <v>115</v>
      </c>
      <c r="X196" s="543"/>
    </row>
    <row r="197" spans="1:24" s="544" customFormat="1" x14ac:dyDescent="0.3">
      <c r="A197" s="555"/>
      <c r="B197" s="556" t="s">
        <v>69</v>
      </c>
      <c r="C197" s="556"/>
      <c r="D197" s="556"/>
      <c r="E197" s="556"/>
      <c r="F197" s="556"/>
      <c r="G197" s="556"/>
      <c r="H197" s="556"/>
      <c r="I197" s="556"/>
      <c r="J197" s="556"/>
      <c r="K197" s="556"/>
      <c r="L197" s="556"/>
      <c r="M197" s="556"/>
      <c r="N197" s="556"/>
      <c r="O197" s="556"/>
      <c r="P197" s="556"/>
      <c r="Q197" s="556"/>
      <c r="R197" s="556"/>
      <c r="S197" s="556"/>
      <c r="T197" s="556"/>
      <c r="U197" s="556"/>
      <c r="V197" s="610">
        <v>9.6</v>
      </c>
      <c r="W197" s="558" t="s">
        <v>115</v>
      </c>
      <c r="X197" s="543"/>
    </row>
    <row r="198" spans="1:24" s="544" customFormat="1" x14ac:dyDescent="0.3">
      <c r="A198" s="555"/>
      <c r="B198" s="556" t="s">
        <v>198</v>
      </c>
      <c r="C198" s="556"/>
      <c r="D198" s="556"/>
      <c r="E198" s="556"/>
      <c r="F198" s="556"/>
      <c r="G198" s="556"/>
      <c r="H198" s="556"/>
      <c r="I198" s="556"/>
      <c r="J198" s="556"/>
      <c r="K198" s="556"/>
      <c r="L198" s="556"/>
      <c r="M198" s="556"/>
      <c r="N198" s="556"/>
      <c r="O198" s="556"/>
      <c r="P198" s="556"/>
      <c r="Q198" s="556"/>
      <c r="R198" s="556"/>
      <c r="S198" s="556"/>
      <c r="T198" s="556"/>
      <c r="U198" s="556"/>
      <c r="V198" s="608">
        <f>(V100+V102+V103+V104+V105+V106+V107+V109+V110)/-(V111+V112)</f>
        <v>11.996969696969696</v>
      </c>
      <c r="W198" s="558" t="s">
        <v>115</v>
      </c>
      <c r="X198" s="543"/>
    </row>
    <row r="199" spans="1:24" s="544" customFormat="1" x14ac:dyDescent="0.3">
      <c r="A199" s="555"/>
      <c r="B199" s="556" t="s">
        <v>199</v>
      </c>
      <c r="C199" s="556"/>
      <c r="D199" s="556"/>
      <c r="E199" s="556"/>
      <c r="F199" s="556"/>
      <c r="G199" s="556"/>
      <c r="H199" s="556"/>
      <c r="I199" s="556"/>
      <c r="J199" s="556"/>
      <c r="K199" s="556"/>
      <c r="L199" s="556"/>
      <c r="M199" s="556"/>
      <c r="N199" s="556"/>
      <c r="O199" s="556"/>
      <c r="P199" s="556"/>
      <c r="Q199" s="556"/>
      <c r="R199" s="556"/>
      <c r="S199" s="556"/>
      <c r="T199" s="556"/>
      <c r="U199" s="556"/>
      <c r="V199" s="610">
        <v>7.26</v>
      </c>
      <c r="W199" s="558" t="s">
        <v>115</v>
      </c>
      <c r="X199" s="543"/>
    </row>
    <row r="200" spans="1:24" s="544" customFormat="1" x14ac:dyDescent="0.3">
      <c r="A200" s="555"/>
      <c r="B200" s="556"/>
      <c r="C200" s="556"/>
      <c r="D200" s="556"/>
      <c r="E200" s="556"/>
      <c r="F200" s="556"/>
      <c r="G200" s="556"/>
      <c r="H200" s="556"/>
      <c r="I200" s="556"/>
      <c r="J200" s="556"/>
      <c r="K200" s="556"/>
      <c r="L200" s="556"/>
      <c r="M200" s="556"/>
      <c r="N200" s="556"/>
      <c r="O200" s="556"/>
      <c r="P200" s="556"/>
      <c r="Q200" s="556"/>
      <c r="R200" s="556"/>
      <c r="S200" s="556"/>
      <c r="T200" s="556"/>
      <c r="U200" s="556"/>
      <c r="V200" s="556"/>
      <c r="W200" s="558"/>
      <c r="X200" s="543"/>
    </row>
    <row r="201" spans="1:24" s="544" customFormat="1" x14ac:dyDescent="0.3">
      <c r="A201" s="540"/>
      <c r="B201" s="588"/>
      <c r="C201" s="588"/>
      <c r="D201" s="588"/>
      <c r="E201" s="588"/>
      <c r="F201" s="588"/>
      <c r="G201" s="588"/>
      <c r="H201" s="588"/>
      <c r="I201" s="588"/>
      <c r="J201" s="588"/>
      <c r="K201" s="588"/>
      <c r="L201" s="588"/>
      <c r="M201" s="588"/>
      <c r="N201" s="588"/>
      <c r="O201" s="588"/>
      <c r="P201" s="588"/>
      <c r="Q201" s="588"/>
      <c r="R201" s="588"/>
      <c r="S201" s="588"/>
      <c r="T201" s="588"/>
      <c r="U201" s="588"/>
      <c r="V201" s="588"/>
      <c r="W201" s="588"/>
      <c r="X201" s="543"/>
    </row>
    <row r="202" spans="1:24" s="544" customFormat="1" x14ac:dyDescent="0.3">
      <c r="A202" s="540"/>
      <c r="B202" s="541"/>
      <c r="C202" s="541"/>
      <c r="D202" s="541"/>
      <c r="E202" s="541"/>
      <c r="F202" s="541"/>
      <c r="G202" s="541"/>
      <c r="H202" s="541"/>
      <c r="I202" s="541"/>
      <c r="J202" s="541"/>
      <c r="K202" s="541"/>
      <c r="L202" s="541"/>
      <c r="M202" s="541"/>
      <c r="N202" s="541"/>
      <c r="O202" s="541"/>
      <c r="P202" s="541"/>
      <c r="Q202" s="541"/>
      <c r="R202" s="541"/>
      <c r="S202" s="541"/>
      <c r="T202" s="541"/>
      <c r="U202" s="541"/>
      <c r="V202" s="541"/>
      <c r="W202" s="541"/>
      <c r="X202" s="543"/>
    </row>
    <row r="203" spans="1:24" s="544" customFormat="1" ht="18.600000000000001" thickBot="1" x14ac:dyDescent="0.4">
      <c r="A203" s="593"/>
      <c r="B203" s="594" t="str">
        <f>B137</f>
        <v>PM14 INVESTOR REPORT QUARTER ENDING NOVEMBER 2017</v>
      </c>
      <c r="C203" s="595"/>
      <c r="D203" s="595"/>
      <c r="E203" s="595"/>
      <c r="F203" s="595"/>
      <c r="G203" s="595"/>
      <c r="H203" s="595"/>
      <c r="I203" s="595"/>
      <c r="J203" s="595"/>
      <c r="K203" s="595"/>
      <c r="L203" s="595"/>
      <c r="M203" s="595"/>
      <c r="N203" s="595"/>
      <c r="O203" s="595"/>
      <c r="P203" s="595"/>
      <c r="Q203" s="595"/>
      <c r="R203" s="595"/>
      <c r="S203" s="595"/>
      <c r="T203" s="595"/>
      <c r="U203" s="595"/>
      <c r="V203" s="595"/>
      <c r="W203" s="597"/>
      <c r="X203" s="543"/>
    </row>
    <row r="204" spans="1:24" x14ac:dyDescent="0.3">
      <c r="A204" s="527"/>
      <c r="B204" s="528" t="s">
        <v>70</v>
      </c>
      <c r="C204" s="531"/>
      <c r="D204" s="531"/>
      <c r="E204" s="531"/>
      <c r="F204" s="531"/>
      <c r="G204" s="532"/>
      <c r="H204" s="532"/>
      <c r="I204" s="532"/>
      <c r="J204" s="532"/>
      <c r="K204" s="532"/>
      <c r="L204" s="532"/>
      <c r="M204" s="532"/>
      <c r="N204" s="532"/>
      <c r="O204" s="532"/>
      <c r="P204" s="532"/>
      <c r="Q204" s="532"/>
      <c r="R204" s="532"/>
      <c r="S204" s="532"/>
      <c r="T204" s="532">
        <v>43069</v>
      </c>
      <c r="U204" s="529"/>
      <c r="V204" s="529"/>
      <c r="W204" s="529"/>
      <c r="X204" s="415"/>
    </row>
    <row r="205" spans="1:24" x14ac:dyDescent="0.3">
      <c r="A205" s="463"/>
      <c r="B205" s="429"/>
      <c r="C205" s="464"/>
      <c r="D205" s="464"/>
      <c r="E205" s="464"/>
      <c r="F205" s="464"/>
      <c r="G205" s="428"/>
      <c r="H205" s="428"/>
      <c r="I205" s="428"/>
      <c r="J205" s="428"/>
      <c r="K205" s="428"/>
      <c r="L205" s="428"/>
      <c r="M205" s="428"/>
      <c r="N205" s="428"/>
      <c r="O205" s="428"/>
      <c r="P205" s="428"/>
      <c r="Q205" s="428"/>
      <c r="R205" s="428"/>
      <c r="S205" s="428"/>
      <c r="T205" s="428"/>
      <c r="U205" s="427"/>
      <c r="V205" s="427"/>
      <c r="W205" s="427"/>
      <c r="X205" s="415"/>
    </row>
    <row r="206" spans="1:24" s="544" customFormat="1" x14ac:dyDescent="0.3">
      <c r="A206" s="555"/>
      <c r="B206" s="556" t="s">
        <v>71</v>
      </c>
      <c r="C206" s="611"/>
      <c r="D206" s="611"/>
      <c r="E206" s="611"/>
      <c r="F206" s="611"/>
      <c r="G206" s="582"/>
      <c r="H206" s="582"/>
      <c r="I206" s="582"/>
      <c r="J206" s="582"/>
      <c r="K206" s="582"/>
      <c r="L206" s="582"/>
      <c r="M206" s="582"/>
      <c r="N206" s="582"/>
      <c r="O206" s="582"/>
      <c r="P206" s="582"/>
      <c r="Q206" s="582"/>
      <c r="R206" s="582"/>
      <c r="S206" s="582"/>
      <c r="T206" s="575">
        <v>5.2819999999999999E-2</v>
      </c>
      <c r="U206" s="556"/>
      <c r="V206" s="556"/>
      <c r="W206" s="558"/>
      <c r="X206" s="543"/>
    </row>
    <row r="207" spans="1:24" s="544" customFormat="1" x14ac:dyDescent="0.3">
      <c r="A207" s="555"/>
      <c r="B207" s="556" t="s">
        <v>151</v>
      </c>
      <c r="C207" s="611"/>
      <c r="D207" s="611"/>
      <c r="E207" s="611"/>
      <c r="F207" s="611"/>
      <c r="G207" s="582"/>
      <c r="H207" s="582"/>
      <c r="I207" s="582"/>
      <c r="J207" s="582"/>
      <c r="K207" s="582"/>
      <c r="L207" s="582"/>
      <c r="M207" s="582"/>
      <c r="N207" s="582"/>
      <c r="O207" s="582"/>
      <c r="P207" s="582"/>
      <c r="Q207" s="582"/>
      <c r="R207" s="582"/>
      <c r="S207" s="582"/>
      <c r="T207" s="575">
        <v>5.7799999999999997E-2</v>
      </c>
      <c r="U207" s="556"/>
      <c r="V207" s="556"/>
      <c r="W207" s="558"/>
      <c r="X207" s="543"/>
    </row>
    <row r="208" spans="1:24" s="544" customFormat="1" x14ac:dyDescent="0.3">
      <c r="A208" s="555"/>
      <c r="B208" s="556" t="s">
        <v>72</v>
      </c>
      <c r="C208" s="611"/>
      <c r="D208" s="611"/>
      <c r="E208" s="611"/>
      <c r="F208" s="611"/>
      <c r="G208" s="582"/>
      <c r="H208" s="582"/>
      <c r="I208" s="582"/>
      <c r="J208" s="582"/>
      <c r="K208" s="582"/>
      <c r="L208" s="582"/>
      <c r="M208" s="582"/>
      <c r="N208" s="582"/>
      <c r="O208" s="582"/>
      <c r="P208" s="582"/>
      <c r="Q208" s="582"/>
      <c r="R208" s="582"/>
      <c r="S208" s="582"/>
      <c r="T208" s="575">
        <f>T206-T207</f>
        <v>-4.9799999999999983E-3</v>
      </c>
      <c r="U208" s="556"/>
      <c r="V208" s="556"/>
      <c r="W208" s="558"/>
      <c r="X208" s="543"/>
    </row>
    <row r="209" spans="1:24" s="544" customFormat="1" x14ac:dyDescent="0.3">
      <c r="A209" s="555"/>
      <c r="B209" s="556" t="s">
        <v>73</v>
      </c>
      <c r="C209" s="611"/>
      <c r="D209" s="611"/>
      <c r="E209" s="611"/>
      <c r="F209" s="611"/>
      <c r="G209" s="582"/>
      <c r="H209" s="582"/>
      <c r="I209" s="582"/>
      <c r="J209" s="582"/>
      <c r="K209" s="582"/>
      <c r="L209" s="582"/>
      <c r="M209" s="582"/>
      <c r="N209" s="582"/>
      <c r="O209" s="582"/>
      <c r="P209" s="582"/>
      <c r="Q209" s="582"/>
      <c r="R209" s="582"/>
      <c r="S209" s="582"/>
      <c r="T209" s="575">
        <v>2.164E-2</v>
      </c>
      <c r="U209" s="556"/>
      <c r="V209" s="556"/>
      <c r="W209" s="558"/>
      <c r="X209" s="543"/>
    </row>
    <row r="210" spans="1:24" s="544" customFormat="1" x14ac:dyDescent="0.3">
      <c r="A210" s="555"/>
      <c r="B210" s="556" t="s">
        <v>219</v>
      </c>
      <c r="C210" s="611"/>
      <c r="D210" s="611"/>
      <c r="E210" s="611"/>
      <c r="F210" s="611"/>
      <c r="G210" s="582"/>
      <c r="H210" s="582"/>
      <c r="I210" s="582"/>
      <c r="J210" s="582"/>
      <c r="K210" s="582"/>
      <c r="L210" s="582"/>
      <c r="M210" s="582"/>
      <c r="N210" s="582"/>
      <c r="O210" s="582"/>
      <c r="P210" s="582"/>
      <c r="Q210" s="582"/>
      <c r="R210" s="582"/>
      <c r="S210" s="582"/>
      <c r="T210" s="575">
        <f>V43</f>
        <v>6.4612208276737769E-3</v>
      </c>
      <c r="U210" s="556"/>
      <c r="V210" s="556"/>
      <c r="W210" s="558"/>
      <c r="X210" s="543"/>
    </row>
    <row r="211" spans="1:24" s="544" customFormat="1" x14ac:dyDescent="0.3">
      <c r="A211" s="555"/>
      <c r="B211" s="556" t="s">
        <v>74</v>
      </c>
      <c r="C211" s="611"/>
      <c r="D211" s="611"/>
      <c r="E211" s="611"/>
      <c r="F211" s="611"/>
      <c r="G211" s="582"/>
      <c r="H211" s="582"/>
      <c r="I211" s="582"/>
      <c r="J211" s="582"/>
      <c r="K211" s="582"/>
      <c r="L211" s="582"/>
      <c r="M211" s="582"/>
      <c r="N211" s="582"/>
      <c r="O211" s="582"/>
      <c r="P211" s="582"/>
      <c r="Q211" s="582"/>
      <c r="R211" s="582"/>
      <c r="S211" s="582"/>
      <c r="T211" s="575">
        <f>T209-T210</f>
        <v>1.5178779172326223E-2</v>
      </c>
      <c r="U211" s="556"/>
      <c r="V211" s="556"/>
      <c r="W211" s="558"/>
      <c r="X211" s="543"/>
    </row>
    <row r="212" spans="1:24" s="544" customFormat="1" x14ac:dyDescent="0.3">
      <c r="A212" s="555"/>
      <c r="B212" s="556" t="s">
        <v>242</v>
      </c>
      <c r="C212" s="611"/>
      <c r="D212" s="611"/>
      <c r="E212" s="611"/>
      <c r="F212" s="611"/>
      <c r="G212" s="582"/>
      <c r="H212" s="582"/>
      <c r="I212" s="582"/>
      <c r="J212" s="582"/>
      <c r="K212" s="582"/>
      <c r="L212" s="582"/>
      <c r="M212" s="582"/>
      <c r="N212" s="582"/>
      <c r="O212" s="582"/>
      <c r="P212" s="582"/>
      <c r="Q212" s="582"/>
      <c r="R212" s="582"/>
      <c r="S212" s="582"/>
      <c r="T212" s="575">
        <f>V100/N70</f>
        <v>6.0832532755321703E-3</v>
      </c>
      <c r="U212" s="556"/>
      <c r="V212" s="556"/>
      <c r="W212" s="558"/>
      <c r="X212" s="543"/>
    </row>
    <row r="213" spans="1:24" s="544" customFormat="1" x14ac:dyDescent="0.3">
      <c r="A213" s="555"/>
      <c r="B213" s="556" t="s">
        <v>208</v>
      </c>
      <c r="C213" s="611"/>
      <c r="D213" s="611"/>
      <c r="E213" s="611"/>
      <c r="F213" s="611"/>
      <c r="G213" s="582"/>
      <c r="H213" s="582"/>
      <c r="I213" s="582"/>
      <c r="J213" s="582"/>
      <c r="K213" s="582"/>
      <c r="L213" s="582"/>
      <c r="M213" s="582"/>
      <c r="N213" s="582"/>
      <c r="O213" s="582"/>
      <c r="P213" s="582"/>
      <c r="Q213" s="582"/>
      <c r="R213" s="582"/>
      <c r="S213" s="582"/>
      <c r="T213" s="612">
        <v>51014</v>
      </c>
      <c r="U213" s="556"/>
      <c r="V213" s="556"/>
      <c r="W213" s="558"/>
      <c r="X213" s="543"/>
    </row>
    <row r="214" spans="1:24" s="544" customFormat="1" x14ac:dyDescent="0.3">
      <c r="A214" s="555"/>
      <c r="B214" s="556" t="s">
        <v>209</v>
      </c>
      <c r="C214" s="611"/>
      <c r="D214" s="611"/>
      <c r="E214" s="611"/>
      <c r="F214" s="611"/>
      <c r="G214" s="582"/>
      <c r="H214" s="582"/>
      <c r="I214" s="582"/>
      <c r="J214" s="582"/>
      <c r="K214" s="582"/>
      <c r="L214" s="582"/>
      <c r="M214" s="582"/>
      <c r="N214" s="582"/>
      <c r="O214" s="582"/>
      <c r="P214" s="582"/>
      <c r="Q214" s="582"/>
      <c r="R214" s="582"/>
      <c r="S214" s="582"/>
      <c r="T214" s="612">
        <v>51014</v>
      </c>
      <c r="U214" s="556"/>
      <c r="V214" s="556"/>
      <c r="W214" s="558"/>
      <c r="X214" s="543"/>
    </row>
    <row r="215" spans="1:24" s="544" customFormat="1" x14ac:dyDescent="0.3">
      <c r="A215" s="555"/>
      <c r="B215" s="556" t="s">
        <v>210</v>
      </c>
      <c r="C215" s="611"/>
      <c r="D215" s="611"/>
      <c r="E215" s="611"/>
      <c r="F215" s="611"/>
      <c r="G215" s="582"/>
      <c r="H215" s="582"/>
      <c r="I215" s="582"/>
      <c r="J215" s="582"/>
      <c r="K215" s="582"/>
      <c r="L215" s="582"/>
      <c r="M215" s="582"/>
      <c r="N215" s="582"/>
      <c r="O215" s="582"/>
      <c r="P215" s="582"/>
      <c r="Q215" s="582"/>
      <c r="R215" s="582"/>
      <c r="S215" s="582"/>
      <c r="T215" s="612">
        <v>51014</v>
      </c>
      <c r="U215" s="556"/>
      <c r="V215" s="556"/>
      <c r="W215" s="558"/>
      <c r="X215" s="543"/>
    </row>
    <row r="216" spans="1:24" s="544" customFormat="1" x14ac:dyDescent="0.3">
      <c r="A216" s="555"/>
      <c r="B216" s="556" t="s">
        <v>75</v>
      </c>
      <c r="C216" s="611"/>
      <c r="D216" s="611"/>
      <c r="E216" s="611"/>
      <c r="F216" s="611"/>
      <c r="G216" s="582"/>
      <c r="H216" s="582"/>
      <c r="I216" s="582"/>
      <c r="J216" s="582"/>
      <c r="K216" s="582"/>
      <c r="L216" s="582"/>
      <c r="M216" s="582"/>
      <c r="N216" s="582"/>
      <c r="O216" s="582"/>
      <c r="P216" s="582"/>
      <c r="Q216" s="582"/>
      <c r="R216" s="582"/>
      <c r="S216" s="582"/>
      <c r="T216" s="580">
        <v>20.66</v>
      </c>
      <c r="U216" s="556" t="s">
        <v>110</v>
      </c>
      <c r="V216" s="556"/>
      <c r="W216" s="558"/>
      <c r="X216" s="543"/>
    </row>
    <row r="217" spans="1:24" s="544" customFormat="1" x14ac:dyDescent="0.3">
      <c r="A217" s="555"/>
      <c r="B217" s="556" t="s">
        <v>76</v>
      </c>
      <c r="C217" s="611"/>
      <c r="D217" s="611"/>
      <c r="E217" s="611"/>
      <c r="F217" s="611"/>
      <c r="G217" s="582"/>
      <c r="H217" s="582"/>
      <c r="I217" s="582"/>
      <c r="J217" s="582"/>
      <c r="K217" s="582"/>
      <c r="L217" s="582"/>
      <c r="M217" s="582"/>
      <c r="N217" s="582"/>
      <c r="O217" s="582"/>
      <c r="P217" s="582"/>
      <c r="Q217" s="582"/>
      <c r="R217" s="582"/>
      <c r="S217" s="582"/>
      <c r="T217" s="580">
        <v>11.27</v>
      </c>
      <c r="U217" s="556" t="s">
        <v>110</v>
      </c>
      <c r="V217" s="556"/>
      <c r="W217" s="558"/>
      <c r="X217" s="543"/>
    </row>
    <row r="218" spans="1:24" s="544" customFormat="1" x14ac:dyDescent="0.3">
      <c r="A218" s="555"/>
      <c r="B218" s="556" t="s">
        <v>77</v>
      </c>
      <c r="C218" s="611"/>
      <c r="D218" s="611"/>
      <c r="E218" s="611"/>
      <c r="F218" s="611"/>
      <c r="G218" s="582"/>
      <c r="H218" s="582"/>
      <c r="I218" s="582"/>
      <c r="J218" s="582"/>
      <c r="K218" s="582"/>
      <c r="L218" s="582"/>
      <c r="M218" s="582"/>
      <c r="N218" s="582"/>
      <c r="O218" s="582"/>
      <c r="P218" s="582"/>
      <c r="Q218" s="582"/>
      <c r="R218" s="582"/>
      <c r="S218" s="582"/>
      <c r="T218" s="575">
        <f>+P67/N67</f>
        <v>1.3766522961489064E-2</v>
      </c>
      <c r="U218" s="556"/>
      <c r="V218" s="556"/>
      <c r="W218" s="558"/>
      <c r="X218" s="543"/>
    </row>
    <row r="219" spans="1:24" s="544" customFormat="1" x14ac:dyDescent="0.3">
      <c r="A219" s="555"/>
      <c r="B219" s="556" t="s">
        <v>78</v>
      </c>
      <c r="C219" s="611"/>
      <c r="D219" s="611"/>
      <c r="E219" s="611"/>
      <c r="F219" s="611"/>
      <c r="G219" s="582"/>
      <c r="H219" s="582"/>
      <c r="I219" s="582"/>
      <c r="J219" s="582"/>
      <c r="K219" s="582"/>
      <c r="L219" s="582"/>
      <c r="M219" s="582"/>
      <c r="N219" s="582"/>
      <c r="O219" s="582"/>
      <c r="P219" s="582"/>
      <c r="Q219" s="582"/>
      <c r="R219" s="582"/>
      <c r="S219" s="582"/>
      <c r="T219" s="575">
        <v>5.2699999999999997E-2</v>
      </c>
      <c r="U219" s="556"/>
      <c r="V219" s="556"/>
      <c r="W219" s="558"/>
      <c r="X219" s="543"/>
    </row>
    <row r="220" spans="1:24" x14ac:dyDescent="0.3">
      <c r="A220" s="463"/>
      <c r="B220" s="437"/>
      <c r="C220" s="437"/>
      <c r="D220" s="437"/>
      <c r="E220" s="437"/>
      <c r="F220" s="437"/>
      <c r="G220" s="437"/>
      <c r="H220" s="437"/>
      <c r="I220" s="437"/>
      <c r="J220" s="437"/>
      <c r="K220" s="437"/>
      <c r="L220" s="437"/>
      <c r="M220" s="437"/>
      <c r="N220" s="437"/>
      <c r="O220" s="437"/>
      <c r="P220" s="437"/>
      <c r="Q220" s="437"/>
      <c r="R220" s="437"/>
      <c r="S220" s="437"/>
      <c r="T220" s="454"/>
      <c r="U220" s="437"/>
      <c r="V220" s="465"/>
      <c r="W220" s="437"/>
      <c r="X220" s="415"/>
    </row>
    <row r="221" spans="1:24" x14ac:dyDescent="0.3">
      <c r="A221" s="533"/>
      <c r="B221" s="523" t="s">
        <v>79</v>
      </c>
      <c r="C221" s="524"/>
      <c r="D221" s="524"/>
      <c r="E221" s="524"/>
      <c r="F221" s="534"/>
      <c r="G221" s="524"/>
      <c r="H221" s="524"/>
      <c r="I221" s="524"/>
      <c r="J221" s="524"/>
      <c r="K221" s="524"/>
      <c r="L221" s="524"/>
      <c r="M221" s="524"/>
      <c r="N221" s="524"/>
      <c r="O221" s="524"/>
      <c r="P221" s="524"/>
      <c r="Q221" s="524"/>
      <c r="R221" s="524"/>
      <c r="S221" s="524" t="s">
        <v>102</v>
      </c>
      <c r="T221" s="534" t="s">
        <v>108</v>
      </c>
      <c r="U221" s="517"/>
      <c r="V221" s="517"/>
      <c r="W221" s="520"/>
      <c r="X221" s="415"/>
    </row>
    <row r="222" spans="1:24" s="544" customFormat="1" x14ac:dyDescent="0.3">
      <c r="A222" s="613"/>
      <c r="B222" s="588" t="s">
        <v>80</v>
      </c>
      <c r="C222" s="600"/>
      <c r="D222" s="600"/>
      <c r="E222" s="600"/>
      <c r="F222" s="588"/>
      <c r="G222" s="588"/>
      <c r="H222" s="614"/>
      <c r="I222" s="614"/>
      <c r="J222" s="614"/>
      <c r="K222" s="614"/>
      <c r="L222" s="614"/>
      <c r="M222" s="614"/>
      <c r="N222" s="614"/>
      <c r="O222" s="614"/>
      <c r="P222" s="614"/>
      <c r="Q222" s="614"/>
      <c r="R222" s="614"/>
      <c r="S222" s="614">
        <v>2</v>
      </c>
      <c r="T222" s="615">
        <v>172</v>
      </c>
      <c r="U222" s="588"/>
      <c r="V222" s="616"/>
      <c r="W222" s="617"/>
      <c r="X222" s="543"/>
    </row>
    <row r="223" spans="1:24" s="544" customFormat="1" x14ac:dyDescent="0.3">
      <c r="A223" s="618"/>
      <c r="B223" s="556" t="s">
        <v>145</v>
      </c>
      <c r="C223" s="598"/>
      <c r="D223" s="598"/>
      <c r="E223" s="598"/>
      <c r="F223" s="556"/>
      <c r="G223" s="556"/>
      <c r="H223" s="562"/>
      <c r="I223" s="562"/>
      <c r="J223" s="562"/>
      <c r="K223" s="562"/>
      <c r="L223" s="562"/>
      <c r="M223" s="562"/>
      <c r="N223" s="562"/>
      <c r="O223" s="562"/>
      <c r="P223" s="562"/>
      <c r="Q223" s="562"/>
      <c r="R223" s="562"/>
      <c r="S223" s="619">
        <f>+R275</f>
        <v>119</v>
      </c>
      <c r="T223" s="620">
        <f>+T275</f>
        <v>16979</v>
      </c>
      <c r="U223" s="556"/>
      <c r="V223" s="621"/>
      <c r="W223" s="622"/>
      <c r="X223" s="543"/>
    </row>
    <row r="224" spans="1:24" s="544" customFormat="1" x14ac:dyDescent="0.3">
      <c r="A224" s="618"/>
      <c r="B224" s="556" t="s">
        <v>81</v>
      </c>
      <c r="C224" s="598"/>
      <c r="D224" s="598"/>
      <c r="E224" s="598"/>
      <c r="F224" s="556"/>
      <c r="G224" s="556"/>
      <c r="H224" s="562"/>
      <c r="I224" s="562"/>
      <c r="J224" s="562"/>
      <c r="K224" s="562"/>
      <c r="L224" s="562"/>
      <c r="M224" s="562"/>
      <c r="N224" s="562"/>
      <c r="O224" s="562"/>
      <c r="P224" s="562"/>
      <c r="Q224" s="562"/>
      <c r="R224" s="562"/>
      <c r="S224" s="619">
        <f>+R287</f>
        <v>0</v>
      </c>
      <c r="T224" s="620">
        <f>+T287</f>
        <v>0</v>
      </c>
      <c r="U224" s="556"/>
      <c r="V224" s="621"/>
      <c r="W224" s="622"/>
      <c r="X224" s="543"/>
    </row>
    <row r="225" spans="1:24" x14ac:dyDescent="0.3">
      <c r="A225" s="466"/>
      <c r="B225" s="493" t="s">
        <v>82</v>
      </c>
      <c r="C225" s="467"/>
      <c r="D225" s="467"/>
      <c r="E225" s="467"/>
      <c r="F225" s="434"/>
      <c r="G225" s="434"/>
      <c r="H225" s="434"/>
      <c r="I225" s="434"/>
      <c r="J225" s="434"/>
      <c r="K225" s="434"/>
      <c r="L225" s="434"/>
      <c r="M225" s="434"/>
      <c r="N225" s="434"/>
      <c r="O225" s="434"/>
      <c r="P225" s="434"/>
      <c r="Q225" s="434"/>
      <c r="R225" s="434"/>
      <c r="S225" s="434"/>
      <c r="T225" s="620">
        <v>0</v>
      </c>
      <c r="U225" s="434"/>
      <c r="V225" s="468"/>
      <c r="W225" s="469"/>
      <c r="X225" s="415"/>
    </row>
    <row r="226" spans="1:24" x14ac:dyDescent="0.3">
      <c r="A226" s="466"/>
      <c r="B226" s="493" t="s">
        <v>243</v>
      </c>
      <c r="C226" s="467"/>
      <c r="D226" s="467"/>
      <c r="E226" s="467"/>
      <c r="F226" s="434"/>
      <c r="G226" s="434"/>
      <c r="H226" s="434"/>
      <c r="I226" s="434"/>
      <c r="J226" s="434"/>
      <c r="K226" s="434"/>
      <c r="L226" s="434"/>
      <c r="M226" s="434"/>
      <c r="N226" s="434"/>
      <c r="O226" s="434"/>
      <c r="P226" s="434"/>
      <c r="Q226" s="434"/>
      <c r="R226" s="434"/>
      <c r="S226" s="434"/>
      <c r="T226" s="620">
        <f>+N80</f>
        <v>0</v>
      </c>
      <c r="U226" s="434"/>
      <c r="V226" s="468"/>
      <c r="W226" s="469"/>
      <c r="X226" s="415"/>
    </row>
    <row r="227" spans="1:24" x14ac:dyDescent="0.3">
      <c r="A227" s="470"/>
      <c r="B227" s="493" t="s">
        <v>83</v>
      </c>
      <c r="C227" s="471"/>
      <c r="D227" s="471"/>
      <c r="E227" s="471"/>
      <c r="F227" s="471"/>
      <c r="G227" s="434"/>
      <c r="H227" s="434"/>
      <c r="I227" s="434"/>
      <c r="J227" s="434"/>
      <c r="K227" s="434"/>
      <c r="L227" s="434"/>
      <c r="M227" s="434"/>
      <c r="N227" s="434"/>
      <c r="O227" s="434"/>
      <c r="P227" s="434"/>
      <c r="Q227" s="434"/>
      <c r="R227" s="434"/>
      <c r="S227" s="434"/>
      <c r="T227" s="472"/>
      <c r="U227" s="434"/>
      <c r="V227" s="468"/>
      <c r="W227" s="473"/>
      <c r="X227" s="415"/>
    </row>
    <row r="228" spans="1:24" s="544" customFormat="1" x14ac:dyDescent="0.3">
      <c r="A228" s="623"/>
      <c r="B228" s="556" t="s">
        <v>84</v>
      </c>
      <c r="C228" s="556"/>
      <c r="D228" s="556"/>
      <c r="E228" s="556"/>
      <c r="F228" s="556"/>
      <c r="G228" s="556"/>
      <c r="H228" s="556"/>
      <c r="I228" s="556"/>
      <c r="J228" s="556"/>
      <c r="K228" s="556"/>
      <c r="L228" s="556"/>
      <c r="M228" s="556"/>
      <c r="N228" s="556"/>
      <c r="O228" s="556"/>
      <c r="P228" s="556"/>
      <c r="Q228" s="556"/>
      <c r="R228" s="556"/>
      <c r="S228" s="562"/>
      <c r="T228" s="620">
        <f>V166</f>
        <v>254</v>
      </c>
      <c r="U228" s="556"/>
      <c r="V228" s="621"/>
      <c r="W228" s="624"/>
      <c r="X228" s="543"/>
    </row>
    <row r="229" spans="1:24" s="544" customFormat="1" x14ac:dyDescent="0.3">
      <c r="A229" s="618"/>
      <c r="B229" s="556" t="s">
        <v>85</v>
      </c>
      <c r="C229" s="598"/>
      <c r="D229" s="598"/>
      <c r="E229" s="598"/>
      <c r="F229" s="598"/>
      <c r="G229" s="556"/>
      <c r="H229" s="556"/>
      <c r="I229" s="556"/>
      <c r="J229" s="556"/>
      <c r="K229" s="556"/>
      <c r="L229" s="556"/>
      <c r="M229" s="556"/>
      <c r="N229" s="556"/>
      <c r="O229" s="556"/>
      <c r="P229" s="556"/>
      <c r="Q229" s="556"/>
      <c r="R229" s="556"/>
      <c r="S229" s="562"/>
      <c r="T229" s="620">
        <f>'Aug 17'!T229+T228</f>
        <v>8127</v>
      </c>
      <c r="U229" s="556"/>
      <c r="V229" s="621"/>
      <c r="W229" s="624"/>
      <c r="X229" s="543"/>
    </row>
    <row r="230" spans="1:24" x14ac:dyDescent="0.3">
      <c r="A230" s="470"/>
      <c r="B230" s="493" t="s">
        <v>295</v>
      </c>
      <c r="C230" s="471"/>
      <c r="D230" s="471"/>
      <c r="E230" s="471"/>
      <c r="F230" s="471"/>
      <c r="G230" s="434"/>
      <c r="H230" s="434"/>
      <c r="I230" s="434"/>
      <c r="J230" s="434"/>
      <c r="K230" s="434"/>
      <c r="L230" s="434"/>
      <c r="M230" s="434"/>
      <c r="N230" s="434"/>
      <c r="O230" s="434"/>
      <c r="P230" s="434"/>
      <c r="Q230" s="434"/>
      <c r="R230" s="434"/>
      <c r="S230" s="435"/>
      <c r="T230" s="472"/>
      <c r="U230" s="434"/>
      <c r="V230" s="468"/>
      <c r="W230" s="473"/>
      <c r="X230" s="415"/>
    </row>
    <row r="231" spans="1:24" s="544" customFormat="1" x14ac:dyDescent="0.3">
      <c r="A231" s="623"/>
      <c r="B231" s="556" t="s">
        <v>291</v>
      </c>
      <c r="C231" s="556"/>
      <c r="D231" s="556"/>
      <c r="E231" s="556"/>
      <c r="F231" s="556"/>
      <c r="G231" s="556"/>
      <c r="H231" s="556"/>
      <c r="I231" s="556"/>
      <c r="J231" s="556"/>
      <c r="K231" s="556"/>
      <c r="L231" s="556"/>
      <c r="M231" s="556"/>
      <c r="N231" s="556"/>
      <c r="O231" s="556"/>
      <c r="P231" s="556"/>
      <c r="Q231" s="556"/>
      <c r="R231" s="556"/>
      <c r="S231" s="562">
        <v>0</v>
      </c>
      <c r="T231" s="620">
        <v>0</v>
      </c>
      <c r="U231" s="556"/>
      <c r="V231" s="621"/>
      <c r="W231" s="624"/>
      <c r="X231" s="543"/>
    </row>
    <row r="232" spans="1:24" s="544" customFormat="1" x14ac:dyDescent="0.3">
      <c r="A232" s="618"/>
      <c r="B232" s="556" t="s">
        <v>86</v>
      </c>
      <c r="C232" s="578"/>
      <c r="D232" s="578"/>
      <c r="E232" s="578"/>
      <c r="F232" s="625"/>
      <c r="G232" s="556"/>
      <c r="H232" s="556"/>
      <c r="I232" s="556"/>
      <c r="J232" s="556"/>
      <c r="K232" s="556"/>
      <c r="L232" s="556"/>
      <c r="M232" s="556"/>
      <c r="N232" s="556"/>
      <c r="O232" s="556"/>
      <c r="P232" s="556"/>
      <c r="Q232" s="556"/>
      <c r="R232" s="556"/>
      <c r="S232" s="556"/>
      <c r="T232" s="626">
        <v>0</v>
      </c>
      <c r="U232" s="556"/>
      <c r="V232" s="621"/>
      <c r="W232" s="624"/>
      <c r="X232" s="543"/>
    </row>
    <row r="233" spans="1:24" s="544" customFormat="1" x14ac:dyDescent="0.3">
      <c r="A233" s="618"/>
      <c r="B233" s="556" t="s">
        <v>87</v>
      </c>
      <c r="C233" s="578"/>
      <c r="D233" s="578"/>
      <c r="E233" s="578"/>
      <c r="F233" s="625"/>
      <c r="G233" s="556"/>
      <c r="H233" s="556"/>
      <c r="I233" s="556"/>
      <c r="J233" s="556"/>
      <c r="K233" s="556"/>
      <c r="L233" s="556"/>
      <c r="M233" s="556"/>
      <c r="N233" s="556"/>
      <c r="O233" s="556"/>
      <c r="P233" s="556"/>
      <c r="Q233" s="556"/>
      <c r="R233" s="556"/>
      <c r="S233" s="556"/>
      <c r="T233" s="626">
        <v>0</v>
      </c>
      <c r="U233" s="556"/>
      <c r="V233" s="621"/>
      <c r="W233" s="624"/>
      <c r="X233" s="543"/>
    </row>
    <row r="234" spans="1:24" x14ac:dyDescent="0.3">
      <c r="A234" s="466"/>
      <c r="B234" s="493" t="s">
        <v>217</v>
      </c>
      <c r="C234" s="474"/>
      <c r="D234" s="474"/>
      <c r="E234" s="474"/>
      <c r="F234" s="475"/>
      <c r="G234" s="434"/>
      <c r="H234" s="434"/>
      <c r="I234" s="434"/>
      <c r="J234" s="434"/>
      <c r="K234" s="434"/>
      <c r="L234" s="434"/>
      <c r="M234" s="434"/>
      <c r="N234" s="434"/>
      <c r="O234" s="434"/>
      <c r="P234" s="434"/>
      <c r="Q234" s="434"/>
      <c r="R234" s="434"/>
      <c r="S234" s="434"/>
      <c r="T234" s="476"/>
      <c r="U234" s="434"/>
      <c r="V234" s="468"/>
      <c r="W234" s="473"/>
      <c r="X234" s="415"/>
    </row>
    <row r="235" spans="1:24" s="544" customFormat="1" x14ac:dyDescent="0.3">
      <c r="A235" s="618"/>
      <c r="B235" s="556" t="s">
        <v>291</v>
      </c>
      <c r="C235" s="578"/>
      <c r="D235" s="578"/>
      <c r="E235" s="578"/>
      <c r="F235" s="625"/>
      <c r="G235" s="556"/>
      <c r="H235" s="556"/>
      <c r="I235" s="556"/>
      <c r="J235" s="556"/>
      <c r="K235" s="556"/>
      <c r="L235" s="556"/>
      <c r="M235" s="556"/>
      <c r="N235" s="556"/>
      <c r="O235" s="556"/>
      <c r="P235" s="556"/>
      <c r="Q235" s="556"/>
      <c r="R235" s="556"/>
      <c r="S235" s="562">
        <v>7</v>
      </c>
      <c r="T235" s="620">
        <v>608</v>
      </c>
      <c r="U235" s="556"/>
      <c r="V235" s="621"/>
      <c r="W235" s="624"/>
      <c r="X235" s="543"/>
    </row>
    <row r="236" spans="1:24" s="544" customFormat="1" x14ac:dyDescent="0.3">
      <c r="A236" s="618"/>
      <c r="B236" s="556" t="s">
        <v>218</v>
      </c>
      <c r="C236" s="578"/>
      <c r="D236" s="578"/>
      <c r="E236" s="578"/>
      <c r="F236" s="625"/>
      <c r="G236" s="556"/>
      <c r="H236" s="556"/>
      <c r="I236" s="556"/>
      <c r="J236" s="556"/>
      <c r="K236" s="556"/>
      <c r="L236" s="556"/>
      <c r="M236" s="556"/>
      <c r="N236" s="556"/>
      <c r="O236" s="556"/>
      <c r="P236" s="556"/>
      <c r="Q236" s="556"/>
      <c r="R236" s="556"/>
      <c r="S236" s="556"/>
      <c r="T236" s="626">
        <v>6.54</v>
      </c>
      <c r="U236" s="556"/>
      <c r="V236" s="621"/>
      <c r="W236" s="624"/>
      <c r="X236" s="543"/>
    </row>
    <row r="237" spans="1:24" x14ac:dyDescent="0.3">
      <c r="A237" s="466"/>
      <c r="B237" s="471"/>
      <c r="C237" s="474"/>
      <c r="D237" s="474"/>
      <c r="E237" s="474"/>
      <c r="F237" s="475"/>
      <c r="G237" s="434"/>
      <c r="H237" s="434"/>
      <c r="I237" s="434"/>
      <c r="J237" s="434"/>
      <c r="K237" s="434"/>
      <c r="L237" s="434"/>
      <c r="M237" s="434"/>
      <c r="N237" s="434"/>
      <c r="O237" s="434"/>
      <c r="P237" s="434"/>
      <c r="Q237" s="434"/>
      <c r="R237" s="434"/>
      <c r="S237" s="434"/>
      <c r="T237" s="476"/>
      <c r="U237" s="434"/>
      <c r="V237" s="468"/>
      <c r="W237" s="473"/>
      <c r="X237" s="415"/>
    </row>
    <row r="238" spans="1:24" x14ac:dyDescent="0.3">
      <c r="A238" s="466"/>
      <c r="B238" s="471"/>
      <c r="C238" s="474"/>
      <c r="D238" s="474"/>
      <c r="E238" s="474"/>
      <c r="F238" s="475"/>
      <c r="G238" s="434"/>
      <c r="H238" s="434"/>
      <c r="I238" s="434"/>
      <c r="J238" s="434"/>
      <c r="K238" s="434"/>
      <c r="L238" s="434"/>
      <c r="M238" s="434"/>
      <c r="N238" s="434"/>
      <c r="O238" s="434"/>
      <c r="P238" s="434"/>
      <c r="Q238" s="434"/>
      <c r="R238" s="434"/>
      <c r="S238" s="434"/>
      <c r="T238" s="476"/>
      <c r="U238" s="434"/>
      <c r="V238" s="468"/>
      <c r="W238" s="473"/>
      <c r="X238" s="415"/>
    </row>
    <row r="239" spans="1:24" ht="18" x14ac:dyDescent="0.35">
      <c r="A239" s="466"/>
      <c r="B239" s="512" t="s">
        <v>168</v>
      </c>
      <c r="C239" s="474"/>
      <c r="D239" s="474"/>
      <c r="E239" s="474"/>
      <c r="F239" s="475"/>
      <c r="G239" s="434"/>
      <c r="H239" s="434"/>
      <c r="I239" s="434"/>
      <c r="J239" s="434"/>
      <c r="K239" s="434"/>
      <c r="L239" s="434"/>
      <c r="M239" s="434"/>
      <c r="N239" s="434"/>
      <c r="O239" s="434"/>
      <c r="P239" s="513" t="s">
        <v>371</v>
      </c>
      <c r="Q239" s="434"/>
      <c r="R239" s="434"/>
      <c r="S239" s="434"/>
      <c r="T239" s="476"/>
      <c r="U239" s="434"/>
      <c r="V239" s="468"/>
      <c r="W239" s="473"/>
      <c r="X239" s="415"/>
    </row>
    <row r="240" spans="1:24" x14ac:dyDescent="0.3">
      <c r="A240" s="477"/>
      <c r="B240" s="511"/>
      <c r="C240" s="478"/>
      <c r="D240" s="478"/>
      <c r="E240" s="478"/>
      <c r="F240" s="479"/>
      <c r="G240" s="441"/>
      <c r="H240" s="441"/>
      <c r="I240" s="441"/>
      <c r="J240" s="441"/>
      <c r="K240" s="441"/>
      <c r="L240" s="441"/>
      <c r="M240" s="441"/>
      <c r="N240" s="441"/>
      <c r="O240" s="441"/>
      <c r="P240" s="441"/>
      <c r="Q240" s="441"/>
      <c r="R240" s="441"/>
      <c r="S240" s="441"/>
      <c r="T240" s="480"/>
      <c r="U240" s="441"/>
      <c r="V240" s="481"/>
      <c r="W240" s="482"/>
      <c r="X240" s="415"/>
    </row>
    <row r="241" spans="1:25" x14ac:dyDescent="0.3">
      <c r="A241" s="515"/>
      <c r="B241" s="523" t="s">
        <v>308</v>
      </c>
      <c r="C241" s="524"/>
      <c r="D241" s="524"/>
      <c r="E241" s="524"/>
      <c r="F241" s="534"/>
      <c r="G241" s="524"/>
      <c r="H241" s="524"/>
      <c r="I241" s="524"/>
      <c r="J241" s="524"/>
      <c r="K241" s="524"/>
      <c r="L241" s="524"/>
      <c r="M241" s="524"/>
      <c r="N241" s="524"/>
      <c r="O241" s="524"/>
      <c r="P241" s="524"/>
      <c r="Q241" s="524"/>
      <c r="R241" s="534" t="s">
        <v>102</v>
      </c>
      <c r="S241" s="524" t="s">
        <v>103</v>
      </c>
      <c r="T241" s="534" t="s">
        <v>109</v>
      </c>
      <c r="U241" s="524" t="s">
        <v>103</v>
      </c>
      <c r="V241" s="517"/>
      <c r="W241" s="535"/>
      <c r="X241" s="415"/>
    </row>
    <row r="242" spans="1:25" s="544" customFormat="1" x14ac:dyDescent="0.3">
      <c r="A242" s="540"/>
      <c r="B242" s="600" t="s">
        <v>88</v>
      </c>
      <c r="C242" s="627"/>
      <c r="D242" s="627"/>
      <c r="E242" s="627"/>
      <c r="F242" s="588"/>
      <c r="G242" s="627"/>
      <c r="H242" s="627"/>
      <c r="I242" s="627"/>
      <c r="J242" s="627"/>
      <c r="K242" s="627"/>
      <c r="L242" s="627"/>
      <c r="M242" s="627"/>
      <c r="N242" s="627"/>
      <c r="O242" s="627"/>
      <c r="P242" s="627"/>
      <c r="Q242" s="627"/>
      <c r="R242" s="600">
        <f t="shared" ref="R242:R249" si="1">+R254+R266+R278</f>
        <v>6285</v>
      </c>
      <c r="S242" s="628">
        <f t="shared" ref="S242:S249" si="2">R242/$R$251</f>
        <v>0.99793585265163542</v>
      </c>
      <c r="T242" s="601">
        <f t="shared" ref="T242:T249" si="3">+T254+T266+T278</f>
        <v>864747</v>
      </c>
      <c r="U242" s="628">
        <f t="shared" ref="U242:U249" si="4">T242/$T$251</f>
        <v>0.99792048689687485</v>
      </c>
      <c r="V242" s="616"/>
      <c r="W242" s="629"/>
      <c r="X242" s="543"/>
    </row>
    <row r="243" spans="1:25" s="544" customFormat="1" x14ac:dyDescent="0.3">
      <c r="A243" s="555"/>
      <c r="B243" s="598" t="s">
        <v>89</v>
      </c>
      <c r="C243" s="630"/>
      <c r="D243" s="630"/>
      <c r="E243" s="630"/>
      <c r="F243" s="556"/>
      <c r="G243" s="631"/>
      <c r="H243" s="630"/>
      <c r="I243" s="630"/>
      <c r="J243" s="630"/>
      <c r="K243" s="630"/>
      <c r="L243" s="630"/>
      <c r="M243" s="630"/>
      <c r="N243" s="630"/>
      <c r="O243" s="630"/>
      <c r="P243" s="630"/>
      <c r="Q243" s="630"/>
      <c r="R243" s="598">
        <f t="shared" si="1"/>
        <v>6</v>
      </c>
      <c r="S243" s="631">
        <f t="shared" si="2"/>
        <v>9.5268339155287396E-4</v>
      </c>
      <c r="T243" s="599">
        <f t="shared" si="3"/>
        <v>983</v>
      </c>
      <c r="U243" s="631">
        <f t="shared" si="4"/>
        <v>1.1343847837802594E-3</v>
      </c>
      <c r="V243" s="621"/>
      <c r="W243" s="624"/>
      <c r="X243" s="543"/>
      <c r="Y243" s="604"/>
    </row>
    <row r="244" spans="1:25" s="544" customFormat="1" x14ac:dyDescent="0.3">
      <c r="A244" s="555"/>
      <c r="B244" s="598" t="s">
        <v>90</v>
      </c>
      <c r="C244" s="630"/>
      <c r="D244" s="630"/>
      <c r="E244" s="630"/>
      <c r="F244" s="556"/>
      <c r="G244" s="631"/>
      <c r="H244" s="630"/>
      <c r="I244" s="630"/>
      <c r="J244" s="630"/>
      <c r="K244" s="630"/>
      <c r="L244" s="630"/>
      <c r="M244" s="630"/>
      <c r="N244" s="630"/>
      <c r="O244" s="630"/>
      <c r="P244" s="630"/>
      <c r="Q244" s="630"/>
      <c r="R244" s="598">
        <f t="shared" si="1"/>
        <v>3</v>
      </c>
      <c r="S244" s="631">
        <f t="shared" si="2"/>
        <v>4.7634169577643698E-4</v>
      </c>
      <c r="T244" s="599">
        <f t="shared" si="3"/>
        <v>294</v>
      </c>
      <c r="U244" s="631">
        <f t="shared" si="4"/>
        <v>3.3927683258534714E-4</v>
      </c>
      <c r="V244" s="621"/>
      <c r="W244" s="624"/>
      <c r="X244" s="543"/>
    </row>
    <row r="245" spans="1:25" s="544" customFormat="1" x14ac:dyDescent="0.3">
      <c r="A245" s="555"/>
      <c r="B245" s="598" t="s">
        <v>156</v>
      </c>
      <c r="C245" s="630"/>
      <c r="D245" s="630"/>
      <c r="E245" s="630"/>
      <c r="F245" s="556"/>
      <c r="G245" s="631"/>
      <c r="H245" s="630"/>
      <c r="I245" s="630"/>
      <c r="J245" s="630"/>
      <c r="K245" s="630"/>
      <c r="L245" s="630"/>
      <c r="M245" s="630"/>
      <c r="N245" s="630"/>
      <c r="O245" s="630"/>
      <c r="P245" s="630"/>
      <c r="Q245" s="630"/>
      <c r="R245" s="598">
        <f t="shared" si="1"/>
        <v>1</v>
      </c>
      <c r="S245" s="631">
        <f t="shared" si="2"/>
        <v>1.5878056525881233E-4</v>
      </c>
      <c r="T245" s="599">
        <f t="shared" si="3"/>
        <v>85</v>
      </c>
      <c r="U245" s="631">
        <f t="shared" si="4"/>
        <v>9.8090240713450709E-5</v>
      </c>
      <c r="V245" s="621"/>
      <c r="W245" s="624"/>
      <c r="X245" s="543"/>
      <c r="Y245" s="604"/>
    </row>
    <row r="246" spans="1:25" s="544" customFormat="1" x14ac:dyDescent="0.3">
      <c r="A246" s="555"/>
      <c r="B246" s="598" t="s">
        <v>157</v>
      </c>
      <c r="C246" s="630"/>
      <c r="D246" s="630"/>
      <c r="E246" s="630"/>
      <c r="F246" s="556"/>
      <c r="G246" s="631"/>
      <c r="H246" s="630"/>
      <c r="I246" s="630"/>
      <c r="J246" s="630"/>
      <c r="K246" s="630"/>
      <c r="L246" s="630"/>
      <c r="M246" s="630"/>
      <c r="N246" s="630"/>
      <c r="O246" s="630"/>
      <c r="P246" s="630"/>
      <c r="Q246" s="630"/>
      <c r="R246" s="598">
        <f t="shared" si="1"/>
        <v>0</v>
      </c>
      <c r="S246" s="631">
        <f t="shared" si="2"/>
        <v>0</v>
      </c>
      <c r="T246" s="599">
        <f t="shared" si="3"/>
        <v>0</v>
      </c>
      <c r="U246" s="631">
        <f t="shared" si="4"/>
        <v>0</v>
      </c>
      <c r="V246" s="621"/>
      <c r="W246" s="624"/>
      <c r="X246" s="543"/>
    </row>
    <row r="247" spans="1:25" s="544" customFormat="1" x14ac:dyDescent="0.3">
      <c r="A247" s="555"/>
      <c r="B247" s="598" t="s">
        <v>158</v>
      </c>
      <c r="C247" s="630"/>
      <c r="D247" s="630"/>
      <c r="E247" s="630"/>
      <c r="F247" s="556"/>
      <c r="G247" s="631"/>
      <c r="H247" s="630"/>
      <c r="I247" s="630"/>
      <c r="J247" s="630"/>
      <c r="K247" s="630"/>
      <c r="L247" s="630"/>
      <c r="M247" s="630"/>
      <c r="N247" s="630"/>
      <c r="O247" s="630"/>
      <c r="P247" s="630"/>
      <c r="Q247" s="630"/>
      <c r="R247" s="598">
        <f t="shared" si="1"/>
        <v>1</v>
      </c>
      <c r="S247" s="631">
        <f t="shared" si="2"/>
        <v>1.5878056525881233E-4</v>
      </c>
      <c r="T247" s="599">
        <f t="shared" si="3"/>
        <v>77</v>
      </c>
      <c r="U247" s="631">
        <f t="shared" si="4"/>
        <v>8.8858218058067109E-5</v>
      </c>
      <c r="V247" s="621"/>
      <c r="W247" s="624"/>
      <c r="X247" s="543"/>
      <c r="Y247" s="604"/>
    </row>
    <row r="248" spans="1:25" s="544" customFormat="1" x14ac:dyDescent="0.3">
      <c r="A248" s="555"/>
      <c r="B248" s="598" t="s">
        <v>159</v>
      </c>
      <c r="C248" s="630"/>
      <c r="D248" s="630"/>
      <c r="E248" s="630"/>
      <c r="F248" s="556"/>
      <c r="G248" s="631"/>
      <c r="H248" s="630"/>
      <c r="I248" s="630"/>
      <c r="J248" s="630"/>
      <c r="K248" s="630"/>
      <c r="L248" s="630"/>
      <c r="M248" s="630"/>
      <c r="N248" s="630"/>
      <c r="O248" s="630"/>
      <c r="P248" s="630"/>
      <c r="Q248" s="630"/>
      <c r="R248" s="598">
        <f t="shared" si="1"/>
        <v>0</v>
      </c>
      <c r="S248" s="631">
        <f t="shared" si="2"/>
        <v>0</v>
      </c>
      <c r="T248" s="599">
        <f t="shared" si="3"/>
        <v>0</v>
      </c>
      <c r="U248" s="631">
        <f t="shared" si="4"/>
        <v>0</v>
      </c>
      <c r="V248" s="621"/>
      <c r="W248" s="624"/>
      <c r="X248" s="543"/>
    </row>
    <row r="249" spans="1:25" s="544" customFormat="1" x14ac:dyDescent="0.3">
      <c r="A249" s="555"/>
      <c r="B249" s="598" t="s">
        <v>160</v>
      </c>
      <c r="C249" s="630"/>
      <c r="D249" s="630"/>
      <c r="E249" s="630"/>
      <c r="F249" s="556"/>
      <c r="G249" s="631"/>
      <c r="H249" s="630"/>
      <c r="I249" s="630"/>
      <c r="J249" s="630"/>
      <c r="K249" s="630"/>
      <c r="L249" s="630"/>
      <c r="M249" s="630"/>
      <c r="N249" s="630"/>
      <c r="O249" s="630"/>
      <c r="P249" s="630"/>
      <c r="Q249" s="630"/>
      <c r="R249" s="600">
        <f t="shared" si="1"/>
        <v>2</v>
      </c>
      <c r="S249" s="628">
        <f t="shared" si="2"/>
        <v>3.1756113051762465E-4</v>
      </c>
      <c r="T249" s="601">
        <f t="shared" si="3"/>
        <v>363</v>
      </c>
      <c r="U249" s="628">
        <f t="shared" si="4"/>
        <v>4.1890302798803066E-4</v>
      </c>
      <c r="V249" s="621"/>
      <c r="W249" s="624"/>
      <c r="X249" s="543"/>
      <c r="Y249" s="604"/>
    </row>
    <row r="250" spans="1:25" s="544" customFormat="1" x14ac:dyDescent="0.3">
      <c r="A250" s="555"/>
      <c r="B250" s="598"/>
      <c r="C250" s="630"/>
      <c r="D250" s="630"/>
      <c r="E250" s="630"/>
      <c r="F250" s="556"/>
      <c r="G250" s="631"/>
      <c r="H250" s="630"/>
      <c r="I250" s="630"/>
      <c r="J250" s="630"/>
      <c r="K250" s="630"/>
      <c r="L250" s="630"/>
      <c r="M250" s="630"/>
      <c r="N250" s="630"/>
      <c r="O250" s="630"/>
      <c r="P250" s="630"/>
      <c r="Q250" s="630"/>
      <c r="R250" s="598"/>
      <c r="S250" s="631"/>
      <c r="T250" s="599"/>
      <c r="U250" s="631"/>
      <c r="V250" s="621"/>
      <c r="W250" s="624"/>
      <c r="X250" s="543"/>
    </row>
    <row r="251" spans="1:25" s="544" customFormat="1" x14ac:dyDescent="0.3">
      <c r="A251" s="555"/>
      <c r="B251" s="556"/>
      <c r="C251" s="556"/>
      <c r="D251" s="556"/>
      <c r="E251" s="556"/>
      <c r="F251" s="556"/>
      <c r="G251" s="556"/>
      <c r="H251" s="632"/>
      <c r="I251" s="632"/>
      <c r="J251" s="632"/>
      <c r="K251" s="632"/>
      <c r="L251" s="632"/>
      <c r="M251" s="632"/>
      <c r="N251" s="632"/>
      <c r="O251" s="632"/>
      <c r="P251" s="632"/>
      <c r="Q251" s="632"/>
      <c r="R251" s="598">
        <f>SUM(R242:R250)</f>
        <v>6298</v>
      </c>
      <c r="S251" s="631">
        <f>SUM(S242:S250)</f>
        <v>1.0000000000000002</v>
      </c>
      <c r="T251" s="599">
        <f>SUM(T242:T250)</f>
        <v>866549</v>
      </c>
      <c r="U251" s="631">
        <f>SUM(U242:U250)</f>
        <v>1</v>
      </c>
      <c r="V251" s="556"/>
      <c r="W251" s="558"/>
      <c r="X251" s="543"/>
    </row>
    <row r="252" spans="1:25" x14ac:dyDescent="0.3">
      <c r="A252" s="417"/>
      <c r="B252" s="441"/>
      <c r="C252" s="441"/>
      <c r="D252" s="441"/>
      <c r="E252" s="441"/>
      <c r="F252" s="441"/>
      <c r="G252" s="441"/>
      <c r="H252" s="485"/>
      <c r="I252" s="485"/>
      <c r="J252" s="485"/>
      <c r="K252" s="485"/>
      <c r="L252" s="485"/>
      <c r="M252" s="485"/>
      <c r="N252" s="485"/>
      <c r="O252" s="485"/>
      <c r="P252" s="485"/>
      <c r="Q252" s="485"/>
      <c r="R252" s="442"/>
      <c r="S252" s="486"/>
      <c r="T252" s="487"/>
      <c r="U252" s="486"/>
      <c r="V252" s="441"/>
      <c r="W252" s="441"/>
      <c r="X252" s="415"/>
    </row>
    <row r="253" spans="1:25" x14ac:dyDescent="0.3">
      <c r="A253" s="515"/>
      <c r="B253" s="523" t="s">
        <v>162</v>
      </c>
      <c r="C253" s="524"/>
      <c r="D253" s="524"/>
      <c r="E253" s="524"/>
      <c r="F253" s="534"/>
      <c r="G253" s="524"/>
      <c r="H253" s="524"/>
      <c r="I253" s="524"/>
      <c r="J253" s="524"/>
      <c r="K253" s="524"/>
      <c r="L253" s="524"/>
      <c r="M253" s="524"/>
      <c r="N253" s="524"/>
      <c r="O253" s="524"/>
      <c r="P253" s="524"/>
      <c r="Q253" s="524"/>
      <c r="R253" s="534" t="s">
        <v>102</v>
      </c>
      <c r="S253" s="524" t="s">
        <v>103</v>
      </c>
      <c r="T253" s="534" t="s">
        <v>109</v>
      </c>
      <c r="U253" s="524" t="s">
        <v>103</v>
      </c>
      <c r="V253" s="517"/>
      <c r="W253" s="535"/>
      <c r="X253" s="415"/>
    </row>
    <row r="254" spans="1:25" s="544" customFormat="1" x14ac:dyDescent="0.3">
      <c r="A254" s="540"/>
      <c r="B254" s="600" t="s">
        <v>88</v>
      </c>
      <c r="C254" s="627"/>
      <c r="D254" s="627"/>
      <c r="E254" s="627"/>
      <c r="F254" s="588"/>
      <c r="G254" s="627"/>
      <c r="H254" s="627"/>
      <c r="I254" s="627"/>
      <c r="J254" s="627"/>
      <c r="K254" s="627"/>
      <c r="L254" s="627"/>
      <c r="M254" s="627"/>
      <c r="N254" s="627"/>
      <c r="O254" s="627"/>
      <c r="P254" s="627"/>
      <c r="Q254" s="627"/>
      <c r="R254" s="600">
        <v>6174</v>
      </c>
      <c r="S254" s="628">
        <f t="shared" ref="S254:S261" si="5">R254/$R$263</f>
        <v>0.99919080757404111</v>
      </c>
      <c r="T254" s="601">
        <v>848789</v>
      </c>
      <c r="U254" s="628">
        <f t="shared" ref="U254:U261" si="6">T254/$T$263</f>
        <v>0.99908071141871768</v>
      </c>
      <c r="V254" s="616"/>
      <c r="W254" s="629"/>
      <c r="X254" s="543"/>
    </row>
    <row r="255" spans="1:25" s="544" customFormat="1" x14ac:dyDescent="0.3">
      <c r="A255" s="555"/>
      <c r="B255" s="598" t="s">
        <v>89</v>
      </c>
      <c r="C255" s="630"/>
      <c r="D255" s="630"/>
      <c r="E255" s="630"/>
      <c r="F255" s="556"/>
      <c r="G255" s="631"/>
      <c r="H255" s="630"/>
      <c r="I255" s="630"/>
      <c r="J255" s="630"/>
      <c r="K255" s="630"/>
      <c r="L255" s="630"/>
      <c r="M255" s="630"/>
      <c r="N255" s="630"/>
      <c r="O255" s="630"/>
      <c r="P255" s="630"/>
      <c r="Q255" s="630"/>
      <c r="R255" s="598">
        <v>4</v>
      </c>
      <c r="S255" s="631">
        <f t="shared" si="5"/>
        <v>6.4735394076711442E-4</v>
      </c>
      <c r="T255" s="599">
        <v>704</v>
      </c>
      <c r="U255" s="631">
        <f t="shared" si="6"/>
        <v>8.2865449580375955E-4</v>
      </c>
      <c r="V255" s="621"/>
      <c r="W255" s="624"/>
      <c r="X255" s="543"/>
      <c r="Y255" s="604"/>
    </row>
    <row r="256" spans="1:25" s="544" customFormat="1" x14ac:dyDescent="0.3">
      <c r="A256" s="555"/>
      <c r="B256" s="598" t="s">
        <v>90</v>
      </c>
      <c r="C256" s="630"/>
      <c r="D256" s="630"/>
      <c r="E256" s="630"/>
      <c r="F256" s="556"/>
      <c r="G256" s="631"/>
      <c r="H256" s="630"/>
      <c r="I256" s="630"/>
      <c r="J256" s="630"/>
      <c r="K256" s="630"/>
      <c r="L256" s="630"/>
      <c r="M256" s="630"/>
      <c r="N256" s="630"/>
      <c r="O256" s="630"/>
      <c r="P256" s="630"/>
      <c r="Q256" s="630"/>
      <c r="R256" s="598">
        <v>0</v>
      </c>
      <c r="S256" s="631">
        <f t="shared" si="5"/>
        <v>0</v>
      </c>
      <c r="T256" s="599">
        <v>0</v>
      </c>
      <c r="U256" s="631">
        <f t="shared" si="6"/>
        <v>0</v>
      </c>
      <c r="V256" s="621"/>
      <c r="W256" s="624"/>
      <c r="X256" s="543"/>
    </row>
    <row r="257" spans="1:25" s="544" customFormat="1" x14ac:dyDescent="0.3">
      <c r="A257" s="555"/>
      <c r="B257" s="598" t="s">
        <v>156</v>
      </c>
      <c r="C257" s="630"/>
      <c r="D257" s="630"/>
      <c r="E257" s="630"/>
      <c r="F257" s="556"/>
      <c r="G257" s="631"/>
      <c r="H257" s="630"/>
      <c r="I257" s="630"/>
      <c r="J257" s="630"/>
      <c r="K257" s="630"/>
      <c r="L257" s="630"/>
      <c r="M257" s="630"/>
      <c r="N257" s="630"/>
      <c r="O257" s="630"/>
      <c r="P257" s="630"/>
      <c r="Q257" s="630"/>
      <c r="R257" s="598">
        <v>0</v>
      </c>
      <c r="S257" s="631">
        <f t="shared" si="5"/>
        <v>0</v>
      </c>
      <c r="T257" s="599">
        <v>0</v>
      </c>
      <c r="U257" s="631">
        <f t="shared" si="6"/>
        <v>0</v>
      </c>
      <c r="V257" s="621"/>
      <c r="W257" s="624"/>
      <c r="X257" s="543"/>
      <c r="Y257" s="604"/>
    </row>
    <row r="258" spans="1:25" s="544" customFormat="1" x14ac:dyDescent="0.3">
      <c r="A258" s="555"/>
      <c r="B258" s="598" t="s">
        <v>157</v>
      </c>
      <c r="C258" s="630"/>
      <c r="D258" s="630"/>
      <c r="E258" s="630"/>
      <c r="F258" s="556"/>
      <c r="G258" s="631"/>
      <c r="H258" s="630"/>
      <c r="I258" s="630"/>
      <c r="J258" s="630"/>
      <c r="K258" s="630"/>
      <c r="L258" s="630"/>
      <c r="M258" s="630"/>
      <c r="N258" s="630"/>
      <c r="O258" s="630"/>
      <c r="P258" s="630"/>
      <c r="Q258" s="630"/>
      <c r="R258" s="598">
        <v>0</v>
      </c>
      <c r="S258" s="631">
        <f t="shared" si="5"/>
        <v>0</v>
      </c>
      <c r="T258" s="599">
        <v>0</v>
      </c>
      <c r="U258" s="631">
        <f t="shared" si="6"/>
        <v>0</v>
      </c>
      <c r="V258" s="621"/>
      <c r="W258" s="624"/>
      <c r="X258" s="543"/>
    </row>
    <row r="259" spans="1:25" s="544" customFormat="1" x14ac:dyDescent="0.3">
      <c r="A259" s="555"/>
      <c r="B259" s="598" t="s">
        <v>158</v>
      </c>
      <c r="C259" s="630"/>
      <c r="D259" s="630"/>
      <c r="E259" s="630"/>
      <c r="F259" s="556"/>
      <c r="G259" s="631"/>
      <c r="H259" s="630"/>
      <c r="I259" s="630"/>
      <c r="J259" s="630"/>
      <c r="K259" s="630"/>
      <c r="L259" s="630"/>
      <c r="M259" s="630"/>
      <c r="N259" s="630"/>
      <c r="O259" s="630"/>
      <c r="P259" s="630"/>
      <c r="Q259" s="630"/>
      <c r="R259" s="598">
        <v>1</v>
      </c>
      <c r="S259" s="631">
        <f t="shared" si="5"/>
        <v>1.618384851917786E-4</v>
      </c>
      <c r="T259" s="599">
        <v>77</v>
      </c>
      <c r="U259" s="631">
        <f t="shared" si="6"/>
        <v>9.0634085478536196E-5</v>
      </c>
      <c r="V259" s="621"/>
      <c r="W259" s="624"/>
      <c r="X259" s="543"/>
      <c r="Y259" s="604"/>
    </row>
    <row r="260" spans="1:25" s="544" customFormat="1" x14ac:dyDescent="0.3">
      <c r="A260" s="555"/>
      <c r="B260" s="598" t="s">
        <v>159</v>
      </c>
      <c r="C260" s="630"/>
      <c r="D260" s="630"/>
      <c r="E260" s="630"/>
      <c r="F260" s="556"/>
      <c r="G260" s="631"/>
      <c r="H260" s="630"/>
      <c r="I260" s="630"/>
      <c r="J260" s="630"/>
      <c r="K260" s="630"/>
      <c r="L260" s="630"/>
      <c r="M260" s="630"/>
      <c r="N260" s="630"/>
      <c r="O260" s="630"/>
      <c r="P260" s="630"/>
      <c r="Q260" s="630"/>
      <c r="R260" s="598">
        <v>0</v>
      </c>
      <c r="S260" s="631">
        <f t="shared" si="5"/>
        <v>0</v>
      </c>
      <c r="T260" s="599">
        <v>0</v>
      </c>
      <c r="U260" s="631">
        <f t="shared" si="6"/>
        <v>0</v>
      </c>
      <c r="V260" s="621"/>
      <c r="W260" s="624"/>
      <c r="X260" s="543"/>
    </row>
    <row r="261" spans="1:25" s="544" customFormat="1" x14ac:dyDescent="0.3">
      <c r="A261" s="555"/>
      <c r="B261" s="598" t="s">
        <v>160</v>
      </c>
      <c r="C261" s="630"/>
      <c r="D261" s="630"/>
      <c r="E261" s="630"/>
      <c r="F261" s="556"/>
      <c r="G261" s="631"/>
      <c r="H261" s="630"/>
      <c r="I261" s="630"/>
      <c r="J261" s="630"/>
      <c r="K261" s="630"/>
      <c r="L261" s="630"/>
      <c r="M261" s="630"/>
      <c r="N261" s="630"/>
      <c r="O261" s="630"/>
      <c r="P261" s="630"/>
      <c r="Q261" s="630"/>
      <c r="R261" s="598">
        <v>0</v>
      </c>
      <c r="S261" s="631">
        <f t="shared" si="5"/>
        <v>0</v>
      </c>
      <c r="T261" s="599">
        <v>0</v>
      </c>
      <c r="U261" s="631">
        <f t="shared" si="6"/>
        <v>0</v>
      </c>
      <c r="V261" s="621"/>
      <c r="W261" s="624"/>
      <c r="X261" s="543"/>
      <c r="Y261" s="604"/>
    </row>
    <row r="262" spans="1:25" s="544" customFormat="1" x14ac:dyDescent="0.3">
      <c r="A262" s="555"/>
      <c r="B262" s="598"/>
      <c r="C262" s="630"/>
      <c r="D262" s="630"/>
      <c r="E262" s="630"/>
      <c r="F262" s="556"/>
      <c r="G262" s="631"/>
      <c r="H262" s="630"/>
      <c r="I262" s="630"/>
      <c r="J262" s="630"/>
      <c r="K262" s="630"/>
      <c r="L262" s="630"/>
      <c r="M262" s="630"/>
      <c r="N262" s="630"/>
      <c r="O262" s="630"/>
      <c r="P262" s="630"/>
      <c r="Q262" s="630"/>
      <c r="R262" s="598"/>
      <c r="S262" s="631"/>
      <c r="T262" s="599"/>
      <c r="U262" s="631"/>
      <c r="V262" s="621"/>
      <c r="W262" s="624"/>
      <c r="X262" s="543"/>
    </row>
    <row r="263" spans="1:25" s="544" customFormat="1" x14ac:dyDescent="0.3">
      <c r="A263" s="555"/>
      <c r="B263" s="556"/>
      <c r="C263" s="556"/>
      <c r="D263" s="556"/>
      <c r="E263" s="556"/>
      <c r="F263" s="556"/>
      <c r="G263" s="556"/>
      <c r="H263" s="632"/>
      <c r="I263" s="632"/>
      <c r="J263" s="632"/>
      <c r="K263" s="632"/>
      <c r="L263" s="632"/>
      <c r="M263" s="632"/>
      <c r="N263" s="632"/>
      <c r="O263" s="632"/>
      <c r="P263" s="632"/>
      <c r="Q263" s="632"/>
      <c r="R263" s="598">
        <f>SUM(R254:R262)</f>
        <v>6179</v>
      </c>
      <c r="S263" s="631">
        <f>SUM(S254:S262)</f>
        <v>1</v>
      </c>
      <c r="T263" s="599">
        <f>SUM(T254:T262)</f>
        <v>849570</v>
      </c>
      <c r="U263" s="631">
        <f>SUM(U254:U262)</f>
        <v>0.99999999999999989</v>
      </c>
      <c r="V263" s="556"/>
      <c r="W263" s="558"/>
      <c r="X263" s="543"/>
    </row>
    <row r="264" spans="1:25" x14ac:dyDescent="0.3">
      <c r="A264" s="417"/>
      <c r="B264" s="441"/>
      <c r="C264" s="441"/>
      <c r="D264" s="441"/>
      <c r="E264" s="441"/>
      <c r="F264" s="441"/>
      <c r="G264" s="441"/>
      <c r="H264" s="485"/>
      <c r="I264" s="485"/>
      <c r="J264" s="485"/>
      <c r="K264" s="485"/>
      <c r="L264" s="485"/>
      <c r="M264" s="485"/>
      <c r="N264" s="485"/>
      <c r="O264" s="485"/>
      <c r="P264" s="485"/>
      <c r="Q264" s="485"/>
      <c r="R264" s="442"/>
      <c r="S264" s="486"/>
      <c r="T264" s="487"/>
      <c r="U264" s="486"/>
      <c r="V264" s="441"/>
      <c r="W264" s="441"/>
      <c r="X264" s="415"/>
    </row>
    <row r="265" spans="1:25" x14ac:dyDescent="0.3">
      <c r="A265" s="515"/>
      <c r="B265" s="523" t="s">
        <v>275</v>
      </c>
      <c r="C265" s="524"/>
      <c r="D265" s="524"/>
      <c r="E265" s="524"/>
      <c r="F265" s="534"/>
      <c r="G265" s="524"/>
      <c r="H265" s="524"/>
      <c r="I265" s="524"/>
      <c r="J265" s="524"/>
      <c r="K265" s="524"/>
      <c r="L265" s="524"/>
      <c r="M265" s="524"/>
      <c r="N265" s="524"/>
      <c r="O265" s="524"/>
      <c r="P265" s="524"/>
      <c r="Q265" s="524"/>
      <c r="R265" s="534" t="s">
        <v>102</v>
      </c>
      <c r="S265" s="524" t="s">
        <v>103</v>
      </c>
      <c r="T265" s="534" t="s">
        <v>109</v>
      </c>
      <c r="U265" s="524" t="s">
        <v>103</v>
      </c>
      <c r="V265" s="517"/>
      <c r="W265" s="520"/>
      <c r="X265" s="415"/>
    </row>
    <row r="266" spans="1:25" s="544" customFormat="1" x14ac:dyDescent="0.3">
      <c r="A266" s="540"/>
      <c r="B266" s="600" t="s">
        <v>88</v>
      </c>
      <c r="C266" s="627"/>
      <c r="D266" s="627"/>
      <c r="E266" s="627"/>
      <c r="F266" s="588"/>
      <c r="G266" s="627"/>
      <c r="H266" s="627"/>
      <c r="I266" s="627"/>
      <c r="J266" s="627"/>
      <c r="K266" s="627"/>
      <c r="L266" s="627"/>
      <c r="M266" s="627"/>
      <c r="N266" s="627"/>
      <c r="O266" s="627"/>
      <c r="P266" s="627"/>
      <c r="Q266" s="627"/>
      <c r="R266" s="600">
        <v>111</v>
      </c>
      <c r="S266" s="628">
        <f t="shared" ref="S266:S273" si="7">R266/$R$275</f>
        <v>0.9327731092436975</v>
      </c>
      <c r="T266" s="601">
        <v>15958</v>
      </c>
      <c r="U266" s="628">
        <f t="shared" ref="U266:U273" si="8">T266/$T$275</f>
        <v>0.93986689439896343</v>
      </c>
      <c r="V266" s="588"/>
      <c r="W266" s="588"/>
      <c r="X266" s="543"/>
    </row>
    <row r="267" spans="1:25" s="544" customFormat="1" x14ac:dyDescent="0.3">
      <c r="A267" s="555"/>
      <c r="B267" s="598" t="s">
        <v>89</v>
      </c>
      <c r="C267" s="630"/>
      <c r="D267" s="630"/>
      <c r="E267" s="630"/>
      <c r="F267" s="556"/>
      <c r="G267" s="631"/>
      <c r="H267" s="630"/>
      <c r="I267" s="630"/>
      <c r="J267" s="630"/>
      <c r="K267" s="630"/>
      <c r="L267" s="630"/>
      <c r="M267" s="630"/>
      <c r="N267" s="630"/>
      <c r="O267" s="630"/>
      <c r="P267" s="630"/>
      <c r="Q267" s="630"/>
      <c r="R267" s="598">
        <v>2</v>
      </c>
      <c r="S267" s="631">
        <f t="shared" si="7"/>
        <v>1.680672268907563E-2</v>
      </c>
      <c r="T267" s="599">
        <v>279</v>
      </c>
      <c r="U267" s="631">
        <f t="shared" si="8"/>
        <v>1.6432063136816066E-2</v>
      </c>
      <c r="V267" s="556"/>
      <c r="W267" s="558"/>
      <c r="X267" s="543"/>
    </row>
    <row r="268" spans="1:25" s="544" customFormat="1" x14ac:dyDescent="0.3">
      <c r="A268" s="555"/>
      <c r="B268" s="598" t="s">
        <v>90</v>
      </c>
      <c r="C268" s="630"/>
      <c r="D268" s="630"/>
      <c r="E268" s="630"/>
      <c r="F268" s="556"/>
      <c r="G268" s="631"/>
      <c r="H268" s="630"/>
      <c r="I268" s="630"/>
      <c r="J268" s="630"/>
      <c r="K268" s="630"/>
      <c r="L268" s="630"/>
      <c r="M268" s="630"/>
      <c r="N268" s="630"/>
      <c r="O268" s="630"/>
      <c r="P268" s="630"/>
      <c r="Q268" s="630"/>
      <c r="R268" s="598">
        <v>3</v>
      </c>
      <c r="S268" s="631">
        <f t="shared" si="7"/>
        <v>2.5210084033613446E-2</v>
      </c>
      <c r="T268" s="599">
        <v>294</v>
      </c>
      <c r="U268" s="631">
        <f t="shared" si="8"/>
        <v>1.7315507391483596E-2</v>
      </c>
      <c r="V268" s="556"/>
      <c r="W268" s="558"/>
      <c r="X268" s="543"/>
    </row>
    <row r="269" spans="1:25" s="544" customFormat="1" x14ac:dyDescent="0.3">
      <c r="A269" s="555"/>
      <c r="B269" s="598" t="s">
        <v>156</v>
      </c>
      <c r="C269" s="630"/>
      <c r="D269" s="630"/>
      <c r="E269" s="630"/>
      <c r="F269" s="556"/>
      <c r="G269" s="631"/>
      <c r="H269" s="630"/>
      <c r="I269" s="630"/>
      <c r="J269" s="630"/>
      <c r="K269" s="630"/>
      <c r="L269" s="630"/>
      <c r="M269" s="630"/>
      <c r="N269" s="630"/>
      <c r="O269" s="630"/>
      <c r="P269" s="630"/>
      <c r="Q269" s="630"/>
      <c r="R269" s="598">
        <v>1</v>
      </c>
      <c r="S269" s="631">
        <f t="shared" si="7"/>
        <v>8.4033613445378148E-3</v>
      </c>
      <c r="T269" s="599">
        <v>85</v>
      </c>
      <c r="U269" s="631">
        <f t="shared" si="8"/>
        <v>5.0061841097826729E-3</v>
      </c>
      <c r="V269" s="556"/>
      <c r="W269" s="558"/>
      <c r="X269" s="543"/>
    </row>
    <row r="270" spans="1:25" s="544" customFormat="1" x14ac:dyDescent="0.3">
      <c r="A270" s="555"/>
      <c r="B270" s="598" t="s">
        <v>157</v>
      </c>
      <c r="C270" s="630"/>
      <c r="D270" s="630"/>
      <c r="E270" s="630"/>
      <c r="F270" s="556"/>
      <c r="G270" s="631"/>
      <c r="H270" s="630"/>
      <c r="I270" s="630"/>
      <c r="J270" s="630"/>
      <c r="K270" s="630"/>
      <c r="L270" s="630"/>
      <c r="M270" s="630"/>
      <c r="N270" s="630"/>
      <c r="O270" s="630"/>
      <c r="P270" s="630"/>
      <c r="Q270" s="630"/>
      <c r="R270" s="598">
        <v>0</v>
      </c>
      <c r="S270" s="631">
        <f t="shared" si="7"/>
        <v>0</v>
      </c>
      <c r="T270" s="599">
        <v>0</v>
      </c>
      <c r="U270" s="631">
        <f t="shared" si="8"/>
        <v>0</v>
      </c>
      <c r="V270" s="556"/>
      <c r="W270" s="558"/>
      <c r="X270" s="543"/>
    </row>
    <row r="271" spans="1:25" s="544" customFormat="1" x14ac:dyDescent="0.3">
      <c r="A271" s="555"/>
      <c r="B271" s="598" t="s">
        <v>158</v>
      </c>
      <c r="C271" s="630"/>
      <c r="D271" s="630"/>
      <c r="E271" s="630"/>
      <c r="F271" s="556"/>
      <c r="G271" s="631"/>
      <c r="H271" s="630"/>
      <c r="I271" s="630"/>
      <c r="J271" s="630"/>
      <c r="K271" s="630"/>
      <c r="L271" s="630"/>
      <c r="M271" s="630"/>
      <c r="N271" s="630"/>
      <c r="O271" s="630"/>
      <c r="P271" s="630"/>
      <c r="Q271" s="630"/>
      <c r="R271" s="598">
        <v>0</v>
      </c>
      <c r="S271" s="631">
        <f t="shared" si="7"/>
        <v>0</v>
      </c>
      <c r="T271" s="599">
        <v>0</v>
      </c>
      <c r="U271" s="631">
        <f t="shared" si="8"/>
        <v>0</v>
      </c>
      <c r="V271" s="556"/>
      <c r="W271" s="558"/>
      <c r="X271" s="543"/>
    </row>
    <row r="272" spans="1:25" s="544" customFormat="1" x14ac:dyDescent="0.3">
      <c r="A272" s="555"/>
      <c r="B272" s="598" t="s">
        <v>159</v>
      </c>
      <c r="C272" s="630"/>
      <c r="D272" s="630"/>
      <c r="E272" s="630"/>
      <c r="F272" s="556"/>
      <c r="G272" s="631"/>
      <c r="H272" s="630"/>
      <c r="I272" s="630"/>
      <c r="J272" s="630"/>
      <c r="K272" s="630"/>
      <c r="L272" s="630"/>
      <c r="M272" s="630"/>
      <c r="N272" s="630"/>
      <c r="O272" s="630"/>
      <c r="P272" s="630"/>
      <c r="Q272" s="630"/>
      <c r="R272" s="598">
        <v>0</v>
      </c>
      <c r="S272" s="631">
        <f t="shared" si="7"/>
        <v>0</v>
      </c>
      <c r="T272" s="599">
        <v>0</v>
      </c>
      <c r="U272" s="631">
        <f t="shared" si="8"/>
        <v>0</v>
      </c>
      <c r="V272" s="556"/>
      <c r="W272" s="558"/>
      <c r="X272" s="543"/>
    </row>
    <row r="273" spans="1:24" s="544" customFormat="1" x14ac:dyDescent="0.3">
      <c r="A273" s="555"/>
      <c r="B273" s="598" t="s">
        <v>160</v>
      </c>
      <c r="C273" s="630"/>
      <c r="D273" s="630"/>
      <c r="E273" s="630"/>
      <c r="F273" s="556"/>
      <c r="G273" s="631"/>
      <c r="H273" s="630"/>
      <c r="I273" s="630"/>
      <c r="J273" s="630"/>
      <c r="K273" s="630"/>
      <c r="L273" s="630"/>
      <c r="M273" s="630"/>
      <c r="N273" s="630"/>
      <c r="O273" s="630"/>
      <c r="P273" s="630"/>
      <c r="Q273" s="630"/>
      <c r="R273" s="598">
        <v>2</v>
      </c>
      <c r="S273" s="631">
        <f t="shared" si="7"/>
        <v>1.680672268907563E-2</v>
      </c>
      <c r="T273" s="599">
        <v>363</v>
      </c>
      <c r="U273" s="631">
        <f t="shared" si="8"/>
        <v>2.1379350962954239E-2</v>
      </c>
      <c r="V273" s="556"/>
      <c r="W273" s="558"/>
      <c r="X273" s="543"/>
    </row>
    <row r="274" spans="1:24" s="544" customFormat="1" x14ac:dyDescent="0.3">
      <c r="A274" s="555"/>
      <c r="B274" s="598"/>
      <c r="C274" s="630"/>
      <c r="D274" s="630"/>
      <c r="E274" s="630"/>
      <c r="F274" s="556"/>
      <c r="G274" s="631"/>
      <c r="H274" s="630"/>
      <c r="I274" s="630"/>
      <c r="J274" s="630"/>
      <c r="K274" s="630"/>
      <c r="L274" s="630"/>
      <c r="M274" s="630"/>
      <c r="N274" s="630"/>
      <c r="O274" s="630"/>
      <c r="P274" s="630"/>
      <c r="Q274" s="630"/>
      <c r="R274" s="598"/>
      <c r="S274" s="631"/>
      <c r="T274" s="599"/>
      <c r="U274" s="631"/>
      <c r="V274" s="556"/>
      <c r="W274" s="558"/>
      <c r="X274" s="543"/>
    </row>
    <row r="275" spans="1:24" s="544" customFormat="1" x14ac:dyDescent="0.3">
      <c r="A275" s="555"/>
      <c r="B275" s="556"/>
      <c r="C275" s="556"/>
      <c r="D275" s="556"/>
      <c r="E275" s="556"/>
      <c r="F275" s="556"/>
      <c r="G275" s="556"/>
      <c r="H275" s="632"/>
      <c r="I275" s="632"/>
      <c r="J275" s="632"/>
      <c r="K275" s="632"/>
      <c r="L275" s="632"/>
      <c r="M275" s="632"/>
      <c r="N275" s="632"/>
      <c r="O275" s="632"/>
      <c r="P275" s="632"/>
      <c r="Q275" s="632"/>
      <c r="R275" s="598">
        <f>SUM(R266:R274)</f>
        <v>119</v>
      </c>
      <c r="S275" s="631">
        <f>SUM(S266:S274)</f>
        <v>1</v>
      </c>
      <c r="T275" s="599">
        <f>SUM(T266:T274)</f>
        <v>16979</v>
      </c>
      <c r="U275" s="631">
        <f>SUM(U266:U274)</f>
        <v>1</v>
      </c>
      <c r="V275" s="556"/>
      <c r="W275" s="558"/>
      <c r="X275" s="543"/>
    </row>
    <row r="276" spans="1:24" x14ac:dyDescent="0.3">
      <c r="A276" s="417"/>
      <c r="B276" s="437"/>
      <c r="C276" s="437"/>
      <c r="D276" s="437"/>
      <c r="E276" s="437"/>
      <c r="F276" s="437"/>
      <c r="G276" s="437"/>
      <c r="H276" s="488"/>
      <c r="I276" s="488"/>
      <c r="J276" s="488"/>
      <c r="K276" s="488"/>
      <c r="L276" s="488"/>
      <c r="M276" s="488"/>
      <c r="N276" s="488"/>
      <c r="O276" s="488"/>
      <c r="P276" s="488"/>
      <c r="Q276" s="488"/>
      <c r="R276" s="447"/>
      <c r="S276" s="483"/>
      <c r="T276" s="484"/>
      <c r="U276" s="483"/>
      <c r="V276" s="437"/>
      <c r="W276" s="437"/>
      <c r="X276" s="415"/>
    </row>
    <row r="277" spans="1:24" x14ac:dyDescent="0.3">
      <c r="A277" s="515"/>
      <c r="B277" s="523" t="s">
        <v>163</v>
      </c>
      <c r="C277" s="517"/>
      <c r="D277" s="517"/>
      <c r="E277" s="517"/>
      <c r="F277" s="517"/>
      <c r="G277" s="517"/>
      <c r="H277" s="536"/>
      <c r="I277" s="536"/>
      <c r="J277" s="536"/>
      <c r="K277" s="536"/>
      <c r="L277" s="536"/>
      <c r="M277" s="536"/>
      <c r="N277" s="536"/>
      <c r="O277" s="536"/>
      <c r="P277" s="536"/>
      <c r="Q277" s="536"/>
      <c r="R277" s="534" t="s">
        <v>102</v>
      </c>
      <c r="S277" s="524" t="s">
        <v>103</v>
      </c>
      <c r="T277" s="534" t="s">
        <v>109</v>
      </c>
      <c r="U277" s="524" t="s">
        <v>103</v>
      </c>
      <c r="V277" s="517"/>
      <c r="W277" s="520"/>
      <c r="X277" s="415"/>
    </row>
    <row r="278" spans="1:24" s="544" customFormat="1" x14ac:dyDescent="0.3">
      <c r="A278" s="540"/>
      <c r="B278" s="600" t="s">
        <v>88</v>
      </c>
      <c r="C278" s="588"/>
      <c r="D278" s="588"/>
      <c r="E278" s="588"/>
      <c r="F278" s="588"/>
      <c r="G278" s="588"/>
      <c r="H278" s="633"/>
      <c r="I278" s="633"/>
      <c r="J278" s="633"/>
      <c r="K278" s="633"/>
      <c r="L278" s="633"/>
      <c r="M278" s="633"/>
      <c r="N278" s="633"/>
      <c r="O278" s="633"/>
      <c r="P278" s="633"/>
      <c r="Q278" s="633"/>
      <c r="R278" s="600">
        <v>0</v>
      </c>
      <c r="S278" s="628">
        <v>0</v>
      </c>
      <c r="T278" s="601">
        <v>0</v>
      </c>
      <c r="U278" s="628">
        <v>0</v>
      </c>
      <c r="V278" s="588"/>
      <c r="W278" s="588"/>
      <c r="X278" s="543"/>
    </row>
    <row r="279" spans="1:24" s="544" customFormat="1" x14ac:dyDescent="0.3">
      <c r="A279" s="555"/>
      <c r="B279" s="598" t="s">
        <v>89</v>
      </c>
      <c r="C279" s="556"/>
      <c r="D279" s="556"/>
      <c r="E279" s="556"/>
      <c r="F279" s="556"/>
      <c r="G279" s="556"/>
      <c r="H279" s="632"/>
      <c r="I279" s="632"/>
      <c r="J279" s="632"/>
      <c r="K279" s="632"/>
      <c r="L279" s="632"/>
      <c r="M279" s="632"/>
      <c r="N279" s="632"/>
      <c r="O279" s="632"/>
      <c r="P279" s="632"/>
      <c r="Q279" s="632"/>
      <c r="R279" s="598">
        <v>0</v>
      </c>
      <c r="S279" s="631">
        <v>0</v>
      </c>
      <c r="T279" s="599">
        <v>0</v>
      </c>
      <c r="U279" s="631">
        <v>0</v>
      </c>
      <c r="V279" s="556"/>
      <c r="W279" s="558"/>
      <c r="X279" s="543"/>
    </row>
    <row r="280" spans="1:24" s="544" customFormat="1" x14ac:dyDescent="0.3">
      <c r="A280" s="555"/>
      <c r="B280" s="598" t="s">
        <v>90</v>
      </c>
      <c r="C280" s="556"/>
      <c r="D280" s="556"/>
      <c r="E280" s="556"/>
      <c r="F280" s="556"/>
      <c r="G280" s="556"/>
      <c r="H280" s="632"/>
      <c r="I280" s="632"/>
      <c r="J280" s="632"/>
      <c r="K280" s="632"/>
      <c r="L280" s="632"/>
      <c r="M280" s="632"/>
      <c r="N280" s="632"/>
      <c r="O280" s="632"/>
      <c r="P280" s="632"/>
      <c r="Q280" s="632"/>
      <c r="R280" s="598">
        <v>0</v>
      </c>
      <c r="S280" s="631">
        <v>0</v>
      </c>
      <c r="T280" s="599">
        <v>0</v>
      </c>
      <c r="U280" s="631">
        <v>0</v>
      </c>
      <c r="V280" s="556"/>
      <c r="W280" s="558"/>
      <c r="X280" s="543"/>
    </row>
    <row r="281" spans="1:24" s="544" customFormat="1" x14ac:dyDescent="0.3">
      <c r="A281" s="555"/>
      <c r="B281" s="598" t="s">
        <v>156</v>
      </c>
      <c r="C281" s="556"/>
      <c r="D281" s="556"/>
      <c r="E281" s="556"/>
      <c r="F281" s="556"/>
      <c r="G281" s="556"/>
      <c r="H281" s="632"/>
      <c r="I281" s="632"/>
      <c r="J281" s="632"/>
      <c r="K281" s="632"/>
      <c r="L281" s="632"/>
      <c r="M281" s="632"/>
      <c r="N281" s="632"/>
      <c r="O281" s="632"/>
      <c r="P281" s="632"/>
      <c r="Q281" s="632"/>
      <c r="R281" s="598">
        <v>0</v>
      </c>
      <c r="S281" s="631">
        <v>0</v>
      </c>
      <c r="T281" s="599">
        <v>0</v>
      </c>
      <c r="U281" s="631">
        <v>0</v>
      </c>
      <c r="V281" s="556"/>
      <c r="W281" s="558"/>
      <c r="X281" s="543"/>
    </row>
    <row r="282" spans="1:24" s="544" customFormat="1" x14ac:dyDescent="0.3">
      <c r="A282" s="555"/>
      <c r="B282" s="598" t="s">
        <v>157</v>
      </c>
      <c r="C282" s="556"/>
      <c r="D282" s="556"/>
      <c r="E282" s="556"/>
      <c r="F282" s="556"/>
      <c r="G282" s="556"/>
      <c r="H282" s="632"/>
      <c r="I282" s="632"/>
      <c r="J282" s="632"/>
      <c r="K282" s="632"/>
      <c r="L282" s="632"/>
      <c r="M282" s="632"/>
      <c r="N282" s="632"/>
      <c r="O282" s="632"/>
      <c r="P282" s="632"/>
      <c r="Q282" s="632"/>
      <c r="R282" s="598">
        <v>0</v>
      </c>
      <c r="S282" s="631">
        <v>0</v>
      </c>
      <c r="T282" s="599">
        <v>0</v>
      </c>
      <c r="U282" s="631">
        <v>0</v>
      </c>
      <c r="V282" s="556"/>
      <c r="W282" s="558"/>
      <c r="X282" s="543"/>
    </row>
    <row r="283" spans="1:24" s="544" customFormat="1" x14ac:dyDescent="0.3">
      <c r="A283" s="555"/>
      <c r="B283" s="598" t="s">
        <v>158</v>
      </c>
      <c r="C283" s="556"/>
      <c r="D283" s="556"/>
      <c r="E283" s="556"/>
      <c r="F283" s="556"/>
      <c r="G283" s="556"/>
      <c r="H283" s="632"/>
      <c r="I283" s="632"/>
      <c r="J283" s="632"/>
      <c r="K283" s="632"/>
      <c r="L283" s="632"/>
      <c r="M283" s="632"/>
      <c r="N283" s="632"/>
      <c r="O283" s="632"/>
      <c r="P283" s="632"/>
      <c r="Q283" s="632"/>
      <c r="R283" s="598">
        <v>0</v>
      </c>
      <c r="S283" s="631">
        <v>0</v>
      </c>
      <c r="T283" s="599">
        <v>0</v>
      </c>
      <c r="U283" s="631">
        <v>0</v>
      </c>
      <c r="V283" s="556"/>
      <c r="W283" s="558"/>
      <c r="X283" s="543"/>
    </row>
    <row r="284" spans="1:24" s="544" customFormat="1" x14ac:dyDescent="0.3">
      <c r="A284" s="555"/>
      <c r="B284" s="598" t="s">
        <v>159</v>
      </c>
      <c r="C284" s="556"/>
      <c r="D284" s="556"/>
      <c r="E284" s="556"/>
      <c r="F284" s="556"/>
      <c r="G284" s="556"/>
      <c r="H284" s="632"/>
      <c r="I284" s="632"/>
      <c r="J284" s="632"/>
      <c r="K284" s="632"/>
      <c r="L284" s="632"/>
      <c r="M284" s="632"/>
      <c r="N284" s="632"/>
      <c r="O284" s="632"/>
      <c r="P284" s="632"/>
      <c r="Q284" s="632"/>
      <c r="R284" s="598">
        <v>0</v>
      </c>
      <c r="S284" s="631">
        <v>0</v>
      </c>
      <c r="T284" s="599">
        <v>0</v>
      </c>
      <c r="U284" s="631">
        <v>0</v>
      </c>
      <c r="V284" s="556"/>
      <c r="W284" s="558"/>
      <c r="X284" s="543"/>
    </row>
    <row r="285" spans="1:24" s="544" customFormat="1" x14ac:dyDescent="0.3">
      <c r="A285" s="555"/>
      <c r="B285" s="598" t="s">
        <v>160</v>
      </c>
      <c r="C285" s="556"/>
      <c r="D285" s="556"/>
      <c r="E285" s="556"/>
      <c r="F285" s="556"/>
      <c r="G285" s="556"/>
      <c r="H285" s="632"/>
      <c r="I285" s="632"/>
      <c r="J285" s="632"/>
      <c r="K285" s="632"/>
      <c r="L285" s="632"/>
      <c r="M285" s="632"/>
      <c r="N285" s="632"/>
      <c r="O285" s="632"/>
      <c r="P285" s="632"/>
      <c r="Q285" s="632"/>
      <c r="R285" s="598">
        <v>0</v>
      </c>
      <c r="S285" s="631">
        <v>0</v>
      </c>
      <c r="T285" s="599">
        <v>0</v>
      </c>
      <c r="U285" s="631">
        <v>0</v>
      </c>
      <c r="V285" s="556"/>
      <c r="W285" s="558"/>
      <c r="X285" s="543"/>
    </row>
    <row r="286" spans="1:24" s="544" customFormat="1" x14ac:dyDescent="0.3">
      <c r="A286" s="555"/>
      <c r="B286" s="598"/>
      <c r="C286" s="556"/>
      <c r="D286" s="556"/>
      <c r="E286" s="556"/>
      <c r="F286" s="556"/>
      <c r="G286" s="556"/>
      <c r="H286" s="632"/>
      <c r="I286" s="632"/>
      <c r="J286" s="632"/>
      <c r="K286" s="632"/>
      <c r="L286" s="632"/>
      <c r="M286" s="632"/>
      <c r="N286" s="632"/>
      <c r="O286" s="632"/>
      <c r="P286" s="632"/>
      <c r="Q286" s="632"/>
      <c r="R286" s="598"/>
      <c r="S286" s="631"/>
      <c r="T286" s="599"/>
      <c r="U286" s="631"/>
      <c r="V286" s="556"/>
      <c r="W286" s="558"/>
      <c r="X286" s="543"/>
    </row>
    <row r="287" spans="1:24" s="544" customFormat="1" x14ac:dyDescent="0.3">
      <c r="A287" s="555"/>
      <c r="B287" s="556" t="s">
        <v>114</v>
      </c>
      <c r="C287" s="556"/>
      <c r="D287" s="556"/>
      <c r="E287" s="556"/>
      <c r="F287" s="556"/>
      <c r="G287" s="556"/>
      <c r="H287" s="632"/>
      <c r="I287" s="632"/>
      <c r="J287" s="632"/>
      <c r="K287" s="632"/>
      <c r="L287" s="632"/>
      <c r="M287" s="632"/>
      <c r="N287" s="632"/>
      <c r="O287" s="632"/>
      <c r="P287" s="632"/>
      <c r="Q287" s="632"/>
      <c r="R287" s="598">
        <f>SUM(R278:R285)</f>
        <v>0</v>
      </c>
      <c r="S287" s="631">
        <f>SUM(S278:S286)</f>
        <v>0</v>
      </c>
      <c r="T287" s="599">
        <f>SUM(T278:T285)</f>
        <v>0</v>
      </c>
      <c r="U287" s="631">
        <f>SUM(U278:U286)</f>
        <v>0</v>
      </c>
      <c r="V287" s="556"/>
      <c r="W287" s="558"/>
      <c r="X287" s="543"/>
    </row>
    <row r="288" spans="1:24" s="544" customFormat="1" x14ac:dyDescent="0.3">
      <c r="A288" s="555"/>
      <c r="B288" s="556"/>
      <c r="C288" s="556"/>
      <c r="D288" s="556"/>
      <c r="E288" s="556"/>
      <c r="F288" s="556"/>
      <c r="G288" s="556"/>
      <c r="H288" s="632"/>
      <c r="I288" s="632"/>
      <c r="J288" s="632"/>
      <c r="K288" s="632"/>
      <c r="L288" s="632"/>
      <c r="M288" s="632"/>
      <c r="N288" s="632"/>
      <c r="O288" s="632"/>
      <c r="P288" s="632"/>
      <c r="Q288" s="632"/>
      <c r="R288" s="598"/>
      <c r="S288" s="631"/>
      <c r="T288" s="599"/>
      <c r="U288" s="631"/>
      <c r="V288" s="556"/>
      <c r="W288" s="558"/>
      <c r="X288" s="543"/>
    </row>
    <row r="289" spans="1:24" s="544" customFormat="1" x14ac:dyDescent="0.3">
      <c r="A289" s="555"/>
      <c r="B289" s="561" t="s">
        <v>164</v>
      </c>
      <c r="C289" s="556"/>
      <c r="D289" s="556"/>
      <c r="E289" s="556"/>
      <c r="F289" s="556"/>
      <c r="G289" s="556"/>
      <c r="H289" s="632"/>
      <c r="I289" s="632"/>
      <c r="J289" s="632"/>
      <c r="K289" s="632"/>
      <c r="L289" s="632"/>
      <c r="M289" s="632"/>
      <c r="N289" s="632"/>
      <c r="O289" s="632"/>
      <c r="P289" s="632"/>
      <c r="Q289" s="632"/>
      <c r="R289" s="634">
        <f>R287+R275+R263</f>
        <v>6298</v>
      </c>
      <c r="S289" s="631"/>
      <c r="T289" s="635">
        <f>+T287+T275+T263</f>
        <v>866549</v>
      </c>
      <c r="U289" s="631"/>
      <c r="V289" s="556"/>
      <c r="W289" s="558"/>
      <c r="X289" s="543"/>
    </row>
    <row r="290" spans="1:24" s="544" customFormat="1" x14ac:dyDescent="0.3">
      <c r="A290" s="540"/>
      <c r="B290" s="588"/>
      <c r="C290" s="588"/>
      <c r="D290" s="588"/>
      <c r="E290" s="588"/>
      <c r="F290" s="588"/>
      <c r="G290" s="588"/>
      <c r="H290" s="633"/>
      <c r="I290" s="633"/>
      <c r="J290" s="633"/>
      <c r="K290" s="633"/>
      <c r="L290" s="633"/>
      <c r="M290" s="633"/>
      <c r="N290" s="633"/>
      <c r="O290" s="633"/>
      <c r="P290" s="633"/>
      <c r="Q290" s="633"/>
      <c r="R290" s="633"/>
      <c r="S290" s="633"/>
      <c r="T290" s="601"/>
      <c r="U290" s="633"/>
      <c r="V290" s="588"/>
      <c r="W290" s="588"/>
      <c r="X290" s="543"/>
    </row>
    <row r="291" spans="1:24" s="544" customFormat="1" x14ac:dyDescent="0.3">
      <c r="A291" s="540"/>
      <c r="B291" s="541"/>
      <c r="C291" s="541"/>
      <c r="D291" s="541"/>
      <c r="E291" s="541"/>
      <c r="F291" s="541"/>
      <c r="G291" s="541"/>
      <c r="H291" s="636"/>
      <c r="I291" s="636"/>
      <c r="J291" s="636"/>
      <c r="K291" s="636"/>
      <c r="L291" s="636"/>
      <c r="M291" s="636"/>
      <c r="N291" s="636"/>
      <c r="O291" s="636"/>
      <c r="P291" s="636"/>
      <c r="Q291" s="636"/>
      <c r="R291" s="636"/>
      <c r="S291" s="636"/>
      <c r="T291" s="637"/>
      <c r="U291" s="636"/>
      <c r="V291" s="541"/>
      <c r="W291" s="541"/>
      <c r="X291" s="543"/>
    </row>
    <row r="292" spans="1:24" s="544" customFormat="1" x14ac:dyDescent="0.3">
      <c r="A292" s="540"/>
      <c r="B292" s="539" t="s">
        <v>91</v>
      </c>
      <c r="C292" s="541"/>
      <c r="D292" s="541"/>
      <c r="E292" s="541"/>
      <c r="F292" s="547" t="s">
        <v>97</v>
      </c>
      <c r="G292" s="541"/>
      <c r="H292" s="539" t="s">
        <v>99</v>
      </c>
      <c r="I292" s="539"/>
      <c r="J292" s="539"/>
      <c r="K292" s="541"/>
      <c r="L292" s="541"/>
      <c r="M292" s="541"/>
      <c r="N292" s="541"/>
      <c r="O292" s="541"/>
      <c r="P292" s="541"/>
      <c r="Q292" s="541"/>
      <c r="R292" s="541"/>
      <c r="S292" s="541"/>
      <c r="T292" s="541"/>
      <c r="U292" s="541"/>
      <c r="V292" s="541"/>
      <c r="W292" s="541"/>
      <c r="X292" s="543"/>
    </row>
    <row r="293" spans="1:24" s="544" customFormat="1" x14ac:dyDescent="0.3">
      <c r="A293" s="540"/>
      <c r="B293" s="539" t="s">
        <v>339</v>
      </c>
      <c r="C293" s="539"/>
      <c r="D293" s="539"/>
      <c r="E293" s="539"/>
      <c r="F293" s="638" t="s">
        <v>278</v>
      </c>
      <c r="G293" s="539"/>
      <c r="H293" s="639" t="s">
        <v>372</v>
      </c>
      <c r="I293" s="541"/>
      <c r="J293" s="539"/>
      <c r="K293" s="541"/>
      <c r="L293" s="541"/>
      <c r="M293" s="541"/>
      <c r="N293" s="541"/>
      <c r="O293" s="541"/>
      <c r="P293" s="541"/>
      <c r="Q293" s="541"/>
      <c r="R293" s="541"/>
      <c r="S293" s="541"/>
      <c r="T293" s="541"/>
      <c r="U293" s="541"/>
      <c r="V293" s="541"/>
      <c r="W293" s="541"/>
      <c r="X293" s="543"/>
    </row>
    <row r="294" spans="1:24" s="544" customFormat="1" x14ac:dyDescent="0.3">
      <c r="A294" s="540"/>
      <c r="B294" s="539" t="s">
        <v>340</v>
      </c>
      <c r="C294" s="539"/>
      <c r="D294" s="539"/>
      <c r="E294" s="539"/>
      <c r="F294" s="638" t="s">
        <v>147</v>
      </c>
      <c r="G294" s="539"/>
      <c r="H294" s="639" t="s">
        <v>373</v>
      </c>
      <c r="I294" s="539"/>
      <c r="J294" s="539"/>
      <c r="K294" s="541"/>
      <c r="L294" s="541"/>
      <c r="M294" s="541"/>
      <c r="N294" s="541"/>
      <c r="O294" s="541"/>
      <c r="P294" s="541"/>
      <c r="Q294" s="541"/>
      <c r="R294" s="541"/>
      <c r="S294" s="541"/>
      <c r="T294" s="541"/>
      <c r="U294" s="541"/>
      <c r="V294" s="541"/>
      <c r="W294" s="541"/>
      <c r="X294" s="543"/>
    </row>
    <row r="295" spans="1:24" s="544" customFormat="1" x14ac:dyDescent="0.3">
      <c r="A295" s="540"/>
      <c r="B295" s="539"/>
      <c r="C295" s="539"/>
      <c r="D295" s="539"/>
      <c r="E295" s="539"/>
      <c r="F295" s="638"/>
      <c r="G295" s="539"/>
      <c r="H295" s="539"/>
      <c r="I295" s="539"/>
      <c r="J295" s="539"/>
      <c r="K295" s="541"/>
      <c r="L295" s="541"/>
      <c r="M295" s="541"/>
      <c r="N295" s="541"/>
      <c r="O295" s="541"/>
      <c r="P295" s="541"/>
      <c r="Q295" s="541"/>
      <c r="R295" s="541"/>
      <c r="S295" s="541"/>
      <c r="T295" s="541"/>
      <c r="U295" s="541"/>
      <c r="V295" s="541"/>
      <c r="W295" s="541"/>
      <c r="X295" s="543"/>
    </row>
    <row r="296" spans="1:24" s="544" customFormat="1" x14ac:dyDescent="0.3">
      <c r="A296" s="540"/>
      <c r="B296" s="588" t="s">
        <v>368</v>
      </c>
      <c r="C296" s="539"/>
      <c r="D296" s="539"/>
      <c r="E296" s="539"/>
      <c r="F296" s="638"/>
      <c r="G296" s="539"/>
      <c r="H296" s="539"/>
      <c r="I296" s="539"/>
      <c r="J296" s="539"/>
      <c r="K296" s="541"/>
      <c r="L296" s="541"/>
      <c r="M296" s="541"/>
      <c r="N296" s="541"/>
      <c r="O296" s="541"/>
      <c r="P296" s="541"/>
      <c r="Q296" s="541"/>
      <c r="R296" s="541"/>
      <c r="S296" s="541"/>
      <c r="T296" s="541"/>
      <c r="U296" s="541"/>
      <c r="V296" s="541"/>
      <c r="W296" s="541"/>
      <c r="X296" s="543"/>
    </row>
    <row r="297" spans="1:24" s="544" customFormat="1" x14ac:dyDescent="0.3">
      <c r="A297" s="540"/>
      <c r="B297" s="588" t="s">
        <v>374</v>
      </c>
      <c r="C297" s="539"/>
      <c r="D297" s="539"/>
      <c r="E297" s="539"/>
      <c r="F297" s="638"/>
      <c r="G297" s="539"/>
      <c r="H297" s="539"/>
      <c r="I297" s="539"/>
      <c r="J297" s="539"/>
      <c r="K297" s="541"/>
      <c r="L297" s="541"/>
      <c r="M297" s="541"/>
      <c r="N297" s="541"/>
      <c r="O297" s="541"/>
      <c r="P297" s="541"/>
      <c r="Q297" s="541"/>
      <c r="R297" s="541"/>
      <c r="S297" s="541"/>
      <c r="T297" s="541"/>
      <c r="U297" s="541"/>
      <c r="V297" s="541"/>
      <c r="W297" s="541"/>
      <c r="X297" s="543"/>
    </row>
    <row r="298" spans="1:24" s="544" customFormat="1" x14ac:dyDescent="0.3">
      <c r="A298" s="540"/>
      <c r="B298" s="588" t="s">
        <v>365</v>
      </c>
      <c r="C298" s="539"/>
      <c r="D298" s="539"/>
      <c r="E298" s="539"/>
      <c r="F298" s="638"/>
      <c r="G298" s="539"/>
      <c r="H298" s="539"/>
      <c r="I298" s="539"/>
      <c r="J298" s="539"/>
      <c r="K298" s="541"/>
      <c r="L298" s="541"/>
      <c r="M298" s="541"/>
      <c r="N298" s="541"/>
      <c r="O298" s="541"/>
      <c r="P298" s="541"/>
      <c r="Q298" s="541"/>
      <c r="R298" s="541"/>
      <c r="S298" s="541"/>
      <c r="T298" s="541"/>
      <c r="U298" s="541"/>
      <c r="V298" s="541"/>
      <c r="W298" s="541"/>
      <c r="X298" s="543"/>
    </row>
    <row r="299" spans="1:24" s="544" customFormat="1" x14ac:dyDescent="0.3">
      <c r="A299" s="540"/>
      <c r="B299" s="588" t="s">
        <v>366</v>
      </c>
      <c r="C299" s="539"/>
      <c r="D299" s="539"/>
      <c r="E299" s="539"/>
      <c r="F299" s="638"/>
      <c r="G299" s="539"/>
      <c r="H299" s="539"/>
      <c r="I299" s="539"/>
      <c r="J299" s="539"/>
      <c r="K299" s="541"/>
      <c r="L299" s="541"/>
      <c r="M299" s="541"/>
      <c r="N299" s="541"/>
      <c r="O299" s="541"/>
      <c r="P299" s="541"/>
      <c r="Q299" s="541"/>
      <c r="R299" s="541"/>
      <c r="S299" s="541"/>
      <c r="T299" s="541"/>
      <c r="U299" s="541"/>
      <c r="V299" s="541"/>
      <c r="W299" s="541"/>
      <c r="X299" s="543"/>
    </row>
    <row r="300" spans="1:24" x14ac:dyDescent="0.3">
      <c r="A300" s="417"/>
      <c r="B300" s="426"/>
      <c r="C300" s="426"/>
      <c r="D300" s="426"/>
      <c r="E300" s="426"/>
      <c r="F300" s="489"/>
      <c r="G300" s="426"/>
      <c r="H300" s="426"/>
      <c r="I300" s="426"/>
      <c r="J300" s="426"/>
      <c r="K300" s="427"/>
      <c r="L300" s="427"/>
      <c r="M300" s="427"/>
      <c r="N300" s="427"/>
      <c r="O300" s="427"/>
      <c r="P300" s="427"/>
      <c r="Q300" s="427"/>
      <c r="R300" s="427"/>
      <c r="S300" s="427"/>
      <c r="T300" s="427"/>
      <c r="U300" s="427"/>
      <c r="V300" s="427"/>
      <c r="W300" s="427"/>
      <c r="X300" s="415"/>
    </row>
    <row r="301" spans="1:24" ht="18" x14ac:dyDescent="0.35">
      <c r="A301" s="417"/>
      <c r="B301" s="514" t="s">
        <v>369</v>
      </c>
      <c r="C301" s="426"/>
      <c r="D301" s="426"/>
      <c r="E301" s="426"/>
      <c r="F301" s="426"/>
      <c r="G301" s="426"/>
      <c r="H301" s="427"/>
      <c r="I301" s="427"/>
      <c r="J301" s="427"/>
      <c r="K301" s="427"/>
      <c r="L301" s="419"/>
      <c r="M301" s="419"/>
      <c r="N301" s="490"/>
      <c r="O301" s="419"/>
      <c r="P301" s="412" t="s">
        <v>371</v>
      </c>
      <c r="Q301" s="427"/>
      <c r="R301" s="427"/>
      <c r="S301" s="427"/>
      <c r="T301" s="427"/>
      <c r="U301" s="427"/>
      <c r="V301" s="427"/>
      <c r="W301" s="427"/>
      <c r="X301" s="415"/>
    </row>
    <row r="302" spans="1:24" x14ac:dyDescent="0.3">
      <c r="A302" s="417"/>
      <c r="B302" s="426"/>
      <c r="C302" s="426"/>
      <c r="D302" s="426"/>
      <c r="E302" s="426"/>
      <c r="F302" s="426"/>
      <c r="G302" s="426"/>
      <c r="H302" s="427"/>
      <c r="I302" s="427"/>
      <c r="J302" s="427"/>
      <c r="K302" s="427"/>
      <c r="L302" s="427"/>
      <c r="M302" s="427"/>
      <c r="N302" s="427"/>
      <c r="O302" s="427"/>
      <c r="P302" s="427"/>
      <c r="Q302" s="427"/>
      <c r="R302" s="427"/>
      <c r="S302" s="427"/>
      <c r="T302" s="427"/>
      <c r="U302" s="427"/>
      <c r="V302" s="427"/>
      <c r="W302" s="427"/>
      <c r="X302" s="415"/>
    </row>
    <row r="303" spans="1:24" ht="18.600000000000001" thickBot="1" x14ac:dyDescent="0.4">
      <c r="A303" s="417"/>
      <c r="B303" s="640" t="str">
        <f>B203</f>
        <v>PM14 INVESTOR REPORT QUARTER ENDING NOVEMBER 2017</v>
      </c>
      <c r="C303" s="426"/>
      <c r="D303" s="426"/>
      <c r="E303" s="426"/>
      <c r="F303" s="426"/>
      <c r="G303" s="426"/>
      <c r="H303" s="427"/>
      <c r="I303" s="427"/>
      <c r="J303" s="427"/>
      <c r="K303" s="427"/>
      <c r="L303" s="427"/>
      <c r="M303" s="427"/>
      <c r="N303" s="427"/>
      <c r="O303" s="427"/>
      <c r="P303" s="427"/>
      <c r="Q303" s="427"/>
      <c r="R303" s="427"/>
      <c r="S303" s="427"/>
      <c r="T303" s="427"/>
      <c r="U303" s="427"/>
      <c r="V303" s="427"/>
      <c r="W303" s="427"/>
      <c r="X303" s="415"/>
    </row>
    <row r="304" spans="1:24" x14ac:dyDescent="0.3">
      <c r="A304" s="491"/>
      <c r="B304" s="491"/>
      <c r="C304" s="491"/>
      <c r="D304" s="491"/>
      <c r="E304" s="491"/>
      <c r="F304" s="491"/>
      <c r="G304" s="491"/>
      <c r="H304" s="491"/>
      <c r="I304" s="491"/>
      <c r="J304" s="491"/>
      <c r="K304" s="491"/>
      <c r="L304" s="491"/>
      <c r="M304" s="491"/>
      <c r="N304" s="491"/>
      <c r="O304" s="491"/>
      <c r="P304" s="491"/>
      <c r="Q304" s="491"/>
      <c r="R304" s="491"/>
      <c r="S304" s="491"/>
      <c r="T304" s="491"/>
      <c r="U304" s="491"/>
      <c r="V304" s="491"/>
      <c r="W304" s="491"/>
    </row>
  </sheetData>
  <hyperlinks>
    <hyperlink ref="I9" r:id="rId1" xr:uid="{00000000-0004-0000-2900-000000000000}"/>
    <hyperlink ref="P239" r:id="rId2" xr:uid="{00000000-0004-0000-2900-000001000000}"/>
    <hyperlink ref="P301" r:id="rId3" xr:uid="{00000000-0004-0000-2900-000002000000}"/>
  </hyperlinks>
  <printOptions horizontalCentered="1" verticalCentered="1"/>
  <pageMargins left="0.19685039370078741" right="0.19685039370078741" top="0.27559055118110237" bottom="0.27559055118110237" header="0" footer="0"/>
  <pageSetup scale="37" orientation="landscape" r:id="rId4"/>
  <headerFooter alignWithMargins="0"/>
  <rowBreaks count="3" manualBreakCount="3">
    <brk id="63" max="23" man="1"/>
    <brk id="137" max="14" man="1"/>
    <brk id="203" max="14" man="1"/>
  </rowBreaks>
  <drawing r:id="rId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6"/>
  </sheetPr>
  <dimension ref="A1:IV304"/>
  <sheetViews>
    <sheetView showGridLines="0" showOutlineSymbols="0" zoomScale="70" zoomScaleNormal="70" workbookViewId="0"/>
  </sheetViews>
  <sheetFormatPr defaultColWidth="9.81640625" defaultRowHeight="15.6" x14ac:dyDescent="0.3"/>
  <cols>
    <col min="1" max="1" width="4" style="416" customWidth="1"/>
    <col min="2" max="2" width="71.08984375" style="416" customWidth="1"/>
    <col min="3" max="3" width="2.08984375" style="416" customWidth="1"/>
    <col min="4" max="4" width="19.1796875" style="416" customWidth="1"/>
    <col min="5" max="5" width="2.08984375" style="416" customWidth="1"/>
    <col min="6" max="6" width="25.08984375" style="416" customWidth="1"/>
    <col min="7" max="7" width="2.08984375" style="416" customWidth="1"/>
    <col min="8" max="8" width="16.08984375" style="416" customWidth="1"/>
    <col min="9" max="9" width="2.81640625" style="416" customWidth="1"/>
    <col min="10" max="10" width="16.08984375" style="416" customWidth="1"/>
    <col min="11" max="11" width="2.08984375" style="416" customWidth="1"/>
    <col min="12" max="12" width="17.81640625" style="416" customWidth="1"/>
    <col min="13" max="13" width="2.1796875" style="416" customWidth="1"/>
    <col min="14" max="14" width="14.81640625" style="416" customWidth="1"/>
    <col min="15" max="15" width="2.1796875" style="416" customWidth="1"/>
    <col min="16" max="16" width="15.54296875" style="416" customWidth="1"/>
    <col min="17" max="17" width="2.08984375" style="416" customWidth="1"/>
    <col min="18" max="18" width="15.54296875" style="416" customWidth="1"/>
    <col min="19" max="20" width="12.81640625" style="416" customWidth="1"/>
    <col min="21" max="21" width="7.81640625" style="416" customWidth="1"/>
    <col min="22" max="22" width="14.81640625" style="416" customWidth="1"/>
    <col min="23" max="23" width="11.81640625" style="416" customWidth="1"/>
    <col min="24" max="16384" width="9.81640625" style="416"/>
  </cols>
  <sheetData>
    <row r="1" spans="1:24" ht="21" x14ac:dyDescent="0.4">
      <c r="A1" s="413"/>
      <c r="B1" s="537" t="s">
        <v>244</v>
      </c>
      <c r="C1" s="414"/>
      <c r="D1" s="414"/>
      <c r="E1" s="414"/>
      <c r="F1" s="414"/>
      <c r="G1" s="414"/>
      <c r="H1" s="414"/>
      <c r="I1" s="414"/>
      <c r="J1" s="414"/>
      <c r="K1" s="414"/>
      <c r="L1" s="414"/>
      <c r="M1" s="414"/>
      <c r="N1" s="414"/>
      <c r="O1" s="414"/>
      <c r="P1" s="414"/>
      <c r="Q1" s="414"/>
      <c r="R1" s="414"/>
      <c r="S1" s="414"/>
      <c r="T1" s="414"/>
      <c r="U1" s="414"/>
      <c r="V1" s="414"/>
      <c r="W1" s="414"/>
      <c r="X1" s="415"/>
    </row>
    <row r="2" spans="1:24" x14ac:dyDescent="0.3">
      <c r="A2" s="417"/>
      <c r="B2" s="418"/>
      <c r="C2" s="419"/>
      <c r="D2" s="419"/>
      <c r="E2" s="419"/>
      <c r="F2" s="419"/>
      <c r="G2" s="419"/>
      <c r="H2" s="419"/>
      <c r="I2" s="419"/>
      <c r="J2" s="419"/>
      <c r="K2" s="419"/>
      <c r="L2" s="419"/>
      <c r="M2" s="419"/>
      <c r="N2" s="419"/>
      <c r="O2" s="419"/>
      <c r="P2" s="419"/>
      <c r="Q2" s="419"/>
      <c r="R2" s="419"/>
      <c r="S2" s="419"/>
      <c r="T2" s="419"/>
      <c r="U2" s="419"/>
      <c r="V2" s="419"/>
      <c r="W2" s="419"/>
      <c r="X2" s="415"/>
    </row>
    <row r="3" spans="1:24" x14ac:dyDescent="0.3">
      <c r="A3" s="420"/>
      <c r="B3" s="421" t="s">
        <v>245</v>
      </c>
      <c r="C3" s="419"/>
      <c r="D3" s="419"/>
      <c r="E3" s="419"/>
      <c r="F3" s="419"/>
      <c r="G3" s="419"/>
      <c r="H3" s="419"/>
      <c r="I3" s="419"/>
      <c r="J3" s="419"/>
      <c r="K3" s="419"/>
      <c r="L3" s="419"/>
      <c r="M3" s="419"/>
      <c r="N3" s="419"/>
      <c r="O3" s="419"/>
      <c r="P3" s="419"/>
      <c r="Q3" s="419"/>
      <c r="R3" s="419"/>
      <c r="S3" s="419"/>
      <c r="T3" s="419"/>
      <c r="U3" s="419"/>
      <c r="V3" s="419"/>
      <c r="W3" s="419"/>
      <c r="X3" s="415"/>
    </row>
    <row r="4" spans="1:24" x14ac:dyDescent="0.3">
      <c r="A4" s="417"/>
      <c r="B4" s="418"/>
      <c r="C4" s="419"/>
      <c r="D4" s="419"/>
      <c r="E4" s="419"/>
      <c r="F4" s="419"/>
      <c r="G4" s="419"/>
      <c r="H4" s="419"/>
      <c r="I4" s="419"/>
      <c r="J4" s="419"/>
      <c r="K4" s="419"/>
      <c r="L4" s="419"/>
      <c r="M4" s="419"/>
      <c r="N4" s="419"/>
      <c r="O4" s="419"/>
      <c r="P4" s="419"/>
      <c r="Q4" s="419"/>
      <c r="R4" s="419"/>
      <c r="S4" s="419"/>
      <c r="T4" s="419"/>
      <c r="U4" s="419"/>
      <c r="V4" s="419"/>
      <c r="W4" s="419"/>
      <c r="X4" s="415"/>
    </row>
    <row r="5" spans="1:24" x14ac:dyDescent="0.3">
      <c r="A5" s="417"/>
      <c r="B5" s="538" t="s">
        <v>137</v>
      </c>
      <c r="C5" s="419"/>
      <c r="D5" s="419"/>
      <c r="E5" s="419"/>
      <c r="F5" s="419"/>
      <c r="G5" s="419"/>
      <c r="H5" s="419"/>
      <c r="I5" s="419"/>
      <c r="J5" s="419"/>
      <c r="K5" s="419"/>
      <c r="L5" s="419"/>
      <c r="M5" s="419"/>
      <c r="N5" s="419"/>
      <c r="O5" s="419"/>
      <c r="P5" s="419"/>
      <c r="Q5" s="419"/>
      <c r="R5" s="419"/>
      <c r="S5" s="419"/>
      <c r="T5" s="419"/>
      <c r="U5" s="419"/>
      <c r="V5" s="419"/>
      <c r="W5" s="419"/>
      <c r="X5" s="415"/>
    </row>
    <row r="6" spans="1:24" x14ac:dyDescent="0.3">
      <c r="A6" s="417"/>
      <c r="B6" s="538" t="s">
        <v>139</v>
      </c>
      <c r="C6" s="419"/>
      <c r="D6" s="419"/>
      <c r="E6" s="419"/>
      <c r="F6" s="419"/>
      <c r="G6" s="419"/>
      <c r="H6" s="419"/>
      <c r="I6" s="419"/>
      <c r="J6" s="419"/>
      <c r="K6" s="419"/>
      <c r="L6" s="419"/>
      <c r="M6" s="419"/>
      <c r="N6" s="419"/>
      <c r="O6" s="419"/>
      <c r="P6" s="419"/>
      <c r="Q6" s="419"/>
      <c r="R6" s="419"/>
      <c r="S6" s="419"/>
      <c r="T6" s="419"/>
      <c r="U6" s="419"/>
      <c r="V6" s="419"/>
      <c r="W6" s="419"/>
      <c r="X6" s="415"/>
    </row>
    <row r="7" spans="1:24" x14ac:dyDescent="0.3">
      <c r="A7" s="417"/>
      <c r="B7" s="538" t="s">
        <v>138</v>
      </c>
      <c r="C7" s="419"/>
      <c r="D7" s="419"/>
      <c r="E7" s="419"/>
      <c r="F7" s="419"/>
      <c r="G7" s="419"/>
      <c r="H7" s="419"/>
      <c r="I7" s="419"/>
      <c r="J7" s="419"/>
      <c r="K7" s="419"/>
      <c r="L7" s="419"/>
      <c r="M7" s="419"/>
      <c r="N7" s="419"/>
      <c r="O7" s="419"/>
      <c r="P7" s="419"/>
      <c r="Q7" s="419"/>
      <c r="R7" s="419"/>
      <c r="S7" s="419"/>
      <c r="T7" s="419"/>
      <c r="U7" s="419"/>
      <c r="V7" s="419"/>
      <c r="W7" s="419"/>
      <c r="X7" s="415"/>
    </row>
    <row r="8" spans="1:24" x14ac:dyDescent="0.3">
      <c r="A8" s="417"/>
      <c r="B8" s="422"/>
      <c r="C8" s="419"/>
      <c r="D8" s="419"/>
      <c r="E8" s="419"/>
      <c r="F8" s="419"/>
      <c r="G8" s="419"/>
      <c r="H8" s="419"/>
      <c r="I8" s="419"/>
      <c r="J8" s="419"/>
      <c r="K8" s="419"/>
      <c r="L8" s="419"/>
      <c r="M8" s="419"/>
      <c r="N8" s="419"/>
      <c r="O8" s="419"/>
      <c r="P8" s="419"/>
      <c r="Q8" s="419"/>
      <c r="R8" s="419"/>
      <c r="S8" s="419"/>
      <c r="T8" s="419"/>
      <c r="U8" s="419"/>
      <c r="V8" s="419"/>
      <c r="W8" s="419"/>
      <c r="X8" s="415"/>
    </row>
    <row r="9" spans="1:24" ht="18" x14ac:dyDescent="0.35">
      <c r="A9" s="417"/>
      <c r="B9" s="423" t="s">
        <v>166</v>
      </c>
      <c r="C9" s="419"/>
      <c r="D9" s="419"/>
      <c r="E9" s="419"/>
      <c r="F9" s="419"/>
      <c r="G9" s="419"/>
      <c r="H9" s="419"/>
      <c r="I9" s="412" t="s">
        <v>371</v>
      </c>
      <c r="J9" s="419"/>
      <c r="K9" s="419"/>
      <c r="L9" s="424"/>
      <c r="M9" s="419"/>
      <c r="N9" s="424"/>
      <c r="O9" s="419"/>
      <c r="P9" s="419"/>
      <c r="Q9" s="419"/>
      <c r="R9" s="419"/>
      <c r="S9" s="419"/>
      <c r="T9" s="419"/>
      <c r="U9" s="419"/>
      <c r="V9" s="419"/>
      <c r="W9" s="419"/>
      <c r="X9" s="415"/>
    </row>
    <row r="10" spans="1:24" x14ac:dyDescent="0.3">
      <c r="A10" s="417"/>
      <c r="B10" s="422"/>
      <c r="C10" s="425"/>
      <c r="D10" s="425"/>
      <c r="E10" s="425"/>
      <c r="F10" s="419"/>
      <c r="G10" s="419"/>
      <c r="H10" s="419"/>
      <c r="I10" s="419"/>
      <c r="J10" s="419"/>
      <c r="K10" s="419"/>
      <c r="L10" s="419"/>
      <c r="M10" s="419"/>
      <c r="N10" s="419"/>
      <c r="O10" s="419"/>
      <c r="P10" s="419"/>
      <c r="Q10" s="419"/>
      <c r="R10" s="419"/>
      <c r="S10" s="419"/>
      <c r="T10" s="419"/>
      <c r="U10" s="419"/>
      <c r="V10" s="419"/>
      <c r="W10" s="419"/>
      <c r="X10" s="415"/>
    </row>
    <row r="11" spans="1:24" x14ac:dyDescent="0.3">
      <c r="A11" s="417"/>
      <c r="B11" s="539" t="s">
        <v>0</v>
      </c>
      <c r="C11" s="419"/>
      <c r="D11" s="419"/>
      <c r="E11" s="419"/>
      <c r="F11" s="419"/>
      <c r="G11" s="419"/>
      <c r="H11" s="419"/>
      <c r="I11" s="419"/>
      <c r="J11" s="419"/>
      <c r="K11" s="419"/>
      <c r="L11" s="419"/>
      <c r="M11" s="419"/>
      <c r="N11" s="419"/>
      <c r="O11" s="419"/>
      <c r="P11" s="419"/>
      <c r="Q11" s="419"/>
      <c r="R11" s="419"/>
      <c r="S11" s="419"/>
      <c r="T11" s="419"/>
      <c r="U11" s="419"/>
      <c r="V11" s="419"/>
      <c r="W11" s="419"/>
      <c r="X11" s="415"/>
    </row>
    <row r="12" spans="1:24" ht="16.2" thickBot="1" x14ac:dyDescent="0.35">
      <c r="A12" s="417"/>
      <c r="B12" s="425"/>
      <c r="C12" s="419"/>
      <c r="D12" s="419"/>
      <c r="E12" s="419"/>
      <c r="F12" s="419"/>
      <c r="G12" s="419"/>
      <c r="H12" s="419"/>
      <c r="I12" s="419"/>
      <c r="J12" s="419"/>
      <c r="K12" s="419"/>
      <c r="L12" s="419"/>
      <c r="M12" s="419"/>
      <c r="N12" s="419"/>
      <c r="O12" s="419"/>
      <c r="P12" s="419"/>
      <c r="Q12" s="419"/>
      <c r="R12" s="419"/>
      <c r="S12" s="419"/>
      <c r="T12" s="419"/>
      <c r="U12" s="419"/>
      <c r="V12" s="419"/>
      <c r="W12" s="419"/>
      <c r="X12" s="415"/>
    </row>
    <row r="13" spans="1:24" x14ac:dyDescent="0.3">
      <c r="A13" s="413"/>
      <c r="B13" s="414"/>
      <c r="C13" s="414"/>
      <c r="D13" s="414"/>
      <c r="E13" s="414"/>
      <c r="F13" s="414"/>
      <c r="G13" s="414"/>
      <c r="H13" s="414"/>
      <c r="I13" s="414"/>
      <c r="J13" s="414"/>
      <c r="K13" s="414"/>
      <c r="L13" s="414"/>
      <c r="M13" s="414"/>
      <c r="N13" s="414"/>
      <c r="O13" s="414"/>
      <c r="P13" s="414"/>
      <c r="Q13" s="414"/>
      <c r="R13" s="414"/>
      <c r="S13" s="414"/>
      <c r="T13" s="414"/>
      <c r="U13" s="414"/>
      <c r="V13" s="414"/>
      <c r="W13" s="414"/>
      <c r="X13" s="415"/>
    </row>
    <row r="14" spans="1:24" s="544" customFormat="1" x14ac:dyDescent="0.3">
      <c r="A14" s="540"/>
      <c r="B14" s="539" t="s">
        <v>1</v>
      </c>
      <c r="C14" s="541"/>
      <c r="D14" s="541"/>
      <c r="E14" s="541"/>
      <c r="F14" s="541"/>
      <c r="G14" s="541"/>
      <c r="H14" s="541"/>
      <c r="I14" s="541"/>
      <c r="J14" s="541"/>
      <c r="K14" s="541"/>
      <c r="L14" s="541"/>
      <c r="M14" s="541"/>
      <c r="N14" s="541"/>
      <c r="O14" s="541"/>
      <c r="P14" s="541"/>
      <c r="Q14" s="541"/>
      <c r="R14" s="541"/>
      <c r="S14" s="541"/>
      <c r="T14" s="541"/>
      <c r="U14" s="541"/>
      <c r="V14" s="542" t="s">
        <v>246</v>
      </c>
      <c r="W14" s="541"/>
      <c r="X14" s="543"/>
    </row>
    <row r="15" spans="1:24" s="544" customFormat="1" x14ac:dyDescent="0.3">
      <c r="A15" s="540"/>
      <c r="B15" s="539" t="s">
        <v>2</v>
      </c>
      <c r="C15" s="541"/>
      <c r="D15" s="541"/>
      <c r="E15" s="541"/>
      <c r="F15" s="541"/>
      <c r="G15" s="541"/>
      <c r="H15" s="545"/>
      <c r="I15" s="545"/>
      <c r="J15" s="545"/>
      <c r="K15" s="545"/>
      <c r="L15" s="545"/>
      <c r="M15" s="545"/>
      <c r="N15" s="545"/>
      <c r="O15" s="545"/>
      <c r="P15" s="545"/>
      <c r="Q15" s="545"/>
      <c r="R15" s="545" t="s">
        <v>104</v>
      </c>
      <c r="S15" s="546">
        <v>0.38300000000000001</v>
      </c>
      <c r="T15" s="547" t="s">
        <v>140</v>
      </c>
      <c r="U15" s="546">
        <v>0.61699999999999999</v>
      </c>
      <c r="V15" s="542"/>
      <c r="W15" s="541"/>
      <c r="X15" s="543"/>
    </row>
    <row r="16" spans="1:24" s="544" customFormat="1" x14ac:dyDescent="0.3">
      <c r="A16" s="540"/>
      <c r="B16" s="539" t="s">
        <v>3</v>
      </c>
      <c r="C16" s="541"/>
      <c r="D16" s="541"/>
      <c r="E16" s="541"/>
      <c r="F16" s="541"/>
      <c r="G16" s="541"/>
      <c r="H16" s="545"/>
      <c r="I16" s="545"/>
      <c r="J16" s="545"/>
      <c r="K16" s="545"/>
      <c r="L16" s="545"/>
      <c r="M16" s="545"/>
      <c r="N16" s="545"/>
      <c r="O16" s="545"/>
      <c r="P16" s="545"/>
      <c r="Q16" s="545"/>
      <c r="R16" s="545" t="s">
        <v>104</v>
      </c>
      <c r="S16" s="546">
        <v>0.49120000000000003</v>
      </c>
      <c r="T16" s="547" t="s">
        <v>140</v>
      </c>
      <c r="U16" s="546">
        <v>0.50880000000000003</v>
      </c>
      <c r="V16" s="542"/>
      <c r="W16" s="541"/>
      <c r="X16" s="543"/>
    </row>
    <row r="17" spans="1:24" s="544" customFormat="1" x14ac:dyDescent="0.3">
      <c r="A17" s="540"/>
      <c r="B17" s="539" t="s">
        <v>4</v>
      </c>
      <c r="C17" s="541"/>
      <c r="D17" s="541"/>
      <c r="E17" s="541"/>
      <c r="F17" s="541"/>
      <c r="G17" s="541"/>
      <c r="H17" s="541"/>
      <c r="I17" s="541"/>
      <c r="J17" s="541"/>
      <c r="K17" s="541"/>
      <c r="L17" s="541"/>
      <c r="M17" s="541"/>
      <c r="N17" s="541"/>
      <c r="O17" s="541"/>
      <c r="P17" s="541"/>
      <c r="Q17" s="541"/>
      <c r="R17" s="541"/>
      <c r="S17" s="541"/>
      <c r="T17" s="541"/>
      <c r="U17" s="541"/>
      <c r="V17" s="548">
        <v>39163</v>
      </c>
      <c r="W17" s="541"/>
      <c r="X17" s="543"/>
    </row>
    <row r="18" spans="1:24" s="544" customFormat="1" x14ac:dyDescent="0.3">
      <c r="A18" s="540"/>
      <c r="B18" s="539" t="s">
        <v>5</v>
      </c>
      <c r="C18" s="541"/>
      <c r="D18" s="541"/>
      <c r="E18" s="541"/>
      <c r="F18" s="541"/>
      <c r="G18" s="541"/>
      <c r="H18" s="541"/>
      <c r="I18" s="541"/>
      <c r="J18" s="541"/>
      <c r="K18" s="541"/>
      <c r="L18" s="541"/>
      <c r="M18" s="541"/>
      <c r="N18" s="541"/>
      <c r="O18" s="541"/>
      <c r="P18" s="541"/>
      <c r="Q18" s="541"/>
      <c r="R18" s="541"/>
      <c r="S18" s="541"/>
      <c r="T18" s="541"/>
      <c r="U18" s="541"/>
      <c r="V18" s="548">
        <v>43179</v>
      </c>
      <c r="W18" s="541"/>
      <c r="X18" s="543"/>
    </row>
    <row r="19" spans="1:24" s="544" customFormat="1" x14ac:dyDescent="0.3">
      <c r="A19" s="540"/>
      <c r="B19" s="541"/>
      <c r="C19" s="541"/>
      <c r="D19" s="541"/>
      <c r="E19" s="541"/>
      <c r="F19" s="541"/>
      <c r="G19" s="541"/>
      <c r="H19" s="541"/>
      <c r="I19" s="541"/>
      <c r="J19" s="541"/>
      <c r="K19" s="541"/>
      <c r="L19" s="541"/>
      <c r="M19" s="541"/>
      <c r="N19" s="541"/>
      <c r="O19" s="541"/>
      <c r="P19" s="541"/>
      <c r="Q19" s="541"/>
      <c r="R19" s="541"/>
      <c r="S19" s="541"/>
      <c r="T19" s="541"/>
      <c r="U19" s="541"/>
      <c r="V19" s="549"/>
      <c r="W19" s="541"/>
      <c r="X19" s="543"/>
    </row>
    <row r="20" spans="1:24" s="544" customFormat="1" x14ac:dyDescent="0.3">
      <c r="A20" s="540"/>
      <c r="B20" s="550" t="s">
        <v>6</v>
      </c>
      <c r="C20" s="541"/>
      <c r="D20" s="541"/>
      <c r="E20" s="541"/>
      <c r="F20" s="541"/>
      <c r="G20" s="541"/>
      <c r="H20" s="541"/>
      <c r="I20" s="541"/>
      <c r="J20" s="541"/>
      <c r="K20" s="541"/>
      <c r="L20" s="541"/>
      <c r="M20" s="541"/>
      <c r="N20" s="541"/>
      <c r="O20" s="541"/>
      <c r="P20" s="541"/>
      <c r="Q20" s="541"/>
      <c r="R20" s="541"/>
      <c r="S20" s="541"/>
      <c r="T20" s="549" t="s">
        <v>105</v>
      </c>
      <c r="U20" s="541"/>
      <c r="V20" s="541"/>
      <c r="W20" s="541"/>
      <c r="X20" s="543"/>
    </row>
    <row r="21" spans="1:24" x14ac:dyDescent="0.3">
      <c r="A21" s="417"/>
      <c r="B21" s="419"/>
      <c r="C21" s="419"/>
      <c r="D21" s="419"/>
      <c r="E21" s="419"/>
      <c r="F21" s="419"/>
      <c r="G21" s="419"/>
      <c r="H21" s="419"/>
      <c r="I21" s="419"/>
      <c r="J21" s="419"/>
      <c r="K21" s="419"/>
      <c r="L21" s="419"/>
      <c r="M21" s="419"/>
      <c r="N21" s="419"/>
      <c r="O21" s="419"/>
      <c r="P21" s="419"/>
      <c r="Q21" s="419"/>
      <c r="R21" s="419"/>
      <c r="S21" s="419"/>
      <c r="T21" s="419"/>
      <c r="U21" s="419"/>
      <c r="V21" s="430"/>
      <c r="W21" s="419"/>
      <c r="X21" s="415"/>
    </row>
    <row r="22" spans="1:24" x14ac:dyDescent="0.3">
      <c r="A22" s="515"/>
      <c r="B22" s="517"/>
      <c r="C22" s="518"/>
      <c r="D22" s="518" t="s">
        <v>177</v>
      </c>
      <c r="E22" s="518"/>
      <c r="F22" s="518" t="s">
        <v>178</v>
      </c>
      <c r="G22" s="518"/>
      <c r="H22" s="518" t="s">
        <v>179</v>
      </c>
      <c r="I22" s="518"/>
      <c r="J22" s="518" t="s">
        <v>220</v>
      </c>
      <c r="K22" s="518"/>
      <c r="L22" s="518" t="s">
        <v>180</v>
      </c>
      <c r="M22" s="518"/>
      <c r="N22" s="518" t="s">
        <v>181</v>
      </c>
      <c r="O22" s="518"/>
      <c r="P22" s="518" t="s">
        <v>221</v>
      </c>
      <c r="Q22" s="518"/>
      <c r="R22" s="518" t="s">
        <v>182</v>
      </c>
      <c r="S22" s="519"/>
      <c r="T22" s="519"/>
      <c r="U22" s="517"/>
      <c r="V22" s="517"/>
      <c r="W22" s="520"/>
      <c r="X22" s="415"/>
    </row>
    <row r="23" spans="1:24" s="544" customFormat="1" x14ac:dyDescent="0.3">
      <c r="A23" s="551"/>
      <c r="B23" s="552" t="s">
        <v>7</v>
      </c>
      <c r="C23" s="553"/>
      <c r="D23" s="553" t="s">
        <v>213</v>
      </c>
      <c r="E23" s="553"/>
      <c r="F23" s="553" t="s">
        <v>141</v>
      </c>
      <c r="G23" s="553"/>
      <c r="H23" s="553" t="s">
        <v>141</v>
      </c>
      <c r="I23" s="553"/>
      <c r="J23" s="553" t="s">
        <v>141</v>
      </c>
      <c r="K23" s="553"/>
      <c r="L23" s="553" t="s">
        <v>183</v>
      </c>
      <c r="M23" s="553"/>
      <c r="N23" s="553" t="s">
        <v>183</v>
      </c>
      <c r="O23" s="553"/>
      <c r="P23" s="553" t="s">
        <v>142</v>
      </c>
      <c r="Q23" s="553"/>
      <c r="R23" s="553" t="s">
        <v>142</v>
      </c>
      <c r="S23" s="553"/>
      <c r="T23" s="553"/>
      <c r="U23" s="552"/>
      <c r="V23" s="552"/>
      <c r="W23" s="554"/>
      <c r="X23" s="543"/>
    </row>
    <row r="24" spans="1:24" s="544" customFormat="1" x14ac:dyDescent="0.3">
      <c r="A24" s="555"/>
      <c r="B24" s="556" t="s">
        <v>8</v>
      </c>
      <c r="C24" s="557"/>
      <c r="D24" s="557" t="s">
        <v>214</v>
      </c>
      <c r="E24" s="557"/>
      <c r="F24" s="557" t="s">
        <v>143</v>
      </c>
      <c r="G24" s="557"/>
      <c r="H24" s="557" t="s">
        <v>143</v>
      </c>
      <c r="I24" s="557"/>
      <c r="J24" s="557" t="s">
        <v>143</v>
      </c>
      <c r="K24" s="557"/>
      <c r="L24" s="557" t="s">
        <v>165</v>
      </c>
      <c r="M24" s="557"/>
      <c r="N24" s="557" t="s">
        <v>165</v>
      </c>
      <c r="O24" s="557"/>
      <c r="P24" s="557" t="s">
        <v>144</v>
      </c>
      <c r="Q24" s="557"/>
      <c r="R24" s="557" t="s">
        <v>144</v>
      </c>
      <c r="S24" s="557"/>
      <c r="T24" s="557"/>
      <c r="U24" s="556"/>
      <c r="V24" s="556"/>
      <c r="W24" s="558"/>
      <c r="X24" s="543"/>
    </row>
    <row r="25" spans="1:24" s="544" customFormat="1" x14ac:dyDescent="0.3">
      <c r="A25" s="559"/>
      <c r="B25" s="556" t="s">
        <v>190</v>
      </c>
      <c r="C25" s="560"/>
      <c r="D25" s="557" t="s">
        <v>215</v>
      </c>
      <c r="E25" s="557"/>
      <c r="F25" s="557" t="s">
        <v>143</v>
      </c>
      <c r="G25" s="557"/>
      <c r="H25" s="557" t="s">
        <v>143</v>
      </c>
      <c r="I25" s="557"/>
      <c r="J25" s="557" t="s">
        <v>143</v>
      </c>
      <c r="K25" s="557"/>
      <c r="L25" s="557" t="s">
        <v>293</v>
      </c>
      <c r="M25" s="557"/>
      <c r="N25" s="557" t="s">
        <v>293</v>
      </c>
      <c r="O25" s="557"/>
      <c r="P25" s="557" t="s">
        <v>144</v>
      </c>
      <c r="Q25" s="557"/>
      <c r="R25" s="557" t="s">
        <v>144</v>
      </c>
      <c r="S25" s="560"/>
      <c r="T25" s="557"/>
      <c r="U25" s="556"/>
      <c r="V25" s="556"/>
      <c r="W25" s="558"/>
      <c r="X25" s="543"/>
    </row>
    <row r="26" spans="1:24" s="544" customFormat="1" x14ac:dyDescent="0.3">
      <c r="A26" s="559"/>
      <c r="B26" s="561" t="s">
        <v>9</v>
      </c>
      <c r="C26" s="560"/>
      <c r="D26" s="560" t="s">
        <v>333</v>
      </c>
      <c r="E26" s="560"/>
      <c r="F26" s="560" t="s">
        <v>333</v>
      </c>
      <c r="G26" s="560"/>
      <c r="H26" s="560" t="s">
        <v>333</v>
      </c>
      <c r="I26" s="560"/>
      <c r="J26" s="560" t="s">
        <v>333</v>
      </c>
      <c r="K26" s="560"/>
      <c r="L26" s="560" t="s">
        <v>333</v>
      </c>
      <c r="M26" s="560"/>
      <c r="N26" s="560" t="s">
        <v>333</v>
      </c>
      <c r="O26" s="560"/>
      <c r="P26" s="560" t="s">
        <v>334</v>
      </c>
      <c r="Q26" s="560"/>
      <c r="R26" s="560" t="s">
        <v>334</v>
      </c>
      <c r="S26" s="560"/>
      <c r="T26" s="557"/>
      <c r="U26" s="556"/>
      <c r="V26" s="556"/>
      <c r="W26" s="558"/>
      <c r="X26" s="543"/>
    </row>
    <row r="27" spans="1:24" s="544" customFormat="1" x14ac:dyDescent="0.3">
      <c r="A27" s="555"/>
      <c r="B27" s="561" t="s">
        <v>191</v>
      </c>
      <c r="C27" s="557"/>
      <c r="D27" s="560" t="s">
        <v>143</v>
      </c>
      <c r="E27" s="560"/>
      <c r="F27" s="560" t="s">
        <v>143</v>
      </c>
      <c r="G27" s="560"/>
      <c r="H27" s="560" t="s">
        <v>143</v>
      </c>
      <c r="I27" s="560"/>
      <c r="J27" s="560" t="s">
        <v>143</v>
      </c>
      <c r="K27" s="560"/>
      <c r="L27" s="560" t="s">
        <v>293</v>
      </c>
      <c r="M27" s="560"/>
      <c r="N27" s="560" t="s">
        <v>293</v>
      </c>
      <c r="O27" s="560"/>
      <c r="P27" s="560" t="s">
        <v>144</v>
      </c>
      <c r="Q27" s="560"/>
      <c r="R27" s="560" t="s">
        <v>144</v>
      </c>
      <c r="S27" s="557"/>
      <c r="T27" s="562"/>
      <c r="U27" s="556"/>
      <c r="V27" s="556"/>
      <c r="W27" s="558"/>
      <c r="X27" s="543"/>
    </row>
    <row r="28" spans="1:24" s="544" customFormat="1" x14ac:dyDescent="0.3">
      <c r="A28" s="555"/>
      <c r="B28" s="561" t="s">
        <v>192</v>
      </c>
      <c r="C28" s="557"/>
      <c r="D28" s="560" t="s">
        <v>143</v>
      </c>
      <c r="E28" s="560"/>
      <c r="F28" s="560" t="s">
        <v>143</v>
      </c>
      <c r="G28" s="560"/>
      <c r="H28" s="560" t="s">
        <v>143</v>
      </c>
      <c r="I28" s="560"/>
      <c r="J28" s="560" t="s">
        <v>143</v>
      </c>
      <c r="K28" s="560"/>
      <c r="L28" s="560" t="s">
        <v>143</v>
      </c>
      <c r="M28" s="560"/>
      <c r="N28" s="560" t="s">
        <v>143</v>
      </c>
      <c r="O28" s="560"/>
      <c r="P28" s="560" t="s">
        <v>337</v>
      </c>
      <c r="Q28" s="560"/>
      <c r="R28" s="560" t="s">
        <v>337</v>
      </c>
      <c r="S28" s="557"/>
      <c r="T28" s="562"/>
      <c r="U28" s="556"/>
      <c r="V28" s="556"/>
      <c r="W28" s="558"/>
      <c r="X28" s="543"/>
    </row>
    <row r="29" spans="1:24" s="544" customFormat="1" x14ac:dyDescent="0.3">
      <c r="A29" s="555"/>
      <c r="B29" s="556" t="s">
        <v>10</v>
      </c>
      <c r="C29" s="563"/>
      <c r="D29" s="557" t="s">
        <v>249</v>
      </c>
      <c r="E29" s="557"/>
      <c r="F29" s="562" t="s">
        <v>250</v>
      </c>
      <c r="G29" s="557"/>
      <c r="H29" s="557" t="s">
        <v>251</v>
      </c>
      <c r="I29" s="557"/>
      <c r="J29" s="557" t="s">
        <v>253</v>
      </c>
      <c r="K29" s="557"/>
      <c r="L29" s="557" t="s">
        <v>254</v>
      </c>
      <c r="M29" s="557"/>
      <c r="N29" s="557" t="s">
        <v>255</v>
      </c>
      <c r="O29" s="557"/>
      <c r="P29" s="557" t="s">
        <v>256</v>
      </c>
      <c r="Q29" s="557"/>
      <c r="R29" s="557" t="s">
        <v>257</v>
      </c>
      <c r="S29" s="564"/>
      <c r="T29" s="564"/>
      <c r="U29" s="563"/>
      <c r="V29" s="564"/>
      <c r="W29" s="565"/>
      <c r="X29" s="543"/>
    </row>
    <row r="30" spans="1:24" s="544" customFormat="1" x14ac:dyDescent="0.3">
      <c r="A30" s="555"/>
      <c r="B30" s="556" t="s">
        <v>10</v>
      </c>
      <c r="C30" s="563"/>
      <c r="D30" s="557" t="s">
        <v>248</v>
      </c>
      <c r="E30" s="557"/>
      <c r="F30" s="562" t="s">
        <v>118</v>
      </c>
      <c r="G30" s="557"/>
      <c r="H30" s="557" t="s">
        <v>118</v>
      </c>
      <c r="I30" s="557"/>
      <c r="J30" s="557" t="s">
        <v>252</v>
      </c>
      <c r="K30" s="557"/>
      <c r="L30" s="557" t="s">
        <v>118</v>
      </c>
      <c r="M30" s="557"/>
      <c r="N30" s="557" t="s">
        <v>118</v>
      </c>
      <c r="O30" s="557"/>
      <c r="P30" s="557" t="s">
        <v>118</v>
      </c>
      <c r="Q30" s="557"/>
      <c r="R30" s="557" t="s">
        <v>118</v>
      </c>
      <c r="S30" s="564"/>
      <c r="T30" s="564"/>
      <c r="U30" s="563"/>
      <c r="V30" s="564"/>
      <c r="W30" s="565"/>
      <c r="X30" s="543"/>
    </row>
    <row r="31" spans="1:24" s="544" customFormat="1" x14ac:dyDescent="0.3">
      <c r="A31" s="559"/>
      <c r="B31" s="556" t="s">
        <v>133</v>
      </c>
      <c r="C31" s="566"/>
      <c r="D31" s="567">
        <v>1500000</v>
      </c>
      <c r="E31" s="563"/>
      <c r="F31" s="564">
        <v>125000</v>
      </c>
      <c r="G31" s="564"/>
      <c r="H31" s="568">
        <v>246000</v>
      </c>
      <c r="I31" s="568"/>
      <c r="J31" s="567">
        <v>400000</v>
      </c>
      <c r="K31" s="564"/>
      <c r="L31" s="564">
        <v>51900</v>
      </c>
      <c r="M31" s="564"/>
      <c r="N31" s="568">
        <v>88800</v>
      </c>
      <c r="O31" s="564"/>
      <c r="P31" s="564">
        <v>20000</v>
      </c>
      <c r="Q31" s="564"/>
      <c r="R31" s="568">
        <v>135500</v>
      </c>
      <c r="S31" s="569"/>
      <c r="T31" s="569"/>
      <c r="U31" s="566"/>
      <c r="V31" s="569"/>
      <c r="W31" s="565"/>
      <c r="X31" s="543"/>
    </row>
    <row r="32" spans="1:24" s="544" customFormat="1" x14ac:dyDescent="0.3">
      <c r="A32" s="555"/>
      <c r="B32" s="556" t="s">
        <v>132</v>
      </c>
      <c r="C32" s="563"/>
      <c r="D32" s="570">
        <f>D34*D38</f>
        <v>389909.24866319995</v>
      </c>
      <c r="E32" s="563"/>
      <c r="F32" s="564">
        <f>F31*F38</f>
        <v>62873.074999999997</v>
      </c>
      <c r="G32" s="564"/>
      <c r="H32" s="568">
        <f>H31*H38</f>
        <v>123734.2116</v>
      </c>
      <c r="I32" s="568"/>
      <c r="J32" s="567">
        <f>J31*J38</f>
        <v>201193.12</v>
      </c>
      <c r="K32" s="564"/>
      <c r="L32" s="564">
        <f>+L31</f>
        <v>51900</v>
      </c>
      <c r="M32" s="564"/>
      <c r="N32" s="568">
        <f>+N31</f>
        <v>88800</v>
      </c>
      <c r="O32" s="564"/>
      <c r="P32" s="564">
        <f>+P31</f>
        <v>20000</v>
      </c>
      <c r="Q32" s="564"/>
      <c r="R32" s="568">
        <f>+R31</f>
        <v>135500</v>
      </c>
      <c r="S32" s="564"/>
      <c r="T32" s="564"/>
      <c r="U32" s="563"/>
      <c r="V32" s="564"/>
      <c r="W32" s="565"/>
      <c r="X32" s="543"/>
    </row>
    <row r="33" spans="1:24" s="544" customFormat="1" x14ac:dyDescent="0.3">
      <c r="A33" s="555"/>
      <c r="B33" s="561" t="s">
        <v>134</v>
      </c>
      <c r="C33" s="563"/>
      <c r="D33" s="571">
        <f>D34*D37</f>
        <v>381199.94407319999</v>
      </c>
      <c r="E33" s="566"/>
      <c r="F33" s="569">
        <f>F37*F31</f>
        <v>61468.700000000004</v>
      </c>
      <c r="G33" s="569"/>
      <c r="H33" s="572">
        <f>H31*H37</f>
        <v>120970.4016</v>
      </c>
      <c r="I33" s="572"/>
      <c r="J33" s="573">
        <f>J37*J31</f>
        <v>196699.12</v>
      </c>
      <c r="K33" s="569"/>
      <c r="L33" s="569">
        <f>L31*L37</f>
        <v>51900</v>
      </c>
      <c r="M33" s="569"/>
      <c r="N33" s="572">
        <f>N31*N37</f>
        <v>88800</v>
      </c>
      <c r="O33" s="569"/>
      <c r="P33" s="569">
        <f>P31*P37</f>
        <v>20000</v>
      </c>
      <c r="Q33" s="569"/>
      <c r="R33" s="572">
        <f>R31*R37</f>
        <v>135500</v>
      </c>
      <c r="S33" s="564"/>
      <c r="T33" s="564"/>
      <c r="U33" s="563"/>
      <c r="V33" s="564"/>
      <c r="W33" s="565"/>
      <c r="X33" s="543"/>
    </row>
    <row r="34" spans="1:24" s="544" customFormat="1" x14ac:dyDescent="0.3">
      <c r="A34" s="559"/>
      <c r="B34" s="556" t="s">
        <v>296</v>
      </c>
      <c r="C34" s="566"/>
      <c r="D34" s="564">
        <v>775194</v>
      </c>
      <c r="E34" s="563"/>
      <c r="F34" s="564">
        <v>125000</v>
      </c>
      <c r="G34" s="564"/>
      <c r="H34" s="564">
        <v>168148</v>
      </c>
      <c r="I34" s="564"/>
      <c r="J34" s="564">
        <v>206718</v>
      </c>
      <c r="K34" s="564"/>
      <c r="L34" s="564">
        <v>51900</v>
      </c>
      <c r="M34" s="564"/>
      <c r="N34" s="564">
        <v>60697</v>
      </c>
      <c r="O34" s="564"/>
      <c r="P34" s="564">
        <v>20000</v>
      </c>
      <c r="Q34" s="564"/>
      <c r="R34" s="564">
        <v>92618</v>
      </c>
      <c r="S34" s="569"/>
      <c r="T34" s="569"/>
      <c r="U34" s="566"/>
      <c r="V34" s="564">
        <f>SUM(C34:R34)</f>
        <v>1500275</v>
      </c>
      <c r="W34" s="565"/>
      <c r="X34" s="543"/>
    </row>
    <row r="35" spans="1:24" s="544" customFormat="1" x14ac:dyDescent="0.3">
      <c r="A35" s="559"/>
      <c r="B35" s="556" t="s">
        <v>297</v>
      </c>
      <c r="C35" s="566"/>
      <c r="D35" s="564">
        <f>D34*D38</f>
        <v>389909.24866319995</v>
      </c>
      <c r="E35" s="563"/>
      <c r="F35" s="564">
        <f>F34*F38</f>
        <v>62873.074999999997</v>
      </c>
      <c r="G35" s="564"/>
      <c r="H35" s="564">
        <f>H34*H38</f>
        <v>84575.8545208</v>
      </c>
      <c r="I35" s="564"/>
      <c r="J35" s="564">
        <f>J34*J38</f>
        <v>103975.59845039999</v>
      </c>
      <c r="K35" s="564"/>
      <c r="L35" s="564">
        <f>+L34</f>
        <v>51900</v>
      </c>
      <c r="M35" s="564"/>
      <c r="N35" s="564">
        <f>+N34</f>
        <v>60697</v>
      </c>
      <c r="O35" s="564"/>
      <c r="P35" s="564">
        <f>+P34</f>
        <v>20000</v>
      </c>
      <c r="Q35" s="564"/>
      <c r="R35" s="564">
        <f>+R34</f>
        <v>92618</v>
      </c>
      <c r="S35" s="564"/>
      <c r="T35" s="564"/>
      <c r="U35" s="563"/>
      <c r="V35" s="564">
        <f>SUM(C35:R35)</f>
        <v>866548.77663440001</v>
      </c>
      <c r="W35" s="565"/>
      <c r="X35" s="543"/>
    </row>
    <row r="36" spans="1:24" s="544" customFormat="1" x14ac:dyDescent="0.3">
      <c r="A36" s="559"/>
      <c r="B36" s="561" t="s">
        <v>298</v>
      </c>
      <c r="C36" s="566"/>
      <c r="D36" s="569">
        <f>D34*D37</f>
        <v>381199.94407319999</v>
      </c>
      <c r="E36" s="566"/>
      <c r="F36" s="569">
        <f>F34*F37</f>
        <v>61468.700000000004</v>
      </c>
      <c r="G36" s="569"/>
      <c r="H36" s="569">
        <f>H34*H37</f>
        <v>82686.711740800005</v>
      </c>
      <c r="I36" s="569"/>
      <c r="J36" s="569">
        <f>J34*J37</f>
        <v>101653.1217204</v>
      </c>
      <c r="K36" s="569"/>
      <c r="L36" s="569">
        <f>L34*L37</f>
        <v>51900</v>
      </c>
      <c r="M36" s="569"/>
      <c r="N36" s="569">
        <f>N34*N37</f>
        <v>60697</v>
      </c>
      <c r="O36" s="569"/>
      <c r="P36" s="569">
        <f>P34*P37</f>
        <v>20000</v>
      </c>
      <c r="Q36" s="569"/>
      <c r="R36" s="569">
        <f>R34*R37</f>
        <v>92618</v>
      </c>
      <c r="S36" s="574"/>
      <c r="T36" s="574"/>
      <c r="U36" s="563"/>
      <c r="V36" s="569">
        <f>SUM(C36:R36)</f>
        <v>852223.47753440007</v>
      </c>
      <c r="W36" s="565"/>
      <c r="X36" s="543"/>
    </row>
    <row r="37" spans="1:24" s="499" customFormat="1" x14ac:dyDescent="0.3">
      <c r="A37" s="492"/>
      <c r="B37" s="493" t="s">
        <v>130</v>
      </c>
      <c r="C37" s="494"/>
      <c r="D37" s="495">
        <v>0.49174780000000001</v>
      </c>
      <c r="E37" s="495"/>
      <c r="F37" s="495">
        <v>0.49174960000000001</v>
      </c>
      <c r="G37" s="495"/>
      <c r="H37" s="495">
        <v>0.49174960000000001</v>
      </c>
      <c r="I37" s="495"/>
      <c r="J37" s="495">
        <v>0.49174780000000001</v>
      </c>
      <c r="K37" s="495"/>
      <c r="L37" s="495">
        <v>1</v>
      </c>
      <c r="M37" s="495"/>
      <c r="N37" s="495">
        <v>1</v>
      </c>
      <c r="O37" s="495"/>
      <c r="P37" s="495">
        <v>1</v>
      </c>
      <c r="Q37" s="495"/>
      <c r="R37" s="495">
        <v>1</v>
      </c>
      <c r="S37" s="496"/>
      <c r="T37" s="496"/>
      <c r="U37" s="494"/>
      <c r="V37" s="494"/>
      <c r="W37" s="497"/>
      <c r="X37" s="498"/>
    </row>
    <row r="38" spans="1:24" s="499" customFormat="1" x14ac:dyDescent="0.3">
      <c r="A38" s="492"/>
      <c r="B38" s="493" t="s">
        <v>131</v>
      </c>
      <c r="C38" s="494"/>
      <c r="D38" s="495">
        <v>0.50298279999999995</v>
      </c>
      <c r="E38" s="495"/>
      <c r="F38" s="495">
        <v>0.5029846</v>
      </c>
      <c r="G38" s="495"/>
      <c r="H38" s="495">
        <v>0.5029846</v>
      </c>
      <c r="I38" s="495"/>
      <c r="J38" s="495">
        <v>0.50298279999999995</v>
      </c>
      <c r="K38" s="495"/>
      <c r="L38" s="495">
        <v>1</v>
      </c>
      <c r="M38" s="495"/>
      <c r="N38" s="495">
        <v>1</v>
      </c>
      <c r="O38" s="495"/>
      <c r="P38" s="495">
        <v>1</v>
      </c>
      <c r="Q38" s="495"/>
      <c r="R38" s="495">
        <v>1</v>
      </c>
      <c r="S38" s="500"/>
      <c r="T38" s="501"/>
      <c r="U38" s="494"/>
      <c r="V38" s="500"/>
      <c r="W38" s="497"/>
      <c r="X38" s="498"/>
    </row>
    <row r="39" spans="1:24" s="544" customFormat="1" x14ac:dyDescent="0.3">
      <c r="A39" s="555"/>
      <c r="B39" s="556" t="s">
        <v>11</v>
      </c>
      <c r="C39" s="556"/>
      <c r="D39" s="562" t="s">
        <v>321</v>
      </c>
      <c r="E39" s="556"/>
      <c r="F39" s="562" t="s">
        <v>231</v>
      </c>
      <c r="G39" s="562"/>
      <c r="H39" s="562" t="s">
        <v>231</v>
      </c>
      <c r="I39" s="562"/>
      <c r="J39" s="562" t="s">
        <v>231</v>
      </c>
      <c r="K39" s="562"/>
      <c r="L39" s="562" t="s">
        <v>265</v>
      </c>
      <c r="M39" s="562"/>
      <c r="N39" s="562" t="s">
        <v>265</v>
      </c>
      <c r="O39" s="562"/>
      <c r="P39" s="562" t="s">
        <v>266</v>
      </c>
      <c r="Q39" s="562"/>
      <c r="R39" s="562" t="s">
        <v>266</v>
      </c>
      <c r="S39" s="575"/>
      <c r="T39" s="576"/>
      <c r="U39" s="556"/>
      <c r="V39" s="556"/>
      <c r="W39" s="558"/>
      <c r="X39" s="543"/>
    </row>
    <row r="40" spans="1:24" s="544" customFormat="1" x14ac:dyDescent="0.3">
      <c r="A40" s="555"/>
      <c r="B40" s="556" t="s">
        <v>12</v>
      </c>
      <c r="C40" s="556"/>
      <c r="D40" s="576">
        <v>7.1618999999999997E-3</v>
      </c>
      <c r="E40" s="556"/>
      <c r="F40" s="576">
        <v>7.1618999999999997E-3</v>
      </c>
      <c r="G40" s="575"/>
      <c r="H40" s="576">
        <v>0</v>
      </c>
      <c r="I40" s="576"/>
      <c r="J40" s="576">
        <v>1.7884899999999999E-2</v>
      </c>
      <c r="K40" s="575"/>
      <c r="L40" s="576">
        <v>8.7618999999999995E-3</v>
      </c>
      <c r="M40" s="575"/>
      <c r="N40" s="576">
        <v>3.1E-4</v>
      </c>
      <c r="O40" s="575"/>
      <c r="P40" s="576">
        <v>1.27619E-2</v>
      </c>
      <c r="Q40" s="575"/>
      <c r="R40" s="576">
        <v>4.3099999999999996E-3</v>
      </c>
      <c r="S40" s="575"/>
      <c r="T40" s="576"/>
      <c r="U40" s="556"/>
      <c r="V40" s="562"/>
      <c r="W40" s="558"/>
      <c r="X40" s="543"/>
    </row>
    <row r="41" spans="1:24" s="544" customFormat="1" x14ac:dyDescent="0.3">
      <c r="A41" s="555"/>
      <c r="B41" s="556" t="s">
        <v>13</v>
      </c>
      <c r="C41" s="556"/>
      <c r="D41" s="576">
        <v>5.2687999999999997E-3</v>
      </c>
      <c r="E41" s="556"/>
      <c r="F41" s="576">
        <v>5.2687999999999997E-3</v>
      </c>
      <c r="G41" s="575"/>
      <c r="H41" s="576">
        <v>0</v>
      </c>
      <c r="I41" s="576"/>
      <c r="J41" s="576">
        <v>1.52E-2</v>
      </c>
      <c r="K41" s="575"/>
      <c r="L41" s="576">
        <v>6.8688000000000004E-3</v>
      </c>
      <c r="M41" s="575"/>
      <c r="N41" s="576">
        <v>3.1E-4</v>
      </c>
      <c r="O41" s="575"/>
      <c r="P41" s="576">
        <v>1.08688E-2</v>
      </c>
      <c r="Q41" s="575"/>
      <c r="R41" s="576">
        <v>4.3099999999999996E-3</v>
      </c>
      <c r="S41" s="575"/>
      <c r="T41" s="576"/>
      <c r="U41" s="556"/>
      <c r="V41" s="575" t="s">
        <v>193</v>
      </c>
      <c r="W41" s="558"/>
      <c r="X41" s="543"/>
    </row>
    <row r="42" spans="1:24" s="544" customFormat="1" x14ac:dyDescent="0.3">
      <c r="A42" s="555"/>
      <c r="B42" s="556" t="s">
        <v>299</v>
      </c>
      <c r="C42" s="556"/>
      <c r="D42" s="562" t="s">
        <v>321</v>
      </c>
      <c r="E42" s="556"/>
      <c r="F42" s="562" t="s">
        <v>231</v>
      </c>
      <c r="G42" s="562"/>
      <c r="H42" s="562" t="s">
        <v>323</v>
      </c>
      <c r="I42" s="562"/>
      <c r="J42" s="562" t="s">
        <v>324</v>
      </c>
      <c r="K42" s="562"/>
      <c r="L42" s="562" t="s">
        <v>265</v>
      </c>
      <c r="M42" s="562"/>
      <c r="N42" s="562" t="s">
        <v>234</v>
      </c>
      <c r="O42" s="562"/>
      <c r="P42" s="562" t="s">
        <v>266</v>
      </c>
      <c r="Q42" s="562"/>
      <c r="R42" s="562" t="s">
        <v>264</v>
      </c>
      <c r="S42" s="575"/>
      <c r="T42" s="576"/>
      <c r="U42" s="556"/>
      <c r="V42" s="556"/>
      <c r="W42" s="558"/>
      <c r="X42" s="543"/>
    </row>
    <row r="43" spans="1:24" s="544" customFormat="1" x14ac:dyDescent="0.3">
      <c r="A43" s="555"/>
      <c r="B43" s="556" t="s">
        <v>300</v>
      </c>
      <c r="C43" s="577"/>
      <c r="D43" s="576">
        <f>D40</f>
        <v>7.1618999999999997E-3</v>
      </c>
      <c r="E43" s="576"/>
      <c r="F43" s="576">
        <f>+F40</f>
        <v>7.1618999999999997E-3</v>
      </c>
      <c r="G43" s="576"/>
      <c r="H43" s="576">
        <v>7.4419000000000004E-3</v>
      </c>
      <c r="I43" s="576"/>
      <c r="J43" s="576">
        <v>7.8878999999999998E-3</v>
      </c>
      <c r="K43" s="576"/>
      <c r="L43" s="576">
        <f>+L40</f>
        <v>8.7618999999999995E-3</v>
      </c>
      <c r="M43" s="576"/>
      <c r="N43" s="576">
        <v>9.3539000000000001E-3</v>
      </c>
      <c r="O43" s="576"/>
      <c r="P43" s="576">
        <f>+P40</f>
        <v>1.27619E-2</v>
      </c>
      <c r="Q43" s="575"/>
      <c r="R43" s="576">
        <v>1.3827900000000001E-2</v>
      </c>
      <c r="S43" s="562"/>
      <c r="T43" s="562"/>
      <c r="U43" s="556"/>
      <c r="V43" s="575">
        <f>SUMPRODUCT(D43:R43,D35:R35)/V35</f>
        <v>8.3674258329463364E-3</v>
      </c>
      <c r="W43" s="558"/>
      <c r="X43" s="543"/>
    </row>
    <row r="44" spans="1:24" s="544" customFormat="1" x14ac:dyDescent="0.3">
      <c r="A44" s="555"/>
      <c r="B44" s="556" t="s">
        <v>301</v>
      </c>
      <c r="C44" s="577"/>
      <c r="D44" s="576">
        <f>D41</f>
        <v>5.2687999999999997E-3</v>
      </c>
      <c r="E44" s="576"/>
      <c r="F44" s="576">
        <f>+F41</f>
        <v>5.2687999999999997E-3</v>
      </c>
      <c r="G44" s="576"/>
      <c r="H44" s="576">
        <v>5.5488000000000004E-3</v>
      </c>
      <c r="I44" s="576"/>
      <c r="J44" s="576">
        <v>5.9947999999999998E-3</v>
      </c>
      <c r="K44" s="576"/>
      <c r="L44" s="576">
        <f>+L41</f>
        <v>6.8688000000000004E-3</v>
      </c>
      <c r="M44" s="576"/>
      <c r="N44" s="576">
        <v>7.4608000000000001E-3</v>
      </c>
      <c r="O44" s="576"/>
      <c r="P44" s="576">
        <f>+P41</f>
        <v>1.08688E-2</v>
      </c>
      <c r="Q44" s="575"/>
      <c r="R44" s="576">
        <v>1.1934800000000001E-2</v>
      </c>
      <c r="S44" s="562"/>
      <c r="T44" s="562"/>
      <c r="U44" s="556"/>
      <c r="V44" s="556"/>
      <c r="W44" s="558"/>
      <c r="X44" s="543"/>
    </row>
    <row r="45" spans="1:24" s="544" customFormat="1" x14ac:dyDescent="0.3">
      <c r="A45" s="555"/>
      <c r="B45" s="556" t="s">
        <v>14</v>
      </c>
      <c r="C45" s="556"/>
      <c r="D45" s="577">
        <v>40617</v>
      </c>
      <c r="E45" s="577"/>
      <c r="F45" s="577">
        <v>40617</v>
      </c>
      <c r="G45" s="577"/>
      <c r="H45" s="577">
        <v>40617</v>
      </c>
      <c r="I45" s="577"/>
      <c r="J45" s="577">
        <v>40617</v>
      </c>
      <c r="K45" s="577"/>
      <c r="L45" s="577">
        <v>40617</v>
      </c>
      <c r="M45" s="577"/>
      <c r="N45" s="577">
        <v>40617</v>
      </c>
      <c r="O45" s="577"/>
      <c r="P45" s="577">
        <v>40617</v>
      </c>
      <c r="Q45" s="577"/>
      <c r="R45" s="577">
        <v>40617</v>
      </c>
      <c r="S45" s="562"/>
      <c r="T45" s="562"/>
      <c r="U45" s="556"/>
      <c r="V45" s="556"/>
      <c r="W45" s="558"/>
      <c r="X45" s="543"/>
    </row>
    <row r="46" spans="1:24" s="544" customFormat="1" x14ac:dyDescent="0.3">
      <c r="A46" s="555"/>
      <c r="B46" s="556" t="s">
        <v>15</v>
      </c>
      <c r="C46" s="556"/>
      <c r="D46" s="577">
        <v>40983</v>
      </c>
      <c r="E46" s="577"/>
      <c r="F46" s="577">
        <v>40983</v>
      </c>
      <c r="G46" s="577"/>
      <c r="H46" s="577">
        <v>40983</v>
      </c>
      <c r="I46" s="577"/>
      <c r="J46" s="577">
        <v>40983</v>
      </c>
      <c r="K46" s="562"/>
      <c r="L46" s="577">
        <v>40983</v>
      </c>
      <c r="M46" s="562"/>
      <c r="N46" s="577">
        <v>40983</v>
      </c>
      <c r="O46" s="562"/>
      <c r="P46" s="577">
        <v>40983</v>
      </c>
      <c r="Q46" s="562"/>
      <c r="R46" s="577">
        <v>40983</v>
      </c>
      <c r="S46" s="562"/>
      <c r="T46" s="562"/>
      <c r="U46" s="556"/>
      <c r="V46" s="556"/>
      <c r="W46" s="558"/>
      <c r="X46" s="543"/>
    </row>
    <row r="47" spans="1:24" s="544" customFormat="1" x14ac:dyDescent="0.3">
      <c r="A47" s="555"/>
      <c r="B47" s="556" t="s">
        <v>119</v>
      </c>
      <c r="C47" s="556"/>
      <c r="D47" s="562" t="s">
        <v>231</v>
      </c>
      <c r="E47" s="556"/>
      <c r="F47" s="562" t="s">
        <v>231</v>
      </c>
      <c r="G47" s="562"/>
      <c r="H47" s="562" t="s">
        <v>231</v>
      </c>
      <c r="I47" s="562"/>
      <c r="J47" s="562" t="s">
        <v>231</v>
      </c>
      <c r="K47" s="562"/>
      <c r="L47" s="562" t="s">
        <v>265</v>
      </c>
      <c r="M47" s="562"/>
      <c r="N47" s="562" t="s">
        <v>265</v>
      </c>
      <c r="O47" s="562"/>
      <c r="P47" s="562" t="s">
        <v>266</v>
      </c>
      <c r="Q47" s="562"/>
      <c r="R47" s="562" t="s">
        <v>266</v>
      </c>
      <c r="S47" s="578"/>
      <c r="T47" s="578"/>
      <c r="U47" s="578"/>
      <c r="V47" s="578"/>
      <c r="W47" s="558"/>
      <c r="X47" s="543"/>
    </row>
    <row r="48" spans="1:24" s="544" customFormat="1" x14ac:dyDescent="0.3">
      <c r="A48" s="555"/>
      <c r="B48" s="556" t="s">
        <v>302</v>
      </c>
      <c r="C48" s="556"/>
      <c r="D48" s="562" t="s">
        <v>325</v>
      </c>
      <c r="E48" s="556"/>
      <c r="F48" s="562" t="s">
        <v>231</v>
      </c>
      <c r="G48" s="562"/>
      <c r="H48" s="562" t="s">
        <v>262</v>
      </c>
      <c r="I48" s="562"/>
      <c r="J48" s="562" t="s">
        <v>263</v>
      </c>
      <c r="K48" s="562"/>
      <c r="L48" s="562" t="s">
        <v>265</v>
      </c>
      <c r="M48" s="562"/>
      <c r="N48" s="562" t="s">
        <v>234</v>
      </c>
      <c r="O48" s="562"/>
      <c r="P48" s="562" t="s">
        <v>266</v>
      </c>
      <c r="Q48" s="562"/>
      <c r="R48" s="562" t="s">
        <v>264</v>
      </c>
      <c r="S48" s="556"/>
      <c r="T48" s="556"/>
      <c r="U48" s="556"/>
      <c r="V48" s="575"/>
      <c r="W48" s="558"/>
      <c r="X48" s="543"/>
    </row>
    <row r="49" spans="1:25" s="544" customFormat="1" x14ac:dyDescent="0.3">
      <c r="A49" s="555"/>
      <c r="B49" s="556"/>
      <c r="C49" s="556"/>
      <c r="D49" s="562"/>
      <c r="E49" s="556"/>
      <c r="F49" s="562"/>
      <c r="G49" s="562"/>
      <c r="H49" s="562"/>
      <c r="I49" s="562"/>
      <c r="J49" s="562"/>
      <c r="K49" s="562"/>
      <c r="L49" s="562"/>
      <c r="M49" s="562"/>
      <c r="N49" s="562"/>
      <c r="O49" s="562"/>
      <c r="P49" s="562"/>
      <c r="Q49" s="562"/>
      <c r="R49" s="562"/>
      <c r="S49" s="556"/>
      <c r="T49" s="556"/>
      <c r="U49" s="556"/>
      <c r="V49" s="575" t="s">
        <v>193</v>
      </c>
      <c r="W49" s="558"/>
      <c r="X49" s="543"/>
    </row>
    <row r="50" spans="1:25" s="544" customFormat="1" x14ac:dyDescent="0.3">
      <c r="A50" s="555"/>
      <c r="B50" s="556" t="s">
        <v>169</v>
      </c>
      <c r="C50" s="556"/>
      <c r="D50" s="562"/>
      <c r="E50" s="556"/>
      <c r="F50" s="562"/>
      <c r="G50" s="562"/>
      <c r="H50" s="562"/>
      <c r="I50" s="562"/>
      <c r="J50" s="562"/>
      <c r="K50" s="562"/>
      <c r="L50" s="562"/>
      <c r="M50" s="562"/>
      <c r="N50" s="562"/>
      <c r="O50" s="562"/>
      <c r="P50" s="562"/>
      <c r="Q50" s="562"/>
      <c r="R50" s="562"/>
      <c r="S50" s="556"/>
      <c r="T50" s="556"/>
      <c r="U50" s="556"/>
      <c r="V50" s="575">
        <f>SUM(L34:R34)/SUM(D34:J34)</f>
        <v>0.17663090364375009</v>
      </c>
      <c r="W50" s="558"/>
      <c r="X50" s="543"/>
    </row>
    <row r="51" spans="1:25" s="544" customFormat="1" x14ac:dyDescent="0.3">
      <c r="A51" s="555"/>
      <c r="B51" s="556" t="s">
        <v>170</v>
      </c>
      <c r="C51" s="556"/>
      <c r="D51" s="556"/>
      <c r="E51" s="556"/>
      <c r="F51" s="579"/>
      <c r="G51" s="556"/>
      <c r="H51" s="556"/>
      <c r="I51" s="556"/>
      <c r="J51" s="556"/>
      <c r="K51" s="556"/>
      <c r="L51" s="556"/>
      <c r="M51" s="556"/>
      <c r="N51" s="556"/>
      <c r="O51" s="556"/>
      <c r="P51" s="556"/>
      <c r="Q51" s="556"/>
      <c r="R51" s="556"/>
      <c r="S51" s="556"/>
      <c r="T51" s="556"/>
      <c r="U51" s="556"/>
      <c r="V51" s="575">
        <f>SUM(L36:R36)/SUM(D36:J36)</f>
        <v>0.35918972082421941</v>
      </c>
      <c r="W51" s="558"/>
      <c r="X51" s="543"/>
    </row>
    <row r="52" spans="1:25" s="544" customFormat="1" x14ac:dyDescent="0.3">
      <c r="A52" s="555"/>
      <c r="B52" s="556" t="s">
        <v>171</v>
      </c>
      <c r="C52" s="556"/>
      <c r="D52" s="556"/>
      <c r="E52" s="556"/>
      <c r="F52" s="556"/>
      <c r="G52" s="556"/>
      <c r="H52" s="556"/>
      <c r="I52" s="556"/>
      <c r="J52" s="556"/>
      <c r="K52" s="556"/>
      <c r="L52" s="556"/>
      <c r="M52" s="556"/>
      <c r="N52" s="556"/>
      <c r="O52" s="556"/>
      <c r="P52" s="556"/>
      <c r="Q52" s="556"/>
      <c r="R52" s="556"/>
      <c r="S52" s="556"/>
      <c r="T52" s="562"/>
      <c r="U52" s="562"/>
      <c r="V52" s="564" t="s">
        <v>276</v>
      </c>
      <c r="W52" s="558"/>
      <c r="X52" s="543"/>
    </row>
    <row r="53" spans="1:25" s="544" customFormat="1" x14ac:dyDescent="0.3">
      <c r="A53" s="555"/>
      <c r="B53" s="556"/>
      <c r="C53" s="556"/>
      <c r="D53" s="556"/>
      <c r="E53" s="556"/>
      <c r="F53" s="556"/>
      <c r="G53" s="556"/>
      <c r="H53" s="556"/>
      <c r="I53" s="556"/>
      <c r="J53" s="556"/>
      <c r="K53" s="556"/>
      <c r="L53" s="556"/>
      <c r="M53" s="556"/>
      <c r="N53" s="556"/>
      <c r="O53" s="556"/>
      <c r="P53" s="556"/>
      <c r="Q53" s="556"/>
      <c r="R53" s="556"/>
      <c r="S53" s="556"/>
      <c r="T53" s="556"/>
      <c r="U53" s="556"/>
      <c r="V53" s="580"/>
      <c r="W53" s="558"/>
      <c r="X53" s="543"/>
    </row>
    <row r="54" spans="1:25" s="544" customFormat="1" x14ac:dyDescent="0.3">
      <c r="A54" s="555"/>
      <c r="B54" s="556" t="s">
        <v>361</v>
      </c>
      <c r="C54" s="556"/>
      <c r="D54" s="556"/>
      <c r="E54" s="556"/>
      <c r="F54" s="556"/>
      <c r="G54" s="556"/>
      <c r="H54" s="556"/>
      <c r="I54" s="556"/>
      <c r="J54" s="556"/>
      <c r="K54" s="556"/>
      <c r="L54" s="556"/>
      <c r="M54" s="556"/>
      <c r="N54" s="556"/>
      <c r="O54" s="556"/>
      <c r="P54" s="556"/>
      <c r="Q54" s="556"/>
      <c r="R54" s="556"/>
      <c r="S54" s="556"/>
      <c r="T54" s="562"/>
      <c r="U54" s="562"/>
      <c r="V54" s="581" t="s">
        <v>111</v>
      </c>
      <c r="W54" s="558"/>
      <c r="X54" s="543"/>
    </row>
    <row r="55" spans="1:25" s="544" customFormat="1" x14ac:dyDescent="0.3">
      <c r="A55" s="555"/>
      <c r="B55" s="561" t="s">
        <v>201</v>
      </c>
      <c r="C55" s="561"/>
      <c r="D55" s="561"/>
      <c r="E55" s="561"/>
      <c r="F55" s="561"/>
      <c r="G55" s="561"/>
      <c r="H55" s="561"/>
      <c r="I55" s="561"/>
      <c r="J55" s="561"/>
      <c r="K55" s="561"/>
      <c r="L55" s="561"/>
      <c r="M55" s="561"/>
      <c r="N55" s="561"/>
      <c r="O55" s="561"/>
      <c r="P55" s="561"/>
      <c r="Q55" s="561"/>
      <c r="R55" s="561"/>
      <c r="S55" s="561"/>
      <c r="T55" s="582"/>
      <c r="U55" s="582"/>
      <c r="V55" s="583">
        <v>43174</v>
      </c>
      <c r="W55" s="558"/>
      <c r="X55" s="543"/>
    </row>
    <row r="56" spans="1:25" s="544" customFormat="1" x14ac:dyDescent="0.3">
      <c r="A56" s="555"/>
      <c r="B56" s="556" t="s">
        <v>121</v>
      </c>
      <c r="C56" s="556"/>
      <c r="D56" s="556"/>
      <c r="E56" s="556"/>
      <c r="F56" s="556"/>
      <c r="G56" s="556"/>
      <c r="H56" s="584"/>
      <c r="I56" s="584"/>
      <c r="J56" s="584"/>
      <c r="K56" s="584"/>
      <c r="L56" s="584"/>
      <c r="M56" s="584"/>
      <c r="N56" s="584"/>
      <c r="O56" s="584"/>
      <c r="P56" s="584"/>
      <c r="Q56" s="584"/>
      <c r="R56" s="556">
        <f>+V56-T56+1</f>
        <v>91</v>
      </c>
      <c r="S56" s="584"/>
      <c r="T56" s="585">
        <v>42993</v>
      </c>
      <c r="U56" s="586"/>
      <c r="V56" s="585">
        <v>43083</v>
      </c>
      <c r="W56" s="558"/>
      <c r="X56" s="543"/>
    </row>
    <row r="57" spans="1:25" s="544" customFormat="1" x14ac:dyDescent="0.3">
      <c r="A57" s="555"/>
      <c r="B57" s="556" t="s">
        <v>122</v>
      </c>
      <c r="C57" s="556"/>
      <c r="D57" s="556"/>
      <c r="E57" s="556"/>
      <c r="F57" s="556"/>
      <c r="G57" s="556"/>
      <c r="H57" s="556"/>
      <c r="I57" s="556"/>
      <c r="J57" s="556"/>
      <c r="K57" s="556"/>
      <c r="L57" s="556"/>
      <c r="M57" s="556"/>
      <c r="N57" s="556"/>
      <c r="O57" s="556"/>
      <c r="P57" s="556"/>
      <c r="Q57" s="556"/>
      <c r="R57" s="556">
        <f>+V57-T57+1</f>
        <v>90</v>
      </c>
      <c r="S57" s="556"/>
      <c r="T57" s="585">
        <v>43084</v>
      </c>
      <c r="U57" s="586"/>
      <c r="V57" s="585">
        <v>43173</v>
      </c>
      <c r="W57" s="558"/>
      <c r="X57" s="543"/>
    </row>
    <row r="58" spans="1:25" s="544" customFormat="1" x14ac:dyDescent="0.3">
      <c r="A58" s="555"/>
      <c r="B58" s="556" t="s">
        <v>360</v>
      </c>
      <c r="C58" s="556"/>
      <c r="D58" s="556"/>
      <c r="E58" s="556"/>
      <c r="F58" s="556"/>
      <c r="G58" s="556"/>
      <c r="H58" s="556"/>
      <c r="I58" s="556"/>
      <c r="J58" s="556"/>
      <c r="K58" s="556"/>
      <c r="L58" s="556"/>
      <c r="M58" s="556"/>
      <c r="N58" s="556"/>
      <c r="O58" s="556"/>
      <c r="P58" s="556"/>
      <c r="Q58" s="556"/>
      <c r="R58" s="556"/>
      <c r="S58" s="556"/>
      <c r="T58" s="585"/>
      <c r="U58" s="586"/>
      <c r="V58" s="585" t="s">
        <v>120</v>
      </c>
      <c r="W58" s="558"/>
      <c r="X58" s="543"/>
    </row>
    <row r="59" spans="1:25" s="544" customFormat="1" x14ac:dyDescent="0.3">
      <c r="A59" s="555"/>
      <c r="B59" s="556" t="s">
        <v>359</v>
      </c>
      <c r="C59" s="556"/>
      <c r="D59" s="556"/>
      <c r="E59" s="556"/>
      <c r="F59" s="556"/>
      <c r="G59" s="556"/>
      <c r="H59" s="556"/>
      <c r="I59" s="556"/>
      <c r="J59" s="556"/>
      <c r="K59" s="556"/>
      <c r="L59" s="556"/>
      <c r="M59" s="556"/>
      <c r="N59" s="556"/>
      <c r="O59" s="556"/>
      <c r="P59" s="556"/>
      <c r="Q59" s="556"/>
      <c r="R59" s="556"/>
      <c r="S59" s="556"/>
      <c r="T59" s="585"/>
      <c r="U59" s="586"/>
      <c r="V59" s="585" t="s">
        <v>154</v>
      </c>
      <c r="W59" s="558"/>
      <c r="X59" s="543"/>
      <c r="Y59" s="587"/>
    </row>
    <row r="60" spans="1:25" s="544" customFormat="1" x14ac:dyDescent="0.3">
      <c r="A60" s="555"/>
      <c r="B60" s="556" t="s">
        <v>16</v>
      </c>
      <c r="C60" s="556"/>
      <c r="D60" s="556"/>
      <c r="E60" s="556"/>
      <c r="F60" s="556"/>
      <c r="G60" s="556"/>
      <c r="H60" s="556"/>
      <c r="I60" s="556"/>
      <c r="J60" s="556"/>
      <c r="K60" s="556"/>
      <c r="L60" s="556"/>
      <c r="M60" s="556"/>
      <c r="N60" s="556"/>
      <c r="O60" s="556"/>
      <c r="P60" s="556"/>
      <c r="Q60" s="556"/>
      <c r="R60" s="556"/>
      <c r="S60" s="556"/>
      <c r="T60" s="585"/>
      <c r="U60" s="586"/>
      <c r="V60" s="585">
        <v>43160</v>
      </c>
      <c r="W60" s="558"/>
      <c r="X60" s="543"/>
    </row>
    <row r="61" spans="1:25" s="544" customFormat="1" x14ac:dyDescent="0.3">
      <c r="A61" s="540"/>
      <c r="B61" s="588"/>
      <c r="C61" s="588"/>
      <c r="D61" s="588"/>
      <c r="E61" s="588"/>
      <c r="F61" s="588"/>
      <c r="G61" s="588"/>
      <c r="H61" s="588"/>
      <c r="I61" s="588"/>
      <c r="J61" s="588"/>
      <c r="K61" s="588"/>
      <c r="L61" s="588"/>
      <c r="M61" s="588"/>
      <c r="N61" s="588"/>
      <c r="O61" s="588"/>
      <c r="P61" s="588"/>
      <c r="Q61" s="588"/>
      <c r="R61" s="588"/>
      <c r="S61" s="588"/>
      <c r="T61" s="589"/>
      <c r="U61" s="590"/>
      <c r="V61" s="589"/>
      <c r="W61" s="588"/>
      <c r="X61" s="543"/>
    </row>
    <row r="62" spans="1:25" s="544" customFormat="1" x14ac:dyDescent="0.3">
      <c r="A62" s="540"/>
      <c r="B62" s="541"/>
      <c r="C62" s="541"/>
      <c r="D62" s="541"/>
      <c r="E62" s="541"/>
      <c r="F62" s="541"/>
      <c r="G62" s="541"/>
      <c r="H62" s="541"/>
      <c r="I62" s="541"/>
      <c r="J62" s="541"/>
      <c r="K62" s="541"/>
      <c r="L62" s="541"/>
      <c r="M62" s="541"/>
      <c r="N62" s="541"/>
      <c r="O62" s="541"/>
      <c r="P62" s="541"/>
      <c r="Q62" s="541"/>
      <c r="R62" s="541"/>
      <c r="S62" s="541"/>
      <c r="T62" s="591"/>
      <c r="U62" s="592"/>
      <c r="V62" s="591"/>
      <c r="W62" s="541"/>
      <c r="X62" s="543"/>
    </row>
    <row r="63" spans="1:25" s="544" customFormat="1" ht="18.600000000000001" thickBot="1" x14ac:dyDescent="0.4">
      <c r="A63" s="593"/>
      <c r="B63" s="594" t="s">
        <v>376</v>
      </c>
      <c r="C63" s="595"/>
      <c r="D63" s="595"/>
      <c r="E63" s="595"/>
      <c r="F63" s="595"/>
      <c r="G63" s="595"/>
      <c r="H63" s="595"/>
      <c r="I63" s="595"/>
      <c r="J63" s="595"/>
      <c r="K63" s="595"/>
      <c r="L63" s="595"/>
      <c r="M63" s="595"/>
      <c r="N63" s="595"/>
      <c r="O63" s="595"/>
      <c r="P63" s="595"/>
      <c r="Q63" s="595"/>
      <c r="R63" s="595"/>
      <c r="S63" s="595"/>
      <c r="T63" s="595"/>
      <c r="U63" s="595"/>
      <c r="V63" s="596"/>
      <c r="W63" s="597"/>
      <c r="X63" s="543"/>
    </row>
    <row r="64" spans="1:25" x14ac:dyDescent="0.3">
      <c r="A64" s="515"/>
      <c r="B64" s="521" t="s">
        <v>17</v>
      </c>
      <c r="C64" s="516"/>
      <c r="D64" s="516"/>
      <c r="E64" s="516"/>
      <c r="F64" s="516"/>
      <c r="G64" s="516"/>
      <c r="H64" s="516"/>
      <c r="I64" s="516"/>
      <c r="J64" s="516"/>
      <c r="K64" s="516"/>
      <c r="L64" s="516"/>
      <c r="M64" s="516"/>
      <c r="N64" s="516"/>
      <c r="O64" s="516"/>
      <c r="P64" s="516"/>
      <c r="Q64" s="516"/>
      <c r="R64" s="516"/>
      <c r="S64" s="516"/>
      <c r="T64" s="516"/>
      <c r="U64" s="516"/>
      <c r="V64" s="522"/>
      <c r="W64" s="516"/>
      <c r="X64" s="415"/>
    </row>
    <row r="65" spans="1:24" x14ac:dyDescent="0.3">
      <c r="A65" s="417"/>
      <c r="B65" s="425"/>
      <c r="C65" s="419"/>
      <c r="D65" s="419"/>
      <c r="E65" s="419"/>
      <c r="F65" s="419"/>
      <c r="G65" s="419"/>
      <c r="H65" s="419"/>
      <c r="I65" s="419"/>
      <c r="J65" s="419"/>
      <c r="K65" s="419"/>
      <c r="L65" s="419"/>
      <c r="M65" s="419"/>
      <c r="N65" s="419"/>
      <c r="O65" s="419"/>
      <c r="P65" s="419"/>
      <c r="Q65" s="419"/>
      <c r="R65" s="419"/>
      <c r="S65" s="419"/>
      <c r="T65" s="419"/>
      <c r="U65" s="419"/>
      <c r="V65" s="439"/>
      <c r="W65" s="419"/>
      <c r="X65" s="415"/>
    </row>
    <row r="66" spans="1:24" s="499" customFormat="1" ht="46.8" x14ac:dyDescent="0.3">
      <c r="A66" s="502"/>
      <c r="B66" s="503" t="s">
        <v>18</v>
      </c>
      <c r="C66" s="504"/>
      <c r="D66" s="504"/>
      <c r="E66" s="504"/>
      <c r="F66" s="504"/>
      <c r="G66" s="504"/>
      <c r="H66" s="504"/>
      <c r="I66" s="504"/>
      <c r="J66" s="504"/>
      <c r="K66" s="504"/>
      <c r="L66" s="504" t="s">
        <v>94</v>
      </c>
      <c r="M66" s="504"/>
      <c r="N66" s="504" t="s">
        <v>96</v>
      </c>
      <c r="O66" s="504"/>
      <c r="P66" s="504" t="s">
        <v>98</v>
      </c>
      <c r="Q66" s="504"/>
      <c r="R66" s="504" t="s">
        <v>100</v>
      </c>
      <c r="S66" s="504"/>
      <c r="T66" s="504" t="s">
        <v>106</v>
      </c>
      <c r="U66" s="504"/>
      <c r="V66" s="505" t="s">
        <v>112</v>
      </c>
      <c r="W66" s="506"/>
      <c r="X66" s="498"/>
    </row>
    <row r="67" spans="1:24" s="544" customFormat="1" x14ac:dyDescent="0.3">
      <c r="A67" s="555"/>
      <c r="B67" s="556" t="s">
        <v>19</v>
      </c>
      <c r="C67" s="598"/>
      <c r="D67" s="598"/>
      <c r="E67" s="598"/>
      <c r="F67" s="598"/>
      <c r="G67" s="598"/>
      <c r="H67" s="598"/>
      <c r="I67" s="598"/>
      <c r="J67" s="598"/>
      <c r="K67" s="598"/>
      <c r="L67" s="598">
        <v>1158015</v>
      </c>
      <c r="M67" s="598"/>
      <c r="N67" s="599">
        <v>866549</v>
      </c>
      <c r="O67" s="598"/>
      <c r="P67" s="598">
        <f>14325+598+30+1</f>
        <v>14954</v>
      </c>
      <c r="Q67" s="598"/>
      <c r="R67" s="598">
        <f>598+30</f>
        <v>628</v>
      </c>
      <c r="S67" s="598"/>
      <c r="T67" s="598">
        <v>0</v>
      </c>
      <c r="U67" s="598"/>
      <c r="V67" s="599">
        <f>+N67-P67+R67-T67</f>
        <v>852223</v>
      </c>
      <c r="W67" s="558"/>
      <c r="X67" s="543"/>
    </row>
    <row r="68" spans="1:24" s="544" customFormat="1" x14ac:dyDescent="0.3">
      <c r="A68" s="555"/>
      <c r="B68" s="556" t="s">
        <v>20</v>
      </c>
      <c r="C68" s="598"/>
      <c r="D68" s="598"/>
      <c r="E68" s="598"/>
      <c r="F68" s="598"/>
      <c r="G68" s="598"/>
      <c r="H68" s="598"/>
      <c r="I68" s="598"/>
      <c r="J68" s="598"/>
      <c r="K68" s="598"/>
      <c r="L68" s="598">
        <v>15</v>
      </c>
      <c r="M68" s="598"/>
      <c r="N68" s="599">
        <v>0</v>
      </c>
      <c r="O68" s="598"/>
      <c r="P68" s="598">
        <v>0</v>
      </c>
      <c r="Q68" s="598"/>
      <c r="R68" s="598">
        <v>0</v>
      </c>
      <c r="S68" s="598"/>
      <c r="T68" s="598">
        <v>0</v>
      </c>
      <c r="U68" s="598"/>
      <c r="V68" s="599">
        <v>0</v>
      </c>
      <c r="W68" s="558"/>
      <c r="X68" s="543"/>
    </row>
    <row r="69" spans="1:24" s="544" customFormat="1" x14ac:dyDescent="0.3">
      <c r="A69" s="555"/>
      <c r="B69" s="556"/>
      <c r="C69" s="598"/>
      <c r="D69" s="598"/>
      <c r="E69" s="598"/>
      <c r="F69" s="598"/>
      <c r="G69" s="598"/>
      <c r="H69" s="598"/>
      <c r="I69" s="598"/>
      <c r="J69" s="598"/>
      <c r="K69" s="598"/>
      <c r="L69" s="598"/>
      <c r="M69" s="598"/>
      <c r="N69" s="599"/>
      <c r="O69" s="598"/>
      <c r="P69" s="598"/>
      <c r="Q69" s="598"/>
      <c r="R69" s="598"/>
      <c r="S69" s="598"/>
      <c r="T69" s="598"/>
      <c r="U69" s="598"/>
      <c r="V69" s="599"/>
      <c r="W69" s="558"/>
      <c r="X69" s="543"/>
    </row>
    <row r="70" spans="1:24" s="544" customFormat="1" x14ac:dyDescent="0.3">
      <c r="A70" s="555"/>
      <c r="B70" s="556" t="s">
        <v>21</v>
      </c>
      <c r="C70" s="598"/>
      <c r="D70" s="598"/>
      <c r="E70" s="598"/>
      <c r="F70" s="598"/>
      <c r="G70" s="598"/>
      <c r="H70" s="598"/>
      <c r="I70" s="598"/>
      <c r="J70" s="598"/>
      <c r="K70" s="598"/>
      <c r="L70" s="598">
        <f>SUM(L67:L69)</f>
        <v>1158030</v>
      </c>
      <c r="M70" s="598"/>
      <c r="N70" s="598">
        <f>N67+N68</f>
        <v>866549</v>
      </c>
      <c r="O70" s="598"/>
      <c r="P70" s="598">
        <f>SUM(P67:P69)</f>
        <v>14954</v>
      </c>
      <c r="Q70" s="598"/>
      <c r="R70" s="598">
        <f>SUM(R67:R69)</f>
        <v>628</v>
      </c>
      <c r="S70" s="598"/>
      <c r="T70" s="598">
        <f>SUM(T67:T69)</f>
        <v>0</v>
      </c>
      <c r="U70" s="598"/>
      <c r="V70" s="598">
        <f>SUM(V67:V69)</f>
        <v>852223</v>
      </c>
      <c r="W70" s="558"/>
      <c r="X70" s="543"/>
    </row>
    <row r="71" spans="1:24" x14ac:dyDescent="0.3">
      <c r="A71" s="417"/>
      <c r="B71" s="441"/>
      <c r="C71" s="442"/>
      <c r="D71" s="442"/>
      <c r="E71" s="442"/>
      <c r="F71" s="442"/>
      <c r="G71" s="442"/>
      <c r="H71" s="442"/>
      <c r="I71" s="442"/>
      <c r="J71" s="442"/>
      <c r="K71" s="442"/>
      <c r="L71" s="442"/>
      <c r="M71" s="442"/>
      <c r="N71" s="442"/>
      <c r="O71" s="442"/>
      <c r="P71" s="442"/>
      <c r="Q71" s="442"/>
      <c r="R71" s="442"/>
      <c r="S71" s="442"/>
      <c r="T71" s="442"/>
      <c r="U71" s="442"/>
      <c r="V71" s="443"/>
      <c r="W71" s="441"/>
      <c r="X71" s="415"/>
    </row>
    <row r="72" spans="1:24" x14ac:dyDescent="0.3">
      <c r="A72" s="417"/>
      <c r="B72" s="421" t="s">
        <v>22</v>
      </c>
      <c r="C72" s="444"/>
      <c r="D72" s="444"/>
      <c r="E72" s="444"/>
      <c r="F72" s="444"/>
      <c r="G72" s="444"/>
      <c r="H72" s="444"/>
      <c r="I72" s="444"/>
      <c r="J72" s="444"/>
      <c r="K72" s="444"/>
      <c r="L72" s="444"/>
      <c r="M72" s="444"/>
      <c r="N72" s="444"/>
      <c r="O72" s="444"/>
      <c r="P72" s="444"/>
      <c r="Q72" s="444"/>
      <c r="R72" s="444"/>
      <c r="S72" s="444"/>
      <c r="T72" s="444"/>
      <c r="U72" s="444"/>
      <c r="V72" s="445"/>
      <c r="W72" s="419"/>
      <c r="X72" s="415"/>
    </row>
    <row r="73" spans="1:24" x14ac:dyDescent="0.3">
      <c r="A73" s="417"/>
      <c r="B73" s="419"/>
      <c r="C73" s="444"/>
      <c r="D73" s="444"/>
      <c r="E73" s="444"/>
      <c r="F73" s="444"/>
      <c r="G73" s="444"/>
      <c r="H73" s="444"/>
      <c r="I73" s="444"/>
      <c r="J73" s="444"/>
      <c r="K73" s="444"/>
      <c r="L73" s="444"/>
      <c r="M73" s="444"/>
      <c r="N73" s="444"/>
      <c r="O73" s="444"/>
      <c r="P73" s="444"/>
      <c r="Q73" s="444"/>
      <c r="R73" s="444"/>
      <c r="S73" s="444"/>
      <c r="T73" s="444"/>
      <c r="U73" s="444"/>
      <c r="V73" s="445"/>
      <c r="W73" s="419"/>
      <c r="X73" s="415"/>
    </row>
    <row r="74" spans="1:24" s="544" customFormat="1" x14ac:dyDescent="0.3">
      <c r="A74" s="555"/>
      <c r="B74" s="556" t="s">
        <v>19</v>
      </c>
      <c r="C74" s="598"/>
      <c r="D74" s="598"/>
      <c r="E74" s="598"/>
      <c r="F74" s="598"/>
      <c r="G74" s="598"/>
      <c r="H74" s="598"/>
      <c r="I74" s="598"/>
      <c r="J74" s="598"/>
      <c r="K74" s="598"/>
      <c r="L74" s="598"/>
      <c r="M74" s="598"/>
      <c r="N74" s="598"/>
      <c r="O74" s="598"/>
      <c r="P74" s="598"/>
      <c r="Q74" s="598"/>
      <c r="R74" s="598"/>
      <c r="S74" s="598"/>
      <c r="T74" s="598"/>
      <c r="U74" s="598"/>
      <c r="V74" s="598"/>
      <c r="W74" s="558"/>
      <c r="X74" s="543"/>
    </row>
    <row r="75" spans="1:24" s="544" customFormat="1" x14ac:dyDescent="0.3">
      <c r="A75" s="555"/>
      <c r="B75" s="556" t="s">
        <v>20</v>
      </c>
      <c r="C75" s="598"/>
      <c r="D75" s="598"/>
      <c r="E75" s="598"/>
      <c r="F75" s="598"/>
      <c r="G75" s="598"/>
      <c r="H75" s="598"/>
      <c r="I75" s="598"/>
      <c r="J75" s="598"/>
      <c r="K75" s="598"/>
      <c r="L75" s="598"/>
      <c r="M75" s="598"/>
      <c r="N75" s="598"/>
      <c r="O75" s="598"/>
      <c r="P75" s="598"/>
      <c r="Q75" s="598"/>
      <c r="R75" s="598"/>
      <c r="S75" s="598"/>
      <c r="T75" s="598"/>
      <c r="U75" s="598"/>
      <c r="V75" s="598"/>
      <c r="W75" s="558"/>
      <c r="X75" s="543"/>
    </row>
    <row r="76" spans="1:24" s="544" customFormat="1" x14ac:dyDescent="0.3">
      <c r="A76" s="555"/>
      <c r="B76" s="556"/>
      <c r="C76" s="598"/>
      <c r="D76" s="598"/>
      <c r="E76" s="598"/>
      <c r="F76" s="598"/>
      <c r="G76" s="598"/>
      <c r="H76" s="598"/>
      <c r="I76" s="598"/>
      <c r="J76" s="598"/>
      <c r="K76" s="598"/>
      <c r="L76" s="598"/>
      <c r="M76" s="598"/>
      <c r="N76" s="598"/>
      <c r="O76" s="598"/>
      <c r="P76" s="598"/>
      <c r="Q76" s="598"/>
      <c r="R76" s="598"/>
      <c r="S76" s="598"/>
      <c r="T76" s="598"/>
      <c r="U76" s="598"/>
      <c r="V76" s="598"/>
      <c r="W76" s="558"/>
      <c r="X76" s="543"/>
    </row>
    <row r="77" spans="1:24" s="544" customFormat="1" x14ac:dyDescent="0.3">
      <c r="A77" s="555"/>
      <c r="B77" s="556" t="s">
        <v>21</v>
      </c>
      <c r="C77" s="598"/>
      <c r="D77" s="598"/>
      <c r="E77" s="598"/>
      <c r="F77" s="598"/>
      <c r="G77" s="598"/>
      <c r="H77" s="598"/>
      <c r="I77" s="598"/>
      <c r="J77" s="598"/>
      <c r="K77" s="598"/>
      <c r="L77" s="598"/>
      <c r="M77" s="598"/>
      <c r="N77" s="598"/>
      <c r="O77" s="598"/>
      <c r="P77" s="598"/>
      <c r="Q77" s="598"/>
      <c r="R77" s="598"/>
      <c r="S77" s="598"/>
      <c r="T77" s="598"/>
      <c r="U77" s="598"/>
      <c r="V77" s="598"/>
      <c r="W77" s="558"/>
      <c r="X77" s="543"/>
    </row>
    <row r="78" spans="1:24" s="544" customFormat="1" x14ac:dyDescent="0.3">
      <c r="A78" s="555"/>
      <c r="B78" s="556"/>
      <c r="C78" s="598"/>
      <c r="D78" s="598"/>
      <c r="E78" s="598"/>
      <c r="F78" s="598"/>
      <c r="G78" s="598"/>
      <c r="H78" s="598"/>
      <c r="I78" s="598"/>
      <c r="J78" s="598"/>
      <c r="K78" s="598"/>
      <c r="L78" s="598"/>
      <c r="M78" s="598"/>
      <c r="N78" s="598"/>
      <c r="O78" s="598"/>
      <c r="P78" s="598"/>
      <c r="Q78" s="598"/>
      <c r="R78" s="598"/>
      <c r="S78" s="598"/>
      <c r="T78" s="598"/>
      <c r="U78" s="598"/>
      <c r="V78" s="598"/>
      <c r="W78" s="558"/>
      <c r="X78" s="543"/>
    </row>
    <row r="79" spans="1:24" s="544" customFormat="1" x14ac:dyDescent="0.3">
      <c r="A79" s="555"/>
      <c r="B79" s="556" t="s">
        <v>23</v>
      </c>
      <c r="C79" s="598"/>
      <c r="D79" s="598"/>
      <c r="E79" s="598"/>
      <c r="F79" s="598"/>
      <c r="G79" s="598"/>
      <c r="H79" s="598"/>
      <c r="I79" s="598"/>
      <c r="J79" s="598"/>
      <c r="K79" s="598"/>
      <c r="L79" s="598">
        <v>0</v>
      </c>
      <c r="M79" s="598"/>
      <c r="N79" s="598">
        <v>0</v>
      </c>
      <c r="O79" s="598"/>
      <c r="P79" s="598"/>
      <c r="Q79" s="598"/>
      <c r="R79" s="598"/>
      <c r="S79" s="598"/>
      <c r="T79" s="598"/>
      <c r="U79" s="598"/>
      <c r="V79" s="599">
        <v>0</v>
      </c>
      <c r="W79" s="558"/>
      <c r="X79" s="543"/>
    </row>
    <row r="80" spans="1:24" s="544" customFormat="1" x14ac:dyDescent="0.3">
      <c r="A80" s="555"/>
      <c r="B80" s="556" t="s">
        <v>117</v>
      </c>
      <c r="C80" s="598"/>
      <c r="D80" s="598"/>
      <c r="E80" s="598"/>
      <c r="F80" s="598"/>
      <c r="G80" s="598"/>
      <c r="H80" s="598"/>
      <c r="I80" s="598"/>
      <c r="J80" s="598"/>
      <c r="K80" s="598"/>
      <c r="L80" s="598">
        <v>342245</v>
      </c>
      <c r="M80" s="598"/>
      <c r="N80" s="598">
        <v>0</v>
      </c>
      <c r="O80" s="598"/>
      <c r="P80" s="598">
        <v>0</v>
      </c>
      <c r="Q80" s="598"/>
      <c r="R80" s="598"/>
      <c r="S80" s="598"/>
      <c r="T80" s="598"/>
      <c r="U80" s="598"/>
      <c r="V80" s="598">
        <f>SUM(N80:R80)</f>
        <v>0</v>
      </c>
      <c r="W80" s="558"/>
      <c r="X80" s="543"/>
    </row>
    <row r="81" spans="1:24" s="544" customFormat="1" x14ac:dyDescent="0.3">
      <c r="A81" s="555"/>
      <c r="B81" s="556" t="s">
        <v>146</v>
      </c>
      <c r="C81" s="598"/>
      <c r="D81" s="598"/>
      <c r="E81" s="598"/>
      <c r="F81" s="598"/>
      <c r="G81" s="598"/>
      <c r="H81" s="598"/>
      <c r="I81" s="598"/>
      <c r="J81" s="598"/>
      <c r="K81" s="598"/>
      <c r="L81" s="598">
        <v>0</v>
      </c>
      <c r="M81" s="598"/>
      <c r="N81" s="598">
        <v>0</v>
      </c>
      <c r="O81" s="598"/>
      <c r="P81" s="598">
        <v>0</v>
      </c>
      <c r="Q81" s="598"/>
      <c r="R81" s="598"/>
      <c r="S81" s="598"/>
      <c r="T81" s="598"/>
      <c r="U81" s="598"/>
      <c r="V81" s="598">
        <f>+N81+P81</f>
        <v>0</v>
      </c>
      <c r="W81" s="558"/>
      <c r="X81" s="543"/>
    </row>
    <row r="82" spans="1:24" s="544" customFormat="1" x14ac:dyDescent="0.3">
      <c r="A82" s="555"/>
      <c r="B82" s="556" t="s">
        <v>25</v>
      </c>
      <c r="C82" s="598"/>
      <c r="D82" s="598"/>
      <c r="E82" s="598"/>
      <c r="F82" s="598"/>
      <c r="G82" s="598"/>
      <c r="H82" s="598"/>
      <c r="I82" s="598"/>
      <c r="J82" s="598"/>
      <c r="K82" s="598"/>
      <c r="L82" s="598">
        <v>0</v>
      </c>
      <c r="M82" s="598"/>
      <c r="N82" s="598">
        <v>0</v>
      </c>
      <c r="O82" s="598"/>
      <c r="P82" s="598"/>
      <c r="Q82" s="598"/>
      <c r="R82" s="598"/>
      <c r="S82" s="598"/>
      <c r="T82" s="598"/>
      <c r="U82" s="598"/>
      <c r="V82" s="598">
        <v>0</v>
      </c>
      <c r="W82" s="558"/>
      <c r="X82" s="543"/>
    </row>
    <row r="83" spans="1:24" s="544" customFormat="1" x14ac:dyDescent="0.3">
      <c r="A83" s="555"/>
      <c r="B83" s="556" t="s">
        <v>26</v>
      </c>
      <c r="C83" s="598"/>
      <c r="D83" s="598"/>
      <c r="E83" s="598"/>
      <c r="F83" s="598"/>
      <c r="G83" s="598"/>
      <c r="H83" s="598"/>
      <c r="I83" s="598"/>
      <c r="J83" s="598"/>
      <c r="K83" s="598"/>
      <c r="L83" s="598">
        <f>SUM(L70:L82)</f>
        <v>1500275</v>
      </c>
      <c r="M83" s="598"/>
      <c r="N83" s="598">
        <f>SUM(N70:N82)</f>
        <v>866549</v>
      </c>
      <c r="O83" s="598"/>
      <c r="P83" s="598"/>
      <c r="Q83" s="598"/>
      <c r="R83" s="598"/>
      <c r="S83" s="598"/>
      <c r="T83" s="598"/>
      <c r="U83" s="598"/>
      <c r="V83" s="598">
        <f>SUM(V70:V82)</f>
        <v>852223</v>
      </c>
      <c r="W83" s="558"/>
      <c r="X83" s="543"/>
    </row>
    <row r="84" spans="1:24" x14ac:dyDescent="0.3">
      <c r="A84" s="446"/>
      <c r="B84" s="437"/>
      <c r="C84" s="447"/>
      <c r="D84" s="447"/>
      <c r="E84" s="447"/>
      <c r="F84" s="447"/>
      <c r="G84" s="447"/>
      <c r="H84" s="447"/>
      <c r="I84" s="447"/>
      <c r="J84" s="447"/>
      <c r="K84" s="447"/>
      <c r="L84" s="447"/>
      <c r="M84" s="447"/>
      <c r="N84" s="447"/>
      <c r="O84" s="447"/>
      <c r="P84" s="447"/>
      <c r="Q84" s="447"/>
      <c r="R84" s="447"/>
      <c r="S84" s="447"/>
      <c r="T84" s="447"/>
      <c r="U84" s="447"/>
      <c r="V84" s="447"/>
      <c r="W84" s="437"/>
      <c r="X84" s="415"/>
    </row>
    <row r="85" spans="1:24" x14ac:dyDescent="0.3">
      <c r="A85" s="446"/>
      <c r="B85" s="427"/>
      <c r="C85" s="427"/>
      <c r="D85" s="427"/>
      <c r="E85" s="427"/>
      <c r="F85" s="427"/>
      <c r="G85" s="427"/>
      <c r="H85" s="427"/>
      <c r="I85" s="427"/>
      <c r="J85" s="427"/>
      <c r="K85" s="427"/>
      <c r="L85" s="427"/>
      <c r="M85" s="427"/>
      <c r="N85" s="427"/>
      <c r="O85" s="427"/>
      <c r="P85" s="427"/>
      <c r="Q85" s="427"/>
      <c r="R85" s="427"/>
      <c r="S85" s="427"/>
      <c r="T85" s="427"/>
      <c r="U85" s="427"/>
      <c r="V85" s="427"/>
      <c r="W85" s="427"/>
      <c r="X85" s="415"/>
    </row>
    <row r="86" spans="1:24" x14ac:dyDescent="0.3">
      <c r="A86" s="515"/>
      <c r="B86" s="523" t="s">
        <v>27</v>
      </c>
      <c r="C86" s="523"/>
      <c r="D86" s="523"/>
      <c r="E86" s="523"/>
      <c r="F86" s="523"/>
      <c r="G86" s="523"/>
      <c r="H86" s="524"/>
      <c r="I86" s="524"/>
      <c r="J86" s="524"/>
      <c r="K86" s="524"/>
      <c r="L86" s="525" t="s">
        <v>95</v>
      </c>
      <c r="M86" s="524"/>
      <c r="N86" s="526">
        <f>+T204</f>
        <v>43159</v>
      </c>
      <c r="O86" s="524"/>
      <c r="P86" s="524"/>
      <c r="Q86" s="524"/>
      <c r="R86" s="524"/>
      <c r="S86" s="524"/>
      <c r="T86" s="524" t="s">
        <v>107</v>
      </c>
      <c r="U86" s="524"/>
      <c r="V86" s="524" t="s">
        <v>113</v>
      </c>
      <c r="W86" s="520"/>
      <c r="X86" s="415"/>
    </row>
    <row r="87" spans="1:24" s="544" customFormat="1" x14ac:dyDescent="0.3">
      <c r="A87" s="540"/>
      <c r="B87" s="588" t="s">
        <v>28</v>
      </c>
      <c r="C87" s="588"/>
      <c r="D87" s="588"/>
      <c r="E87" s="588"/>
      <c r="F87" s="588"/>
      <c r="G87" s="588"/>
      <c r="H87" s="588"/>
      <c r="I87" s="588"/>
      <c r="J87" s="588"/>
      <c r="K87" s="588"/>
      <c r="L87" s="588"/>
      <c r="M87" s="588"/>
      <c r="N87" s="588"/>
      <c r="O87" s="588"/>
      <c r="P87" s="588"/>
      <c r="Q87" s="588"/>
      <c r="R87" s="588"/>
      <c r="S87" s="588"/>
      <c r="T87" s="600">
        <v>0</v>
      </c>
      <c r="U87" s="588"/>
      <c r="V87" s="601">
        <v>0</v>
      </c>
      <c r="W87" s="588"/>
      <c r="X87" s="543"/>
    </row>
    <row r="88" spans="1:24" s="544" customFormat="1" x14ac:dyDescent="0.3">
      <c r="A88" s="555"/>
      <c r="B88" s="556" t="s">
        <v>29</v>
      </c>
      <c r="C88" s="556"/>
      <c r="D88" s="556"/>
      <c r="E88" s="556"/>
      <c r="F88" s="556"/>
      <c r="G88" s="556"/>
      <c r="H88" s="578"/>
      <c r="I88" s="578"/>
      <c r="J88" s="578"/>
      <c r="K88" s="602"/>
      <c r="L88" s="578"/>
      <c r="M88" s="556"/>
      <c r="N88" s="603"/>
      <c r="O88" s="556"/>
      <c r="P88" s="556"/>
      <c r="Q88" s="556"/>
      <c r="R88" s="556"/>
      <c r="S88" s="556"/>
      <c r="T88" s="598">
        <f>14954+18</f>
        <v>14972</v>
      </c>
      <c r="U88" s="556"/>
      <c r="V88" s="599"/>
      <c r="W88" s="558"/>
      <c r="X88" s="543"/>
    </row>
    <row r="89" spans="1:24" s="544" customFormat="1" x14ac:dyDescent="0.3">
      <c r="A89" s="555"/>
      <c r="B89" s="556" t="s">
        <v>216</v>
      </c>
      <c r="C89" s="556"/>
      <c r="D89" s="556"/>
      <c r="E89" s="556"/>
      <c r="F89" s="556"/>
      <c r="G89" s="556"/>
      <c r="H89" s="578"/>
      <c r="I89" s="578"/>
      <c r="J89" s="578"/>
      <c r="K89" s="602"/>
      <c r="L89" s="578"/>
      <c r="M89" s="556"/>
      <c r="N89" s="603"/>
      <c r="O89" s="556"/>
      <c r="P89" s="556"/>
      <c r="Q89" s="556"/>
      <c r="R89" s="556"/>
      <c r="S89" s="556"/>
      <c r="T89" s="598"/>
      <c r="U89" s="556"/>
      <c r="V89" s="599">
        <f>3083+3465-551-781</f>
        <v>5216</v>
      </c>
      <c r="W89" s="558"/>
      <c r="X89" s="543"/>
    </row>
    <row r="90" spans="1:24" s="544" customFormat="1" x14ac:dyDescent="0.3">
      <c r="A90" s="555"/>
      <c r="B90" s="556" t="s">
        <v>211</v>
      </c>
      <c r="C90" s="556"/>
      <c r="D90" s="556"/>
      <c r="E90" s="556"/>
      <c r="F90" s="556"/>
      <c r="G90" s="556"/>
      <c r="H90" s="578"/>
      <c r="I90" s="578"/>
      <c r="J90" s="578"/>
      <c r="K90" s="602"/>
      <c r="L90" s="578"/>
      <c r="M90" s="556"/>
      <c r="N90" s="603"/>
      <c r="O90" s="556"/>
      <c r="P90" s="556"/>
      <c r="Q90" s="556"/>
      <c r="R90" s="556"/>
      <c r="S90" s="556"/>
      <c r="T90" s="598"/>
      <c r="U90" s="556"/>
      <c r="V90" s="599">
        <f>20+85</f>
        <v>105</v>
      </c>
      <c r="W90" s="558"/>
      <c r="X90" s="543"/>
    </row>
    <row r="91" spans="1:24" s="544" customFormat="1" x14ac:dyDescent="0.3">
      <c r="A91" s="555"/>
      <c r="B91" s="556" t="s">
        <v>212</v>
      </c>
      <c r="C91" s="556"/>
      <c r="D91" s="556"/>
      <c r="E91" s="556"/>
      <c r="F91" s="556"/>
      <c r="G91" s="556"/>
      <c r="H91" s="578"/>
      <c r="I91" s="578"/>
      <c r="J91" s="578"/>
      <c r="K91" s="602"/>
      <c r="L91" s="578"/>
      <c r="M91" s="556"/>
      <c r="N91" s="603"/>
      <c r="O91" s="556"/>
      <c r="P91" s="556"/>
      <c r="Q91" s="556"/>
      <c r="R91" s="556"/>
      <c r="S91" s="556"/>
      <c r="T91" s="598"/>
      <c r="U91" s="556"/>
      <c r="V91" s="599">
        <v>31</v>
      </c>
      <c r="W91" s="558"/>
      <c r="X91" s="543"/>
    </row>
    <row r="92" spans="1:24" s="544" customFormat="1" x14ac:dyDescent="0.3">
      <c r="A92" s="555"/>
      <c r="B92" s="556" t="s">
        <v>272</v>
      </c>
      <c r="C92" s="556"/>
      <c r="D92" s="556"/>
      <c r="E92" s="556"/>
      <c r="F92" s="556"/>
      <c r="G92" s="556"/>
      <c r="H92" s="578"/>
      <c r="I92" s="578"/>
      <c r="J92" s="578"/>
      <c r="K92" s="602"/>
      <c r="L92" s="578"/>
      <c r="M92" s="556"/>
      <c r="N92" s="603"/>
      <c r="O92" s="556"/>
      <c r="P92" s="556"/>
      <c r="Q92" s="556"/>
      <c r="R92" s="556"/>
      <c r="S92" s="556"/>
      <c r="T92" s="598"/>
      <c r="U92" s="556"/>
      <c r="V92" s="599">
        <v>0</v>
      </c>
      <c r="W92" s="558"/>
      <c r="X92" s="543"/>
    </row>
    <row r="93" spans="1:24" s="544" customFormat="1" x14ac:dyDescent="0.3">
      <c r="A93" s="555"/>
      <c r="B93" s="556" t="s">
        <v>274</v>
      </c>
      <c r="C93" s="556"/>
      <c r="D93" s="556"/>
      <c r="E93" s="556"/>
      <c r="F93" s="556"/>
      <c r="G93" s="556"/>
      <c r="H93" s="578"/>
      <c r="I93" s="578"/>
      <c r="J93" s="578"/>
      <c r="K93" s="602"/>
      <c r="L93" s="578"/>
      <c r="M93" s="556"/>
      <c r="N93" s="603"/>
      <c r="O93" s="556"/>
      <c r="P93" s="556"/>
      <c r="Q93" s="556"/>
      <c r="R93" s="556"/>
      <c r="S93" s="556"/>
      <c r="T93" s="598"/>
      <c r="U93" s="556"/>
      <c r="V93" s="599">
        <v>0</v>
      </c>
      <c r="W93" s="558"/>
      <c r="X93" s="543"/>
    </row>
    <row r="94" spans="1:24" s="544" customFormat="1" x14ac:dyDescent="0.3">
      <c r="A94" s="555"/>
      <c r="B94" s="556" t="s">
        <v>135</v>
      </c>
      <c r="C94" s="556"/>
      <c r="D94" s="556"/>
      <c r="E94" s="556"/>
      <c r="F94" s="556"/>
      <c r="G94" s="556"/>
      <c r="H94" s="556"/>
      <c r="I94" s="556"/>
      <c r="J94" s="556"/>
      <c r="K94" s="556"/>
      <c r="L94" s="556"/>
      <c r="M94" s="556"/>
      <c r="N94" s="556"/>
      <c r="O94" s="556"/>
      <c r="P94" s="556"/>
      <c r="Q94" s="556"/>
      <c r="R94" s="556"/>
      <c r="S94" s="556"/>
      <c r="T94" s="598"/>
      <c r="U94" s="556"/>
      <c r="V94" s="599">
        <v>0</v>
      </c>
      <c r="W94" s="558"/>
      <c r="X94" s="543"/>
    </row>
    <row r="95" spans="1:24" s="544" customFormat="1" x14ac:dyDescent="0.3">
      <c r="A95" s="555"/>
      <c r="B95" s="556" t="s">
        <v>268</v>
      </c>
      <c r="C95" s="556"/>
      <c r="D95" s="556"/>
      <c r="E95" s="556"/>
      <c r="F95" s="556"/>
      <c r="G95" s="556"/>
      <c r="H95" s="556"/>
      <c r="I95" s="556"/>
      <c r="J95" s="556"/>
      <c r="K95" s="556"/>
      <c r="L95" s="556"/>
      <c r="M95" s="556"/>
      <c r="N95" s="556"/>
      <c r="O95" s="556"/>
      <c r="P95" s="556"/>
      <c r="Q95" s="556"/>
      <c r="R95" s="556"/>
      <c r="S95" s="556"/>
      <c r="T95" s="598"/>
      <c r="U95" s="556"/>
      <c r="V95" s="599">
        <v>154</v>
      </c>
      <c r="W95" s="558"/>
      <c r="X95" s="543"/>
    </row>
    <row r="96" spans="1:24" s="544" customFormat="1" x14ac:dyDescent="0.3">
      <c r="A96" s="555"/>
      <c r="B96" s="556" t="s">
        <v>30</v>
      </c>
      <c r="C96" s="556"/>
      <c r="D96" s="556"/>
      <c r="E96" s="556"/>
      <c r="F96" s="556"/>
      <c r="G96" s="556"/>
      <c r="H96" s="556"/>
      <c r="I96" s="556"/>
      <c r="J96" s="556"/>
      <c r="K96" s="556"/>
      <c r="L96" s="556"/>
      <c r="M96" s="556"/>
      <c r="N96" s="556"/>
      <c r="O96" s="556"/>
      <c r="P96" s="556"/>
      <c r="Q96" s="556"/>
      <c r="R96" s="556"/>
      <c r="S96" s="556"/>
      <c r="T96" s="598">
        <f>SUM(T87:T95)</f>
        <v>14972</v>
      </c>
      <c r="U96" s="556"/>
      <c r="V96" s="598">
        <f>SUM(V87:V95)</f>
        <v>5506</v>
      </c>
      <c r="W96" s="558"/>
      <c r="X96" s="543"/>
    </row>
    <row r="97" spans="1:25" s="544" customFormat="1" x14ac:dyDescent="0.3">
      <c r="A97" s="555"/>
      <c r="B97" s="556" t="s">
        <v>161</v>
      </c>
      <c r="C97" s="556"/>
      <c r="D97" s="556"/>
      <c r="E97" s="556"/>
      <c r="F97" s="556"/>
      <c r="G97" s="556"/>
      <c r="H97" s="556"/>
      <c r="I97" s="556"/>
      <c r="J97" s="556"/>
      <c r="K97" s="556"/>
      <c r="L97" s="556"/>
      <c r="M97" s="556"/>
      <c r="N97" s="556"/>
      <c r="O97" s="556"/>
      <c r="P97" s="556"/>
      <c r="Q97" s="556"/>
      <c r="R97" s="556"/>
      <c r="S97" s="556"/>
      <c r="T97" s="598">
        <f>-V97</f>
        <v>0</v>
      </c>
      <c r="U97" s="556"/>
      <c r="V97" s="598">
        <v>0</v>
      </c>
      <c r="W97" s="558"/>
      <c r="X97" s="543"/>
    </row>
    <row r="98" spans="1:25" s="544" customFormat="1" x14ac:dyDescent="0.3">
      <c r="A98" s="555"/>
      <c r="B98" s="556" t="s">
        <v>31</v>
      </c>
      <c r="C98" s="556"/>
      <c r="D98" s="556"/>
      <c r="E98" s="556"/>
      <c r="F98" s="556"/>
      <c r="G98" s="556"/>
      <c r="H98" s="556"/>
      <c r="I98" s="556"/>
      <c r="J98" s="556"/>
      <c r="K98" s="556"/>
      <c r="L98" s="556"/>
      <c r="M98" s="556"/>
      <c r="N98" s="556"/>
      <c r="O98" s="556"/>
      <c r="P98" s="556"/>
      <c r="Q98" s="556"/>
      <c r="R98" s="556"/>
      <c r="S98" s="556"/>
      <c r="T98" s="598">
        <f>-V98</f>
        <v>0</v>
      </c>
      <c r="U98" s="556"/>
      <c r="V98" s="599">
        <v>0</v>
      </c>
      <c r="W98" s="558"/>
      <c r="X98" s="543"/>
    </row>
    <row r="99" spans="1:25" s="544" customFormat="1" x14ac:dyDescent="0.3">
      <c r="A99" s="555"/>
      <c r="B99" s="556" t="s">
        <v>283</v>
      </c>
      <c r="C99" s="556"/>
      <c r="D99" s="556"/>
      <c r="E99" s="556"/>
      <c r="F99" s="556"/>
      <c r="G99" s="556"/>
      <c r="H99" s="556"/>
      <c r="I99" s="556"/>
      <c r="J99" s="556"/>
      <c r="K99" s="556"/>
      <c r="L99" s="556"/>
      <c r="M99" s="556"/>
      <c r="N99" s="556"/>
      <c r="O99" s="556"/>
      <c r="P99" s="556"/>
      <c r="Q99" s="556"/>
      <c r="R99" s="556"/>
      <c r="S99" s="556"/>
      <c r="T99" s="598"/>
      <c r="U99" s="556"/>
      <c r="V99" s="599">
        <v>-30</v>
      </c>
      <c r="W99" s="558"/>
      <c r="X99" s="543"/>
    </row>
    <row r="100" spans="1:25" s="544" customFormat="1" x14ac:dyDescent="0.3">
      <c r="A100" s="555"/>
      <c r="B100" s="556" t="s">
        <v>32</v>
      </c>
      <c r="C100" s="556"/>
      <c r="D100" s="556"/>
      <c r="E100" s="556"/>
      <c r="F100" s="556"/>
      <c r="G100" s="556"/>
      <c r="H100" s="556"/>
      <c r="I100" s="556"/>
      <c r="J100" s="556"/>
      <c r="K100" s="556"/>
      <c r="L100" s="556"/>
      <c r="M100" s="556"/>
      <c r="N100" s="556"/>
      <c r="O100" s="556"/>
      <c r="P100" s="556"/>
      <c r="Q100" s="556"/>
      <c r="R100" s="556"/>
      <c r="S100" s="556"/>
      <c r="T100" s="598">
        <f>T96+T98+T97</f>
        <v>14972</v>
      </c>
      <c r="U100" s="556"/>
      <c r="V100" s="598">
        <f>V96+V98+V97+V99</f>
        <v>5476</v>
      </c>
      <c r="W100" s="558"/>
      <c r="X100" s="543"/>
    </row>
    <row r="101" spans="1:25" x14ac:dyDescent="0.3">
      <c r="A101" s="431"/>
      <c r="B101" s="507" t="s">
        <v>33</v>
      </c>
      <c r="C101" s="434"/>
      <c r="D101" s="434"/>
      <c r="E101" s="434"/>
      <c r="F101" s="434"/>
      <c r="G101" s="434"/>
      <c r="H101" s="434"/>
      <c r="I101" s="434"/>
      <c r="J101" s="434"/>
      <c r="K101" s="434"/>
      <c r="L101" s="434"/>
      <c r="M101" s="434"/>
      <c r="N101" s="434"/>
      <c r="O101" s="434"/>
      <c r="P101" s="434"/>
      <c r="Q101" s="434"/>
      <c r="R101" s="434"/>
      <c r="S101" s="434"/>
      <c r="T101" s="448"/>
      <c r="U101" s="434"/>
      <c r="V101" s="449"/>
      <c r="W101" s="436"/>
      <c r="X101" s="415"/>
    </row>
    <row r="102" spans="1:25" s="544" customFormat="1" x14ac:dyDescent="0.3">
      <c r="A102" s="555">
        <v>1</v>
      </c>
      <c r="B102" s="556" t="s">
        <v>34</v>
      </c>
      <c r="C102" s="556"/>
      <c r="D102" s="556"/>
      <c r="E102" s="556"/>
      <c r="F102" s="556"/>
      <c r="G102" s="556"/>
      <c r="H102" s="556"/>
      <c r="I102" s="556"/>
      <c r="J102" s="556"/>
      <c r="K102" s="556"/>
      <c r="L102" s="556"/>
      <c r="M102" s="556"/>
      <c r="N102" s="556"/>
      <c r="O102" s="556"/>
      <c r="P102" s="556"/>
      <c r="Q102" s="556"/>
      <c r="R102" s="556"/>
      <c r="S102" s="556"/>
      <c r="T102" s="556"/>
      <c r="U102" s="556"/>
      <c r="V102" s="599">
        <v>0</v>
      </c>
      <c r="W102" s="558"/>
      <c r="X102" s="543"/>
    </row>
    <row r="103" spans="1:25" s="544" customFormat="1" x14ac:dyDescent="0.3">
      <c r="A103" s="555">
        <f>+A102+1</f>
        <v>2</v>
      </c>
      <c r="B103" s="556" t="s">
        <v>330</v>
      </c>
      <c r="C103" s="556"/>
      <c r="D103" s="556"/>
      <c r="E103" s="556"/>
      <c r="F103" s="556"/>
      <c r="G103" s="556"/>
      <c r="H103" s="556"/>
      <c r="I103" s="556"/>
      <c r="J103" s="556"/>
      <c r="K103" s="556"/>
      <c r="L103" s="556"/>
      <c r="M103" s="556"/>
      <c r="N103" s="556"/>
      <c r="O103" s="556"/>
      <c r="P103" s="556"/>
      <c r="Q103" s="556"/>
      <c r="R103" s="556"/>
      <c r="S103" s="556"/>
      <c r="T103" s="556"/>
      <c r="U103" s="556"/>
      <c r="V103" s="599">
        <v>-2</v>
      </c>
      <c r="W103" s="558"/>
      <c r="X103" s="543"/>
    </row>
    <row r="104" spans="1:25" s="544" customFormat="1" x14ac:dyDescent="0.3">
      <c r="A104" s="555">
        <f>+A103+1</f>
        <v>3</v>
      </c>
      <c r="B104" s="556" t="s">
        <v>331</v>
      </c>
      <c r="C104" s="556"/>
      <c r="D104" s="556"/>
      <c r="E104" s="556"/>
      <c r="F104" s="556"/>
      <c r="G104" s="556"/>
      <c r="H104" s="556"/>
      <c r="I104" s="556"/>
      <c r="J104" s="556"/>
      <c r="K104" s="556"/>
      <c r="L104" s="556"/>
      <c r="M104" s="556"/>
      <c r="N104" s="556"/>
      <c r="O104" s="556"/>
      <c r="P104" s="556"/>
      <c r="Q104" s="556"/>
      <c r="R104" s="556"/>
      <c r="S104" s="556"/>
      <c r="T104" s="556"/>
      <c r="U104" s="556"/>
      <c r="V104" s="599">
        <f>-108-185-11</f>
        <v>-304</v>
      </c>
      <c r="W104" s="558"/>
      <c r="X104" s="543"/>
    </row>
    <row r="105" spans="1:25" s="544" customFormat="1" x14ac:dyDescent="0.3">
      <c r="A105" s="555" t="s">
        <v>127</v>
      </c>
      <c r="B105" s="556" t="s">
        <v>116</v>
      </c>
      <c r="C105" s="556"/>
      <c r="D105" s="556"/>
      <c r="E105" s="556"/>
      <c r="F105" s="556"/>
      <c r="G105" s="556"/>
      <c r="H105" s="556"/>
      <c r="I105" s="556"/>
      <c r="J105" s="556"/>
      <c r="K105" s="556"/>
      <c r="L105" s="556"/>
      <c r="M105" s="556"/>
      <c r="N105" s="556"/>
      <c r="O105" s="556"/>
      <c r="P105" s="556"/>
      <c r="Q105" s="556"/>
      <c r="R105" s="556"/>
      <c r="S105" s="556"/>
      <c r="T105" s="556"/>
      <c r="U105" s="556"/>
      <c r="V105" s="599">
        <v>0</v>
      </c>
      <c r="W105" s="558"/>
      <c r="X105" s="543"/>
    </row>
    <row r="106" spans="1:25" s="544" customFormat="1" x14ac:dyDescent="0.3">
      <c r="A106" s="555" t="s">
        <v>128</v>
      </c>
      <c r="B106" s="556" t="s">
        <v>363</v>
      </c>
      <c r="C106" s="556"/>
      <c r="D106" s="556"/>
      <c r="E106" s="556"/>
      <c r="F106" s="556"/>
      <c r="G106" s="556"/>
      <c r="H106" s="556"/>
      <c r="I106" s="556"/>
      <c r="J106" s="556"/>
      <c r="K106" s="556"/>
      <c r="L106" s="556"/>
      <c r="M106" s="556"/>
      <c r="N106" s="556"/>
      <c r="O106" s="556"/>
      <c r="P106" s="556"/>
      <c r="Q106" s="556"/>
      <c r="R106" s="556"/>
      <c r="S106" s="556"/>
      <c r="T106" s="556"/>
      <c r="U106" s="556"/>
      <c r="V106" s="599">
        <f>-689-111</f>
        <v>-800</v>
      </c>
      <c r="W106" s="558"/>
      <c r="X106" s="543"/>
      <c r="Y106" s="604"/>
    </row>
    <row r="107" spans="1:25" s="544" customFormat="1" x14ac:dyDescent="0.3">
      <c r="A107" s="555" t="s">
        <v>150</v>
      </c>
      <c r="B107" s="556" t="s">
        <v>364</v>
      </c>
      <c r="C107" s="556"/>
      <c r="D107" s="556"/>
      <c r="E107" s="556"/>
      <c r="F107" s="556"/>
      <c r="G107" s="556"/>
      <c r="H107" s="556"/>
      <c r="I107" s="556"/>
      <c r="J107" s="556"/>
      <c r="K107" s="556"/>
      <c r="L107" s="556"/>
      <c r="M107" s="556"/>
      <c r="N107" s="556"/>
      <c r="O107" s="556"/>
      <c r="P107" s="556"/>
      <c r="Q107" s="556"/>
      <c r="R107" s="556"/>
      <c r="S107" s="556"/>
      <c r="T107" s="556"/>
      <c r="U107" s="556"/>
      <c r="V107" s="599">
        <f>-155-202</f>
        <v>-357</v>
      </c>
      <c r="W107" s="558"/>
      <c r="X107" s="543"/>
      <c r="Y107" s="604"/>
    </row>
    <row r="108" spans="1:25" s="544" customFormat="1" x14ac:dyDescent="0.3">
      <c r="A108" s="555" t="s">
        <v>236</v>
      </c>
      <c r="B108" s="556" t="s">
        <v>238</v>
      </c>
      <c r="C108" s="556"/>
      <c r="D108" s="556"/>
      <c r="E108" s="556"/>
      <c r="F108" s="556"/>
      <c r="G108" s="556"/>
      <c r="H108" s="556"/>
      <c r="I108" s="556"/>
      <c r="J108" s="556"/>
      <c r="K108" s="556"/>
      <c r="L108" s="556"/>
      <c r="M108" s="556"/>
      <c r="N108" s="556"/>
      <c r="O108" s="556"/>
      <c r="P108" s="556"/>
      <c r="Q108" s="556"/>
      <c r="R108" s="556"/>
      <c r="S108" s="556"/>
      <c r="T108" s="556"/>
      <c r="U108" s="556"/>
      <c r="V108" s="599">
        <v>0</v>
      </c>
      <c r="W108" s="558"/>
      <c r="X108" s="543"/>
    </row>
    <row r="109" spans="1:25" s="544" customFormat="1" x14ac:dyDescent="0.3">
      <c r="A109" s="555" t="s">
        <v>205</v>
      </c>
      <c r="B109" s="556" t="s">
        <v>185</v>
      </c>
      <c r="C109" s="556"/>
      <c r="D109" s="556"/>
      <c r="E109" s="556"/>
      <c r="F109" s="556"/>
      <c r="G109" s="556"/>
      <c r="H109" s="556"/>
      <c r="I109" s="556"/>
      <c r="J109" s="556"/>
      <c r="K109" s="556"/>
      <c r="L109" s="556"/>
      <c r="M109" s="556"/>
      <c r="N109" s="556"/>
      <c r="O109" s="556"/>
      <c r="P109" s="556"/>
      <c r="Q109" s="556"/>
      <c r="R109" s="556"/>
      <c r="S109" s="556"/>
      <c r="T109" s="556"/>
      <c r="U109" s="556"/>
      <c r="V109" s="599">
        <v>-140</v>
      </c>
      <c r="W109" s="558"/>
      <c r="X109" s="543"/>
      <c r="Y109" s="604"/>
    </row>
    <row r="110" spans="1:25" s="544" customFormat="1" x14ac:dyDescent="0.3">
      <c r="A110" s="555" t="s">
        <v>206</v>
      </c>
      <c r="B110" s="556" t="s">
        <v>186</v>
      </c>
      <c r="C110" s="556"/>
      <c r="D110" s="556"/>
      <c r="E110" s="556"/>
      <c r="F110" s="556"/>
      <c r="G110" s="556"/>
      <c r="H110" s="556"/>
      <c r="I110" s="556"/>
      <c r="J110" s="556"/>
      <c r="K110" s="556"/>
      <c r="L110" s="556"/>
      <c r="M110" s="556"/>
      <c r="N110" s="556"/>
      <c r="O110" s="556"/>
      <c r="P110" s="556"/>
      <c r="Q110" s="556"/>
      <c r="R110" s="556"/>
      <c r="S110" s="556"/>
      <c r="T110" s="556"/>
      <c r="U110" s="556"/>
      <c r="V110" s="599">
        <v>-112</v>
      </c>
      <c r="W110" s="558"/>
      <c r="X110" s="605"/>
      <c r="Y110" s="604"/>
    </row>
    <row r="111" spans="1:25" s="544" customFormat="1" x14ac:dyDescent="0.3">
      <c r="A111" s="555" t="s">
        <v>207</v>
      </c>
      <c r="B111" s="556" t="s">
        <v>196</v>
      </c>
      <c r="C111" s="556"/>
      <c r="D111" s="556"/>
      <c r="E111" s="556"/>
      <c r="F111" s="556"/>
      <c r="G111" s="556"/>
      <c r="H111" s="556"/>
      <c r="I111" s="556"/>
      <c r="J111" s="556"/>
      <c r="K111" s="556"/>
      <c r="L111" s="556"/>
      <c r="M111" s="556"/>
      <c r="N111" s="556"/>
      <c r="O111" s="556"/>
      <c r="P111" s="556"/>
      <c r="Q111" s="556"/>
      <c r="R111" s="556"/>
      <c r="S111" s="556"/>
      <c r="T111" s="556"/>
      <c r="U111" s="556"/>
      <c r="V111" s="599">
        <v>-316</v>
      </c>
      <c r="W111" s="558"/>
      <c r="X111" s="543"/>
      <c r="Y111" s="604"/>
    </row>
    <row r="112" spans="1:25" s="544" customFormat="1" x14ac:dyDescent="0.3">
      <c r="A112" s="555" t="s">
        <v>224</v>
      </c>
      <c r="B112" s="556" t="s">
        <v>223</v>
      </c>
      <c r="C112" s="556"/>
      <c r="D112" s="556"/>
      <c r="E112" s="556"/>
      <c r="F112" s="556"/>
      <c r="G112" s="556"/>
      <c r="H112" s="556"/>
      <c r="I112" s="556"/>
      <c r="J112" s="556"/>
      <c r="K112" s="556"/>
      <c r="L112" s="556"/>
      <c r="M112" s="556"/>
      <c r="N112" s="556"/>
      <c r="O112" s="556"/>
      <c r="P112" s="556"/>
      <c r="Q112" s="556"/>
      <c r="R112" s="556"/>
      <c r="S112" s="556"/>
      <c r="T112" s="556"/>
      <c r="U112" s="556"/>
      <c r="V112" s="599">
        <v>-63</v>
      </c>
      <c r="W112" s="558"/>
      <c r="X112" s="543"/>
      <c r="Y112" s="604"/>
    </row>
    <row r="113" spans="1:24" s="544" customFormat="1" x14ac:dyDescent="0.3">
      <c r="A113" s="555">
        <v>7</v>
      </c>
      <c r="B113" s="556" t="s">
        <v>35</v>
      </c>
      <c r="C113" s="556"/>
      <c r="D113" s="556"/>
      <c r="E113" s="556"/>
      <c r="F113" s="556"/>
      <c r="G113" s="556"/>
      <c r="H113" s="556"/>
      <c r="I113" s="556"/>
      <c r="J113" s="556"/>
      <c r="K113" s="556"/>
      <c r="L113" s="556"/>
      <c r="M113" s="556"/>
      <c r="N113" s="556"/>
      <c r="O113" s="556"/>
      <c r="P113" s="556"/>
      <c r="Q113" s="556"/>
      <c r="R113" s="556"/>
      <c r="S113" s="556"/>
      <c r="T113" s="556"/>
      <c r="U113" s="556"/>
      <c r="V113" s="599">
        <v>-43</v>
      </c>
      <c r="W113" s="558"/>
      <c r="X113" s="543"/>
    </row>
    <row r="114" spans="1:24" s="544" customFormat="1" x14ac:dyDescent="0.3">
      <c r="A114" s="555">
        <f t="shared" ref="A114:A120" si="0">+A113+1</f>
        <v>8</v>
      </c>
      <c r="B114" s="556" t="s">
        <v>45</v>
      </c>
      <c r="C114" s="556"/>
      <c r="D114" s="556"/>
      <c r="E114" s="556"/>
      <c r="F114" s="556"/>
      <c r="G114" s="556"/>
      <c r="H114" s="556"/>
      <c r="I114" s="556"/>
      <c r="J114" s="556"/>
      <c r="K114" s="556"/>
      <c r="L114" s="556"/>
      <c r="M114" s="556"/>
      <c r="N114" s="556"/>
      <c r="O114" s="556"/>
      <c r="P114" s="556"/>
      <c r="Q114" s="556"/>
      <c r="R114" s="556"/>
      <c r="S114" s="556"/>
      <c r="T114" s="598">
        <f>-V114</f>
        <v>-18</v>
      </c>
      <c r="U114" s="556"/>
      <c r="V114" s="599">
        <v>18</v>
      </c>
      <c r="W114" s="558"/>
      <c r="X114" s="543"/>
    </row>
    <row r="115" spans="1:24" s="544" customFormat="1" x14ac:dyDescent="0.3">
      <c r="A115" s="555">
        <f t="shared" si="0"/>
        <v>9</v>
      </c>
      <c r="B115" s="556" t="s">
        <v>125</v>
      </c>
      <c r="C115" s="556"/>
      <c r="D115" s="556"/>
      <c r="E115" s="556"/>
      <c r="F115" s="556"/>
      <c r="G115" s="556"/>
      <c r="H115" s="556"/>
      <c r="I115" s="556"/>
      <c r="J115" s="556"/>
      <c r="K115" s="556"/>
      <c r="L115" s="556"/>
      <c r="M115" s="556"/>
      <c r="N115" s="556"/>
      <c r="O115" s="556"/>
      <c r="P115" s="556"/>
      <c r="Q115" s="556"/>
      <c r="R115" s="556"/>
      <c r="S115" s="556"/>
      <c r="T115" s="556"/>
      <c r="U115" s="556"/>
      <c r="V115" s="599">
        <v>0</v>
      </c>
      <c r="W115" s="558"/>
      <c r="X115" s="543"/>
    </row>
    <row r="116" spans="1:24" s="544" customFormat="1" x14ac:dyDescent="0.3">
      <c r="A116" s="555">
        <f t="shared" si="0"/>
        <v>10</v>
      </c>
      <c r="B116" s="556" t="s">
        <v>240</v>
      </c>
      <c r="C116" s="556"/>
      <c r="D116" s="556"/>
      <c r="E116" s="556"/>
      <c r="F116" s="556"/>
      <c r="G116" s="556"/>
      <c r="H116" s="556"/>
      <c r="I116" s="556"/>
      <c r="J116" s="556"/>
      <c r="K116" s="556"/>
      <c r="L116" s="556"/>
      <c r="M116" s="556"/>
      <c r="N116" s="556"/>
      <c r="O116" s="556"/>
      <c r="P116" s="556"/>
      <c r="Q116" s="556"/>
      <c r="R116" s="556"/>
      <c r="S116" s="556"/>
      <c r="T116" s="556"/>
      <c r="U116" s="556"/>
      <c r="V116" s="599">
        <v>0</v>
      </c>
      <c r="W116" s="558"/>
      <c r="X116" s="543"/>
    </row>
    <row r="117" spans="1:24" s="544" customFormat="1" x14ac:dyDescent="0.3">
      <c r="A117" s="555">
        <f t="shared" si="0"/>
        <v>11</v>
      </c>
      <c r="B117" s="556" t="s">
        <v>36</v>
      </c>
      <c r="C117" s="556"/>
      <c r="D117" s="556"/>
      <c r="E117" s="556"/>
      <c r="F117" s="556"/>
      <c r="G117" s="556"/>
      <c r="H117" s="556"/>
      <c r="I117" s="556"/>
      <c r="J117" s="556"/>
      <c r="K117" s="556"/>
      <c r="L117" s="556"/>
      <c r="M117" s="556"/>
      <c r="N117" s="556"/>
      <c r="O117" s="556"/>
      <c r="P117" s="556"/>
      <c r="Q117" s="556"/>
      <c r="R117" s="556"/>
      <c r="S117" s="556"/>
      <c r="T117" s="556"/>
      <c r="U117" s="556"/>
      <c r="V117" s="599">
        <v>0</v>
      </c>
      <c r="W117" s="558"/>
      <c r="X117" s="543"/>
    </row>
    <row r="118" spans="1:24" s="544" customFormat="1" x14ac:dyDescent="0.3">
      <c r="A118" s="555">
        <f t="shared" si="0"/>
        <v>12</v>
      </c>
      <c r="B118" s="556" t="s">
        <v>239</v>
      </c>
      <c r="C118" s="556"/>
      <c r="D118" s="556"/>
      <c r="E118" s="556"/>
      <c r="F118" s="556"/>
      <c r="G118" s="556"/>
      <c r="H118" s="556"/>
      <c r="I118" s="556"/>
      <c r="J118" s="556"/>
      <c r="K118" s="556"/>
      <c r="L118" s="556"/>
      <c r="M118" s="556"/>
      <c r="N118" s="556"/>
      <c r="O118" s="556"/>
      <c r="P118" s="556"/>
      <c r="Q118" s="556"/>
      <c r="R118" s="556"/>
      <c r="S118" s="556"/>
      <c r="T118" s="556"/>
      <c r="U118" s="556"/>
      <c r="V118" s="599">
        <v>0</v>
      </c>
      <c r="W118" s="558"/>
      <c r="X118" s="543"/>
    </row>
    <row r="119" spans="1:24" s="544" customFormat="1" x14ac:dyDescent="0.3">
      <c r="A119" s="555">
        <f t="shared" si="0"/>
        <v>13</v>
      </c>
      <c r="B119" s="556" t="s">
        <v>149</v>
      </c>
      <c r="C119" s="556"/>
      <c r="D119" s="556"/>
      <c r="E119" s="556"/>
      <c r="F119" s="556"/>
      <c r="G119" s="556"/>
      <c r="H119" s="556"/>
      <c r="I119" s="556"/>
      <c r="J119" s="556"/>
      <c r="K119" s="556"/>
      <c r="L119" s="556"/>
      <c r="M119" s="556"/>
      <c r="N119" s="556"/>
      <c r="O119" s="556"/>
      <c r="P119" s="556"/>
      <c r="Q119" s="556"/>
      <c r="R119" s="556"/>
      <c r="S119" s="556"/>
      <c r="T119" s="556"/>
      <c r="U119" s="556"/>
      <c r="V119" s="599">
        <v>-540</v>
      </c>
      <c r="W119" s="558"/>
      <c r="X119" s="543"/>
    </row>
    <row r="120" spans="1:24" s="544" customFormat="1" x14ac:dyDescent="0.3">
      <c r="A120" s="555">
        <f t="shared" si="0"/>
        <v>14</v>
      </c>
      <c r="B120" s="556" t="s">
        <v>126</v>
      </c>
      <c r="C120" s="556"/>
      <c r="D120" s="556"/>
      <c r="E120" s="556"/>
      <c r="F120" s="556"/>
      <c r="G120" s="556"/>
      <c r="H120" s="556"/>
      <c r="I120" s="556"/>
      <c r="J120" s="556"/>
      <c r="K120" s="556"/>
      <c r="L120" s="556"/>
      <c r="M120" s="556"/>
      <c r="N120" s="556"/>
      <c r="O120" s="556"/>
      <c r="P120" s="556"/>
      <c r="Q120" s="556"/>
      <c r="R120" s="556"/>
      <c r="S120" s="556"/>
      <c r="T120" s="556"/>
      <c r="U120" s="556"/>
      <c r="V120" s="599">
        <f>-V100-SUM(V102:V119)</f>
        <v>-2817</v>
      </c>
      <c r="W120" s="558"/>
      <c r="X120" s="543"/>
    </row>
    <row r="121" spans="1:24" x14ac:dyDescent="0.3">
      <c r="A121" s="431"/>
      <c r="B121" s="507" t="s">
        <v>37</v>
      </c>
      <c r="C121" s="434"/>
      <c r="D121" s="434"/>
      <c r="E121" s="434"/>
      <c r="F121" s="434"/>
      <c r="G121" s="434"/>
      <c r="H121" s="434"/>
      <c r="I121" s="434"/>
      <c r="J121" s="434"/>
      <c r="K121" s="434"/>
      <c r="L121" s="434"/>
      <c r="M121" s="434"/>
      <c r="N121" s="434"/>
      <c r="O121" s="434"/>
      <c r="P121" s="434"/>
      <c r="Q121" s="434"/>
      <c r="R121" s="434"/>
      <c r="S121" s="434"/>
      <c r="T121" s="434"/>
      <c r="U121" s="434"/>
      <c r="V121" s="450"/>
      <c r="W121" s="436"/>
      <c r="X121" s="415"/>
    </row>
    <row r="122" spans="1:24" s="544" customFormat="1" x14ac:dyDescent="0.3">
      <c r="A122" s="555"/>
      <c r="B122" s="556" t="s">
        <v>173</v>
      </c>
      <c r="C122" s="556"/>
      <c r="D122" s="556"/>
      <c r="E122" s="556"/>
      <c r="F122" s="556"/>
      <c r="G122" s="556"/>
      <c r="H122" s="556"/>
      <c r="I122" s="556"/>
      <c r="J122" s="556"/>
      <c r="K122" s="556"/>
      <c r="L122" s="556"/>
      <c r="M122" s="556"/>
      <c r="N122" s="556"/>
      <c r="O122" s="556"/>
      <c r="P122" s="556"/>
      <c r="Q122" s="556"/>
      <c r="R122" s="556"/>
      <c r="S122" s="556"/>
      <c r="T122" s="598">
        <f>-T188</f>
        <v>0</v>
      </c>
      <c r="U122" s="598"/>
      <c r="V122" s="599"/>
      <c r="W122" s="558"/>
      <c r="X122" s="543"/>
    </row>
    <row r="123" spans="1:24" s="544" customFormat="1" x14ac:dyDescent="0.3">
      <c r="A123" s="555"/>
      <c r="B123" s="556" t="s">
        <v>174</v>
      </c>
      <c r="C123" s="556"/>
      <c r="D123" s="556"/>
      <c r="E123" s="556"/>
      <c r="F123" s="556"/>
      <c r="G123" s="556"/>
      <c r="H123" s="556"/>
      <c r="I123" s="556"/>
      <c r="J123" s="556"/>
      <c r="K123" s="556"/>
      <c r="L123" s="556"/>
      <c r="M123" s="556"/>
      <c r="N123" s="556"/>
      <c r="O123" s="556"/>
      <c r="P123" s="556"/>
      <c r="Q123" s="556"/>
      <c r="R123" s="556"/>
      <c r="S123" s="556"/>
      <c r="T123" s="598">
        <v>0</v>
      </c>
      <c r="U123" s="598"/>
      <c r="V123" s="599"/>
      <c r="W123" s="558"/>
      <c r="X123" s="543"/>
    </row>
    <row r="124" spans="1:24" s="544" customFormat="1" x14ac:dyDescent="0.3">
      <c r="A124" s="555"/>
      <c r="B124" s="556" t="s">
        <v>38</v>
      </c>
      <c r="C124" s="556"/>
      <c r="D124" s="556"/>
      <c r="E124" s="556"/>
      <c r="F124" s="556"/>
      <c r="G124" s="556"/>
      <c r="H124" s="556"/>
      <c r="I124" s="556"/>
      <c r="J124" s="556"/>
      <c r="K124" s="556"/>
      <c r="L124" s="556"/>
      <c r="M124" s="556"/>
      <c r="N124" s="556"/>
      <c r="O124" s="556"/>
      <c r="P124" s="556"/>
      <c r="Q124" s="556"/>
      <c r="R124" s="556"/>
      <c r="S124" s="556"/>
      <c r="T124" s="598">
        <f>-S188</f>
        <v>-628</v>
      </c>
      <c r="U124" s="598"/>
      <c r="V124" s="599"/>
      <c r="W124" s="558"/>
      <c r="X124" s="543"/>
    </row>
    <row r="125" spans="1:24" s="544" customFormat="1" x14ac:dyDescent="0.3">
      <c r="A125" s="555"/>
      <c r="B125" s="556" t="s">
        <v>388</v>
      </c>
      <c r="C125" s="556"/>
      <c r="D125" s="556"/>
      <c r="E125" s="556"/>
      <c r="F125" s="556"/>
      <c r="G125" s="556"/>
      <c r="H125" s="556"/>
      <c r="I125" s="556"/>
      <c r="J125" s="556"/>
      <c r="K125" s="556"/>
      <c r="L125" s="556"/>
      <c r="M125" s="556"/>
      <c r="N125" s="556"/>
      <c r="O125" s="556"/>
      <c r="P125" s="556"/>
      <c r="Q125" s="556"/>
      <c r="R125" s="556"/>
      <c r="S125" s="556"/>
      <c r="T125" s="598">
        <v>-8710</v>
      </c>
      <c r="U125" s="598"/>
      <c r="V125" s="599"/>
      <c r="W125" s="558"/>
      <c r="X125" s="543"/>
    </row>
    <row r="126" spans="1:24" s="544" customFormat="1" x14ac:dyDescent="0.3">
      <c r="A126" s="555"/>
      <c r="B126" s="556" t="s">
        <v>195</v>
      </c>
      <c r="C126" s="556"/>
      <c r="D126" s="556"/>
      <c r="E126" s="556"/>
      <c r="F126" s="556"/>
      <c r="G126" s="556"/>
      <c r="H126" s="556"/>
      <c r="I126" s="556"/>
      <c r="J126" s="556"/>
      <c r="K126" s="556"/>
      <c r="L126" s="556"/>
      <c r="M126" s="556"/>
      <c r="N126" s="556"/>
      <c r="O126" s="556"/>
      <c r="P126" s="556"/>
      <c r="Q126" s="556"/>
      <c r="R126" s="556"/>
      <c r="S126" s="556"/>
      <c r="T126" s="598">
        <v>-1404</v>
      </c>
      <c r="U126" s="598"/>
      <c r="V126" s="599"/>
      <c r="W126" s="558"/>
      <c r="X126" s="543"/>
    </row>
    <row r="127" spans="1:24" s="544" customFormat="1" x14ac:dyDescent="0.3">
      <c r="A127" s="555"/>
      <c r="B127" s="556" t="s">
        <v>194</v>
      </c>
      <c r="C127" s="556"/>
      <c r="D127" s="556"/>
      <c r="E127" s="556"/>
      <c r="F127" s="556"/>
      <c r="G127" s="556"/>
      <c r="H127" s="556"/>
      <c r="I127" s="556"/>
      <c r="J127" s="556"/>
      <c r="K127" s="556"/>
      <c r="L127" s="556"/>
      <c r="M127" s="556"/>
      <c r="N127" s="556"/>
      <c r="O127" s="556"/>
      <c r="P127" s="556"/>
      <c r="Q127" s="556"/>
      <c r="R127" s="556"/>
      <c r="S127" s="556"/>
      <c r="T127" s="598">
        <v>-1889</v>
      </c>
      <c r="U127" s="598"/>
      <c r="V127" s="599"/>
      <c r="W127" s="558"/>
      <c r="X127" s="543"/>
    </row>
    <row r="128" spans="1:24" s="544" customFormat="1" x14ac:dyDescent="0.3">
      <c r="A128" s="555"/>
      <c r="B128" s="556" t="s">
        <v>226</v>
      </c>
      <c r="C128" s="556"/>
      <c r="D128" s="556"/>
      <c r="E128" s="556"/>
      <c r="F128" s="556"/>
      <c r="G128" s="556"/>
      <c r="H128" s="556"/>
      <c r="I128" s="556"/>
      <c r="J128" s="556"/>
      <c r="K128" s="556"/>
      <c r="L128" s="556"/>
      <c r="M128" s="556"/>
      <c r="N128" s="556"/>
      <c r="O128" s="556"/>
      <c r="P128" s="556"/>
      <c r="Q128" s="556"/>
      <c r="R128" s="556"/>
      <c r="S128" s="556"/>
      <c r="T128" s="598">
        <v>-2323</v>
      </c>
      <c r="U128" s="598"/>
      <c r="V128" s="599"/>
      <c r="W128" s="558"/>
      <c r="X128" s="543"/>
    </row>
    <row r="129" spans="1:24" s="544" customFormat="1" x14ac:dyDescent="0.3">
      <c r="A129" s="555"/>
      <c r="B129" s="556" t="s">
        <v>189</v>
      </c>
      <c r="C129" s="556"/>
      <c r="D129" s="556"/>
      <c r="E129" s="556"/>
      <c r="F129" s="556"/>
      <c r="G129" s="556"/>
      <c r="H129" s="556"/>
      <c r="I129" s="556"/>
      <c r="J129" s="556"/>
      <c r="K129" s="556"/>
      <c r="L129" s="556"/>
      <c r="M129" s="556"/>
      <c r="N129" s="556"/>
      <c r="O129" s="556"/>
      <c r="P129" s="556"/>
      <c r="Q129" s="556"/>
      <c r="R129" s="556"/>
      <c r="S129" s="556"/>
      <c r="T129" s="598">
        <v>0</v>
      </c>
      <c r="U129" s="598"/>
      <c r="V129" s="599"/>
      <c r="W129" s="558"/>
      <c r="X129" s="543"/>
    </row>
    <row r="130" spans="1:24" s="544" customFormat="1" x14ac:dyDescent="0.3">
      <c r="A130" s="555"/>
      <c r="B130" s="556" t="s">
        <v>188</v>
      </c>
      <c r="C130" s="556"/>
      <c r="D130" s="556"/>
      <c r="E130" s="556"/>
      <c r="F130" s="556"/>
      <c r="G130" s="556"/>
      <c r="H130" s="556"/>
      <c r="I130" s="556"/>
      <c r="J130" s="556"/>
      <c r="K130" s="556"/>
      <c r="L130" s="556"/>
      <c r="M130" s="556"/>
      <c r="N130" s="556"/>
      <c r="O130" s="556"/>
      <c r="P130" s="556"/>
      <c r="Q130" s="556"/>
      <c r="R130" s="556"/>
      <c r="S130" s="556"/>
      <c r="T130" s="598">
        <v>0</v>
      </c>
      <c r="U130" s="598"/>
      <c r="V130" s="599"/>
      <c r="W130" s="558"/>
      <c r="X130" s="543"/>
    </row>
    <row r="131" spans="1:24" s="544" customFormat="1" x14ac:dyDescent="0.3">
      <c r="A131" s="555"/>
      <c r="B131" s="556" t="s">
        <v>227</v>
      </c>
      <c r="C131" s="556"/>
      <c r="D131" s="556"/>
      <c r="E131" s="556"/>
      <c r="F131" s="556"/>
      <c r="G131" s="556"/>
      <c r="H131" s="556"/>
      <c r="I131" s="556"/>
      <c r="J131" s="556"/>
      <c r="K131" s="556"/>
      <c r="L131" s="556"/>
      <c r="M131" s="556"/>
      <c r="N131" s="556"/>
      <c r="O131" s="556"/>
      <c r="P131" s="556"/>
      <c r="Q131" s="556"/>
      <c r="R131" s="556"/>
      <c r="S131" s="556"/>
      <c r="T131" s="598">
        <v>0</v>
      </c>
      <c r="U131" s="598"/>
      <c r="V131" s="599"/>
      <c r="W131" s="558"/>
      <c r="X131" s="543"/>
    </row>
    <row r="132" spans="1:24" s="544" customFormat="1" x14ac:dyDescent="0.3">
      <c r="A132" s="555"/>
      <c r="B132" s="556" t="s">
        <v>187</v>
      </c>
      <c r="C132" s="556"/>
      <c r="D132" s="556"/>
      <c r="E132" s="556"/>
      <c r="F132" s="556"/>
      <c r="G132" s="556"/>
      <c r="H132" s="556"/>
      <c r="I132" s="556"/>
      <c r="J132" s="556"/>
      <c r="K132" s="556"/>
      <c r="L132" s="556"/>
      <c r="M132" s="556"/>
      <c r="N132" s="556"/>
      <c r="O132" s="556"/>
      <c r="P132" s="556"/>
      <c r="Q132" s="556"/>
      <c r="R132" s="556"/>
      <c r="S132" s="556"/>
      <c r="T132" s="598">
        <v>0</v>
      </c>
      <c r="U132" s="598"/>
      <c r="V132" s="599"/>
      <c r="W132" s="558"/>
      <c r="X132" s="543"/>
    </row>
    <row r="133" spans="1:24" s="544" customFormat="1" x14ac:dyDescent="0.3">
      <c r="A133" s="555"/>
      <c r="B133" s="556" t="s">
        <v>39</v>
      </c>
      <c r="C133" s="556"/>
      <c r="D133" s="556"/>
      <c r="E133" s="556"/>
      <c r="F133" s="556"/>
      <c r="G133" s="556"/>
      <c r="H133" s="556"/>
      <c r="I133" s="556"/>
      <c r="J133" s="556"/>
      <c r="K133" s="556"/>
      <c r="L133" s="556"/>
      <c r="M133" s="556"/>
      <c r="N133" s="556"/>
      <c r="O133" s="556"/>
      <c r="P133" s="556"/>
      <c r="Q133" s="556"/>
      <c r="R133" s="556"/>
      <c r="S133" s="556"/>
      <c r="T133" s="598">
        <f>SUM(T122:T132)</f>
        <v>-14954</v>
      </c>
      <c r="U133" s="598"/>
      <c r="V133" s="598">
        <f>SUM(V101:V130)</f>
        <v>-5476</v>
      </c>
      <c r="W133" s="558"/>
      <c r="X133" s="543"/>
    </row>
    <row r="134" spans="1:24" s="544" customFormat="1" x14ac:dyDescent="0.3">
      <c r="A134" s="555"/>
      <c r="B134" s="556" t="s">
        <v>40</v>
      </c>
      <c r="C134" s="556"/>
      <c r="D134" s="556"/>
      <c r="E134" s="556"/>
      <c r="F134" s="556"/>
      <c r="G134" s="556"/>
      <c r="H134" s="556"/>
      <c r="I134" s="556"/>
      <c r="J134" s="556"/>
      <c r="K134" s="556"/>
      <c r="L134" s="556"/>
      <c r="M134" s="556"/>
      <c r="N134" s="556"/>
      <c r="O134" s="556"/>
      <c r="P134" s="556"/>
      <c r="Q134" s="556"/>
      <c r="R134" s="556"/>
      <c r="S134" s="556"/>
      <c r="T134" s="598">
        <f>T100+T133+T114</f>
        <v>0</v>
      </c>
      <c r="U134" s="598"/>
      <c r="V134" s="598">
        <f>V100+V133</f>
        <v>0</v>
      </c>
      <c r="W134" s="558"/>
      <c r="X134" s="543"/>
    </row>
    <row r="135" spans="1:24" s="544" customFormat="1" x14ac:dyDescent="0.3">
      <c r="A135" s="540"/>
      <c r="B135" s="588"/>
      <c r="C135" s="588"/>
      <c r="D135" s="588"/>
      <c r="E135" s="588"/>
      <c r="F135" s="588"/>
      <c r="G135" s="588"/>
      <c r="H135" s="588"/>
      <c r="I135" s="588"/>
      <c r="J135" s="588"/>
      <c r="K135" s="588"/>
      <c r="L135" s="588"/>
      <c r="M135" s="588"/>
      <c r="N135" s="588"/>
      <c r="O135" s="588"/>
      <c r="P135" s="588"/>
      <c r="Q135" s="588"/>
      <c r="R135" s="588"/>
      <c r="S135" s="588"/>
      <c r="T135" s="600"/>
      <c r="U135" s="600"/>
      <c r="V135" s="600"/>
      <c r="W135" s="588"/>
      <c r="X135" s="543"/>
    </row>
    <row r="136" spans="1:24" s="544" customFormat="1" x14ac:dyDescent="0.3">
      <c r="A136" s="540"/>
      <c r="B136" s="541"/>
      <c r="C136" s="541"/>
      <c r="D136" s="541"/>
      <c r="E136" s="541"/>
      <c r="F136" s="541"/>
      <c r="G136" s="541"/>
      <c r="H136" s="541"/>
      <c r="I136" s="541"/>
      <c r="J136" s="541"/>
      <c r="K136" s="541"/>
      <c r="L136" s="541"/>
      <c r="M136" s="541"/>
      <c r="N136" s="541"/>
      <c r="O136" s="541"/>
      <c r="P136" s="541"/>
      <c r="Q136" s="541"/>
      <c r="R136" s="541"/>
      <c r="S136" s="541"/>
      <c r="T136" s="541"/>
      <c r="U136" s="541"/>
      <c r="V136" s="606"/>
      <c r="W136" s="541"/>
      <c r="X136" s="543"/>
    </row>
    <row r="137" spans="1:24" s="544" customFormat="1" ht="18.600000000000001" thickBot="1" x14ac:dyDescent="0.4">
      <c r="A137" s="593"/>
      <c r="B137" s="594" t="str">
        <f>B63</f>
        <v>PM14 INVESTOR REPORT QUARTER ENDING FEBRUARY 2018</v>
      </c>
      <c r="C137" s="595"/>
      <c r="D137" s="595"/>
      <c r="E137" s="595"/>
      <c r="F137" s="595"/>
      <c r="G137" s="595"/>
      <c r="H137" s="595"/>
      <c r="I137" s="595"/>
      <c r="J137" s="595"/>
      <c r="K137" s="595"/>
      <c r="L137" s="595"/>
      <c r="M137" s="595"/>
      <c r="N137" s="595"/>
      <c r="O137" s="595"/>
      <c r="P137" s="595"/>
      <c r="Q137" s="595"/>
      <c r="R137" s="595"/>
      <c r="S137" s="595"/>
      <c r="T137" s="595"/>
      <c r="U137" s="595"/>
      <c r="V137" s="607"/>
      <c r="W137" s="597"/>
      <c r="X137" s="543"/>
    </row>
    <row r="138" spans="1:24" x14ac:dyDescent="0.3">
      <c r="A138" s="527"/>
      <c r="B138" s="528" t="s">
        <v>41</v>
      </c>
      <c r="C138" s="529"/>
      <c r="D138" s="529"/>
      <c r="E138" s="529"/>
      <c r="F138" s="529"/>
      <c r="G138" s="529"/>
      <c r="H138" s="529"/>
      <c r="I138" s="529"/>
      <c r="J138" s="529"/>
      <c r="K138" s="529"/>
      <c r="L138" s="529"/>
      <c r="M138" s="529"/>
      <c r="N138" s="529"/>
      <c r="O138" s="529"/>
      <c r="P138" s="529"/>
      <c r="Q138" s="529"/>
      <c r="R138" s="529"/>
      <c r="S138" s="529"/>
      <c r="T138" s="529"/>
      <c r="U138" s="529"/>
      <c r="V138" s="530"/>
      <c r="W138" s="529"/>
      <c r="X138" s="415"/>
    </row>
    <row r="139" spans="1:24" x14ac:dyDescent="0.3">
      <c r="A139" s="417"/>
      <c r="B139" s="451"/>
      <c r="C139" s="419"/>
      <c r="D139" s="419"/>
      <c r="E139" s="419"/>
      <c r="F139" s="419"/>
      <c r="G139" s="419"/>
      <c r="H139" s="419"/>
      <c r="I139" s="419"/>
      <c r="J139" s="419"/>
      <c r="K139" s="419"/>
      <c r="L139" s="419"/>
      <c r="M139" s="419"/>
      <c r="N139" s="419"/>
      <c r="O139" s="419"/>
      <c r="P139" s="419"/>
      <c r="Q139" s="419"/>
      <c r="R139" s="419"/>
      <c r="S139" s="419"/>
      <c r="T139" s="419"/>
      <c r="U139" s="419"/>
      <c r="V139" s="439"/>
      <c r="W139" s="419"/>
      <c r="X139" s="415"/>
    </row>
    <row r="140" spans="1:24" x14ac:dyDescent="0.3">
      <c r="A140" s="417"/>
      <c r="B140" s="508" t="s">
        <v>42</v>
      </c>
      <c r="C140" s="419"/>
      <c r="D140" s="419"/>
      <c r="E140" s="419"/>
      <c r="F140" s="419"/>
      <c r="G140" s="419"/>
      <c r="H140" s="419"/>
      <c r="I140" s="419"/>
      <c r="J140" s="419"/>
      <c r="K140" s="419"/>
      <c r="L140" s="419"/>
      <c r="M140" s="419"/>
      <c r="N140" s="419"/>
      <c r="O140" s="419"/>
      <c r="P140" s="419"/>
      <c r="Q140" s="419"/>
      <c r="R140" s="419"/>
      <c r="S140" s="419"/>
      <c r="T140" s="419"/>
      <c r="U140" s="419"/>
      <c r="V140" s="439"/>
      <c r="W140" s="419"/>
      <c r="X140" s="415"/>
    </row>
    <row r="141" spans="1:24" s="544" customFormat="1" x14ac:dyDescent="0.3">
      <c r="A141" s="555"/>
      <c r="B141" s="556" t="s">
        <v>43</v>
      </c>
      <c r="C141" s="556"/>
      <c r="D141" s="556"/>
      <c r="E141" s="556"/>
      <c r="F141" s="556"/>
      <c r="G141" s="556"/>
      <c r="H141" s="556"/>
      <c r="I141" s="556"/>
      <c r="J141" s="556"/>
      <c r="K141" s="556"/>
      <c r="L141" s="556"/>
      <c r="M141" s="556"/>
      <c r="N141" s="556"/>
      <c r="O141" s="556"/>
      <c r="P141" s="556"/>
      <c r="Q141" s="556"/>
      <c r="R141" s="556"/>
      <c r="S141" s="556"/>
      <c r="T141" s="556"/>
      <c r="U141" s="556"/>
      <c r="V141" s="599">
        <f>+V34*0.019</f>
        <v>28505.224999999999</v>
      </c>
      <c r="W141" s="558"/>
      <c r="X141" s="543"/>
    </row>
    <row r="142" spans="1:24" s="544" customFormat="1" x14ac:dyDescent="0.3">
      <c r="A142" s="555"/>
      <c r="B142" s="556" t="s">
        <v>44</v>
      </c>
      <c r="C142" s="556"/>
      <c r="D142" s="556"/>
      <c r="E142" s="556"/>
      <c r="F142" s="556"/>
      <c r="G142" s="556"/>
      <c r="H142" s="556"/>
      <c r="I142" s="556"/>
      <c r="J142" s="556"/>
      <c r="K142" s="556"/>
      <c r="L142" s="556"/>
      <c r="M142" s="556"/>
      <c r="N142" s="556"/>
      <c r="O142" s="556"/>
      <c r="P142" s="556"/>
      <c r="Q142" s="556"/>
      <c r="R142" s="556"/>
      <c r="S142" s="556"/>
      <c r="T142" s="556"/>
      <c r="U142" s="556"/>
      <c r="V142" s="599">
        <v>28505</v>
      </c>
      <c r="W142" s="558"/>
      <c r="X142" s="543"/>
    </row>
    <row r="143" spans="1:24" s="544" customFormat="1" x14ac:dyDescent="0.3">
      <c r="A143" s="555"/>
      <c r="B143" s="556" t="s">
        <v>136</v>
      </c>
      <c r="C143" s="556"/>
      <c r="D143" s="556"/>
      <c r="E143" s="556"/>
      <c r="F143" s="556"/>
      <c r="G143" s="556"/>
      <c r="H143" s="556"/>
      <c r="I143" s="556"/>
      <c r="J143" s="556"/>
      <c r="K143" s="556"/>
      <c r="L143" s="556"/>
      <c r="M143" s="556"/>
      <c r="N143" s="556"/>
      <c r="O143" s="556"/>
      <c r="P143" s="556"/>
      <c r="Q143" s="556"/>
      <c r="R143" s="556"/>
      <c r="S143" s="556"/>
      <c r="T143" s="556"/>
      <c r="U143" s="556"/>
      <c r="V143" s="599"/>
      <c r="W143" s="558"/>
      <c r="X143" s="543"/>
    </row>
    <row r="144" spans="1:24" s="544" customFormat="1" x14ac:dyDescent="0.3">
      <c r="A144" s="555"/>
      <c r="B144" s="556" t="s">
        <v>123</v>
      </c>
      <c r="C144" s="556"/>
      <c r="D144" s="556"/>
      <c r="E144" s="556"/>
      <c r="F144" s="556"/>
      <c r="G144" s="556"/>
      <c r="H144" s="556"/>
      <c r="I144" s="556"/>
      <c r="J144" s="556"/>
      <c r="K144" s="556"/>
      <c r="L144" s="556"/>
      <c r="M144" s="556"/>
      <c r="N144" s="556"/>
      <c r="O144" s="556"/>
      <c r="P144" s="556"/>
      <c r="Q144" s="556"/>
      <c r="R144" s="556"/>
      <c r="S144" s="556"/>
      <c r="T144" s="556"/>
      <c r="U144" s="556"/>
      <c r="V144" s="599">
        <v>0</v>
      </c>
      <c r="W144" s="558"/>
      <c r="X144" s="543"/>
    </row>
    <row r="145" spans="1:25" s="544" customFormat="1" x14ac:dyDescent="0.3">
      <c r="A145" s="555"/>
      <c r="B145" s="556" t="s">
        <v>124</v>
      </c>
      <c r="C145" s="556"/>
      <c r="D145" s="556"/>
      <c r="E145" s="556"/>
      <c r="F145" s="556"/>
      <c r="G145" s="556"/>
      <c r="H145" s="556"/>
      <c r="I145" s="556"/>
      <c r="J145" s="556"/>
      <c r="K145" s="556"/>
      <c r="L145" s="556"/>
      <c r="M145" s="556"/>
      <c r="N145" s="556"/>
      <c r="O145" s="556"/>
      <c r="P145" s="556"/>
      <c r="Q145" s="556"/>
      <c r="R145" s="556"/>
      <c r="S145" s="556"/>
      <c r="T145" s="556"/>
      <c r="U145" s="556"/>
      <c r="V145" s="599">
        <v>0</v>
      </c>
      <c r="W145" s="558"/>
      <c r="X145" s="543"/>
    </row>
    <row r="146" spans="1:25" s="544" customFormat="1" x14ac:dyDescent="0.3">
      <c r="A146" s="555"/>
      <c r="B146" s="556" t="s">
        <v>175</v>
      </c>
      <c r="C146" s="556"/>
      <c r="D146" s="556"/>
      <c r="E146" s="556"/>
      <c r="F146" s="556"/>
      <c r="G146" s="556"/>
      <c r="H146" s="556"/>
      <c r="I146" s="556"/>
      <c r="J146" s="556"/>
      <c r="K146" s="556"/>
      <c r="L146" s="556"/>
      <c r="M146" s="556"/>
      <c r="N146" s="556"/>
      <c r="O146" s="556"/>
      <c r="P146" s="556"/>
      <c r="Q146" s="556"/>
      <c r="R146" s="556"/>
      <c r="S146" s="556"/>
      <c r="T146" s="556"/>
      <c r="U146" s="556"/>
      <c r="V146" s="599">
        <v>0</v>
      </c>
      <c r="W146" s="558"/>
      <c r="X146" s="543"/>
    </row>
    <row r="147" spans="1:25" s="544" customFormat="1" x14ac:dyDescent="0.3">
      <c r="A147" s="555"/>
      <c r="B147" s="556" t="s">
        <v>45</v>
      </c>
      <c r="C147" s="556"/>
      <c r="D147" s="556"/>
      <c r="E147" s="556"/>
      <c r="F147" s="556"/>
      <c r="G147" s="556"/>
      <c r="H147" s="556"/>
      <c r="I147" s="556"/>
      <c r="J147" s="556"/>
      <c r="K147" s="556"/>
      <c r="L147" s="556"/>
      <c r="M147" s="556"/>
      <c r="N147" s="556"/>
      <c r="O147" s="556"/>
      <c r="P147" s="556"/>
      <c r="Q147" s="556"/>
      <c r="R147" s="556"/>
      <c r="S147" s="556"/>
      <c r="T147" s="556"/>
      <c r="U147" s="556"/>
      <c r="V147" s="599">
        <v>0</v>
      </c>
      <c r="W147" s="558"/>
      <c r="X147" s="543"/>
    </row>
    <row r="148" spans="1:25" s="544" customFormat="1" x14ac:dyDescent="0.3">
      <c r="A148" s="555"/>
      <c r="B148" s="556" t="s">
        <v>129</v>
      </c>
      <c r="C148" s="556"/>
      <c r="D148" s="556"/>
      <c r="E148" s="556"/>
      <c r="F148" s="556"/>
      <c r="G148" s="556"/>
      <c r="H148" s="556"/>
      <c r="I148" s="556"/>
      <c r="J148" s="556"/>
      <c r="K148" s="556"/>
      <c r="L148" s="556"/>
      <c r="M148" s="556"/>
      <c r="N148" s="556"/>
      <c r="O148" s="556"/>
      <c r="P148" s="556"/>
      <c r="Q148" s="556"/>
      <c r="R148" s="556"/>
      <c r="S148" s="556"/>
      <c r="T148" s="556"/>
      <c r="U148" s="556"/>
      <c r="V148" s="599">
        <v>0</v>
      </c>
      <c r="W148" s="558"/>
      <c r="X148" s="543"/>
    </row>
    <row r="149" spans="1:25" s="544" customFormat="1" x14ac:dyDescent="0.3">
      <c r="A149" s="555"/>
      <c r="B149" s="556" t="s">
        <v>267</v>
      </c>
      <c r="C149" s="556"/>
      <c r="D149" s="556"/>
      <c r="E149" s="556"/>
      <c r="F149" s="556"/>
      <c r="G149" s="556"/>
      <c r="H149" s="556"/>
      <c r="I149" s="556"/>
      <c r="J149" s="556"/>
      <c r="K149" s="556"/>
      <c r="L149" s="556"/>
      <c r="M149" s="556"/>
      <c r="N149" s="556"/>
      <c r="O149" s="556"/>
      <c r="P149" s="556"/>
      <c r="Q149" s="556"/>
      <c r="R149" s="556"/>
      <c r="S149" s="556"/>
      <c r="T149" s="556"/>
      <c r="U149" s="556"/>
      <c r="V149" s="599">
        <v>0</v>
      </c>
      <c r="W149" s="558"/>
      <c r="X149" s="543"/>
      <c r="Y149" s="604"/>
    </row>
    <row r="150" spans="1:25" s="544" customFormat="1" x14ac:dyDescent="0.3">
      <c r="A150" s="555"/>
      <c r="B150" s="556" t="s">
        <v>46</v>
      </c>
      <c r="C150" s="556"/>
      <c r="D150" s="556"/>
      <c r="E150" s="556"/>
      <c r="F150" s="556"/>
      <c r="G150" s="556"/>
      <c r="H150" s="556"/>
      <c r="I150" s="556"/>
      <c r="J150" s="556"/>
      <c r="K150" s="556"/>
      <c r="L150" s="556"/>
      <c r="M150" s="556"/>
      <c r="N150" s="556"/>
      <c r="O150" s="556"/>
      <c r="P150" s="556"/>
      <c r="Q150" s="556"/>
      <c r="R150" s="556"/>
      <c r="S150" s="556"/>
      <c r="T150" s="556"/>
      <c r="U150" s="556"/>
      <c r="V150" s="599">
        <f>SUM(V142:V149)</f>
        <v>28505</v>
      </c>
      <c r="W150" s="558"/>
      <c r="X150" s="543"/>
    </row>
    <row r="151" spans="1:25" x14ac:dyDescent="0.3">
      <c r="A151" s="431"/>
      <c r="B151" s="434"/>
      <c r="C151" s="434"/>
      <c r="D151" s="434"/>
      <c r="E151" s="434"/>
      <c r="F151" s="434"/>
      <c r="G151" s="434"/>
      <c r="H151" s="434"/>
      <c r="I151" s="434"/>
      <c r="J151" s="434"/>
      <c r="K151" s="434"/>
      <c r="L151" s="434"/>
      <c r="M151" s="434"/>
      <c r="N151" s="434"/>
      <c r="O151" s="434"/>
      <c r="P151" s="434"/>
      <c r="Q151" s="434"/>
      <c r="R151" s="434"/>
      <c r="S151" s="434"/>
      <c r="T151" s="434"/>
      <c r="U151" s="434"/>
      <c r="V151" s="449"/>
      <c r="W151" s="436"/>
      <c r="X151" s="415"/>
    </row>
    <row r="152" spans="1:25" x14ac:dyDescent="0.3">
      <c r="A152" s="431"/>
      <c r="B152" s="507" t="s">
        <v>237</v>
      </c>
      <c r="C152" s="434"/>
      <c r="D152" s="434"/>
      <c r="E152" s="434"/>
      <c r="F152" s="434"/>
      <c r="G152" s="434"/>
      <c r="H152" s="434"/>
      <c r="I152" s="434"/>
      <c r="J152" s="434"/>
      <c r="K152" s="434"/>
      <c r="L152" s="434"/>
      <c r="M152" s="434"/>
      <c r="N152" s="434"/>
      <c r="O152" s="434"/>
      <c r="P152" s="434"/>
      <c r="Q152" s="434"/>
      <c r="R152" s="434"/>
      <c r="S152" s="434"/>
      <c r="T152" s="434"/>
      <c r="U152" s="434"/>
      <c r="V152" s="449"/>
      <c r="W152" s="436"/>
      <c r="X152" s="415"/>
    </row>
    <row r="153" spans="1:25" s="544" customFormat="1" x14ac:dyDescent="0.3">
      <c r="A153" s="555"/>
      <c r="B153" s="556" t="s">
        <v>155</v>
      </c>
      <c r="C153" s="556"/>
      <c r="D153" s="556"/>
      <c r="E153" s="556"/>
      <c r="F153" s="556"/>
      <c r="G153" s="556"/>
      <c r="H153" s="556"/>
      <c r="I153" s="556"/>
      <c r="J153" s="556"/>
      <c r="K153" s="556"/>
      <c r="L153" s="556"/>
      <c r="M153" s="556"/>
      <c r="N153" s="556"/>
      <c r="O153" s="556"/>
      <c r="P153" s="556"/>
      <c r="Q153" s="556"/>
      <c r="R153" s="556"/>
      <c r="S153" s="556"/>
      <c r="T153" s="556"/>
      <c r="U153" s="556"/>
      <c r="V153" s="599">
        <v>7500</v>
      </c>
      <c r="W153" s="558"/>
      <c r="X153" s="543"/>
    </row>
    <row r="154" spans="1:25" s="544" customFormat="1" x14ac:dyDescent="0.3">
      <c r="A154" s="555"/>
      <c r="B154" s="556" t="s">
        <v>172</v>
      </c>
      <c r="C154" s="556"/>
      <c r="D154" s="556"/>
      <c r="E154" s="556"/>
      <c r="F154" s="556"/>
      <c r="G154" s="556"/>
      <c r="H154" s="556"/>
      <c r="I154" s="556"/>
      <c r="J154" s="556"/>
      <c r="K154" s="556"/>
      <c r="L154" s="556"/>
      <c r="M154" s="556"/>
      <c r="N154" s="556"/>
      <c r="O154" s="556"/>
      <c r="P154" s="556"/>
      <c r="Q154" s="556"/>
      <c r="R154" s="556"/>
      <c r="S154" s="556"/>
      <c r="T154" s="556"/>
      <c r="U154" s="556"/>
      <c r="V154" s="599">
        <v>0</v>
      </c>
      <c r="W154" s="558"/>
      <c r="X154" s="543"/>
    </row>
    <row r="155" spans="1:25" s="544" customFormat="1" x14ac:dyDescent="0.3">
      <c r="A155" s="555"/>
      <c r="B155" s="556" t="s">
        <v>344</v>
      </c>
      <c r="C155" s="556"/>
      <c r="D155" s="556"/>
      <c r="E155" s="556"/>
      <c r="F155" s="556"/>
      <c r="G155" s="556"/>
      <c r="H155" s="556"/>
      <c r="I155" s="556"/>
      <c r="J155" s="556"/>
      <c r="K155" s="556"/>
      <c r="L155" s="556"/>
      <c r="M155" s="556"/>
      <c r="N155" s="556"/>
      <c r="O155" s="556"/>
      <c r="P155" s="556"/>
      <c r="Q155" s="556"/>
      <c r="R155" s="556"/>
      <c r="S155" s="556"/>
      <c r="T155" s="556"/>
      <c r="U155" s="556"/>
      <c r="V155" s="599">
        <v>0</v>
      </c>
      <c r="W155" s="558"/>
      <c r="X155" s="543"/>
    </row>
    <row r="156" spans="1:25" x14ac:dyDescent="0.3">
      <c r="A156" s="431"/>
      <c r="B156" s="432"/>
      <c r="C156" s="432"/>
      <c r="D156" s="432"/>
      <c r="E156" s="432"/>
      <c r="F156" s="432"/>
      <c r="G156" s="432"/>
      <c r="H156" s="432"/>
      <c r="I156" s="432"/>
      <c r="J156" s="432"/>
      <c r="K156" s="432"/>
      <c r="L156" s="432"/>
      <c r="M156" s="432"/>
      <c r="N156" s="432"/>
      <c r="O156" s="432"/>
      <c r="P156" s="432"/>
      <c r="Q156" s="432"/>
      <c r="R156" s="432"/>
      <c r="S156" s="432"/>
      <c r="T156" s="432"/>
      <c r="U156" s="432"/>
      <c r="V156" s="440"/>
      <c r="W156" s="433"/>
      <c r="X156" s="415"/>
    </row>
    <row r="157" spans="1:25" x14ac:dyDescent="0.3">
      <c r="A157" s="417"/>
      <c r="B157" s="441"/>
      <c r="C157" s="441"/>
      <c r="D157" s="441"/>
      <c r="E157" s="441"/>
      <c r="F157" s="441"/>
      <c r="G157" s="441"/>
      <c r="H157" s="441"/>
      <c r="I157" s="441"/>
      <c r="J157" s="441"/>
      <c r="K157" s="441"/>
      <c r="L157" s="441"/>
      <c r="M157" s="441"/>
      <c r="N157" s="441"/>
      <c r="O157" s="441"/>
      <c r="P157" s="441"/>
      <c r="Q157" s="441"/>
      <c r="R157" s="441"/>
      <c r="S157" s="441"/>
      <c r="T157" s="441"/>
      <c r="U157" s="441"/>
      <c r="V157" s="452"/>
      <c r="W157" s="441"/>
      <c r="X157" s="415"/>
    </row>
    <row r="158" spans="1:25" x14ac:dyDescent="0.3">
      <c r="A158" s="417"/>
      <c r="B158" s="508" t="s">
        <v>24</v>
      </c>
      <c r="C158" s="419"/>
      <c r="D158" s="419"/>
      <c r="E158" s="419"/>
      <c r="F158" s="419"/>
      <c r="G158" s="419"/>
      <c r="H158" s="419"/>
      <c r="I158" s="419"/>
      <c r="J158" s="419"/>
      <c r="K158" s="419"/>
      <c r="L158" s="419"/>
      <c r="M158" s="419"/>
      <c r="N158" s="419"/>
      <c r="O158" s="419"/>
      <c r="P158" s="419"/>
      <c r="Q158" s="419"/>
      <c r="R158" s="419"/>
      <c r="S158" s="419"/>
      <c r="T158" s="419"/>
      <c r="U158" s="419"/>
      <c r="V158" s="439"/>
      <c r="W158" s="419"/>
      <c r="X158" s="415"/>
    </row>
    <row r="159" spans="1:25" s="544" customFormat="1" x14ac:dyDescent="0.3">
      <c r="A159" s="555"/>
      <c r="B159" s="556" t="s">
        <v>47</v>
      </c>
      <c r="C159" s="556"/>
      <c r="D159" s="556"/>
      <c r="E159" s="556"/>
      <c r="F159" s="556"/>
      <c r="G159" s="556"/>
      <c r="H159" s="556"/>
      <c r="I159" s="556"/>
      <c r="J159" s="556"/>
      <c r="K159" s="556"/>
      <c r="L159" s="556"/>
      <c r="M159" s="556"/>
      <c r="N159" s="556"/>
      <c r="O159" s="556"/>
      <c r="P159" s="556"/>
      <c r="Q159" s="556"/>
      <c r="R159" s="556"/>
      <c r="S159" s="556"/>
      <c r="T159" s="556"/>
      <c r="U159" s="556"/>
      <c r="V159" s="608" t="s">
        <v>118</v>
      </c>
      <c r="W159" s="558"/>
      <c r="X159" s="543"/>
    </row>
    <row r="160" spans="1:25" s="544" customFormat="1" x14ac:dyDescent="0.3">
      <c r="A160" s="555"/>
      <c r="B160" s="556" t="s">
        <v>48</v>
      </c>
      <c r="C160" s="556"/>
      <c r="D160" s="556"/>
      <c r="E160" s="556"/>
      <c r="F160" s="556"/>
      <c r="G160" s="556"/>
      <c r="H160" s="556"/>
      <c r="I160" s="556"/>
      <c r="J160" s="556"/>
      <c r="K160" s="556"/>
      <c r="L160" s="556"/>
      <c r="M160" s="556"/>
      <c r="N160" s="556"/>
      <c r="O160" s="556"/>
      <c r="P160" s="556"/>
      <c r="Q160" s="556"/>
      <c r="R160" s="556"/>
      <c r="S160" s="556"/>
      <c r="T160" s="556"/>
      <c r="U160" s="556"/>
      <c r="V160" s="608" t="s">
        <v>118</v>
      </c>
      <c r="W160" s="558"/>
      <c r="X160" s="543"/>
    </row>
    <row r="161" spans="1:256" s="544" customFormat="1" x14ac:dyDescent="0.3">
      <c r="A161" s="555"/>
      <c r="B161" s="556" t="s">
        <v>49</v>
      </c>
      <c r="C161" s="556"/>
      <c r="D161" s="556"/>
      <c r="E161" s="556"/>
      <c r="F161" s="556"/>
      <c r="G161" s="556"/>
      <c r="H161" s="556"/>
      <c r="I161" s="556"/>
      <c r="J161" s="556"/>
      <c r="K161" s="556"/>
      <c r="L161" s="556"/>
      <c r="M161" s="556"/>
      <c r="N161" s="556"/>
      <c r="O161" s="556"/>
      <c r="P161" s="556"/>
      <c r="Q161" s="556"/>
      <c r="R161" s="556"/>
      <c r="S161" s="556"/>
      <c r="T161" s="556"/>
      <c r="U161" s="556"/>
      <c r="V161" s="608" t="s">
        <v>118</v>
      </c>
      <c r="W161" s="558"/>
      <c r="X161" s="543"/>
    </row>
    <row r="162" spans="1:256" s="544" customFormat="1" x14ac:dyDescent="0.3">
      <c r="A162" s="555"/>
      <c r="B162" s="556" t="s">
        <v>50</v>
      </c>
      <c r="C162" s="556"/>
      <c r="D162" s="556"/>
      <c r="E162" s="556"/>
      <c r="F162" s="556"/>
      <c r="G162" s="556"/>
      <c r="H162" s="556"/>
      <c r="I162" s="556"/>
      <c r="J162" s="556"/>
      <c r="K162" s="556"/>
      <c r="L162" s="556"/>
      <c r="M162" s="556"/>
      <c r="N162" s="556"/>
      <c r="O162" s="556"/>
      <c r="P162" s="556"/>
      <c r="Q162" s="556"/>
      <c r="R162" s="556"/>
      <c r="S162" s="556"/>
      <c r="T162" s="556"/>
      <c r="U162" s="556"/>
      <c r="V162" s="608" t="s">
        <v>118</v>
      </c>
      <c r="W162" s="558"/>
      <c r="X162" s="543"/>
    </row>
    <row r="163" spans="1:256" x14ac:dyDescent="0.3">
      <c r="A163" s="417"/>
      <c r="B163" s="441"/>
      <c r="C163" s="441"/>
      <c r="D163" s="441"/>
      <c r="E163" s="441"/>
      <c r="F163" s="441"/>
      <c r="G163" s="441"/>
      <c r="H163" s="441"/>
      <c r="I163" s="441"/>
      <c r="J163" s="441"/>
      <c r="K163" s="441"/>
      <c r="L163" s="441"/>
      <c r="M163" s="441"/>
      <c r="N163" s="441"/>
      <c r="O163" s="441"/>
      <c r="P163" s="441"/>
      <c r="Q163" s="441"/>
      <c r="R163" s="441"/>
      <c r="S163" s="441"/>
      <c r="T163" s="441"/>
      <c r="U163" s="441"/>
      <c r="V163" s="452"/>
      <c r="W163" s="441"/>
      <c r="X163" s="415"/>
    </row>
    <row r="164" spans="1:256" x14ac:dyDescent="0.3">
      <c r="A164" s="417"/>
      <c r="B164" s="508" t="s">
        <v>51</v>
      </c>
      <c r="C164" s="419"/>
      <c r="D164" s="419"/>
      <c r="E164" s="419"/>
      <c r="F164" s="419"/>
      <c r="G164" s="419"/>
      <c r="H164" s="419"/>
      <c r="I164" s="419"/>
      <c r="J164" s="419"/>
      <c r="K164" s="419"/>
      <c r="L164" s="419"/>
      <c r="M164" s="419"/>
      <c r="N164" s="419"/>
      <c r="O164" s="419"/>
      <c r="P164" s="419"/>
      <c r="Q164" s="419"/>
      <c r="R164" s="419"/>
      <c r="S164" s="419"/>
      <c r="T164" s="419"/>
      <c r="U164" s="419"/>
      <c r="V164" s="453"/>
      <c r="W164" s="419"/>
      <c r="X164" s="415"/>
    </row>
    <row r="165" spans="1:256" s="544" customFormat="1" x14ac:dyDescent="0.3">
      <c r="A165" s="555"/>
      <c r="B165" s="556" t="s">
        <v>52</v>
      </c>
      <c r="C165" s="556"/>
      <c r="D165" s="556"/>
      <c r="E165" s="556"/>
      <c r="F165" s="556"/>
      <c r="G165" s="556"/>
      <c r="H165" s="556"/>
      <c r="I165" s="556"/>
      <c r="J165" s="556"/>
      <c r="K165" s="556"/>
      <c r="L165" s="556"/>
      <c r="M165" s="556"/>
      <c r="N165" s="556"/>
      <c r="O165" s="556"/>
      <c r="P165" s="556"/>
      <c r="Q165" s="556"/>
      <c r="R165" s="556"/>
      <c r="S165" s="556"/>
      <c r="T165" s="556"/>
      <c r="U165" s="556"/>
      <c r="V165" s="599">
        <v>0</v>
      </c>
      <c r="W165" s="558"/>
      <c r="X165" s="543"/>
    </row>
    <row r="166" spans="1:256" s="544" customFormat="1" x14ac:dyDescent="0.3">
      <c r="A166" s="555"/>
      <c r="B166" s="556" t="s">
        <v>53</v>
      </c>
      <c r="C166" s="556"/>
      <c r="D166" s="556"/>
      <c r="E166" s="556"/>
      <c r="F166" s="556"/>
      <c r="G166" s="556"/>
      <c r="H166" s="556"/>
      <c r="I166" s="556"/>
      <c r="J166" s="556"/>
      <c r="K166" s="556"/>
      <c r="L166" s="556"/>
      <c r="M166" s="556"/>
      <c r="N166" s="556"/>
      <c r="O166" s="556"/>
      <c r="P166" s="556"/>
      <c r="Q166" s="556"/>
      <c r="R166" s="556"/>
      <c r="S166" s="556"/>
      <c r="T166" s="556"/>
      <c r="U166" s="556"/>
      <c r="V166" s="599">
        <v>-18</v>
      </c>
      <c r="W166" s="558"/>
      <c r="X166" s="543"/>
    </row>
    <row r="167" spans="1:256" s="544" customFormat="1" x14ac:dyDescent="0.3">
      <c r="A167" s="555"/>
      <c r="B167" s="556" t="s">
        <v>54</v>
      </c>
      <c r="C167" s="556"/>
      <c r="D167" s="556"/>
      <c r="E167" s="556"/>
      <c r="F167" s="556"/>
      <c r="G167" s="556"/>
      <c r="H167" s="556"/>
      <c r="I167" s="556"/>
      <c r="J167" s="556"/>
      <c r="K167" s="556"/>
      <c r="L167" s="556"/>
      <c r="M167" s="556"/>
      <c r="N167" s="556"/>
      <c r="O167" s="556"/>
      <c r="P167" s="556"/>
      <c r="Q167" s="556"/>
      <c r="R167" s="556"/>
      <c r="S167" s="556"/>
      <c r="T167" s="556"/>
      <c r="U167" s="556"/>
      <c r="V167" s="599">
        <f>V166+V165</f>
        <v>-18</v>
      </c>
      <c r="W167" s="558"/>
      <c r="X167" s="543"/>
    </row>
    <row r="168" spans="1:256" s="544" customFormat="1" x14ac:dyDescent="0.3">
      <c r="A168" s="555"/>
      <c r="B168" s="556" t="s">
        <v>315</v>
      </c>
      <c r="C168" s="556"/>
      <c r="D168" s="556"/>
      <c r="E168" s="556"/>
      <c r="F168" s="556"/>
      <c r="G168" s="556"/>
      <c r="H168" s="556"/>
      <c r="I168" s="556"/>
      <c r="J168" s="556"/>
      <c r="K168" s="556"/>
      <c r="L168" s="556"/>
      <c r="M168" s="556"/>
      <c r="N168" s="556"/>
      <c r="O168" s="556"/>
      <c r="P168" s="556"/>
      <c r="Q168" s="556"/>
      <c r="R168" s="556"/>
      <c r="S168" s="556"/>
      <c r="T168" s="556"/>
      <c r="U168" s="556"/>
      <c r="V168" s="599">
        <f>V114</f>
        <v>18</v>
      </c>
      <c r="W168" s="558"/>
      <c r="X168" s="543"/>
    </row>
    <row r="169" spans="1:256" s="544" customFormat="1" x14ac:dyDescent="0.3">
      <c r="A169" s="555"/>
      <c r="B169" s="556" t="s">
        <v>55</v>
      </c>
      <c r="C169" s="556"/>
      <c r="D169" s="556"/>
      <c r="E169" s="556"/>
      <c r="F169" s="556"/>
      <c r="G169" s="556"/>
      <c r="H169" s="556"/>
      <c r="I169" s="556"/>
      <c r="J169" s="556"/>
      <c r="K169" s="556"/>
      <c r="L169" s="556"/>
      <c r="M169" s="556"/>
      <c r="N169" s="556"/>
      <c r="O169" s="556"/>
      <c r="P169" s="556"/>
      <c r="Q169" s="556"/>
      <c r="R169" s="556"/>
      <c r="S169" s="556"/>
      <c r="T169" s="556"/>
      <c r="U169" s="556"/>
      <c r="V169" s="599">
        <f>V167+V168</f>
        <v>0</v>
      </c>
      <c r="W169" s="558"/>
      <c r="X169" s="543"/>
    </row>
    <row r="170" spans="1:256" s="544" customFormat="1" x14ac:dyDescent="0.3">
      <c r="A170" s="555"/>
      <c r="B170" s="556" t="s">
        <v>283</v>
      </c>
      <c r="C170" s="556"/>
      <c r="D170" s="556"/>
      <c r="E170" s="556"/>
      <c r="F170" s="556"/>
      <c r="G170" s="556"/>
      <c r="H170" s="556"/>
      <c r="I170" s="556"/>
      <c r="J170" s="556"/>
      <c r="K170" s="556"/>
      <c r="L170" s="556"/>
      <c r="M170" s="556"/>
      <c r="N170" s="556"/>
      <c r="O170" s="556"/>
      <c r="P170" s="556"/>
      <c r="Q170" s="556"/>
      <c r="R170" s="556"/>
      <c r="S170" s="556"/>
      <c r="T170" s="556"/>
      <c r="U170" s="556"/>
      <c r="V170" s="599">
        <f>-V99</f>
        <v>30</v>
      </c>
      <c r="W170" s="558"/>
      <c r="X170" s="543"/>
    </row>
    <row r="171" spans="1:256" ht="16.2" thickBot="1" x14ac:dyDescent="0.35">
      <c r="A171" s="417"/>
      <c r="B171" s="437"/>
      <c r="C171" s="437"/>
      <c r="D171" s="437"/>
      <c r="E171" s="437"/>
      <c r="F171" s="437"/>
      <c r="G171" s="437"/>
      <c r="H171" s="437"/>
      <c r="I171" s="437"/>
      <c r="J171" s="437"/>
      <c r="K171" s="437"/>
      <c r="L171" s="437"/>
      <c r="M171" s="437"/>
      <c r="N171" s="437"/>
      <c r="O171" s="437"/>
      <c r="P171" s="437"/>
      <c r="Q171" s="437"/>
      <c r="R171" s="437"/>
      <c r="S171" s="437"/>
      <c r="T171" s="437"/>
      <c r="U171" s="437"/>
      <c r="V171" s="454"/>
      <c r="W171" s="437"/>
      <c r="X171" s="415"/>
    </row>
    <row r="172" spans="1:256" x14ac:dyDescent="0.3">
      <c r="A172" s="413"/>
      <c r="B172" s="455"/>
      <c r="C172" s="455"/>
      <c r="D172" s="455"/>
      <c r="E172" s="455"/>
      <c r="F172" s="455"/>
      <c r="G172" s="455"/>
      <c r="H172" s="455"/>
      <c r="I172" s="455"/>
      <c r="J172" s="455"/>
      <c r="K172" s="455"/>
      <c r="L172" s="455"/>
      <c r="M172" s="455"/>
      <c r="N172" s="455"/>
      <c r="O172" s="455"/>
      <c r="P172" s="455"/>
      <c r="Q172" s="455"/>
      <c r="R172" s="455"/>
      <c r="S172" s="455"/>
      <c r="T172" s="455"/>
      <c r="U172" s="455"/>
      <c r="V172" s="456"/>
      <c r="W172" s="455"/>
      <c r="X172" s="415"/>
    </row>
    <row r="173" spans="1:256" s="458" customFormat="1" x14ac:dyDescent="0.3">
      <c r="A173" s="417"/>
      <c r="B173" s="508" t="s">
        <v>269</v>
      </c>
      <c r="C173" s="441"/>
      <c r="D173" s="441"/>
      <c r="E173" s="441"/>
      <c r="F173" s="441"/>
      <c r="G173" s="441"/>
      <c r="H173" s="441"/>
      <c r="I173" s="441"/>
      <c r="J173" s="441"/>
      <c r="K173" s="441"/>
      <c r="L173" s="441"/>
      <c r="M173" s="441"/>
      <c r="N173" s="441"/>
      <c r="O173" s="441"/>
      <c r="P173" s="441"/>
      <c r="Q173" s="441"/>
      <c r="R173" s="441"/>
      <c r="S173" s="441"/>
      <c r="T173" s="441"/>
      <c r="U173" s="441"/>
      <c r="V173" s="457"/>
      <c r="W173" s="441"/>
      <c r="X173" s="415"/>
      <c r="Y173" s="416"/>
      <c r="Z173" s="416"/>
      <c r="AA173" s="416"/>
      <c r="AB173" s="416"/>
      <c r="AC173" s="416"/>
      <c r="AD173" s="416"/>
      <c r="AE173" s="416"/>
      <c r="AF173" s="416"/>
      <c r="AG173" s="416"/>
      <c r="AH173" s="416"/>
      <c r="AI173" s="416"/>
      <c r="AJ173" s="416"/>
      <c r="AK173" s="416"/>
      <c r="AL173" s="416"/>
      <c r="AM173" s="416"/>
      <c r="AN173" s="416"/>
      <c r="AO173" s="416"/>
      <c r="AP173" s="416"/>
      <c r="AQ173" s="416"/>
      <c r="AR173" s="416"/>
      <c r="AS173" s="416"/>
      <c r="AT173" s="416"/>
      <c r="AU173" s="416"/>
      <c r="AV173" s="416"/>
      <c r="AW173" s="416"/>
      <c r="AX173" s="416"/>
      <c r="AY173" s="416"/>
      <c r="AZ173" s="416"/>
      <c r="BA173" s="416"/>
      <c r="BB173" s="416"/>
      <c r="BC173" s="416"/>
      <c r="BD173" s="416"/>
      <c r="BE173" s="416"/>
      <c r="BF173" s="416"/>
      <c r="BG173" s="416"/>
      <c r="BH173" s="416"/>
      <c r="BI173" s="416"/>
      <c r="BJ173" s="416"/>
      <c r="BK173" s="416"/>
      <c r="BL173" s="416"/>
      <c r="BM173" s="416"/>
      <c r="BN173" s="416"/>
      <c r="BO173" s="416"/>
      <c r="BP173" s="416"/>
      <c r="BQ173" s="416"/>
      <c r="BR173" s="416"/>
      <c r="BS173" s="416"/>
      <c r="BT173" s="416"/>
      <c r="BU173" s="416"/>
      <c r="BV173" s="416"/>
      <c r="BW173" s="416"/>
      <c r="BX173" s="416"/>
      <c r="BY173" s="416"/>
      <c r="BZ173" s="416"/>
      <c r="CA173" s="416"/>
      <c r="CB173" s="416"/>
      <c r="CC173" s="416"/>
      <c r="CD173" s="416"/>
      <c r="CE173" s="416"/>
      <c r="CF173" s="416"/>
      <c r="CG173" s="416"/>
      <c r="CH173" s="416"/>
      <c r="CI173" s="416"/>
      <c r="CJ173" s="416"/>
      <c r="CK173" s="416"/>
      <c r="CL173" s="416"/>
      <c r="CM173" s="416"/>
      <c r="CN173" s="416"/>
      <c r="CO173" s="416"/>
      <c r="CP173" s="416"/>
      <c r="CQ173" s="416"/>
      <c r="CR173" s="416"/>
      <c r="CS173" s="416"/>
      <c r="CT173" s="416"/>
      <c r="CU173" s="416"/>
      <c r="CV173" s="416"/>
      <c r="CW173" s="416"/>
      <c r="CX173" s="416"/>
      <c r="CY173" s="416"/>
      <c r="CZ173" s="416"/>
      <c r="DA173" s="416"/>
      <c r="DB173" s="416"/>
      <c r="DC173" s="416"/>
      <c r="DD173" s="416"/>
      <c r="DE173" s="416"/>
      <c r="DF173" s="416"/>
      <c r="DG173" s="416"/>
      <c r="DH173" s="416"/>
      <c r="DI173" s="416"/>
      <c r="DJ173" s="416"/>
      <c r="DK173" s="416"/>
      <c r="DL173" s="416"/>
      <c r="DM173" s="416"/>
      <c r="DN173" s="416"/>
      <c r="DO173" s="416"/>
      <c r="DP173" s="416"/>
      <c r="DQ173" s="416"/>
      <c r="DR173" s="416"/>
      <c r="DS173" s="416"/>
      <c r="DT173" s="416"/>
      <c r="DU173" s="416"/>
      <c r="DV173" s="416"/>
      <c r="DW173" s="416"/>
      <c r="DX173" s="416"/>
      <c r="DY173" s="416"/>
      <c r="DZ173" s="416"/>
      <c r="EA173" s="416"/>
      <c r="EB173" s="416"/>
      <c r="EC173" s="416"/>
      <c r="ED173" s="416"/>
      <c r="EE173" s="416"/>
      <c r="EF173" s="416"/>
      <c r="EG173" s="416"/>
      <c r="EH173" s="416"/>
      <c r="EI173" s="416"/>
      <c r="EJ173" s="416"/>
      <c r="EK173" s="416"/>
      <c r="EL173" s="416"/>
      <c r="EM173" s="416"/>
      <c r="EN173" s="416"/>
      <c r="EO173" s="416"/>
      <c r="EP173" s="416"/>
      <c r="EQ173" s="416"/>
      <c r="ER173" s="416"/>
      <c r="ES173" s="416"/>
      <c r="ET173" s="416"/>
      <c r="EU173" s="416"/>
      <c r="EV173" s="416"/>
      <c r="EW173" s="416"/>
      <c r="EX173" s="416"/>
      <c r="EY173" s="416"/>
      <c r="EZ173" s="416"/>
      <c r="FA173" s="416"/>
      <c r="FB173" s="416"/>
      <c r="FC173" s="416"/>
      <c r="FD173" s="416"/>
      <c r="FE173" s="416"/>
      <c r="FF173" s="416"/>
      <c r="FG173" s="416"/>
      <c r="FH173" s="416"/>
      <c r="FI173" s="416"/>
      <c r="FJ173" s="416"/>
      <c r="FK173" s="416"/>
      <c r="FL173" s="416"/>
      <c r="FM173" s="416"/>
      <c r="FN173" s="416"/>
      <c r="FO173" s="416"/>
      <c r="FP173" s="416"/>
      <c r="FQ173" s="416"/>
      <c r="FR173" s="416"/>
      <c r="FS173" s="416"/>
      <c r="FT173" s="416"/>
      <c r="FU173" s="416"/>
      <c r="FV173" s="416"/>
      <c r="FW173" s="416"/>
      <c r="FX173" s="416"/>
      <c r="FY173" s="416"/>
      <c r="FZ173" s="416"/>
      <c r="GA173" s="416"/>
      <c r="GB173" s="416"/>
      <c r="GC173" s="416"/>
      <c r="GD173" s="416"/>
      <c r="GE173" s="416"/>
      <c r="GF173" s="416"/>
      <c r="GG173" s="416"/>
      <c r="GH173" s="416"/>
      <c r="GI173" s="416"/>
      <c r="GJ173" s="416"/>
      <c r="GK173" s="416"/>
      <c r="GL173" s="416"/>
      <c r="GM173" s="416"/>
      <c r="GN173" s="416"/>
      <c r="GO173" s="416"/>
      <c r="GP173" s="416"/>
      <c r="GQ173" s="416"/>
      <c r="GR173" s="416"/>
      <c r="GS173" s="416"/>
      <c r="GT173" s="416"/>
      <c r="GU173" s="416"/>
      <c r="GV173" s="416"/>
      <c r="GW173" s="416"/>
      <c r="GX173" s="416"/>
      <c r="GY173" s="416"/>
      <c r="GZ173" s="416"/>
      <c r="HA173" s="416"/>
      <c r="HB173" s="416"/>
      <c r="HC173" s="416"/>
      <c r="HD173" s="416"/>
      <c r="HE173" s="416"/>
      <c r="HF173" s="416"/>
      <c r="HG173" s="416"/>
      <c r="HH173" s="416"/>
      <c r="HI173" s="416"/>
      <c r="HJ173" s="416"/>
      <c r="HK173" s="416"/>
      <c r="HL173" s="416"/>
      <c r="HM173" s="416"/>
      <c r="HN173" s="416"/>
      <c r="HO173" s="416"/>
      <c r="HP173" s="416"/>
      <c r="HQ173" s="416"/>
      <c r="HR173" s="416"/>
      <c r="HS173" s="416"/>
      <c r="HT173" s="416"/>
      <c r="HU173" s="416"/>
      <c r="HV173" s="416"/>
      <c r="HW173" s="416"/>
      <c r="HX173" s="416"/>
      <c r="HY173" s="416"/>
      <c r="HZ173" s="416"/>
      <c r="IA173" s="416"/>
      <c r="IB173" s="416"/>
      <c r="IC173" s="416"/>
      <c r="ID173" s="416"/>
      <c r="IE173" s="416"/>
      <c r="IF173" s="416"/>
      <c r="IG173" s="416"/>
      <c r="IH173" s="416"/>
      <c r="II173" s="416"/>
      <c r="IJ173" s="416"/>
      <c r="IK173" s="416"/>
      <c r="IL173" s="416"/>
      <c r="IM173" s="416"/>
      <c r="IN173" s="416"/>
      <c r="IO173" s="416"/>
      <c r="IP173" s="416"/>
      <c r="IQ173" s="416"/>
      <c r="IR173" s="416"/>
      <c r="IS173" s="416"/>
      <c r="IT173" s="416"/>
      <c r="IU173" s="416"/>
      <c r="IV173" s="416"/>
    </row>
    <row r="174" spans="1:256" s="609" customFormat="1" x14ac:dyDescent="0.3">
      <c r="A174" s="555"/>
      <c r="B174" s="556" t="s">
        <v>270</v>
      </c>
      <c r="C174" s="556"/>
      <c r="D174" s="556"/>
      <c r="E174" s="556"/>
      <c r="F174" s="556"/>
      <c r="G174" s="556"/>
      <c r="H174" s="556"/>
      <c r="I174" s="556"/>
      <c r="J174" s="556"/>
      <c r="K174" s="556"/>
      <c r="L174" s="556"/>
      <c r="M174" s="556"/>
      <c r="N174" s="556"/>
      <c r="O174" s="556"/>
      <c r="P174" s="556"/>
      <c r="Q174" s="556"/>
      <c r="R174" s="556"/>
      <c r="S174" s="556"/>
      <c r="T174" s="556"/>
      <c r="U174" s="556"/>
      <c r="V174" s="599">
        <f>+'Aug 08'!V177</f>
        <v>0</v>
      </c>
      <c r="W174" s="558"/>
      <c r="X174" s="543"/>
      <c r="Y174" s="544"/>
      <c r="Z174" s="544"/>
      <c r="AA174" s="544"/>
      <c r="AB174" s="544"/>
      <c r="AC174" s="544"/>
      <c r="AD174" s="544"/>
      <c r="AE174" s="544"/>
      <c r="AF174" s="544"/>
      <c r="AG174" s="544"/>
      <c r="AH174" s="544"/>
      <c r="AI174" s="544"/>
      <c r="AJ174" s="544"/>
      <c r="AK174" s="544"/>
      <c r="AL174" s="544"/>
      <c r="AM174" s="544"/>
      <c r="AN174" s="544"/>
      <c r="AO174" s="544"/>
      <c r="AP174" s="544"/>
      <c r="AQ174" s="544"/>
      <c r="AR174" s="544"/>
      <c r="AS174" s="544"/>
      <c r="AT174" s="544"/>
      <c r="AU174" s="544"/>
      <c r="AV174" s="544"/>
      <c r="AW174" s="544"/>
      <c r="AX174" s="544"/>
      <c r="AY174" s="544"/>
      <c r="AZ174" s="544"/>
      <c r="BA174" s="544"/>
      <c r="BB174" s="544"/>
      <c r="BC174" s="544"/>
      <c r="BD174" s="544"/>
      <c r="BE174" s="544"/>
      <c r="BF174" s="544"/>
      <c r="BG174" s="544"/>
      <c r="BH174" s="544"/>
      <c r="BI174" s="544"/>
      <c r="BJ174" s="544"/>
      <c r="BK174" s="544"/>
      <c r="BL174" s="544"/>
      <c r="BM174" s="544"/>
      <c r="BN174" s="544"/>
      <c r="BO174" s="544"/>
      <c r="BP174" s="544"/>
      <c r="BQ174" s="544"/>
      <c r="BR174" s="544"/>
      <c r="BS174" s="544"/>
      <c r="BT174" s="544"/>
      <c r="BU174" s="544"/>
      <c r="BV174" s="544"/>
      <c r="BW174" s="544"/>
      <c r="BX174" s="544"/>
      <c r="BY174" s="544"/>
      <c r="BZ174" s="544"/>
      <c r="CA174" s="544"/>
      <c r="CB174" s="544"/>
      <c r="CC174" s="544"/>
      <c r="CD174" s="544"/>
      <c r="CE174" s="544"/>
      <c r="CF174" s="544"/>
      <c r="CG174" s="544"/>
      <c r="CH174" s="544"/>
      <c r="CI174" s="544"/>
      <c r="CJ174" s="544"/>
      <c r="CK174" s="544"/>
      <c r="CL174" s="544"/>
      <c r="CM174" s="544"/>
      <c r="CN174" s="544"/>
      <c r="CO174" s="544"/>
      <c r="CP174" s="544"/>
      <c r="CQ174" s="544"/>
      <c r="CR174" s="544"/>
      <c r="CS174" s="544"/>
      <c r="CT174" s="544"/>
      <c r="CU174" s="544"/>
      <c r="CV174" s="544"/>
      <c r="CW174" s="544"/>
      <c r="CX174" s="544"/>
      <c r="CY174" s="544"/>
      <c r="CZ174" s="544"/>
      <c r="DA174" s="544"/>
      <c r="DB174" s="544"/>
      <c r="DC174" s="544"/>
      <c r="DD174" s="544"/>
      <c r="DE174" s="544"/>
      <c r="DF174" s="544"/>
      <c r="DG174" s="544"/>
      <c r="DH174" s="544"/>
      <c r="DI174" s="544"/>
      <c r="DJ174" s="544"/>
      <c r="DK174" s="544"/>
      <c r="DL174" s="544"/>
      <c r="DM174" s="544"/>
      <c r="DN174" s="544"/>
      <c r="DO174" s="544"/>
      <c r="DP174" s="544"/>
      <c r="DQ174" s="544"/>
      <c r="DR174" s="544"/>
      <c r="DS174" s="544"/>
      <c r="DT174" s="544"/>
      <c r="DU174" s="544"/>
      <c r="DV174" s="544"/>
      <c r="DW174" s="544"/>
      <c r="DX174" s="544"/>
      <c r="DY174" s="544"/>
      <c r="DZ174" s="544"/>
      <c r="EA174" s="544"/>
      <c r="EB174" s="544"/>
      <c r="EC174" s="544"/>
      <c r="ED174" s="544"/>
      <c r="EE174" s="544"/>
      <c r="EF174" s="544"/>
      <c r="EG174" s="544"/>
      <c r="EH174" s="544"/>
      <c r="EI174" s="544"/>
      <c r="EJ174" s="544"/>
      <c r="EK174" s="544"/>
      <c r="EL174" s="544"/>
      <c r="EM174" s="544"/>
      <c r="EN174" s="544"/>
      <c r="EO174" s="544"/>
      <c r="EP174" s="544"/>
      <c r="EQ174" s="544"/>
      <c r="ER174" s="544"/>
      <c r="ES174" s="544"/>
      <c r="ET174" s="544"/>
      <c r="EU174" s="544"/>
      <c r="EV174" s="544"/>
      <c r="EW174" s="544"/>
      <c r="EX174" s="544"/>
      <c r="EY174" s="544"/>
      <c r="EZ174" s="544"/>
      <c r="FA174" s="544"/>
      <c r="FB174" s="544"/>
      <c r="FC174" s="544"/>
      <c r="FD174" s="544"/>
      <c r="FE174" s="544"/>
      <c r="FF174" s="544"/>
      <c r="FG174" s="544"/>
      <c r="FH174" s="544"/>
      <c r="FI174" s="544"/>
      <c r="FJ174" s="544"/>
      <c r="FK174" s="544"/>
      <c r="FL174" s="544"/>
      <c r="FM174" s="544"/>
      <c r="FN174" s="544"/>
      <c r="FO174" s="544"/>
      <c r="FP174" s="544"/>
      <c r="FQ174" s="544"/>
      <c r="FR174" s="544"/>
      <c r="FS174" s="544"/>
      <c r="FT174" s="544"/>
      <c r="FU174" s="544"/>
      <c r="FV174" s="544"/>
      <c r="FW174" s="544"/>
      <c r="FX174" s="544"/>
      <c r="FY174" s="544"/>
      <c r="FZ174" s="544"/>
      <c r="GA174" s="544"/>
      <c r="GB174" s="544"/>
      <c r="GC174" s="544"/>
      <c r="GD174" s="544"/>
      <c r="GE174" s="544"/>
      <c r="GF174" s="544"/>
      <c r="GG174" s="544"/>
      <c r="GH174" s="544"/>
      <c r="GI174" s="544"/>
      <c r="GJ174" s="544"/>
      <c r="GK174" s="544"/>
      <c r="GL174" s="544"/>
      <c r="GM174" s="544"/>
      <c r="GN174" s="544"/>
      <c r="GO174" s="544"/>
      <c r="GP174" s="544"/>
      <c r="GQ174" s="544"/>
      <c r="GR174" s="544"/>
      <c r="GS174" s="544"/>
      <c r="GT174" s="544"/>
      <c r="GU174" s="544"/>
      <c r="GV174" s="544"/>
      <c r="GW174" s="544"/>
      <c r="GX174" s="544"/>
      <c r="GY174" s="544"/>
      <c r="GZ174" s="544"/>
      <c r="HA174" s="544"/>
      <c r="HB174" s="544"/>
      <c r="HC174" s="544"/>
      <c r="HD174" s="544"/>
      <c r="HE174" s="544"/>
      <c r="HF174" s="544"/>
      <c r="HG174" s="544"/>
      <c r="HH174" s="544"/>
      <c r="HI174" s="544"/>
      <c r="HJ174" s="544"/>
      <c r="HK174" s="544"/>
      <c r="HL174" s="544"/>
      <c r="HM174" s="544"/>
      <c r="HN174" s="544"/>
      <c r="HO174" s="544"/>
      <c r="HP174" s="544"/>
      <c r="HQ174" s="544"/>
      <c r="HR174" s="544"/>
      <c r="HS174" s="544"/>
      <c r="HT174" s="544"/>
      <c r="HU174" s="544"/>
      <c r="HV174" s="544"/>
      <c r="HW174" s="544"/>
      <c r="HX174" s="544"/>
      <c r="HY174" s="544"/>
      <c r="HZ174" s="544"/>
      <c r="IA174" s="544"/>
      <c r="IB174" s="544"/>
      <c r="IC174" s="544"/>
      <c r="ID174" s="544"/>
      <c r="IE174" s="544"/>
      <c r="IF174" s="544"/>
      <c r="IG174" s="544"/>
      <c r="IH174" s="544"/>
      <c r="II174" s="544"/>
      <c r="IJ174" s="544"/>
      <c r="IK174" s="544"/>
      <c r="IL174" s="544"/>
      <c r="IM174" s="544"/>
      <c r="IN174" s="544"/>
      <c r="IO174" s="544"/>
      <c r="IP174" s="544"/>
      <c r="IQ174" s="544"/>
      <c r="IR174" s="544"/>
      <c r="IS174" s="544"/>
      <c r="IT174" s="544"/>
      <c r="IU174" s="544"/>
      <c r="IV174" s="544"/>
    </row>
    <row r="175" spans="1:256" s="609" customFormat="1" x14ac:dyDescent="0.3">
      <c r="A175" s="555"/>
      <c r="B175" s="556" t="s">
        <v>273</v>
      </c>
      <c r="C175" s="556"/>
      <c r="D175" s="556"/>
      <c r="E175" s="556"/>
      <c r="F175" s="556"/>
      <c r="G175" s="556"/>
      <c r="H175" s="556"/>
      <c r="I175" s="556"/>
      <c r="J175" s="556"/>
      <c r="K175" s="556"/>
      <c r="L175" s="556"/>
      <c r="M175" s="556"/>
      <c r="N175" s="556"/>
      <c r="O175" s="556"/>
      <c r="P175" s="556"/>
      <c r="Q175" s="556"/>
      <c r="R175" s="556"/>
      <c r="S175" s="556"/>
      <c r="T175" s="556"/>
      <c r="U175" s="556"/>
      <c r="V175" s="599">
        <f>+V93</f>
        <v>0</v>
      </c>
      <c r="W175" s="558"/>
      <c r="X175" s="543"/>
      <c r="Y175" s="544"/>
      <c r="Z175" s="544"/>
      <c r="AA175" s="544"/>
      <c r="AB175" s="544"/>
      <c r="AC175" s="544"/>
      <c r="AD175" s="544"/>
      <c r="AE175" s="544"/>
      <c r="AF175" s="544"/>
      <c r="AG175" s="544"/>
      <c r="AH175" s="544"/>
      <c r="AI175" s="544"/>
      <c r="AJ175" s="544"/>
      <c r="AK175" s="544"/>
      <c r="AL175" s="544"/>
      <c r="AM175" s="544"/>
      <c r="AN175" s="544"/>
      <c r="AO175" s="544"/>
      <c r="AP175" s="544"/>
      <c r="AQ175" s="544"/>
      <c r="AR175" s="544"/>
      <c r="AS175" s="544"/>
      <c r="AT175" s="544"/>
      <c r="AU175" s="544"/>
      <c r="AV175" s="544"/>
      <c r="AW175" s="544"/>
      <c r="AX175" s="544"/>
      <c r="AY175" s="544"/>
      <c r="AZ175" s="544"/>
      <c r="BA175" s="544"/>
      <c r="BB175" s="544"/>
      <c r="BC175" s="544"/>
      <c r="BD175" s="544"/>
      <c r="BE175" s="544"/>
      <c r="BF175" s="544"/>
      <c r="BG175" s="544"/>
      <c r="BH175" s="544"/>
      <c r="BI175" s="544"/>
      <c r="BJ175" s="544"/>
      <c r="BK175" s="544"/>
      <c r="BL175" s="544"/>
      <c r="BM175" s="544"/>
      <c r="BN175" s="544"/>
      <c r="BO175" s="544"/>
      <c r="BP175" s="544"/>
      <c r="BQ175" s="544"/>
      <c r="BR175" s="544"/>
      <c r="BS175" s="544"/>
      <c r="BT175" s="544"/>
      <c r="BU175" s="544"/>
      <c r="BV175" s="544"/>
      <c r="BW175" s="544"/>
      <c r="BX175" s="544"/>
      <c r="BY175" s="544"/>
      <c r="BZ175" s="544"/>
      <c r="CA175" s="544"/>
      <c r="CB175" s="544"/>
      <c r="CC175" s="544"/>
      <c r="CD175" s="544"/>
      <c r="CE175" s="544"/>
      <c r="CF175" s="544"/>
      <c r="CG175" s="544"/>
      <c r="CH175" s="544"/>
      <c r="CI175" s="544"/>
      <c r="CJ175" s="544"/>
      <c r="CK175" s="544"/>
      <c r="CL175" s="544"/>
      <c r="CM175" s="544"/>
      <c r="CN175" s="544"/>
      <c r="CO175" s="544"/>
      <c r="CP175" s="544"/>
      <c r="CQ175" s="544"/>
      <c r="CR175" s="544"/>
      <c r="CS175" s="544"/>
      <c r="CT175" s="544"/>
      <c r="CU175" s="544"/>
      <c r="CV175" s="544"/>
      <c r="CW175" s="544"/>
      <c r="CX175" s="544"/>
      <c r="CY175" s="544"/>
      <c r="CZ175" s="544"/>
      <c r="DA175" s="544"/>
      <c r="DB175" s="544"/>
      <c r="DC175" s="544"/>
      <c r="DD175" s="544"/>
      <c r="DE175" s="544"/>
      <c r="DF175" s="544"/>
      <c r="DG175" s="544"/>
      <c r="DH175" s="544"/>
      <c r="DI175" s="544"/>
      <c r="DJ175" s="544"/>
      <c r="DK175" s="544"/>
      <c r="DL175" s="544"/>
      <c r="DM175" s="544"/>
      <c r="DN175" s="544"/>
      <c r="DO175" s="544"/>
      <c r="DP175" s="544"/>
      <c r="DQ175" s="544"/>
      <c r="DR175" s="544"/>
      <c r="DS175" s="544"/>
      <c r="DT175" s="544"/>
      <c r="DU175" s="544"/>
      <c r="DV175" s="544"/>
      <c r="DW175" s="544"/>
      <c r="DX175" s="544"/>
      <c r="DY175" s="544"/>
      <c r="DZ175" s="544"/>
      <c r="EA175" s="544"/>
      <c r="EB175" s="544"/>
      <c r="EC175" s="544"/>
      <c r="ED175" s="544"/>
      <c r="EE175" s="544"/>
      <c r="EF175" s="544"/>
      <c r="EG175" s="544"/>
      <c r="EH175" s="544"/>
      <c r="EI175" s="544"/>
      <c r="EJ175" s="544"/>
      <c r="EK175" s="544"/>
      <c r="EL175" s="544"/>
      <c r="EM175" s="544"/>
      <c r="EN175" s="544"/>
      <c r="EO175" s="544"/>
      <c r="EP175" s="544"/>
      <c r="EQ175" s="544"/>
      <c r="ER175" s="544"/>
      <c r="ES175" s="544"/>
      <c r="ET175" s="544"/>
      <c r="EU175" s="544"/>
      <c r="EV175" s="544"/>
      <c r="EW175" s="544"/>
      <c r="EX175" s="544"/>
      <c r="EY175" s="544"/>
      <c r="EZ175" s="544"/>
      <c r="FA175" s="544"/>
      <c r="FB175" s="544"/>
      <c r="FC175" s="544"/>
      <c r="FD175" s="544"/>
      <c r="FE175" s="544"/>
      <c r="FF175" s="544"/>
      <c r="FG175" s="544"/>
      <c r="FH175" s="544"/>
      <c r="FI175" s="544"/>
      <c r="FJ175" s="544"/>
      <c r="FK175" s="544"/>
      <c r="FL175" s="544"/>
      <c r="FM175" s="544"/>
      <c r="FN175" s="544"/>
      <c r="FO175" s="544"/>
      <c r="FP175" s="544"/>
      <c r="FQ175" s="544"/>
      <c r="FR175" s="544"/>
      <c r="FS175" s="544"/>
      <c r="FT175" s="544"/>
      <c r="FU175" s="544"/>
      <c r="FV175" s="544"/>
      <c r="FW175" s="544"/>
      <c r="FX175" s="544"/>
      <c r="FY175" s="544"/>
      <c r="FZ175" s="544"/>
      <c r="GA175" s="544"/>
      <c r="GB175" s="544"/>
      <c r="GC175" s="544"/>
      <c r="GD175" s="544"/>
      <c r="GE175" s="544"/>
      <c r="GF175" s="544"/>
      <c r="GG175" s="544"/>
      <c r="GH175" s="544"/>
      <c r="GI175" s="544"/>
      <c r="GJ175" s="544"/>
      <c r="GK175" s="544"/>
      <c r="GL175" s="544"/>
      <c r="GM175" s="544"/>
      <c r="GN175" s="544"/>
      <c r="GO175" s="544"/>
      <c r="GP175" s="544"/>
      <c r="GQ175" s="544"/>
      <c r="GR175" s="544"/>
      <c r="GS175" s="544"/>
      <c r="GT175" s="544"/>
      <c r="GU175" s="544"/>
      <c r="GV175" s="544"/>
      <c r="GW175" s="544"/>
      <c r="GX175" s="544"/>
      <c r="GY175" s="544"/>
      <c r="GZ175" s="544"/>
      <c r="HA175" s="544"/>
      <c r="HB175" s="544"/>
      <c r="HC175" s="544"/>
      <c r="HD175" s="544"/>
      <c r="HE175" s="544"/>
      <c r="HF175" s="544"/>
      <c r="HG175" s="544"/>
      <c r="HH175" s="544"/>
      <c r="HI175" s="544"/>
      <c r="HJ175" s="544"/>
      <c r="HK175" s="544"/>
      <c r="HL175" s="544"/>
      <c r="HM175" s="544"/>
      <c r="HN175" s="544"/>
      <c r="HO175" s="544"/>
      <c r="HP175" s="544"/>
      <c r="HQ175" s="544"/>
      <c r="HR175" s="544"/>
      <c r="HS175" s="544"/>
      <c r="HT175" s="544"/>
      <c r="HU175" s="544"/>
      <c r="HV175" s="544"/>
      <c r="HW175" s="544"/>
      <c r="HX175" s="544"/>
      <c r="HY175" s="544"/>
      <c r="HZ175" s="544"/>
      <c r="IA175" s="544"/>
      <c r="IB175" s="544"/>
      <c r="IC175" s="544"/>
      <c r="ID175" s="544"/>
      <c r="IE175" s="544"/>
      <c r="IF175" s="544"/>
      <c r="IG175" s="544"/>
      <c r="IH175" s="544"/>
      <c r="II175" s="544"/>
      <c r="IJ175" s="544"/>
      <c r="IK175" s="544"/>
      <c r="IL175" s="544"/>
      <c r="IM175" s="544"/>
      <c r="IN175" s="544"/>
      <c r="IO175" s="544"/>
      <c r="IP175" s="544"/>
      <c r="IQ175" s="544"/>
      <c r="IR175" s="544"/>
      <c r="IS175" s="544"/>
      <c r="IT175" s="544"/>
      <c r="IU175" s="544"/>
      <c r="IV175" s="544"/>
    </row>
    <row r="176" spans="1:256" s="609" customFormat="1" x14ac:dyDescent="0.3">
      <c r="A176" s="555"/>
      <c r="B176" s="556" t="s">
        <v>271</v>
      </c>
      <c r="C176" s="556"/>
      <c r="D176" s="556"/>
      <c r="E176" s="556"/>
      <c r="F176" s="556"/>
      <c r="G176" s="556"/>
      <c r="H176" s="556"/>
      <c r="I176" s="556"/>
      <c r="J176" s="556"/>
      <c r="K176" s="556"/>
      <c r="L176" s="556"/>
      <c r="M176" s="556"/>
      <c r="N176" s="556"/>
      <c r="O176" s="556"/>
      <c r="P176" s="556"/>
      <c r="Q176" s="556"/>
      <c r="R176" s="556"/>
      <c r="S176" s="556"/>
      <c r="T176" s="556"/>
      <c r="U176" s="556"/>
      <c r="V176" s="599">
        <f>+V174-V175</f>
        <v>0</v>
      </c>
      <c r="W176" s="558"/>
      <c r="X176" s="543"/>
      <c r="Y176" s="544"/>
      <c r="Z176" s="544"/>
      <c r="AA176" s="544"/>
      <c r="AB176" s="544"/>
      <c r="AC176" s="544"/>
      <c r="AD176" s="544"/>
      <c r="AE176" s="544"/>
      <c r="AF176" s="544"/>
      <c r="AG176" s="544"/>
      <c r="AH176" s="544"/>
      <c r="AI176" s="544"/>
      <c r="AJ176" s="544"/>
      <c r="AK176" s="544"/>
      <c r="AL176" s="544"/>
      <c r="AM176" s="544"/>
      <c r="AN176" s="544"/>
      <c r="AO176" s="544"/>
      <c r="AP176" s="544"/>
      <c r="AQ176" s="544"/>
      <c r="AR176" s="544"/>
      <c r="AS176" s="544"/>
      <c r="AT176" s="544"/>
      <c r="AU176" s="544"/>
      <c r="AV176" s="544"/>
      <c r="AW176" s="544"/>
      <c r="AX176" s="544"/>
      <c r="AY176" s="544"/>
      <c r="AZ176" s="544"/>
      <c r="BA176" s="544"/>
      <c r="BB176" s="544"/>
      <c r="BC176" s="544"/>
      <c r="BD176" s="544"/>
      <c r="BE176" s="544"/>
      <c r="BF176" s="544"/>
      <c r="BG176" s="544"/>
      <c r="BH176" s="544"/>
      <c r="BI176" s="544"/>
      <c r="BJ176" s="544"/>
      <c r="BK176" s="544"/>
      <c r="BL176" s="544"/>
      <c r="BM176" s="544"/>
      <c r="BN176" s="544"/>
      <c r="BO176" s="544"/>
      <c r="BP176" s="544"/>
      <c r="BQ176" s="544"/>
      <c r="BR176" s="544"/>
      <c r="BS176" s="544"/>
      <c r="BT176" s="544"/>
      <c r="BU176" s="544"/>
      <c r="BV176" s="544"/>
      <c r="BW176" s="544"/>
      <c r="BX176" s="544"/>
      <c r="BY176" s="544"/>
      <c r="BZ176" s="544"/>
      <c r="CA176" s="544"/>
      <c r="CB176" s="544"/>
      <c r="CC176" s="544"/>
      <c r="CD176" s="544"/>
      <c r="CE176" s="544"/>
      <c r="CF176" s="544"/>
      <c r="CG176" s="544"/>
      <c r="CH176" s="544"/>
      <c r="CI176" s="544"/>
      <c r="CJ176" s="544"/>
      <c r="CK176" s="544"/>
      <c r="CL176" s="544"/>
      <c r="CM176" s="544"/>
      <c r="CN176" s="544"/>
      <c r="CO176" s="544"/>
      <c r="CP176" s="544"/>
      <c r="CQ176" s="544"/>
      <c r="CR176" s="544"/>
      <c r="CS176" s="544"/>
      <c r="CT176" s="544"/>
      <c r="CU176" s="544"/>
      <c r="CV176" s="544"/>
      <c r="CW176" s="544"/>
      <c r="CX176" s="544"/>
      <c r="CY176" s="544"/>
      <c r="CZ176" s="544"/>
      <c r="DA176" s="544"/>
      <c r="DB176" s="544"/>
      <c r="DC176" s="544"/>
      <c r="DD176" s="544"/>
      <c r="DE176" s="544"/>
      <c r="DF176" s="544"/>
      <c r="DG176" s="544"/>
      <c r="DH176" s="544"/>
      <c r="DI176" s="544"/>
      <c r="DJ176" s="544"/>
      <c r="DK176" s="544"/>
      <c r="DL176" s="544"/>
      <c r="DM176" s="544"/>
      <c r="DN176" s="544"/>
      <c r="DO176" s="544"/>
      <c r="DP176" s="544"/>
      <c r="DQ176" s="544"/>
      <c r="DR176" s="544"/>
      <c r="DS176" s="544"/>
      <c r="DT176" s="544"/>
      <c r="DU176" s="544"/>
      <c r="DV176" s="544"/>
      <c r="DW176" s="544"/>
      <c r="DX176" s="544"/>
      <c r="DY176" s="544"/>
      <c r="DZ176" s="544"/>
      <c r="EA176" s="544"/>
      <c r="EB176" s="544"/>
      <c r="EC176" s="544"/>
      <c r="ED176" s="544"/>
      <c r="EE176" s="544"/>
      <c r="EF176" s="544"/>
      <c r="EG176" s="544"/>
      <c r="EH176" s="544"/>
      <c r="EI176" s="544"/>
      <c r="EJ176" s="544"/>
      <c r="EK176" s="544"/>
      <c r="EL176" s="544"/>
      <c r="EM176" s="544"/>
      <c r="EN176" s="544"/>
      <c r="EO176" s="544"/>
      <c r="EP176" s="544"/>
      <c r="EQ176" s="544"/>
      <c r="ER176" s="544"/>
      <c r="ES176" s="544"/>
      <c r="ET176" s="544"/>
      <c r="EU176" s="544"/>
      <c r="EV176" s="544"/>
      <c r="EW176" s="544"/>
      <c r="EX176" s="544"/>
      <c r="EY176" s="544"/>
      <c r="EZ176" s="544"/>
      <c r="FA176" s="544"/>
      <c r="FB176" s="544"/>
      <c r="FC176" s="544"/>
      <c r="FD176" s="544"/>
      <c r="FE176" s="544"/>
      <c r="FF176" s="544"/>
      <c r="FG176" s="544"/>
      <c r="FH176" s="544"/>
      <c r="FI176" s="544"/>
      <c r="FJ176" s="544"/>
      <c r="FK176" s="544"/>
      <c r="FL176" s="544"/>
      <c r="FM176" s="544"/>
      <c r="FN176" s="544"/>
      <c r="FO176" s="544"/>
      <c r="FP176" s="544"/>
      <c r="FQ176" s="544"/>
      <c r="FR176" s="544"/>
      <c r="FS176" s="544"/>
      <c r="FT176" s="544"/>
      <c r="FU176" s="544"/>
      <c r="FV176" s="544"/>
      <c r="FW176" s="544"/>
      <c r="FX176" s="544"/>
      <c r="FY176" s="544"/>
      <c r="FZ176" s="544"/>
      <c r="GA176" s="544"/>
      <c r="GB176" s="544"/>
      <c r="GC176" s="544"/>
      <c r="GD176" s="544"/>
      <c r="GE176" s="544"/>
      <c r="GF176" s="544"/>
      <c r="GG176" s="544"/>
      <c r="GH176" s="544"/>
      <c r="GI176" s="544"/>
      <c r="GJ176" s="544"/>
      <c r="GK176" s="544"/>
      <c r="GL176" s="544"/>
      <c r="GM176" s="544"/>
      <c r="GN176" s="544"/>
      <c r="GO176" s="544"/>
      <c r="GP176" s="544"/>
      <c r="GQ176" s="544"/>
      <c r="GR176" s="544"/>
      <c r="GS176" s="544"/>
      <c r="GT176" s="544"/>
      <c r="GU176" s="544"/>
      <c r="GV176" s="544"/>
      <c r="GW176" s="544"/>
      <c r="GX176" s="544"/>
      <c r="GY176" s="544"/>
      <c r="GZ176" s="544"/>
      <c r="HA176" s="544"/>
      <c r="HB176" s="544"/>
      <c r="HC176" s="544"/>
      <c r="HD176" s="544"/>
      <c r="HE176" s="544"/>
      <c r="HF176" s="544"/>
      <c r="HG176" s="544"/>
      <c r="HH176" s="544"/>
      <c r="HI176" s="544"/>
      <c r="HJ176" s="544"/>
      <c r="HK176" s="544"/>
      <c r="HL176" s="544"/>
      <c r="HM176" s="544"/>
      <c r="HN176" s="544"/>
      <c r="HO176" s="544"/>
      <c r="HP176" s="544"/>
      <c r="HQ176" s="544"/>
      <c r="HR176" s="544"/>
      <c r="HS176" s="544"/>
      <c r="HT176" s="544"/>
      <c r="HU176" s="544"/>
      <c r="HV176" s="544"/>
      <c r="HW176" s="544"/>
      <c r="HX176" s="544"/>
      <c r="HY176" s="544"/>
      <c r="HZ176" s="544"/>
      <c r="IA176" s="544"/>
      <c r="IB176" s="544"/>
      <c r="IC176" s="544"/>
      <c r="ID176" s="544"/>
      <c r="IE176" s="544"/>
      <c r="IF176" s="544"/>
      <c r="IG176" s="544"/>
      <c r="IH176" s="544"/>
      <c r="II176" s="544"/>
      <c r="IJ176" s="544"/>
      <c r="IK176" s="544"/>
      <c r="IL176" s="544"/>
      <c r="IM176" s="544"/>
      <c r="IN176" s="544"/>
      <c r="IO176" s="544"/>
      <c r="IP176" s="544"/>
      <c r="IQ176" s="544"/>
      <c r="IR176" s="544"/>
      <c r="IS176" s="544"/>
      <c r="IT176" s="544"/>
      <c r="IU176" s="544"/>
      <c r="IV176" s="544"/>
    </row>
    <row r="177" spans="1:256" s="459" customFormat="1" ht="16.2" thickBot="1" x14ac:dyDescent="0.35">
      <c r="A177" s="438"/>
      <c r="B177" s="441"/>
      <c r="C177" s="441"/>
      <c r="D177" s="441"/>
      <c r="E177" s="441"/>
      <c r="F177" s="441"/>
      <c r="G177" s="441"/>
      <c r="H177" s="441"/>
      <c r="I177" s="441"/>
      <c r="J177" s="441"/>
      <c r="K177" s="441"/>
      <c r="L177" s="441"/>
      <c r="M177" s="441"/>
      <c r="N177" s="441"/>
      <c r="O177" s="441"/>
      <c r="P177" s="441"/>
      <c r="Q177" s="441"/>
      <c r="R177" s="441"/>
      <c r="S177" s="441"/>
      <c r="T177" s="441"/>
      <c r="U177" s="441"/>
      <c r="V177" s="452"/>
      <c r="W177" s="441"/>
      <c r="X177" s="415"/>
      <c r="Y177" s="416"/>
      <c r="Z177" s="416"/>
      <c r="AA177" s="416"/>
      <c r="AB177" s="416"/>
      <c r="AC177" s="416"/>
      <c r="AD177" s="416"/>
      <c r="AE177" s="416"/>
      <c r="AF177" s="416"/>
      <c r="AG177" s="416"/>
      <c r="AH177" s="416"/>
      <c r="AI177" s="416"/>
      <c r="AJ177" s="416"/>
      <c r="AK177" s="416"/>
      <c r="AL177" s="416"/>
      <c r="AM177" s="416"/>
      <c r="AN177" s="416"/>
      <c r="AO177" s="416"/>
      <c r="AP177" s="416"/>
      <c r="AQ177" s="416"/>
      <c r="AR177" s="416"/>
      <c r="AS177" s="416"/>
      <c r="AT177" s="416"/>
      <c r="AU177" s="416"/>
      <c r="AV177" s="416"/>
      <c r="AW177" s="416"/>
      <c r="AX177" s="416"/>
      <c r="AY177" s="416"/>
      <c r="AZ177" s="416"/>
      <c r="BA177" s="416"/>
      <c r="BB177" s="416"/>
      <c r="BC177" s="416"/>
      <c r="BD177" s="416"/>
      <c r="BE177" s="416"/>
      <c r="BF177" s="416"/>
      <c r="BG177" s="416"/>
      <c r="BH177" s="416"/>
      <c r="BI177" s="416"/>
      <c r="BJ177" s="416"/>
      <c r="BK177" s="416"/>
      <c r="BL177" s="416"/>
      <c r="BM177" s="416"/>
      <c r="BN177" s="416"/>
      <c r="BO177" s="416"/>
      <c r="BP177" s="416"/>
      <c r="BQ177" s="416"/>
      <c r="BR177" s="416"/>
      <c r="BS177" s="416"/>
      <c r="BT177" s="416"/>
      <c r="BU177" s="416"/>
      <c r="BV177" s="416"/>
      <c r="BW177" s="416"/>
      <c r="BX177" s="416"/>
      <c r="BY177" s="416"/>
      <c r="BZ177" s="416"/>
      <c r="CA177" s="416"/>
      <c r="CB177" s="416"/>
      <c r="CC177" s="416"/>
      <c r="CD177" s="416"/>
      <c r="CE177" s="416"/>
      <c r="CF177" s="416"/>
      <c r="CG177" s="416"/>
      <c r="CH177" s="416"/>
      <c r="CI177" s="416"/>
      <c r="CJ177" s="416"/>
      <c r="CK177" s="416"/>
      <c r="CL177" s="416"/>
      <c r="CM177" s="416"/>
      <c r="CN177" s="416"/>
      <c r="CO177" s="416"/>
      <c r="CP177" s="416"/>
      <c r="CQ177" s="416"/>
      <c r="CR177" s="416"/>
      <c r="CS177" s="416"/>
      <c r="CT177" s="416"/>
      <c r="CU177" s="416"/>
      <c r="CV177" s="416"/>
      <c r="CW177" s="416"/>
      <c r="CX177" s="416"/>
      <c r="CY177" s="416"/>
      <c r="CZ177" s="416"/>
      <c r="DA177" s="416"/>
      <c r="DB177" s="416"/>
      <c r="DC177" s="416"/>
      <c r="DD177" s="416"/>
      <c r="DE177" s="416"/>
      <c r="DF177" s="416"/>
      <c r="DG177" s="416"/>
      <c r="DH177" s="416"/>
      <c r="DI177" s="416"/>
      <c r="DJ177" s="416"/>
      <c r="DK177" s="416"/>
      <c r="DL177" s="416"/>
      <c r="DM177" s="416"/>
      <c r="DN177" s="416"/>
      <c r="DO177" s="416"/>
      <c r="DP177" s="416"/>
      <c r="DQ177" s="416"/>
      <c r="DR177" s="416"/>
      <c r="DS177" s="416"/>
      <c r="DT177" s="416"/>
      <c r="DU177" s="416"/>
      <c r="DV177" s="416"/>
      <c r="DW177" s="416"/>
      <c r="DX177" s="416"/>
      <c r="DY177" s="416"/>
      <c r="DZ177" s="416"/>
      <c r="EA177" s="416"/>
      <c r="EB177" s="416"/>
      <c r="EC177" s="416"/>
      <c r="ED177" s="416"/>
      <c r="EE177" s="416"/>
      <c r="EF177" s="416"/>
      <c r="EG177" s="416"/>
      <c r="EH177" s="416"/>
      <c r="EI177" s="416"/>
      <c r="EJ177" s="416"/>
      <c r="EK177" s="416"/>
      <c r="EL177" s="416"/>
      <c r="EM177" s="416"/>
      <c r="EN177" s="416"/>
      <c r="EO177" s="416"/>
      <c r="EP177" s="416"/>
      <c r="EQ177" s="416"/>
      <c r="ER177" s="416"/>
      <c r="ES177" s="416"/>
      <c r="ET177" s="416"/>
      <c r="EU177" s="416"/>
      <c r="EV177" s="416"/>
      <c r="EW177" s="416"/>
      <c r="EX177" s="416"/>
      <c r="EY177" s="416"/>
      <c r="EZ177" s="416"/>
      <c r="FA177" s="416"/>
      <c r="FB177" s="416"/>
      <c r="FC177" s="416"/>
      <c r="FD177" s="416"/>
      <c r="FE177" s="416"/>
      <c r="FF177" s="416"/>
      <c r="FG177" s="416"/>
      <c r="FH177" s="416"/>
      <c r="FI177" s="416"/>
      <c r="FJ177" s="416"/>
      <c r="FK177" s="416"/>
      <c r="FL177" s="416"/>
      <c r="FM177" s="416"/>
      <c r="FN177" s="416"/>
      <c r="FO177" s="416"/>
      <c r="FP177" s="416"/>
      <c r="FQ177" s="416"/>
      <c r="FR177" s="416"/>
      <c r="FS177" s="416"/>
      <c r="FT177" s="416"/>
      <c r="FU177" s="416"/>
      <c r="FV177" s="416"/>
      <c r="FW177" s="416"/>
      <c r="FX177" s="416"/>
      <c r="FY177" s="416"/>
      <c r="FZ177" s="416"/>
      <c r="GA177" s="416"/>
      <c r="GB177" s="416"/>
      <c r="GC177" s="416"/>
      <c r="GD177" s="416"/>
      <c r="GE177" s="416"/>
      <c r="GF177" s="416"/>
      <c r="GG177" s="416"/>
      <c r="GH177" s="416"/>
      <c r="GI177" s="416"/>
      <c r="GJ177" s="416"/>
      <c r="GK177" s="416"/>
      <c r="GL177" s="416"/>
      <c r="GM177" s="416"/>
      <c r="GN177" s="416"/>
      <c r="GO177" s="416"/>
      <c r="GP177" s="416"/>
      <c r="GQ177" s="416"/>
      <c r="GR177" s="416"/>
      <c r="GS177" s="416"/>
      <c r="GT177" s="416"/>
      <c r="GU177" s="416"/>
      <c r="GV177" s="416"/>
      <c r="GW177" s="416"/>
      <c r="GX177" s="416"/>
      <c r="GY177" s="416"/>
      <c r="GZ177" s="416"/>
      <c r="HA177" s="416"/>
      <c r="HB177" s="416"/>
      <c r="HC177" s="416"/>
      <c r="HD177" s="416"/>
      <c r="HE177" s="416"/>
      <c r="HF177" s="416"/>
      <c r="HG177" s="416"/>
      <c r="HH177" s="416"/>
      <c r="HI177" s="416"/>
      <c r="HJ177" s="416"/>
      <c r="HK177" s="416"/>
      <c r="HL177" s="416"/>
      <c r="HM177" s="416"/>
      <c r="HN177" s="416"/>
      <c r="HO177" s="416"/>
      <c r="HP177" s="416"/>
      <c r="HQ177" s="416"/>
      <c r="HR177" s="416"/>
      <c r="HS177" s="416"/>
      <c r="HT177" s="416"/>
      <c r="HU177" s="416"/>
      <c r="HV177" s="416"/>
      <c r="HW177" s="416"/>
      <c r="HX177" s="416"/>
      <c r="HY177" s="416"/>
      <c r="HZ177" s="416"/>
      <c r="IA177" s="416"/>
      <c r="IB177" s="416"/>
      <c r="IC177" s="416"/>
      <c r="ID177" s="416"/>
      <c r="IE177" s="416"/>
      <c r="IF177" s="416"/>
      <c r="IG177" s="416"/>
      <c r="IH177" s="416"/>
      <c r="II177" s="416"/>
      <c r="IJ177" s="416"/>
      <c r="IK177" s="416"/>
      <c r="IL177" s="416"/>
      <c r="IM177" s="416"/>
      <c r="IN177" s="416"/>
      <c r="IO177" s="416"/>
      <c r="IP177" s="416"/>
      <c r="IQ177" s="416"/>
      <c r="IR177" s="416"/>
      <c r="IS177" s="416"/>
      <c r="IT177" s="416"/>
      <c r="IU177" s="416"/>
      <c r="IV177" s="416"/>
    </row>
    <row r="178" spans="1:256" s="461" customFormat="1" x14ac:dyDescent="0.3">
      <c r="A178" s="413"/>
      <c r="B178" s="414"/>
      <c r="C178" s="414"/>
      <c r="D178" s="414"/>
      <c r="E178" s="414"/>
      <c r="F178" s="414"/>
      <c r="G178" s="414"/>
      <c r="H178" s="414"/>
      <c r="I178" s="414"/>
      <c r="J178" s="414"/>
      <c r="K178" s="414"/>
      <c r="L178" s="414"/>
      <c r="M178" s="414"/>
      <c r="N178" s="414"/>
      <c r="O178" s="414"/>
      <c r="P178" s="414"/>
      <c r="Q178" s="414"/>
      <c r="R178" s="414"/>
      <c r="S178" s="414"/>
      <c r="T178" s="414"/>
      <c r="U178" s="414"/>
      <c r="V178" s="460"/>
      <c r="W178" s="414"/>
      <c r="X178" s="415"/>
      <c r="Y178" s="416"/>
      <c r="Z178" s="416"/>
      <c r="AA178" s="416"/>
      <c r="AB178" s="416"/>
      <c r="AC178" s="416"/>
      <c r="AD178" s="416"/>
      <c r="AE178" s="416"/>
      <c r="AF178" s="416"/>
      <c r="AG178" s="416"/>
      <c r="AH178" s="416"/>
      <c r="AI178" s="416"/>
      <c r="AJ178" s="416"/>
      <c r="AK178" s="416"/>
      <c r="AL178" s="416"/>
      <c r="AM178" s="416"/>
      <c r="AN178" s="416"/>
      <c r="AO178" s="416"/>
      <c r="AP178" s="416"/>
      <c r="AQ178" s="416"/>
      <c r="AR178" s="416"/>
      <c r="AS178" s="416"/>
      <c r="AT178" s="416"/>
      <c r="AU178" s="416"/>
      <c r="AV178" s="416"/>
      <c r="AW178" s="416"/>
      <c r="AX178" s="416"/>
      <c r="AY178" s="416"/>
      <c r="AZ178" s="416"/>
      <c r="BA178" s="416"/>
      <c r="BB178" s="416"/>
      <c r="BC178" s="416"/>
      <c r="BD178" s="416"/>
      <c r="BE178" s="416"/>
      <c r="BF178" s="416"/>
      <c r="BG178" s="416"/>
      <c r="BH178" s="416"/>
      <c r="BI178" s="416"/>
      <c r="BJ178" s="416"/>
      <c r="BK178" s="416"/>
      <c r="BL178" s="416"/>
      <c r="BM178" s="416"/>
      <c r="BN178" s="416"/>
      <c r="BO178" s="416"/>
      <c r="BP178" s="416"/>
      <c r="BQ178" s="416"/>
      <c r="BR178" s="416"/>
      <c r="BS178" s="416"/>
      <c r="BT178" s="416"/>
      <c r="BU178" s="416"/>
      <c r="BV178" s="416"/>
      <c r="BW178" s="416"/>
      <c r="BX178" s="416"/>
      <c r="BY178" s="416"/>
      <c r="BZ178" s="416"/>
      <c r="CA178" s="416"/>
      <c r="CB178" s="416"/>
      <c r="CC178" s="416"/>
      <c r="CD178" s="416"/>
      <c r="CE178" s="416"/>
      <c r="CF178" s="416"/>
      <c r="CG178" s="416"/>
      <c r="CH178" s="416"/>
      <c r="CI178" s="416"/>
      <c r="CJ178" s="416"/>
      <c r="CK178" s="416"/>
      <c r="CL178" s="416"/>
      <c r="CM178" s="416"/>
      <c r="CN178" s="416"/>
      <c r="CO178" s="416"/>
      <c r="CP178" s="416"/>
      <c r="CQ178" s="416"/>
      <c r="CR178" s="416"/>
      <c r="CS178" s="416"/>
      <c r="CT178" s="416"/>
      <c r="CU178" s="416"/>
      <c r="CV178" s="416"/>
      <c r="CW178" s="416"/>
      <c r="CX178" s="416"/>
      <c r="CY178" s="416"/>
      <c r="CZ178" s="416"/>
      <c r="DA178" s="416"/>
      <c r="DB178" s="416"/>
      <c r="DC178" s="416"/>
      <c r="DD178" s="416"/>
      <c r="DE178" s="416"/>
      <c r="DF178" s="416"/>
      <c r="DG178" s="416"/>
      <c r="DH178" s="416"/>
      <c r="DI178" s="416"/>
      <c r="DJ178" s="416"/>
      <c r="DK178" s="416"/>
      <c r="DL178" s="416"/>
      <c r="DM178" s="416"/>
      <c r="DN178" s="416"/>
      <c r="DO178" s="416"/>
      <c r="DP178" s="416"/>
      <c r="DQ178" s="416"/>
      <c r="DR178" s="416"/>
      <c r="DS178" s="416"/>
      <c r="DT178" s="416"/>
      <c r="DU178" s="416"/>
      <c r="DV178" s="416"/>
      <c r="DW178" s="416"/>
      <c r="DX178" s="416"/>
      <c r="DY178" s="416"/>
      <c r="DZ178" s="416"/>
      <c r="EA178" s="416"/>
      <c r="EB178" s="416"/>
      <c r="EC178" s="416"/>
      <c r="ED178" s="416"/>
      <c r="EE178" s="416"/>
      <c r="EF178" s="416"/>
      <c r="EG178" s="416"/>
      <c r="EH178" s="416"/>
      <c r="EI178" s="416"/>
      <c r="EJ178" s="416"/>
      <c r="EK178" s="416"/>
      <c r="EL178" s="416"/>
      <c r="EM178" s="416"/>
      <c r="EN178" s="416"/>
      <c r="EO178" s="416"/>
      <c r="EP178" s="416"/>
      <c r="EQ178" s="416"/>
      <c r="ER178" s="416"/>
      <c r="ES178" s="416"/>
      <c r="ET178" s="416"/>
      <c r="EU178" s="416"/>
      <c r="EV178" s="416"/>
      <c r="EW178" s="416"/>
      <c r="EX178" s="416"/>
      <c r="EY178" s="416"/>
      <c r="EZ178" s="416"/>
      <c r="FA178" s="416"/>
      <c r="FB178" s="416"/>
      <c r="FC178" s="416"/>
      <c r="FD178" s="416"/>
      <c r="FE178" s="416"/>
      <c r="FF178" s="416"/>
      <c r="FG178" s="416"/>
      <c r="FH178" s="416"/>
      <c r="FI178" s="416"/>
      <c r="FJ178" s="416"/>
      <c r="FK178" s="416"/>
      <c r="FL178" s="416"/>
      <c r="FM178" s="416"/>
      <c r="FN178" s="416"/>
      <c r="FO178" s="416"/>
      <c r="FP178" s="416"/>
      <c r="FQ178" s="416"/>
      <c r="FR178" s="416"/>
      <c r="FS178" s="416"/>
      <c r="FT178" s="416"/>
      <c r="FU178" s="416"/>
      <c r="FV178" s="416"/>
      <c r="FW178" s="416"/>
      <c r="FX178" s="416"/>
      <c r="FY178" s="416"/>
      <c r="FZ178" s="416"/>
      <c r="GA178" s="416"/>
      <c r="GB178" s="416"/>
      <c r="GC178" s="416"/>
      <c r="GD178" s="416"/>
      <c r="GE178" s="416"/>
      <c r="GF178" s="416"/>
      <c r="GG178" s="416"/>
      <c r="GH178" s="416"/>
      <c r="GI178" s="416"/>
      <c r="GJ178" s="416"/>
      <c r="GK178" s="416"/>
      <c r="GL178" s="416"/>
      <c r="GM178" s="416"/>
      <c r="GN178" s="416"/>
      <c r="GO178" s="416"/>
      <c r="GP178" s="416"/>
      <c r="GQ178" s="416"/>
      <c r="GR178" s="416"/>
      <c r="GS178" s="416"/>
      <c r="GT178" s="416"/>
      <c r="GU178" s="416"/>
      <c r="GV178" s="416"/>
      <c r="GW178" s="416"/>
      <c r="GX178" s="416"/>
      <c r="GY178" s="416"/>
      <c r="GZ178" s="416"/>
      <c r="HA178" s="416"/>
      <c r="HB178" s="416"/>
      <c r="HC178" s="416"/>
      <c r="HD178" s="416"/>
      <c r="HE178" s="416"/>
      <c r="HF178" s="416"/>
      <c r="HG178" s="416"/>
      <c r="HH178" s="416"/>
      <c r="HI178" s="416"/>
      <c r="HJ178" s="416"/>
      <c r="HK178" s="416"/>
      <c r="HL178" s="416"/>
      <c r="HM178" s="416"/>
      <c r="HN178" s="416"/>
      <c r="HO178" s="416"/>
      <c r="HP178" s="416"/>
      <c r="HQ178" s="416"/>
      <c r="HR178" s="416"/>
      <c r="HS178" s="416"/>
      <c r="HT178" s="416"/>
      <c r="HU178" s="416"/>
      <c r="HV178" s="416"/>
      <c r="HW178" s="416"/>
      <c r="HX178" s="416"/>
      <c r="HY178" s="416"/>
      <c r="HZ178" s="416"/>
      <c r="IA178" s="416"/>
      <c r="IB178" s="416"/>
      <c r="IC178" s="416"/>
      <c r="ID178" s="416"/>
      <c r="IE178" s="416"/>
      <c r="IF178" s="416"/>
      <c r="IG178" s="416"/>
      <c r="IH178" s="416"/>
      <c r="II178" s="416"/>
      <c r="IJ178" s="416"/>
      <c r="IK178" s="416"/>
      <c r="IL178" s="416"/>
      <c r="IM178" s="416"/>
      <c r="IN178" s="416"/>
      <c r="IO178" s="416"/>
      <c r="IP178" s="416"/>
      <c r="IQ178" s="416"/>
      <c r="IR178" s="416"/>
      <c r="IS178" s="416"/>
      <c r="IT178" s="416"/>
      <c r="IU178" s="416"/>
      <c r="IV178" s="416"/>
    </row>
    <row r="179" spans="1:256" x14ac:dyDescent="0.3">
      <c r="A179" s="417"/>
      <c r="B179" s="508" t="s">
        <v>56</v>
      </c>
      <c r="C179" s="419"/>
      <c r="D179" s="419"/>
      <c r="E179" s="419"/>
      <c r="F179" s="419"/>
      <c r="G179" s="419"/>
      <c r="H179" s="419"/>
      <c r="I179" s="419"/>
      <c r="J179" s="419"/>
      <c r="K179" s="419"/>
      <c r="L179" s="419"/>
      <c r="M179" s="419"/>
      <c r="N179" s="419"/>
      <c r="O179" s="419"/>
      <c r="P179" s="419"/>
      <c r="Q179" s="419"/>
      <c r="R179" s="419"/>
      <c r="S179" s="419"/>
      <c r="T179" s="419"/>
      <c r="U179" s="419"/>
      <c r="V179" s="439"/>
      <c r="W179" s="419"/>
      <c r="X179" s="415"/>
    </row>
    <row r="180" spans="1:256" x14ac:dyDescent="0.3">
      <c r="A180" s="417"/>
      <c r="B180" s="451"/>
      <c r="C180" s="419"/>
      <c r="D180" s="419"/>
      <c r="E180" s="419"/>
      <c r="F180" s="419"/>
      <c r="G180" s="419"/>
      <c r="H180" s="419"/>
      <c r="I180" s="419"/>
      <c r="J180" s="419"/>
      <c r="K180" s="419"/>
      <c r="L180" s="419"/>
      <c r="M180" s="419"/>
      <c r="N180" s="419"/>
      <c r="O180" s="419"/>
      <c r="P180" s="419"/>
      <c r="Q180" s="419"/>
      <c r="R180" s="419"/>
      <c r="S180" s="419"/>
      <c r="T180" s="419"/>
      <c r="U180" s="419"/>
      <c r="V180" s="439"/>
      <c r="W180" s="419"/>
      <c r="X180" s="415"/>
    </row>
    <row r="181" spans="1:256" s="544" customFormat="1" x14ac:dyDescent="0.3">
      <c r="A181" s="555"/>
      <c r="B181" s="556" t="s">
        <v>57</v>
      </c>
      <c r="C181" s="556"/>
      <c r="D181" s="556"/>
      <c r="E181" s="556"/>
      <c r="F181" s="556"/>
      <c r="G181" s="556"/>
      <c r="H181" s="556"/>
      <c r="I181" s="556"/>
      <c r="J181" s="556"/>
      <c r="K181" s="556"/>
      <c r="L181" s="556"/>
      <c r="M181" s="556"/>
      <c r="N181" s="556"/>
      <c r="O181" s="556"/>
      <c r="P181" s="556"/>
      <c r="Q181" s="556"/>
      <c r="R181" s="556"/>
      <c r="S181" s="556"/>
      <c r="T181" s="556"/>
      <c r="U181" s="556"/>
      <c r="V181" s="599">
        <f>V70</f>
        <v>852223</v>
      </c>
      <c r="W181" s="558"/>
      <c r="X181" s="543"/>
    </row>
    <row r="182" spans="1:256" s="544" customFormat="1" x14ac:dyDescent="0.3">
      <c r="A182" s="555"/>
      <c r="B182" s="556" t="s">
        <v>58</v>
      </c>
      <c r="C182" s="556"/>
      <c r="D182" s="556"/>
      <c r="E182" s="556"/>
      <c r="F182" s="556"/>
      <c r="G182" s="556"/>
      <c r="H182" s="556"/>
      <c r="I182" s="556"/>
      <c r="J182" s="556"/>
      <c r="K182" s="556"/>
      <c r="L182" s="556"/>
      <c r="M182" s="556"/>
      <c r="N182" s="556"/>
      <c r="O182" s="556"/>
      <c r="P182" s="556"/>
      <c r="Q182" s="556"/>
      <c r="R182" s="556"/>
      <c r="S182" s="556"/>
      <c r="T182" s="556"/>
      <c r="U182" s="556"/>
      <c r="V182" s="599">
        <f>V83</f>
        <v>852223</v>
      </c>
      <c r="W182" s="558"/>
      <c r="X182" s="543"/>
    </row>
    <row r="183" spans="1:256" ht="16.2" thickBot="1" x14ac:dyDescent="0.35">
      <c r="A183" s="417"/>
      <c r="B183" s="441"/>
      <c r="C183" s="441"/>
      <c r="D183" s="441"/>
      <c r="E183" s="441"/>
      <c r="F183" s="441"/>
      <c r="G183" s="441"/>
      <c r="H183" s="441"/>
      <c r="I183" s="441"/>
      <c r="J183" s="441"/>
      <c r="K183" s="441"/>
      <c r="L183" s="441"/>
      <c r="M183" s="441"/>
      <c r="N183" s="441"/>
      <c r="O183" s="441"/>
      <c r="P183" s="441"/>
      <c r="Q183" s="441"/>
      <c r="R183" s="441"/>
      <c r="S183" s="441"/>
      <c r="T183" s="441"/>
      <c r="U183" s="441"/>
      <c r="V183" s="452"/>
      <c r="W183" s="441"/>
      <c r="X183" s="415"/>
    </row>
    <row r="184" spans="1:256" x14ac:dyDescent="0.3">
      <c r="A184" s="413"/>
      <c r="B184" s="414"/>
      <c r="C184" s="414"/>
      <c r="D184" s="414"/>
      <c r="E184" s="414"/>
      <c r="F184" s="414"/>
      <c r="G184" s="414"/>
      <c r="H184" s="414"/>
      <c r="I184" s="414"/>
      <c r="J184" s="414"/>
      <c r="K184" s="414"/>
      <c r="L184" s="414"/>
      <c r="M184" s="414"/>
      <c r="N184" s="414"/>
      <c r="O184" s="414"/>
      <c r="P184" s="414"/>
      <c r="Q184" s="414"/>
      <c r="R184" s="414"/>
      <c r="S184" s="414"/>
      <c r="T184" s="414"/>
      <c r="U184" s="414"/>
      <c r="V184" s="460"/>
      <c r="W184" s="414"/>
      <c r="X184" s="415"/>
    </row>
    <row r="185" spans="1:256" s="499" customFormat="1" x14ac:dyDescent="0.3">
      <c r="A185" s="502"/>
      <c r="B185" s="508" t="s">
        <v>59</v>
      </c>
      <c r="C185" s="506"/>
      <c r="D185" s="506"/>
      <c r="E185" s="506"/>
      <c r="F185" s="506"/>
      <c r="G185" s="506"/>
      <c r="H185" s="509"/>
      <c r="I185" s="509"/>
      <c r="J185" s="509"/>
      <c r="K185" s="509"/>
      <c r="L185" s="509"/>
      <c r="M185" s="509"/>
      <c r="N185" s="509"/>
      <c r="O185" s="509"/>
      <c r="P185" s="509"/>
      <c r="Q185" s="509"/>
      <c r="R185" s="509"/>
      <c r="S185" s="509" t="s">
        <v>101</v>
      </c>
      <c r="T185" s="509" t="s">
        <v>176</v>
      </c>
      <c r="U185" s="421"/>
      <c r="V185" s="510" t="s">
        <v>114</v>
      </c>
      <c r="W185" s="421"/>
      <c r="X185" s="498"/>
    </row>
    <row r="186" spans="1:256" s="544" customFormat="1" x14ac:dyDescent="0.3">
      <c r="A186" s="555"/>
      <c r="B186" s="556" t="s">
        <v>60</v>
      </c>
      <c r="C186" s="556"/>
      <c r="D186" s="556"/>
      <c r="E186" s="556"/>
      <c r="F186" s="556"/>
      <c r="G186" s="556"/>
      <c r="H186" s="556"/>
      <c r="I186" s="556"/>
      <c r="J186" s="556"/>
      <c r="K186" s="556"/>
      <c r="L186" s="556"/>
      <c r="M186" s="556"/>
      <c r="N186" s="556"/>
      <c r="O186" s="556"/>
      <c r="P186" s="556"/>
      <c r="Q186" s="556"/>
      <c r="R186" s="556"/>
      <c r="S186" s="599">
        <f>+V34*0.16</f>
        <v>240044</v>
      </c>
      <c r="T186" s="578"/>
      <c r="U186" s="556"/>
      <c r="V186" s="599"/>
      <c r="W186" s="558"/>
      <c r="X186" s="543"/>
    </row>
    <row r="187" spans="1:256" s="544" customFormat="1" x14ac:dyDescent="0.3">
      <c r="A187" s="555"/>
      <c r="B187" s="556" t="s">
        <v>61</v>
      </c>
      <c r="C187" s="556"/>
      <c r="D187" s="556"/>
      <c r="E187" s="556"/>
      <c r="F187" s="556"/>
      <c r="G187" s="556"/>
      <c r="H187" s="556"/>
      <c r="I187" s="556"/>
      <c r="J187" s="556"/>
      <c r="K187" s="556"/>
      <c r="L187" s="556"/>
      <c r="M187" s="556"/>
      <c r="N187" s="556"/>
      <c r="O187" s="556"/>
      <c r="P187" s="556"/>
      <c r="Q187" s="556"/>
      <c r="R187" s="556"/>
      <c r="S187" s="599">
        <f>+'Nov 17'!S189</f>
        <v>32102</v>
      </c>
      <c r="T187" s="599">
        <f>+'Nov 17'!T189</f>
        <v>6019</v>
      </c>
      <c r="U187" s="556"/>
      <c r="V187" s="599">
        <f>S187+T187</f>
        <v>38121</v>
      </c>
      <c r="W187" s="558"/>
      <c r="X187" s="543"/>
    </row>
    <row r="188" spans="1:256" s="544" customFormat="1" x14ac:dyDescent="0.3">
      <c r="A188" s="555"/>
      <c r="B188" s="556" t="s">
        <v>62</v>
      </c>
      <c r="C188" s="556"/>
      <c r="D188" s="556"/>
      <c r="E188" s="556"/>
      <c r="F188" s="556"/>
      <c r="G188" s="556"/>
      <c r="H188" s="556"/>
      <c r="I188" s="556"/>
      <c r="J188" s="556"/>
      <c r="K188" s="556"/>
      <c r="L188" s="556"/>
      <c r="M188" s="556"/>
      <c r="N188" s="556"/>
      <c r="O188" s="556"/>
      <c r="P188" s="556"/>
      <c r="Q188" s="556"/>
      <c r="R188" s="556"/>
      <c r="S188" s="598">
        <f>598+30</f>
        <v>628</v>
      </c>
      <c r="T188" s="598">
        <v>0</v>
      </c>
      <c r="U188" s="556"/>
      <c r="V188" s="599">
        <f>S188+T188</f>
        <v>628</v>
      </c>
      <c r="W188" s="558"/>
      <c r="X188" s="543"/>
    </row>
    <row r="189" spans="1:256" s="544" customFormat="1" x14ac:dyDescent="0.3">
      <c r="A189" s="555"/>
      <c r="B189" s="556" t="s">
        <v>63</v>
      </c>
      <c r="C189" s="556"/>
      <c r="D189" s="556"/>
      <c r="E189" s="556"/>
      <c r="F189" s="556"/>
      <c r="G189" s="556"/>
      <c r="H189" s="556"/>
      <c r="I189" s="556"/>
      <c r="J189" s="556"/>
      <c r="K189" s="556"/>
      <c r="L189" s="556"/>
      <c r="M189" s="556"/>
      <c r="N189" s="556"/>
      <c r="O189" s="556"/>
      <c r="P189" s="556"/>
      <c r="Q189" s="556"/>
      <c r="R189" s="556"/>
      <c r="S189" s="599">
        <f>S187+S188</f>
        <v>32730</v>
      </c>
      <c r="T189" s="599">
        <f>T188+T187</f>
        <v>6019</v>
      </c>
      <c r="U189" s="556"/>
      <c r="V189" s="599">
        <f>S189+T189</f>
        <v>38749</v>
      </c>
      <c r="W189" s="558"/>
      <c r="X189" s="543"/>
    </row>
    <row r="190" spans="1:256" s="544" customFormat="1" x14ac:dyDescent="0.3">
      <c r="A190" s="555"/>
      <c r="B190" s="556" t="s">
        <v>64</v>
      </c>
      <c r="C190" s="556"/>
      <c r="D190" s="556"/>
      <c r="E190" s="556"/>
      <c r="F190" s="556"/>
      <c r="G190" s="556"/>
      <c r="H190" s="556"/>
      <c r="I190" s="556"/>
      <c r="J190" s="556"/>
      <c r="K190" s="556"/>
      <c r="L190" s="556"/>
      <c r="M190" s="556"/>
      <c r="N190" s="556"/>
      <c r="O190" s="556"/>
      <c r="P190" s="556"/>
      <c r="Q190" s="556"/>
      <c r="R190" s="556"/>
      <c r="S190" s="599">
        <f>S186-S189-T189</f>
        <v>201295</v>
      </c>
      <c r="T190" s="578"/>
      <c r="U190" s="556"/>
      <c r="V190" s="599"/>
      <c r="W190" s="558"/>
      <c r="X190" s="543"/>
    </row>
    <row r="191" spans="1:256" ht="16.2" thickBot="1" x14ac:dyDescent="0.35">
      <c r="A191" s="417"/>
      <c r="B191" s="441"/>
      <c r="C191" s="441"/>
      <c r="D191" s="441"/>
      <c r="E191" s="441"/>
      <c r="F191" s="441"/>
      <c r="G191" s="441"/>
      <c r="H191" s="441"/>
      <c r="I191" s="441"/>
      <c r="J191" s="441"/>
      <c r="K191" s="441"/>
      <c r="L191" s="441"/>
      <c r="M191" s="441"/>
      <c r="N191" s="441"/>
      <c r="O191" s="441"/>
      <c r="P191" s="441"/>
      <c r="Q191" s="441"/>
      <c r="R191" s="441"/>
      <c r="S191" s="441"/>
      <c r="T191" s="441"/>
      <c r="U191" s="441"/>
      <c r="V191" s="452"/>
      <c r="W191" s="441"/>
      <c r="X191" s="415"/>
    </row>
    <row r="192" spans="1:256" x14ac:dyDescent="0.3">
      <c r="A192" s="413"/>
      <c r="B192" s="414"/>
      <c r="C192" s="414"/>
      <c r="D192" s="414"/>
      <c r="E192" s="414"/>
      <c r="F192" s="414"/>
      <c r="G192" s="414"/>
      <c r="H192" s="414"/>
      <c r="I192" s="414"/>
      <c r="J192" s="414"/>
      <c r="K192" s="414"/>
      <c r="L192" s="414"/>
      <c r="M192" s="414"/>
      <c r="N192" s="414"/>
      <c r="O192" s="414"/>
      <c r="P192" s="414"/>
      <c r="Q192" s="414"/>
      <c r="R192" s="414"/>
      <c r="S192" s="414"/>
      <c r="T192" s="414"/>
      <c r="U192" s="414"/>
      <c r="V192" s="460"/>
      <c r="W192" s="414"/>
      <c r="X192" s="415"/>
    </row>
    <row r="193" spans="1:24" x14ac:dyDescent="0.3">
      <c r="A193" s="417"/>
      <c r="B193" s="508" t="s">
        <v>65</v>
      </c>
      <c r="C193" s="419"/>
      <c r="D193" s="419"/>
      <c r="E193" s="419"/>
      <c r="F193" s="419"/>
      <c r="G193" s="419"/>
      <c r="H193" s="419"/>
      <c r="I193" s="419"/>
      <c r="J193" s="419"/>
      <c r="K193" s="419"/>
      <c r="L193" s="419"/>
      <c r="M193" s="419"/>
      <c r="N193" s="419"/>
      <c r="O193" s="419"/>
      <c r="P193" s="419"/>
      <c r="Q193" s="419"/>
      <c r="R193" s="419"/>
      <c r="S193" s="419"/>
      <c r="T193" s="419"/>
      <c r="U193" s="419"/>
      <c r="V193" s="462"/>
      <c r="W193" s="419"/>
      <c r="X193" s="415"/>
    </row>
    <row r="194" spans="1:24" s="544" customFormat="1" x14ac:dyDescent="0.3">
      <c r="A194" s="555"/>
      <c r="B194" s="556" t="s">
        <v>66</v>
      </c>
      <c r="C194" s="556"/>
      <c r="D194" s="556"/>
      <c r="E194" s="556"/>
      <c r="F194" s="556"/>
      <c r="G194" s="556"/>
      <c r="H194" s="556"/>
      <c r="I194" s="556"/>
      <c r="J194" s="556"/>
      <c r="K194" s="556"/>
      <c r="L194" s="556"/>
      <c r="M194" s="556"/>
      <c r="N194" s="556"/>
      <c r="O194" s="556"/>
      <c r="P194" s="556"/>
      <c r="Q194" s="556"/>
      <c r="R194" s="556"/>
      <c r="S194" s="556"/>
      <c r="T194" s="556"/>
      <c r="U194" s="556"/>
      <c r="V194" s="608">
        <f>(V100+V102+V103+V104+V105)/-(V106+V107)</f>
        <v>4.4684528954191878</v>
      </c>
      <c r="W194" s="558" t="s">
        <v>115</v>
      </c>
      <c r="X194" s="543"/>
    </row>
    <row r="195" spans="1:24" s="544" customFormat="1" x14ac:dyDescent="0.3">
      <c r="A195" s="555"/>
      <c r="B195" s="556" t="s">
        <v>67</v>
      </c>
      <c r="C195" s="556"/>
      <c r="D195" s="556"/>
      <c r="E195" s="556"/>
      <c r="F195" s="556"/>
      <c r="G195" s="556"/>
      <c r="H195" s="556"/>
      <c r="I195" s="556"/>
      <c r="J195" s="556"/>
      <c r="K195" s="556"/>
      <c r="L195" s="556"/>
      <c r="M195" s="556"/>
      <c r="N195" s="556"/>
      <c r="O195" s="556"/>
      <c r="P195" s="556"/>
      <c r="Q195" s="556"/>
      <c r="R195" s="556"/>
      <c r="S195" s="556"/>
      <c r="T195" s="556"/>
      <c r="U195" s="556"/>
      <c r="V195" s="610">
        <v>2.1</v>
      </c>
      <c r="W195" s="558" t="s">
        <v>115</v>
      </c>
      <c r="X195" s="543"/>
    </row>
    <row r="196" spans="1:24" s="544" customFormat="1" x14ac:dyDescent="0.3">
      <c r="A196" s="555"/>
      <c r="B196" s="556" t="s">
        <v>68</v>
      </c>
      <c r="C196" s="556"/>
      <c r="D196" s="556"/>
      <c r="E196" s="556"/>
      <c r="F196" s="556"/>
      <c r="G196" s="556"/>
      <c r="H196" s="556"/>
      <c r="I196" s="556"/>
      <c r="J196" s="556"/>
      <c r="K196" s="556"/>
      <c r="L196" s="556"/>
      <c r="M196" s="556"/>
      <c r="N196" s="556"/>
      <c r="O196" s="556"/>
      <c r="P196" s="556"/>
      <c r="Q196" s="556"/>
      <c r="R196" s="556"/>
      <c r="S196" s="556"/>
      <c r="T196" s="556"/>
      <c r="U196" s="556"/>
      <c r="V196" s="608">
        <f>(V100+V102+V103+V104+V105+V106+V107)/-(V109+V110)</f>
        <v>15.924603174603174</v>
      </c>
      <c r="W196" s="558" t="s">
        <v>115</v>
      </c>
      <c r="X196" s="543"/>
    </row>
    <row r="197" spans="1:24" s="544" customFormat="1" x14ac:dyDescent="0.3">
      <c r="A197" s="555"/>
      <c r="B197" s="556" t="s">
        <v>69</v>
      </c>
      <c r="C197" s="556"/>
      <c r="D197" s="556"/>
      <c r="E197" s="556"/>
      <c r="F197" s="556"/>
      <c r="G197" s="556"/>
      <c r="H197" s="556"/>
      <c r="I197" s="556"/>
      <c r="J197" s="556"/>
      <c r="K197" s="556"/>
      <c r="L197" s="556"/>
      <c r="M197" s="556"/>
      <c r="N197" s="556"/>
      <c r="O197" s="556"/>
      <c r="P197" s="556"/>
      <c r="Q197" s="556"/>
      <c r="R197" s="556"/>
      <c r="S197" s="556"/>
      <c r="T197" s="556"/>
      <c r="U197" s="556"/>
      <c r="V197" s="610">
        <v>9.67</v>
      </c>
      <c r="W197" s="558" t="s">
        <v>115</v>
      </c>
      <c r="X197" s="543"/>
    </row>
    <row r="198" spans="1:24" s="544" customFormat="1" x14ac:dyDescent="0.3">
      <c r="A198" s="555"/>
      <c r="B198" s="556" t="s">
        <v>198</v>
      </c>
      <c r="C198" s="556"/>
      <c r="D198" s="556"/>
      <c r="E198" s="556"/>
      <c r="F198" s="556"/>
      <c r="G198" s="556"/>
      <c r="H198" s="556"/>
      <c r="I198" s="556"/>
      <c r="J198" s="556"/>
      <c r="K198" s="556"/>
      <c r="L198" s="556"/>
      <c r="M198" s="556"/>
      <c r="N198" s="556"/>
      <c r="O198" s="556"/>
      <c r="P198" s="556"/>
      <c r="Q198" s="556"/>
      <c r="R198" s="556"/>
      <c r="S198" s="556"/>
      <c r="T198" s="556"/>
      <c r="U198" s="556"/>
      <c r="V198" s="608">
        <f>(V100+V102+V103+V104+V105+V106+V107+V109+V110)/-(V111+V112)</f>
        <v>9.9234828496042216</v>
      </c>
      <c r="W198" s="558" t="s">
        <v>115</v>
      </c>
      <c r="X198" s="543"/>
    </row>
    <row r="199" spans="1:24" s="544" customFormat="1" x14ac:dyDescent="0.3">
      <c r="A199" s="555"/>
      <c r="B199" s="556" t="s">
        <v>199</v>
      </c>
      <c r="C199" s="556"/>
      <c r="D199" s="556"/>
      <c r="E199" s="556"/>
      <c r="F199" s="556"/>
      <c r="G199" s="556"/>
      <c r="H199" s="556"/>
      <c r="I199" s="556"/>
      <c r="J199" s="556"/>
      <c r="K199" s="556"/>
      <c r="L199" s="556"/>
      <c r="M199" s="556"/>
      <c r="N199" s="556"/>
      <c r="O199" s="556"/>
      <c r="P199" s="556"/>
      <c r="Q199" s="556"/>
      <c r="R199" s="556"/>
      <c r="S199" s="556"/>
      <c r="T199" s="556"/>
      <c r="U199" s="556"/>
      <c r="V199" s="610">
        <v>7.29</v>
      </c>
      <c r="W199" s="558" t="s">
        <v>115</v>
      </c>
      <c r="X199" s="543"/>
    </row>
    <row r="200" spans="1:24" s="544" customFormat="1" x14ac:dyDescent="0.3">
      <c r="A200" s="555"/>
      <c r="B200" s="556"/>
      <c r="C200" s="556"/>
      <c r="D200" s="556"/>
      <c r="E200" s="556"/>
      <c r="F200" s="556"/>
      <c r="G200" s="556"/>
      <c r="H200" s="556"/>
      <c r="I200" s="556"/>
      <c r="J200" s="556"/>
      <c r="K200" s="556"/>
      <c r="L200" s="556"/>
      <c r="M200" s="556"/>
      <c r="N200" s="556"/>
      <c r="O200" s="556"/>
      <c r="P200" s="556"/>
      <c r="Q200" s="556"/>
      <c r="R200" s="556"/>
      <c r="S200" s="556"/>
      <c r="T200" s="556"/>
      <c r="U200" s="556"/>
      <c r="V200" s="556"/>
      <c r="W200" s="558"/>
      <c r="X200" s="543"/>
    </row>
    <row r="201" spans="1:24" s="544" customFormat="1" x14ac:dyDescent="0.3">
      <c r="A201" s="540"/>
      <c r="B201" s="588"/>
      <c r="C201" s="588"/>
      <c r="D201" s="588"/>
      <c r="E201" s="588"/>
      <c r="F201" s="588"/>
      <c r="G201" s="588"/>
      <c r="H201" s="588"/>
      <c r="I201" s="588"/>
      <c r="J201" s="588"/>
      <c r="K201" s="588"/>
      <c r="L201" s="588"/>
      <c r="M201" s="588"/>
      <c r="N201" s="588"/>
      <c r="O201" s="588"/>
      <c r="P201" s="588"/>
      <c r="Q201" s="588"/>
      <c r="R201" s="588"/>
      <c r="S201" s="588"/>
      <c r="T201" s="588"/>
      <c r="U201" s="588"/>
      <c r="V201" s="588"/>
      <c r="W201" s="588"/>
      <c r="X201" s="543"/>
    </row>
    <row r="202" spans="1:24" s="544" customFormat="1" x14ac:dyDescent="0.3">
      <c r="A202" s="540"/>
      <c r="B202" s="541"/>
      <c r="C202" s="541"/>
      <c r="D202" s="541"/>
      <c r="E202" s="541"/>
      <c r="F202" s="541"/>
      <c r="G202" s="541"/>
      <c r="H202" s="541"/>
      <c r="I202" s="541"/>
      <c r="J202" s="541"/>
      <c r="K202" s="541"/>
      <c r="L202" s="541"/>
      <c r="M202" s="541"/>
      <c r="N202" s="541"/>
      <c r="O202" s="541"/>
      <c r="P202" s="541"/>
      <c r="Q202" s="541"/>
      <c r="R202" s="541"/>
      <c r="S202" s="541"/>
      <c r="T202" s="541"/>
      <c r="U202" s="541"/>
      <c r="V202" s="541"/>
      <c r="W202" s="541"/>
      <c r="X202" s="543"/>
    </row>
    <row r="203" spans="1:24" s="544" customFormat="1" ht="18.600000000000001" thickBot="1" x14ac:dyDescent="0.4">
      <c r="A203" s="593"/>
      <c r="B203" s="594" t="str">
        <f>B137</f>
        <v>PM14 INVESTOR REPORT QUARTER ENDING FEBRUARY 2018</v>
      </c>
      <c r="C203" s="595"/>
      <c r="D203" s="595"/>
      <c r="E203" s="595"/>
      <c r="F203" s="595"/>
      <c r="G203" s="595"/>
      <c r="H203" s="595"/>
      <c r="I203" s="595"/>
      <c r="J203" s="595"/>
      <c r="K203" s="595"/>
      <c r="L203" s="595"/>
      <c r="M203" s="595"/>
      <c r="N203" s="595"/>
      <c r="O203" s="595"/>
      <c r="P203" s="595"/>
      <c r="Q203" s="595"/>
      <c r="R203" s="595"/>
      <c r="S203" s="595"/>
      <c r="T203" s="595"/>
      <c r="U203" s="595"/>
      <c r="V203" s="595"/>
      <c r="W203" s="597"/>
      <c r="X203" s="543"/>
    </row>
    <row r="204" spans="1:24" x14ac:dyDescent="0.3">
      <c r="A204" s="527"/>
      <c r="B204" s="528" t="s">
        <v>70</v>
      </c>
      <c r="C204" s="531"/>
      <c r="D204" s="531"/>
      <c r="E204" s="531"/>
      <c r="F204" s="531"/>
      <c r="G204" s="532"/>
      <c r="H204" s="532"/>
      <c r="I204" s="532"/>
      <c r="J204" s="532"/>
      <c r="K204" s="532"/>
      <c r="L204" s="532"/>
      <c r="M204" s="532"/>
      <c r="N204" s="532"/>
      <c r="O204" s="532"/>
      <c r="P204" s="532"/>
      <c r="Q204" s="532"/>
      <c r="R204" s="532"/>
      <c r="S204" s="532"/>
      <c r="T204" s="532">
        <v>43159</v>
      </c>
      <c r="U204" s="529"/>
      <c r="V204" s="529"/>
      <c r="W204" s="529"/>
      <c r="X204" s="415"/>
    </row>
    <row r="205" spans="1:24" x14ac:dyDescent="0.3">
      <c r="A205" s="463"/>
      <c r="B205" s="429"/>
      <c r="C205" s="464"/>
      <c r="D205" s="464"/>
      <c r="E205" s="464"/>
      <c r="F205" s="464"/>
      <c r="G205" s="428"/>
      <c r="H205" s="428"/>
      <c r="I205" s="428"/>
      <c r="J205" s="428"/>
      <c r="K205" s="428"/>
      <c r="L205" s="428"/>
      <c r="M205" s="428"/>
      <c r="N205" s="428"/>
      <c r="O205" s="428"/>
      <c r="P205" s="428"/>
      <c r="Q205" s="428"/>
      <c r="R205" s="428"/>
      <c r="S205" s="428"/>
      <c r="T205" s="428"/>
      <c r="U205" s="427"/>
      <c r="V205" s="427"/>
      <c r="W205" s="427"/>
      <c r="X205" s="415"/>
    </row>
    <row r="206" spans="1:24" s="544" customFormat="1" x14ac:dyDescent="0.3">
      <c r="A206" s="555"/>
      <c r="B206" s="556" t="s">
        <v>71</v>
      </c>
      <c r="C206" s="611"/>
      <c r="D206" s="611"/>
      <c r="E206" s="611"/>
      <c r="F206" s="611"/>
      <c r="G206" s="582"/>
      <c r="H206" s="582"/>
      <c r="I206" s="582"/>
      <c r="J206" s="582"/>
      <c r="K206" s="582"/>
      <c r="L206" s="582"/>
      <c r="M206" s="582"/>
      <c r="N206" s="582"/>
      <c r="O206" s="582"/>
      <c r="P206" s="582"/>
      <c r="Q206" s="582"/>
      <c r="R206" s="582"/>
      <c r="S206" s="582"/>
      <c r="T206" s="575">
        <v>5.2819999999999999E-2</v>
      </c>
      <c r="U206" s="556"/>
      <c r="V206" s="556"/>
      <c r="W206" s="558"/>
      <c r="X206" s="543"/>
    </row>
    <row r="207" spans="1:24" s="544" customFormat="1" x14ac:dyDescent="0.3">
      <c r="A207" s="555"/>
      <c r="B207" s="556" t="s">
        <v>151</v>
      </c>
      <c r="C207" s="611"/>
      <c r="D207" s="611"/>
      <c r="E207" s="611"/>
      <c r="F207" s="611"/>
      <c r="G207" s="582"/>
      <c r="H207" s="582"/>
      <c r="I207" s="582"/>
      <c r="J207" s="582"/>
      <c r="K207" s="582"/>
      <c r="L207" s="582"/>
      <c r="M207" s="582"/>
      <c r="N207" s="582"/>
      <c r="O207" s="582"/>
      <c r="P207" s="582"/>
      <c r="Q207" s="582"/>
      <c r="R207" s="582"/>
      <c r="S207" s="582"/>
      <c r="T207" s="575">
        <v>5.7799999999999997E-2</v>
      </c>
      <c r="U207" s="556"/>
      <c r="V207" s="556"/>
      <c r="W207" s="558"/>
      <c r="X207" s="543"/>
    </row>
    <row r="208" spans="1:24" s="544" customFormat="1" x14ac:dyDescent="0.3">
      <c r="A208" s="555"/>
      <c r="B208" s="556" t="s">
        <v>72</v>
      </c>
      <c r="C208" s="611"/>
      <c r="D208" s="611"/>
      <c r="E208" s="611"/>
      <c r="F208" s="611"/>
      <c r="G208" s="582"/>
      <c r="H208" s="582"/>
      <c r="I208" s="582"/>
      <c r="J208" s="582"/>
      <c r="K208" s="582"/>
      <c r="L208" s="582"/>
      <c r="M208" s="582"/>
      <c r="N208" s="582"/>
      <c r="O208" s="582"/>
      <c r="P208" s="582"/>
      <c r="Q208" s="582"/>
      <c r="R208" s="582"/>
      <c r="S208" s="582"/>
      <c r="T208" s="575">
        <f>T206-T207</f>
        <v>-4.9799999999999983E-3</v>
      </c>
      <c r="U208" s="556"/>
      <c r="V208" s="556"/>
      <c r="W208" s="558"/>
      <c r="X208" s="543"/>
    </row>
    <row r="209" spans="1:24" s="544" customFormat="1" x14ac:dyDescent="0.3">
      <c r="A209" s="555"/>
      <c r="B209" s="556" t="s">
        <v>73</v>
      </c>
      <c r="C209" s="611"/>
      <c r="D209" s="611"/>
      <c r="E209" s="611"/>
      <c r="F209" s="611"/>
      <c r="G209" s="582"/>
      <c r="H209" s="582"/>
      <c r="I209" s="582"/>
      <c r="J209" s="582"/>
      <c r="K209" s="582"/>
      <c r="L209" s="582"/>
      <c r="M209" s="582"/>
      <c r="N209" s="582"/>
      <c r="O209" s="582"/>
      <c r="P209" s="582"/>
      <c r="Q209" s="582"/>
      <c r="R209" s="582"/>
      <c r="S209" s="582"/>
      <c r="T209" s="575">
        <v>2.3990000000000001E-2</v>
      </c>
      <c r="U209" s="556"/>
      <c r="V209" s="556"/>
      <c r="W209" s="558"/>
      <c r="X209" s="543"/>
    </row>
    <row r="210" spans="1:24" s="544" customFormat="1" x14ac:dyDescent="0.3">
      <c r="A210" s="555"/>
      <c r="B210" s="556" t="s">
        <v>219</v>
      </c>
      <c r="C210" s="611"/>
      <c r="D210" s="611"/>
      <c r="E210" s="611"/>
      <c r="F210" s="611"/>
      <c r="G210" s="582"/>
      <c r="H210" s="582"/>
      <c r="I210" s="582"/>
      <c r="J210" s="582"/>
      <c r="K210" s="582"/>
      <c r="L210" s="582"/>
      <c r="M210" s="582"/>
      <c r="N210" s="582"/>
      <c r="O210" s="582"/>
      <c r="P210" s="582"/>
      <c r="Q210" s="582"/>
      <c r="R210" s="582"/>
      <c r="S210" s="582"/>
      <c r="T210" s="575">
        <f>V43</f>
        <v>8.3674258329463364E-3</v>
      </c>
      <c r="U210" s="556"/>
      <c r="V210" s="556"/>
      <c r="W210" s="558"/>
      <c r="X210" s="543"/>
    </row>
    <row r="211" spans="1:24" s="544" customFormat="1" x14ac:dyDescent="0.3">
      <c r="A211" s="555"/>
      <c r="B211" s="556" t="s">
        <v>74</v>
      </c>
      <c r="C211" s="611"/>
      <c r="D211" s="611"/>
      <c r="E211" s="611"/>
      <c r="F211" s="611"/>
      <c r="G211" s="582"/>
      <c r="H211" s="582"/>
      <c r="I211" s="582"/>
      <c r="J211" s="582"/>
      <c r="K211" s="582"/>
      <c r="L211" s="582"/>
      <c r="M211" s="582"/>
      <c r="N211" s="582"/>
      <c r="O211" s="582"/>
      <c r="P211" s="582"/>
      <c r="Q211" s="582"/>
      <c r="R211" s="582"/>
      <c r="S211" s="582"/>
      <c r="T211" s="575">
        <f>T209-T210</f>
        <v>1.5622574167053664E-2</v>
      </c>
      <c r="U211" s="556"/>
      <c r="V211" s="556"/>
      <c r="W211" s="558"/>
      <c r="X211" s="543"/>
    </row>
    <row r="212" spans="1:24" s="544" customFormat="1" x14ac:dyDescent="0.3">
      <c r="A212" s="555"/>
      <c r="B212" s="556" t="s">
        <v>242</v>
      </c>
      <c r="C212" s="611"/>
      <c r="D212" s="611"/>
      <c r="E212" s="611"/>
      <c r="F212" s="611"/>
      <c r="G212" s="582"/>
      <c r="H212" s="582"/>
      <c r="I212" s="582"/>
      <c r="J212" s="582"/>
      <c r="K212" s="582"/>
      <c r="L212" s="582"/>
      <c r="M212" s="582"/>
      <c r="N212" s="582"/>
      <c r="O212" s="582"/>
      <c r="P212" s="582"/>
      <c r="Q212" s="582"/>
      <c r="R212" s="582"/>
      <c r="S212" s="582"/>
      <c r="T212" s="575">
        <f>V100/N70</f>
        <v>6.3193195076100715E-3</v>
      </c>
      <c r="U212" s="556"/>
      <c r="V212" s="556"/>
      <c r="W212" s="558"/>
      <c r="X212" s="543"/>
    </row>
    <row r="213" spans="1:24" s="544" customFormat="1" x14ac:dyDescent="0.3">
      <c r="A213" s="555"/>
      <c r="B213" s="556" t="s">
        <v>208</v>
      </c>
      <c r="C213" s="611"/>
      <c r="D213" s="611"/>
      <c r="E213" s="611"/>
      <c r="F213" s="611"/>
      <c r="G213" s="582"/>
      <c r="H213" s="582"/>
      <c r="I213" s="582"/>
      <c r="J213" s="582"/>
      <c r="K213" s="582"/>
      <c r="L213" s="582"/>
      <c r="M213" s="582"/>
      <c r="N213" s="582"/>
      <c r="O213" s="582"/>
      <c r="P213" s="582"/>
      <c r="Q213" s="582"/>
      <c r="R213" s="582"/>
      <c r="S213" s="582"/>
      <c r="T213" s="612">
        <v>51014</v>
      </c>
      <c r="U213" s="556"/>
      <c r="V213" s="556"/>
      <c r="W213" s="558"/>
      <c r="X213" s="543"/>
    </row>
    <row r="214" spans="1:24" s="544" customFormat="1" x14ac:dyDescent="0.3">
      <c r="A214" s="555"/>
      <c r="B214" s="556" t="s">
        <v>209</v>
      </c>
      <c r="C214" s="611"/>
      <c r="D214" s="611"/>
      <c r="E214" s="611"/>
      <c r="F214" s="611"/>
      <c r="G214" s="582"/>
      <c r="H214" s="582"/>
      <c r="I214" s="582"/>
      <c r="J214" s="582"/>
      <c r="K214" s="582"/>
      <c r="L214" s="582"/>
      <c r="M214" s="582"/>
      <c r="N214" s="582"/>
      <c r="O214" s="582"/>
      <c r="P214" s="582"/>
      <c r="Q214" s="582"/>
      <c r="R214" s="582"/>
      <c r="S214" s="582"/>
      <c r="T214" s="612">
        <v>51014</v>
      </c>
      <c r="U214" s="556"/>
      <c r="V214" s="556"/>
      <c r="W214" s="558"/>
      <c r="X214" s="543"/>
    </row>
    <row r="215" spans="1:24" s="544" customFormat="1" x14ac:dyDescent="0.3">
      <c r="A215" s="555"/>
      <c r="B215" s="556" t="s">
        <v>210</v>
      </c>
      <c r="C215" s="611"/>
      <c r="D215" s="611"/>
      <c r="E215" s="611"/>
      <c r="F215" s="611"/>
      <c r="G215" s="582"/>
      <c r="H215" s="582"/>
      <c r="I215" s="582"/>
      <c r="J215" s="582"/>
      <c r="K215" s="582"/>
      <c r="L215" s="582"/>
      <c r="M215" s="582"/>
      <c r="N215" s="582"/>
      <c r="O215" s="582"/>
      <c r="P215" s="582"/>
      <c r="Q215" s="582"/>
      <c r="R215" s="582"/>
      <c r="S215" s="582"/>
      <c r="T215" s="612">
        <v>51014</v>
      </c>
      <c r="U215" s="556"/>
      <c r="V215" s="556"/>
      <c r="W215" s="558"/>
      <c r="X215" s="543"/>
    </row>
    <row r="216" spans="1:24" s="544" customFormat="1" x14ac:dyDescent="0.3">
      <c r="A216" s="555"/>
      <c r="B216" s="556" t="s">
        <v>75</v>
      </c>
      <c r="C216" s="611"/>
      <c r="D216" s="611"/>
      <c r="E216" s="611"/>
      <c r="F216" s="611"/>
      <c r="G216" s="582"/>
      <c r="H216" s="582"/>
      <c r="I216" s="582"/>
      <c r="J216" s="582"/>
      <c r="K216" s="582"/>
      <c r="L216" s="582"/>
      <c r="M216" s="582"/>
      <c r="N216" s="582"/>
      <c r="O216" s="582"/>
      <c r="P216" s="582"/>
      <c r="Q216" s="582"/>
      <c r="R216" s="582"/>
      <c r="S216" s="582"/>
      <c r="T216" s="580">
        <v>20.66</v>
      </c>
      <c r="U216" s="556" t="s">
        <v>110</v>
      </c>
      <c r="V216" s="556"/>
      <c r="W216" s="558"/>
      <c r="X216" s="543"/>
    </row>
    <row r="217" spans="1:24" s="544" customFormat="1" x14ac:dyDescent="0.3">
      <c r="A217" s="555"/>
      <c r="B217" s="556" t="s">
        <v>76</v>
      </c>
      <c r="C217" s="611"/>
      <c r="D217" s="611"/>
      <c r="E217" s="611"/>
      <c r="F217" s="611"/>
      <c r="G217" s="582"/>
      <c r="H217" s="582"/>
      <c r="I217" s="582"/>
      <c r="J217" s="582"/>
      <c r="K217" s="582"/>
      <c r="L217" s="582"/>
      <c r="M217" s="582"/>
      <c r="N217" s="582"/>
      <c r="O217" s="582"/>
      <c r="P217" s="582"/>
      <c r="Q217" s="582"/>
      <c r="R217" s="582"/>
      <c r="S217" s="582"/>
      <c r="T217" s="580">
        <v>11.04</v>
      </c>
      <c r="U217" s="556" t="s">
        <v>110</v>
      </c>
      <c r="V217" s="556"/>
      <c r="W217" s="558"/>
      <c r="X217" s="543"/>
    </row>
    <row r="218" spans="1:24" s="544" customFormat="1" x14ac:dyDescent="0.3">
      <c r="A218" s="555"/>
      <c r="B218" s="556" t="s">
        <v>77</v>
      </c>
      <c r="C218" s="611"/>
      <c r="D218" s="611"/>
      <c r="E218" s="611"/>
      <c r="F218" s="611"/>
      <c r="G218" s="582"/>
      <c r="H218" s="582"/>
      <c r="I218" s="582"/>
      <c r="J218" s="582"/>
      <c r="K218" s="582"/>
      <c r="L218" s="582"/>
      <c r="M218" s="582"/>
      <c r="N218" s="582"/>
      <c r="O218" s="582"/>
      <c r="P218" s="582"/>
      <c r="Q218" s="582"/>
      <c r="R218" s="582"/>
      <c r="S218" s="582"/>
      <c r="T218" s="575">
        <f>+P67/N67</f>
        <v>1.7256958348575789E-2</v>
      </c>
      <c r="U218" s="556"/>
      <c r="V218" s="556"/>
      <c r="W218" s="558"/>
      <c r="X218" s="543"/>
    </row>
    <row r="219" spans="1:24" s="544" customFormat="1" x14ac:dyDescent="0.3">
      <c r="A219" s="555"/>
      <c r="B219" s="556" t="s">
        <v>78</v>
      </c>
      <c r="C219" s="611"/>
      <c r="D219" s="611"/>
      <c r="E219" s="611"/>
      <c r="F219" s="611"/>
      <c r="G219" s="582"/>
      <c r="H219" s="582"/>
      <c r="I219" s="582"/>
      <c r="J219" s="582"/>
      <c r="K219" s="582"/>
      <c r="L219" s="582"/>
      <c r="M219" s="582"/>
      <c r="N219" s="582"/>
      <c r="O219" s="582"/>
      <c r="P219" s="582"/>
      <c r="Q219" s="582"/>
      <c r="R219" s="582"/>
      <c r="S219" s="582"/>
      <c r="T219" s="575">
        <v>5.3100000000000001E-2</v>
      </c>
      <c r="U219" s="556"/>
      <c r="V219" s="556"/>
      <c r="W219" s="558"/>
      <c r="X219" s="543"/>
    </row>
    <row r="220" spans="1:24" x14ac:dyDescent="0.3">
      <c r="A220" s="463"/>
      <c r="B220" s="437"/>
      <c r="C220" s="437"/>
      <c r="D220" s="437"/>
      <c r="E220" s="437"/>
      <c r="F220" s="437"/>
      <c r="G220" s="437"/>
      <c r="H220" s="437"/>
      <c r="I220" s="437"/>
      <c r="J220" s="437"/>
      <c r="K220" s="437"/>
      <c r="L220" s="437"/>
      <c r="M220" s="437"/>
      <c r="N220" s="437"/>
      <c r="O220" s="437"/>
      <c r="P220" s="437"/>
      <c r="Q220" s="437"/>
      <c r="R220" s="437"/>
      <c r="S220" s="437"/>
      <c r="T220" s="454"/>
      <c r="U220" s="437"/>
      <c r="V220" s="465"/>
      <c r="W220" s="437"/>
      <c r="X220" s="415"/>
    </row>
    <row r="221" spans="1:24" x14ac:dyDescent="0.3">
      <c r="A221" s="533"/>
      <c r="B221" s="523" t="s">
        <v>79</v>
      </c>
      <c r="C221" s="524"/>
      <c r="D221" s="524"/>
      <c r="E221" s="524"/>
      <c r="F221" s="534"/>
      <c r="G221" s="524"/>
      <c r="H221" s="524"/>
      <c r="I221" s="524"/>
      <c r="J221" s="524"/>
      <c r="K221" s="524"/>
      <c r="L221" s="524"/>
      <c r="M221" s="524"/>
      <c r="N221" s="524"/>
      <c r="O221" s="524"/>
      <c r="P221" s="524"/>
      <c r="Q221" s="524"/>
      <c r="R221" s="524"/>
      <c r="S221" s="524" t="s">
        <v>102</v>
      </c>
      <c r="T221" s="534" t="s">
        <v>108</v>
      </c>
      <c r="U221" s="517"/>
      <c r="V221" s="517"/>
      <c r="W221" s="520"/>
      <c r="X221" s="415"/>
    </row>
    <row r="222" spans="1:24" s="544" customFormat="1" x14ac:dyDescent="0.3">
      <c r="A222" s="613"/>
      <c r="B222" s="588" t="s">
        <v>80</v>
      </c>
      <c r="C222" s="600"/>
      <c r="D222" s="600"/>
      <c r="E222" s="600"/>
      <c r="F222" s="588"/>
      <c r="G222" s="588"/>
      <c r="H222" s="614"/>
      <c r="I222" s="614"/>
      <c r="J222" s="614"/>
      <c r="K222" s="614"/>
      <c r="L222" s="614"/>
      <c r="M222" s="614"/>
      <c r="N222" s="614"/>
      <c r="O222" s="614"/>
      <c r="P222" s="614"/>
      <c r="Q222" s="614"/>
      <c r="R222" s="614"/>
      <c r="S222" s="614">
        <v>2</v>
      </c>
      <c r="T222" s="615">
        <v>172</v>
      </c>
      <c r="U222" s="588"/>
      <c r="V222" s="616"/>
      <c r="W222" s="617"/>
      <c r="X222" s="543"/>
    </row>
    <row r="223" spans="1:24" s="544" customFormat="1" x14ac:dyDescent="0.3">
      <c r="A223" s="618"/>
      <c r="B223" s="556" t="s">
        <v>145</v>
      </c>
      <c r="C223" s="598"/>
      <c r="D223" s="598"/>
      <c r="E223" s="598"/>
      <c r="F223" s="556"/>
      <c r="G223" s="556"/>
      <c r="H223" s="562"/>
      <c r="I223" s="562"/>
      <c r="J223" s="562"/>
      <c r="K223" s="562"/>
      <c r="L223" s="562"/>
      <c r="M223" s="562"/>
      <c r="N223" s="562"/>
      <c r="O223" s="562"/>
      <c r="P223" s="562"/>
      <c r="Q223" s="562"/>
      <c r="R223" s="562"/>
      <c r="S223" s="619">
        <f>+R275</f>
        <v>117</v>
      </c>
      <c r="T223" s="620">
        <f>+T275</f>
        <v>16977</v>
      </c>
      <c r="U223" s="556"/>
      <c r="V223" s="621"/>
      <c r="W223" s="622"/>
      <c r="X223" s="543"/>
    </row>
    <row r="224" spans="1:24" s="544" customFormat="1" x14ac:dyDescent="0.3">
      <c r="A224" s="618"/>
      <c r="B224" s="556" t="s">
        <v>81</v>
      </c>
      <c r="C224" s="598"/>
      <c r="D224" s="598"/>
      <c r="E224" s="598"/>
      <c r="F224" s="556"/>
      <c r="G224" s="556"/>
      <c r="H224" s="562"/>
      <c r="I224" s="562"/>
      <c r="J224" s="562"/>
      <c r="K224" s="562"/>
      <c r="L224" s="562"/>
      <c r="M224" s="562"/>
      <c r="N224" s="562"/>
      <c r="O224" s="562"/>
      <c r="P224" s="562"/>
      <c r="Q224" s="562"/>
      <c r="R224" s="562"/>
      <c r="S224" s="619">
        <f>+R287</f>
        <v>0</v>
      </c>
      <c r="T224" s="620">
        <f>+T287</f>
        <v>0</v>
      </c>
      <c r="U224" s="556"/>
      <c r="V224" s="621"/>
      <c r="W224" s="622"/>
      <c r="X224" s="543"/>
    </row>
    <row r="225" spans="1:24" x14ac:dyDescent="0.3">
      <c r="A225" s="466"/>
      <c r="B225" s="493" t="s">
        <v>82</v>
      </c>
      <c r="C225" s="467"/>
      <c r="D225" s="467"/>
      <c r="E225" s="467"/>
      <c r="F225" s="434"/>
      <c r="G225" s="434"/>
      <c r="H225" s="434"/>
      <c r="I225" s="434"/>
      <c r="J225" s="434"/>
      <c r="K225" s="434"/>
      <c r="L225" s="434"/>
      <c r="M225" s="434"/>
      <c r="N225" s="434"/>
      <c r="O225" s="434"/>
      <c r="P225" s="434"/>
      <c r="Q225" s="434"/>
      <c r="R225" s="434"/>
      <c r="S225" s="434"/>
      <c r="T225" s="620">
        <v>0</v>
      </c>
      <c r="U225" s="434"/>
      <c r="V225" s="468"/>
      <c r="W225" s="469"/>
      <c r="X225" s="415"/>
    </row>
    <row r="226" spans="1:24" x14ac:dyDescent="0.3">
      <c r="A226" s="466"/>
      <c r="B226" s="493" t="s">
        <v>243</v>
      </c>
      <c r="C226" s="467"/>
      <c r="D226" s="467"/>
      <c r="E226" s="467"/>
      <c r="F226" s="434"/>
      <c r="G226" s="434"/>
      <c r="H226" s="434"/>
      <c r="I226" s="434"/>
      <c r="J226" s="434"/>
      <c r="K226" s="434"/>
      <c r="L226" s="434"/>
      <c r="M226" s="434"/>
      <c r="N226" s="434"/>
      <c r="O226" s="434"/>
      <c r="P226" s="434"/>
      <c r="Q226" s="434"/>
      <c r="R226" s="434"/>
      <c r="S226" s="434"/>
      <c r="T226" s="620">
        <f>+N80</f>
        <v>0</v>
      </c>
      <c r="U226" s="434"/>
      <c r="V226" s="468"/>
      <c r="W226" s="469"/>
      <c r="X226" s="415"/>
    </row>
    <row r="227" spans="1:24" x14ac:dyDescent="0.3">
      <c r="A227" s="470"/>
      <c r="B227" s="493" t="s">
        <v>83</v>
      </c>
      <c r="C227" s="471"/>
      <c r="D227" s="471"/>
      <c r="E227" s="471"/>
      <c r="F227" s="471"/>
      <c r="G227" s="434"/>
      <c r="H227" s="434"/>
      <c r="I227" s="434"/>
      <c r="J227" s="434"/>
      <c r="K227" s="434"/>
      <c r="L227" s="434"/>
      <c r="M227" s="434"/>
      <c r="N227" s="434"/>
      <c r="O227" s="434"/>
      <c r="P227" s="434"/>
      <c r="Q227" s="434"/>
      <c r="R227" s="434"/>
      <c r="S227" s="434"/>
      <c r="T227" s="472"/>
      <c r="U227" s="434"/>
      <c r="V227" s="468"/>
      <c r="W227" s="473"/>
      <c r="X227" s="415"/>
    </row>
    <row r="228" spans="1:24" s="544" customFormat="1" x14ac:dyDescent="0.3">
      <c r="A228" s="623"/>
      <c r="B228" s="556" t="s">
        <v>84</v>
      </c>
      <c r="C228" s="556"/>
      <c r="D228" s="556"/>
      <c r="E228" s="556"/>
      <c r="F228" s="556"/>
      <c r="G228" s="556"/>
      <c r="H228" s="556"/>
      <c r="I228" s="556"/>
      <c r="J228" s="556"/>
      <c r="K228" s="556"/>
      <c r="L228" s="556"/>
      <c r="M228" s="556"/>
      <c r="N228" s="556"/>
      <c r="O228" s="556"/>
      <c r="P228" s="556"/>
      <c r="Q228" s="556"/>
      <c r="R228" s="556"/>
      <c r="S228" s="562"/>
      <c r="T228" s="620">
        <f>V166</f>
        <v>-18</v>
      </c>
      <c r="U228" s="556"/>
      <c r="V228" s="621"/>
      <c r="W228" s="624"/>
      <c r="X228" s="543"/>
    </row>
    <row r="229" spans="1:24" s="544" customFormat="1" x14ac:dyDescent="0.3">
      <c r="A229" s="618"/>
      <c r="B229" s="556" t="s">
        <v>85</v>
      </c>
      <c r="C229" s="598"/>
      <c r="D229" s="598"/>
      <c r="E229" s="598"/>
      <c r="F229" s="598"/>
      <c r="G229" s="556"/>
      <c r="H229" s="556"/>
      <c r="I229" s="556"/>
      <c r="J229" s="556"/>
      <c r="K229" s="556"/>
      <c r="L229" s="556"/>
      <c r="M229" s="556"/>
      <c r="N229" s="556"/>
      <c r="O229" s="556"/>
      <c r="P229" s="556"/>
      <c r="Q229" s="556"/>
      <c r="R229" s="556"/>
      <c r="S229" s="562"/>
      <c r="T229" s="620">
        <f>'Nov 17'!T229+T228</f>
        <v>8109</v>
      </c>
      <c r="U229" s="556"/>
      <c r="V229" s="621"/>
      <c r="W229" s="624"/>
      <c r="X229" s="543"/>
    </row>
    <row r="230" spans="1:24" x14ac:dyDescent="0.3">
      <c r="A230" s="470"/>
      <c r="B230" s="493" t="s">
        <v>295</v>
      </c>
      <c r="C230" s="471"/>
      <c r="D230" s="471"/>
      <c r="E230" s="471"/>
      <c r="F230" s="471"/>
      <c r="G230" s="434"/>
      <c r="H230" s="434"/>
      <c r="I230" s="434"/>
      <c r="J230" s="434"/>
      <c r="K230" s="434"/>
      <c r="L230" s="434"/>
      <c r="M230" s="434"/>
      <c r="N230" s="434"/>
      <c r="O230" s="434"/>
      <c r="P230" s="434"/>
      <c r="Q230" s="434"/>
      <c r="R230" s="434"/>
      <c r="S230" s="435"/>
      <c r="T230" s="472"/>
      <c r="U230" s="434"/>
      <c r="V230" s="468"/>
      <c r="W230" s="473"/>
      <c r="X230" s="415"/>
    </row>
    <row r="231" spans="1:24" s="544" customFormat="1" x14ac:dyDescent="0.3">
      <c r="A231" s="623"/>
      <c r="B231" s="556" t="s">
        <v>291</v>
      </c>
      <c r="C231" s="556"/>
      <c r="D231" s="556"/>
      <c r="E231" s="556"/>
      <c r="F231" s="556"/>
      <c r="G231" s="556"/>
      <c r="H231" s="556"/>
      <c r="I231" s="556"/>
      <c r="J231" s="556"/>
      <c r="K231" s="556"/>
      <c r="L231" s="556"/>
      <c r="M231" s="556"/>
      <c r="N231" s="556"/>
      <c r="O231" s="556"/>
      <c r="P231" s="556"/>
      <c r="Q231" s="556"/>
      <c r="R231" s="556"/>
      <c r="S231" s="562">
        <v>0</v>
      </c>
      <c r="T231" s="620">
        <v>0</v>
      </c>
      <c r="U231" s="556"/>
      <c r="V231" s="621"/>
      <c r="W231" s="624"/>
      <c r="X231" s="543"/>
    </row>
    <row r="232" spans="1:24" s="544" customFormat="1" x14ac:dyDescent="0.3">
      <c r="A232" s="618"/>
      <c r="B232" s="556" t="s">
        <v>86</v>
      </c>
      <c r="C232" s="578"/>
      <c r="D232" s="578"/>
      <c r="E232" s="578"/>
      <c r="F232" s="625"/>
      <c r="G232" s="556"/>
      <c r="H232" s="556"/>
      <c r="I232" s="556"/>
      <c r="J232" s="556"/>
      <c r="K232" s="556"/>
      <c r="L232" s="556"/>
      <c r="M232" s="556"/>
      <c r="N232" s="556"/>
      <c r="O232" s="556"/>
      <c r="P232" s="556"/>
      <c r="Q232" s="556"/>
      <c r="R232" s="556"/>
      <c r="S232" s="556"/>
      <c r="T232" s="626">
        <v>0</v>
      </c>
      <c r="U232" s="556"/>
      <c r="V232" s="621"/>
      <c r="W232" s="624"/>
      <c r="X232" s="543"/>
    </row>
    <row r="233" spans="1:24" s="544" customFormat="1" x14ac:dyDescent="0.3">
      <c r="A233" s="618"/>
      <c r="B233" s="556" t="s">
        <v>87</v>
      </c>
      <c r="C233" s="578"/>
      <c r="D233" s="578"/>
      <c r="E233" s="578"/>
      <c r="F233" s="625"/>
      <c r="G233" s="556"/>
      <c r="H233" s="556"/>
      <c r="I233" s="556"/>
      <c r="J233" s="556"/>
      <c r="K233" s="556"/>
      <c r="L233" s="556"/>
      <c r="M233" s="556"/>
      <c r="N233" s="556"/>
      <c r="O233" s="556"/>
      <c r="P233" s="556"/>
      <c r="Q233" s="556"/>
      <c r="R233" s="556"/>
      <c r="S233" s="556"/>
      <c r="T233" s="626">
        <v>0</v>
      </c>
      <c r="U233" s="556"/>
      <c r="V233" s="621"/>
      <c r="W233" s="624"/>
      <c r="X233" s="543"/>
    </row>
    <row r="234" spans="1:24" x14ac:dyDescent="0.3">
      <c r="A234" s="466"/>
      <c r="B234" s="493" t="s">
        <v>217</v>
      </c>
      <c r="C234" s="474"/>
      <c r="D234" s="474"/>
      <c r="E234" s="474"/>
      <c r="F234" s="475"/>
      <c r="G234" s="434"/>
      <c r="H234" s="434"/>
      <c r="I234" s="434"/>
      <c r="J234" s="434"/>
      <c r="K234" s="434"/>
      <c r="L234" s="434"/>
      <c r="M234" s="434"/>
      <c r="N234" s="434"/>
      <c r="O234" s="434"/>
      <c r="P234" s="434"/>
      <c r="Q234" s="434"/>
      <c r="R234" s="434"/>
      <c r="S234" s="434"/>
      <c r="T234" s="476"/>
      <c r="U234" s="434"/>
      <c r="V234" s="468"/>
      <c r="W234" s="473"/>
      <c r="X234" s="415"/>
    </row>
    <row r="235" spans="1:24" s="544" customFormat="1" x14ac:dyDescent="0.3">
      <c r="A235" s="618"/>
      <c r="B235" s="556" t="s">
        <v>291</v>
      </c>
      <c r="C235" s="578"/>
      <c r="D235" s="578"/>
      <c r="E235" s="578"/>
      <c r="F235" s="625"/>
      <c r="G235" s="556"/>
      <c r="H235" s="556"/>
      <c r="I235" s="556"/>
      <c r="J235" s="556"/>
      <c r="K235" s="556"/>
      <c r="L235" s="556"/>
      <c r="M235" s="556"/>
      <c r="N235" s="556"/>
      <c r="O235" s="556"/>
      <c r="P235" s="556"/>
      <c r="Q235" s="556"/>
      <c r="R235" s="556"/>
      <c r="S235" s="562">
        <v>3</v>
      </c>
      <c r="T235" s="620">
        <v>274</v>
      </c>
      <c r="U235" s="556"/>
      <c r="V235" s="621"/>
      <c r="W235" s="624"/>
      <c r="X235" s="543"/>
    </row>
    <row r="236" spans="1:24" s="544" customFormat="1" x14ac:dyDescent="0.3">
      <c r="A236" s="618"/>
      <c r="B236" s="556" t="s">
        <v>218</v>
      </c>
      <c r="C236" s="578"/>
      <c r="D236" s="578"/>
      <c r="E236" s="578"/>
      <c r="F236" s="625"/>
      <c r="G236" s="556"/>
      <c r="H236" s="556"/>
      <c r="I236" s="556"/>
      <c r="J236" s="556"/>
      <c r="K236" s="556"/>
      <c r="L236" s="556"/>
      <c r="M236" s="556"/>
      <c r="N236" s="556"/>
      <c r="O236" s="556"/>
      <c r="P236" s="556"/>
      <c r="Q236" s="556"/>
      <c r="R236" s="556"/>
      <c r="S236" s="556"/>
      <c r="T236" s="626">
        <v>1.35</v>
      </c>
      <c r="U236" s="556"/>
      <c r="V236" s="621"/>
      <c r="W236" s="624"/>
      <c r="X236" s="543"/>
    </row>
    <row r="237" spans="1:24" x14ac:dyDescent="0.3">
      <c r="A237" s="466"/>
      <c r="B237" s="471"/>
      <c r="C237" s="474"/>
      <c r="D237" s="474"/>
      <c r="E237" s="474"/>
      <c r="F237" s="475"/>
      <c r="G237" s="434"/>
      <c r="H237" s="434"/>
      <c r="I237" s="434"/>
      <c r="J237" s="434"/>
      <c r="K237" s="434"/>
      <c r="L237" s="434"/>
      <c r="M237" s="434"/>
      <c r="N237" s="434"/>
      <c r="O237" s="434"/>
      <c r="P237" s="434"/>
      <c r="Q237" s="434"/>
      <c r="R237" s="434"/>
      <c r="S237" s="434"/>
      <c r="T237" s="476"/>
      <c r="U237" s="434"/>
      <c r="V237" s="468"/>
      <c r="W237" s="473"/>
      <c r="X237" s="415"/>
    </row>
    <row r="238" spans="1:24" x14ac:dyDescent="0.3">
      <c r="A238" s="466"/>
      <c r="B238" s="471"/>
      <c r="C238" s="474"/>
      <c r="D238" s="474"/>
      <c r="E238" s="474"/>
      <c r="F238" s="475"/>
      <c r="G238" s="434"/>
      <c r="H238" s="434"/>
      <c r="I238" s="434"/>
      <c r="J238" s="434"/>
      <c r="K238" s="434"/>
      <c r="L238" s="434"/>
      <c r="M238" s="434"/>
      <c r="N238" s="434"/>
      <c r="O238" s="434"/>
      <c r="P238" s="434"/>
      <c r="Q238" s="434"/>
      <c r="R238" s="434"/>
      <c r="S238" s="434"/>
      <c r="T238" s="476"/>
      <c r="U238" s="434"/>
      <c r="V238" s="468"/>
      <c r="W238" s="473"/>
      <c r="X238" s="415"/>
    </row>
    <row r="239" spans="1:24" ht="18" x14ac:dyDescent="0.35">
      <c r="A239" s="466"/>
      <c r="B239" s="512" t="s">
        <v>168</v>
      </c>
      <c r="C239" s="474"/>
      <c r="D239" s="474"/>
      <c r="E239" s="474"/>
      <c r="F239" s="475"/>
      <c r="G239" s="434"/>
      <c r="H239" s="434"/>
      <c r="I239" s="434"/>
      <c r="J239" s="434"/>
      <c r="K239" s="434"/>
      <c r="L239" s="434"/>
      <c r="M239" s="434"/>
      <c r="N239" s="434"/>
      <c r="O239" s="434"/>
      <c r="P239" s="513" t="s">
        <v>371</v>
      </c>
      <c r="Q239" s="434"/>
      <c r="R239" s="434"/>
      <c r="S239" s="434"/>
      <c r="T239" s="476"/>
      <c r="U239" s="434"/>
      <c r="V239" s="468"/>
      <c r="W239" s="473"/>
      <c r="X239" s="415"/>
    </row>
    <row r="240" spans="1:24" x14ac:dyDescent="0.3">
      <c r="A240" s="477"/>
      <c r="B240" s="511"/>
      <c r="C240" s="478"/>
      <c r="D240" s="478"/>
      <c r="E240" s="478"/>
      <c r="F240" s="479"/>
      <c r="G240" s="441"/>
      <c r="H240" s="441"/>
      <c r="I240" s="441"/>
      <c r="J240" s="441"/>
      <c r="K240" s="441"/>
      <c r="L240" s="441"/>
      <c r="M240" s="441"/>
      <c r="N240" s="441"/>
      <c r="O240" s="441"/>
      <c r="P240" s="441"/>
      <c r="Q240" s="441"/>
      <c r="R240" s="441"/>
      <c r="S240" s="441"/>
      <c r="T240" s="480"/>
      <c r="U240" s="441"/>
      <c r="V240" s="481"/>
      <c r="W240" s="482"/>
      <c r="X240" s="415"/>
    </row>
    <row r="241" spans="1:25" x14ac:dyDescent="0.3">
      <c r="A241" s="515"/>
      <c r="B241" s="523" t="s">
        <v>308</v>
      </c>
      <c r="C241" s="524"/>
      <c r="D241" s="524"/>
      <c r="E241" s="524"/>
      <c r="F241" s="534"/>
      <c r="G241" s="524"/>
      <c r="H241" s="524"/>
      <c r="I241" s="524"/>
      <c r="J241" s="524"/>
      <c r="K241" s="524"/>
      <c r="L241" s="524"/>
      <c r="M241" s="524"/>
      <c r="N241" s="524"/>
      <c r="O241" s="524"/>
      <c r="P241" s="524"/>
      <c r="Q241" s="524"/>
      <c r="R241" s="534" t="s">
        <v>102</v>
      </c>
      <c r="S241" s="524" t="s">
        <v>103</v>
      </c>
      <c r="T241" s="534" t="s">
        <v>109</v>
      </c>
      <c r="U241" s="524" t="s">
        <v>103</v>
      </c>
      <c r="V241" s="517"/>
      <c r="W241" s="535"/>
      <c r="X241" s="415"/>
    </row>
    <row r="242" spans="1:25" s="544" customFormat="1" x14ac:dyDescent="0.3">
      <c r="A242" s="540"/>
      <c r="B242" s="600" t="s">
        <v>88</v>
      </c>
      <c r="C242" s="627"/>
      <c r="D242" s="627"/>
      <c r="E242" s="627"/>
      <c r="F242" s="588"/>
      <c r="G242" s="627"/>
      <c r="H242" s="627"/>
      <c r="I242" s="627"/>
      <c r="J242" s="627"/>
      <c r="K242" s="627"/>
      <c r="L242" s="627"/>
      <c r="M242" s="627"/>
      <c r="N242" s="627"/>
      <c r="O242" s="627"/>
      <c r="P242" s="627"/>
      <c r="Q242" s="627"/>
      <c r="R242" s="600">
        <f t="shared" ref="R242:R249" si="1">+R254+R266+R278</f>
        <v>6185</v>
      </c>
      <c r="S242" s="628">
        <f t="shared" ref="S242:S249" si="2">R242/$R$251</f>
        <v>0.99725894872621734</v>
      </c>
      <c r="T242" s="601">
        <f t="shared" ref="T242:T249" si="3">+T254+T266+T278</f>
        <v>849993</v>
      </c>
      <c r="U242" s="628">
        <f t="shared" ref="U242:U249" si="4">T242/$T$251</f>
        <v>0.99738331399176039</v>
      </c>
      <c r="V242" s="616"/>
      <c r="W242" s="629"/>
      <c r="X242" s="543"/>
    </row>
    <row r="243" spans="1:25" s="544" customFormat="1" x14ac:dyDescent="0.3">
      <c r="A243" s="555"/>
      <c r="B243" s="598" t="s">
        <v>89</v>
      </c>
      <c r="C243" s="630"/>
      <c r="D243" s="630"/>
      <c r="E243" s="630"/>
      <c r="F243" s="556"/>
      <c r="G243" s="631"/>
      <c r="H243" s="630"/>
      <c r="I243" s="630"/>
      <c r="J243" s="630"/>
      <c r="K243" s="630"/>
      <c r="L243" s="630"/>
      <c r="M243" s="630"/>
      <c r="N243" s="630"/>
      <c r="O243" s="630"/>
      <c r="P243" s="630"/>
      <c r="Q243" s="630"/>
      <c r="R243" s="598">
        <f t="shared" si="1"/>
        <v>6</v>
      </c>
      <c r="S243" s="631">
        <f t="shared" si="2"/>
        <v>9.6742986133505321E-4</v>
      </c>
      <c r="T243" s="599">
        <f t="shared" si="3"/>
        <v>533</v>
      </c>
      <c r="U243" s="631">
        <f t="shared" si="4"/>
        <v>6.2542315802319344E-4</v>
      </c>
      <c r="V243" s="621"/>
      <c r="W243" s="624"/>
      <c r="X243" s="543"/>
      <c r="Y243" s="604"/>
    </row>
    <row r="244" spans="1:25" s="544" customFormat="1" x14ac:dyDescent="0.3">
      <c r="A244" s="555"/>
      <c r="B244" s="598" t="s">
        <v>90</v>
      </c>
      <c r="C244" s="630"/>
      <c r="D244" s="630"/>
      <c r="E244" s="630"/>
      <c r="F244" s="556"/>
      <c r="G244" s="631"/>
      <c r="H244" s="630"/>
      <c r="I244" s="630"/>
      <c r="J244" s="630"/>
      <c r="K244" s="630"/>
      <c r="L244" s="630"/>
      <c r="M244" s="630"/>
      <c r="N244" s="630"/>
      <c r="O244" s="630"/>
      <c r="P244" s="630"/>
      <c r="Q244" s="630"/>
      <c r="R244" s="598">
        <f t="shared" si="1"/>
        <v>5</v>
      </c>
      <c r="S244" s="631">
        <f t="shared" si="2"/>
        <v>8.0619155111254432E-4</v>
      </c>
      <c r="T244" s="599">
        <f t="shared" si="3"/>
        <v>923</v>
      </c>
      <c r="U244" s="631">
        <f t="shared" si="4"/>
        <v>1.0830498590157741E-3</v>
      </c>
      <c r="V244" s="621"/>
      <c r="W244" s="624"/>
      <c r="X244" s="543"/>
    </row>
    <row r="245" spans="1:25" s="544" customFormat="1" x14ac:dyDescent="0.3">
      <c r="A245" s="555"/>
      <c r="B245" s="598" t="s">
        <v>156</v>
      </c>
      <c r="C245" s="630"/>
      <c r="D245" s="630"/>
      <c r="E245" s="630"/>
      <c r="F245" s="556"/>
      <c r="G245" s="631"/>
      <c r="H245" s="630"/>
      <c r="I245" s="630"/>
      <c r="J245" s="630"/>
      <c r="K245" s="630"/>
      <c r="L245" s="630"/>
      <c r="M245" s="630"/>
      <c r="N245" s="630"/>
      <c r="O245" s="630"/>
      <c r="P245" s="630"/>
      <c r="Q245" s="630"/>
      <c r="R245" s="598">
        <f t="shared" si="1"/>
        <v>2</v>
      </c>
      <c r="S245" s="631">
        <f t="shared" si="2"/>
        <v>3.2247662044501772E-4</v>
      </c>
      <c r="T245" s="599">
        <f t="shared" si="3"/>
        <v>212</v>
      </c>
      <c r="U245" s="631">
        <f t="shared" si="4"/>
        <v>2.4876118105237715E-4</v>
      </c>
      <c r="V245" s="621"/>
      <c r="W245" s="624"/>
      <c r="X245" s="543"/>
      <c r="Y245" s="604"/>
    </row>
    <row r="246" spans="1:25" s="544" customFormat="1" x14ac:dyDescent="0.3">
      <c r="A246" s="555"/>
      <c r="B246" s="598" t="s">
        <v>157</v>
      </c>
      <c r="C246" s="630"/>
      <c r="D246" s="630"/>
      <c r="E246" s="630"/>
      <c r="F246" s="556"/>
      <c r="G246" s="631"/>
      <c r="H246" s="630"/>
      <c r="I246" s="630"/>
      <c r="J246" s="630"/>
      <c r="K246" s="630"/>
      <c r="L246" s="630"/>
      <c r="M246" s="630"/>
      <c r="N246" s="630"/>
      <c r="O246" s="630"/>
      <c r="P246" s="630"/>
      <c r="Q246" s="630"/>
      <c r="R246" s="598">
        <f t="shared" si="1"/>
        <v>1</v>
      </c>
      <c r="S246" s="631">
        <f t="shared" si="2"/>
        <v>1.6123831022250886E-4</v>
      </c>
      <c r="T246" s="599">
        <f t="shared" si="3"/>
        <v>97</v>
      </c>
      <c r="U246" s="631">
        <f t="shared" si="4"/>
        <v>1.1381997434943671E-4</v>
      </c>
      <c r="V246" s="621"/>
      <c r="W246" s="624"/>
      <c r="X246" s="543"/>
    </row>
    <row r="247" spans="1:25" s="544" customFormat="1" x14ac:dyDescent="0.3">
      <c r="A247" s="555"/>
      <c r="B247" s="598" t="s">
        <v>158</v>
      </c>
      <c r="C247" s="630"/>
      <c r="D247" s="630"/>
      <c r="E247" s="630"/>
      <c r="F247" s="556"/>
      <c r="G247" s="631"/>
      <c r="H247" s="630"/>
      <c r="I247" s="630"/>
      <c r="J247" s="630"/>
      <c r="K247" s="630"/>
      <c r="L247" s="630"/>
      <c r="M247" s="630"/>
      <c r="N247" s="630"/>
      <c r="O247" s="630"/>
      <c r="P247" s="630"/>
      <c r="Q247" s="630"/>
      <c r="R247" s="598">
        <f t="shared" si="1"/>
        <v>0</v>
      </c>
      <c r="S247" s="631">
        <f t="shared" si="2"/>
        <v>0</v>
      </c>
      <c r="T247" s="599">
        <f t="shared" si="3"/>
        <v>0</v>
      </c>
      <c r="U247" s="631">
        <f t="shared" si="4"/>
        <v>0</v>
      </c>
      <c r="V247" s="621"/>
      <c r="W247" s="624"/>
      <c r="X247" s="543"/>
      <c r="Y247" s="604"/>
    </row>
    <row r="248" spans="1:25" s="544" customFormat="1" x14ac:dyDescent="0.3">
      <c r="A248" s="555"/>
      <c r="B248" s="598" t="s">
        <v>159</v>
      </c>
      <c r="C248" s="630"/>
      <c r="D248" s="630"/>
      <c r="E248" s="630"/>
      <c r="F248" s="556"/>
      <c r="G248" s="631"/>
      <c r="H248" s="630"/>
      <c r="I248" s="630"/>
      <c r="J248" s="630"/>
      <c r="K248" s="630"/>
      <c r="L248" s="630"/>
      <c r="M248" s="630"/>
      <c r="N248" s="630"/>
      <c r="O248" s="630"/>
      <c r="P248" s="630"/>
      <c r="Q248" s="630"/>
      <c r="R248" s="598">
        <f t="shared" si="1"/>
        <v>1</v>
      </c>
      <c r="S248" s="631">
        <f t="shared" si="2"/>
        <v>1.6123831022250886E-4</v>
      </c>
      <c r="T248" s="599">
        <f t="shared" si="3"/>
        <v>102</v>
      </c>
      <c r="U248" s="631">
        <f t="shared" si="4"/>
        <v>1.1968698333652108E-4</v>
      </c>
      <c r="V248" s="621"/>
      <c r="W248" s="624"/>
      <c r="X248" s="543"/>
    </row>
    <row r="249" spans="1:25" s="544" customFormat="1" x14ac:dyDescent="0.3">
      <c r="A249" s="555"/>
      <c r="B249" s="598" t="s">
        <v>160</v>
      </c>
      <c r="C249" s="630"/>
      <c r="D249" s="630"/>
      <c r="E249" s="630"/>
      <c r="F249" s="556"/>
      <c r="G249" s="631"/>
      <c r="H249" s="630"/>
      <c r="I249" s="630"/>
      <c r="J249" s="630"/>
      <c r="K249" s="630"/>
      <c r="L249" s="630"/>
      <c r="M249" s="630"/>
      <c r="N249" s="630"/>
      <c r="O249" s="630"/>
      <c r="P249" s="630"/>
      <c r="Q249" s="630"/>
      <c r="R249" s="600">
        <f t="shared" si="1"/>
        <v>2</v>
      </c>
      <c r="S249" s="628">
        <f t="shared" si="2"/>
        <v>3.2247662044501772E-4</v>
      </c>
      <c r="T249" s="601">
        <f t="shared" si="3"/>
        <v>363</v>
      </c>
      <c r="U249" s="628">
        <f t="shared" si="4"/>
        <v>4.25944852462325E-4</v>
      </c>
      <c r="V249" s="621"/>
      <c r="W249" s="624"/>
      <c r="X249" s="543"/>
      <c r="Y249" s="604"/>
    </row>
    <row r="250" spans="1:25" s="544" customFormat="1" x14ac:dyDescent="0.3">
      <c r="A250" s="555"/>
      <c r="B250" s="598"/>
      <c r="C250" s="630"/>
      <c r="D250" s="630"/>
      <c r="E250" s="630"/>
      <c r="F250" s="556"/>
      <c r="G250" s="631"/>
      <c r="H250" s="630"/>
      <c r="I250" s="630"/>
      <c r="J250" s="630"/>
      <c r="K250" s="630"/>
      <c r="L250" s="630"/>
      <c r="M250" s="630"/>
      <c r="N250" s="630"/>
      <c r="O250" s="630"/>
      <c r="P250" s="630"/>
      <c r="Q250" s="630"/>
      <c r="R250" s="598"/>
      <c r="S250" s="631"/>
      <c r="T250" s="599"/>
      <c r="U250" s="631"/>
      <c r="V250" s="621"/>
      <c r="W250" s="624"/>
      <c r="X250" s="543"/>
    </row>
    <row r="251" spans="1:25" s="544" customFormat="1" x14ac:dyDescent="0.3">
      <c r="A251" s="555"/>
      <c r="B251" s="556"/>
      <c r="C251" s="556"/>
      <c r="D251" s="556"/>
      <c r="E251" s="556"/>
      <c r="F251" s="556"/>
      <c r="G251" s="556"/>
      <c r="H251" s="632"/>
      <c r="I251" s="632"/>
      <c r="J251" s="632"/>
      <c r="K251" s="632"/>
      <c r="L251" s="632"/>
      <c r="M251" s="632"/>
      <c r="N251" s="632"/>
      <c r="O251" s="632"/>
      <c r="P251" s="632"/>
      <c r="Q251" s="632"/>
      <c r="R251" s="598">
        <f>SUM(R242:R250)</f>
        <v>6202</v>
      </c>
      <c r="S251" s="631">
        <f>SUM(S242:S250)</f>
        <v>1</v>
      </c>
      <c r="T251" s="599">
        <f>SUM(T242:T250)</f>
        <v>852223</v>
      </c>
      <c r="U251" s="631">
        <f>SUM(U242:U250)</f>
        <v>0.99999999999999989</v>
      </c>
      <c r="V251" s="556"/>
      <c r="W251" s="558"/>
      <c r="X251" s="543"/>
    </row>
    <row r="252" spans="1:25" x14ac:dyDescent="0.3">
      <c r="A252" s="417"/>
      <c r="B252" s="441"/>
      <c r="C252" s="441"/>
      <c r="D252" s="441"/>
      <c r="E252" s="441"/>
      <c r="F252" s="441"/>
      <c r="G252" s="441"/>
      <c r="H252" s="485"/>
      <c r="I252" s="485"/>
      <c r="J252" s="485"/>
      <c r="K252" s="485"/>
      <c r="L252" s="485"/>
      <c r="M252" s="485"/>
      <c r="N252" s="485"/>
      <c r="O252" s="485"/>
      <c r="P252" s="485"/>
      <c r="Q252" s="485"/>
      <c r="R252" s="442"/>
      <c r="S252" s="486"/>
      <c r="T252" s="487"/>
      <c r="U252" s="486"/>
      <c r="V252" s="441"/>
      <c r="W252" s="441"/>
      <c r="X252" s="415"/>
    </row>
    <row r="253" spans="1:25" x14ac:dyDescent="0.3">
      <c r="A253" s="515"/>
      <c r="B253" s="523" t="s">
        <v>162</v>
      </c>
      <c r="C253" s="524"/>
      <c r="D253" s="524"/>
      <c r="E253" s="524"/>
      <c r="F253" s="534"/>
      <c r="G253" s="524"/>
      <c r="H253" s="524"/>
      <c r="I253" s="524"/>
      <c r="J253" s="524"/>
      <c r="K253" s="524"/>
      <c r="L253" s="524"/>
      <c r="M253" s="524"/>
      <c r="N253" s="524"/>
      <c r="O253" s="524"/>
      <c r="P253" s="524"/>
      <c r="Q253" s="524"/>
      <c r="R253" s="534" t="s">
        <v>102</v>
      </c>
      <c r="S253" s="524" t="s">
        <v>103</v>
      </c>
      <c r="T253" s="534" t="s">
        <v>109</v>
      </c>
      <c r="U253" s="524" t="s">
        <v>103</v>
      </c>
      <c r="V253" s="517"/>
      <c r="W253" s="535"/>
      <c r="X253" s="415"/>
    </row>
    <row r="254" spans="1:25" s="544" customFormat="1" x14ac:dyDescent="0.3">
      <c r="A254" s="540"/>
      <c r="B254" s="600" t="s">
        <v>88</v>
      </c>
      <c r="C254" s="627"/>
      <c r="D254" s="627"/>
      <c r="E254" s="627"/>
      <c r="F254" s="588"/>
      <c r="G254" s="627"/>
      <c r="H254" s="627"/>
      <c r="I254" s="627"/>
      <c r="J254" s="627"/>
      <c r="K254" s="627"/>
      <c r="L254" s="627"/>
      <c r="M254" s="627"/>
      <c r="N254" s="627"/>
      <c r="O254" s="627"/>
      <c r="P254" s="627"/>
      <c r="Q254" s="627"/>
      <c r="R254" s="600">
        <v>6076</v>
      </c>
      <c r="S254" s="628">
        <f t="shared" ref="S254:S261" si="5">R254/$R$263</f>
        <v>0.99852095316351686</v>
      </c>
      <c r="T254" s="601">
        <v>834142</v>
      </c>
      <c r="U254" s="628">
        <f t="shared" ref="U254:U261" si="6">T254/$T$263</f>
        <v>0.99867823371797049</v>
      </c>
      <c r="V254" s="616"/>
      <c r="W254" s="629"/>
      <c r="X254" s="543"/>
    </row>
    <row r="255" spans="1:25" s="544" customFormat="1" x14ac:dyDescent="0.3">
      <c r="A255" s="555"/>
      <c r="B255" s="598" t="s">
        <v>89</v>
      </c>
      <c r="C255" s="630"/>
      <c r="D255" s="630"/>
      <c r="E255" s="630"/>
      <c r="F255" s="556"/>
      <c r="G255" s="631"/>
      <c r="H255" s="630"/>
      <c r="I255" s="630"/>
      <c r="J255" s="630"/>
      <c r="K255" s="630"/>
      <c r="L255" s="630"/>
      <c r="M255" s="630"/>
      <c r="N255" s="630"/>
      <c r="O255" s="630"/>
      <c r="P255" s="630"/>
      <c r="Q255" s="630"/>
      <c r="R255" s="598">
        <v>6</v>
      </c>
      <c r="S255" s="631">
        <f t="shared" si="5"/>
        <v>9.8603122432210349E-4</v>
      </c>
      <c r="T255" s="599">
        <v>533</v>
      </c>
      <c r="U255" s="631">
        <f t="shared" si="6"/>
        <v>6.3813535174068483E-4</v>
      </c>
      <c r="V255" s="621"/>
      <c r="W255" s="624"/>
      <c r="X255" s="543"/>
      <c r="Y255" s="604"/>
    </row>
    <row r="256" spans="1:25" s="544" customFormat="1" x14ac:dyDescent="0.3">
      <c r="A256" s="555"/>
      <c r="B256" s="598" t="s">
        <v>90</v>
      </c>
      <c r="C256" s="630"/>
      <c r="D256" s="630"/>
      <c r="E256" s="630"/>
      <c r="F256" s="556"/>
      <c r="G256" s="631"/>
      <c r="H256" s="630"/>
      <c r="I256" s="630"/>
      <c r="J256" s="630"/>
      <c r="K256" s="630"/>
      <c r="L256" s="630"/>
      <c r="M256" s="630"/>
      <c r="N256" s="630"/>
      <c r="O256" s="630"/>
      <c r="P256" s="630"/>
      <c r="Q256" s="630"/>
      <c r="R256" s="598">
        <v>3</v>
      </c>
      <c r="S256" s="631">
        <f t="shared" si="5"/>
        <v>4.9301561216105174E-4</v>
      </c>
      <c r="T256" s="599">
        <v>571</v>
      </c>
      <c r="U256" s="631">
        <f t="shared" si="6"/>
        <v>6.8363093028880114E-4</v>
      </c>
      <c r="V256" s="621"/>
      <c r="W256" s="624"/>
      <c r="X256" s="543"/>
    </row>
    <row r="257" spans="1:25" s="544" customFormat="1" x14ac:dyDescent="0.3">
      <c r="A257" s="555"/>
      <c r="B257" s="598" t="s">
        <v>156</v>
      </c>
      <c r="C257" s="630"/>
      <c r="D257" s="630"/>
      <c r="E257" s="630"/>
      <c r="F257" s="556"/>
      <c r="G257" s="631"/>
      <c r="H257" s="630"/>
      <c r="I257" s="630"/>
      <c r="J257" s="630"/>
      <c r="K257" s="630"/>
      <c r="L257" s="630"/>
      <c r="M257" s="630"/>
      <c r="N257" s="630"/>
      <c r="O257" s="630"/>
      <c r="P257" s="630"/>
      <c r="Q257" s="630"/>
      <c r="R257" s="598">
        <v>0</v>
      </c>
      <c r="S257" s="631">
        <f t="shared" si="5"/>
        <v>0</v>
      </c>
      <c r="T257" s="599">
        <v>0</v>
      </c>
      <c r="U257" s="631">
        <f t="shared" si="6"/>
        <v>0</v>
      </c>
      <c r="V257" s="621"/>
      <c r="W257" s="624"/>
      <c r="X257" s="543"/>
      <c r="Y257" s="604"/>
    </row>
    <row r="258" spans="1:25" s="544" customFormat="1" x14ac:dyDescent="0.3">
      <c r="A258" s="555"/>
      <c r="B258" s="598" t="s">
        <v>157</v>
      </c>
      <c r="C258" s="630"/>
      <c r="D258" s="630"/>
      <c r="E258" s="630"/>
      <c r="F258" s="556"/>
      <c r="G258" s="631"/>
      <c r="H258" s="630"/>
      <c r="I258" s="630"/>
      <c r="J258" s="630"/>
      <c r="K258" s="630"/>
      <c r="L258" s="630"/>
      <c r="M258" s="630"/>
      <c r="N258" s="630"/>
      <c r="O258" s="630"/>
      <c r="P258" s="630"/>
      <c r="Q258" s="630"/>
      <c r="R258" s="598">
        <v>0</v>
      </c>
      <c r="S258" s="631">
        <f t="shared" si="5"/>
        <v>0</v>
      </c>
      <c r="T258" s="599">
        <v>0</v>
      </c>
      <c r="U258" s="631">
        <f t="shared" si="6"/>
        <v>0</v>
      </c>
      <c r="V258" s="621"/>
      <c r="W258" s="624"/>
      <c r="X258" s="543"/>
    </row>
    <row r="259" spans="1:25" s="544" customFormat="1" x14ac:dyDescent="0.3">
      <c r="A259" s="555"/>
      <c r="B259" s="598" t="s">
        <v>158</v>
      </c>
      <c r="C259" s="630"/>
      <c r="D259" s="630"/>
      <c r="E259" s="630"/>
      <c r="F259" s="556"/>
      <c r="G259" s="631"/>
      <c r="H259" s="630"/>
      <c r="I259" s="630"/>
      <c r="J259" s="630"/>
      <c r="K259" s="630"/>
      <c r="L259" s="630"/>
      <c r="M259" s="630"/>
      <c r="N259" s="630"/>
      <c r="O259" s="630"/>
      <c r="P259" s="630"/>
      <c r="Q259" s="630"/>
      <c r="R259" s="598">
        <v>0</v>
      </c>
      <c r="S259" s="631">
        <f t="shared" si="5"/>
        <v>0</v>
      </c>
      <c r="T259" s="599">
        <v>0</v>
      </c>
      <c r="U259" s="631">
        <f t="shared" si="6"/>
        <v>0</v>
      </c>
      <c r="V259" s="621"/>
      <c r="W259" s="624"/>
      <c r="X259" s="543"/>
      <c r="Y259" s="604"/>
    </row>
    <row r="260" spans="1:25" s="544" customFormat="1" x14ac:dyDescent="0.3">
      <c r="A260" s="555"/>
      <c r="B260" s="598" t="s">
        <v>159</v>
      </c>
      <c r="C260" s="630"/>
      <c r="D260" s="630"/>
      <c r="E260" s="630"/>
      <c r="F260" s="556"/>
      <c r="G260" s="631"/>
      <c r="H260" s="630"/>
      <c r="I260" s="630"/>
      <c r="J260" s="630"/>
      <c r="K260" s="630"/>
      <c r="L260" s="630"/>
      <c r="M260" s="630"/>
      <c r="N260" s="630"/>
      <c r="O260" s="630"/>
      <c r="P260" s="630"/>
      <c r="Q260" s="630"/>
      <c r="R260" s="598">
        <v>0</v>
      </c>
      <c r="S260" s="631">
        <f t="shared" si="5"/>
        <v>0</v>
      </c>
      <c r="T260" s="599">
        <v>0</v>
      </c>
      <c r="U260" s="631">
        <f t="shared" si="6"/>
        <v>0</v>
      </c>
      <c r="V260" s="621"/>
      <c r="W260" s="624"/>
      <c r="X260" s="543"/>
    </row>
    <row r="261" spans="1:25" s="544" customFormat="1" x14ac:dyDescent="0.3">
      <c r="A261" s="555"/>
      <c r="B261" s="598" t="s">
        <v>160</v>
      </c>
      <c r="C261" s="630"/>
      <c r="D261" s="630"/>
      <c r="E261" s="630"/>
      <c r="F261" s="556"/>
      <c r="G261" s="631"/>
      <c r="H261" s="630"/>
      <c r="I261" s="630"/>
      <c r="J261" s="630"/>
      <c r="K261" s="630"/>
      <c r="L261" s="630"/>
      <c r="M261" s="630"/>
      <c r="N261" s="630"/>
      <c r="O261" s="630"/>
      <c r="P261" s="630"/>
      <c r="Q261" s="630"/>
      <c r="R261" s="598">
        <v>0</v>
      </c>
      <c r="S261" s="631">
        <f t="shared" si="5"/>
        <v>0</v>
      </c>
      <c r="T261" s="599">
        <v>0</v>
      </c>
      <c r="U261" s="631">
        <f t="shared" si="6"/>
        <v>0</v>
      </c>
      <c r="V261" s="621"/>
      <c r="W261" s="624"/>
      <c r="X261" s="543"/>
      <c r="Y261" s="604"/>
    </row>
    <row r="262" spans="1:25" s="544" customFormat="1" x14ac:dyDescent="0.3">
      <c r="A262" s="555"/>
      <c r="B262" s="598"/>
      <c r="C262" s="630"/>
      <c r="D262" s="630"/>
      <c r="E262" s="630"/>
      <c r="F262" s="556"/>
      <c r="G262" s="631"/>
      <c r="H262" s="630"/>
      <c r="I262" s="630"/>
      <c r="J262" s="630"/>
      <c r="K262" s="630"/>
      <c r="L262" s="630"/>
      <c r="M262" s="630"/>
      <c r="N262" s="630"/>
      <c r="O262" s="630"/>
      <c r="P262" s="630"/>
      <c r="Q262" s="630"/>
      <c r="R262" s="598"/>
      <c r="S262" s="631"/>
      <c r="T262" s="599"/>
      <c r="U262" s="631"/>
      <c r="V262" s="621"/>
      <c r="W262" s="624"/>
      <c r="X262" s="543"/>
    </row>
    <row r="263" spans="1:25" s="544" customFormat="1" x14ac:dyDescent="0.3">
      <c r="A263" s="555"/>
      <c r="B263" s="556"/>
      <c r="C263" s="556"/>
      <c r="D263" s="556"/>
      <c r="E263" s="556"/>
      <c r="F263" s="556"/>
      <c r="G263" s="556"/>
      <c r="H263" s="632"/>
      <c r="I263" s="632"/>
      <c r="J263" s="632"/>
      <c r="K263" s="632"/>
      <c r="L263" s="632"/>
      <c r="M263" s="632"/>
      <c r="N263" s="632"/>
      <c r="O263" s="632"/>
      <c r="P263" s="632"/>
      <c r="Q263" s="632"/>
      <c r="R263" s="598">
        <f>SUM(R254:R262)</f>
        <v>6085</v>
      </c>
      <c r="S263" s="631">
        <f>SUM(S254:S262)</f>
        <v>1</v>
      </c>
      <c r="T263" s="599">
        <f>SUM(T254:T262)</f>
        <v>835246</v>
      </c>
      <c r="U263" s="631">
        <f>SUM(U254:U262)</f>
        <v>1</v>
      </c>
      <c r="V263" s="556"/>
      <c r="W263" s="558"/>
      <c r="X263" s="543"/>
    </row>
    <row r="264" spans="1:25" x14ac:dyDescent="0.3">
      <c r="A264" s="417"/>
      <c r="B264" s="441"/>
      <c r="C264" s="441"/>
      <c r="D264" s="441"/>
      <c r="E264" s="441"/>
      <c r="F264" s="441"/>
      <c r="G264" s="441"/>
      <c r="H264" s="485"/>
      <c r="I264" s="485"/>
      <c r="J264" s="485"/>
      <c r="K264" s="485"/>
      <c r="L264" s="485"/>
      <c r="M264" s="485"/>
      <c r="N264" s="485"/>
      <c r="O264" s="485"/>
      <c r="P264" s="485"/>
      <c r="Q264" s="485"/>
      <c r="R264" s="442"/>
      <c r="S264" s="486"/>
      <c r="T264" s="487"/>
      <c r="U264" s="486"/>
      <c r="V264" s="441"/>
      <c r="W264" s="441"/>
      <c r="X264" s="415"/>
    </row>
    <row r="265" spans="1:25" x14ac:dyDescent="0.3">
      <c r="A265" s="515"/>
      <c r="B265" s="523" t="s">
        <v>275</v>
      </c>
      <c r="C265" s="524"/>
      <c r="D265" s="524"/>
      <c r="E265" s="524"/>
      <c r="F265" s="534"/>
      <c r="G265" s="524"/>
      <c r="H265" s="524"/>
      <c r="I265" s="524"/>
      <c r="J265" s="524"/>
      <c r="K265" s="524"/>
      <c r="L265" s="524"/>
      <c r="M265" s="524"/>
      <c r="N265" s="524"/>
      <c r="O265" s="524"/>
      <c r="P265" s="524"/>
      <c r="Q265" s="524"/>
      <c r="R265" s="534" t="s">
        <v>102</v>
      </c>
      <c r="S265" s="524" t="s">
        <v>103</v>
      </c>
      <c r="T265" s="534" t="s">
        <v>109</v>
      </c>
      <c r="U265" s="524" t="s">
        <v>103</v>
      </c>
      <c r="V265" s="517"/>
      <c r="W265" s="520"/>
      <c r="X265" s="415"/>
    </row>
    <row r="266" spans="1:25" s="544" customFormat="1" x14ac:dyDescent="0.3">
      <c r="A266" s="540"/>
      <c r="B266" s="600" t="s">
        <v>88</v>
      </c>
      <c r="C266" s="627"/>
      <c r="D266" s="627"/>
      <c r="E266" s="627"/>
      <c r="F266" s="588"/>
      <c r="G266" s="627"/>
      <c r="H266" s="627"/>
      <c r="I266" s="627"/>
      <c r="J266" s="627"/>
      <c r="K266" s="627"/>
      <c r="L266" s="627"/>
      <c r="M266" s="627"/>
      <c r="N266" s="627"/>
      <c r="O266" s="627"/>
      <c r="P266" s="627"/>
      <c r="Q266" s="627"/>
      <c r="R266" s="600">
        <v>109</v>
      </c>
      <c r="S266" s="628">
        <f t="shared" ref="S266:S273" si="7">R266/$R$275</f>
        <v>0.93162393162393164</v>
      </c>
      <c r="T266" s="601">
        <v>15851</v>
      </c>
      <c r="U266" s="628">
        <f t="shared" ref="U266:U273" si="8">T266/$T$275</f>
        <v>0.9336749720209695</v>
      </c>
      <c r="V266" s="588"/>
      <c r="W266" s="588"/>
      <c r="X266" s="543"/>
    </row>
    <row r="267" spans="1:25" s="544" customFormat="1" x14ac:dyDescent="0.3">
      <c r="A267" s="555"/>
      <c r="B267" s="598" t="s">
        <v>89</v>
      </c>
      <c r="C267" s="630"/>
      <c r="D267" s="630"/>
      <c r="E267" s="630"/>
      <c r="F267" s="556"/>
      <c r="G267" s="631"/>
      <c r="H267" s="630"/>
      <c r="I267" s="630"/>
      <c r="J267" s="630"/>
      <c r="K267" s="630"/>
      <c r="L267" s="630"/>
      <c r="M267" s="630"/>
      <c r="N267" s="630"/>
      <c r="O267" s="630"/>
      <c r="P267" s="630"/>
      <c r="Q267" s="630"/>
      <c r="R267" s="598">
        <v>0</v>
      </c>
      <c r="S267" s="631">
        <f t="shared" si="7"/>
        <v>0</v>
      </c>
      <c r="T267" s="599">
        <v>0</v>
      </c>
      <c r="U267" s="631">
        <f t="shared" si="8"/>
        <v>0</v>
      </c>
      <c r="V267" s="556"/>
      <c r="W267" s="558"/>
      <c r="X267" s="543"/>
    </row>
    <row r="268" spans="1:25" s="544" customFormat="1" x14ac:dyDescent="0.3">
      <c r="A268" s="555"/>
      <c r="B268" s="598" t="s">
        <v>90</v>
      </c>
      <c r="C268" s="630"/>
      <c r="D268" s="630"/>
      <c r="E268" s="630"/>
      <c r="F268" s="556"/>
      <c r="G268" s="631"/>
      <c r="H268" s="630"/>
      <c r="I268" s="630"/>
      <c r="J268" s="630"/>
      <c r="K268" s="630"/>
      <c r="L268" s="630"/>
      <c r="M268" s="630"/>
      <c r="N268" s="630"/>
      <c r="O268" s="630"/>
      <c r="P268" s="630"/>
      <c r="Q268" s="630"/>
      <c r="R268" s="598">
        <v>2</v>
      </c>
      <c r="S268" s="631">
        <f t="shared" si="7"/>
        <v>1.7094017094017096E-2</v>
      </c>
      <c r="T268" s="599">
        <v>352</v>
      </c>
      <c r="U268" s="631">
        <f t="shared" si="8"/>
        <v>2.0733934146197796E-2</v>
      </c>
      <c r="V268" s="556"/>
      <c r="W268" s="558"/>
      <c r="X268" s="543"/>
    </row>
    <row r="269" spans="1:25" s="544" customFormat="1" x14ac:dyDescent="0.3">
      <c r="A269" s="555"/>
      <c r="B269" s="598" t="s">
        <v>156</v>
      </c>
      <c r="C269" s="630"/>
      <c r="D269" s="630"/>
      <c r="E269" s="630"/>
      <c r="F269" s="556"/>
      <c r="G269" s="631"/>
      <c r="H269" s="630"/>
      <c r="I269" s="630"/>
      <c r="J269" s="630"/>
      <c r="K269" s="630"/>
      <c r="L269" s="630"/>
      <c r="M269" s="630"/>
      <c r="N269" s="630"/>
      <c r="O269" s="630"/>
      <c r="P269" s="630"/>
      <c r="Q269" s="630"/>
      <c r="R269" s="598">
        <v>2</v>
      </c>
      <c r="S269" s="631">
        <f t="shared" si="7"/>
        <v>1.7094017094017096E-2</v>
      </c>
      <c r="T269" s="599">
        <v>212</v>
      </c>
      <c r="U269" s="631">
        <f t="shared" si="8"/>
        <v>1.2487483065323672E-2</v>
      </c>
      <c r="V269" s="556"/>
      <c r="W269" s="558"/>
      <c r="X269" s="543"/>
    </row>
    <row r="270" spans="1:25" s="544" customFormat="1" x14ac:dyDescent="0.3">
      <c r="A270" s="555"/>
      <c r="B270" s="598" t="s">
        <v>157</v>
      </c>
      <c r="C270" s="630"/>
      <c r="D270" s="630"/>
      <c r="E270" s="630"/>
      <c r="F270" s="556"/>
      <c r="G270" s="631"/>
      <c r="H270" s="630"/>
      <c r="I270" s="630"/>
      <c r="J270" s="630"/>
      <c r="K270" s="630"/>
      <c r="L270" s="630"/>
      <c r="M270" s="630"/>
      <c r="N270" s="630"/>
      <c r="O270" s="630"/>
      <c r="P270" s="630"/>
      <c r="Q270" s="630"/>
      <c r="R270" s="598">
        <v>1</v>
      </c>
      <c r="S270" s="631">
        <f t="shared" si="7"/>
        <v>8.5470085470085479E-3</v>
      </c>
      <c r="T270" s="599">
        <v>97</v>
      </c>
      <c r="U270" s="631">
        <f t="shared" si="8"/>
        <v>5.7136125346056426E-3</v>
      </c>
      <c r="V270" s="556"/>
      <c r="W270" s="558"/>
      <c r="X270" s="543"/>
    </row>
    <row r="271" spans="1:25" s="544" customFormat="1" x14ac:dyDescent="0.3">
      <c r="A271" s="555"/>
      <c r="B271" s="598" t="s">
        <v>158</v>
      </c>
      <c r="C271" s="630"/>
      <c r="D271" s="630"/>
      <c r="E271" s="630"/>
      <c r="F271" s="556"/>
      <c r="G271" s="631"/>
      <c r="H271" s="630"/>
      <c r="I271" s="630"/>
      <c r="J271" s="630"/>
      <c r="K271" s="630"/>
      <c r="L271" s="630"/>
      <c r="M271" s="630"/>
      <c r="N271" s="630"/>
      <c r="O271" s="630"/>
      <c r="P271" s="630"/>
      <c r="Q271" s="630"/>
      <c r="R271" s="598">
        <v>0</v>
      </c>
      <c r="S271" s="631">
        <f t="shared" si="7"/>
        <v>0</v>
      </c>
      <c r="T271" s="599">
        <v>0</v>
      </c>
      <c r="U271" s="631">
        <f t="shared" si="8"/>
        <v>0</v>
      </c>
      <c r="V271" s="556"/>
      <c r="W271" s="558"/>
      <c r="X271" s="543"/>
    </row>
    <row r="272" spans="1:25" s="544" customFormat="1" x14ac:dyDescent="0.3">
      <c r="A272" s="555"/>
      <c r="B272" s="598" t="s">
        <v>159</v>
      </c>
      <c r="C272" s="630"/>
      <c r="D272" s="630"/>
      <c r="E272" s="630"/>
      <c r="F272" s="556"/>
      <c r="G272" s="631"/>
      <c r="H272" s="630"/>
      <c r="I272" s="630"/>
      <c r="J272" s="630"/>
      <c r="K272" s="630"/>
      <c r="L272" s="630"/>
      <c r="M272" s="630"/>
      <c r="N272" s="630"/>
      <c r="O272" s="630"/>
      <c r="P272" s="630"/>
      <c r="Q272" s="630"/>
      <c r="R272" s="598">
        <v>1</v>
      </c>
      <c r="S272" s="631">
        <f t="shared" si="7"/>
        <v>8.5470085470085479E-3</v>
      </c>
      <c r="T272" s="599">
        <v>102</v>
      </c>
      <c r="U272" s="631">
        <f t="shared" si="8"/>
        <v>6.0081286446368619E-3</v>
      </c>
      <c r="V272" s="556"/>
      <c r="W272" s="558"/>
      <c r="X272" s="543"/>
    </row>
    <row r="273" spans="1:24" s="544" customFormat="1" x14ac:dyDescent="0.3">
      <c r="A273" s="555"/>
      <c r="B273" s="598" t="s">
        <v>160</v>
      </c>
      <c r="C273" s="630"/>
      <c r="D273" s="630"/>
      <c r="E273" s="630"/>
      <c r="F273" s="556"/>
      <c r="G273" s="631"/>
      <c r="H273" s="630"/>
      <c r="I273" s="630"/>
      <c r="J273" s="630"/>
      <c r="K273" s="630"/>
      <c r="L273" s="630"/>
      <c r="M273" s="630"/>
      <c r="N273" s="630"/>
      <c r="O273" s="630"/>
      <c r="P273" s="630"/>
      <c r="Q273" s="630"/>
      <c r="R273" s="598">
        <v>2</v>
      </c>
      <c r="S273" s="631">
        <f t="shared" si="7"/>
        <v>1.7094017094017096E-2</v>
      </c>
      <c r="T273" s="599">
        <v>363</v>
      </c>
      <c r="U273" s="631">
        <f t="shared" si="8"/>
        <v>2.1381869588266478E-2</v>
      </c>
      <c r="V273" s="556"/>
      <c r="W273" s="558"/>
      <c r="X273" s="543"/>
    </row>
    <row r="274" spans="1:24" s="544" customFormat="1" x14ac:dyDescent="0.3">
      <c r="A274" s="555"/>
      <c r="B274" s="598"/>
      <c r="C274" s="630"/>
      <c r="D274" s="630"/>
      <c r="E274" s="630"/>
      <c r="F274" s="556"/>
      <c r="G274" s="631"/>
      <c r="H274" s="630"/>
      <c r="I274" s="630"/>
      <c r="J274" s="630"/>
      <c r="K274" s="630"/>
      <c r="L274" s="630"/>
      <c r="M274" s="630"/>
      <c r="N274" s="630"/>
      <c r="O274" s="630"/>
      <c r="P274" s="630"/>
      <c r="Q274" s="630"/>
      <c r="R274" s="598"/>
      <c r="S274" s="631"/>
      <c r="T274" s="599"/>
      <c r="U274" s="631"/>
      <c r="V274" s="556"/>
      <c r="W274" s="558"/>
      <c r="X274" s="543"/>
    </row>
    <row r="275" spans="1:24" s="544" customFormat="1" x14ac:dyDescent="0.3">
      <c r="A275" s="555"/>
      <c r="B275" s="556"/>
      <c r="C275" s="556"/>
      <c r="D275" s="556"/>
      <c r="E275" s="556"/>
      <c r="F275" s="556"/>
      <c r="G275" s="556"/>
      <c r="H275" s="632"/>
      <c r="I275" s="632"/>
      <c r="J275" s="632"/>
      <c r="K275" s="632"/>
      <c r="L275" s="632"/>
      <c r="M275" s="632"/>
      <c r="N275" s="632"/>
      <c r="O275" s="632"/>
      <c r="P275" s="632"/>
      <c r="Q275" s="632"/>
      <c r="R275" s="598">
        <f>SUM(R266:R274)</f>
        <v>117</v>
      </c>
      <c r="S275" s="631">
        <f>SUM(S266:S274)</f>
        <v>1</v>
      </c>
      <c r="T275" s="599">
        <f>SUM(T266:T274)</f>
        <v>16977</v>
      </c>
      <c r="U275" s="631">
        <f>SUM(U266:U274)</f>
        <v>1</v>
      </c>
      <c r="V275" s="556"/>
      <c r="W275" s="558"/>
      <c r="X275" s="543"/>
    </row>
    <row r="276" spans="1:24" x14ac:dyDescent="0.3">
      <c r="A276" s="417"/>
      <c r="B276" s="437"/>
      <c r="C276" s="437"/>
      <c r="D276" s="437"/>
      <c r="E276" s="437"/>
      <c r="F276" s="437"/>
      <c r="G276" s="437"/>
      <c r="H276" s="488"/>
      <c r="I276" s="488"/>
      <c r="J276" s="488"/>
      <c r="K276" s="488"/>
      <c r="L276" s="488"/>
      <c r="M276" s="488"/>
      <c r="N276" s="488"/>
      <c r="O276" s="488"/>
      <c r="P276" s="488"/>
      <c r="Q276" s="488"/>
      <c r="R276" s="447"/>
      <c r="S276" s="483"/>
      <c r="T276" s="484"/>
      <c r="U276" s="483"/>
      <c r="V276" s="437"/>
      <c r="W276" s="437"/>
      <c r="X276" s="415"/>
    </row>
    <row r="277" spans="1:24" x14ac:dyDescent="0.3">
      <c r="A277" s="515"/>
      <c r="B277" s="523" t="s">
        <v>163</v>
      </c>
      <c r="C277" s="517"/>
      <c r="D277" s="517"/>
      <c r="E277" s="517"/>
      <c r="F277" s="517"/>
      <c r="G277" s="517"/>
      <c r="H277" s="536"/>
      <c r="I277" s="536"/>
      <c r="J277" s="536"/>
      <c r="K277" s="536"/>
      <c r="L277" s="536"/>
      <c r="M277" s="536"/>
      <c r="N277" s="536"/>
      <c r="O277" s="536"/>
      <c r="P277" s="536"/>
      <c r="Q277" s="536"/>
      <c r="R277" s="534" t="s">
        <v>102</v>
      </c>
      <c r="S277" s="524" t="s">
        <v>103</v>
      </c>
      <c r="T277" s="534" t="s">
        <v>109</v>
      </c>
      <c r="U277" s="524" t="s">
        <v>103</v>
      </c>
      <c r="V277" s="517"/>
      <c r="W277" s="520"/>
      <c r="X277" s="415"/>
    </row>
    <row r="278" spans="1:24" s="544" customFormat="1" x14ac:dyDescent="0.3">
      <c r="A278" s="540"/>
      <c r="B278" s="600" t="s">
        <v>88</v>
      </c>
      <c r="C278" s="588"/>
      <c r="D278" s="588"/>
      <c r="E278" s="588"/>
      <c r="F278" s="588"/>
      <c r="G278" s="588"/>
      <c r="H278" s="633"/>
      <c r="I278" s="633"/>
      <c r="J278" s="633"/>
      <c r="K278" s="633"/>
      <c r="L278" s="633"/>
      <c r="M278" s="633"/>
      <c r="N278" s="633"/>
      <c r="O278" s="633"/>
      <c r="P278" s="633"/>
      <c r="Q278" s="633"/>
      <c r="R278" s="600">
        <v>0</v>
      </c>
      <c r="S278" s="628">
        <v>0</v>
      </c>
      <c r="T278" s="601">
        <v>0</v>
      </c>
      <c r="U278" s="628">
        <v>0</v>
      </c>
      <c r="V278" s="588"/>
      <c r="W278" s="588"/>
      <c r="X278" s="543"/>
    </row>
    <row r="279" spans="1:24" s="544" customFormat="1" x14ac:dyDescent="0.3">
      <c r="A279" s="555"/>
      <c r="B279" s="598" t="s">
        <v>89</v>
      </c>
      <c r="C279" s="556"/>
      <c r="D279" s="556"/>
      <c r="E279" s="556"/>
      <c r="F279" s="556"/>
      <c r="G279" s="556"/>
      <c r="H279" s="632"/>
      <c r="I279" s="632"/>
      <c r="J279" s="632"/>
      <c r="K279" s="632"/>
      <c r="L279" s="632"/>
      <c r="M279" s="632"/>
      <c r="N279" s="632"/>
      <c r="O279" s="632"/>
      <c r="P279" s="632"/>
      <c r="Q279" s="632"/>
      <c r="R279" s="598">
        <v>0</v>
      </c>
      <c r="S279" s="631">
        <v>0</v>
      </c>
      <c r="T279" s="599">
        <v>0</v>
      </c>
      <c r="U279" s="631">
        <v>0</v>
      </c>
      <c r="V279" s="556"/>
      <c r="W279" s="558"/>
      <c r="X279" s="543"/>
    </row>
    <row r="280" spans="1:24" s="544" customFormat="1" x14ac:dyDescent="0.3">
      <c r="A280" s="555"/>
      <c r="B280" s="598" t="s">
        <v>90</v>
      </c>
      <c r="C280" s="556"/>
      <c r="D280" s="556"/>
      <c r="E280" s="556"/>
      <c r="F280" s="556"/>
      <c r="G280" s="556"/>
      <c r="H280" s="632"/>
      <c r="I280" s="632"/>
      <c r="J280" s="632"/>
      <c r="K280" s="632"/>
      <c r="L280" s="632"/>
      <c r="M280" s="632"/>
      <c r="N280" s="632"/>
      <c r="O280" s="632"/>
      <c r="P280" s="632"/>
      <c r="Q280" s="632"/>
      <c r="R280" s="598">
        <v>0</v>
      </c>
      <c r="S280" s="631">
        <v>0</v>
      </c>
      <c r="T280" s="599">
        <v>0</v>
      </c>
      <c r="U280" s="631">
        <v>0</v>
      </c>
      <c r="V280" s="556"/>
      <c r="W280" s="558"/>
      <c r="X280" s="543"/>
    </row>
    <row r="281" spans="1:24" s="544" customFormat="1" x14ac:dyDescent="0.3">
      <c r="A281" s="555"/>
      <c r="B281" s="598" t="s">
        <v>156</v>
      </c>
      <c r="C281" s="556"/>
      <c r="D281" s="556"/>
      <c r="E281" s="556"/>
      <c r="F281" s="556"/>
      <c r="G281" s="556"/>
      <c r="H281" s="632"/>
      <c r="I281" s="632"/>
      <c r="J281" s="632"/>
      <c r="K281" s="632"/>
      <c r="L281" s="632"/>
      <c r="M281" s="632"/>
      <c r="N281" s="632"/>
      <c r="O281" s="632"/>
      <c r="P281" s="632"/>
      <c r="Q281" s="632"/>
      <c r="R281" s="598">
        <v>0</v>
      </c>
      <c r="S281" s="631">
        <v>0</v>
      </c>
      <c r="T281" s="599">
        <v>0</v>
      </c>
      <c r="U281" s="631">
        <v>0</v>
      </c>
      <c r="V281" s="556"/>
      <c r="W281" s="558"/>
      <c r="X281" s="543"/>
    </row>
    <row r="282" spans="1:24" s="544" customFormat="1" x14ac:dyDescent="0.3">
      <c r="A282" s="555"/>
      <c r="B282" s="598" t="s">
        <v>157</v>
      </c>
      <c r="C282" s="556"/>
      <c r="D282" s="556"/>
      <c r="E282" s="556"/>
      <c r="F282" s="556"/>
      <c r="G282" s="556"/>
      <c r="H282" s="632"/>
      <c r="I282" s="632"/>
      <c r="J282" s="632"/>
      <c r="K282" s="632"/>
      <c r="L282" s="632"/>
      <c r="M282" s="632"/>
      <c r="N282" s="632"/>
      <c r="O282" s="632"/>
      <c r="P282" s="632"/>
      <c r="Q282" s="632"/>
      <c r="R282" s="598">
        <v>0</v>
      </c>
      <c r="S282" s="631">
        <v>0</v>
      </c>
      <c r="T282" s="599">
        <v>0</v>
      </c>
      <c r="U282" s="631">
        <v>0</v>
      </c>
      <c r="V282" s="556"/>
      <c r="W282" s="558"/>
      <c r="X282" s="543"/>
    </row>
    <row r="283" spans="1:24" s="544" customFormat="1" x14ac:dyDescent="0.3">
      <c r="A283" s="555"/>
      <c r="B283" s="598" t="s">
        <v>158</v>
      </c>
      <c r="C283" s="556"/>
      <c r="D283" s="556"/>
      <c r="E283" s="556"/>
      <c r="F283" s="556"/>
      <c r="G283" s="556"/>
      <c r="H283" s="632"/>
      <c r="I283" s="632"/>
      <c r="J283" s="632"/>
      <c r="K283" s="632"/>
      <c r="L283" s="632"/>
      <c r="M283" s="632"/>
      <c r="N283" s="632"/>
      <c r="O283" s="632"/>
      <c r="P283" s="632"/>
      <c r="Q283" s="632"/>
      <c r="R283" s="598">
        <v>0</v>
      </c>
      <c r="S283" s="631">
        <v>0</v>
      </c>
      <c r="T283" s="599">
        <v>0</v>
      </c>
      <c r="U283" s="631">
        <v>0</v>
      </c>
      <c r="V283" s="556"/>
      <c r="W283" s="558"/>
      <c r="X283" s="543"/>
    </row>
    <row r="284" spans="1:24" s="544" customFormat="1" x14ac:dyDescent="0.3">
      <c r="A284" s="555"/>
      <c r="B284" s="598" t="s">
        <v>159</v>
      </c>
      <c r="C284" s="556"/>
      <c r="D284" s="556"/>
      <c r="E284" s="556"/>
      <c r="F284" s="556"/>
      <c r="G284" s="556"/>
      <c r="H284" s="632"/>
      <c r="I284" s="632"/>
      <c r="J284" s="632"/>
      <c r="K284" s="632"/>
      <c r="L284" s="632"/>
      <c r="M284" s="632"/>
      <c r="N284" s="632"/>
      <c r="O284" s="632"/>
      <c r="P284" s="632"/>
      <c r="Q284" s="632"/>
      <c r="R284" s="598">
        <v>0</v>
      </c>
      <c r="S284" s="631">
        <v>0</v>
      </c>
      <c r="T284" s="599">
        <v>0</v>
      </c>
      <c r="U284" s="631">
        <v>0</v>
      </c>
      <c r="V284" s="556"/>
      <c r="W284" s="558"/>
      <c r="X284" s="543"/>
    </row>
    <row r="285" spans="1:24" s="544" customFormat="1" x14ac:dyDescent="0.3">
      <c r="A285" s="555"/>
      <c r="B285" s="598" t="s">
        <v>160</v>
      </c>
      <c r="C285" s="556"/>
      <c r="D285" s="556"/>
      <c r="E285" s="556"/>
      <c r="F285" s="556"/>
      <c r="G285" s="556"/>
      <c r="H285" s="632"/>
      <c r="I285" s="632"/>
      <c r="J285" s="632"/>
      <c r="K285" s="632"/>
      <c r="L285" s="632"/>
      <c r="M285" s="632"/>
      <c r="N285" s="632"/>
      <c r="O285" s="632"/>
      <c r="P285" s="632"/>
      <c r="Q285" s="632"/>
      <c r="R285" s="598">
        <v>0</v>
      </c>
      <c r="S285" s="631">
        <v>0</v>
      </c>
      <c r="T285" s="599">
        <v>0</v>
      </c>
      <c r="U285" s="631">
        <v>0</v>
      </c>
      <c r="V285" s="556"/>
      <c r="W285" s="558"/>
      <c r="X285" s="543"/>
    </row>
    <row r="286" spans="1:24" s="544" customFormat="1" x14ac:dyDescent="0.3">
      <c r="A286" s="555"/>
      <c r="B286" s="598"/>
      <c r="C286" s="556"/>
      <c r="D286" s="556"/>
      <c r="E286" s="556"/>
      <c r="F286" s="556"/>
      <c r="G286" s="556"/>
      <c r="H286" s="632"/>
      <c r="I286" s="632"/>
      <c r="J286" s="632"/>
      <c r="K286" s="632"/>
      <c r="L286" s="632"/>
      <c r="M286" s="632"/>
      <c r="N286" s="632"/>
      <c r="O286" s="632"/>
      <c r="P286" s="632"/>
      <c r="Q286" s="632"/>
      <c r="R286" s="598"/>
      <c r="S286" s="631"/>
      <c r="T286" s="599"/>
      <c r="U286" s="631"/>
      <c r="V286" s="556"/>
      <c r="W286" s="558"/>
      <c r="X286" s="543"/>
    </row>
    <row r="287" spans="1:24" s="544" customFormat="1" x14ac:dyDescent="0.3">
      <c r="A287" s="555"/>
      <c r="B287" s="556" t="s">
        <v>114</v>
      </c>
      <c r="C287" s="556"/>
      <c r="D287" s="556"/>
      <c r="E287" s="556"/>
      <c r="F287" s="556"/>
      <c r="G287" s="556"/>
      <c r="H287" s="632"/>
      <c r="I287" s="632"/>
      <c r="J287" s="632"/>
      <c r="K287" s="632"/>
      <c r="L287" s="632"/>
      <c r="M287" s="632"/>
      <c r="N287" s="632"/>
      <c r="O287" s="632"/>
      <c r="P287" s="632"/>
      <c r="Q287" s="632"/>
      <c r="R287" s="598">
        <f>SUM(R278:R285)</f>
        <v>0</v>
      </c>
      <c r="S287" s="631">
        <f>SUM(S278:S286)</f>
        <v>0</v>
      </c>
      <c r="T287" s="599">
        <f>SUM(T278:T285)</f>
        <v>0</v>
      </c>
      <c r="U287" s="631">
        <f>SUM(U278:U286)</f>
        <v>0</v>
      </c>
      <c r="V287" s="556"/>
      <c r="W287" s="558"/>
      <c r="X287" s="543"/>
    </row>
    <row r="288" spans="1:24" s="544" customFormat="1" x14ac:dyDescent="0.3">
      <c r="A288" s="555"/>
      <c r="B288" s="556"/>
      <c r="C288" s="556"/>
      <c r="D288" s="556"/>
      <c r="E288" s="556"/>
      <c r="F288" s="556"/>
      <c r="G288" s="556"/>
      <c r="H288" s="632"/>
      <c r="I288" s="632"/>
      <c r="J288" s="632"/>
      <c r="K288" s="632"/>
      <c r="L288" s="632"/>
      <c r="M288" s="632"/>
      <c r="N288" s="632"/>
      <c r="O288" s="632"/>
      <c r="P288" s="632"/>
      <c r="Q288" s="632"/>
      <c r="R288" s="598"/>
      <c r="S288" s="631"/>
      <c r="T288" s="599"/>
      <c r="U288" s="631"/>
      <c r="V288" s="556"/>
      <c r="W288" s="558"/>
      <c r="X288" s="543"/>
    </row>
    <row r="289" spans="1:24" s="544" customFormat="1" x14ac:dyDescent="0.3">
      <c r="A289" s="555"/>
      <c r="B289" s="561" t="s">
        <v>164</v>
      </c>
      <c r="C289" s="556"/>
      <c r="D289" s="556"/>
      <c r="E289" s="556"/>
      <c r="F289" s="556"/>
      <c r="G289" s="556"/>
      <c r="H289" s="632"/>
      <c r="I289" s="632"/>
      <c r="J289" s="632"/>
      <c r="K289" s="632"/>
      <c r="L289" s="632"/>
      <c r="M289" s="632"/>
      <c r="N289" s="632"/>
      <c r="O289" s="632"/>
      <c r="P289" s="632"/>
      <c r="Q289" s="632"/>
      <c r="R289" s="634">
        <f>R287+R275+R263</f>
        <v>6202</v>
      </c>
      <c r="S289" s="631"/>
      <c r="T289" s="635">
        <f>+T287+T275+T263</f>
        <v>852223</v>
      </c>
      <c r="U289" s="631"/>
      <c r="V289" s="556"/>
      <c r="W289" s="558"/>
      <c r="X289" s="543"/>
    </row>
    <row r="290" spans="1:24" s="544" customFormat="1" x14ac:dyDescent="0.3">
      <c r="A290" s="540"/>
      <c r="B290" s="588"/>
      <c r="C290" s="588"/>
      <c r="D290" s="588"/>
      <c r="E290" s="588"/>
      <c r="F290" s="588"/>
      <c r="G290" s="588"/>
      <c r="H290" s="633"/>
      <c r="I290" s="633"/>
      <c r="J290" s="633"/>
      <c r="K290" s="633"/>
      <c r="L290" s="633"/>
      <c r="M290" s="633"/>
      <c r="N290" s="633"/>
      <c r="O290" s="633"/>
      <c r="P290" s="633"/>
      <c r="Q290" s="633"/>
      <c r="R290" s="633"/>
      <c r="S290" s="633"/>
      <c r="T290" s="601"/>
      <c r="U290" s="633"/>
      <c r="V290" s="588"/>
      <c r="W290" s="588"/>
      <c r="X290" s="543"/>
    </row>
    <row r="291" spans="1:24" s="544" customFormat="1" x14ac:dyDescent="0.3">
      <c r="A291" s="540"/>
      <c r="B291" s="541"/>
      <c r="C291" s="541"/>
      <c r="D291" s="541"/>
      <c r="E291" s="541"/>
      <c r="F291" s="541"/>
      <c r="G291" s="541"/>
      <c r="H291" s="636"/>
      <c r="I291" s="636"/>
      <c r="J291" s="636"/>
      <c r="K291" s="636"/>
      <c r="L291" s="636"/>
      <c r="M291" s="636"/>
      <c r="N291" s="636"/>
      <c r="O291" s="636"/>
      <c r="P291" s="636"/>
      <c r="Q291" s="636"/>
      <c r="R291" s="636"/>
      <c r="S291" s="636"/>
      <c r="T291" s="637"/>
      <c r="U291" s="636"/>
      <c r="V291" s="541"/>
      <c r="W291" s="541"/>
      <c r="X291" s="543"/>
    </row>
    <row r="292" spans="1:24" s="544" customFormat="1" x14ac:dyDescent="0.3">
      <c r="A292" s="540"/>
      <c r="B292" s="539" t="s">
        <v>91</v>
      </c>
      <c r="C292" s="541"/>
      <c r="D292" s="541"/>
      <c r="E292" s="541"/>
      <c r="F292" s="547" t="s">
        <v>97</v>
      </c>
      <c r="G292" s="541"/>
      <c r="H292" s="539" t="s">
        <v>99</v>
      </c>
      <c r="I292" s="539"/>
      <c r="J292" s="539"/>
      <c r="K292" s="541"/>
      <c r="L292" s="541"/>
      <c r="M292" s="541"/>
      <c r="N292" s="541"/>
      <c r="O292" s="541"/>
      <c r="P292" s="541"/>
      <c r="Q292" s="541"/>
      <c r="R292" s="541"/>
      <c r="S292" s="541"/>
      <c r="T292" s="541"/>
      <c r="U292" s="541"/>
      <c r="V292" s="541"/>
      <c r="W292" s="541"/>
      <c r="X292" s="543"/>
    </row>
    <row r="293" spans="1:24" s="544" customFormat="1" x14ac:dyDescent="0.3">
      <c r="A293" s="540"/>
      <c r="B293" s="539" t="s">
        <v>339</v>
      </c>
      <c r="C293" s="539"/>
      <c r="D293" s="539"/>
      <c r="E293" s="539"/>
      <c r="F293" s="638" t="s">
        <v>278</v>
      </c>
      <c r="G293" s="539"/>
      <c r="H293" s="639" t="s">
        <v>372</v>
      </c>
      <c r="I293" s="541"/>
      <c r="J293" s="539"/>
      <c r="K293" s="541"/>
      <c r="L293" s="541"/>
      <c r="M293" s="541"/>
      <c r="N293" s="541"/>
      <c r="O293" s="541"/>
      <c r="P293" s="541"/>
      <c r="Q293" s="541"/>
      <c r="R293" s="541"/>
      <c r="S293" s="541"/>
      <c r="T293" s="541"/>
      <c r="U293" s="541"/>
      <c r="V293" s="541"/>
      <c r="W293" s="541"/>
      <c r="X293" s="543"/>
    </row>
    <row r="294" spans="1:24" s="544" customFormat="1" x14ac:dyDescent="0.3">
      <c r="A294" s="540"/>
      <c r="B294" s="539" t="s">
        <v>340</v>
      </c>
      <c r="C294" s="539"/>
      <c r="D294" s="539"/>
      <c r="E294" s="539"/>
      <c r="F294" s="638" t="s">
        <v>147</v>
      </c>
      <c r="G294" s="539"/>
      <c r="H294" s="639" t="s">
        <v>373</v>
      </c>
      <c r="I294" s="539"/>
      <c r="J294" s="539"/>
      <c r="K294" s="541"/>
      <c r="L294" s="541"/>
      <c r="M294" s="541"/>
      <c r="N294" s="541"/>
      <c r="O294" s="541"/>
      <c r="P294" s="541"/>
      <c r="Q294" s="541"/>
      <c r="R294" s="541"/>
      <c r="S294" s="541"/>
      <c r="T294" s="541"/>
      <c r="U294" s="541"/>
      <c r="V294" s="541"/>
      <c r="W294" s="541"/>
      <c r="X294" s="543"/>
    </row>
    <row r="295" spans="1:24" s="544" customFormat="1" x14ac:dyDescent="0.3">
      <c r="A295" s="540"/>
      <c r="B295" s="539"/>
      <c r="C295" s="539"/>
      <c r="D295" s="539"/>
      <c r="E295" s="539"/>
      <c r="F295" s="638"/>
      <c r="G295" s="539"/>
      <c r="H295" s="539"/>
      <c r="I295" s="539"/>
      <c r="J295" s="539"/>
      <c r="K295" s="541"/>
      <c r="L295" s="541"/>
      <c r="M295" s="541"/>
      <c r="N295" s="541"/>
      <c r="O295" s="541"/>
      <c r="P295" s="541"/>
      <c r="Q295" s="541"/>
      <c r="R295" s="541"/>
      <c r="S295" s="541"/>
      <c r="T295" s="541"/>
      <c r="U295" s="541"/>
      <c r="V295" s="541"/>
      <c r="W295" s="541"/>
      <c r="X295" s="543"/>
    </row>
    <row r="296" spans="1:24" s="544" customFormat="1" x14ac:dyDescent="0.3">
      <c r="A296" s="540"/>
      <c r="B296" s="588" t="s">
        <v>368</v>
      </c>
      <c r="C296" s="539"/>
      <c r="D296" s="539"/>
      <c r="E296" s="539"/>
      <c r="F296" s="638"/>
      <c r="G296" s="539"/>
      <c r="H296" s="539"/>
      <c r="I296" s="539"/>
      <c r="J296" s="539"/>
      <c r="K296" s="541"/>
      <c r="L296" s="541"/>
      <c r="M296" s="541"/>
      <c r="N296" s="541"/>
      <c r="O296" s="541"/>
      <c r="P296" s="541"/>
      <c r="Q296" s="541"/>
      <c r="R296" s="541"/>
      <c r="S296" s="541"/>
      <c r="T296" s="541"/>
      <c r="U296" s="541"/>
      <c r="V296" s="541"/>
      <c r="W296" s="541"/>
      <c r="X296" s="543"/>
    </row>
    <row r="297" spans="1:24" s="544" customFormat="1" x14ac:dyDescent="0.3">
      <c r="A297" s="540"/>
      <c r="B297" s="588" t="s">
        <v>374</v>
      </c>
      <c r="C297" s="539"/>
      <c r="D297" s="539"/>
      <c r="E297" s="539"/>
      <c r="F297" s="638"/>
      <c r="G297" s="539"/>
      <c r="H297" s="539"/>
      <c r="I297" s="539"/>
      <c r="J297" s="539"/>
      <c r="K297" s="541"/>
      <c r="L297" s="541"/>
      <c r="M297" s="541"/>
      <c r="N297" s="541"/>
      <c r="O297" s="541"/>
      <c r="P297" s="541"/>
      <c r="Q297" s="541"/>
      <c r="R297" s="541"/>
      <c r="S297" s="541"/>
      <c r="T297" s="541"/>
      <c r="U297" s="541"/>
      <c r="V297" s="541"/>
      <c r="W297" s="541"/>
      <c r="X297" s="543"/>
    </row>
    <row r="298" spans="1:24" s="544" customFormat="1" x14ac:dyDescent="0.3">
      <c r="A298" s="540"/>
      <c r="B298" s="588" t="s">
        <v>365</v>
      </c>
      <c r="C298" s="539"/>
      <c r="D298" s="539"/>
      <c r="E298" s="539"/>
      <c r="F298" s="638"/>
      <c r="G298" s="539"/>
      <c r="H298" s="539"/>
      <c r="I298" s="539"/>
      <c r="J298" s="539"/>
      <c r="K298" s="541"/>
      <c r="L298" s="541"/>
      <c r="M298" s="541"/>
      <c r="N298" s="541"/>
      <c r="O298" s="541"/>
      <c r="P298" s="541"/>
      <c r="Q298" s="541"/>
      <c r="R298" s="541"/>
      <c r="S298" s="541"/>
      <c r="T298" s="541"/>
      <c r="U298" s="541"/>
      <c r="V298" s="541"/>
      <c r="W298" s="541"/>
      <c r="X298" s="543"/>
    </row>
    <row r="299" spans="1:24" s="544" customFormat="1" x14ac:dyDescent="0.3">
      <c r="A299" s="540"/>
      <c r="B299" s="588" t="s">
        <v>366</v>
      </c>
      <c r="C299" s="539"/>
      <c r="D299" s="539"/>
      <c r="E299" s="539"/>
      <c r="F299" s="638"/>
      <c r="G299" s="539"/>
      <c r="H299" s="539"/>
      <c r="I299" s="539"/>
      <c r="J299" s="539"/>
      <c r="K299" s="541"/>
      <c r="L299" s="541"/>
      <c r="M299" s="541"/>
      <c r="N299" s="541"/>
      <c r="O299" s="541"/>
      <c r="P299" s="541"/>
      <c r="Q299" s="541"/>
      <c r="R299" s="541"/>
      <c r="S299" s="541"/>
      <c r="T299" s="541"/>
      <c r="U299" s="541"/>
      <c r="V299" s="541"/>
      <c r="W299" s="541"/>
      <c r="X299" s="543"/>
    </row>
    <row r="300" spans="1:24" x14ac:dyDescent="0.3">
      <c r="A300" s="417"/>
      <c r="B300" s="426"/>
      <c r="C300" s="426"/>
      <c r="D300" s="426"/>
      <c r="E300" s="426"/>
      <c r="F300" s="489"/>
      <c r="G300" s="426"/>
      <c r="H300" s="426"/>
      <c r="I300" s="426"/>
      <c r="J300" s="426"/>
      <c r="K300" s="427"/>
      <c r="L300" s="427"/>
      <c r="M300" s="427"/>
      <c r="N300" s="427"/>
      <c r="O300" s="427"/>
      <c r="P300" s="427"/>
      <c r="Q300" s="427"/>
      <c r="R300" s="427"/>
      <c r="S300" s="427"/>
      <c r="T300" s="427"/>
      <c r="U300" s="427"/>
      <c r="V300" s="427"/>
      <c r="W300" s="427"/>
      <c r="X300" s="415"/>
    </row>
    <row r="301" spans="1:24" ht="18" x14ac:dyDescent="0.35">
      <c r="A301" s="417"/>
      <c r="B301" s="514" t="s">
        <v>369</v>
      </c>
      <c r="C301" s="426"/>
      <c r="D301" s="426"/>
      <c r="E301" s="426"/>
      <c r="F301" s="426"/>
      <c r="G301" s="426"/>
      <c r="H301" s="427"/>
      <c r="I301" s="427"/>
      <c r="J301" s="427"/>
      <c r="K301" s="427"/>
      <c r="L301" s="419"/>
      <c r="M301" s="419"/>
      <c r="N301" s="490"/>
      <c r="O301" s="419"/>
      <c r="P301" s="412" t="s">
        <v>371</v>
      </c>
      <c r="Q301" s="427"/>
      <c r="R301" s="427"/>
      <c r="S301" s="427"/>
      <c r="T301" s="427"/>
      <c r="U301" s="427"/>
      <c r="V301" s="427"/>
      <c r="W301" s="427"/>
      <c r="X301" s="415"/>
    </row>
    <row r="302" spans="1:24" x14ac:dyDescent="0.3">
      <c r="A302" s="417"/>
      <c r="B302" s="426"/>
      <c r="C302" s="426"/>
      <c r="D302" s="426"/>
      <c r="E302" s="426"/>
      <c r="F302" s="426"/>
      <c r="G302" s="426"/>
      <c r="H302" s="427"/>
      <c r="I302" s="427"/>
      <c r="J302" s="427"/>
      <c r="K302" s="427"/>
      <c r="L302" s="427"/>
      <c r="M302" s="427"/>
      <c r="N302" s="427"/>
      <c r="O302" s="427"/>
      <c r="P302" s="427"/>
      <c r="Q302" s="427"/>
      <c r="R302" s="427"/>
      <c r="S302" s="427"/>
      <c r="T302" s="427"/>
      <c r="U302" s="427"/>
      <c r="V302" s="427"/>
      <c r="W302" s="427"/>
      <c r="X302" s="415"/>
    </row>
    <row r="303" spans="1:24" ht="18.600000000000001" thickBot="1" x14ac:dyDescent="0.4">
      <c r="A303" s="417"/>
      <c r="B303" s="640" t="str">
        <f>B203</f>
        <v>PM14 INVESTOR REPORT QUARTER ENDING FEBRUARY 2018</v>
      </c>
      <c r="C303" s="426"/>
      <c r="D303" s="426"/>
      <c r="E303" s="426"/>
      <c r="F303" s="426"/>
      <c r="G303" s="426"/>
      <c r="H303" s="427"/>
      <c r="I303" s="427"/>
      <c r="J303" s="427"/>
      <c r="K303" s="427"/>
      <c r="L303" s="427"/>
      <c r="M303" s="427"/>
      <c r="N303" s="427"/>
      <c r="O303" s="427"/>
      <c r="P303" s="427"/>
      <c r="Q303" s="427"/>
      <c r="R303" s="427"/>
      <c r="S303" s="427"/>
      <c r="T303" s="427"/>
      <c r="U303" s="427"/>
      <c r="V303" s="427"/>
      <c r="W303" s="427"/>
      <c r="X303" s="415"/>
    </row>
    <row r="304" spans="1:24" x14ac:dyDescent="0.3">
      <c r="A304" s="491"/>
      <c r="B304" s="491"/>
      <c r="C304" s="491"/>
      <c r="D304" s="491"/>
      <c r="E304" s="491"/>
      <c r="F304" s="491"/>
      <c r="G304" s="491"/>
      <c r="H304" s="491"/>
      <c r="I304" s="491"/>
      <c r="J304" s="491"/>
      <c r="K304" s="491"/>
      <c r="L304" s="491"/>
      <c r="M304" s="491"/>
      <c r="N304" s="491"/>
      <c r="O304" s="491"/>
      <c r="P304" s="491"/>
      <c r="Q304" s="491"/>
      <c r="R304" s="491"/>
      <c r="S304" s="491"/>
      <c r="T304" s="491"/>
      <c r="U304" s="491"/>
      <c r="V304" s="491"/>
      <c r="W304" s="491"/>
    </row>
  </sheetData>
  <hyperlinks>
    <hyperlink ref="I9" r:id="rId1" xr:uid="{00000000-0004-0000-2A00-000000000000}"/>
    <hyperlink ref="P239" r:id="rId2" xr:uid="{00000000-0004-0000-2A00-000001000000}"/>
    <hyperlink ref="P301" r:id="rId3" xr:uid="{00000000-0004-0000-2A00-000002000000}"/>
  </hyperlinks>
  <printOptions horizontalCentered="1" verticalCentered="1"/>
  <pageMargins left="0.19685039370078741" right="0.19685039370078741" top="0.27559055118110237" bottom="0.27559055118110237" header="0" footer="0"/>
  <pageSetup scale="37" orientation="landscape" r:id="rId4"/>
  <headerFooter alignWithMargins="0"/>
  <rowBreaks count="3" manualBreakCount="3">
    <brk id="63" max="23" man="1"/>
    <brk id="137" max="14" man="1"/>
    <brk id="203" max="14" man="1"/>
  </rowBreaks>
  <drawing r:id="rId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4"/>
  </sheetPr>
  <dimension ref="A1:IV304"/>
  <sheetViews>
    <sheetView showGridLines="0" showOutlineSymbols="0" zoomScale="70" zoomScaleNormal="70" workbookViewId="0"/>
  </sheetViews>
  <sheetFormatPr defaultColWidth="9.81640625" defaultRowHeight="15.6" x14ac:dyDescent="0.3"/>
  <cols>
    <col min="1" max="1" width="4" style="416" customWidth="1"/>
    <col min="2" max="2" width="71.08984375" style="416" customWidth="1"/>
    <col min="3" max="3" width="2.08984375" style="416" customWidth="1"/>
    <col min="4" max="4" width="19.1796875" style="416" customWidth="1"/>
    <col min="5" max="5" width="2.08984375" style="416" customWidth="1"/>
    <col min="6" max="6" width="25.08984375" style="416" customWidth="1"/>
    <col min="7" max="7" width="2.08984375" style="416" customWidth="1"/>
    <col min="8" max="8" width="16.08984375" style="416" customWidth="1"/>
    <col min="9" max="9" width="2.81640625" style="416" customWidth="1"/>
    <col min="10" max="10" width="16.08984375" style="416" customWidth="1"/>
    <col min="11" max="11" width="2.08984375" style="416" customWidth="1"/>
    <col min="12" max="12" width="17.81640625" style="416" customWidth="1"/>
    <col min="13" max="13" width="2.1796875" style="416" customWidth="1"/>
    <col min="14" max="14" width="14.81640625" style="416" customWidth="1"/>
    <col min="15" max="15" width="2.1796875" style="416" customWidth="1"/>
    <col min="16" max="16" width="15.54296875" style="416" customWidth="1"/>
    <col min="17" max="17" width="2.08984375" style="416" customWidth="1"/>
    <col min="18" max="18" width="15.54296875" style="416" customWidth="1"/>
    <col min="19" max="20" width="12.81640625" style="416" customWidth="1"/>
    <col min="21" max="21" width="7.81640625" style="416" customWidth="1"/>
    <col min="22" max="22" width="14.81640625" style="416" customWidth="1"/>
    <col min="23" max="23" width="11.81640625" style="416" customWidth="1"/>
    <col min="24" max="16384" width="9.81640625" style="416"/>
  </cols>
  <sheetData>
    <row r="1" spans="1:24" ht="21" x14ac:dyDescent="0.4">
      <c r="A1" s="413"/>
      <c r="B1" s="537" t="s">
        <v>244</v>
      </c>
      <c r="C1" s="414"/>
      <c r="D1" s="414"/>
      <c r="E1" s="414"/>
      <c r="F1" s="414"/>
      <c r="G1" s="414"/>
      <c r="H1" s="414"/>
      <c r="I1" s="414"/>
      <c r="J1" s="414"/>
      <c r="K1" s="414"/>
      <c r="L1" s="414"/>
      <c r="M1" s="414"/>
      <c r="N1" s="414"/>
      <c r="O1" s="414"/>
      <c r="P1" s="414"/>
      <c r="Q1" s="414"/>
      <c r="R1" s="414"/>
      <c r="S1" s="414"/>
      <c r="T1" s="414"/>
      <c r="U1" s="414"/>
      <c r="V1" s="414"/>
      <c r="W1" s="414"/>
      <c r="X1" s="415"/>
    </row>
    <row r="2" spans="1:24" x14ac:dyDescent="0.3">
      <c r="A2" s="417"/>
      <c r="B2" s="418"/>
      <c r="C2" s="419"/>
      <c r="D2" s="419"/>
      <c r="E2" s="419"/>
      <c r="F2" s="419"/>
      <c r="G2" s="419"/>
      <c r="H2" s="419"/>
      <c r="I2" s="419"/>
      <c r="J2" s="419"/>
      <c r="K2" s="419"/>
      <c r="L2" s="419"/>
      <c r="M2" s="419"/>
      <c r="N2" s="419"/>
      <c r="O2" s="419"/>
      <c r="P2" s="419"/>
      <c r="Q2" s="419"/>
      <c r="R2" s="419"/>
      <c r="S2" s="419"/>
      <c r="T2" s="419"/>
      <c r="U2" s="419"/>
      <c r="V2" s="419"/>
      <c r="W2" s="419"/>
      <c r="X2" s="415"/>
    </row>
    <row r="3" spans="1:24" x14ac:dyDescent="0.3">
      <c r="A3" s="420"/>
      <c r="B3" s="421" t="s">
        <v>245</v>
      </c>
      <c r="C3" s="419"/>
      <c r="D3" s="419"/>
      <c r="E3" s="419"/>
      <c r="F3" s="419"/>
      <c r="G3" s="419"/>
      <c r="H3" s="419"/>
      <c r="I3" s="419"/>
      <c r="J3" s="419"/>
      <c r="K3" s="419"/>
      <c r="L3" s="419"/>
      <c r="M3" s="419"/>
      <c r="N3" s="419"/>
      <c r="O3" s="419"/>
      <c r="P3" s="419"/>
      <c r="Q3" s="419"/>
      <c r="R3" s="419"/>
      <c r="S3" s="419"/>
      <c r="T3" s="419"/>
      <c r="U3" s="419"/>
      <c r="V3" s="419"/>
      <c r="W3" s="419"/>
      <c r="X3" s="415"/>
    </row>
    <row r="4" spans="1:24" x14ac:dyDescent="0.3">
      <c r="A4" s="417"/>
      <c r="B4" s="418"/>
      <c r="C4" s="419"/>
      <c r="D4" s="419"/>
      <c r="E4" s="419"/>
      <c r="F4" s="419"/>
      <c r="G4" s="419"/>
      <c r="H4" s="419"/>
      <c r="I4" s="419"/>
      <c r="J4" s="419"/>
      <c r="K4" s="419"/>
      <c r="L4" s="419"/>
      <c r="M4" s="419"/>
      <c r="N4" s="419"/>
      <c r="O4" s="419"/>
      <c r="P4" s="419"/>
      <c r="Q4" s="419"/>
      <c r="R4" s="419"/>
      <c r="S4" s="419"/>
      <c r="T4" s="419"/>
      <c r="U4" s="419"/>
      <c r="V4" s="419"/>
      <c r="W4" s="419"/>
      <c r="X4" s="415"/>
    </row>
    <row r="5" spans="1:24" x14ac:dyDescent="0.3">
      <c r="A5" s="417"/>
      <c r="B5" s="538" t="s">
        <v>137</v>
      </c>
      <c r="C5" s="419"/>
      <c r="D5" s="419"/>
      <c r="E5" s="419"/>
      <c r="F5" s="419"/>
      <c r="G5" s="419"/>
      <c r="H5" s="419"/>
      <c r="I5" s="419"/>
      <c r="J5" s="419"/>
      <c r="K5" s="419"/>
      <c r="L5" s="419"/>
      <c r="M5" s="419"/>
      <c r="N5" s="419"/>
      <c r="O5" s="419"/>
      <c r="P5" s="419"/>
      <c r="Q5" s="419"/>
      <c r="R5" s="419"/>
      <c r="S5" s="419"/>
      <c r="T5" s="419"/>
      <c r="U5" s="419"/>
      <c r="V5" s="419"/>
      <c r="W5" s="419"/>
      <c r="X5" s="415"/>
    </row>
    <row r="6" spans="1:24" x14ac:dyDescent="0.3">
      <c r="A6" s="417"/>
      <c r="B6" s="538" t="s">
        <v>139</v>
      </c>
      <c r="C6" s="419"/>
      <c r="D6" s="419"/>
      <c r="E6" s="419"/>
      <c r="F6" s="419"/>
      <c r="G6" s="419"/>
      <c r="H6" s="419"/>
      <c r="I6" s="419"/>
      <c r="J6" s="419"/>
      <c r="K6" s="419"/>
      <c r="L6" s="419"/>
      <c r="M6" s="419"/>
      <c r="N6" s="419"/>
      <c r="O6" s="419"/>
      <c r="P6" s="419"/>
      <c r="Q6" s="419"/>
      <c r="R6" s="419"/>
      <c r="S6" s="419"/>
      <c r="T6" s="419"/>
      <c r="U6" s="419"/>
      <c r="V6" s="419"/>
      <c r="W6" s="419"/>
      <c r="X6" s="415"/>
    </row>
    <row r="7" spans="1:24" x14ac:dyDescent="0.3">
      <c r="A7" s="417"/>
      <c r="B7" s="538" t="s">
        <v>138</v>
      </c>
      <c r="C7" s="419"/>
      <c r="D7" s="419"/>
      <c r="E7" s="419"/>
      <c r="F7" s="419"/>
      <c r="G7" s="419"/>
      <c r="H7" s="419"/>
      <c r="I7" s="419"/>
      <c r="J7" s="419"/>
      <c r="K7" s="419"/>
      <c r="L7" s="419"/>
      <c r="M7" s="419"/>
      <c r="N7" s="419"/>
      <c r="O7" s="419"/>
      <c r="P7" s="419"/>
      <c r="Q7" s="419"/>
      <c r="R7" s="419"/>
      <c r="S7" s="419"/>
      <c r="T7" s="419"/>
      <c r="U7" s="419"/>
      <c r="V7" s="419"/>
      <c r="W7" s="419"/>
      <c r="X7" s="415"/>
    </row>
    <row r="8" spans="1:24" x14ac:dyDescent="0.3">
      <c r="A8" s="417"/>
      <c r="B8" s="422"/>
      <c r="C8" s="419"/>
      <c r="D8" s="419"/>
      <c r="E8" s="419"/>
      <c r="F8" s="419"/>
      <c r="G8" s="419"/>
      <c r="H8" s="419"/>
      <c r="I8" s="419"/>
      <c r="J8" s="419"/>
      <c r="K8" s="419"/>
      <c r="L8" s="419"/>
      <c r="M8" s="419"/>
      <c r="N8" s="419"/>
      <c r="O8" s="419"/>
      <c r="P8" s="419"/>
      <c r="Q8" s="419"/>
      <c r="R8" s="419"/>
      <c r="S8" s="419"/>
      <c r="T8" s="419"/>
      <c r="U8" s="419"/>
      <c r="V8" s="419"/>
      <c r="W8" s="419"/>
      <c r="X8" s="415"/>
    </row>
    <row r="9" spans="1:24" ht="18" x14ac:dyDescent="0.35">
      <c r="A9" s="417"/>
      <c r="B9" s="423" t="s">
        <v>166</v>
      </c>
      <c r="C9" s="419"/>
      <c r="D9" s="419"/>
      <c r="E9" s="419"/>
      <c r="F9" s="419"/>
      <c r="G9" s="419"/>
      <c r="H9" s="419"/>
      <c r="I9" s="412" t="s">
        <v>371</v>
      </c>
      <c r="J9" s="419"/>
      <c r="K9" s="419"/>
      <c r="L9" s="424"/>
      <c r="M9" s="419"/>
      <c r="N9" s="424"/>
      <c r="O9" s="419"/>
      <c r="P9" s="419"/>
      <c r="Q9" s="419"/>
      <c r="R9" s="419"/>
      <c r="S9" s="419"/>
      <c r="T9" s="419"/>
      <c r="U9" s="419"/>
      <c r="V9" s="419"/>
      <c r="W9" s="419"/>
      <c r="X9" s="415"/>
    </row>
    <row r="10" spans="1:24" x14ac:dyDescent="0.3">
      <c r="A10" s="417"/>
      <c r="B10" s="422"/>
      <c r="C10" s="425"/>
      <c r="D10" s="425"/>
      <c r="E10" s="425"/>
      <c r="F10" s="419"/>
      <c r="G10" s="419"/>
      <c r="H10" s="419"/>
      <c r="I10" s="419"/>
      <c r="J10" s="419"/>
      <c r="K10" s="419"/>
      <c r="L10" s="419"/>
      <c r="M10" s="419"/>
      <c r="N10" s="419"/>
      <c r="O10" s="419"/>
      <c r="P10" s="419"/>
      <c r="Q10" s="419"/>
      <c r="R10" s="419"/>
      <c r="S10" s="419"/>
      <c r="T10" s="419"/>
      <c r="U10" s="419"/>
      <c r="V10" s="419"/>
      <c r="W10" s="419"/>
      <c r="X10" s="415"/>
    </row>
    <row r="11" spans="1:24" x14ac:dyDescent="0.3">
      <c r="A11" s="417"/>
      <c r="B11" s="539" t="s">
        <v>0</v>
      </c>
      <c r="C11" s="419"/>
      <c r="D11" s="419"/>
      <c r="E11" s="419"/>
      <c r="F11" s="419"/>
      <c r="G11" s="419"/>
      <c r="H11" s="419"/>
      <c r="I11" s="419"/>
      <c r="J11" s="419"/>
      <c r="K11" s="419"/>
      <c r="L11" s="419"/>
      <c r="M11" s="419"/>
      <c r="N11" s="419"/>
      <c r="O11" s="419"/>
      <c r="P11" s="419"/>
      <c r="Q11" s="419"/>
      <c r="R11" s="419"/>
      <c r="S11" s="419"/>
      <c r="T11" s="419"/>
      <c r="U11" s="419"/>
      <c r="V11" s="419"/>
      <c r="W11" s="419"/>
      <c r="X11" s="415"/>
    </row>
    <row r="12" spans="1:24" ht="16.2" thickBot="1" x14ac:dyDescent="0.35">
      <c r="A12" s="417"/>
      <c r="B12" s="425"/>
      <c r="C12" s="419"/>
      <c r="D12" s="419"/>
      <c r="E12" s="419"/>
      <c r="F12" s="419"/>
      <c r="G12" s="419"/>
      <c r="H12" s="419"/>
      <c r="I12" s="419"/>
      <c r="J12" s="419"/>
      <c r="K12" s="419"/>
      <c r="L12" s="419"/>
      <c r="M12" s="419"/>
      <c r="N12" s="419"/>
      <c r="O12" s="419"/>
      <c r="P12" s="419"/>
      <c r="Q12" s="419"/>
      <c r="R12" s="419"/>
      <c r="S12" s="419"/>
      <c r="T12" s="419"/>
      <c r="U12" s="419"/>
      <c r="V12" s="419"/>
      <c r="W12" s="419"/>
      <c r="X12" s="415"/>
    </row>
    <row r="13" spans="1:24" x14ac:dyDescent="0.3">
      <c r="A13" s="413"/>
      <c r="B13" s="414"/>
      <c r="C13" s="414"/>
      <c r="D13" s="414"/>
      <c r="E13" s="414"/>
      <c r="F13" s="414"/>
      <c r="G13" s="414"/>
      <c r="H13" s="414"/>
      <c r="I13" s="414"/>
      <c r="J13" s="414"/>
      <c r="K13" s="414"/>
      <c r="L13" s="414"/>
      <c r="M13" s="414"/>
      <c r="N13" s="414"/>
      <c r="O13" s="414"/>
      <c r="P13" s="414"/>
      <c r="Q13" s="414"/>
      <c r="R13" s="414"/>
      <c r="S13" s="414"/>
      <c r="T13" s="414"/>
      <c r="U13" s="414"/>
      <c r="V13" s="414"/>
      <c r="W13" s="414"/>
      <c r="X13" s="415"/>
    </row>
    <row r="14" spans="1:24" s="544" customFormat="1" x14ac:dyDescent="0.3">
      <c r="A14" s="540"/>
      <c r="B14" s="539" t="s">
        <v>1</v>
      </c>
      <c r="C14" s="541"/>
      <c r="D14" s="541"/>
      <c r="E14" s="541"/>
      <c r="F14" s="541"/>
      <c r="G14" s="541"/>
      <c r="H14" s="541"/>
      <c r="I14" s="541"/>
      <c r="J14" s="541"/>
      <c r="K14" s="541"/>
      <c r="L14" s="541"/>
      <c r="M14" s="541"/>
      <c r="N14" s="541"/>
      <c r="O14" s="541"/>
      <c r="P14" s="541"/>
      <c r="Q14" s="541"/>
      <c r="R14" s="541"/>
      <c r="S14" s="541"/>
      <c r="T14" s="541"/>
      <c r="U14" s="541"/>
      <c r="V14" s="542" t="s">
        <v>246</v>
      </c>
      <c r="W14" s="541"/>
      <c r="X14" s="543"/>
    </row>
    <row r="15" spans="1:24" s="544" customFormat="1" x14ac:dyDescent="0.3">
      <c r="A15" s="540"/>
      <c r="B15" s="539" t="s">
        <v>2</v>
      </c>
      <c r="C15" s="541"/>
      <c r="D15" s="541"/>
      <c r="E15" s="541"/>
      <c r="F15" s="541"/>
      <c r="G15" s="541"/>
      <c r="H15" s="545"/>
      <c r="I15" s="545"/>
      <c r="J15" s="545"/>
      <c r="K15" s="545"/>
      <c r="L15" s="545"/>
      <c r="M15" s="545"/>
      <c r="N15" s="545"/>
      <c r="O15" s="545"/>
      <c r="P15" s="545"/>
      <c r="Q15" s="545"/>
      <c r="R15" s="545" t="s">
        <v>104</v>
      </c>
      <c r="S15" s="546">
        <v>0.38300000000000001</v>
      </c>
      <c r="T15" s="547" t="s">
        <v>140</v>
      </c>
      <c r="U15" s="546">
        <v>0.61699999999999999</v>
      </c>
      <c r="V15" s="542"/>
      <c r="W15" s="541"/>
      <c r="X15" s="543"/>
    </row>
    <row r="16" spans="1:24" s="544" customFormat="1" x14ac:dyDescent="0.3">
      <c r="A16" s="540"/>
      <c r="B16" s="539" t="s">
        <v>3</v>
      </c>
      <c r="C16" s="541"/>
      <c r="D16" s="541"/>
      <c r="E16" s="541"/>
      <c r="F16" s="541"/>
      <c r="G16" s="541"/>
      <c r="H16" s="545"/>
      <c r="I16" s="545"/>
      <c r="J16" s="545"/>
      <c r="K16" s="545"/>
      <c r="L16" s="545"/>
      <c r="M16" s="545"/>
      <c r="N16" s="545"/>
      <c r="O16" s="545"/>
      <c r="P16" s="545"/>
      <c r="Q16" s="545"/>
      <c r="R16" s="545" t="s">
        <v>104</v>
      </c>
      <c r="S16" s="546">
        <v>0.49490000000000001</v>
      </c>
      <c r="T16" s="547" t="s">
        <v>140</v>
      </c>
      <c r="U16" s="546">
        <v>0.50509999999999999</v>
      </c>
      <c r="V16" s="542"/>
      <c r="W16" s="541"/>
      <c r="X16" s="543"/>
    </row>
    <row r="17" spans="1:24" s="544" customFormat="1" x14ac:dyDescent="0.3">
      <c r="A17" s="540"/>
      <c r="B17" s="539" t="s">
        <v>4</v>
      </c>
      <c r="C17" s="541"/>
      <c r="D17" s="541"/>
      <c r="E17" s="541"/>
      <c r="F17" s="541"/>
      <c r="G17" s="541"/>
      <c r="H17" s="541"/>
      <c r="I17" s="541"/>
      <c r="J17" s="541"/>
      <c r="K17" s="541"/>
      <c r="L17" s="541"/>
      <c r="M17" s="541"/>
      <c r="N17" s="541"/>
      <c r="O17" s="541"/>
      <c r="P17" s="541"/>
      <c r="Q17" s="541"/>
      <c r="R17" s="541"/>
      <c r="S17" s="541"/>
      <c r="T17" s="541"/>
      <c r="U17" s="541"/>
      <c r="V17" s="548">
        <v>39163</v>
      </c>
      <c r="W17" s="541"/>
      <c r="X17" s="543"/>
    </row>
    <row r="18" spans="1:24" s="544" customFormat="1" x14ac:dyDescent="0.3">
      <c r="A18" s="540"/>
      <c r="B18" s="539" t="s">
        <v>5</v>
      </c>
      <c r="C18" s="541"/>
      <c r="D18" s="541"/>
      <c r="E18" s="541"/>
      <c r="F18" s="541"/>
      <c r="G18" s="541"/>
      <c r="H18" s="541"/>
      <c r="I18" s="541"/>
      <c r="J18" s="541"/>
      <c r="K18" s="541"/>
      <c r="L18" s="541"/>
      <c r="M18" s="541"/>
      <c r="N18" s="541"/>
      <c r="O18" s="541"/>
      <c r="P18" s="541"/>
      <c r="Q18" s="541"/>
      <c r="R18" s="541"/>
      <c r="S18" s="541"/>
      <c r="T18" s="541"/>
      <c r="U18" s="541"/>
      <c r="V18" s="548">
        <v>43272</v>
      </c>
      <c r="W18" s="541"/>
      <c r="X18" s="543"/>
    </row>
    <row r="19" spans="1:24" s="544" customFormat="1" x14ac:dyDescent="0.3">
      <c r="A19" s="540"/>
      <c r="B19" s="541"/>
      <c r="C19" s="541"/>
      <c r="D19" s="541"/>
      <c r="E19" s="541"/>
      <c r="F19" s="541"/>
      <c r="G19" s="541"/>
      <c r="H19" s="541"/>
      <c r="I19" s="541"/>
      <c r="J19" s="541"/>
      <c r="K19" s="541"/>
      <c r="L19" s="541"/>
      <c r="M19" s="541"/>
      <c r="N19" s="541"/>
      <c r="O19" s="541"/>
      <c r="P19" s="541"/>
      <c r="Q19" s="541"/>
      <c r="R19" s="541"/>
      <c r="S19" s="541"/>
      <c r="T19" s="541"/>
      <c r="U19" s="541"/>
      <c r="V19" s="549"/>
      <c r="W19" s="541"/>
      <c r="X19" s="543"/>
    </row>
    <row r="20" spans="1:24" s="544" customFormat="1" x14ac:dyDescent="0.3">
      <c r="A20" s="540"/>
      <c r="B20" s="550" t="s">
        <v>6</v>
      </c>
      <c r="C20" s="541"/>
      <c r="D20" s="541"/>
      <c r="E20" s="541"/>
      <c r="F20" s="541"/>
      <c r="G20" s="541"/>
      <c r="H20" s="541"/>
      <c r="I20" s="541"/>
      <c r="J20" s="541"/>
      <c r="K20" s="541"/>
      <c r="L20" s="541"/>
      <c r="M20" s="541"/>
      <c r="N20" s="541"/>
      <c r="O20" s="541"/>
      <c r="P20" s="541"/>
      <c r="Q20" s="541"/>
      <c r="R20" s="541"/>
      <c r="S20" s="541"/>
      <c r="T20" s="549" t="s">
        <v>105</v>
      </c>
      <c r="U20" s="541"/>
      <c r="V20" s="541"/>
      <c r="W20" s="541"/>
      <c r="X20" s="543"/>
    </row>
    <row r="21" spans="1:24" x14ac:dyDescent="0.3">
      <c r="A21" s="417"/>
      <c r="B21" s="419"/>
      <c r="C21" s="419"/>
      <c r="D21" s="419"/>
      <c r="E21" s="419"/>
      <c r="F21" s="419"/>
      <c r="G21" s="419"/>
      <c r="H21" s="419"/>
      <c r="I21" s="419"/>
      <c r="J21" s="419"/>
      <c r="K21" s="419"/>
      <c r="L21" s="419"/>
      <c r="M21" s="419"/>
      <c r="N21" s="419"/>
      <c r="O21" s="419"/>
      <c r="P21" s="419"/>
      <c r="Q21" s="419"/>
      <c r="R21" s="419"/>
      <c r="S21" s="419"/>
      <c r="T21" s="419"/>
      <c r="U21" s="419"/>
      <c r="V21" s="430"/>
      <c r="W21" s="419"/>
      <c r="X21" s="415"/>
    </row>
    <row r="22" spans="1:24" x14ac:dyDescent="0.3">
      <c r="A22" s="515"/>
      <c r="B22" s="517"/>
      <c r="C22" s="518"/>
      <c r="D22" s="518" t="s">
        <v>177</v>
      </c>
      <c r="E22" s="518"/>
      <c r="F22" s="518" t="s">
        <v>178</v>
      </c>
      <c r="G22" s="518"/>
      <c r="H22" s="518" t="s">
        <v>179</v>
      </c>
      <c r="I22" s="518"/>
      <c r="J22" s="518" t="s">
        <v>220</v>
      </c>
      <c r="K22" s="518"/>
      <c r="L22" s="518" t="s">
        <v>180</v>
      </c>
      <c r="M22" s="518"/>
      <c r="N22" s="518" t="s">
        <v>181</v>
      </c>
      <c r="O22" s="518"/>
      <c r="P22" s="518" t="s">
        <v>221</v>
      </c>
      <c r="Q22" s="518"/>
      <c r="R22" s="518" t="s">
        <v>182</v>
      </c>
      <c r="S22" s="519"/>
      <c r="T22" s="519"/>
      <c r="U22" s="517"/>
      <c r="V22" s="517"/>
      <c r="W22" s="520"/>
      <c r="X22" s="415"/>
    </row>
    <row r="23" spans="1:24" s="544" customFormat="1" x14ac:dyDescent="0.3">
      <c r="A23" s="551"/>
      <c r="B23" s="552" t="s">
        <v>7</v>
      </c>
      <c r="C23" s="553"/>
      <c r="D23" s="553" t="s">
        <v>213</v>
      </c>
      <c r="E23" s="553"/>
      <c r="F23" s="553" t="s">
        <v>141</v>
      </c>
      <c r="G23" s="553"/>
      <c r="H23" s="553" t="s">
        <v>141</v>
      </c>
      <c r="I23" s="553"/>
      <c r="J23" s="553" t="s">
        <v>141</v>
      </c>
      <c r="K23" s="553"/>
      <c r="L23" s="553" t="s">
        <v>183</v>
      </c>
      <c r="M23" s="553"/>
      <c r="N23" s="553" t="s">
        <v>183</v>
      </c>
      <c r="O23" s="553"/>
      <c r="P23" s="553" t="s">
        <v>142</v>
      </c>
      <c r="Q23" s="553"/>
      <c r="R23" s="553" t="s">
        <v>142</v>
      </c>
      <c r="S23" s="553"/>
      <c r="T23" s="553"/>
      <c r="U23" s="552"/>
      <c r="V23" s="552"/>
      <c r="W23" s="554"/>
      <c r="X23" s="543"/>
    </row>
    <row r="24" spans="1:24" s="544" customFormat="1" x14ac:dyDescent="0.3">
      <c r="A24" s="555"/>
      <c r="B24" s="556" t="s">
        <v>8</v>
      </c>
      <c r="C24" s="557"/>
      <c r="D24" s="557" t="s">
        <v>214</v>
      </c>
      <c r="E24" s="557"/>
      <c r="F24" s="557" t="s">
        <v>143</v>
      </c>
      <c r="G24" s="557"/>
      <c r="H24" s="557" t="s">
        <v>143</v>
      </c>
      <c r="I24" s="557"/>
      <c r="J24" s="557" t="s">
        <v>143</v>
      </c>
      <c r="K24" s="557"/>
      <c r="L24" s="557" t="s">
        <v>165</v>
      </c>
      <c r="M24" s="557"/>
      <c r="N24" s="557" t="s">
        <v>165</v>
      </c>
      <c r="O24" s="557"/>
      <c r="P24" s="557" t="s">
        <v>144</v>
      </c>
      <c r="Q24" s="557"/>
      <c r="R24" s="557" t="s">
        <v>144</v>
      </c>
      <c r="S24" s="557"/>
      <c r="T24" s="557"/>
      <c r="U24" s="556"/>
      <c r="V24" s="556"/>
      <c r="W24" s="558"/>
      <c r="X24" s="543"/>
    </row>
    <row r="25" spans="1:24" s="544" customFormat="1" x14ac:dyDescent="0.3">
      <c r="A25" s="559"/>
      <c r="B25" s="556" t="s">
        <v>190</v>
      </c>
      <c r="C25" s="560"/>
      <c r="D25" s="557" t="s">
        <v>215</v>
      </c>
      <c r="E25" s="557"/>
      <c r="F25" s="557" t="s">
        <v>143</v>
      </c>
      <c r="G25" s="557"/>
      <c r="H25" s="557" t="s">
        <v>143</v>
      </c>
      <c r="I25" s="557"/>
      <c r="J25" s="557" t="s">
        <v>143</v>
      </c>
      <c r="K25" s="557"/>
      <c r="L25" s="557" t="s">
        <v>293</v>
      </c>
      <c r="M25" s="557"/>
      <c r="N25" s="557" t="s">
        <v>293</v>
      </c>
      <c r="O25" s="557"/>
      <c r="P25" s="557" t="s">
        <v>144</v>
      </c>
      <c r="Q25" s="557"/>
      <c r="R25" s="557" t="s">
        <v>144</v>
      </c>
      <c r="S25" s="560"/>
      <c r="T25" s="557"/>
      <c r="U25" s="556"/>
      <c r="V25" s="556"/>
      <c r="W25" s="558"/>
      <c r="X25" s="543"/>
    </row>
    <row r="26" spans="1:24" s="544" customFormat="1" x14ac:dyDescent="0.3">
      <c r="A26" s="559"/>
      <c r="B26" s="561" t="s">
        <v>9</v>
      </c>
      <c r="C26" s="560"/>
      <c r="D26" s="560" t="s">
        <v>333</v>
      </c>
      <c r="E26" s="560"/>
      <c r="F26" s="560" t="s">
        <v>333</v>
      </c>
      <c r="G26" s="560"/>
      <c r="H26" s="560" t="s">
        <v>333</v>
      </c>
      <c r="I26" s="560"/>
      <c r="J26" s="560" t="s">
        <v>333</v>
      </c>
      <c r="K26" s="560"/>
      <c r="L26" s="560" t="s">
        <v>333</v>
      </c>
      <c r="M26" s="560"/>
      <c r="N26" s="560" t="s">
        <v>333</v>
      </c>
      <c r="O26" s="560"/>
      <c r="P26" s="560" t="s">
        <v>334</v>
      </c>
      <c r="Q26" s="560"/>
      <c r="R26" s="560" t="s">
        <v>334</v>
      </c>
      <c r="S26" s="560"/>
      <c r="T26" s="557"/>
      <c r="U26" s="556"/>
      <c r="V26" s="556"/>
      <c r="W26" s="558"/>
      <c r="X26" s="543"/>
    </row>
    <row r="27" spans="1:24" s="544" customFormat="1" x14ac:dyDescent="0.3">
      <c r="A27" s="555"/>
      <c r="B27" s="561" t="s">
        <v>191</v>
      </c>
      <c r="C27" s="557"/>
      <c r="D27" s="560" t="s">
        <v>143</v>
      </c>
      <c r="E27" s="560"/>
      <c r="F27" s="560" t="s">
        <v>143</v>
      </c>
      <c r="G27" s="560"/>
      <c r="H27" s="560" t="s">
        <v>143</v>
      </c>
      <c r="I27" s="560"/>
      <c r="J27" s="560" t="s">
        <v>143</v>
      </c>
      <c r="K27" s="560"/>
      <c r="L27" s="560" t="s">
        <v>293</v>
      </c>
      <c r="M27" s="560"/>
      <c r="N27" s="560" t="s">
        <v>293</v>
      </c>
      <c r="O27" s="560"/>
      <c r="P27" s="560" t="s">
        <v>144</v>
      </c>
      <c r="Q27" s="560"/>
      <c r="R27" s="560" t="s">
        <v>144</v>
      </c>
      <c r="S27" s="557"/>
      <c r="T27" s="562"/>
      <c r="U27" s="556"/>
      <c r="V27" s="556"/>
      <c r="W27" s="558"/>
      <c r="X27" s="543"/>
    </row>
    <row r="28" spans="1:24" s="544" customFormat="1" x14ac:dyDescent="0.3">
      <c r="A28" s="555"/>
      <c r="B28" s="561" t="s">
        <v>192</v>
      </c>
      <c r="C28" s="557"/>
      <c r="D28" s="560" t="s">
        <v>143</v>
      </c>
      <c r="E28" s="560"/>
      <c r="F28" s="560" t="s">
        <v>143</v>
      </c>
      <c r="G28" s="560"/>
      <c r="H28" s="560" t="s">
        <v>143</v>
      </c>
      <c r="I28" s="560"/>
      <c r="J28" s="560" t="s">
        <v>143</v>
      </c>
      <c r="K28" s="560"/>
      <c r="L28" s="560" t="s">
        <v>143</v>
      </c>
      <c r="M28" s="560"/>
      <c r="N28" s="560" t="s">
        <v>143</v>
      </c>
      <c r="O28" s="560"/>
      <c r="P28" s="560" t="s">
        <v>337</v>
      </c>
      <c r="Q28" s="560"/>
      <c r="R28" s="560" t="s">
        <v>337</v>
      </c>
      <c r="S28" s="557"/>
      <c r="T28" s="562"/>
      <c r="U28" s="556"/>
      <c r="V28" s="556"/>
      <c r="W28" s="558"/>
      <c r="X28" s="543"/>
    </row>
    <row r="29" spans="1:24" s="544" customFormat="1" x14ac:dyDescent="0.3">
      <c r="A29" s="555"/>
      <c r="B29" s="556" t="s">
        <v>10</v>
      </c>
      <c r="C29" s="563"/>
      <c r="D29" s="557" t="s">
        <v>249</v>
      </c>
      <c r="E29" s="557"/>
      <c r="F29" s="562" t="s">
        <v>250</v>
      </c>
      <c r="G29" s="557"/>
      <c r="H29" s="557" t="s">
        <v>251</v>
      </c>
      <c r="I29" s="557"/>
      <c r="J29" s="557" t="s">
        <v>253</v>
      </c>
      <c r="K29" s="557"/>
      <c r="L29" s="557" t="s">
        <v>254</v>
      </c>
      <c r="M29" s="557"/>
      <c r="N29" s="557" t="s">
        <v>255</v>
      </c>
      <c r="O29" s="557"/>
      <c r="P29" s="557" t="s">
        <v>256</v>
      </c>
      <c r="Q29" s="557"/>
      <c r="R29" s="557" t="s">
        <v>257</v>
      </c>
      <c r="S29" s="564"/>
      <c r="T29" s="564"/>
      <c r="U29" s="563"/>
      <c r="V29" s="564"/>
      <c r="W29" s="565"/>
      <c r="X29" s="543"/>
    </row>
    <row r="30" spans="1:24" s="544" customFormat="1" x14ac:dyDescent="0.3">
      <c r="A30" s="555"/>
      <c r="B30" s="556" t="s">
        <v>10</v>
      </c>
      <c r="C30" s="563"/>
      <c r="D30" s="557" t="s">
        <v>248</v>
      </c>
      <c r="E30" s="557"/>
      <c r="F30" s="562" t="s">
        <v>118</v>
      </c>
      <c r="G30" s="557"/>
      <c r="H30" s="557" t="s">
        <v>118</v>
      </c>
      <c r="I30" s="557"/>
      <c r="J30" s="557" t="s">
        <v>252</v>
      </c>
      <c r="K30" s="557"/>
      <c r="L30" s="557" t="s">
        <v>118</v>
      </c>
      <c r="M30" s="557"/>
      <c r="N30" s="557" t="s">
        <v>118</v>
      </c>
      <c r="O30" s="557"/>
      <c r="P30" s="557" t="s">
        <v>118</v>
      </c>
      <c r="Q30" s="557"/>
      <c r="R30" s="557" t="s">
        <v>118</v>
      </c>
      <c r="S30" s="564"/>
      <c r="T30" s="564"/>
      <c r="U30" s="563"/>
      <c r="V30" s="564"/>
      <c r="W30" s="565"/>
      <c r="X30" s="543"/>
    </row>
    <row r="31" spans="1:24" s="544" customFormat="1" x14ac:dyDescent="0.3">
      <c r="A31" s="559"/>
      <c r="B31" s="556" t="s">
        <v>133</v>
      </c>
      <c r="C31" s="566"/>
      <c r="D31" s="567">
        <v>1500000</v>
      </c>
      <c r="E31" s="563"/>
      <c r="F31" s="564">
        <v>125000</v>
      </c>
      <c r="G31" s="564"/>
      <c r="H31" s="568">
        <v>246000</v>
      </c>
      <c r="I31" s="568"/>
      <c r="J31" s="567">
        <v>400000</v>
      </c>
      <c r="K31" s="564"/>
      <c r="L31" s="564">
        <v>51900</v>
      </c>
      <c r="M31" s="564"/>
      <c r="N31" s="568">
        <v>88800</v>
      </c>
      <c r="O31" s="564"/>
      <c r="P31" s="564">
        <v>20000</v>
      </c>
      <c r="Q31" s="564"/>
      <c r="R31" s="568">
        <v>135500</v>
      </c>
      <c r="S31" s="569"/>
      <c r="T31" s="569"/>
      <c r="U31" s="566"/>
      <c r="V31" s="569"/>
      <c r="W31" s="565"/>
      <c r="X31" s="543"/>
    </row>
    <row r="32" spans="1:24" s="544" customFormat="1" x14ac:dyDescent="0.3">
      <c r="A32" s="555"/>
      <c r="B32" s="556" t="s">
        <v>132</v>
      </c>
      <c r="C32" s="563"/>
      <c r="D32" s="570">
        <f>D34*D38</f>
        <v>381199.94407319999</v>
      </c>
      <c r="E32" s="563"/>
      <c r="F32" s="564">
        <f>F31*F38</f>
        <v>61468.700000000004</v>
      </c>
      <c r="G32" s="564"/>
      <c r="H32" s="568">
        <f>H31*H38</f>
        <v>120970.4016</v>
      </c>
      <c r="I32" s="568"/>
      <c r="J32" s="567">
        <f>J31*J38</f>
        <v>196699.12</v>
      </c>
      <c r="K32" s="564"/>
      <c r="L32" s="564">
        <f>+L31</f>
        <v>51900</v>
      </c>
      <c r="M32" s="564"/>
      <c r="N32" s="568">
        <f>+N31</f>
        <v>88800</v>
      </c>
      <c r="O32" s="564"/>
      <c r="P32" s="564">
        <f>+P31</f>
        <v>20000</v>
      </c>
      <c r="Q32" s="564"/>
      <c r="R32" s="568">
        <f>+R31</f>
        <v>135500</v>
      </c>
      <c r="S32" s="564"/>
      <c r="T32" s="564"/>
      <c r="U32" s="563"/>
      <c r="V32" s="564"/>
      <c r="W32" s="565"/>
      <c r="X32" s="543"/>
    </row>
    <row r="33" spans="1:24" s="544" customFormat="1" x14ac:dyDescent="0.3">
      <c r="A33" s="555"/>
      <c r="B33" s="561" t="s">
        <v>134</v>
      </c>
      <c r="C33" s="563"/>
      <c r="D33" s="571">
        <f>D34*D37</f>
        <v>371069.63136180001</v>
      </c>
      <c r="E33" s="566"/>
      <c r="F33" s="569">
        <f>F37*F31</f>
        <v>59835.199999999997</v>
      </c>
      <c r="G33" s="569"/>
      <c r="H33" s="572">
        <f>H31*H37</f>
        <v>117755.67359999999</v>
      </c>
      <c r="I33" s="572"/>
      <c r="J33" s="573">
        <f>J37*J31</f>
        <v>191471.88</v>
      </c>
      <c r="K33" s="569"/>
      <c r="L33" s="569">
        <f>L31*L37</f>
        <v>51900</v>
      </c>
      <c r="M33" s="569"/>
      <c r="N33" s="572">
        <f>N31*N37</f>
        <v>88800</v>
      </c>
      <c r="O33" s="569"/>
      <c r="P33" s="569">
        <f>P31*P37</f>
        <v>20000</v>
      </c>
      <c r="Q33" s="569"/>
      <c r="R33" s="572">
        <f>R31*R37</f>
        <v>135500</v>
      </c>
      <c r="S33" s="564"/>
      <c r="T33" s="564"/>
      <c r="U33" s="563"/>
      <c r="V33" s="564"/>
      <c r="W33" s="565"/>
      <c r="X33" s="543"/>
    </row>
    <row r="34" spans="1:24" s="544" customFormat="1" x14ac:dyDescent="0.3">
      <c r="A34" s="559"/>
      <c r="B34" s="556" t="s">
        <v>296</v>
      </c>
      <c r="C34" s="566"/>
      <c r="D34" s="564">
        <v>775194</v>
      </c>
      <c r="E34" s="563"/>
      <c r="F34" s="564">
        <v>125000</v>
      </c>
      <c r="G34" s="564"/>
      <c r="H34" s="564">
        <v>168148</v>
      </c>
      <c r="I34" s="564"/>
      <c r="J34" s="564">
        <v>206718</v>
      </c>
      <c r="K34" s="564"/>
      <c r="L34" s="564">
        <v>51900</v>
      </c>
      <c r="M34" s="564"/>
      <c r="N34" s="564">
        <v>60697</v>
      </c>
      <c r="O34" s="564"/>
      <c r="P34" s="564">
        <v>20000</v>
      </c>
      <c r="Q34" s="564"/>
      <c r="R34" s="564">
        <v>92618</v>
      </c>
      <c r="S34" s="569"/>
      <c r="T34" s="569"/>
      <c r="U34" s="566"/>
      <c r="V34" s="564">
        <f>SUM(C34:R34)</f>
        <v>1500275</v>
      </c>
      <c r="W34" s="565"/>
      <c r="X34" s="543"/>
    </row>
    <row r="35" spans="1:24" s="544" customFormat="1" x14ac:dyDescent="0.3">
      <c r="A35" s="559"/>
      <c r="B35" s="556" t="s">
        <v>297</v>
      </c>
      <c r="C35" s="566"/>
      <c r="D35" s="564">
        <f>D34*D38</f>
        <v>381199.94407319999</v>
      </c>
      <c r="E35" s="563"/>
      <c r="F35" s="564">
        <f>F34*F38</f>
        <v>61468.700000000004</v>
      </c>
      <c r="G35" s="564"/>
      <c r="H35" s="564">
        <f>H34*H38</f>
        <v>82686.711740800005</v>
      </c>
      <c r="I35" s="564"/>
      <c r="J35" s="564">
        <f>J34*J38</f>
        <v>101653.1217204</v>
      </c>
      <c r="K35" s="564"/>
      <c r="L35" s="564">
        <f>+L34</f>
        <v>51900</v>
      </c>
      <c r="M35" s="564"/>
      <c r="N35" s="564">
        <f>+N34</f>
        <v>60697</v>
      </c>
      <c r="O35" s="564"/>
      <c r="P35" s="564">
        <f>+P34</f>
        <v>20000</v>
      </c>
      <c r="Q35" s="564"/>
      <c r="R35" s="564">
        <f>+R34</f>
        <v>92618</v>
      </c>
      <c r="S35" s="564"/>
      <c r="T35" s="564"/>
      <c r="U35" s="563"/>
      <c r="V35" s="564">
        <f>SUM(C35:R35)</f>
        <v>852223.47753440007</v>
      </c>
      <c r="W35" s="565"/>
      <c r="X35" s="543"/>
    </row>
    <row r="36" spans="1:24" s="544" customFormat="1" x14ac:dyDescent="0.3">
      <c r="A36" s="559"/>
      <c r="B36" s="561" t="s">
        <v>298</v>
      </c>
      <c r="C36" s="566"/>
      <c r="D36" s="569">
        <f>D34*D37</f>
        <v>371069.63136180001</v>
      </c>
      <c r="E36" s="566"/>
      <c r="F36" s="569">
        <f>F34*F37</f>
        <v>59835.199999999997</v>
      </c>
      <c r="G36" s="569"/>
      <c r="H36" s="569">
        <f>H34*H37</f>
        <v>80489.35367679999</v>
      </c>
      <c r="I36" s="569"/>
      <c r="J36" s="569">
        <f>J34*J37</f>
        <v>98951.710224599999</v>
      </c>
      <c r="K36" s="569"/>
      <c r="L36" s="569">
        <f>L34*L37</f>
        <v>51900</v>
      </c>
      <c r="M36" s="569"/>
      <c r="N36" s="569">
        <f>N34*N37</f>
        <v>60697</v>
      </c>
      <c r="O36" s="569"/>
      <c r="P36" s="569">
        <f>P34*P37</f>
        <v>20000</v>
      </c>
      <c r="Q36" s="569"/>
      <c r="R36" s="569">
        <f>R34*R37</f>
        <v>92618</v>
      </c>
      <c r="S36" s="574"/>
      <c r="T36" s="574"/>
      <c r="U36" s="563"/>
      <c r="V36" s="569">
        <f>SUM(C36:R36)</f>
        <v>835560.89526320004</v>
      </c>
      <c r="W36" s="565"/>
      <c r="X36" s="543"/>
    </row>
    <row r="37" spans="1:24" s="499" customFormat="1" x14ac:dyDescent="0.3">
      <c r="A37" s="492"/>
      <c r="B37" s="493" t="s">
        <v>130</v>
      </c>
      <c r="C37" s="494"/>
      <c r="D37" s="495">
        <v>0.47867969999999999</v>
      </c>
      <c r="E37" s="495"/>
      <c r="F37" s="495">
        <v>0.47868159999999998</v>
      </c>
      <c r="G37" s="495"/>
      <c r="H37" s="495">
        <v>0.47868159999999998</v>
      </c>
      <c r="I37" s="495"/>
      <c r="J37" s="495">
        <v>0.47867969999999999</v>
      </c>
      <c r="K37" s="495"/>
      <c r="L37" s="495">
        <v>1</v>
      </c>
      <c r="M37" s="495"/>
      <c r="N37" s="495">
        <v>1</v>
      </c>
      <c r="O37" s="495"/>
      <c r="P37" s="495">
        <v>1</v>
      </c>
      <c r="Q37" s="495"/>
      <c r="R37" s="495">
        <v>1</v>
      </c>
      <c r="S37" s="496"/>
      <c r="T37" s="496"/>
      <c r="U37" s="494"/>
      <c r="V37" s="494"/>
      <c r="W37" s="497"/>
      <c r="X37" s="498"/>
    </row>
    <row r="38" spans="1:24" s="499" customFormat="1" x14ac:dyDescent="0.3">
      <c r="A38" s="492"/>
      <c r="B38" s="493" t="s">
        <v>131</v>
      </c>
      <c r="C38" s="494"/>
      <c r="D38" s="495">
        <v>0.49174780000000001</v>
      </c>
      <c r="E38" s="495"/>
      <c r="F38" s="495">
        <v>0.49174960000000001</v>
      </c>
      <c r="G38" s="495"/>
      <c r="H38" s="495">
        <v>0.49174960000000001</v>
      </c>
      <c r="I38" s="495"/>
      <c r="J38" s="495">
        <v>0.49174780000000001</v>
      </c>
      <c r="K38" s="495"/>
      <c r="L38" s="495">
        <v>1</v>
      </c>
      <c r="M38" s="495"/>
      <c r="N38" s="495">
        <v>1</v>
      </c>
      <c r="O38" s="495"/>
      <c r="P38" s="495">
        <v>1</v>
      </c>
      <c r="Q38" s="495"/>
      <c r="R38" s="495">
        <v>1</v>
      </c>
      <c r="S38" s="500"/>
      <c r="T38" s="501"/>
      <c r="U38" s="494"/>
      <c r="V38" s="500"/>
      <c r="W38" s="497"/>
      <c r="X38" s="498"/>
    </row>
    <row r="39" spans="1:24" s="544" customFormat="1" x14ac:dyDescent="0.3">
      <c r="A39" s="555"/>
      <c r="B39" s="556" t="s">
        <v>11</v>
      </c>
      <c r="C39" s="556"/>
      <c r="D39" s="562" t="s">
        <v>321</v>
      </c>
      <c r="E39" s="556"/>
      <c r="F39" s="562" t="s">
        <v>231</v>
      </c>
      <c r="G39" s="562"/>
      <c r="H39" s="562" t="s">
        <v>231</v>
      </c>
      <c r="I39" s="562"/>
      <c r="J39" s="562" t="s">
        <v>231</v>
      </c>
      <c r="K39" s="562"/>
      <c r="L39" s="562" t="s">
        <v>265</v>
      </c>
      <c r="M39" s="562"/>
      <c r="N39" s="562" t="s">
        <v>265</v>
      </c>
      <c r="O39" s="562"/>
      <c r="P39" s="562" t="s">
        <v>266</v>
      </c>
      <c r="Q39" s="562"/>
      <c r="R39" s="562" t="s">
        <v>266</v>
      </c>
      <c r="S39" s="575"/>
      <c r="T39" s="576"/>
      <c r="U39" s="556"/>
      <c r="V39" s="556"/>
      <c r="W39" s="558"/>
      <c r="X39" s="543"/>
    </row>
    <row r="40" spans="1:24" s="544" customFormat="1" x14ac:dyDescent="0.3">
      <c r="A40" s="555"/>
      <c r="B40" s="556" t="s">
        <v>12</v>
      </c>
      <c r="C40" s="556"/>
      <c r="D40" s="576">
        <v>8.0590999999999996E-3</v>
      </c>
      <c r="E40" s="556"/>
      <c r="F40" s="576">
        <v>8.0590999999999996E-3</v>
      </c>
      <c r="G40" s="575"/>
      <c r="H40" s="576">
        <v>0</v>
      </c>
      <c r="I40" s="576"/>
      <c r="J40" s="576">
        <v>2.3244999999999998E-2</v>
      </c>
      <c r="K40" s="575"/>
      <c r="L40" s="576">
        <v>9.6591000000000003E-3</v>
      </c>
      <c r="M40" s="575"/>
      <c r="N40" s="576">
        <v>3.3E-4</v>
      </c>
      <c r="O40" s="575"/>
      <c r="P40" s="576">
        <v>1.36591E-2</v>
      </c>
      <c r="Q40" s="575"/>
      <c r="R40" s="576">
        <v>4.3299999999999996E-3</v>
      </c>
      <c r="S40" s="575"/>
      <c r="T40" s="576"/>
      <c r="U40" s="556"/>
      <c r="V40" s="562"/>
      <c r="W40" s="558"/>
      <c r="X40" s="543"/>
    </row>
    <row r="41" spans="1:24" s="544" customFormat="1" x14ac:dyDescent="0.3">
      <c r="A41" s="555"/>
      <c r="B41" s="556" t="s">
        <v>13</v>
      </c>
      <c r="C41" s="556"/>
      <c r="D41" s="576">
        <v>7.1618999999999997E-3</v>
      </c>
      <c r="E41" s="556"/>
      <c r="F41" s="576">
        <v>7.1618999999999997E-3</v>
      </c>
      <c r="G41" s="575"/>
      <c r="H41" s="576">
        <v>0</v>
      </c>
      <c r="I41" s="576"/>
      <c r="J41" s="576">
        <v>1.7884899999999999E-2</v>
      </c>
      <c r="K41" s="575"/>
      <c r="L41" s="576">
        <v>8.7618999999999995E-3</v>
      </c>
      <c r="M41" s="575"/>
      <c r="N41" s="576">
        <v>3.1E-4</v>
      </c>
      <c r="O41" s="575"/>
      <c r="P41" s="576">
        <v>1.27619E-2</v>
      </c>
      <c r="Q41" s="575"/>
      <c r="R41" s="576">
        <v>4.3099999999999996E-3</v>
      </c>
      <c r="S41" s="575"/>
      <c r="T41" s="576"/>
      <c r="U41" s="556"/>
      <c r="V41" s="575" t="s">
        <v>193</v>
      </c>
      <c r="W41" s="558"/>
      <c r="X41" s="543"/>
    </row>
    <row r="42" spans="1:24" s="544" customFormat="1" x14ac:dyDescent="0.3">
      <c r="A42" s="555"/>
      <c r="B42" s="556" t="s">
        <v>299</v>
      </c>
      <c r="C42" s="556"/>
      <c r="D42" s="562" t="s">
        <v>321</v>
      </c>
      <c r="E42" s="556"/>
      <c r="F42" s="562" t="s">
        <v>231</v>
      </c>
      <c r="G42" s="562"/>
      <c r="H42" s="562" t="s">
        <v>323</v>
      </c>
      <c r="I42" s="562"/>
      <c r="J42" s="562" t="s">
        <v>324</v>
      </c>
      <c r="K42" s="562"/>
      <c r="L42" s="562" t="s">
        <v>265</v>
      </c>
      <c r="M42" s="562"/>
      <c r="N42" s="562" t="s">
        <v>234</v>
      </c>
      <c r="O42" s="562"/>
      <c r="P42" s="562" t="s">
        <v>266</v>
      </c>
      <c r="Q42" s="562"/>
      <c r="R42" s="562" t="s">
        <v>264</v>
      </c>
      <c r="S42" s="575"/>
      <c r="T42" s="576"/>
      <c r="U42" s="556"/>
      <c r="V42" s="556"/>
      <c r="W42" s="558"/>
      <c r="X42" s="543"/>
    </row>
    <row r="43" spans="1:24" s="544" customFormat="1" x14ac:dyDescent="0.3">
      <c r="A43" s="555"/>
      <c r="B43" s="556" t="s">
        <v>300</v>
      </c>
      <c r="C43" s="577"/>
      <c r="D43" s="576">
        <f>D40</f>
        <v>8.0590999999999996E-3</v>
      </c>
      <c r="E43" s="576"/>
      <c r="F43" s="576">
        <f>+F40</f>
        <v>8.0590999999999996E-3</v>
      </c>
      <c r="G43" s="576"/>
      <c r="H43" s="576">
        <v>8.3391000000000003E-3</v>
      </c>
      <c r="I43" s="576"/>
      <c r="J43" s="576">
        <v>8.7851000000000005E-3</v>
      </c>
      <c r="K43" s="576"/>
      <c r="L43" s="576">
        <f>+L40</f>
        <v>9.6591000000000003E-3</v>
      </c>
      <c r="M43" s="576"/>
      <c r="N43" s="576">
        <v>1.0251100000000001E-2</v>
      </c>
      <c r="O43" s="576"/>
      <c r="P43" s="576">
        <f>+P40</f>
        <v>1.36591E-2</v>
      </c>
      <c r="Q43" s="575"/>
      <c r="R43" s="576">
        <v>1.47251E-2</v>
      </c>
      <c r="S43" s="562"/>
      <c r="T43" s="562"/>
      <c r="U43" s="556"/>
      <c r="V43" s="575">
        <f>SUMPRODUCT(D43:R43,D35:R35)/V35</f>
        <v>9.2822907300563126E-3</v>
      </c>
      <c r="W43" s="558"/>
      <c r="X43" s="543"/>
    </row>
    <row r="44" spans="1:24" s="544" customFormat="1" x14ac:dyDescent="0.3">
      <c r="A44" s="555"/>
      <c r="B44" s="556" t="s">
        <v>301</v>
      </c>
      <c r="C44" s="577"/>
      <c r="D44" s="576">
        <f>D41</f>
        <v>7.1618999999999997E-3</v>
      </c>
      <c r="E44" s="576"/>
      <c r="F44" s="576">
        <f>+F41</f>
        <v>7.1618999999999997E-3</v>
      </c>
      <c r="G44" s="576"/>
      <c r="H44" s="576">
        <v>7.4419000000000004E-3</v>
      </c>
      <c r="I44" s="576"/>
      <c r="J44" s="576">
        <v>7.8878999999999998E-3</v>
      </c>
      <c r="K44" s="576"/>
      <c r="L44" s="576">
        <f>+L41</f>
        <v>8.7618999999999995E-3</v>
      </c>
      <c r="M44" s="576"/>
      <c r="N44" s="576">
        <v>9.3539000000000001E-3</v>
      </c>
      <c r="O44" s="576"/>
      <c r="P44" s="576">
        <f>+P41</f>
        <v>1.27619E-2</v>
      </c>
      <c r="Q44" s="575"/>
      <c r="R44" s="576">
        <v>1.3827900000000001E-2</v>
      </c>
      <c r="S44" s="562"/>
      <c r="T44" s="562"/>
      <c r="U44" s="556"/>
      <c r="V44" s="556"/>
      <c r="W44" s="558"/>
      <c r="X44" s="543"/>
    </row>
    <row r="45" spans="1:24" s="544" customFormat="1" x14ac:dyDescent="0.3">
      <c r="A45" s="555"/>
      <c r="B45" s="556" t="s">
        <v>14</v>
      </c>
      <c r="C45" s="556"/>
      <c r="D45" s="577">
        <v>40617</v>
      </c>
      <c r="E45" s="577"/>
      <c r="F45" s="577">
        <v>40617</v>
      </c>
      <c r="G45" s="577"/>
      <c r="H45" s="577">
        <v>40617</v>
      </c>
      <c r="I45" s="577"/>
      <c r="J45" s="577">
        <v>40617</v>
      </c>
      <c r="K45" s="577"/>
      <c r="L45" s="577">
        <v>40617</v>
      </c>
      <c r="M45" s="577"/>
      <c r="N45" s="577">
        <v>40617</v>
      </c>
      <c r="O45" s="577"/>
      <c r="P45" s="577">
        <v>40617</v>
      </c>
      <c r="Q45" s="577"/>
      <c r="R45" s="577">
        <v>40617</v>
      </c>
      <c r="S45" s="562"/>
      <c r="T45" s="562"/>
      <c r="U45" s="556"/>
      <c r="V45" s="556"/>
      <c r="W45" s="558"/>
      <c r="X45" s="543"/>
    </row>
    <row r="46" spans="1:24" s="544" customFormat="1" x14ac:dyDescent="0.3">
      <c r="A46" s="555"/>
      <c r="B46" s="556" t="s">
        <v>15</v>
      </c>
      <c r="C46" s="556"/>
      <c r="D46" s="577">
        <v>40983</v>
      </c>
      <c r="E46" s="577"/>
      <c r="F46" s="577">
        <v>40983</v>
      </c>
      <c r="G46" s="577"/>
      <c r="H46" s="577">
        <v>40983</v>
      </c>
      <c r="I46" s="577"/>
      <c r="J46" s="577">
        <v>40983</v>
      </c>
      <c r="K46" s="562"/>
      <c r="L46" s="577">
        <v>40983</v>
      </c>
      <c r="M46" s="562"/>
      <c r="N46" s="577">
        <v>40983</v>
      </c>
      <c r="O46" s="562"/>
      <c r="P46" s="577">
        <v>40983</v>
      </c>
      <c r="Q46" s="562"/>
      <c r="R46" s="577">
        <v>40983</v>
      </c>
      <c r="S46" s="562"/>
      <c r="T46" s="562"/>
      <c r="U46" s="556"/>
      <c r="V46" s="556"/>
      <c r="W46" s="558"/>
      <c r="X46" s="543"/>
    </row>
    <row r="47" spans="1:24" s="544" customFormat="1" x14ac:dyDescent="0.3">
      <c r="A47" s="555"/>
      <c r="B47" s="556" t="s">
        <v>119</v>
      </c>
      <c r="C47" s="556"/>
      <c r="D47" s="562" t="s">
        <v>231</v>
      </c>
      <c r="E47" s="556"/>
      <c r="F47" s="562" t="s">
        <v>231</v>
      </c>
      <c r="G47" s="562"/>
      <c r="H47" s="562" t="s">
        <v>231</v>
      </c>
      <c r="I47" s="562"/>
      <c r="J47" s="562" t="s">
        <v>231</v>
      </c>
      <c r="K47" s="562"/>
      <c r="L47" s="562" t="s">
        <v>265</v>
      </c>
      <c r="M47" s="562"/>
      <c r="N47" s="562" t="s">
        <v>265</v>
      </c>
      <c r="O47" s="562"/>
      <c r="P47" s="562" t="s">
        <v>266</v>
      </c>
      <c r="Q47" s="562"/>
      <c r="R47" s="562" t="s">
        <v>266</v>
      </c>
      <c r="S47" s="578"/>
      <c r="T47" s="578"/>
      <c r="U47" s="578"/>
      <c r="V47" s="578"/>
      <c r="W47" s="558"/>
      <c r="X47" s="543"/>
    </row>
    <row r="48" spans="1:24" s="544" customFormat="1" x14ac:dyDescent="0.3">
      <c r="A48" s="555"/>
      <c r="B48" s="556" t="s">
        <v>302</v>
      </c>
      <c r="C48" s="556"/>
      <c r="D48" s="562" t="s">
        <v>325</v>
      </c>
      <c r="E48" s="556"/>
      <c r="F48" s="562" t="s">
        <v>231</v>
      </c>
      <c r="G48" s="562"/>
      <c r="H48" s="562" t="s">
        <v>262</v>
      </c>
      <c r="I48" s="562"/>
      <c r="J48" s="562" t="s">
        <v>263</v>
      </c>
      <c r="K48" s="562"/>
      <c r="L48" s="562" t="s">
        <v>265</v>
      </c>
      <c r="M48" s="562"/>
      <c r="N48" s="562" t="s">
        <v>234</v>
      </c>
      <c r="O48" s="562"/>
      <c r="P48" s="562" t="s">
        <v>266</v>
      </c>
      <c r="Q48" s="562"/>
      <c r="R48" s="562" t="s">
        <v>264</v>
      </c>
      <c r="S48" s="556"/>
      <c r="T48" s="556"/>
      <c r="U48" s="556"/>
      <c r="V48" s="575"/>
      <c r="W48" s="558"/>
      <c r="X48" s="543"/>
    </row>
    <row r="49" spans="1:25" s="544" customFormat="1" x14ac:dyDescent="0.3">
      <c r="A49" s="555"/>
      <c r="B49" s="556"/>
      <c r="C49" s="556"/>
      <c r="D49" s="562"/>
      <c r="E49" s="556"/>
      <c r="F49" s="562"/>
      <c r="G49" s="562"/>
      <c r="H49" s="562"/>
      <c r="I49" s="562"/>
      <c r="J49" s="562"/>
      <c r="K49" s="562"/>
      <c r="L49" s="562"/>
      <c r="M49" s="562"/>
      <c r="N49" s="562"/>
      <c r="O49" s="562"/>
      <c r="P49" s="562"/>
      <c r="Q49" s="562"/>
      <c r="R49" s="562"/>
      <c r="S49" s="556"/>
      <c r="T49" s="556"/>
      <c r="U49" s="556"/>
      <c r="V49" s="575" t="s">
        <v>193</v>
      </c>
      <c r="W49" s="558"/>
      <c r="X49" s="543"/>
    </row>
    <row r="50" spans="1:25" s="544" customFormat="1" x14ac:dyDescent="0.3">
      <c r="A50" s="555"/>
      <c r="B50" s="556" t="s">
        <v>169</v>
      </c>
      <c r="C50" s="556"/>
      <c r="D50" s="562"/>
      <c r="E50" s="556"/>
      <c r="F50" s="562"/>
      <c r="G50" s="562"/>
      <c r="H50" s="562"/>
      <c r="I50" s="562"/>
      <c r="J50" s="562"/>
      <c r="K50" s="562"/>
      <c r="L50" s="562"/>
      <c r="M50" s="562"/>
      <c r="N50" s="562"/>
      <c r="O50" s="562"/>
      <c r="P50" s="562"/>
      <c r="Q50" s="562"/>
      <c r="R50" s="562"/>
      <c r="S50" s="556"/>
      <c r="T50" s="556"/>
      <c r="U50" s="556"/>
      <c r="V50" s="575">
        <f>SUM(L34:R34)/SUM(D34:J34)</f>
        <v>0.17663090364375009</v>
      </c>
      <c r="W50" s="558"/>
      <c r="X50" s="543"/>
    </row>
    <row r="51" spans="1:25" s="544" customFormat="1" x14ac:dyDescent="0.3">
      <c r="A51" s="555"/>
      <c r="B51" s="556" t="s">
        <v>170</v>
      </c>
      <c r="C51" s="556"/>
      <c r="D51" s="556"/>
      <c r="E51" s="556"/>
      <c r="F51" s="579"/>
      <c r="G51" s="556"/>
      <c r="H51" s="556"/>
      <c r="I51" s="556"/>
      <c r="J51" s="556"/>
      <c r="K51" s="556"/>
      <c r="L51" s="556"/>
      <c r="M51" s="556"/>
      <c r="N51" s="556"/>
      <c r="O51" s="556"/>
      <c r="P51" s="556"/>
      <c r="Q51" s="556"/>
      <c r="R51" s="556"/>
      <c r="S51" s="556"/>
      <c r="T51" s="556"/>
      <c r="U51" s="556"/>
      <c r="V51" s="575">
        <f>SUM(L36:R36)/SUM(D36:J36)</f>
        <v>0.36899568219899359</v>
      </c>
      <c r="W51" s="558"/>
      <c r="X51" s="543"/>
    </row>
    <row r="52" spans="1:25" s="544" customFormat="1" x14ac:dyDescent="0.3">
      <c r="A52" s="555"/>
      <c r="B52" s="556" t="s">
        <v>171</v>
      </c>
      <c r="C52" s="556"/>
      <c r="D52" s="556"/>
      <c r="E52" s="556"/>
      <c r="F52" s="556"/>
      <c r="G52" s="556"/>
      <c r="H52" s="556"/>
      <c r="I52" s="556"/>
      <c r="J52" s="556"/>
      <c r="K52" s="556"/>
      <c r="L52" s="556"/>
      <c r="M52" s="556"/>
      <c r="N52" s="556"/>
      <c r="O52" s="556"/>
      <c r="P52" s="556"/>
      <c r="Q52" s="556"/>
      <c r="R52" s="556"/>
      <c r="S52" s="556"/>
      <c r="T52" s="562"/>
      <c r="U52" s="562"/>
      <c r="V52" s="564" t="s">
        <v>276</v>
      </c>
      <c r="W52" s="558"/>
      <c r="X52" s="543"/>
    </row>
    <row r="53" spans="1:25" s="544" customFormat="1" x14ac:dyDescent="0.3">
      <c r="A53" s="555"/>
      <c r="B53" s="556"/>
      <c r="C53" s="556"/>
      <c r="D53" s="556"/>
      <c r="E53" s="556"/>
      <c r="F53" s="556"/>
      <c r="G53" s="556"/>
      <c r="H53" s="556"/>
      <c r="I53" s="556"/>
      <c r="J53" s="556"/>
      <c r="K53" s="556"/>
      <c r="L53" s="556"/>
      <c r="M53" s="556"/>
      <c r="N53" s="556"/>
      <c r="O53" s="556"/>
      <c r="P53" s="556"/>
      <c r="Q53" s="556"/>
      <c r="R53" s="556"/>
      <c r="S53" s="556"/>
      <c r="T53" s="556"/>
      <c r="U53" s="556"/>
      <c r="V53" s="580"/>
      <c r="W53" s="558"/>
      <c r="X53" s="543"/>
    </row>
    <row r="54" spans="1:25" s="544" customFormat="1" x14ac:dyDescent="0.3">
      <c r="A54" s="555"/>
      <c r="B54" s="556" t="s">
        <v>361</v>
      </c>
      <c r="C54" s="556"/>
      <c r="D54" s="556"/>
      <c r="E54" s="556"/>
      <c r="F54" s="556"/>
      <c r="G54" s="556"/>
      <c r="H54" s="556"/>
      <c r="I54" s="556"/>
      <c r="J54" s="556"/>
      <c r="K54" s="556"/>
      <c r="L54" s="556"/>
      <c r="M54" s="556"/>
      <c r="N54" s="556"/>
      <c r="O54" s="556"/>
      <c r="P54" s="556"/>
      <c r="Q54" s="556"/>
      <c r="R54" s="556"/>
      <c r="S54" s="556"/>
      <c r="T54" s="562"/>
      <c r="U54" s="562"/>
      <c r="V54" s="581" t="s">
        <v>111</v>
      </c>
      <c r="W54" s="558"/>
      <c r="X54" s="543"/>
    </row>
    <row r="55" spans="1:25" s="544" customFormat="1" x14ac:dyDescent="0.3">
      <c r="A55" s="555"/>
      <c r="B55" s="561" t="s">
        <v>201</v>
      </c>
      <c r="C55" s="561"/>
      <c r="D55" s="561"/>
      <c r="E55" s="561"/>
      <c r="F55" s="561"/>
      <c r="G55" s="561"/>
      <c r="H55" s="561"/>
      <c r="I55" s="561"/>
      <c r="J55" s="561"/>
      <c r="K55" s="561"/>
      <c r="L55" s="561"/>
      <c r="M55" s="561"/>
      <c r="N55" s="561"/>
      <c r="O55" s="561"/>
      <c r="P55" s="561"/>
      <c r="Q55" s="561"/>
      <c r="R55" s="561"/>
      <c r="S55" s="561"/>
      <c r="T55" s="582"/>
      <c r="U55" s="582"/>
      <c r="V55" s="583">
        <v>43266</v>
      </c>
      <c r="W55" s="558"/>
      <c r="X55" s="543"/>
    </row>
    <row r="56" spans="1:25" s="544" customFormat="1" x14ac:dyDescent="0.3">
      <c r="A56" s="555"/>
      <c r="B56" s="556" t="s">
        <v>121</v>
      </c>
      <c r="C56" s="556"/>
      <c r="D56" s="556"/>
      <c r="E56" s="556"/>
      <c r="F56" s="556"/>
      <c r="G56" s="556"/>
      <c r="H56" s="584"/>
      <c r="I56" s="584"/>
      <c r="J56" s="584"/>
      <c r="K56" s="584"/>
      <c r="L56" s="584"/>
      <c r="M56" s="584"/>
      <c r="N56" s="584"/>
      <c r="O56" s="584"/>
      <c r="P56" s="584"/>
      <c r="Q56" s="584"/>
      <c r="R56" s="556">
        <f>+V56-T56+1</f>
        <v>90</v>
      </c>
      <c r="S56" s="584"/>
      <c r="T56" s="585">
        <v>43084</v>
      </c>
      <c r="U56" s="586"/>
      <c r="V56" s="585">
        <v>43173</v>
      </c>
      <c r="W56" s="558"/>
      <c r="X56" s="543"/>
    </row>
    <row r="57" spans="1:25" s="544" customFormat="1" x14ac:dyDescent="0.3">
      <c r="A57" s="555"/>
      <c r="B57" s="556" t="s">
        <v>122</v>
      </c>
      <c r="C57" s="556"/>
      <c r="D57" s="556"/>
      <c r="E57" s="556"/>
      <c r="F57" s="556"/>
      <c r="G57" s="556"/>
      <c r="H57" s="556"/>
      <c r="I57" s="556"/>
      <c r="J57" s="556"/>
      <c r="K57" s="556"/>
      <c r="L57" s="556"/>
      <c r="M57" s="556"/>
      <c r="N57" s="556"/>
      <c r="O57" s="556"/>
      <c r="P57" s="556"/>
      <c r="Q57" s="556"/>
      <c r="R57" s="556">
        <f>+V57-T57+1</f>
        <v>92</v>
      </c>
      <c r="S57" s="556"/>
      <c r="T57" s="585">
        <v>43174</v>
      </c>
      <c r="U57" s="586"/>
      <c r="V57" s="585">
        <v>43265</v>
      </c>
      <c r="W57" s="558"/>
      <c r="X57" s="543"/>
    </row>
    <row r="58" spans="1:25" s="544" customFormat="1" x14ac:dyDescent="0.3">
      <c r="A58" s="555"/>
      <c r="B58" s="556" t="s">
        <v>360</v>
      </c>
      <c r="C58" s="556"/>
      <c r="D58" s="556"/>
      <c r="E58" s="556"/>
      <c r="F58" s="556"/>
      <c r="G58" s="556"/>
      <c r="H58" s="556"/>
      <c r="I58" s="556"/>
      <c r="J58" s="556"/>
      <c r="K58" s="556"/>
      <c r="L58" s="556"/>
      <c r="M58" s="556"/>
      <c r="N58" s="556"/>
      <c r="O58" s="556"/>
      <c r="P58" s="556"/>
      <c r="Q58" s="556"/>
      <c r="R58" s="556"/>
      <c r="S58" s="556"/>
      <c r="T58" s="585"/>
      <c r="U58" s="586"/>
      <c r="V58" s="585" t="s">
        <v>120</v>
      </c>
      <c r="W58" s="558"/>
      <c r="X58" s="543"/>
    </row>
    <row r="59" spans="1:25" s="544" customFormat="1" x14ac:dyDescent="0.3">
      <c r="A59" s="555"/>
      <c r="B59" s="556" t="s">
        <v>359</v>
      </c>
      <c r="C59" s="556"/>
      <c r="D59" s="556"/>
      <c r="E59" s="556"/>
      <c r="F59" s="556"/>
      <c r="G59" s="556"/>
      <c r="H59" s="556"/>
      <c r="I59" s="556"/>
      <c r="J59" s="556"/>
      <c r="K59" s="556"/>
      <c r="L59" s="556"/>
      <c r="M59" s="556"/>
      <c r="N59" s="556"/>
      <c r="O59" s="556"/>
      <c r="P59" s="556"/>
      <c r="Q59" s="556"/>
      <c r="R59" s="556"/>
      <c r="S59" s="556"/>
      <c r="T59" s="585"/>
      <c r="U59" s="586"/>
      <c r="V59" s="585" t="s">
        <v>154</v>
      </c>
      <c r="W59" s="558"/>
      <c r="X59" s="543"/>
      <c r="Y59" s="587"/>
    </row>
    <row r="60" spans="1:25" s="544" customFormat="1" x14ac:dyDescent="0.3">
      <c r="A60" s="555"/>
      <c r="B60" s="556" t="s">
        <v>16</v>
      </c>
      <c r="C60" s="556"/>
      <c r="D60" s="556"/>
      <c r="E60" s="556"/>
      <c r="F60" s="556"/>
      <c r="G60" s="556"/>
      <c r="H60" s="556"/>
      <c r="I60" s="556"/>
      <c r="J60" s="556"/>
      <c r="K60" s="556"/>
      <c r="L60" s="556"/>
      <c r="M60" s="556"/>
      <c r="N60" s="556"/>
      <c r="O60" s="556"/>
      <c r="P60" s="556"/>
      <c r="Q60" s="556"/>
      <c r="R60" s="556"/>
      <c r="S60" s="556"/>
      <c r="T60" s="585"/>
      <c r="U60" s="586"/>
      <c r="V60" s="585">
        <v>43252</v>
      </c>
      <c r="W60" s="558"/>
      <c r="X60" s="543"/>
    </row>
    <row r="61" spans="1:25" s="544" customFormat="1" x14ac:dyDescent="0.3">
      <c r="A61" s="540"/>
      <c r="B61" s="588"/>
      <c r="C61" s="588"/>
      <c r="D61" s="588"/>
      <c r="E61" s="588"/>
      <c r="F61" s="588"/>
      <c r="G61" s="588"/>
      <c r="H61" s="588"/>
      <c r="I61" s="588"/>
      <c r="J61" s="588"/>
      <c r="K61" s="588"/>
      <c r="L61" s="588"/>
      <c r="M61" s="588"/>
      <c r="N61" s="588"/>
      <c r="O61" s="588"/>
      <c r="P61" s="588"/>
      <c r="Q61" s="588"/>
      <c r="R61" s="588"/>
      <c r="S61" s="588"/>
      <c r="T61" s="589"/>
      <c r="U61" s="590"/>
      <c r="V61" s="589"/>
      <c r="W61" s="588"/>
      <c r="X61" s="543"/>
    </row>
    <row r="62" spans="1:25" s="544" customFormat="1" x14ac:dyDescent="0.3">
      <c r="A62" s="540"/>
      <c r="B62" s="541"/>
      <c r="C62" s="541"/>
      <c r="D62" s="541"/>
      <c r="E62" s="541"/>
      <c r="F62" s="541"/>
      <c r="G62" s="541"/>
      <c r="H62" s="541"/>
      <c r="I62" s="541"/>
      <c r="J62" s="541"/>
      <c r="K62" s="541"/>
      <c r="L62" s="541"/>
      <c r="M62" s="541"/>
      <c r="N62" s="541"/>
      <c r="O62" s="541"/>
      <c r="P62" s="541"/>
      <c r="Q62" s="541"/>
      <c r="R62" s="541"/>
      <c r="S62" s="541"/>
      <c r="T62" s="591"/>
      <c r="U62" s="592"/>
      <c r="V62" s="591"/>
      <c r="W62" s="541"/>
      <c r="X62" s="543"/>
    </row>
    <row r="63" spans="1:25" s="544" customFormat="1" ht="18.600000000000001" thickBot="1" x14ac:dyDescent="0.4">
      <c r="A63" s="593"/>
      <c r="B63" s="594" t="s">
        <v>377</v>
      </c>
      <c r="C63" s="595"/>
      <c r="D63" s="595"/>
      <c r="E63" s="595"/>
      <c r="F63" s="595"/>
      <c r="G63" s="595"/>
      <c r="H63" s="595"/>
      <c r="I63" s="595"/>
      <c r="J63" s="595"/>
      <c r="K63" s="595"/>
      <c r="L63" s="595"/>
      <c r="M63" s="595"/>
      <c r="N63" s="595"/>
      <c r="O63" s="595"/>
      <c r="P63" s="595"/>
      <c r="Q63" s="595"/>
      <c r="R63" s="595"/>
      <c r="S63" s="595"/>
      <c r="T63" s="595"/>
      <c r="U63" s="595"/>
      <c r="V63" s="596"/>
      <c r="W63" s="597"/>
      <c r="X63" s="543"/>
    </row>
    <row r="64" spans="1:25" x14ac:dyDescent="0.3">
      <c r="A64" s="515"/>
      <c r="B64" s="521" t="s">
        <v>17</v>
      </c>
      <c r="C64" s="516"/>
      <c r="D64" s="516"/>
      <c r="E64" s="516"/>
      <c r="F64" s="516"/>
      <c r="G64" s="516"/>
      <c r="H64" s="516"/>
      <c r="I64" s="516"/>
      <c r="J64" s="516"/>
      <c r="K64" s="516"/>
      <c r="L64" s="516"/>
      <c r="M64" s="516"/>
      <c r="N64" s="516"/>
      <c r="O64" s="516"/>
      <c r="P64" s="516"/>
      <c r="Q64" s="516"/>
      <c r="R64" s="516"/>
      <c r="S64" s="516"/>
      <c r="T64" s="516"/>
      <c r="U64" s="516"/>
      <c r="V64" s="522"/>
      <c r="W64" s="516"/>
      <c r="X64" s="415"/>
    </row>
    <row r="65" spans="1:24" x14ac:dyDescent="0.3">
      <c r="A65" s="417"/>
      <c r="B65" s="425"/>
      <c r="C65" s="419"/>
      <c r="D65" s="419"/>
      <c r="E65" s="419"/>
      <c r="F65" s="419"/>
      <c r="G65" s="419"/>
      <c r="H65" s="419"/>
      <c r="I65" s="419"/>
      <c r="J65" s="419"/>
      <c r="K65" s="419"/>
      <c r="L65" s="419"/>
      <c r="M65" s="419"/>
      <c r="N65" s="419"/>
      <c r="O65" s="419"/>
      <c r="P65" s="419"/>
      <c r="Q65" s="419"/>
      <c r="R65" s="419"/>
      <c r="S65" s="419"/>
      <c r="T65" s="419"/>
      <c r="U65" s="419"/>
      <c r="V65" s="439"/>
      <c r="W65" s="419"/>
      <c r="X65" s="415"/>
    </row>
    <row r="66" spans="1:24" s="499" customFormat="1" ht="46.8" x14ac:dyDescent="0.3">
      <c r="A66" s="502"/>
      <c r="B66" s="503" t="s">
        <v>18</v>
      </c>
      <c r="C66" s="504"/>
      <c r="D66" s="504"/>
      <c r="E66" s="504"/>
      <c r="F66" s="504"/>
      <c r="G66" s="504"/>
      <c r="H66" s="504"/>
      <c r="I66" s="504"/>
      <c r="J66" s="504"/>
      <c r="K66" s="504"/>
      <c r="L66" s="504" t="s">
        <v>94</v>
      </c>
      <c r="M66" s="504"/>
      <c r="N66" s="504" t="s">
        <v>96</v>
      </c>
      <c r="O66" s="504"/>
      <c r="P66" s="504" t="s">
        <v>98</v>
      </c>
      <c r="Q66" s="504"/>
      <c r="R66" s="504" t="s">
        <v>100</v>
      </c>
      <c r="S66" s="504"/>
      <c r="T66" s="504" t="s">
        <v>106</v>
      </c>
      <c r="U66" s="504"/>
      <c r="V66" s="505" t="s">
        <v>112</v>
      </c>
      <c r="W66" s="506"/>
      <c r="X66" s="498"/>
    </row>
    <row r="67" spans="1:24" s="544" customFormat="1" x14ac:dyDescent="0.3">
      <c r="A67" s="555"/>
      <c r="B67" s="556" t="s">
        <v>19</v>
      </c>
      <c r="C67" s="598"/>
      <c r="D67" s="598"/>
      <c r="E67" s="598"/>
      <c r="F67" s="598"/>
      <c r="G67" s="598"/>
      <c r="H67" s="598"/>
      <c r="I67" s="598"/>
      <c r="J67" s="598"/>
      <c r="K67" s="598"/>
      <c r="L67" s="598">
        <v>1158015</v>
      </c>
      <c r="M67" s="598"/>
      <c r="N67" s="599">
        <v>852223</v>
      </c>
      <c r="O67" s="598"/>
      <c r="P67" s="598">
        <f>16663+25-1</f>
        <v>16687</v>
      </c>
      <c r="Q67" s="598"/>
      <c r="R67" s="598">
        <v>25</v>
      </c>
      <c r="S67" s="598"/>
      <c r="T67" s="598">
        <v>0</v>
      </c>
      <c r="U67" s="598"/>
      <c r="V67" s="599">
        <f>+N67-P67+R67-T67</f>
        <v>835561</v>
      </c>
      <c r="W67" s="558"/>
      <c r="X67" s="543"/>
    </row>
    <row r="68" spans="1:24" s="544" customFormat="1" x14ac:dyDescent="0.3">
      <c r="A68" s="555"/>
      <c r="B68" s="556" t="s">
        <v>20</v>
      </c>
      <c r="C68" s="598"/>
      <c r="D68" s="598"/>
      <c r="E68" s="598"/>
      <c r="F68" s="598"/>
      <c r="G68" s="598"/>
      <c r="H68" s="598"/>
      <c r="I68" s="598"/>
      <c r="J68" s="598"/>
      <c r="K68" s="598"/>
      <c r="L68" s="598">
        <v>15</v>
      </c>
      <c r="M68" s="598"/>
      <c r="N68" s="599">
        <v>0</v>
      </c>
      <c r="O68" s="598"/>
      <c r="P68" s="598">
        <v>0</v>
      </c>
      <c r="Q68" s="598"/>
      <c r="R68" s="598">
        <v>0</v>
      </c>
      <c r="S68" s="598"/>
      <c r="T68" s="598">
        <v>0</v>
      </c>
      <c r="U68" s="598"/>
      <c r="V68" s="599">
        <v>0</v>
      </c>
      <c r="W68" s="558"/>
      <c r="X68" s="543"/>
    </row>
    <row r="69" spans="1:24" s="544" customFormat="1" x14ac:dyDescent="0.3">
      <c r="A69" s="555"/>
      <c r="B69" s="556"/>
      <c r="C69" s="598"/>
      <c r="D69" s="598"/>
      <c r="E69" s="598"/>
      <c r="F69" s="598"/>
      <c r="G69" s="598"/>
      <c r="H69" s="598"/>
      <c r="I69" s="598"/>
      <c r="J69" s="598"/>
      <c r="K69" s="598"/>
      <c r="L69" s="598"/>
      <c r="M69" s="598"/>
      <c r="N69" s="599"/>
      <c r="O69" s="598"/>
      <c r="P69" s="598"/>
      <c r="Q69" s="598"/>
      <c r="R69" s="598"/>
      <c r="S69" s="598"/>
      <c r="T69" s="598"/>
      <c r="U69" s="598"/>
      <c r="V69" s="599"/>
      <c r="W69" s="558"/>
      <c r="X69" s="543"/>
    </row>
    <row r="70" spans="1:24" s="544" customFormat="1" x14ac:dyDescent="0.3">
      <c r="A70" s="555"/>
      <c r="B70" s="556" t="s">
        <v>21</v>
      </c>
      <c r="C70" s="598"/>
      <c r="D70" s="598"/>
      <c r="E70" s="598"/>
      <c r="F70" s="598"/>
      <c r="G70" s="598"/>
      <c r="H70" s="598"/>
      <c r="I70" s="598"/>
      <c r="J70" s="598"/>
      <c r="K70" s="598"/>
      <c r="L70" s="598">
        <f>SUM(L67:L69)</f>
        <v>1158030</v>
      </c>
      <c r="M70" s="598"/>
      <c r="N70" s="598">
        <f>N67+N68</f>
        <v>852223</v>
      </c>
      <c r="O70" s="598"/>
      <c r="P70" s="598">
        <f>SUM(P67:P69)</f>
        <v>16687</v>
      </c>
      <c r="Q70" s="598"/>
      <c r="R70" s="598">
        <f>SUM(R67:R69)</f>
        <v>25</v>
      </c>
      <c r="S70" s="598"/>
      <c r="T70" s="598">
        <f>SUM(T67:T69)</f>
        <v>0</v>
      </c>
      <c r="U70" s="598"/>
      <c r="V70" s="598">
        <f>SUM(V67:V69)</f>
        <v>835561</v>
      </c>
      <c r="W70" s="558"/>
      <c r="X70" s="543"/>
    </row>
    <row r="71" spans="1:24" x14ac:dyDescent="0.3">
      <c r="A71" s="417"/>
      <c r="B71" s="441"/>
      <c r="C71" s="442"/>
      <c r="D71" s="442"/>
      <c r="E71" s="442"/>
      <c r="F71" s="442"/>
      <c r="G71" s="442"/>
      <c r="H71" s="442"/>
      <c r="I71" s="442"/>
      <c r="J71" s="442"/>
      <c r="K71" s="442"/>
      <c r="L71" s="442"/>
      <c r="M71" s="442"/>
      <c r="N71" s="442"/>
      <c r="O71" s="442"/>
      <c r="P71" s="442"/>
      <c r="Q71" s="442"/>
      <c r="R71" s="442"/>
      <c r="S71" s="442"/>
      <c r="T71" s="442"/>
      <c r="U71" s="442"/>
      <c r="V71" s="443"/>
      <c r="W71" s="441"/>
      <c r="X71" s="415"/>
    </row>
    <row r="72" spans="1:24" x14ac:dyDescent="0.3">
      <c r="A72" s="417"/>
      <c r="B72" s="421" t="s">
        <v>22</v>
      </c>
      <c r="C72" s="444"/>
      <c r="D72" s="444"/>
      <c r="E72" s="444"/>
      <c r="F72" s="444"/>
      <c r="G72" s="444"/>
      <c r="H72" s="444"/>
      <c r="I72" s="444"/>
      <c r="J72" s="444"/>
      <c r="K72" s="444"/>
      <c r="L72" s="444"/>
      <c r="M72" s="444"/>
      <c r="N72" s="444"/>
      <c r="O72" s="444"/>
      <c r="P72" s="444"/>
      <c r="Q72" s="444"/>
      <c r="R72" s="444"/>
      <c r="S72" s="444"/>
      <c r="T72" s="444"/>
      <c r="U72" s="444"/>
      <c r="V72" s="445"/>
      <c r="W72" s="419"/>
      <c r="X72" s="415"/>
    </row>
    <row r="73" spans="1:24" x14ac:dyDescent="0.3">
      <c r="A73" s="417"/>
      <c r="B73" s="419"/>
      <c r="C73" s="444"/>
      <c r="D73" s="444"/>
      <c r="E73" s="444"/>
      <c r="F73" s="444"/>
      <c r="G73" s="444"/>
      <c r="H73" s="444"/>
      <c r="I73" s="444"/>
      <c r="J73" s="444"/>
      <c r="K73" s="444"/>
      <c r="L73" s="444"/>
      <c r="M73" s="444"/>
      <c r="N73" s="444"/>
      <c r="O73" s="444"/>
      <c r="P73" s="444"/>
      <c r="Q73" s="444"/>
      <c r="R73" s="444"/>
      <c r="S73" s="444"/>
      <c r="T73" s="444"/>
      <c r="U73" s="444"/>
      <c r="V73" s="445"/>
      <c r="W73" s="419"/>
      <c r="X73" s="415"/>
    </row>
    <row r="74" spans="1:24" s="544" customFormat="1" x14ac:dyDescent="0.3">
      <c r="A74" s="555"/>
      <c r="B74" s="556" t="s">
        <v>19</v>
      </c>
      <c r="C74" s="598"/>
      <c r="D74" s="598"/>
      <c r="E74" s="598"/>
      <c r="F74" s="598"/>
      <c r="G74" s="598"/>
      <c r="H74" s="598"/>
      <c r="I74" s="598"/>
      <c r="J74" s="598"/>
      <c r="K74" s="598"/>
      <c r="L74" s="598"/>
      <c r="M74" s="598"/>
      <c r="N74" s="598"/>
      <c r="O74" s="598"/>
      <c r="P74" s="598"/>
      <c r="Q74" s="598"/>
      <c r="R74" s="598"/>
      <c r="S74" s="598"/>
      <c r="T74" s="598"/>
      <c r="U74" s="598"/>
      <c r="V74" s="598"/>
      <c r="W74" s="558"/>
      <c r="X74" s="543"/>
    </row>
    <row r="75" spans="1:24" s="544" customFormat="1" x14ac:dyDescent="0.3">
      <c r="A75" s="555"/>
      <c r="B75" s="556" t="s">
        <v>20</v>
      </c>
      <c r="C75" s="598"/>
      <c r="D75" s="598"/>
      <c r="E75" s="598"/>
      <c r="F75" s="598"/>
      <c r="G75" s="598"/>
      <c r="H75" s="598"/>
      <c r="I75" s="598"/>
      <c r="J75" s="598"/>
      <c r="K75" s="598"/>
      <c r="L75" s="598"/>
      <c r="M75" s="598"/>
      <c r="N75" s="598"/>
      <c r="O75" s="598"/>
      <c r="P75" s="598"/>
      <c r="Q75" s="598"/>
      <c r="R75" s="598"/>
      <c r="S75" s="598"/>
      <c r="T75" s="598"/>
      <c r="U75" s="598"/>
      <c r="V75" s="598"/>
      <c r="W75" s="558"/>
      <c r="X75" s="543"/>
    </row>
    <row r="76" spans="1:24" s="544" customFormat="1" x14ac:dyDescent="0.3">
      <c r="A76" s="555"/>
      <c r="B76" s="556"/>
      <c r="C76" s="598"/>
      <c r="D76" s="598"/>
      <c r="E76" s="598"/>
      <c r="F76" s="598"/>
      <c r="G76" s="598"/>
      <c r="H76" s="598"/>
      <c r="I76" s="598"/>
      <c r="J76" s="598"/>
      <c r="K76" s="598"/>
      <c r="L76" s="598"/>
      <c r="M76" s="598"/>
      <c r="N76" s="598"/>
      <c r="O76" s="598"/>
      <c r="P76" s="598"/>
      <c r="Q76" s="598"/>
      <c r="R76" s="598"/>
      <c r="S76" s="598"/>
      <c r="T76" s="598"/>
      <c r="U76" s="598"/>
      <c r="V76" s="598"/>
      <c r="W76" s="558"/>
      <c r="X76" s="543"/>
    </row>
    <row r="77" spans="1:24" s="544" customFormat="1" x14ac:dyDescent="0.3">
      <c r="A77" s="555"/>
      <c r="B77" s="556" t="s">
        <v>21</v>
      </c>
      <c r="C77" s="598"/>
      <c r="D77" s="598"/>
      <c r="E77" s="598"/>
      <c r="F77" s="598"/>
      <c r="G77" s="598"/>
      <c r="H77" s="598"/>
      <c r="I77" s="598"/>
      <c r="J77" s="598"/>
      <c r="K77" s="598"/>
      <c r="L77" s="598"/>
      <c r="M77" s="598"/>
      <c r="N77" s="598"/>
      <c r="O77" s="598"/>
      <c r="P77" s="598"/>
      <c r="Q77" s="598"/>
      <c r="R77" s="598"/>
      <c r="S77" s="598"/>
      <c r="T77" s="598"/>
      <c r="U77" s="598"/>
      <c r="V77" s="598"/>
      <c r="W77" s="558"/>
      <c r="X77" s="543"/>
    </row>
    <row r="78" spans="1:24" s="544" customFormat="1" x14ac:dyDescent="0.3">
      <c r="A78" s="555"/>
      <c r="B78" s="556"/>
      <c r="C78" s="598"/>
      <c r="D78" s="598"/>
      <c r="E78" s="598"/>
      <c r="F78" s="598"/>
      <c r="G78" s="598"/>
      <c r="H78" s="598"/>
      <c r="I78" s="598"/>
      <c r="J78" s="598"/>
      <c r="K78" s="598"/>
      <c r="L78" s="598"/>
      <c r="M78" s="598"/>
      <c r="N78" s="598"/>
      <c r="O78" s="598"/>
      <c r="P78" s="598"/>
      <c r="Q78" s="598"/>
      <c r="R78" s="598"/>
      <c r="S78" s="598"/>
      <c r="T78" s="598"/>
      <c r="U78" s="598"/>
      <c r="V78" s="598"/>
      <c r="W78" s="558"/>
      <c r="X78" s="543"/>
    </row>
    <row r="79" spans="1:24" s="544" customFormat="1" x14ac:dyDescent="0.3">
      <c r="A79" s="555"/>
      <c r="B79" s="556" t="s">
        <v>23</v>
      </c>
      <c r="C79" s="598"/>
      <c r="D79" s="598"/>
      <c r="E79" s="598"/>
      <c r="F79" s="598"/>
      <c r="G79" s="598"/>
      <c r="H79" s="598"/>
      <c r="I79" s="598"/>
      <c r="J79" s="598"/>
      <c r="K79" s="598"/>
      <c r="L79" s="598">
        <v>0</v>
      </c>
      <c r="M79" s="598"/>
      <c r="N79" s="598">
        <v>0</v>
      </c>
      <c r="O79" s="598"/>
      <c r="P79" s="598"/>
      <c r="Q79" s="598"/>
      <c r="R79" s="598"/>
      <c r="S79" s="598"/>
      <c r="T79" s="598"/>
      <c r="U79" s="598"/>
      <c r="V79" s="599">
        <v>0</v>
      </c>
      <c r="W79" s="558"/>
      <c r="X79" s="543"/>
    </row>
    <row r="80" spans="1:24" s="544" customFormat="1" x14ac:dyDescent="0.3">
      <c r="A80" s="555"/>
      <c r="B80" s="556" t="s">
        <v>117</v>
      </c>
      <c r="C80" s="598"/>
      <c r="D80" s="598"/>
      <c r="E80" s="598"/>
      <c r="F80" s="598"/>
      <c r="G80" s="598"/>
      <c r="H80" s="598"/>
      <c r="I80" s="598"/>
      <c r="J80" s="598"/>
      <c r="K80" s="598"/>
      <c r="L80" s="598">
        <v>342245</v>
      </c>
      <c r="M80" s="598"/>
      <c r="N80" s="598">
        <v>0</v>
      </c>
      <c r="O80" s="598"/>
      <c r="P80" s="598">
        <v>0</v>
      </c>
      <c r="Q80" s="598"/>
      <c r="R80" s="598"/>
      <c r="S80" s="598"/>
      <c r="T80" s="598"/>
      <c r="U80" s="598"/>
      <c r="V80" s="598">
        <f>SUM(N80:R80)</f>
        <v>0</v>
      </c>
      <c r="W80" s="558"/>
      <c r="X80" s="543"/>
    </row>
    <row r="81" spans="1:24" s="544" customFormat="1" x14ac:dyDescent="0.3">
      <c r="A81" s="555"/>
      <c r="B81" s="556" t="s">
        <v>146</v>
      </c>
      <c r="C81" s="598"/>
      <c r="D81" s="598"/>
      <c r="E81" s="598"/>
      <c r="F81" s="598"/>
      <c r="G81" s="598"/>
      <c r="H81" s="598"/>
      <c r="I81" s="598"/>
      <c r="J81" s="598"/>
      <c r="K81" s="598"/>
      <c r="L81" s="598">
        <v>0</v>
      </c>
      <c r="M81" s="598"/>
      <c r="N81" s="598">
        <v>0</v>
      </c>
      <c r="O81" s="598"/>
      <c r="P81" s="598">
        <v>0</v>
      </c>
      <c r="Q81" s="598"/>
      <c r="R81" s="598"/>
      <c r="S81" s="598"/>
      <c r="T81" s="598"/>
      <c r="U81" s="598"/>
      <c r="V81" s="598">
        <f>+N81+P81</f>
        <v>0</v>
      </c>
      <c r="W81" s="558"/>
      <c r="X81" s="543"/>
    </row>
    <row r="82" spans="1:24" s="544" customFormat="1" x14ac:dyDescent="0.3">
      <c r="A82" s="555"/>
      <c r="B82" s="556" t="s">
        <v>25</v>
      </c>
      <c r="C82" s="598"/>
      <c r="D82" s="598"/>
      <c r="E82" s="598"/>
      <c r="F82" s="598"/>
      <c r="G82" s="598"/>
      <c r="H82" s="598"/>
      <c r="I82" s="598"/>
      <c r="J82" s="598"/>
      <c r="K82" s="598"/>
      <c r="L82" s="598">
        <v>0</v>
      </c>
      <c r="M82" s="598"/>
      <c r="N82" s="598">
        <v>0</v>
      </c>
      <c r="O82" s="598"/>
      <c r="P82" s="598"/>
      <c r="Q82" s="598"/>
      <c r="R82" s="598"/>
      <c r="S82" s="598"/>
      <c r="T82" s="598"/>
      <c r="U82" s="598"/>
      <c r="V82" s="598">
        <v>0</v>
      </c>
      <c r="W82" s="558"/>
      <c r="X82" s="543"/>
    </row>
    <row r="83" spans="1:24" s="544" customFormat="1" x14ac:dyDescent="0.3">
      <c r="A83" s="555"/>
      <c r="B83" s="556" t="s">
        <v>26</v>
      </c>
      <c r="C83" s="598"/>
      <c r="D83" s="598"/>
      <c r="E83" s="598"/>
      <c r="F83" s="598"/>
      <c r="G83" s="598"/>
      <c r="H83" s="598"/>
      <c r="I83" s="598"/>
      <c r="J83" s="598"/>
      <c r="K83" s="598"/>
      <c r="L83" s="598">
        <f>SUM(L70:L82)</f>
        <v>1500275</v>
      </c>
      <c r="M83" s="598"/>
      <c r="N83" s="598">
        <f>SUM(N70:N82)</f>
        <v>852223</v>
      </c>
      <c r="O83" s="598"/>
      <c r="P83" s="598"/>
      <c r="Q83" s="598"/>
      <c r="R83" s="598"/>
      <c r="S83" s="598"/>
      <c r="T83" s="598"/>
      <c r="U83" s="598"/>
      <c r="V83" s="598">
        <f>SUM(V70:V82)</f>
        <v>835561</v>
      </c>
      <c r="W83" s="558"/>
      <c r="X83" s="543"/>
    </row>
    <row r="84" spans="1:24" x14ac:dyDescent="0.3">
      <c r="A84" s="446"/>
      <c r="B84" s="437"/>
      <c r="C84" s="447"/>
      <c r="D84" s="447"/>
      <c r="E84" s="447"/>
      <c r="F84" s="447"/>
      <c r="G84" s="447"/>
      <c r="H84" s="447"/>
      <c r="I84" s="447"/>
      <c r="J84" s="447"/>
      <c r="K84" s="447"/>
      <c r="L84" s="447"/>
      <c r="M84" s="447"/>
      <c r="N84" s="447"/>
      <c r="O84" s="447"/>
      <c r="P84" s="447"/>
      <c r="Q84" s="447"/>
      <c r="R84" s="447"/>
      <c r="S84" s="447"/>
      <c r="T84" s="447"/>
      <c r="U84" s="447"/>
      <c r="V84" s="447"/>
      <c r="W84" s="437"/>
      <c r="X84" s="415"/>
    </row>
    <row r="85" spans="1:24" x14ac:dyDescent="0.3">
      <c r="A85" s="446"/>
      <c r="B85" s="427"/>
      <c r="C85" s="427"/>
      <c r="D85" s="427"/>
      <c r="E85" s="427"/>
      <c r="F85" s="427"/>
      <c r="G85" s="427"/>
      <c r="H85" s="427"/>
      <c r="I85" s="427"/>
      <c r="J85" s="427"/>
      <c r="K85" s="427"/>
      <c r="L85" s="427"/>
      <c r="M85" s="427"/>
      <c r="N85" s="427"/>
      <c r="O85" s="427"/>
      <c r="P85" s="427"/>
      <c r="Q85" s="427"/>
      <c r="R85" s="427"/>
      <c r="S85" s="427"/>
      <c r="T85" s="427"/>
      <c r="U85" s="427"/>
      <c r="V85" s="427"/>
      <c r="W85" s="427"/>
      <c r="X85" s="415"/>
    </row>
    <row r="86" spans="1:24" x14ac:dyDescent="0.3">
      <c r="A86" s="515"/>
      <c r="B86" s="523" t="s">
        <v>27</v>
      </c>
      <c r="C86" s="523"/>
      <c r="D86" s="523"/>
      <c r="E86" s="523"/>
      <c r="F86" s="523"/>
      <c r="G86" s="523"/>
      <c r="H86" s="524"/>
      <c r="I86" s="524"/>
      <c r="J86" s="524"/>
      <c r="K86" s="524"/>
      <c r="L86" s="525" t="s">
        <v>95</v>
      </c>
      <c r="M86" s="524"/>
      <c r="N86" s="526">
        <f>+T204</f>
        <v>43251</v>
      </c>
      <c r="O86" s="524"/>
      <c r="P86" s="524"/>
      <c r="Q86" s="524"/>
      <c r="R86" s="524"/>
      <c r="S86" s="524"/>
      <c r="T86" s="524" t="s">
        <v>107</v>
      </c>
      <c r="U86" s="524"/>
      <c r="V86" s="524" t="s">
        <v>113</v>
      </c>
      <c r="W86" s="520"/>
      <c r="X86" s="415"/>
    </row>
    <row r="87" spans="1:24" s="544" customFormat="1" x14ac:dyDescent="0.3">
      <c r="A87" s="540"/>
      <c r="B87" s="588" t="s">
        <v>28</v>
      </c>
      <c r="C87" s="588"/>
      <c r="D87" s="588"/>
      <c r="E87" s="588"/>
      <c r="F87" s="588"/>
      <c r="G87" s="588"/>
      <c r="H87" s="588"/>
      <c r="I87" s="588"/>
      <c r="J87" s="588"/>
      <c r="K87" s="588"/>
      <c r="L87" s="588"/>
      <c r="M87" s="588"/>
      <c r="N87" s="588"/>
      <c r="O87" s="588"/>
      <c r="P87" s="588"/>
      <c r="Q87" s="588"/>
      <c r="R87" s="588"/>
      <c r="S87" s="588"/>
      <c r="T87" s="600">
        <v>0</v>
      </c>
      <c r="U87" s="588"/>
      <c r="V87" s="601">
        <v>0</v>
      </c>
      <c r="W87" s="588"/>
      <c r="X87" s="543"/>
    </row>
    <row r="88" spans="1:24" s="544" customFormat="1" x14ac:dyDescent="0.3">
      <c r="A88" s="555"/>
      <c r="B88" s="556" t="s">
        <v>29</v>
      </c>
      <c r="C88" s="556"/>
      <c r="D88" s="556"/>
      <c r="E88" s="556"/>
      <c r="F88" s="556"/>
      <c r="G88" s="556"/>
      <c r="H88" s="578"/>
      <c r="I88" s="578"/>
      <c r="J88" s="578"/>
      <c r="K88" s="602"/>
      <c r="L88" s="578"/>
      <c r="M88" s="556"/>
      <c r="N88" s="603"/>
      <c r="O88" s="556"/>
      <c r="P88" s="556"/>
      <c r="Q88" s="556"/>
      <c r="R88" s="556"/>
      <c r="S88" s="556"/>
      <c r="T88" s="598">
        <f>16687-97</f>
        <v>16590</v>
      </c>
      <c r="U88" s="556"/>
      <c r="V88" s="599"/>
      <c r="W88" s="558"/>
      <c r="X88" s="543"/>
    </row>
    <row r="89" spans="1:24" s="544" customFormat="1" x14ac:dyDescent="0.3">
      <c r="A89" s="555"/>
      <c r="B89" s="556" t="s">
        <v>216</v>
      </c>
      <c r="C89" s="556"/>
      <c r="D89" s="556"/>
      <c r="E89" s="556"/>
      <c r="F89" s="556"/>
      <c r="G89" s="556"/>
      <c r="H89" s="578"/>
      <c r="I89" s="578"/>
      <c r="J89" s="578"/>
      <c r="K89" s="602"/>
      <c r="L89" s="578"/>
      <c r="M89" s="556"/>
      <c r="N89" s="603"/>
      <c r="O89" s="556"/>
      <c r="P89" s="556"/>
      <c r="Q89" s="556"/>
      <c r="R89" s="556"/>
      <c r="S89" s="556"/>
      <c r="T89" s="598"/>
      <c r="U89" s="556"/>
      <c r="V89" s="599">
        <f>3147+3983-540-1306</f>
        <v>5284</v>
      </c>
      <c r="W89" s="558"/>
      <c r="X89" s="543"/>
    </row>
    <row r="90" spans="1:24" s="544" customFormat="1" x14ac:dyDescent="0.3">
      <c r="A90" s="555"/>
      <c r="B90" s="556" t="s">
        <v>211</v>
      </c>
      <c r="C90" s="556"/>
      <c r="D90" s="556"/>
      <c r="E90" s="556"/>
      <c r="F90" s="556"/>
      <c r="G90" s="556"/>
      <c r="H90" s="578"/>
      <c r="I90" s="578"/>
      <c r="J90" s="578"/>
      <c r="K90" s="602"/>
      <c r="L90" s="578"/>
      <c r="M90" s="556"/>
      <c r="N90" s="603"/>
      <c r="O90" s="556"/>
      <c r="P90" s="556"/>
      <c r="Q90" s="556"/>
      <c r="R90" s="556"/>
      <c r="S90" s="556"/>
      <c r="T90" s="598"/>
      <c r="U90" s="556"/>
      <c r="V90" s="599">
        <f>48+45</f>
        <v>93</v>
      </c>
      <c r="W90" s="558"/>
      <c r="X90" s="543"/>
    </row>
    <row r="91" spans="1:24" s="544" customFormat="1" x14ac:dyDescent="0.3">
      <c r="A91" s="555"/>
      <c r="B91" s="556" t="s">
        <v>212</v>
      </c>
      <c r="C91" s="556"/>
      <c r="D91" s="556"/>
      <c r="E91" s="556"/>
      <c r="F91" s="556"/>
      <c r="G91" s="556"/>
      <c r="H91" s="578"/>
      <c r="I91" s="578"/>
      <c r="J91" s="578"/>
      <c r="K91" s="602"/>
      <c r="L91" s="578"/>
      <c r="M91" s="556"/>
      <c r="N91" s="603"/>
      <c r="O91" s="556"/>
      <c r="P91" s="556"/>
      <c r="Q91" s="556"/>
      <c r="R91" s="556"/>
      <c r="S91" s="556"/>
      <c r="T91" s="598"/>
      <c r="U91" s="556"/>
      <c r="V91" s="599">
        <v>46</v>
      </c>
      <c r="W91" s="558"/>
      <c r="X91" s="543"/>
    </row>
    <row r="92" spans="1:24" s="544" customFormat="1" x14ac:dyDescent="0.3">
      <c r="A92" s="555"/>
      <c r="B92" s="556" t="s">
        <v>272</v>
      </c>
      <c r="C92" s="556"/>
      <c r="D92" s="556"/>
      <c r="E92" s="556"/>
      <c r="F92" s="556"/>
      <c r="G92" s="556"/>
      <c r="H92" s="578"/>
      <c r="I92" s="578"/>
      <c r="J92" s="578"/>
      <c r="K92" s="602"/>
      <c r="L92" s="578"/>
      <c r="M92" s="556"/>
      <c r="N92" s="603"/>
      <c r="O92" s="556"/>
      <c r="P92" s="556"/>
      <c r="Q92" s="556"/>
      <c r="R92" s="556"/>
      <c r="S92" s="556"/>
      <c r="T92" s="598"/>
      <c r="U92" s="556"/>
      <c r="V92" s="599">
        <v>0</v>
      </c>
      <c r="W92" s="558"/>
      <c r="X92" s="543"/>
    </row>
    <row r="93" spans="1:24" s="544" customFormat="1" x14ac:dyDescent="0.3">
      <c r="A93" s="555"/>
      <c r="B93" s="556" t="s">
        <v>274</v>
      </c>
      <c r="C93" s="556"/>
      <c r="D93" s="556"/>
      <c r="E93" s="556"/>
      <c r="F93" s="556"/>
      <c r="G93" s="556"/>
      <c r="H93" s="578"/>
      <c r="I93" s="578"/>
      <c r="J93" s="578"/>
      <c r="K93" s="602"/>
      <c r="L93" s="578"/>
      <c r="M93" s="556"/>
      <c r="N93" s="603"/>
      <c r="O93" s="556"/>
      <c r="P93" s="556"/>
      <c r="Q93" s="556"/>
      <c r="R93" s="556"/>
      <c r="S93" s="556"/>
      <c r="T93" s="598"/>
      <c r="U93" s="556"/>
      <c r="V93" s="599">
        <v>0</v>
      </c>
      <c r="W93" s="558"/>
      <c r="X93" s="543"/>
    </row>
    <row r="94" spans="1:24" s="544" customFormat="1" x14ac:dyDescent="0.3">
      <c r="A94" s="555"/>
      <c r="B94" s="556" t="s">
        <v>135</v>
      </c>
      <c r="C94" s="556"/>
      <c r="D94" s="556"/>
      <c r="E94" s="556"/>
      <c r="F94" s="556"/>
      <c r="G94" s="556"/>
      <c r="H94" s="556"/>
      <c r="I94" s="556"/>
      <c r="J94" s="556"/>
      <c r="K94" s="556"/>
      <c r="L94" s="556"/>
      <c r="M94" s="556"/>
      <c r="N94" s="556"/>
      <c r="O94" s="556"/>
      <c r="P94" s="556"/>
      <c r="Q94" s="556"/>
      <c r="R94" s="556"/>
      <c r="S94" s="556"/>
      <c r="T94" s="598"/>
      <c r="U94" s="556"/>
      <c r="V94" s="599">
        <v>0</v>
      </c>
      <c r="W94" s="558"/>
      <c r="X94" s="543"/>
    </row>
    <row r="95" spans="1:24" s="544" customFormat="1" x14ac:dyDescent="0.3">
      <c r="A95" s="555"/>
      <c r="B95" s="556" t="s">
        <v>268</v>
      </c>
      <c r="C95" s="556"/>
      <c r="D95" s="556"/>
      <c r="E95" s="556"/>
      <c r="F95" s="556"/>
      <c r="G95" s="556"/>
      <c r="H95" s="556"/>
      <c r="I95" s="556"/>
      <c r="J95" s="556"/>
      <c r="K95" s="556"/>
      <c r="L95" s="556"/>
      <c r="M95" s="556"/>
      <c r="N95" s="556"/>
      <c r="O95" s="556"/>
      <c r="P95" s="556"/>
      <c r="Q95" s="556"/>
      <c r="R95" s="556"/>
      <c r="S95" s="556"/>
      <c r="T95" s="598"/>
      <c r="U95" s="556"/>
      <c r="V95" s="599">
        <v>171</v>
      </c>
      <c r="W95" s="558"/>
      <c r="X95" s="543"/>
    </row>
    <row r="96" spans="1:24" s="544" customFormat="1" x14ac:dyDescent="0.3">
      <c r="A96" s="555"/>
      <c r="B96" s="556" t="s">
        <v>30</v>
      </c>
      <c r="C96" s="556"/>
      <c r="D96" s="556"/>
      <c r="E96" s="556"/>
      <c r="F96" s="556"/>
      <c r="G96" s="556"/>
      <c r="H96" s="556"/>
      <c r="I96" s="556"/>
      <c r="J96" s="556"/>
      <c r="K96" s="556"/>
      <c r="L96" s="556"/>
      <c r="M96" s="556"/>
      <c r="N96" s="556"/>
      <c r="O96" s="556"/>
      <c r="P96" s="556"/>
      <c r="Q96" s="556"/>
      <c r="R96" s="556"/>
      <c r="S96" s="556"/>
      <c r="T96" s="598">
        <f>SUM(T87:T95)</f>
        <v>16590</v>
      </c>
      <c r="U96" s="556"/>
      <c r="V96" s="598">
        <f>SUM(V87:V95)</f>
        <v>5594</v>
      </c>
      <c r="W96" s="558"/>
      <c r="X96" s="543"/>
    </row>
    <row r="97" spans="1:25" s="544" customFormat="1" x14ac:dyDescent="0.3">
      <c r="A97" s="555"/>
      <c r="B97" s="556" t="s">
        <v>161</v>
      </c>
      <c r="C97" s="556"/>
      <c r="D97" s="556"/>
      <c r="E97" s="556"/>
      <c r="F97" s="556"/>
      <c r="G97" s="556"/>
      <c r="H97" s="556"/>
      <c r="I97" s="556"/>
      <c r="J97" s="556"/>
      <c r="K97" s="556"/>
      <c r="L97" s="556"/>
      <c r="M97" s="556"/>
      <c r="N97" s="556"/>
      <c r="O97" s="556"/>
      <c r="P97" s="556"/>
      <c r="Q97" s="556"/>
      <c r="R97" s="556"/>
      <c r="S97" s="556"/>
      <c r="T97" s="598">
        <f>-V97</f>
        <v>0</v>
      </c>
      <c r="U97" s="556"/>
      <c r="V97" s="598">
        <v>0</v>
      </c>
      <c r="W97" s="558"/>
      <c r="X97" s="543"/>
    </row>
    <row r="98" spans="1:25" s="544" customFormat="1" x14ac:dyDescent="0.3">
      <c r="A98" s="555"/>
      <c r="B98" s="556" t="s">
        <v>31</v>
      </c>
      <c r="C98" s="556"/>
      <c r="D98" s="556"/>
      <c r="E98" s="556"/>
      <c r="F98" s="556"/>
      <c r="G98" s="556"/>
      <c r="H98" s="556"/>
      <c r="I98" s="556"/>
      <c r="J98" s="556"/>
      <c r="K98" s="556"/>
      <c r="L98" s="556"/>
      <c r="M98" s="556"/>
      <c r="N98" s="556"/>
      <c r="O98" s="556"/>
      <c r="P98" s="556"/>
      <c r="Q98" s="556"/>
      <c r="R98" s="556"/>
      <c r="S98" s="556"/>
      <c r="T98" s="598">
        <f>-V98</f>
        <v>0</v>
      </c>
      <c r="U98" s="556"/>
      <c r="V98" s="599">
        <v>0</v>
      </c>
      <c r="W98" s="558"/>
      <c r="X98" s="543"/>
    </row>
    <row r="99" spans="1:25" s="544" customFormat="1" x14ac:dyDescent="0.3">
      <c r="A99" s="555"/>
      <c r="B99" s="556" t="s">
        <v>283</v>
      </c>
      <c r="C99" s="556"/>
      <c r="D99" s="556"/>
      <c r="E99" s="556"/>
      <c r="F99" s="556"/>
      <c r="G99" s="556"/>
      <c r="H99" s="556"/>
      <c r="I99" s="556"/>
      <c r="J99" s="556"/>
      <c r="K99" s="556"/>
      <c r="L99" s="556"/>
      <c r="M99" s="556"/>
      <c r="N99" s="556"/>
      <c r="O99" s="556"/>
      <c r="P99" s="556"/>
      <c r="Q99" s="556"/>
      <c r="R99" s="556"/>
      <c r="S99" s="556"/>
      <c r="T99" s="598"/>
      <c r="U99" s="556"/>
      <c r="V99" s="599">
        <v>12</v>
      </c>
      <c r="W99" s="558"/>
      <c r="X99" s="543"/>
    </row>
    <row r="100" spans="1:25" s="544" customFormat="1" x14ac:dyDescent="0.3">
      <c r="A100" s="555"/>
      <c r="B100" s="556" t="s">
        <v>32</v>
      </c>
      <c r="C100" s="556"/>
      <c r="D100" s="556"/>
      <c r="E100" s="556"/>
      <c r="F100" s="556"/>
      <c r="G100" s="556"/>
      <c r="H100" s="556"/>
      <c r="I100" s="556"/>
      <c r="J100" s="556"/>
      <c r="K100" s="556"/>
      <c r="L100" s="556"/>
      <c r="M100" s="556"/>
      <c r="N100" s="556"/>
      <c r="O100" s="556"/>
      <c r="P100" s="556"/>
      <c r="Q100" s="556"/>
      <c r="R100" s="556"/>
      <c r="S100" s="556"/>
      <c r="T100" s="598">
        <f>T96+T98+T97</f>
        <v>16590</v>
      </c>
      <c r="U100" s="556"/>
      <c r="V100" s="598">
        <f>V96+V98+V97+V99</f>
        <v>5606</v>
      </c>
      <c r="W100" s="558"/>
      <c r="X100" s="543"/>
    </row>
    <row r="101" spans="1:25" x14ac:dyDescent="0.3">
      <c r="A101" s="431"/>
      <c r="B101" s="507" t="s">
        <v>33</v>
      </c>
      <c r="C101" s="434"/>
      <c r="D101" s="434"/>
      <c r="E101" s="434"/>
      <c r="F101" s="434"/>
      <c r="G101" s="434"/>
      <c r="H101" s="434"/>
      <c r="I101" s="434"/>
      <c r="J101" s="434"/>
      <c r="K101" s="434"/>
      <c r="L101" s="434"/>
      <c r="M101" s="434"/>
      <c r="N101" s="434"/>
      <c r="O101" s="434"/>
      <c r="P101" s="434"/>
      <c r="Q101" s="434"/>
      <c r="R101" s="434"/>
      <c r="S101" s="434"/>
      <c r="T101" s="448"/>
      <c r="U101" s="434"/>
      <c r="V101" s="449"/>
      <c r="W101" s="436"/>
      <c r="X101" s="415"/>
    </row>
    <row r="102" spans="1:25" s="544" customFormat="1" x14ac:dyDescent="0.3">
      <c r="A102" s="555">
        <v>1</v>
      </c>
      <c r="B102" s="556" t="s">
        <v>34</v>
      </c>
      <c r="C102" s="556"/>
      <c r="D102" s="556"/>
      <c r="E102" s="556"/>
      <c r="F102" s="556"/>
      <c r="G102" s="556"/>
      <c r="H102" s="556"/>
      <c r="I102" s="556"/>
      <c r="J102" s="556"/>
      <c r="K102" s="556"/>
      <c r="L102" s="556"/>
      <c r="M102" s="556"/>
      <c r="N102" s="556"/>
      <c r="O102" s="556"/>
      <c r="P102" s="556"/>
      <c r="Q102" s="556"/>
      <c r="R102" s="556"/>
      <c r="S102" s="556"/>
      <c r="T102" s="556"/>
      <c r="U102" s="556"/>
      <c r="V102" s="599">
        <v>0</v>
      </c>
      <c r="W102" s="558"/>
      <c r="X102" s="543"/>
    </row>
    <row r="103" spans="1:25" s="544" customFormat="1" x14ac:dyDescent="0.3">
      <c r="A103" s="555">
        <f>+A102+1</f>
        <v>2</v>
      </c>
      <c r="B103" s="556" t="s">
        <v>330</v>
      </c>
      <c r="C103" s="556"/>
      <c r="D103" s="556"/>
      <c r="E103" s="556"/>
      <c r="F103" s="556"/>
      <c r="G103" s="556"/>
      <c r="H103" s="556"/>
      <c r="I103" s="556"/>
      <c r="J103" s="556"/>
      <c r="K103" s="556"/>
      <c r="L103" s="556"/>
      <c r="M103" s="556"/>
      <c r="N103" s="556"/>
      <c r="O103" s="556"/>
      <c r="P103" s="556"/>
      <c r="Q103" s="556"/>
      <c r="R103" s="556"/>
      <c r="S103" s="556"/>
      <c r="T103" s="556"/>
      <c r="U103" s="556"/>
      <c r="V103" s="599">
        <v>-2</v>
      </c>
      <c r="W103" s="558"/>
      <c r="X103" s="543"/>
    </row>
    <row r="104" spans="1:25" s="544" customFormat="1" x14ac:dyDescent="0.3">
      <c r="A104" s="555">
        <f>+A103+1</f>
        <v>3</v>
      </c>
      <c r="B104" s="556" t="s">
        <v>331</v>
      </c>
      <c r="C104" s="556"/>
      <c r="D104" s="556"/>
      <c r="E104" s="556"/>
      <c r="F104" s="556"/>
      <c r="G104" s="556"/>
      <c r="H104" s="556"/>
      <c r="I104" s="556"/>
      <c r="J104" s="556"/>
      <c r="K104" s="556"/>
      <c r="L104" s="556"/>
      <c r="M104" s="556"/>
      <c r="N104" s="556"/>
      <c r="O104" s="556"/>
      <c r="P104" s="556"/>
      <c r="Q104" s="556"/>
      <c r="R104" s="556"/>
      <c r="S104" s="556"/>
      <c r="T104" s="556"/>
      <c r="U104" s="556"/>
      <c r="V104" s="599">
        <f>-109-153-11</f>
        <v>-273</v>
      </c>
      <c r="W104" s="558"/>
      <c r="X104" s="543"/>
    </row>
    <row r="105" spans="1:25" s="544" customFormat="1" x14ac:dyDescent="0.3">
      <c r="A105" s="555" t="s">
        <v>127</v>
      </c>
      <c r="B105" s="556" t="s">
        <v>116</v>
      </c>
      <c r="C105" s="556"/>
      <c r="D105" s="556"/>
      <c r="E105" s="556"/>
      <c r="F105" s="556"/>
      <c r="G105" s="556"/>
      <c r="H105" s="556"/>
      <c r="I105" s="556"/>
      <c r="J105" s="556"/>
      <c r="K105" s="556"/>
      <c r="L105" s="556"/>
      <c r="M105" s="556"/>
      <c r="N105" s="556"/>
      <c r="O105" s="556"/>
      <c r="P105" s="556"/>
      <c r="Q105" s="556"/>
      <c r="R105" s="556"/>
      <c r="S105" s="556"/>
      <c r="T105" s="556"/>
      <c r="U105" s="556"/>
      <c r="V105" s="599">
        <v>0</v>
      </c>
      <c r="W105" s="558"/>
      <c r="X105" s="543"/>
    </row>
    <row r="106" spans="1:25" s="544" customFormat="1" x14ac:dyDescent="0.3">
      <c r="A106" s="555" t="s">
        <v>128</v>
      </c>
      <c r="B106" s="556" t="s">
        <v>363</v>
      </c>
      <c r="C106" s="556"/>
      <c r="D106" s="556"/>
      <c r="E106" s="556"/>
      <c r="F106" s="556"/>
      <c r="G106" s="556"/>
      <c r="H106" s="556"/>
      <c r="I106" s="556"/>
      <c r="J106" s="556"/>
      <c r="K106" s="556"/>
      <c r="L106" s="556"/>
      <c r="M106" s="556"/>
      <c r="N106" s="556"/>
      <c r="O106" s="556"/>
      <c r="P106" s="556"/>
      <c r="Q106" s="556"/>
      <c r="R106" s="556"/>
      <c r="S106" s="556"/>
      <c r="T106" s="556"/>
      <c r="U106" s="556"/>
      <c r="V106" s="599">
        <f>-774-125</f>
        <v>-899</v>
      </c>
      <c r="W106" s="558"/>
      <c r="X106" s="543"/>
      <c r="Y106" s="604"/>
    </row>
    <row r="107" spans="1:25" s="544" customFormat="1" x14ac:dyDescent="0.3">
      <c r="A107" s="555" t="s">
        <v>150</v>
      </c>
      <c r="B107" s="556" t="s">
        <v>364</v>
      </c>
      <c r="C107" s="556"/>
      <c r="D107" s="556"/>
      <c r="E107" s="556"/>
      <c r="F107" s="556"/>
      <c r="G107" s="556"/>
      <c r="H107" s="556"/>
      <c r="I107" s="556"/>
      <c r="J107" s="556"/>
      <c r="K107" s="556"/>
      <c r="L107" s="556"/>
      <c r="M107" s="556"/>
      <c r="N107" s="556"/>
      <c r="O107" s="556"/>
      <c r="P107" s="556"/>
      <c r="Q107" s="556"/>
      <c r="R107" s="556"/>
      <c r="S107" s="556"/>
      <c r="T107" s="556"/>
      <c r="U107" s="556"/>
      <c r="V107" s="599">
        <f>-174-225</f>
        <v>-399</v>
      </c>
      <c r="W107" s="558"/>
      <c r="X107" s="543"/>
      <c r="Y107" s="604"/>
    </row>
    <row r="108" spans="1:25" s="544" customFormat="1" x14ac:dyDescent="0.3">
      <c r="A108" s="555" t="s">
        <v>236</v>
      </c>
      <c r="B108" s="556" t="s">
        <v>238</v>
      </c>
      <c r="C108" s="556"/>
      <c r="D108" s="556"/>
      <c r="E108" s="556"/>
      <c r="F108" s="556"/>
      <c r="G108" s="556"/>
      <c r="H108" s="556"/>
      <c r="I108" s="556"/>
      <c r="J108" s="556"/>
      <c r="K108" s="556"/>
      <c r="L108" s="556"/>
      <c r="M108" s="556"/>
      <c r="N108" s="556"/>
      <c r="O108" s="556"/>
      <c r="P108" s="556"/>
      <c r="Q108" s="556"/>
      <c r="R108" s="556"/>
      <c r="S108" s="556"/>
      <c r="T108" s="556"/>
      <c r="U108" s="556"/>
      <c r="V108" s="599">
        <v>0</v>
      </c>
      <c r="W108" s="558"/>
      <c r="X108" s="543"/>
    </row>
    <row r="109" spans="1:25" s="544" customFormat="1" x14ac:dyDescent="0.3">
      <c r="A109" s="555" t="s">
        <v>205</v>
      </c>
      <c r="B109" s="556" t="s">
        <v>185</v>
      </c>
      <c r="C109" s="556"/>
      <c r="D109" s="556"/>
      <c r="E109" s="556"/>
      <c r="F109" s="556"/>
      <c r="G109" s="556"/>
      <c r="H109" s="556"/>
      <c r="I109" s="556"/>
      <c r="J109" s="556"/>
      <c r="K109" s="556"/>
      <c r="L109" s="556"/>
      <c r="M109" s="556"/>
      <c r="N109" s="556"/>
      <c r="O109" s="556"/>
      <c r="P109" s="556"/>
      <c r="Q109" s="556"/>
      <c r="R109" s="556"/>
      <c r="S109" s="556"/>
      <c r="T109" s="556"/>
      <c r="U109" s="556"/>
      <c r="V109" s="599">
        <v>-157</v>
      </c>
      <c r="W109" s="558"/>
      <c r="X109" s="543"/>
      <c r="Y109" s="604"/>
    </row>
    <row r="110" spans="1:25" s="544" customFormat="1" x14ac:dyDescent="0.3">
      <c r="A110" s="555" t="s">
        <v>206</v>
      </c>
      <c r="B110" s="556" t="s">
        <v>186</v>
      </c>
      <c r="C110" s="556"/>
      <c r="D110" s="556"/>
      <c r="E110" s="556"/>
      <c r="F110" s="556"/>
      <c r="G110" s="556"/>
      <c r="H110" s="556"/>
      <c r="I110" s="556"/>
      <c r="J110" s="556"/>
      <c r="K110" s="556"/>
      <c r="L110" s="556"/>
      <c r="M110" s="556"/>
      <c r="N110" s="556"/>
      <c r="O110" s="556"/>
      <c r="P110" s="556"/>
      <c r="Q110" s="556"/>
      <c r="R110" s="556"/>
      <c r="S110" s="556"/>
      <c r="T110" s="556"/>
      <c r="U110" s="556"/>
      <c r="V110" s="599">
        <v>-126</v>
      </c>
      <c r="W110" s="558"/>
      <c r="X110" s="605"/>
      <c r="Y110" s="604"/>
    </row>
    <row r="111" spans="1:25" s="544" customFormat="1" x14ac:dyDescent="0.3">
      <c r="A111" s="555" t="s">
        <v>207</v>
      </c>
      <c r="B111" s="556" t="s">
        <v>196</v>
      </c>
      <c r="C111" s="556"/>
      <c r="D111" s="556"/>
      <c r="E111" s="556"/>
      <c r="F111" s="556"/>
      <c r="G111" s="556"/>
      <c r="H111" s="556"/>
      <c r="I111" s="556"/>
      <c r="J111" s="556"/>
      <c r="K111" s="556"/>
      <c r="L111" s="556"/>
      <c r="M111" s="556"/>
      <c r="N111" s="556"/>
      <c r="O111" s="556"/>
      <c r="P111" s="556"/>
      <c r="Q111" s="556"/>
      <c r="R111" s="556"/>
      <c r="S111" s="556"/>
      <c r="T111" s="556"/>
      <c r="U111" s="556"/>
      <c r="V111" s="599">
        <v>-344</v>
      </c>
      <c r="W111" s="558"/>
      <c r="X111" s="543"/>
      <c r="Y111" s="604"/>
    </row>
    <row r="112" spans="1:25" s="544" customFormat="1" x14ac:dyDescent="0.3">
      <c r="A112" s="555" t="s">
        <v>224</v>
      </c>
      <c r="B112" s="556" t="s">
        <v>223</v>
      </c>
      <c r="C112" s="556"/>
      <c r="D112" s="556"/>
      <c r="E112" s="556"/>
      <c r="F112" s="556"/>
      <c r="G112" s="556"/>
      <c r="H112" s="556"/>
      <c r="I112" s="556"/>
      <c r="J112" s="556"/>
      <c r="K112" s="556"/>
      <c r="L112" s="556"/>
      <c r="M112" s="556"/>
      <c r="N112" s="556"/>
      <c r="O112" s="556"/>
      <c r="P112" s="556"/>
      <c r="Q112" s="556"/>
      <c r="R112" s="556"/>
      <c r="S112" s="556"/>
      <c r="T112" s="556"/>
      <c r="U112" s="556"/>
      <c r="V112" s="599">
        <v>-68</v>
      </c>
      <c r="W112" s="558"/>
      <c r="X112" s="543"/>
      <c r="Y112" s="604"/>
    </row>
    <row r="113" spans="1:24" s="544" customFormat="1" x14ac:dyDescent="0.3">
      <c r="A113" s="555">
        <v>7</v>
      </c>
      <c r="B113" s="556" t="s">
        <v>35</v>
      </c>
      <c r="C113" s="556"/>
      <c r="D113" s="556"/>
      <c r="E113" s="556"/>
      <c r="F113" s="556"/>
      <c r="G113" s="556"/>
      <c r="H113" s="556"/>
      <c r="I113" s="556"/>
      <c r="J113" s="556"/>
      <c r="K113" s="556"/>
      <c r="L113" s="556"/>
      <c r="M113" s="556"/>
      <c r="N113" s="556"/>
      <c r="O113" s="556"/>
      <c r="P113" s="556"/>
      <c r="Q113" s="556"/>
      <c r="R113" s="556"/>
      <c r="S113" s="556"/>
      <c r="T113" s="556"/>
      <c r="U113" s="556"/>
      <c r="V113" s="599">
        <v>-42</v>
      </c>
      <c r="W113" s="558"/>
      <c r="X113" s="543"/>
    </row>
    <row r="114" spans="1:24" s="544" customFormat="1" x14ac:dyDescent="0.3">
      <c r="A114" s="555">
        <f t="shared" ref="A114:A120" si="0">+A113+1</f>
        <v>8</v>
      </c>
      <c r="B114" s="556" t="s">
        <v>45</v>
      </c>
      <c r="C114" s="556"/>
      <c r="D114" s="556"/>
      <c r="E114" s="556"/>
      <c r="F114" s="556"/>
      <c r="G114" s="556"/>
      <c r="H114" s="556"/>
      <c r="I114" s="556"/>
      <c r="J114" s="556"/>
      <c r="K114" s="556"/>
      <c r="L114" s="556"/>
      <c r="M114" s="556"/>
      <c r="N114" s="556"/>
      <c r="O114" s="556"/>
      <c r="P114" s="556"/>
      <c r="Q114" s="556"/>
      <c r="R114" s="556"/>
      <c r="S114" s="556"/>
      <c r="T114" s="598">
        <f>-V114</f>
        <v>97</v>
      </c>
      <c r="U114" s="556"/>
      <c r="V114" s="599">
        <v>-97</v>
      </c>
      <c r="W114" s="558"/>
      <c r="X114" s="543"/>
    </row>
    <row r="115" spans="1:24" s="544" customFormat="1" x14ac:dyDescent="0.3">
      <c r="A115" s="555">
        <f t="shared" si="0"/>
        <v>9</v>
      </c>
      <c r="B115" s="556" t="s">
        <v>125</v>
      </c>
      <c r="C115" s="556"/>
      <c r="D115" s="556"/>
      <c r="E115" s="556"/>
      <c r="F115" s="556"/>
      <c r="G115" s="556"/>
      <c r="H115" s="556"/>
      <c r="I115" s="556"/>
      <c r="J115" s="556"/>
      <c r="K115" s="556"/>
      <c r="L115" s="556"/>
      <c r="M115" s="556"/>
      <c r="N115" s="556"/>
      <c r="O115" s="556"/>
      <c r="P115" s="556"/>
      <c r="Q115" s="556"/>
      <c r="R115" s="556"/>
      <c r="S115" s="556"/>
      <c r="T115" s="556"/>
      <c r="U115" s="556"/>
      <c r="V115" s="599">
        <v>0</v>
      </c>
      <c r="W115" s="558"/>
      <c r="X115" s="543"/>
    </row>
    <row r="116" spans="1:24" s="544" customFormat="1" x14ac:dyDescent="0.3">
      <c r="A116" s="555">
        <f t="shared" si="0"/>
        <v>10</v>
      </c>
      <c r="B116" s="556" t="s">
        <v>240</v>
      </c>
      <c r="C116" s="556"/>
      <c r="D116" s="556"/>
      <c r="E116" s="556"/>
      <c r="F116" s="556"/>
      <c r="G116" s="556"/>
      <c r="H116" s="556"/>
      <c r="I116" s="556"/>
      <c r="J116" s="556"/>
      <c r="K116" s="556"/>
      <c r="L116" s="556"/>
      <c r="M116" s="556"/>
      <c r="N116" s="556"/>
      <c r="O116" s="556"/>
      <c r="P116" s="556"/>
      <c r="Q116" s="556"/>
      <c r="R116" s="556"/>
      <c r="S116" s="556"/>
      <c r="T116" s="556"/>
      <c r="U116" s="556"/>
      <c r="V116" s="599">
        <v>0</v>
      </c>
      <c r="W116" s="558"/>
      <c r="X116" s="543"/>
    </row>
    <row r="117" spans="1:24" s="544" customFormat="1" x14ac:dyDescent="0.3">
      <c r="A117" s="555">
        <f t="shared" si="0"/>
        <v>11</v>
      </c>
      <c r="B117" s="556" t="s">
        <v>36</v>
      </c>
      <c r="C117" s="556"/>
      <c r="D117" s="556"/>
      <c r="E117" s="556"/>
      <c r="F117" s="556"/>
      <c r="G117" s="556"/>
      <c r="H117" s="556"/>
      <c r="I117" s="556"/>
      <c r="J117" s="556"/>
      <c r="K117" s="556"/>
      <c r="L117" s="556"/>
      <c r="M117" s="556"/>
      <c r="N117" s="556"/>
      <c r="O117" s="556"/>
      <c r="P117" s="556"/>
      <c r="Q117" s="556"/>
      <c r="R117" s="556"/>
      <c r="S117" s="556"/>
      <c r="T117" s="556"/>
      <c r="U117" s="556"/>
      <c r="V117" s="599">
        <v>0</v>
      </c>
      <c r="W117" s="558"/>
      <c r="X117" s="543"/>
    </row>
    <row r="118" spans="1:24" s="544" customFormat="1" x14ac:dyDescent="0.3">
      <c r="A118" s="555">
        <f t="shared" si="0"/>
        <v>12</v>
      </c>
      <c r="B118" s="556" t="s">
        <v>239</v>
      </c>
      <c r="C118" s="556"/>
      <c r="D118" s="556"/>
      <c r="E118" s="556"/>
      <c r="F118" s="556"/>
      <c r="G118" s="556"/>
      <c r="H118" s="556"/>
      <c r="I118" s="556"/>
      <c r="J118" s="556"/>
      <c r="K118" s="556"/>
      <c r="L118" s="556"/>
      <c r="M118" s="556"/>
      <c r="N118" s="556"/>
      <c r="O118" s="556"/>
      <c r="P118" s="556"/>
      <c r="Q118" s="556"/>
      <c r="R118" s="556"/>
      <c r="S118" s="556"/>
      <c r="T118" s="556"/>
      <c r="U118" s="556"/>
      <c r="V118" s="599">
        <v>0</v>
      </c>
      <c r="W118" s="558"/>
      <c r="X118" s="543"/>
    </row>
    <row r="119" spans="1:24" s="544" customFormat="1" x14ac:dyDescent="0.3">
      <c r="A119" s="555">
        <f t="shared" si="0"/>
        <v>13</v>
      </c>
      <c r="B119" s="556" t="s">
        <v>149</v>
      </c>
      <c r="C119" s="556"/>
      <c r="D119" s="556"/>
      <c r="E119" s="556"/>
      <c r="F119" s="556"/>
      <c r="G119" s="556"/>
      <c r="H119" s="556"/>
      <c r="I119" s="556"/>
      <c r="J119" s="556"/>
      <c r="K119" s="556"/>
      <c r="L119" s="556"/>
      <c r="M119" s="556"/>
      <c r="N119" s="556"/>
      <c r="O119" s="556"/>
      <c r="P119" s="556"/>
      <c r="Q119" s="556"/>
      <c r="R119" s="556"/>
      <c r="S119" s="556"/>
      <c r="T119" s="556"/>
      <c r="U119" s="556"/>
      <c r="V119" s="599">
        <v>-543</v>
      </c>
      <c r="W119" s="558"/>
      <c r="X119" s="543"/>
    </row>
    <row r="120" spans="1:24" s="544" customFormat="1" x14ac:dyDescent="0.3">
      <c r="A120" s="555">
        <f t="shared" si="0"/>
        <v>14</v>
      </c>
      <c r="B120" s="556" t="s">
        <v>126</v>
      </c>
      <c r="C120" s="556"/>
      <c r="D120" s="556"/>
      <c r="E120" s="556"/>
      <c r="F120" s="556"/>
      <c r="G120" s="556"/>
      <c r="H120" s="556"/>
      <c r="I120" s="556"/>
      <c r="J120" s="556"/>
      <c r="K120" s="556"/>
      <c r="L120" s="556"/>
      <c r="M120" s="556"/>
      <c r="N120" s="556"/>
      <c r="O120" s="556"/>
      <c r="P120" s="556"/>
      <c r="Q120" s="556"/>
      <c r="R120" s="556"/>
      <c r="S120" s="556"/>
      <c r="T120" s="556"/>
      <c r="U120" s="556"/>
      <c r="V120" s="599">
        <f>-V100-SUM(V102:V119)</f>
        <v>-2656</v>
      </c>
      <c r="W120" s="558"/>
      <c r="X120" s="543"/>
    </row>
    <row r="121" spans="1:24" x14ac:dyDescent="0.3">
      <c r="A121" s="431"/>
      <c r="B121" s="507" t="s">
        <v>37</v>
      </c>
      <c r="C121" s="434"/>
      <c r="D121" s="434"/>
      <c r="E121" s="434"/>
      <c r="F121" s="434"/>
      <c r="G121" s="434"/>
      <c r="H121" s="434"/>
      <c r="I121" s="434"/>
      <c r="J121" s="434"/>
      <c r="K121" s="434"/>
      <c r="L121" s="434"/>
      <c r="M121" s="434"/>
      <c r="N121" s="434"/>
      <c r="O121" s="434"/>
      <c r="P121" s="434"/>
      <c r="Q121" s="434"/>
      <c r="R121" s="434"/>
      <c r="S121" s="434"/>
      <c r="T121" s="434"/>
      <c r="U121" s="434"/>
      <c r="V121" s="450"/>
      <c r="W121" s="436"/>
      <c r="X121" s="415"/>
    </row>
    <row r="122" spans="1:24" s="544" customFormat="1" x14ac:dyDescent="0.3">
      <c r="A122" s="555"/>
      <c r="B122" s="556" t="s">
        <v>173</v>
      </c>
      <c r="C122" s="556"/>
      <c r="D122" s="556"/>
      <c r="E122" s="556"/>
      <c r="F122" s="556"/>
      <c r="G122" s="556"/>
      <c r="H122" s="556"/>
      <c r="I122" s="556"/>
      <c r="J122" s="556"/>
      <c r="K122" s="556"/>
      <c r="L122" s="556"/>
      <c r="M122" s="556"/>
      <c r="N122" s="556"/>
      <c r="O122" s="556"/>
      <c r="P122" s="556"/>
      <c r="Q122" s="556"/>
      <c r="R122" s="556"/>
      <c r="S122" s="556"/>
      <c r="T122" s="598">
        <f>-T188</f>
        <v>0</v>
      </c>
      <c r="U122" s="598"/>
      <c r="V122" s="599"/>
      <c r="W122" s="558"/>
      <c r="X122" s="543"/>
    </row>
    <row r="123" spans="1:24" s="544" customFormat="1" x14ac:dyDescent="0.3">
      <c r="A123" s="555"/>
      <c r="B123" s="556" t="s">
        <v>174</v>
      </c>
      <c r="C123" s="556"/>
      <c r="D123" s="556"/>
      <c r="E123" s="556"/>
      <c r="F123" s="556"/>
      <c r="G123" s="556"/>
      <c r="H123" s="556"/>
      <c r="I123" s="556"/>
      <c r="J123" s="556"/>
      <c r="K123" s="556"/>
      <c r="L123" s="556"/>
      <c r="M123" s="556"/>
      <c r="N123" s="556"/>
      <c r="O123" s="556"/>
      <c r="P123" s="556"/>
      <c r="Q123" s="556"/>
      <c r="R123" s="556"/>
      <c r="S123" s="556"/>
      <c r="T123" s="598">
        <v>0</v>
      </c>
      <c r="U123" s="598"/>
      <c r="V123" s="599"/>
      <c r="W123" s="558"/>
      <c r="X123" s="543"/>
    </row>
    <row r="124" spans="1:24" s="544" customFormat="1" x14ac:dyDescent="0.3">
      <c r="A124" s="555"/>
      <c r="B124" s="556" t="s">
        <v>38</v>
      </c>
      <c r="C124" s="556"/>
      <c r="D124" s="556"/>
      <c r="E124" s="556"/>
      <c r="F124" s="556"/>
      <c r="G124" s="556"/>
      <c r="H124" s="556"/>
      <c r="I124" s="556"/>
      <c r="J124" s="556"/>
      <c r="K124" s="556"/>
      <c r="L124" s="556"/>
      <c r="M124" s="556"/>
      <c r="N124" s="556"/>
      <c r="O124" s="556"/>
      <c r="P124" s="556"/>
      <c r="Q124" s="556"/>
      <c r="R124" s="556"/>
      <c r="S124" s="556"/>
      <c r="T124" s="598">
        <f>-S188</f>
        <v>-25</v>
      </c>
      <c r="U124" s="598"/>
      <c r="V124" s="599"/>
      <c r="W124" s="558"/>
      <c r="X124" s="543"/>
    </row>
    <row r="125" spans="1:24" s="544" customFormat="1" x14ac:dyDescent="0.3">
      <c r="A125" s="555"/>
      <c r="B125" s="556" t="s">
        <v>388</v>
      </c>
      <c r="C125" s="556"/>
      <c r="D125" s="556"/>
      <c r="E125" s="556"/>
      <c r="F125" s="556"/>
      <c r="G125" s="556"/>
      <c r="H125" s="556"/>
      <c r="I125" s="556"/>
      <c r="J125" s="556"/>
      <c r="K125" s="556"/>
      <c r="L125" s="556"/>
      <c r="M125" s="556"/>
      <c r="N125" s="556"/>
      <c r="O125" s="556"/>
      <c r="P125" s="556"/>
      <c r="Q125" s="556"/>
      <c r="R125" s="556"/>
      <c r="S125" s="556"/>
      <c r="T125" s="598">
        <v>-10130</v>
      </c>
      <c r="U125" s="598"/>
      <c r="V125" s="599"/>
      <c r="W125" s="558"/>
      <c r="X125" s="543"/>
    </row>
    <row r="126" spans="1:24" s="544" customFormat="1" x14ac:dyDescent="0.3">
      <c r="A126" s="555"/>
      <c r="B126" s="556" t="s">
        <v>195</v>
      </c>
      <c r="C126" s="556"/>
      <c r="D126" s="556"/>
      <c r="E126" s="556"/>
      <c r="F126" s="556"/>
      <c r="G126" s="556"/>
      <c r="H126" s="556"/>
      <c r="I126" s="556"/>
      <c r="J126" s="556"/>
      <c r="K126" s="556"/>
      <c r="L126" s="556"/>
      <c r="M126" s="556"/>
      <c r="N126" s="556"/>
      <c r="O126" s="556"/>
      <c r="P126" s="556"/>
      <c r="Q126" s="556"/>
      <c r="R126" s="556"/>
      <c r="S126" s="556"/>
      <c r="T126" s="598">
        <v>-1634</v>
      </c>
      <c r="U126" s="598"/>
      <c r="V126" s="599"/>
      <c r="W126" s="558"/>
      <c r="X126" s="543"/>
    </row>
    <row r="127" spans="1:24" s="544" customFormat="1" x14ac:dyDescent="0.3">
      <c r="A127" s="555"/>
      <c r="B127" s="556" t="s">
        <v>194</v>
      </c>
      <c r="C127" s="556"/>
      <c r="D127" s="556"/>
      <c r="E127" s="556"/>
      <c r="F127" s="556"/>
      <c r="G127" s="556"/>
      <c r="H127" s="556"/>
      <c r="I127" s="556"/>
      <c r="J127" s="556"/>
      <c r="K127" s="556"/>
      <c r="L127" s="556"/>
      <c r="M127" s="556"/>
      <c r="N127" s="556"/>
      <c r="O127" s="556"/>
      <c r="P127" s="556"/>
      <c r="Q127" s="556"/>
      <c r="R127" s="556"/>
      <c r="S127" s="556"/>
      <c r="T127" s="598">
        <v>-2197</v>
      </c>
      <c r="U127" s="598"/>
      <c r="V127" s="599"/>
      <c r="W127" s="558"/>
      <c r="X127" s="543"/>
    </row>
    <row r="128" spans="1:24" s="544" customFormat="1" x14ac:dyDescent="0.3">
      <c r="A128" s="555"/>
      <c r="B128" s="556" t="s">
        <v>226</v>
      </c>
      <c r="C128" s="556"/>
      <c r="D128" s="556"/>
      <c r="E128" s="556"/>
      <c r="F128" s="556"/>
      <c r="G128" s="556"/>
      <c r="H128" s="556"/>
      <c r="I128" s="556"/>
      <c r="J128" s="556"/>
      <c r="K128" s="556"/>
      <c r="L128" s="556"/>
      <c r="M128" s="556"/>
      <c r="N128" s="556"/>
      <c r="O128" s="556"/>
      <c r="P128" s="556"/>
      <c r="Q128" s="556"/>
      <c r="R128" s="556"/>
      <c r="S128" s="556"/>
      <c r="T128" s="598">
        <v>-2701</v>
      </c>
      <c r="U128" s="598"/>
      <c r="V128" s="599"/>
      <c r="W128" s="558"/>
      <c r="X128" s="543"/>
    </row>
    <row r="129" spans="1:24" s="544" customFormat="1" x14ac:dyDescent="0.3">
      <c r="A129" s="555"/>
      <c r="B129" s="556" t="s">
        <v>189</v>
      </c>
      <c r="C129" s="556"/>
      <c r="D129" s="556"/>
      <c r="E129" s="556"/>
      <c r="F129" s="556"/>
      <c r="G129" s="556"/>
      <c r="H129" s="556"/>
      <c r="I129" s="556"/>
      <c r="J129" s="556"/>
      <c r="K129" s="556"/>
      <c r="L129" s="556"/>
      <c r="M129" s="556"/>
      <c r="N129" s="556"/>
      <c r="O129" s="556"/>
      <c r="P129" s="556"/>
      <c r="Q129" s="556"/>
      <c r="R129" s="556"/>
      <c r="S129" s="556"/>
      <c r="T129" s="598">
        <v>0</v>
      </c>
      <c r="U129" s="598"/>
      <c r="V129" s="599"/>
      <c r="W129" s="558"/>
      <c r="X129" s="543"/>
    </row>
    <row r="130" spans="1:24" s="544" customFormat="1" x14ac:dyDescent="0.3">
      <c r="A130" s="555"/>
      <c r="B130" s="556" t="s">
        <v>188</v>
      </c>
      <c r="C130" s="556"/>
      <c r="D130" s="556"/>
      <c r="E130" s="556"/>
      <c r="F130" s="556"/>
      <c r="G130" s="556"/>
      <c r="H130" s="556"/>
      <c r="I130" s="556"/>
      <c r="J130" s="556"/>
      <c r="K130" s="556"/>
      <c r="L130" s="556"/>
      <c r="M130" s="556"/>
      <c r="N130" s="556"/>
      <c r="O130" s="556"/>
      <c r="P130" s="556"/>
      <c r="Q130" s="556"/>
      <c r="R130" s="556"/>
      <c r="S130" s="556"/>
      <c r="T130" s="598">
        <v>0</v>
      </c>
      <c r="U130" s="598"/>
      <c r="V130" s="599"/>
      <c r="W130" s="558"/>
      <c r="X130" s="543"/>
    </row>
    <row r="131" spans="1:24" s="544" customFormat="1" x14ac:dyDescent="0.3">
      <c r="A131" s="555"/>
      <c r="B131" s="556" t="s">
        <v>227</v>
      </c>
      <c r="C131" s="556"/>
      <c r="D131" s="556"/>
      <c r="E131" s="556"/>
      <c r="F131" s="556"/>
      <c r="G131" s="556"/>
      <c r="H131" s="556"/>
      <c r="I131" s="556"/>
      <c r="J131" s="556"/>
      <c r="K131" s="556"/>
      <c r="L131" s="556"/>
      <c r="M131" s="556"/>
      <c r="N131" s="556"/>
      <c r="O131" s="556"/>
      <c r="P131" s="556"/>
      <c r="Q131" s="556"/>
      <c r="R131" s="556"/>
      <c r="S131" s="556"/>
      <c r="T131" s="598">
        <v>0</v>
      </c>
      <c r="U131" s="598"/>
      <c r="V131" s="599"/>
      <c r="W131" s="558"/>
      <c r="X131" s="543"/>
    </row>
    <row r="132" spans="1:24" s="544" customFormat="1" x14ac:dyDescent="0.3">
      <c r="A132" s="555"/>
      <c r="B132" s="556" t="s">
        <v>187</v>
      </c>
      <c r="C132" s="556"/>
      <c r="D132" s="556"/>
      <c r="E132" s="556"/>
      <c r="F132" s="556"/>
      <c r="G132" s="556"/>
      <c r="H132" s="556"/>
      <c r="I132" s="556"/>
      <c r="J132" s="556"/>
      <c r="K132" s="556"/>
      <c r="L132" s="556"/>
      <c r="M132" s="556"/>
      <c r="N132" s="556"/>
      <c r="O132" s="556"/>
      <c r="P132" s="556"/>
      <c r="Q132" s="556"/>
      <c r="R132" s="556"/>
      <c r="S132" s="556"/>
      <c r="T132" s="598">
        <v>0</v>
      </c>
      <c r="U132" s="598"/>
      <c r="V132" s="599"/>
      <c r="W132" s="558"/>
      <c r="X132" s="543"/>
    </row>
    <row r="133" spans="1:24" s="544" customFormat="1" x14ac:dyDescent="0.3">
      <c r="A133" s="555"/>
      <c r="B133" s="556" t="s">
        <v>39</v>
      </c>
      <c r="C133" s="556"/>
      <c r="D133" s="556"/>
      <c r="E133" s="556"/>
      <c r="F133" s="556"/>
      <c r="G133" s="556"/>
      <c r="H133" s="556"/>
      <c r="I133" s="556"/>
      <c r="J133" s="556"/>
      <c r="K133" s="556"/>
      <c r="L133" s="556"/>
      <c r="M133" s="556"/>
      <c r="N133" s="556"/>
      <c r="O133" s="556"/>
      <c r="P133" s="556"/>
      <c r="Q133" s="556"/>
      <c r="R133" s="556"/>
      <c r="S133" s="556"/>
      <c r="T133" s="598">
        <f>SUM(T122:T132)</f>
        <v>-16687</v>
      </c>
      <c r="U133" s="598"/>
      <c r="V133" s="598">
        <f>SUM(V101:V130)</f>
        <v>-5606</v>
      </c>
      <c r="W133" s="558"/>
      <c r="X133" s="543"/>
    </row>
    <row r="134" spans="1:24" s="544" customFormat="1" x14ac:dyDescent="0.3">
      <c r="A134" s="555"/>
      <c r="B134" s="556" t="s">
        <v>40</v>
      </c>
      <c r="C134" s="556"/>
      <c r="D134" s="556"/>
      <c r="E134" s="556"/>
      <c r="F134" s="556"/>
      <c r="G134" s="556"/>
      <c r="H134" s="556"/>
      <c r="I134" s="556"/>
      <c r="J134" s="556"/>
      <c r="K134" s="556"/>
      <c r="L134" s="556"/>
      <c r="M134" s="556"/>
      <c r="N134" s="556"/>
      <c r="O134" s="556"/>
      <c r="P134" s="556"/>
      <c r="Q134" s="556"/>
      <c r="R134" s="556"/>
      <c r="S134" s="556"/>
      <c r="T134" s="598">
        <f>T100+T133+T114</f>
        <v>0</v>
      </c>
      <c r="U134" s="598"/>
      <c r="V134" s="598">
        <f>V100+V133</f>
        <v>0</v>
      </c>
      <c r="W134" s="558"/>
      <c r="X134" s="543"/>
    </row>
    <row r="135" spans="1:24" s="544" customFormat="1" x14ac:dyDescent="0.3">
      <c r="A135" s="540"/>
      <c r="B135" s="588"/>
      <c r="C135" s="588"/>
      <c r="D135" s="588"/>
      <c r="E135" s="588"/>
      <c r="F135" s="588"/>
      <c r="G135" s="588"/>
      <c r="H135" s="588"/>
      <c r="I135" s="588"/>
      <c r="J135" s="588"/>
      <c r="K135" s="588"/>
      <c r="L135" s="588"/>
      <c r="M135" s="588"/>
      <c r="N135" s="588"/>
      <c r="O135" s="588"/>
      <c r="P135" s="588"/>
      <c r="Q135" s="588"/>
      <c r="R135" s="588"/>
      <c r="S135" s="588"/>
      <c r="T135" s="600"/>
      <c r="U135" s="600"/>
      <c r="V135" s="600"/>
      <c r="W135" s="588"/>
      <c r="X135" s="543"/>
    </row>
    <row r="136" spans="1:24" s="544" customFormat="1" x14ac:dyDescent="0.3">
      <c r="A136" s="540"/>
      <c r="B136" s="541"/>
      <c r="C136" s="541"/>
      <c r="D136" s="541"/>
      <c r="E136" s="541"/>
      <c r="F136" s="541"/>
      <c r="G136" s="541"/>
      <c r="H136" s="541"/>
      <c r="I136" s="541"/>
      <c r="J136" s="541"/>
      <c r="K136" s="541"/>
      <c r="L136" s="541"/>
      <c r="M136" s="541"/>
      <c r="N136" s="541"/>
      <c r="O136" s="541"/>
      <c r="P136" s="541"/>
      <c r="Q136" s="541"/>
      <c r="R136" s="541"/>
      <c r="S136" s="541"/>
      <c r="T136" s="541"/>
      <c r="U136" s="541"/>
      <c r="V136" s="606"/>
      <c r="W136" s="541"/>
      <c r="X136" s="543"/>
    </row>
    <row r="137" spans="1:24" s="544" customFormat="1" ht="18.600000000000001" thickBot="1" x14ac:dyDescent="0.4">
      <c r="A137" s="593"/>
      <c r="B137" s="594" t="str">
        <f>B63</f>
        <v>PM14 INVESTOR REPORT QUARTER ENDING MAY 2018</v>
      </c>
      <c r="C137" s="595"/>
      <c r="D137" s="595"/>
      <c r="E137" s="595"/>
      <c r="F137" s="595"/>
      <c r="G137" s="595"/>
      <c r="H137" s="595"/>
      <c r="I137" s="595"/>
      <c r="J137" s="595"/>
      <c r="K137" s="595"/>
      <c r="L137" s="595"/>
      <c r="M137" s="595"/>
      <c r="N137" s="595"/>
      <c r="O137" s="595"/>
      <c r="P137" s="595"/>
      <c r="Q137" s="595"/>
      <c r="R137" s="595"/>
      <c r="S137" s="595"/>
      <c r="T137" s="595"/>
      <c r="U137" s="595"/>
      <c r="V137" s="607"/>
      <c r="W137" s="597"/>
      <c r="X137" s="543"/>
    </row>
    <row r="138" spans="1:24" x14ac:dyDescent="0.3">
      <c r="A138" s="527"/>
      <c r="B138" s="528" t="s">
        <v>41</v>
      </c>
      <c r="C138" s="529"/>
      <c r="D138" s="529"/>
      <c r="E138" s="529"/>
      <c r="F138" s="529"/>
      <c r="G138" s="529"/>
      <c r="H138" s="529"/>
      <c r="I138" s="529"/>
      <c r="J138" s="529"/>
      <c r="K138" s="529"/>
      <c r="L138" s="529"/>
      <c r="M138" s="529"/>
      <c r="N138" s="529"/>
      <c r="O138" s="529"/>
      <c r="P138" s="529"/>
      <c r="Q138" s="529"/>
      <c r="R138" s="529"/>
      <c r="S138" s="529"/>
      <c r="T138" s="529"/>
      <c r="U138" s="529"/>
      <c r="V138" s="530"/>
      <c r="W138" s="529"/>
      <c r="X138" s="415"/>
    </row>
    <row r="139" spans="1:24" x14ac:dyDescent="0.3">
      <c r="A139" s="417"/>
      <c r="B139" s="451"/>
      <c r="C139" s="419"/>
      <c r="D139" s="419"/>
      <c r="E139" s="419"/>
      <c r="F139" s="419"/>
      <c r="G139" s="419"/>
      <c r="H139" s="419"/>
      <c r="I139" s="419"/>
      <c r="J139" s="419"/>
      <c r="K139" s="419"/>
      <c r="L139" s="419"/>
      <c r="M139" s="419"/>
      <c r="N139" s="419"/>
      <c r="O139" s="419"/>
      <c r="P139" s="419"/>
      <c r="Q139" s="419"/>
      <c r="R139" s="419"/>
      <c r="S139" s="419"/>
      <c r="T139" s="419"/>
      <c r="U139" s="419"/>
      <c r="V139" s="439"/>
      <c r="W139" s="419"/>
      <c r="X139" s="415"/>
    </row>
    <row r="140" spans="1:24" x14ac:dyDescent="0.3">
      <c r="A140" s="417"/>
      <c r="B140" s="508" t="s">
        <v>42</v>
      </c>
      <c r="C140" s="419"/>
      <c r="D140" s="419"/>
      <c r="E140" s="419"/>
      <c r="F140" s="419"/>
      <c r="G140" s="419"/>
      <c r="H140" s="419"/>
      <c r="I140" s="419"/>
      <c r="J140" s="419"/>
      <c r="K140" s="419"/>
      <c r="L140" s="419"/>
      <c r="M140" s="419"/>
      <c r="N140" s="419"/>
      <c r="O140" s="419"/>
      <c r="P140" s="419"/>
      <c r="Q140" s="419"/>
      <c r="R140" s="419"/>
      <c r="S140" s="419"/>
      <c r="T140" s="419"/>
      <c r="U140" s="419"/>
      <c r="V140" s="439"/>
      <c r="W140" s="419"/>
      <c r="X140" s="415"/>
    </row>
    <row r="141" spans="1:24" s="544" customFormat="1" x14ac:dyDescent="0.3">
      <c r="A141" s="555"/>
      <c r="B141" s="556" t="s">
        <v>43</v>
      </c>
      <c r="C141" s="556"/>
      <c r="D141" s="556"/>
      <c r="E141" s="556"/>
      <c r="F141" s="556"/>
      <c r="G141" s="556"/>
      <c r="H141" s="556"/>
      <c r="I141" s="556"/>
      <c r="J141" s="556"/>
      <c r="K141" s="556"/>
      <c r="L141" s="556"/>
      <c r="M141" s="556"/>
      <c r="N141" s="556"/>
      <c r="O141" s="556"/>
      <c r="P141" s="556"/>
      <c r="Q141" s="556"/>
      <c r="R141" s="556"/>
      <c r="S141" s="556"/>
      <c r="T141" s="556"/>
      <c r="U141" s="556"/>
      <c r="V141" s="599">
        <f>+V34*0.019</f>
        <v>28505.224999999999</v>
      </c>
      <c r="W141" s="558"/>
      <c r="X141" s="543"/>
    </row>
    <row r="142" spans="1:24" s="544" customFormat="1" x14ac:dyDescent="0.3">
      <c r="A142" s="555"/>
      <c r="B142" s="556" t="s">
        <v>44</v>
      </c>
      <c r="C142" s="556"/>
      <c r="D142" s="556"/>
      <c r="E142" s="556"/>
      <c r="F142" s="556"/>
      <c r="G142" s="556"/>
      <c r="H142" s="556"/>
      <c r="I142" s="556"/>
      <c r="J142" s="556"/>
      <c r="K142" s="556"/>
      <c r="L142" s="556"/>
      <c r="M142" s="556"/>
      <c r="N142" s="556"/>
      <c r="O142" s="556"/>
      <c r="P142" s="556"/>
      <c r="Q142" s="556"/>
      <c r="R142" s="556"/>
      <c r="S142" s="556"/>
      <c r="T142" s="556"/>
      <c r="U142" s="556"/>
      <c r="V142" s="599">
        <v>28505</v>
      </c>
      <c r="W142" s="558"/>
      <c r="X142" s="543"/>
    </row>
    <row r="143" spans="1:24" s="544" customFormat="1" x14ac:dyDescent="0.3">
      <c r="A143" s="555"/>
      <c r="B143" s="556" t="s">
        <v>136</v>
      </c>
      <c r="C143" s="556"/>
      <c r="D143" s="556"/>
      <c r="E143" s="556"/>
      <c r="F143" s="556"/>
      <c r="G143" s="556"/>
      <c r="H143" s="556"/>
      <c r="I143" s="556"/>
      <c r="J143" s="556"/>
      <c r="K143" s="556"/>
      <c r="L143" s="556"/>
      <c r="M143" s="556"/>
      <c r="N143" s="556"/>
      <c r="O143" s="556"/>
      <c r="P143" s="556"/>
      <c r="Q143" s="556"/>
      <c r="R143" s="556"/>
      <c r="S143" s="556"/>
      <c r="T143" s="556"/>
      <c r="U143" s="556"/>
      <c r="V143" s="599"/>
      <c r="W143" s="558"/>
      <c r="X143" s="543"/>
    </row>
    <row r="144" spans="1:24" s="544" customFormat="1" x14ac:dyDescent="0.3">
      <c r="A144" s="555"/>
      <c r="B144" s="556" t="s">
        <v>123</v>
      </c>
      <c r="C144" s="556"/>
      <c r="D144" s="556"/>
      <c r="E144" s="556"/>
      <c r="F144" s="556"/>
      <c r="G144" s="556"/>
      <c r="H144" s="556"/>
      <c r="I144" s="556"/>
      <c r="J144" s="556"/>
      <c r="K144" s="556"/>
      <c r="L144" s="556"/>
      <c r="M144" s="556"/>
      <c r="N144" s="556"/>
      <c r="O144" s="556"/>
      <c r="P144" s="556"/>
      <c r="Q144" s="556"/>
      <c r="R144" s="556"/>
      <c r="S144" s="556"/>
      <c r="T144" s="556"/>
      <c r="U144" s="556"/>
      <c r="V144" s="599">
        <v>0</v>
      </c>
      <c r="W144" s="558"/>
      <c r="X144" s="543"/>
    </row>
    <row r="145" spans="1:25" s="544" customFormat="1" x14ac:dyDescent="0.3">
      <c r="A145" s="555"/>
      <c r="B145" s="556" t="s">
        <v>124</v>
      </c>
      <c r="C145" s="556"/>
      <c r="D145" s="556"/>
      <c r="E145" s="556"/>
      <c r="F145" s="556"/>
      <c r="G145" s="556"/>
      <c r="H145" s="556"/>
      <c r="I145" s="556"/>
      <c r="J145" s="556"/>
      <c r="K145" s="556"/>
      <c r="L145" s="556"/>
      <c r="M145" s="556"/>
      <c r="N145" s="556"/>
      <c r="O145" s="556"/>
      <c r="P145" s="556"/>
      <c r="Q145" s="556"/>
      <c r="R145" s="556"/>
      <c r="S145" s="556"/>
      <c r="T145" s="556"/>
      <c r="U145" s="556"/>
      <c r="V145" s="599">
        <v>0</v>
      </c>
      <c r="W145" s="558"/>
      <c r="X145" s="543"/>
    </row>
    <row r="146" spans="1:25" s="544" customFormat="1" x14ac:dyDescent="0.3">
      <c r="A146" s="555"/>
      <c r="B146" s="556" t="s">
        <v>175</v>
      </c>
      <c r="C146" s="556"/>
      <c r="D146" s="556"/>
      <c r="E146" s="556"/>
      <c r="F146" s="556"/>
      <c r="G146" s="556"/>
      <c r="H146" s="556"/>
      <c r="I146" s="556"/>
      <c r="J146" s="556"/>
      <c r="K146" s="556"/>
      <c r="L146" s="556"/>
      <c r="M146" s="556"/>
      <c r="N146" s="556"/>
      <c r="O146" s="556"/>
      <c r="P146" s="556"/>
      <c r="Q146" s="556"/>
      <c r="R146" s="556"/>
      <c r="S146" s="556"/>
      <c r="T146" s="556"/>
      <c r="U146" s="556"/>
      <c r="V146" s="599">
        <v>0</v>
      </c>
      <c r="W146" s="558"/>
      <c r="X146" s="543"/>
    </row>
    <row r="147" spans="1:25" s="544" customFormat="1" x14ac:dyDescent="0.3">
      <c r="A147" s="555"/>
      <c r="B147" s="556" t="s">
        <v>45</v>
      </c>
      <c r="C147" s="556"/>
      <c r="D147" s="556"/>
      <c r="E147" s="556"/>
      <c r="F147" s="556"/>
      <c r="G147" s="556"/>
      <c r="H147" s="556"/>
      <c r="I147" s="556"/>
      <c r="J147" s="556"/>
      <c r="K147" s="556"/>
      <c r="L147" s="556"/>
      <c r="M147" s="556"/>
      <c r="N147" s="556"/>
      <c r="O147" s="556"/>
      <c r="P147" s="556"/>
      <c r="Q147" s="556"/>
      <c r="R147" s="556"/>
      <c r="S147" s="556"/>
      <c r="T147" s="556"/>
      <c r="U147" s="556"/>
      <c r="V147" s="599">
        <v>0</v>
      </c>
      <c r="W147" s="558"/>
      <c r="X147" s="543"/>
    </row>
    <row r="148" spans="1:25" s="544" customFormat="1" x14ac:dyDescent="0.3">
      <c r="A148" s="555"/>
      <c r="B148" s="556" t="s">
        <v>129</v>
      </c>
      <c r="C148" s="556"/>
      <c r="D148" s="556"/>
      <c r="E148" s="556"/>
      <c r="F148" s="556"/>
      <c r="G148" s="556"/>
      <c r="H148" s="556"/>
      <c r="I148" s="556"/>
      <c r="J148" s="556"/>
      <c r="K148" s="556"/>
      <c r="L148" s="556"/>
      <c r="M148" s="556"/>
      <c r="N148" s="556"/>
      <c r="O148" s="556"/>
      <c r="P148" s="556"/>
      <c r="Q148" s="556"/>
      <c r="R148" s="556"/>
      <c r="S148" s="556"/>
      <c r="T148" s="556"/>
      <c r="U148" s="556"/>
      <c r="V148" s="599">
        <v>0</v>
      </c>
      <c r="W148" s="558"/>
      <c r="X148" s="543"/>
    </row>
    <row r="149" spans="1:25" s="544" customFormat="1" x14ac:dyDescent="0.3">
      <c r="A149" s="555"/>
      <c r="B149" s="556" t="s">
        <v>267</v>
      </c>
      <c r="C149" s="556"/>
      <c r="D149" s="556"/>
      <c r="E149" s="556"/>
      <c r="F149" s="556"/>
      <c r="G149" s="556"/>
      <c r="H149" s="556"/>
      <c r="I149" s="556"/>
      <c r="J149" s="556"/>
      <c r="K149" s="556"/>
      <c r="L149" s="556"/>
      <c r="M149" s="556"/>
      <c r="N149" s="556"/>
      <c r="O149" s="556"/>
      <c r="P149" s="556"/>
      <c r="Q149" s="556"/>
      <c r="R149" s="556"/>
      <c r="S149" s="556"/>
      <c r="T149" s="556"/>
      <c r="U149" s="556"/>
      <c r="V149" s="599">
        <v>0</v>
      </c>
      <c r="W149" s="558"/>
      <c r="X149" s="543"/>
      <c r="Y149" s="604"/>
    </row>
    <row r="150" spans="1:25" s="544" customFormat="1" x14ac:dyDescent="0.3">
      <c r="A150" s="555"/>
      <c r="B150" s="556" t="s">
        <v>46</v>
      </c>
      <c r="C150" s="556"/>
      <c r="D150" s="556"/>
      <c r="E150" s="556"/>
      <c r="F150" s="556"/>
      <c r="G150" s="556"/>
      <c r="H150" s="556"/>
      <c r="I150" s="556"/>
      <c r="J150" s="556"/>
      <c r="K150" s="556"/>
      <c r="L150" s="556"/>
      <c r="M150" s="556"/>
      <c r="N150" s="556"/>
      <c r="O150" s="556"/>
      <c r="P150" s="556"/>
      <c r="Q150" s="556"/>
      <c r="R150" s="556"/>
      <c r="S150" s="556"/>
      <c r="T150" s="556"/>
      <c r="U150" s="556"/>
      <c r="V150" s="599">
        <f>SUM(V142:V149)</f>
        <v>28505</v>
      </c>
      <c r="W150" s="558"/>
      <c r="X150" s="543"/>
    </row>
    <row r="151" spans="1:25" x14ac:dyDescent="0.3">
      <c r="A151" s="431"/>
      <c r="B151" s="434"/>
      <c r="C151" s="434"/>
      <c r="D151" s="434"/>
      <c r="E151" s="434"/>
      <c r="F151" s="434"/>
      <c r="G151" s="434"/>
      <c r="H151" s="434"/>
      <c r="I151" s="434"/>
      <c r="J151" s="434"/>
      <c r="K151" s="434"/>
      <c r="L151" s="434"/>
      <c r="M151" s="434"/>
      <c r="N151" s="434"/>
      <c r="O151" s="434"/>
      <c r="P151" s="434"/>
      <c r="Q151" s="434"/>
      <c r="R151" s="434"/>
      <c r="S151" s="434"/>
      <c r="T151" s="434"/>
      <c r="U151" s="434"/>
      <c r="V151" s="449"/>
      <c r="W151" s="436"/>
      <c r="X151" s="415"/>
    </row>
    <row r="152" spans="1:25" x14ac:dyDescent="0.3">
      <c r="A152" s="431"/>
      <c r="B152" s="507" t="s">
        <v>237</v>
      </c>
      <c r="C152" s="434"/>
      <c r="D152" s="434"/>
      <c r="E152" s="434"/>
      <c r="F152" s="434"/>
      <c r="G152" s="434"/>
      <c r="H152" s="434"/>
      <c r="I152" s="434"/>
      <c r="J152" s="434"/>
      <c r="K152" s="434"/>
      <c r="L152" s="434"/>
      <c r="M152" s="434"/>
      <c r="N152" s="434"/>
      <c r="O152" s="434"/>
      <c r="P152" s="434"/>
      <c r="Q152" s="434"/>
      <c r="R152" s="434"/>
      <c r="S152" s="434"/>
      <c r="T152" s="434"/>
      <c r="U152" s="434"/>
      <c r="V152" s="449"/>
      <c r="W152" s="436"/>
      <c r="X152" s="415"/>
    </row>
    <row r="153" spans="1:25" s="544" customFormat="1" x14ac:dyDescent="0.3">
      <c r="A153" s="555"/>
      <c r="B153" s="556" t="s">
        <v>155</v>
      </c>
      <c r="C153" s="556"/>
      <c r="D153" s="556"/>
      <c r="E153" s="556"/>
      <c r="F153" s="556"/>
      <c r="G153" s="556"/>
      <c r="H153" s="556"/>
      <c r="I153" s="556"/>
      <c r="J153" s="556"/>
      <c r="K153" s="556"/>
      <c r="L153" s="556"/>
      <c r="M153" s="556"/>
      <c r="N153" s="556"/>
      <c r="O153" s="556"/>
      <c r="P153" s="556"/>
      <c r="Q153" s="556"/>
      <c r="R153" s="556"/>
      <c r="S153" s="556"/>
      <c r="T153" s="556"/>
      <c r="U153" s="556"/>
      <c r="V153" s="599">
        <v>7500</v>
      </c>
      <c r="W153" s="558"/>
      <c r="X153" s="543"/>
    </row>
    <row r="154" spans="1:25" s="544" customFormat="1" x14ac:dyDescent="0.3">
      <c r="A154" s="555"/>
      <c r="B154" s="556" t="s">
        <v>172</v>
      </c>
      <c r="C154" s="556"/>
      <c r="D154" s="556"/>
      <c r="E154" s="556"/>
      <c r="F154" s="556"/>
      <c r="G154" s="556"/>
      <c r="H154" s="556"/>
      <c r="I154" s="556"/>
      <c r="J154" s="556"/>
      <c r="K154" s="556"/>
      <c r="L154" s="556"/>
      <c r="M154" s="556"/>
      <c r="N154" s="556"/>
      <c r="O154" s="556"/>
      <c r="P154" s="556"/>
      <c r="Q154" s="556"/>
      <c r="R154" s="556"/>
      <c r="S154" s="556"/>
      <c r="T154" s="556"/>
      <c r="U154" s="556"/>
      <c r="V154" s="599">
        <v>0</v>
      </c>
      <c r="W154" s="558"/>
      <c r="X154" s="543"/>
    </row>
    <row r="155" spans="1:25" s="544" customFormat="1" x14ac:dyDescent="0.3">
      <c r="A155" s="555"/>
      <c r="B155" s="556" t="s">
        <v>344</v>
      </c>
      <c r="C155" s="556"/>
      <c r="D155" s="556"/>
      <c r="E155" s="556"/>
      <c r="F155" s="556"/>
      <c r="G155" s="556"/>
      <c r="H155" s="556"/>
      <c r="I155" s="556"/>
      <c r="J155" s="556"/>
      <c r="K155" s="556"/>
      <c r="L155" s="556"/>
      <c r="M155" s="556"/>
      <c r="N155" s="556"/>
      <c r="O155" s="556"/>
      <c r="P155" s="556"/>
      <c r="Q155" s="556"/>
      <c r="R155" s="556"/>
      <c r="S155" s="556"/>
      <c r="T155" s="556"/>
      <c r="U155" s="556"/>
      <c r="V155" s="599">
        <v>0</v>
      </c>
      <c r="W155" s="558"/>
      <c r="X155" s="543"/>
    </row>
    <row r="156" spans="1:25" x14ac:dyDescent="0.3">
      <c r="A156" s="431"/>
      <c r="B156" s="432"/>
      <c r="C156" s="432"/>
      <c r="D156" s="432"/>
      <c r="E156" s="432"/>
      <c r="F156" s="432"/>
      <c r="G156" s="432"/>
      <c r="H156" s="432"/>
      <c r="I156" s="432"/>
      <c r="J156" s="432"/>
      <c r="K156" s="432"/>
      <c r="L156" s="432"/>
      <c r="M156" s="432"/>
      <c r="N156" s="432"/>
      <c r="O156" s="432"/>
      <c r="P156" s="432"/>
      <c r="Q156" s="432"/>
      <c r="R156" s="432"/>
      <c r="S156" s="432"/>
      <c r="T156" s="432"/>
      <c r="U156" s="432"/>
      <c r="V156" s="440"/>
      <c r="W156" s="433"/>
      <c r="X156" s="415"/>
    </row>
    <row r="157" spans="1:25" x14ac:dyDescent="0.3">
      <c r="A157" s="417"/>
      <c r="B157" s="441"/>
      <c r="C157" s="441"/>
      <c r="D157" s="441"/>
      <c r="E157" s="441"/>
      <c r="F157" s="441"/>
      <c r="G157" s="441"/>
      <c r="H157" s="441"/>
      <c r="I157" s="441"/>
      <c r="J157" s="441"/>
      <c r="K157" s="441"/>
      <c r="L157" s="441"/>
      <c r="M157" s="441"/>
      <c r="N157" s="441"/>
      <c r="O157" s="441"/>
      <c r="P157" s="441"/>
      <c r="Q157" s="441"/>
      <c r="R157" s="441"/>
      <c r="S157" s="441"/>
      <c r="T157" s="441"/>
      <c r="U157" s="441"/>
      <c r="V157" s="452"/>
      <c r="W157" s="441"/>
      <c r="X157" s="415"/>
    </row>
    <row r="158" spans="1:25" x14ac:dyDescent="0.3">
      <c r="A158" s="417"/>
      <c r="B158" s="508" t="s">
        <v>24</v>
      </c>
      <c r="C158" s="419"/>
      <c r="D158" s="419"/>
      <c r="E158" s="419"/>
      <c r="F158" s="419"/>
      <c r="G158" s="419"/>
      <c r="H158" s="419"/>
      <c r="I158" s="419"/>
      <c r="J158" s="419"/>
      <c r="K158" s="419"/>
      <c r="L158" s="419"/>
      <c r="M158" s="419"/>
      <c r="N158" s="419"/>
      <c r="O158" s="419"/>
      <c r="P158" s="419"/>
      <c r="Q158" s="419"/>
      <c r="R158" s="419"/>
      <c r="S158" s="419"/>
      <c r="T158" s="419"/>
      <c r="U158" s="419"/>
      <c r="V158" s="439"/>
      <c r="W158" s="419"/>
      <c r="X158" s="415"/>
    </row>
    <row r="159" spans="1:25" s="544" customFormat="1" x14ac:dyDescent="0.3">
      <c r="A159" s="555"/>
      <c r="B159" s="556" t="s">
        <v>47</v>
      </c>
      <c r="C159" s="556"/>
      <c r="D159" s="556"/>
      <c r="E159" s="556"/>
      <c r="F159" s="556"/>
      <c r="G159" s="556"/>
      <c r="H159" s="556"/>
      <c r="I159" s="556"/>
      <c r="J159" s="556"/>
      <c r="K159" s="556"/>
      <c r="L159" s="556"/>
      <c r="M159" s="556"/>
      <c r="N159" s="556"/>
      <c r="O159" s="556"/>
      <c r="P159" s="556"/>
      <c r="Q159" s="556"/>
      <c r="R159" s="556"/>
      <c r="S159" s="556"/>
      <c r="T159" s="556"/>
      <c r="U159" s="556"/>
      <c r="V159" s="608" t="s">
        <v>118</v>
      </c>
      <c r="W159" s="558"/>
      <c r="X159" s="543"/>
    </row>
    <row r="160" spans="1:25" s="544" customFormat="1" x14ac:dyDescent="0.3">
      <c r="A160" s="555"/>
      <c r="B160" s="556" t="s">
        <v>48</v>
      </c>
      <c r="C160" s="556"/>
      <c r="D160" s="556"/>
      <c r="E160" s="556"/>
      <c r="F160" s="556"/>
      <c r="G160" s="556"/>
      <c r="H160" s="556"/>
      <c r="I160" s="556"/>
      <c r="J160" s="556"/>
      <c r="K160" s="556"/>
      <c r="L160" s="556"/>
      <c r="M160" s="556"/>
      <c r="N160" s="556"/>
      <c r="O160" s="556"/>
      <c r="P160" s="556"/>
      <c r="Q160" s="556"/>
      <c r="R160" s="556"/>
      <c r="S160" s="556"/>
      <c r="T160" s="556"/>
      <c r="U160" s="556"/>
      <c r="V160" s="608" t="s">
        <v>118</v>
      </c>
      <c r="W160" s="558"/>
      <c r="X160" s="543"/>
    </row>
    <row r="161" spans="1:256" s="544" customFormat="1" x14ac:dyDescent="0.3">
      <c r="A161" s="555"/>
      <c r="B161" s="556" t="s">
        <v>49</v>
      </c>
      <c r="C161" s="556"/>
      <c r="D161" s="556"/>
      <c r="E161" s="556"/>
      <c r="F161" s="556"/>
      <c r="G161" s="556"/>
      <c r="H161" s="556"/>
      <c r="I161" s="556"/>
      <c r="J161" s="556"/>
      <c r="K161" s="556"/>
      <c r="L161" s="556"/>
      <c r="M161" s="556"/>
      <c r="N161" s="556"/>
      <c r="O161" s="556"/>
      <c r="P161" s="556"/>
      <c r="Q161" s="556"/>
      <c r="R161" s="556"/>
      <c r="S161" s="556"/>
      <c r="T161" s="556"/>
      <c r="U161" s="556"/>
      <c r="V161" s="608" t="s">
        <v>118</v>
      </c>
      <c r="W161" s="558"/>
      <c r="X161" s="543"/>
    </row>
    <row r="162" spans="1:256" s="544" customFormat="1" x14ac:dyDescent="0.3">
      <c r="A162" s="555"/>
      <c r="B162" s="556" t="s">
        <v>50</v>
      </c>
      <c r="C162" s="556"/>
      <c r="D162" s="556"/>
      <c r="E162" s="556"/>
      <c r="F162" s="556"/>
      <c r="G162" s="556"/>
      <c r="H162" s="556"/>
      <c r="I162" s="556"/>
      <c r="J162" s="556"/>
      <c r="K162" s="556"/>
      <c r="L162" s="556"/>
      <c r="M162" s="556"/>
      <c r="N162" s="556"/>
      <c r="O162" s="556"/>
      <c r="P162" s="556"/>
      <c r="Q162" s="556"/>
      <c r="R162" s="556"/>
      <c r="S162" s="556"/>
      <c r="T162" s="556"/>
      <c r="U162" s="556"/>
      <c r="V162" s="608" t="s">
        <v>118</v>
      </c>
      <c r="W162" s="558"/>
      <c r="X162" s="543"/>
    </row>
    <row r="163" spans="1:256" x14ac:dyDescent="0.3">
      <c r="A163" s="417"/>
      <c r="B163" s="441"/>
      <c r="C163" s="441"/>
      <c r="D163" s="441"/>
      <c r="E163" s="441"/>
      <c r="F163" s="441"/>
      <c r="G163" s="441"/>
      <c r="H163" s="441"/>
      <c r="I163" s="441"/>
      <c r="J163" s="441"/>
      <c r="K163" s="441"/>
      <c r="L163" s="441"/>
      <c r="M163" s="441"/>
      <c r="N163" s="441"/>
      <c r="O163" s="441"/>
      <c r="P163" s="441"/>
      <c r="Q163" s="441"/>
      <c r="R163" s="441"/>
      <c r="S163" s="441"/>
      <c r="T163" s="441"/>
      <c r="U163" s="441"/>
      <c r="V163" s="452"/>
      <c r="W163" s="441"/>
      <c r="X163" s="415"/>
    </row>
    <row r="164" spans="1:256" x14ac:dyDescent="0.3">
      <c r="A164" s="417"/>
      <c r="B164" s="508" t="s">
        <v>51</v>
      </c>
      <c r="C164" s="419"/>
      <c r="D164" s="419"/>
      <c r="E164" s="419"/>
      <c r="F164" s="419"/>
      <c r="G164" s="419"/>
      <c r="H164" s="419"/>
      <c r="I164" s="419"/>
      <c r="J164" s="419"/>
      <c r="K164" s="419"/>
      <c r="L164" s="419"/>
      <c r="M164" s="419"/>
      <c r="N164" s="419"/>
      <c r="O164" s="419"/>
      <c r="P164" s="419"/>
      <c r="Q164" s="419"/>
      <c r="R164" s="419"/>
      <c r="S164" s="419"/>
      <c r="T164" s="419"/>
      <c r="U164" s="419"/>
      <c r="V164" s="453"/>
      <c r="W164" s="419"/>
      <c r="X164" s="415"/>
    </row>
    <row r="165" spans="1:256" s="544" customFormat="1" x14ac:dyDescent="0.3">
      <c r="A165" s="555"/>
      <c r="B165" s="556" t="s">
        <v>52</v>
      </c>
      <c r="C165" s="556"/>
      <c r="D165" s="556"/>
      <c r="E165" s="556"/>
      <c r="F165" s="556"/>
      <c r="G165" s="556"/>
      <c r="H165" s="556"/>
      <c r="I165" s="556"/>
      <c r="J165" s="556"/>
      <c r="K165" s="556"/>
      <c r="L165" s="556"/>
      <c r="M165" s="556"/>
      <c r="N165" s="556"/>
      <c r="O165" s="556"/>
      <c r="P165" s="556"/>
      <c r="Q165" s="556"/>
      <c r="R165" s="556"/>
      <c r="S165" s="556"/>
      <c r="T165" s="556"/>
      <c r="U165" s="556"/>
      <c r="V165" s="599">
        <v>0</v>
      </c>
      <c r="W165" s="558"/>
      <c r="X165" s="543"/>
    </row>
    <row r="166" spans="1:256" s="544" customFormat="1" x14ac:dyDescent="0.3">
      <c r="A166" s="555"/>
      <c r="B166" s="556" t="s">
        <v>53</v>
      </c>
      <c r="C166" s="556"/>
      <c r="D166" s="556"/>
      <c r="E166" s="556"/>
      <c r="F166" s="556"/>
      <c r="G166" s="556"/>
      <c r="H166" s="556"/>
      <c r="I166" s="556"/>
      <c r="J166" s="556"/>
      <c r="K166" s="556"/>
      <c r="L166" s="556"/>
      <c r="M166" s="556"/>
      <c r="N166" s="556"/>
      <c r="O166" s="556"/>
      <c r="P166" s="556"/>
      <c r="Q166" s="556"/>
      <c r="R166" s="556"/>
      <c r="S166" s="556"/>
      <c r="T166" s="556"/>
      <c r="U166" s="556"/>
      <c r="V166" s="599">
        <v>97</v>
      </c>
      <c r="W166" s="558"/>
      <c r="X166" s="543"/>
    </row>
    <row r="167" spans="1:256" s="544" customFormat="1" x14ac:dyDescent="0.3">
      <c r="A167" s="555"/>
      <c r="B167" s="556" t="s">
        <v>54</v>
      </c>
      <c r="C167" s="556"/>
      <c r="D167" s="556"/>
      <c r="E167" s="556"/>
      <c r="F167" s="556"/>
      <c r="G167" s="556"/>
      <c r="H167" s="556"/>
      <c r="I167" s="556"/>
      <c r="J167" s="556"/>
      <c r="K167" s="556"/>
      <c r="L167" s="556"/>
      <c r="M167" s="556"/>
      <c r="N167" s="556"/>
      <c r="O167" s="556"/>
      <c r="P167" s="556"/>
      <c r="Q167" s="556"/>
      <c r="R167" s="556"/>
      <c r="S167" s="556"/>
      <c r="T167" s="556"/>
      <c r="U167" s="556"/>
      <c r="V167" s="599">
        <f>V166+V165</f>
        <v>97</v>
      </c>
      <c r="W167" s="558"/>
      <c r="X167" s="543"/>
    </row>
    <row r="168" spans="1:256" s="544" customFormat="1" x14ac:dyDescent="0.3">
      <c r="A168" s="555"/>
      <c r="B168" s="556" t="s">
        <v>315</v>
      </c>
      <c r="C168" s="556"/>
      <c r="D168" s="556"/>
      <c r="E168" s="556"/>
      <c r="F168" s="556"/>
      <c r="G168" s="556"/>
      <c r="H168" s="556"/>
      <c r="I168" s="556"/>
      <c r="J168" s="556"/>
      <c r="K168" s="556"/>
      <c r="L168" s="556"/>
      <c r="M168" s="556"/>
      <c r="N168" s="556"/>
      <c r="O168" s="556"/>
      <c r="P168" s="556"/>
      <c r="Q168" s="556"/>
      <c r="R168" s="556"/>
      <c r="S168" s="556"/>
      <c r="T168" s="556"/>
      <c r="U168" s="556"/>
      <c r="V168" s="599">
        <f>V114</f>
        <v>-97</v>
      </c>
      <c r="W168" s="558"/>
      <c r="X168" s="543"/>
    </row>
    <row r="169" spans="1:256" s="544" customFormat="1" x14ac:dyDescent="0.3">
      <c r="A169" s="555"/>
      <c r="B169" s="556" t="s">
        <v>55</v>
      </c>
      <c r="C169" s="556"/>
      <c r="D169" s="556"/>
      <c r="E169" s="556"/>
      <c r="F169" s="556"/>
      <c r="G169" s="556"/>
      <c r="H169" s="556"/>
      <c r="I169" s="556"/>
      <c r="J169" s="556"/>
      <c r="K169" s="556"/>
      <c r="L169" s="556"/>
      <c r="M169" s="556"/>
      <c r="N169" s="556"/>
      <c r="O169" s="556"/>
      <c r="P169" s="556"/>
      <c r="Q169" s="556"/>
      <c r="R169" s="556"/>
      <c r="S169" s="556"/>
      <c r="T169" s="556"/>
      <c r="U169" s="556"/>
      <c r="V169" s="599">
        <f>V167+V168</f>
        <v>0</v>
      </c>
      <c r="W169" s="558"/>
      <c r="X169" s="543"/>
    </row>
    <row r="170" spans="1:256" s="544" customFormat="1" x14ac:dyDescent="0.3">
      <c r="A170" s="555"/>
      <c r="B170" s="556" t="s">
        <v>283</v>
      </c>
      <c r="C170" s="556"/>
      <c r="D170" s="556"/>
      <c r="E170" s="556"/>
      <c r="F170" s="556"/>
      <c r="G170" s="556"/>
      <c r="H170" s="556"/>
      <c r="I170" s="556"/>
      <c r="J170" s="556"/>
      <c r="K170" s="556"/>
      <c r="L170" s="556"/>
      <c r="M170" s="556"/>
      <c r="N170" s="556"/>
      <c r="O170" s="556"/>
      <c r="P170" s="556"/>
      <c r="Q170" s="556"/>
      <c r="R170" s="556"/>
      <c r="S170" s="556"/>
      <c r="T170" s="556"/>
      <c r="U170" s="556"/>
      <c r="V170" s="599">
        <v>0</v>
      </c>
      <c r="W170" s="558"/>
      <c r="X170" s="543"/>
    </row>
    <row r="171" spans="1:256" ht="16.2" thickBot="1" x14ac:dyDescent="0.35">
      <c r="A171" s="417"/>
      <c r="B171" s="437"/>
      <c r="C171" s="437"/>
      <c r="D171" s="437"/>
      <c r="E171" s="437"/>
      <c r="F171" s="437"/>
      <c r="G171" s="437"/>
      <c r="H171" s="437"/>
      <c r="I171" s="437"/>
      <c r="J171" s="437"/>
      <c r="K171" s="437"/>
      <c r="L171" s="437"/>
      <c r="M171" s="437"/>
      <c r="N171" s="437"/>
      <c r="O171" s="437"/>
      <c r="P171" s="437"/>
      <c r="Q171" s="437"/>
      <c r="R171" s="437"/>
      <c r="S171" s="437"/>
      <c r="T171" s="437"/>
      <c r="U171" s="437"/>
      <c r="V171" s="454"/>
      <c r="W171" s="437"/>
      <c r="X171" s="415"/>
    </row>
    <row r="172" spans="1:256" x14ac:dyDescent="0.3">
      <c r="A172" s="413"/>
      <c r="B172" s="455"/>
      <c r="C172" s="455"/>
      <c r="D172" s="455"/>
      <c r="E172" s="455"/>
      <c r="F172" s="455"/>
      <c r="G172" s="455"/>
      <c r="H172" s="455"/>
      <c r="I172" s="455"/>
      <c r="J172" s="455"/>
      <c r="K172" s="455"/>
      <c r="L172" s="455"/>
      <c r="M172" s="455"/>
      <c r="N172" s="455"/>
      <c r="O172" s="455"/>
      <c r="P172" s="455"/>
      <c r="Q172" s="455"/>
      <c r="R172" s="455"/>
      <c r="S172" s="455"/>
      <c r="T172" s="455"/>
      <c r="U172" s="455"/>
      <c r="V172" s="456"/>
      <c r="W172" s="455"/>
      <c r="X172" s="415"/>
    </row>
    <row r="173" spans="1:256" s="458" customFormat="1" x14ac:dyDescent="0.3">
      <c r="A173" s="417"/>
      <c r="B173" s="508" t="s">
        <v>269</v>
      </c>
      <c r="C173" s="441"/>
      <c r="D173" s="441"/>
      <c r="E173" s="441"/>
      <c r="F173" s="441"/>
      <c r="G173" s="441"/>
      <c r="H173" s="441"/>
      <c r="I173" s="441"/>
      <c r="J173" s="441"/>
      <c r="K173" s="441"/>
      <c r="L173" s="441"/>
      <c r="M173" s="441"/>
      <c r="N173" s="441"/>
      <c r="O173" s="441"/>
      <c r="P173" s="441"/>
      <c r="Q173" s="441"/>
      <c r="R173" s="441"/>
      <c r="S173" s="441"/>
      <c r="T173" s="441"/>
      <c r="U173" s="441"/>
      <c r="V173" s="457"/>
      <c r="W173" s="441"/>
      <c r="X173" s="415"/>
      <c r="Y173" s="416"/>
      <c r="Z173" s="416"/>
      <c r="AA173" s="416"/>
      <c r="AB173" s="416"/>
      <c r="AC173" s="416"/>
      <c r="AD173" s="416"/>
      <c r="AE173" s="416"/>
      <c r="AF173" s="416"/>
      <c r="AG173" s="416"/>
      <c r="AH173" s="416"/>
      <c r="AI173" s="416"/>
      <c r="AJ173" s="416"/>
      <c r="AK173" s="416"/>
      <c r="AL173" s="416"/>
      <c r="AM173" s="416"/>
      <c r="AN173" s="416"/>
      <c r="AO173" s="416"/>
      <c r="AP173" s="416"/>
      <c r="AQ173" s="416"/>
      <c r="AR173" s="416"/>
      <c r="AS173" s="416"/>
      <c r="AT173" s="416"/>
      <c r="AU173" s="416"/>
      <c r="AV173" s="416"/>
      <c r="AW173" s="416"/>
      <c r="AX173" s="416"/>
      <c r="AY173" s="416"/>
      <c r="AZ173" s="416"/>
      <c r="BA173" s="416"/>
      <c r="BB173" s="416"/>
      <c r="BC173" s="416"/>
      <c r="BD173" s="416"/>
      <c r="BE173" s="416"/>
      <c r="BF173" s="416"/>
      <c r="BG173" s="416"/>
      <c r="BH173" s="416"/>
      <c r="BI173" s="416"/>
      <c r="BJ173" s="416"/>
      <c r="BK173" s="416"/>
      <c r="BL173" s="416"/>
      <c r="BM173" s="416"/>
      <c r="BN173" s="416"/>
      <c r="BO173" s="416"/>
      <c r="BP173" s="416"/>
      <c r="BQ173" s="416"/>
      <c r="BR173" s="416"/>
      <c r="BS173" s="416"/>
      <c r="BT173" s="416"/>
      <c r="BU173" s="416"/>
      <c r="BV173" s="416"/>
      <c r="BW173" s="416"/>
      <c r="BX173" s="416"/>
      <c r="BY173" s="416"/>
      <c r="BZ173" s="416"/>
      <c r="CA173" s="416"/>
      <c r="CB173" s="416"/>
      <c r="CC173" s="416"/>
      <c r="CD173" s="416"/>
      <c r="CE173" s="416"/>
      <c r="CF173" s="416"/>
      <c r="CG173" s="416"/>
      <c r="CH173" s="416"/>
      <c r="CI173" s="416"/>
      <c r="CJ173" s="416"/>
      <c r="CK173" s="416"/>
      <c r="CL173" s="416"/>
      <c r="CM173" s="416"/>
      <c r="CN173" s="416"/>
      <c r="CO173" s="416"/>
      <c r="CP173" s="416"/>
      <c r="CQ173" s="416"/>
      <c r="CR173" s="416"/>
      <c r="CS173" s="416"/>
      <c r="CT173" s="416"/>
      <c r="CU173" s="416"/>
      <c r="CV173" s="416"/>
      <c r="CW173" s="416"/>
      <c r="CX173" s="416"/>
      <c r="CY173" s="416"/>
      <c r="CZ173" s="416"/>
      <c r="DA173" s="416"/>
      <c r="DB173" s="416"/>
      <c r="DC173" s="416"/>
      <c r="DD173" s="416"/>
      <c r="DE173" s="416"/>
      <c r="DF173" s="416"/>
      <c r="DG173" s="416"/>
      <c r="DH173" s="416"/>
      <c r="DI173" s="416"/>
      <c r="DJ173" s="416"/>
      <c r="DK173" s="416"/>
      <c r="DL173" s="416"/>
      <c r="DM173" s="416"/>
      <c r="DN173" s="416"/>
      <c r="DO173" s="416"/>
      <c r="DP173" s="416"/>
      <c r="DQ173" s="416"/>
      <c r="DR173" s="416"/>
      <c r="DS173" s="416"/>
      <c r="DT173" s="416"/>
      <c r="DU173" s="416"/>
      <c r="DV173" s="416"/>
      <c r="DW173" s="416"/>
      <c r="DX173" s="416"/>
      <c r="DY173" s="416"/>
      <c r="DZ173" s="416"/>
      <c r="EA173" s="416"/>
      <c r="EB173" s="416"/>
      <c r="EC173" s="416"/>
      <c r="ED173" s="416"/>
      <c r="EE173" s="416"/>
      <c r="EF173" s="416"/>
      <c r="EG173" s="416"/>
      <c r="EH173" s="416"/>
      <c r="EI173" s="416"/>
      <c r="EJ173" s="416"/>
      <c r="EK173" s="416"/>
      <c r="EL173" s="416"/>
      <c r="EM173" s="416"/>
      <c r="EN173" s="416"/>
      <c r="EO173" s="416"/>
      <c r="EP173" s="416"/>
      <c r="EQ173" s="416"/>
      <c r="ER173" s="416"/>
      <c r="ES173" s="416"/>
      <c r="ET173" s="416"/>
      <c r="EU173" s="416"/>
      <c r="EV173" s="416"/>
      <c r="EW173" s="416"/>
      <c r="EX173" s="416"/>
      <c r="EY173" s="416"/>
      <c r="EZ173" s="416"/>
      <c r="FA173" s="416"/>
      <c r="FB173" s="416"/>
      <c r="FC173" s="416"/>
      <c r="FD173" s="416"/>
      <c r="FE173" s="416"/>
      <c r="FF173" s="416"/>
      <c r="FG173" s="416"/>
      <c r="FH173" s="416"/>
      <c r="FI173" s="416"/>
      <c r="FJ173" s="416"/>
      <c r="FK173" s="416"/>
      <c r="FL173" s="416"/>
      <c r="FM173" s="416"/>
      <c r="FN173" s="416"/>
      <c r="FO173" s="416"/>
      <c r="FP173" s="416"/>
      <c r="FQ173" s="416"/>
      <c r="FR173" s="416"/>
      <c r="FS173" s="416"/>
      <c r="FT173" s="416"/>
      <c r="FU173" s="416"/>
      <c r="FV173" s="416"/>
      <c r="FW173" s="416"/>
      <c r="FX173" s="416"/>
      <c r="FY173" s="416"/>
      <c r="FZ173" s="416"/>
      <c r="GA173" s="416"/>
      <c r="GB173" s="416"/>
      <c r="GC173" s="416"/>
      <c r="GD173" s="416"/>
      <c r="GE173" s="416"/>
      <c r="GF173" s="416"/>
      <c r="GG173" s="416"/>
      <c r="GH173" s="416"/>
      <c r="GI173" s="416"/>
      <c r="GJ173" s="416"/>
      <c r="GK173" s="416"/>
      <c r="GL173" s="416"/>
      <c r="GM173" s="416"/>
      <c r="GN173" s="416"/>
      <c r="GO173" s="416"/>
      <c r="GP173" s="416"/>
      <c r="GQ173" s="416"/>
      <c r="GR173" s="416"/>
      <c r="GS173" s="416"/>
      <c r="GT173" s="416"/>
      <c r="GU173" s="416"/>
      <c r="GV173" s="416"/>
      <c r="GW173" s="416"/>
      <c r="GX173" s="416"/>
      <c r="GY173" s="416"/>
      <c r="GZ173" s="416"/>
      <c r="HA173" s="416"/>
      <c r="HB173" s="416"/>
      <c r="HC173" s="416"/>
      <c r="HD173" s="416"/>
      <c r="HE173" s="416"/>
      <c r="HF173" s="416"/>
      <c r="HG173" s="416"/>
      <c r="HH173" s="416"/>
      <c r="HI173" s="416"/>
      <c r="HJ173" s="416"/>
      <c r="HK173" s="416"/>
      <c r="HL173" s="416"/>
      <c r="HM173" s="416"/>
      <c r="HN173" s="416"/>
      <c r="HO173" s="416"/>
      <c r="HP173" s="416"/>
      <c r="HQ173" s="416"/>
      <c r="HR173" s="416"/>
      <c r="HS173" s="416"/>
      <c r="HT173" s="416"/>
      <c r="HU173" s="416"/>
      <c r="HV173" s="416"/>
      <c r="HW173" s="416"/>
      <c r="HX173" s="416"/>
      <c r="HY173" s="416"/>
      <c r="HZ173" s="416"/>
      <c r="IA173" s="416"/>
      <c r="IB173" s="416"/>
      <c r="IC173" s="416"/>
      <c r="ID173" s="416"/>
      <c r="IE173" s="416"/>
      <c r="IF173" s="416"/>
      <c r="IG173" s="416"/>
      <c r="IH173" s="416"/>
      <c r="II173" s="416"/>
      <c r="IJ173" s="416"/>
      <c r="IK173" s="416"/>
      <c r="IL173" s="416"/>
      <c r="IM173" s="416"/>
      <c r="IN173" s="416"/>
      <c r="IO173" s="416"/>
      <c r="IP173" s="416"/>
      <c r="IQ173" s="416"/>
      <c r="IR173" s="416"/>
      <c r="IS173" s="416"/>
      <c r="IT173" s="416"/>
      <c r="IU173" s="416"/>
      <c r="IV173" s="416"/>
    </row>
    <row r="174" spans="1:256" s="609" customFormat="1" x14ac:dyDescent="0.3">
      <c r="A174" s="555"/>
      <c r="B174" s="556" t="s">
        <v>270</v>
      </c>
      <c r="C174" s="556"/>
      <c r="D174" s="556"/>
      <c r="E174" s="556"/>
      <c r="F174" s="556"/>
      <c r="G174" s="556"/>
      <c r="H174" s="556"/>
      <c r="I174" s="556"/>
      <c r="J174" s="556"/>
      <c r="K174" s="556"/>
      <c r="L174" s="556"/>
      <c r="M174" s="556"/>
      <c r="N174" s="556"/>
      <c r="O174" s="556"/>
      <c r="P174" s="556"/>
      <c r="Q174" s="556"/>
      <c r="R174" s="556"/>
      <c r="S174" s="556"/>
      <c r="T174" s="556"/>
      <c r="U174" s="556"/>
      <c r="V174" s="599">
        <f>+'Aug 08'!V177</f>
        <v>0</v>
      </c>
      <c r="W174" s="558"/>
      <c r="X174" s="543"/>
      <c r="Y174" s="544"/>
      <c r="Z174" s="544"/>
      <c r="AA174" s="544"/>
      <c r="AB174" s="544"/>
      <c r="AC174" s="544"/>
      <c r="AD174" s="544"/>
      <c r="AE174" s="544"/>
      <c r="AF174" s="544"/>
      <c r="AG174" s="544"/>
      <c r="AH174" s="544"/>
      <c r="AI174" s="544"/>
      <c r="AJ174" s="544"/>
      <c r="AK174" s="544"/>
      <c r="AL174" s="544"/>
      <c r="AM174" s="544"/>
      <c r="AN174" s="544"/>
      <c r="AO174" s="544"/>
      <c r="AP174" s="544"/>
      <c r="AQ174" s="544"/>
      <c r="AR174" s="544"/>
      <c r="AS174" s="544"/>
      <c r="AT174" s="544"/>
      <c r="AU174" s="544"/>
      <c r="AV174" s="544"/>
      <c r="AW174" s="544"/>
      <c r="AX174" s="544"/>
      <c r="AY174" s="544"/>
      <c r="AZ174" s="544"/>
      <c r="BA174" s="544"/>
      <c r="BB174" s="544"/>
      <c r="BC174" s="544"/>
      <c r="BD174" s="544"/>
      <c r="BE174" s="544"/>
      <c r="BF174" s="544"/>
      <c r="BG174" s="544"/>
      <c r="BH174" s="544"/>
      <c r="BI174" s="544"/>
      <c r="BJ174" s="544"/>
      <c r="BK174" s="544"/>
      <c r="BL174" s="544"/>
      <c r="BM174" s="544"/>
      <c r="BN174" s="544"/>
      <c r="BO174" s="544"/>
      <c r="BP174" s="544"/>
      <c r="BQ174" s="544"/>
      <c r="BR174" s="544"/>
      <c r="BS174" s="544"/>
      <c r="BT174" s="544"/>
      <c r="BU174" s="544"/>
      <c r="BV174" s="544"/>
      <c r="BW174" s="544"/>
      <c r="BX174" s="544"/>
      <c r="BY174" s="544"/>
      <c r="BZ174" s="544"/>
      <c r="CA174" s="544"/>
      <c r="CB174" s="544"/>
      <c r="CC174" s="544"/>
      <c r="CD174" s="544"/>
      <c r="CE174" s="544"/>
      <c r="CF174" s="544"/>
      <c r="CG174" s="544"/>
      <c r="CH174" s="544"/>
      <c r="CI174" s="544"/>
      <c r="CJ174" s="544"/>
      <c r="CK174" s="544"/>
      <c r="CL174" s="544"/>
      <c r="CM174" s="544"/>
      <c r="CN174" s="544"/>
      <c r="CO174" s="544"/>
      <c r="CP174" s="544"/>
      <c r="CQ174" s="544"/>
      <c r="CR174" s="544"/>
      <c r="CS174" s="544"/>
      <c r="CT174" s="544"/>
      <c r="CU174" s="544"/>
      <c r="CV174" s="544"/>
      <c r="CW174" s="544"/>
      <c r="CX174" s="544"/>
      <c r="CY174" s="544"/>
      <c r="CZ174" s="544"/>
      <c r="DA174" s="544"/>
      <c r="DB174" s="544"/>
      <c r="DC174" s="544"/>
      <c r="DD174" s="544"/>
      <c r="DE174" s="544"/>
      <c r="DF174" s="544"/>
      <c r="DG174" s="544"/>
      <c r="DH174" s="544"/>
      <c r="DI174" s="544"/>
      <c r="DJ174" s="544"/>
      <c r="DK174" s="544"/>
      <c r="DL174" s="544"/>
      <c r="DM174" s="544"/>
      <c r="DN174" s="544"/>
      <c r="DO174" s="544"/>
      <c r="DP174" s="544"/>
      <c r="DQ174" s="544"/>
      <c r="DR174" s="544"/>
      <c r="DS174" s="544"/>
      <c r="DT174" s="544"/>
      <c r="DU174" s="544"/>
      <c r="DV174" s="544"/>
      <c r="DW174" s="544"/>
      <c r="DX174" s="544"/>
      <c r="DY174" s="544"/>
      <c r="DZ174" s="544"/>
      <c r="EA174" s="544"/>
      <c r="EB174" s="544"/>
      <c r="EC174" s="544"/>
      <c r="ED174" s="544"/>
      <c r="EE174" s="544"/>
      <c r="EF174" s="544"/>
      <c r="EG174" s="544"/>
      <c r="EH174" s="544"/>
      <c r="EI174" s="544"/>
      <c r="EJ174" s="544"/>
      <c r="EK174" s="544"/>
      <c r="EL174" s="544"/>
      <c r="EM174" s="544"/>
      <c r="EN174" s="544"/>
      <c r="EO174" s="544"/>
      <c r="EP174" s="544"/>
      <c r="EQ174" s="544"/>
      <c r="ER174" s="544"/>
      <c r="ES174" s="544"/>
      <c r="ET174" s="544"/>
      <c r="EU174" s="544"/>
      <c r="EV174" s="544"/>
      <c r="EW174" s="544"/>
      <c r="EX174" s="544"/>
      <c r="EY174" s="544"/>
      <c r="EZ174" s="544"/>
      <c r="FA174" s="544"/>
      <c r="FB174" s="544"/>
      <c r="FC174" s="544"/>
      <c r="FD174" s="544"/>
      <c r="FE174" s="544"/>
      <c r="FF174" s="544"/>
      <c r="FG174" s="544"/>
      <c r="FH174" s="544"/>
      <c r="FI174" s="544"/>
      <c r="FJ174" s="544"/>
      <c r="FK174" s="544"/>
      <c r="FL174" s="544"/>
      <c r="FM174" s="544"/>
      <c r="FN174" s="544"/>
      <c r="FO174" s="544"/>
      <c r="FP174" s="544"/>
      <c r="FQ174" s="544"/>
      <c r="FR174" s="544"/>
      <c r="FS174" s="544"/>
      <c r="FT174" s="544"/>
      <c r="FU174" s="544"/>
      <c r="FV174" s="544"/>
      <c r="FW174" s="544"/>
      <c r="FX174" s="544"/>
      <c r="FY174" s="544"/>
      <c r="FZ174" s="544"/>
      <c r="GA174" s="544"/>
      <c r="GB174" s="544"/>
      <c r="GC174" s="544"/>
      <c r="GD174" s="544"/>
      <c r="GE174" s="544"/>
      <c r="GF174" s="544"/>
      <c r="GG174" s="544"/>
      <c r="GH174" s="544"/>
      <c r="GI174" s="544"/>
      <c r="GJ174" s="544"/>
      <c r="GK174" s="544"/>
      <c r="GL174" s="544"/>
      <c r="GM174" s="544"/>
      <c r="GN174" s="544"/>
      <c r="GO174" s="544"/>
      <c r="GP174" s="544"/>
      <c r="GQ174" s="544"/>
      <c r="GR174" s="544"/>
      <c r="GS174" s="544"/>
      <c r="GT174" s="544"/>
      <c r="GU174" s="544"/>
      <c r="GV174" s="544"/>
      <c r="GW174" s="544"/>
      <c r="GX174" s="544"/>
      <c r="GY174" s="544"/>
      <c r="GZ174" s="544"/>
      <c r="HA174" s="544"/>
      <c r="HB174" s="544"/>
      <c r="HC174" s="544"/>
      <c r="HD174" s="544"/>
      <c r="HE174" s="544"/>
      <c r="HF174" s="544"/>
      <c r="HG174" s="544"/>
      <c r="HH174" s="544"/>
      <c r="HI174" s="544"/>
      <c r="HJ174" s="544"/>
      <c r="HK174" s="544"/>
      <c r="HL174" s="544"/>
      <c r="HM174" s="544"/>
      <c r="HN174" s="544"/>
      <c r="HO174" s="544"/>
      <c r="HP174" s="544"/>
      <c r="HQ174" s="544"/>
      <c r="HR174" s="544"/>
      <c r="HS174" s="544"/>
      <c r="HT174" s="544"/>
      <c r="HU174" s="544"/>
      <c r="HV174" s="544"/>
      <c r="HW174" s="544"/>
      <c r="HX174" s="544"/>
      <c r="HY174" s="544"/>
      <c r="HZ174" s="544"/>
      <c r="IA174" s="544"/>
      <c r="IB174" s="544"/>
      <c r="IC174" s="544"/>
      <c r="ID174" s="544"/>
      <c r="IE174" s="544"/>
      <c r="IF174" s="544"/>
      <c r="IG174" s="544"/>
      <c r="IH174" s="544"/>
      <c r="II174" s="544"/>
      <c r="IJ174" s="544"/>
      <c r="IK174" s="544"/>
      <c r="IL174" s="544"/>
      <c r="IM174" s="544"/>
      <c r="IN174" s="544"/>
      <c r="IO174" s="544"/>
      <c r="IP174" s="544"/>
      <c r="IQ174" s="544"/>
      <c r="IR174" s="544"/>
      <c r="IS174" s="544"/>
      <c r="IT174" s="544"/>
      <c r="IU174" s="544"/>
      <c r="IV174" s="544"/>
    </row>
    <row r="175" spans="1:256" s="609" customFormat="1" x14ac:dyDescent="0.3">
      <c r="A175" s="555"/>
      <c r="B175" s="556" t="s">
        <v>273</v>
      </c>
      <c r="C175" s="556"/>
      <c r="D175" s="556"/>
      <c r="E175" s="556"/>
      <c r="F175" s="556"/>
      <c r="G175" s="556"/>
      <c r="H175" s="556"/>
      <c r="I175" s="556"/>
      <c r="J175" s="556"/>
      <c r="K175" s="556"/>
      <c r="L175" s="556"/>
      <c r="M175" s="556"/>
      <c r="N175" s="556"/>
      <c r="O175" s="556"/>
      <c r="P175" s="556"/>
      <c r="Q175" s="556"/>
      <c r="R175" s="556"/>
      <c r="S175" s="556"/>
      <c r="T175" s="556"/>
      <c r="U175" s="556"/>
      <c r="V175" s="599">
        <f>+V93</f>
        <v>0</v>
      </c>
      <c r="W175" s="558"/>
      <c r="X175" s="543"/>
      <c r="Y175" s="544"/>
      <c r="Z175" s="544"/>
      <c r="AA175" s="544"/>
      <c r="AB175" s="544"/>
      <c r="AC175" s="544"/>
      <c r="AD175" s="544"/>
      <c r="AE175" s="544"/>
      <c r="AF175" s="544"/>
      <c r="AG175" s="544"/>
      <c r="AH175" s="544"/>
      <c r="AI175" s="544"/>
      <c r="AJ175" s="544"/>
      <c r="AK175" s="544"/>
      <c r="AL175" s="544"/>
      <c r="AM175" s="544"/>
      <c r="AN175" s="544"/>
      <c r="AO175" s="544"/>
      <c r="AP175" s="544"/>
      <c r="AQ175" s="544"/>
      <c r="AR175" s="544"/>
      <c r="AS175" s="544"/>
      <c r="AT175" s="544"/>
      <c r="AU175" s="544"/>
      <c r="AV175" s="544"/>
      <c r="AW175" s="544"/>
      <c r="AX175" s="544"/>
      <c r="AY175" s="544"/>
      <c r="AZ175" s="544"/>
      <c r="BA175" s="544"/>
      <c r="BB175" s="544"/>
      <c r="BC175" s="544"/>
      <c r="BD175" s="544"/>
      <c r="BE175" s="544"/>
      <c r="BF175" s="544"/>
      <c r="BG175" s="544"/>
      <c r="BH175" s="544"/>
      <c r="BI175" s="544"/>
      <c r="BJ175" s="544"/>
      <c r="BK175" s="544"/>
      <c r="BL175" s="544"/>
      <c r="BM175" s="544"/>
      <c r="BN175" s="544"/>
      <c r="BO175" s="544"/>
      <c r="BP175" s="544"/>
      <c r="BQ175" s="544"/>
      <c r="BR175" s="544"/>
      <c r="BS175" s="544"/>
      <c r="BT175" s="544"/>
      <c r="BU175" s="544"/>
      <c r="BV175" s="544"/>
      <c r="BW175" s="544"/>
      <c r="BX175" s="544"/>
      <c r="BY175" s="544"/>
      <c r="BZ175" s="544"/>
      <c r="CA175" s="544"/>
      <c r="CB175" s="544"/>
      <c r="CC175" s="544"/>
      <c r="CD175" s="544"/>
      <c r="CE175" s="544"/>
      <c r="CF175" s="544"/>
      <c r="CG175" s="544"/>
      <c r="CH175" s="544"/>
      <c r="CI175" s="544"/>
      <c r="CJ175" s="544"/>
      <c r="CK175" s="544"/>
      <c r="CL175" s="544"/>
      <c r="CM175" s="544"/>
      <c r="CN175" s="544"/>
      <c r="CO175" s="544"/>
      <c r="CP175" s="544"/>
      <c r="CQ175" s="544"/>
      <c r="CR175" s="544"/>
      <c r="CS175" s="544"/>
      <c r="CT175" s="544"/>
      <c r="CU175" s="544"/>
      <c r="CV175" s="544"/>
      <c r="CW175" s="544"/>
      <c r="CX175" s="544"/>
      <c r="CY175" s="544"/>
      <c r="CZ175" s="544"/>
      <c r="DA175" s="544"/>
      <c r="DB175" s="544"/>
      <c r="DC175" s="544"/>
      <c r="DD175" s="544"/>
      <c r="DE175" s="544"/>
      <c r="DF175" s="544"/>
      <c r="DG175" s="544"/>
      <c r="DH175" s="544"/>
      <c r="DI175" s="544"/>
      <c r="DJ175" s="544"/>
      <c r="DK175" s="544"/>
      <c r="DL175" s="544"/>
      <c r="DM175" s="544"/>
      <c r="DN175" s="544"/>
      <c r="DO175" s="544"/>
      <c r="DP175" s="544"/>
      <c r="DQ175" s="544"/>
      <c r="DR175" s="544"/>
      <c r="DS175" s="544"/>
      <c r="DT175" s="544"/>
      <c r="DU175" s="544"/>
      <c r="DV175" s="544"/>
      <c r="DW175" s="544"/>
      <c r="DX175" s="544"/>
      <c r="DY175" s="544"/>
      <c r="DZ175" s="544"/>
      <c r="EA175" s="544"/>
      <c r="EB175" s="544"/>
      <c r="EC175" s="544"/>
      <c r="ED175" s="544"/>
      <c r="EE175" s="544"/>
      <c r="EF175" s="544"/>
      <c r="EG175" s="544"/>
      <c r="EH175" s="544"/>
      <c r="EI175" s="544"/>
      <c r="EJ175" s="544"/>
      <c r="EK175" s="544"/>
      <c r="EL175" s="544"/>
      <c r="EM175" s="544"/>
      <c r="EN175" s="544"/>
      <c r="EO175" s="544"/>
      <c r="EP175" s="544"/>
      <c r="EQ175" s="544"/>
      <c r="ER175" s="544"/>
      <c r="ES175" s="544"/>
      <c r="ET175" s="544"/>
      <c r="EU175" s="544"/>
      <c r="EV175" s="544"/>
      <c r="EW175" s="544"/>
      <c r="EX175" s="544"/>
      <c r="EY175" s="544"/>
      <c r="EZ175" s="544"/>
      <c r="FA175" s="544"/>
      <c r="FB175" s="544"/>
      <c r="FC175" s="544"/>
      <c r="FD175" s="544"/>
      <c r="FE175" s="544"/>
      <c r="FF175" s="544"/>
      <c r="FG175" s="544"/>
      <c r="FH175" s="544"/>
      <c r="FI175" s="544"/>
      <c r="FJ175" s="544"/>
      <c r="FK175" s="544"/>
      <c r="FL175" s="544"/>
      <c r="FM175" s="544"/>
      <c r="FN175" s="544"/>
      <c r="FO175" s="544"/>
      <c r="FP175" s="544"/>
      <c r="FQ175" s="544"/>
      <c r="FR175" s="544"/>
      <c r="FS175" s="544"/>
      <c r="FT175" s="544"/>
      <c r="FU175" s="544"/>
      <c r="FV175" s="544"/>
      <c r="FW175" s="544"/>
      <c r="FX175" s="544"/>
      <c r="FY175" s="544"/>
      <c r="FZ175" s="544"/>
      <c r="GA175" s="544"/>
      <c r="GB175" s="544"/>
      <c r="GC175" s="544"/>
      <c r="GD175" s="544"/>
      <c r="GE175" s="544"/>
      <c r="GF175" s="544"/>
      <c r="GG175" s="544"/>
      <c r="GH175" s="544"/>
      <c r="GI175" s="544"/>
      <c r="GJ175" s="544"/>
      <c r="GK175" s="544"/>
      <c r="GL175" s="544"/>
      <c r="GM175" s="544"/>
      <c r="GN175" s="544"/>
      <c r="GO175" s="544"/>
      <c r="GP175" s="544"/>
      <c r="GQ175" s="544"/>
      <c r="GR175" s="544"/>
      <c r="GS175" s="544"/>
      <c r="GT175" s="544"/>
      <c r="GU175" s="544"/>
      <c r="GV175" s="544"/>
      <c r="GW175" s="544"/>
      <c r="GX175" s="544"/>
      <c r="GY175" s="544"/>
      <c r="GZ175" s="544"/>
      <c r="HA175" s="544"/>
      <c r="HB175" s="544"/>
      <c r="HC175" s="544"/>
      <c r="HD175" s="544"/>
      <c r="HE175" s="544"/>
      <c r="HF175" s="544"/>
      <c r="HG175" s="544"/>
      <c r="HH175" s="544"/>
      <c r="HI175" s="544"/>
      <c r="HJ175" s="544"/>
      <c r="HK175" s="544"/>
      <c r="HL175" s="544"/>
      <c r="HM175" s="544"/>
      <c r="HN175" s="544"/>
      <c r="HO175" s="544"/>
      <c r="HP175" s="544"/>
      <c r="HQ175" s="544"/>
      <c r="HR175" s="544"/>
      <c r="HS175" s="544"/>
      <c r="HT175" s="544"/>
      <c r="HU175" s="544"/>
      <c r="HV175" s="544"/>
      <c r="HW175" s="544"/>
      <c r="HX175" s="544"/>
      <c r="HY175" s="544"/>
      <c r="HZ175" s="544"/>
      <c r="IA175" s="544"/>
      <c r="IB175" s="544"/>
      <c r="IC175" s="544"/>
      <c r="ID175" s="544"/>
      <c r="IE175" s="544"/>
      <c r="IF175" s="544"/>
      <c r="IG175" s="544"/>
      <c r="IH175" s="544"/>
      <c r="II175" s="544"/>
      <c r="IJ175" s="544"/>
      <c r="IK175" s="544"/>
      <c r="IL175" s="544"/>
      <c r="IM175" s="544"/>
      <c r="IN175" s="544"/>
      <c r="IO175" s="544"/>
      <c r="IP175" s="544"/>
      <c r="IQ175" s="544"/>
      <c r="IR175" s="544"/>
      <c r="IS175" s="544"/>
      <c r="IT175" s="544"/>
      <c r="IU175" s="544"/>
      <c r="IV175" s="544"/>
    </row>
    <row r="176" spans="1:256" s="609" customFormat="1" x14ac:dyDescent="0.3">
      <c r="A176" s="555"/>
      <c r="B176" s="556" t="s">
        <v>271</v>
      </c>
      <c r="C176" s="556"/>
      <c r="D176" s="556"/>
      <c r="E176" s="556"/>
      <c r="F176" s="556"/>
      <c r="G176" s="556"/>
      <c r="H176" s="556"/>
      <c r="I176" s="556"/>
      <c r="J176" s="556"/>
      <c r="K176" s="556"/>
      <c r="L176" s="556"/>
      <c r="M176" s="556"/>
      <c r="N176" s="556"/>
      <c r="O176" s="556"/>
      <c r="P176" s="556"/>
      <c r="Q176" s="556"/>
      <c r="R176" s="556"/>
      <c r="S176" s="556"/>
      <c r="T176" s="556"/>
      <c r="U176" s="556"/>
      <c r="V176" s="599">
        <f>+V174-V175</f>
        <v>0</v>
      </c>
      <c r="W176" s="558"/>
      <c r="X176" s="543"/>
      <c r="Y176" s="544"/>
      <c r="Z176" s="544"/>
      <c r="AA176" s="544"/>
      <c r="AB176" s="544"/>
      <c r="AC176" s="544"/>
      <c r="AD176" s="544"/>
      <c r="AE176" s="544"/>
      <c r="AF176" s="544"/>
      <c r="AG176" s="544"/>
      <c r="AH176" s="544"/>
      <c r="AI176" s="544"/>
      <c r="AJ176" s="544"/>
      <c r="AK176" s="544"/>
      <c r="AL176" s="544"/>
      <c r="AM176" s="544"/>
      <c r="AN176" s="544"/>
      <c r="AO176" s="544"/>
      <c r="AP176" s="544"/>
      <c r="AQ176" s="544"/>
      <c r="AR176" s="544"/>
      <c r="AS176" s="544"/>
      <c r="AT176" s="544"/>
      <c r="AU176" s="544"/>
      <c r="AV176" s="544"/>
      <c r="AW176" s="544"/>
      <c r="AX176" s="544"/>
      <c r="AY176" s="544"/>
      <c r="AZ176" s="544"/>
      <c r="BA176" s="544"/>
      <c r="BB176" s="544"/>
      <c r="BC176" s="544"/>
      <c r="BD176" s="544"/>
      <c r="BE176" s="544"/>
      <c r="BF176" s="544"/>
      <c r="BG176" s="544"/>
      <c r="BH176" s="544"/>
      <c r="BI176" s="544"/>
      <c r="BJ176" s="544"/>
      <c r="BK176" s="544"/>
      <c r="BL176" s="544"/>
      <c r="BM176" s="544"/>
      <c r="BN176" s="544"/>
      <c r="BO176" s="544"/>
      <c r="BP176" s="544"/>
      <c r="BQ176" s="544"/>
      <c r="BR176" s="544"/>
      <c r="BS176" s="544"/>
      <c r="BT176" s="544"/>
      <c r="BU176" s="544"/>
      <c r="BV176" s="544"/>
      <c r="BW176" s="544"/>
      <c r="BX176" s="544"/>
      <c r="BY176" s="544"/>
      <c r="BZ176" s="544"/>
      <c r="CA176" s="544"/>
      <c r="CB176" s="544"/>
      <c r="CC176" s="544"/>
      <c r="CD176" s="544"/>
      <c r="CE176" s="544"/>
      <c r="CF176" s="544"/>
      <c r="CG176" s="544"/>
      <c r="CH176" s="544"/>
      <c r="CI176" s="544"/>
      <c r="CJ176" s="544"/>
      <c r="CK176" s="544"/>
      <c r="CL176" s="544"/>
      <c r="CM176" s="544"/>
      <c r="CN176" s="544"/>
      <c r="CO176" s="544"/>
      <c r="CP176" s="544"/>
      <c r="CQ176" s="544"/>
      <c r="CR176" s="544"/>
      <c r="CS176" s="544"/>
      <c r="CT176" s="544"/>
      <c r="CU176" s="544"/>
      <c r="CV176" s="544"/>
      <c r="CW176" s="544"/>
      <c r="CX176" s="544"/>
      <c r="CY176" s="544"/>
      <c r="CZ176" s="544"/>
      <c r="DA176" s="544"/>
      <c r="DB176" s="544"/>
      <c r="DC176" s="544"/>
      <c r="DD176" s="544"/>
      <c r="DE176" s="544"/>
      <c r="DF176" s="544"/>
      <c r="DG176" s="544"/>
      <c r="DH176" s="544"/>
      <c r="DI176" s="544"/>
      <c r="DJ176" s="544"/>
      <c r="DK176" s="544"/>
      <c r="DL176" s="544"/>
      <c r="DM176" s="544"/>
      <c r="DN176" s="544"/>
      <c r="DO176" s="544"/>
      <c r="DP176" s="544"/>
      <c r="DQ176" s="544"/>
      <c r="DR176" s="544"/>
      <c r="DS176" s="544"/>
      <c r="DT176" s="544"/>
      <c r="DU176" s="544"/>
      <c r="DV176" s="544"/>
      <c r="DW176" s="544"/>
      <c r="DX176" s="544"/>
      <c r="DY176" s="544"/>
      <c r="DZ176" s="544"/>
      <c r="EA176" s="544"/>
      <c r="EB176" s="544"/>
      <c r="EC176" s="544"/>
      <c r="ED176" s="544"/>
      <c r="EE176" s="544"/>
      <c r="EF176" s="544"/>
      <c r="EG176" s="544"/>
      <c r="EH176" s="544"/>
      <c r="EI176" s="544"/>
      <c r="EJ176" s="544"/>
      <c r="EK176" s="544"/>
      <c r="EL176" s="544"/>
      <c r="EM176" s="544"/>
      <c r="EN176" s="544"/>
      <c r="EO176" s="544"/>
      <c r="EP176" s="544"/>
      <c r="EQ176" s="544"/>
      <c r="ER176" s="544"/>
      <c r="ES176" s="544"/>
      <c r="ET176" s="544"/>
      <c r="EU176" s="544"/>
      <c r="EV176" s="544"/>
      <c r="EW176" s="544"/>
      <c r="EX176" s="544"/>
      <c r="EY176" s="544"/>
      <c r="EZ176" s="544"/>
      <c r="FA176" s="544"/>
      <c r="FB176" s="544"/>
      <c r="FC176" s="544"/>
      <c r="FD176" s="544"/>
      <c r="FE176" s="544"/>
      <c r="FF176" s="544"/>
      <c r="FG176" s="544"/>
      <c r="FH176" s="544"/>
      <c r="FI176" s="544"/>
      <c r="FJ176" s="544"/>
      <c r="FK176" s="544"/>
      <c r="FL176" s="544"/>
      <c r="FM176" s="544"/>
      <c r="FN176" s="544"/>
      <c r="FO176" s="544"/>
      <c r="FP176" s="544"/>
      <c r="FQ176" s="544"/>
      <c r="FR176" s="544"/>
      <c r="FS176" s="544"/>
      <c r="FT176" s="544"/>
      <c r="FU176" s="544"/>
      <c r="FV176" s="544"/>
      <c r="FW176" s="544"/>
      <c r="FX176" s="544"/>
      <c r="FY176" s="544"/>
      <c r="FZ176" s="544"/>
      <c r="GA176" s="544"/>
      <c r="GB176" s="544"/>
      <c r="GC176" s="544"/>
      <c r="GD176" s="544"/>
      <c r="GE176" s="544"/>
      <c r="GF176" s="544"/>
      <c r="GG176" s="544"/>
      <c r="GH176" s="544"/>
      <c r="GI176" s="544"/>
      <c r="GJ176" s="544"/>
      <c r="GK176" s="544"/>
      <c r="GL176" s="544"/>
      <c r="GM176" s="544"/>
      <c r="GN176" s="544"/>
      <c r="GO176" s="544"/>
      <c r="GP176" s="544"/>
      <c r="GQ176" s="544"/>
      <c r="GR176" s="544"/>
      <c r="GS176" s="544"/>
      <c r="GT176" s="544"/>
      <c r="GU176" s="544"/>
      <c r="GV176" s="544"/>
      <c r="GW176" s="544"/>
      <c r="GX176" s="544"/>
      <c r="GY176" s="544"/>
      <c r="GZ176" s="544"/>
      <c r="HA176" s="544"/>
      <c r="HB176" s="544"/>
      <c r="HC176" s="544"/>
      <c r="HD176" s="544"/>
      <c r="HE176" s="544"/>
      <c r="HF176" s="544"/>
      <c r="HG176" s="544"/>
      <c r="HH176" s="544"/>
      <c r="HI176" s="544"/>
      <c r="HJ176" s="544"/>
      <c r="HK176" s="544"/>
      <c r="HL176" s="544"/>
      <c r="HM176" s="544"/>
      <c r="HN176" s="544"/>
      <c r="HO176" s="544"/>
      <c r="HP176" s="544"/>
      <c r="HQ176" s="544"/>
      <c r="HR176" s="544"/>
      <c r="HS176" s="544"/>
      <c r="HT176" s="544"/>
      <c r="HU176" s="544"/>
      <c r="HV176" s="544"/>
      <c r="HW176" s="544"/>
      <c r="HX176" s="544"/>
      <c r="HY176" s="544"/>
      <c r="HZ176" s="544"/>
      <c r="IA176" s="544"/>
      <c r="IB176" s="544"/>
      <c r="IC176" s="544"/>
      <c r="ID176" s="544"/>
      <c r="IE176" s="544"/>
      <c r="IF176" s="544"/>
      <c r="IG176" s="544"/>
      <c r="IH176" s="544"/>
      <c r="II176" s="544"/>
      <c r="IJ176" s="544"/>
      <c r="IK176" s="544"/>
      <c r="IL176" s="544"/>
      <c r="IM176" s="544"/>
      <c r="IN176" s="544"/>
      <c r="IO176" s="544"/>
      <c r="IP176" s="544"/>
      <c r="IQ176" s="544"/>
      <c r="IR176" s="544"/>
      <c r="IS176" s="544"/>
      <c r="IT176" s="544"/>
      <c r="IU176" s="544"/>
      <c r="IV176" s="544"/>
    </row>
    <row r="177" spans="1:256" s="459" customFormat="1" ht="16.2" thickBot="1" x14ac:dyDescent="0.35">
      <c r="A177" s="438"/>
      <c r="B177" s="441"/>
      <c r="C177" s="441"/>
      <c r="D177" s="441"/>
      <c r="E177" s="441"/>
      <c r="F177" s="441"/>
      <c r="G177" s="441"/>
      <c r="H177" s="441"/>
      <c r="I177" s="441"/>
      <c r="J177" s="441"/>
      <c r="K177" s="441"/>
      <c r="L177" s="441"/>
      <c r="M177" s="441"/>
      <c r="N177" s="441"/>
      <c r="O177" s="441"/>
      <c r="P177" s="441"/>
      <c r="Q177" s="441"/>
      <c r="R177" s="441"/>
      <c r="S177" s="441"/>
      <c r="T177" s="441"/>
      <c r="U177" s="441"/>
      <c r="V177" s="452"/>
      <c r="W177" s="441"/>
      <c r="X177" s="415"/>
      <c r="Y177" s="416"/>
      <c r="Z177" s="416"/>
      <c r="AA177" s="416"/>
      <c r="AB177" s="416"/>
      <c r="AC177" s="416"/>
      <c r="AD177" s="416"/>
      <c r="AE177" s="416"/>
      <c r="AF177" s="416"/>
      <c r="AG177" s="416"/>
      <c r="AH177" s="416"/>
      <c r="AI177" s="416"/>
      <c r="AJ177" s="416"/>
      <c r="AK177" s="416"/>
      <c r="AL177" s="416"/>
      <c r="AM177" s="416"/>
      <c r="AN177" s="416"/>
      <c r="AO177" s="416"/>
      <c r="AP177" s="416"/>
      <c r="AQ177" s="416"/>
      <c r="AR177" s="416"/>
      <c r="AS177" s="416"/>
      <c r="AT177" s="416"/>
      <c r="AU177" s="416"/>
      <c r="AV177" s="416"/>
      <c r="AW177" s="416"/>
      <c r="AX177" s="416"/>
      <c r="AY177" s="416"/>
      <c r="AZ177" s="416"/>
      <c r="BA177" s="416"/>
      <c r="BB177" s="416"/>
      <c r="BC177" s="416"/>
      <c r="BD177" s="416"/>
      <c r="BE177" s="416"/>
      <c r="BF177" s="416"/>
      <c r="BG177" s="416"/>
      <c r="BH177" s="416"/>
      <c r="BI177" s="416"/>
      <c r="BJ177" s="416"/>
      <c r="BK177" s="416"/>
      <c r="BL177" s="416"/>
      <c r="BM177" s="416"/>
      <c r="BN177" s="416"/>
      <c r="BO177" s="416"/>
      <c r="BP177" s="416"/>
      <c r="BQ177" s="416"/>
      <c r="BR177" s="416"/>
      <c r="BS177" s="416"/>
      <c r="BT177" s="416"/>
      <c r="BU177" s="416"/>
      <c r="BV177" s="416"/>
      <c r="BW177" s="416"/>
      <c r="BX177" s="416"/>
      <c r="BY177" s="416"/>
      <c r="BZ177" s="416"/>
      <c r="CA177" s="416"/>
      <c r="CB177" s="416"/>
      <c r="CC177" s="416"/>
      <c r="CD177" s="416"/>
      <c r="CE177" s="416"/>
      <c r="CF177" s="416"/>
      <c r="CG177" s="416"/>
      <c r="CH177" s="416"/>
      <c r="CI177" s="416"/>
      <c r="CJ177" s="416"/>
      <c r="CK177" s="416"/>
      <c r="CL177" s="416"/>
      <c r="CM177" s="416"/>
      <c r="CN177" s="416"/>
      <c r="CO177" s="416"/>
      <c r="CP177" s="416"/>
      <c r="CQ177" s="416"/>
      <c r="CR177" s="416"/>
      <c r="CS177" s="416"/>
      <c r="CT177" s="416"/>
      <c r="CU177" s="416"/>
      <c r="CV177" s="416"/>
      <c r="CW177" s="416"/>
      <c r="CX177" s="416"/>
      <c r="CY177" s="416"/>
      <c r="CZ177" s="416"/>
      <c r="DA177" s="416"/>
      <c r="DB177" s="416"/>
      <c r="DC177" s="416"/>
      <c r="DD177" s="416"/>
      <c r="DE177" s="416"/>
      <c r="DF177" s="416"/>
      <c r="DG177" s="416"/>
      <c r="DH177" s="416"/>
      <c r="DI177" s="416"/>
      <c r="DJ177" s="416"/>
      <c r="DK177" s="416"/>
      <c r="DL177" s="416"/>
      <c r="DM177" s="416"/>
      <c r="DN177" s="416"/>
      <c r="DO177" s="416"/>
      <c r="DP177" s="416"/>
      <c r="DQ177" s="416"/>
      <c r="DR177" s="416"/>
      <c r="DS177" s="416"/>
      <c r="DT177" s="416"/>
      <c r="DU177" s="416"/>
      <c r="DV177" s="416"/>
      <c r="DW177" s="416"/>
      <c r="DX177" s="416"/>
      <c r="DY177" s="416"/>
      <c r="DZ177" s="416"/>
      <c r="EA177" s="416"/>
      <c r="EB177" s="416"/>
      <c r="EC177" s="416"/>
      <c r="ED177" s="416"/>
      <c r="EE177" s="416"/>
      <c r="EF177" s="416"/>
      <c r="EG177" s="416"/>
      <c r="EH177" s="416"/>
      <c r="EI177" s="416"/>
      <c r="EJ177" s="416"/>
      <c r="EK177" s="416"/>
      <c r="EL177" s="416"/>
      <c r="EM177" s="416"/>
      <c r="EN177" s="416"/>
      <c r="EO177" s="416"/>
      <c r="EP177" s="416"/>
      <c r="EQ177" s="416"/>
      <c r="ER177" s="416"/>
      <c r="ES177" s="416"/>
      <c r="ET177" s="416"/>
      <c r="EU177" s="416"/>
      <c r="EV177" s="416"/>
      <c r="EW177" s="416"/>
      <c r="EX177" s="416"/>
      <c r="EY177" s="416"/>
      <c r="EZ177" s="416"/>
      <c r="FA177" s="416"/>
      <c r="FB177" s="416"/>
      <c r="FC177" s="416"/>
      <c r="FD177" s="416"/>
      <c r="FE177" s="416"/>
      <c r="FF177" s="416"/>
      <c r="FG177" s="416"/>
      <c r="FH177" s="416"/>
      <c r="FI177" s="416"/>
      <c r="FJ177" s="416"/>
      <c r="FK177" s="416"/>
      <c r="FL177" s="416"/>
      <c r="FM177" s="416"/>
      <c r="FN177" s="416"/>
      <c r="FO177" s="416"/>
      <c r="FP177" s="416"/>
      <c r="FQ177" s="416"/>
      <c r="FR177" s="416"/>
      <c r="FS177" s="416"/>
      <c r="FT177" s="416"/>
      <c r="FU177" s="416"/>
      <c r="FV177" s="416"/>
      <c r="FW177" s="416"/>
      <c r="FX177" s="416"/>
      <c r="FY177" s="416"/>
      <c r="FZ177" s="416"/>
      <c r="GA177" s="416"/>
      <c r="GB177" s="416"/>
      <c r="GC177" s="416"/>
      <c r="GD177" s="416"/>
      <c r="GE177" s="416"/>
      <c r="GF177" s="416"/>
      <c r="GG177" s="416"/>
      <c r="GH177" s="416"/>
      <c r="GI177" s="416"/>
      <c r="GJ177" s="416"/>
      <c r="GK177" s="416"/>
      <c r="GL177" s="416"/>
      <c r="GM177" s="416"/>
      <c r="GN177" s="416"/>
      <c r="GO177" s="416"/>
      <c r="GP177" s="416"/>
      <c r="GQ177" s="416"/>
      <c r="GR177" s="416"/>
      <c r="GS177" s="416"/>
      <c r="GT177" s="416"/>
      <c r="GU177" s="416"/>
      <c r="GV177" s="416"/>
      <c r="GW177" s="416"/>
      <c r="GX177" s="416"/>
      <c r="GY177" s="416"/>
      <c r="GZ177" s="416"/>
      <c r="HA177" s="416"/>
      <c r="HB177" s="416"/>
      <c r="HC177" s="416"/>
      <c r="HD177" s="416"/>
      <c r="HE177" s="416"/>
      <c r="HF177" s="416"/>
      <c r="HG177" s="416"/>
      <c r="HH177" s="416"/>
      <c r="HI177" s="416"/>
      <c r="HJ177" s="416"/>
      <c r="HK177" s="416"/>
      <c r="HL177" s="416"/>
      <c r="HM177" s="416"/>
      <c r="HN177" s="416"/>
      <c r="HO177" s="416"/>
      <c r="HP177" s="416"/>
      <c r="HQ177" s="416"/>
      <c r="HR177" s="416"/>
      <c r="HS177" s="416"/>
      <c r="HT177" s="416"/>
      <c r="HU177" s="416"/>
      <c r="HV177" s="416"/>
      <c r="HW177" s="416"/>
      <c r="HX177" s="416"/>
      <c r="HY177" s="416"/>
      <c r="HZ177" s="416"/>
      <c r="IA177" s="416"/>
      <c r="IB177" s="416"/>
      <c r="IC177" s="416"/>
      <c r="ID177" s="416"/>
      <c r="IE177" s="416"/>
      <c r="IF177" s="416"/>
      <c r="IG177" s="416"/>
      <c r="IH177" s="416"/>
      <c r="II177" s="416"/>
      <c r="IJ177" s="416"/>
      <c r="IK177" s="416"/>
      <c r="IL177" s="416"/>
      <c r="IM177" s="416"/>
      <c r="IN177" s="416"/>
      <c r="IO177" s="416"/>
      <c r="IP177" s="416"/>
      <c r="IQ177" s="416"/>
      <c r="IR177" s="416"/>
      <c r="IS177" s="416"/>
      <c r="IT177" s="416"/>
      <c r="IU177" s="416"/>
      <c r="IV177" s="416"/>
    </row>
    <row r="178" spans="1:256" s="461" customFormat="1" x14ac:dyDescent="0.3">
      <c r="A178" s="413"/>
      <c r="B178" s="414"/>
      <c r="C178" s="414"/>
      <c r="D178" s="414"/>
      <c r="E178" s="414"/>
      <c r="F178" s="414"/>
      <c r="G178" s="414"/>
      <c r="H178" s="414"/>
      <c r="I178" s="414"/>
      <c r="J178" s="414"/>
      <c r="K178" s="414"/>
      <c r="L178" s="414"/>
      <c r="M178" s="414"/>
      <c r="N178" s="414"/>
      <c r="O178" s="414"/>
      <c r="P178" s="414"/>
      <c r="Q178" s="414"/>
      <c r="R178" s="414"/>
      <c r="S178" s="414"/>
      <c r="T178" s="414"/>
      <c r="U178" s="414"/>
      <c r="V178" s="460"/>
      <c r="W178" s="414"/>
      <c r="X178" s="415"/>
      <c r="Y178" s="416"/>
      <c r="Z178" s="416"/>
      <c r="AA178" s="416"/>
      <c r="AB178" s="416"/>
      <c r="AC178" s="416"/>
      <c r="AD178" s="416"/>
      <c r="AE178" s="416"/>
      <c r="AF178" s="416"/>
      <c r="AG178" s="416"/>
      <c r="AH178" s="416"/>
      <c r="AI178" s="416"/>
      <c r="AJ178" s="416"/>
      <c r="AK178" s="416"/>
      <c r="AL178" s="416"/>
      <c r="AM178" s="416"/>
      <c r="AN178" s="416"/>
      <c r="AO178" s="416"/>
      <c r="AP178" s="416"/>
      <c r="AQ178" s="416"/>
      <c r="AR178" s="416"/>
      <c r="AS178" s="416"/>
      <c r="AT178" s="416"/>
      <c r="AU178" s="416"/>
      <c r="AV178" s="416"/>
      <c r="AW178" s="416"/>
      <c r="AX178" s="416"/>
      <c r="AY178" s="416"/>
      <c r="AZ178" s="416"/>
      <c r="BA178" s="416"/>
      <c r="BB178" s="416"/>
      <c r="BC178" s="416"/>
      <c r="BD178" s="416"/>
      <c r="BE178" s="416"/>
      <c r="BF178" s="416"/>
      <c r="BG178" s="416"/>
      <c r="BH178" s="416"/>
      <c r="BI178" s="416"/>
      <c r="BJ178" s="416"/>
      <c r="BK178" s="416"/>
      <c r="BL178" s="416"/>
      <c r="BM178" s="416"/>
      <c r="BN178" s="416"/>
      <c r="BO178" s="416"/>
      <c r="BP178" s="416"/>
      <c r="BQ178" s="416"/>
      <c r="BR178" s="416"/>
      <c r="BS178" s="416"/>
      <c r="BT178" s="416"/>
      <c r="BU178" s="416"/>
      <c r="BV178" s="416"/>
      <c r="BW178" s="416"/>
      <c r="BX178" s="416"/>
      <c r="BY178" s="416"/>
      <c r="BZ178" s="416"/>
      <c r="CA178" s="416"/>
      <c r="CB178" s="416"/>
      <c r="CC178" s="416"/>
      <c r="CD178" s="416"/>
      <c r="CE178" s="416"/>
      <c r="CF178" s="416"/>
      <c r="CG178" s="416"/>
      <c r="CH178" s="416"/>
      <c r="CI178" s="416"/>
      <c r="CJ178" s="416"/>
      <c r="CK178" s="416"/>
      <c r="CL178" s="416"/>
      <c r="CM178" s="416"/>
      <c r="CN178" s="416"/>
      <c r="CO178" s="416"/>
      <c r="CP178" s="416"/>
      <c r="CQ178" s="416"/>
      <c r="CR178" s="416"/>
      <c r="CS178" s="416"/>
      <c r="CT178" s="416"/>
      <c r="CU178" s="416"/>
      <c r="CV178" s="416"/>
      <c r="CW178" s="416"/>
      <c r="CX178" s="416"/>
      <c r="CY178" s="416"/>
      <c r="CZ178" s="416"/>
      <c r="DA178" s="416"/>
      <c r="DB178" s="416"/>
      <c r="DC178" s="416"/>
      <c r="DD178" s="416"/>
      <c r="DE178" s="416"/>
      <c r="DF178" s="416"/>
      <c r="DG178" s="416"/>
      <c r="DH178" s="416"/>
      <c r="DI178" s="416"/>
      <c r="DJ178" s="416"/>
      <c r="DK178" s="416"/>
      <c r="DL178" s="416"/>
      <c r="DM178" s="416"/>
      <c r="DN178" s="416"/>
      <c r="DO178" s="416"/>
      <c r="DP178" s="416"/>
      <c r="DQ178" s="416"/>
      <c r="DR178" s="416"/>
      <c r="DS178" s="416"/>
      <c r="DT178" s="416"/>
      <c r="DU178" s="416"/>
      <c r="DV178" s="416"/>
      <c r="DW178" s="416"/>
      <c r="DX178" s="416"/>
      <c r="DY178" s="416"/>
      <c r="DZ178" s="416"/>
      <c r="EA178" s="416"/>
      <c r="EB178" s="416"/>
      <c r="EC178" s="416"/>
      <c r="ED178" s="416"/>
      <c r="EE178" s="416"/>
      <c r="EF178" s="416"/>
      <c r="EG178" s="416"/>
      <c r="EH178" s="416"/>
      <c r="EI178" s="416"/>
      <c r="EJ178" s="416"/>
      <c r="EK178" s="416"/>
      <c r="EL178" s="416"/>
      <c r="EM178" s="416"/>
      <c r="EN178" s="416"/>
      <c r="EO178" s="416"/>
      <c r="EP178" s="416"/>
      <c r="EQ178" s="416"/>
      <c r="ER178" s="416"/>
      <c r="ES178" s="416"/>
      <c r="ET178" s="416"/>
      <c r="EU178" s="416"/>
      <c r="EV178" s="416"/>
      <c r="EW178" s="416"/>
      <c r="EX178" s="416"/>
      <c r="EY178" s="416"/>
      <c r="EZ178" s="416"/>
      <c r="FA178" s="416"/>
      <c r="FB178" s="416"/>
      <c r="FC178" s="416"/>
      <c r="FD178" s="416"/>
      <c r="FE178" s="416"/>
      <c r="FF178" s="416"/>
      <c r="FG178" s="416"/>
      <c r="FH178" s="416"/>
      <c r="FI178" s="416"/>
      <c r="FJ178" s="416"/>
      <c r="FK178" s="416"/>
      <c r="FL178" s="416"/>
      <c r="FM178" s="416"/>
      <c r="FN178" s="416"/>
      <c r="FO178" s="416"/>
      <c r="FP178" s="416"/>
      <c r="FQ178" s="416"/>
      <c r="FR178" s="416"/>
      <c r="FS178" s="416"/>
      <c r="FT178" s="416"/>
      <c r="FU178" s="416"/>
      <c r="FV178" s="416"/>
      <c r="FW178" s="416"/>
      <c r="FX178" s="416"/>
      <c r="FY178" s="416"/>
      <c r="FZ178" s="416"/>
      <c r="GA178" s="416"/>
      <c r="GB178" s="416"/>
      <c r="GC178" s="416"/>
      <c r="GD178" s="416"/>
      <c r="GE178" s="416"/>
      <c r="GF178" s="416"/>
      <c r="GG178" s="416"/>
      <c r="GH178" s="416"/>
      <c r="GI178" s="416"/>
      <c r="GJ178" s="416"/>
      <c r="GK178" s="416"/>
      <c r="GL178" s="416"/>
      <c r="GM178" s="416"/>
      <c r="GN178" s="416"/>
      <c r="GO178" s="416"/>
      <c r="GP178" s="416"/>
      <c r="GQ178" s="416"/>
      <c r="GR178" s="416"/>
      <c r="GS178" s="416"/>
      <c r="GT178" s="416"/>
      <c r="GU178" s="416"/>
      <c r="GV178" s="416"/>
      <c r="GW178" s="416"/>
      <c r="GX178" s="416"/>
      <c r="GY178" s="416"/>
      <c r="GZ178" s="416"/>
      <c r="HA178" s="416"/>
      <c r="HB178" s="416"/>
      <c r="HC178" s="416"/>
      <c r="HD178" s="416"/>
      <c r="HE178" s="416"/>
      <c r="HF178" s="416"/>
      <c r="HG178" s="416"/>
      <c r="HH178" s="416"/>
      <c r="HI178" s="416"/>
      <c r="HJ178" s="416"/>
      <c r="HK178" s="416"/>
      <c r="HL178" s="416"/>
      <c r="HM178" s="416"/>
      <c r="HN178" s="416"/>
      <c r="HO178" s="416"/>
      <c r="HP178" s="416"/>
      <c r="HQ178" s="416"/>
      <c r="HR178" s="416"/>
      <c r="HS178" s="416"/>
      <c r="HT178" s="416"/>
      <c r="HU178" s="416"/>
      <c r="HV178" s="416"/>
      <c r="HW178" s="416"/>
      <c r="HX178" s="416"/>
      <c r="HY178" s="416"/>
      <c r="HZ178" s="416"/>
      <c r="IA178" s="416"/>
      <c r="IB178" s="416"/>
      <c r="IC178" s="416"/>
      <c r="ID178" s="416"/>
      <c r="IE178" s="416"/>
      <c r="IF178" s="416"/>
      <c r="IG178" s="416"/>
      <c r="IH178" s="416"/>
      <c r="II178" s="416"/>
      <c r="IJ178" s="416"/>
      <c r="IK178" s="416"/>
      <c r="IL178" s="416"/>
      <c r="IM178" s="416"/>
      <c r="IN178" s="416"/>
      <c r="IO178" s="416"/>
      <c r="IP178" s="416"/>
      <c r="IQ178" s="416"/>
      <c r="IR178" s="416"/>
      <c r="IS178" s="416"/>
      <c r="IT178" s="416"/>
      <c r="IU178" s="416"/>
      <c r="IV178" s="416"/>
    </row>
    <row r="179" spans="1:256" x14ac:dyDescent="0.3">
      <c r="A179" s="417"/>
      <c r="B179" s="508" t="s">
        <v>56</v>
      </c>
      <c r="C179" s="419"/>
      <c r="D179" s="419"/>
      <c r="E179" s="419"/>
      <c r="F179" s="419"/>
      <c r="G179" s="419"/>
      <c r="H179" s="419"/>
      <c r="I179" s="419"/>
      <c r="J179" s="419"/>
      <c r="K179" s="419"/>
      <c r="L179" s="419"/>
      <c r="M179" s="419"/>
      <c r="N179" s="419"/>
      <c r="O179" s="419"/>
      <c r="P179" s="419"/>
      <c r="Q179" s="419"/>
      <c r="R179" s="419"/>
      <c r="S179" s="419"/>
      <c r="T179" s="419"/>
      <c r="U179" s="419"/>
      <c r="V179" s="439"/>
      <c r="W179" s="419"/>
      <c r="X179" s="415"/>
    </row>
    <row r="180" spans="1:256" x14ac:dyDescent="0.3">
      <c r="A180" s="417"/>
      <c r="B180" s="451"/>
      <c r="C180" s="419"/>
      <c r="D180" s="419"/>
      <c r="E180" s="419"/>
      <c r="F180" s="419"/>
      <c r="G180" s="419"/>
      <c r="H180" s="419"/>
      <c r="I180" s="419"/>
      <c r="J180" s="419"/>
      <c r="K180" s="419"/>
      <c r="L180" s="419"/>
      <c r="M180" s="419"/>
      <c r="N180" s="419"/>
      <c r="O180" s="419"/>
      <c r="P180" s="419"/>
      <c r="Q180" s="419"/>
      <c r="R180" s="419"/>
      <c r="S180" s="419"/>
      <c r="T180" s="419"/>
      <c r="U180" s="419"/>
      <c r="V180" s="439"/>
      <c r="W180" s="419"/>
      <c r="X180" s="415"/>
    </row>
    <row r="181" spans="1:256" s="544" customFormat="1" x14ac:dyDescent="0.3">
      <c r="A181" s="555"/>
      <c r="B181" s="556" t="s">
        <v>57</v>
      </c>
      <c r="C181" s="556"/>
      <c r="D181" s="556"/>
      <c r="E181" s="556"/>
      <c r="F181" s="556"/>
      <c r="G181" s="556"/>
      <c r="H181" s="556"/>
      <c r="I181" s="556"/>
      <c r="J181" s="556"/>
      <c r="K181" s="556"/>
      <c r="L181" s="556"/>
      <c r="M181" s="556"/>
      <c r="N181" s="556"/>
      <c r="O181" s="556"/>
      <c r="P181" s="556"/>
      <c r="Q181" s="556"/>
      <c r="R181" s="556"/>
      <c r="S181" s="556"/>
      <c r="T181" s="556"/>
      <c r="U181" s="556"/>
      <c r="V181" s="599">
        <f>V70</f>
        <v>835561</v>
      </c>
      <c r="W181" s="558"/>
      <c r="X181" s="543"/>
    </row>
    <row r="182" spans="1:256" s="544" customFormat="1" x14ac:dyDescent="0.3">
      <c r="A182" s="555"/>
      <c r="B182" s="556" t="s">
        <v>58</v>
      </c>
      <c r="C182" s="556"/>
      <c r="D182" s="556"/>
      <c r="E182" s="556"/>
      <c r="F182" s="556"/>
      <c r="G182" s="556"/>
      <c r="H182" s="556"/>
      <c r="I182" s="556"/>
      <c r="J182" s="556"/>
      <c r="K182" s="556"/>
      <c r="L182" s="556"/>
      <c r="M182" s="556"/>
      <c r="N182" s="556"/>
      <c r="O182" s="556"/>
      <c r="P182" s="556"/>
      <c r="Q182" s="556"/>
      <c r="R182" s="556"/>
      <c r="S182" s="556"/>
      <c r="T182" s="556"/>
      <c r="U182" s="556"/>
      <c r="V182" s="599">
        <f>V83</f>
        <v>835561</v>
      </c>
      <c r="W182" s="558"/>
      <c r="X182" s="543"/>
    </row>
    <row r="183" spans="1:256" ht="16.2" thickBot="1" x14ac:dyDescent="0.35">
      <c r="A183" s="417"/>
      <c r="B183" s="441"/>
      <c r="C183" s="441"/>
      <c r="D183" s="441"/>
      <c r="E183" s="441"/>
      <c r="F183" s="441"/>
      <c r="G183" s="441"/>
      <c r="H183" s="441"/>
      <c r="I183" s="441"/>
      <c r="J183" s="441"/>
      <c r="K183" s="441"/>
      <c r="L183" s="441"/>
      <c r="M183" s="441"/>
      <c r="N183" s="441"/>
      <c r="O183" s="441"/>
      <c r="P183" s="441"/>
      <c r="Q183" s="441"/>
      <c r="R183" s="441"/>
      <c r="S183" s="441"/>
      <c r="T183" s="441"/>
      <c r="U183" s="441"/>
      <c r="V183" s="452"/>
      <c r="W183" s="441"/>
      <c r="X183" s="415"/>
    </row>
    <row r="184" spans="1:256" x14ac:dyDescent="0.3">
      <c r="A184" s="413"/>
      <c r="B184" s="414"/>
      <c r="C184" s="414"/>
      <c r="D184" s="414"/>
      <c r="E184" s="414"/>
      <c r="F184" s="414"/>
      <c r="G184" s="414"/>
      <c r="H184" s="414"/>
      <c r="I184" s="414"/>
      <c r="J184" s="414"/>
      <c r="K184" s="414"/>
      <c r="L184" s="414"/>
      <c r="M184" s="414"/>
      <c r="N184" s="414"/>
      <c r="O184" s="414"/>
      <c r="P184" s="414"/>
      <c r="Q184" s="414"/>
      <c r="R184" s="414"/>
      <c r="S184" s="414"/>
      <c r="T184" s="414"/>
      <c r="U184" s="414"/>
      <c r="V184" s="460"/>
      <c r="W184" s="414"/>
      <c r="X184" s="415"/>
    </row>
    <row r="185" spans="1:256" s="499" customFormat="1" x14ac:dyDescent="0.3">
      <c r="A185" s="502"/>
      <c r="B185" s="508" t="s">
        <v>59</v>
      </c>
      <c r="C185" s="506"/>
      <c r="D185" s="506"/>
      <c r="E185" s="506"/>
      <c r="F185" s="506"/>
      <c r="G185" s="506"/>
      <c r="H185" s="509"/>
      <c r="I185" s="509"/>
      <c r="J185" s="509"/>
      <c r="K185" s="509"/>
      <c r="L185" s="509"/>
      <c r="M185" s="509"/>
      <c r="N185" s="509"/>
      <c r="O185" s="509"/>
      <c r="P185" s="509"/>
      <c r="Q185" s="509"/>
      <c r="R185" s="509"/>
      <c r="S185" s="509" t="s">
        <v>101</v>
      </c>
      <c r="T185" s="509" t="s">
        <v>176</v>
      </c>
      <c r="U185" s="421"/>
      <c r="V185" s="510" t="s">
        <v>114</v>
      </c>
      <c r="W185" s="421"/>
      <c r="X185" s="498"/>
    </row>
    <row r="186" spans="1:256" s="544" customFormat="1" x14ac:dyDescent="0.3">
      <c r="A186" s="555"/>
      <c r="B186" s="556" t="s">
        <v>60</v>
      </c>
      <c r="C186" s="556"/>
      <c r="D186" s="556"/>
      <c r="E186" s="556"/>
      <c r="F186" s="556"/>
      <c r="G186" s="556"/>
      <c r="H186" s="556"/>
      <c r="I186" s="556"/>
      <c r="J186" s="556"/>
      <c r="K186" s="556"/>
      <c r="L186" s="556"/>
      <c r="M186" s="556"/>
      <c r="N186" s="556"/>
      <c r="O186" s="556"/>
      <c r="P186" s="556"/>
      <c r="Q186" s="556"/>
      <c r="R186" s="556"/>
      <c r="S186" s="599">
        <f>+V34*0.16</f>
        <v>240044</v>
      </c>
      <c r="T186" s="578"/>
      <c r="U186" s="556"/>
      <c r="V186" s="599"/>
      <c r="W186" s="558"/>
      <c r="X186" s="543"/>
    </row>
    <row r="187" spans="1:256" s="544" customFormat="1" x14ac:dyDescent="0.3">
      <c r="A187" s="555"/>
      <c r="B187" s="556" t="s">
        <v>61</v>
      </c>
      <c r="C187" s="556"/>
      <c r="D187" s="556"/>
      <c r="E187" s="556"/>
      <c r="F187" s="556"/>
      <c r="G187" s="556"/>
      <c r="H187" s="556"/>
      <c r="I187" s="556"/>
      <c r="J187" s="556"/>
      <c r="K187" s="556"/>
      <c r="L187" s="556"/>
      <c r="M187" s="556"/>
      <c r="N187" s="556"/>
      <c r="O187" s="556"/>
      <c r="P187" s="556"/>
      <c r="Q187" s="556"/>
      <c r="R187" s="556"/>
      <c r="S187" s="599">
        <f>+'Feb 18'!S189</f>
        <v>32730</v>
      </c>
      <c r="T187" s="599">
        <f>+'Feb 18'!T189</f>
        <v>6019</v>
      </c>
      <c r="U187" s="556"/>
      <c r="V187" s="599">
        <f>S187+T187</f>
        <v>38749</v>
      </c>
      <c r="W187" s="558"/>
      <c r="X187" s="543"/>
    </row>
    <row r="188" spans="1:256" s="544" customFormat="1" x14ac:dyDescent="0.3">
      <c r="A188" s="555"/>
      <c r="B188" s="556" t="s">
        <v>62</v>
      </c>
      <c r="C188" s="556"/>
      <c r="D188" s="556"/>
      <c r="E188" s="556"/>
      <c r="F188" s="556"/>
      <c r="G188" s="556"/>
      <c r="H188" s="556"/>
      <c r="I188" s="556"/>
      <c r="J188" s="556"/>
      <c r="K188" s="556"/>
      <c r="L188" s="556"/>
      <c r="M188" s="556"/>
      <c r="N188" s="556"/>
      <c r="O188" s="556"/>
      <c r="P188" s="556"/>
      <c r="Q188" s="556"/>
      <c r="R188" s="556"/>
      <c r="S188" s="598">
        <v>25</v>
      </c>
      <c r="T188" s="598">
        <v>0</v>
      </c>
      <c r="U188" s="556"/>
      <c r="V188" s="599">
        <f>S188+T188</f>
        <v>25</v>
      </c>
      <c r="W188" s="558"/>
      <c r="X188" s="543"/>
    </row>
    <row r="189" spans="1:256" s="544" customFormat="1" x14ac:dyDescent="0.3">
      <c r="A189" s="555"/>
      <c r="B189" s="556" t="s">
        <v>63</v>
      </c>
      <c r="C189" s="556"/>
      <c r="D189" s="556"/>
      <c r="E189" s="556"/>
      <c r="F189" s="556"/>
      <c r="G189" s="556"/>
      <c r="H189" s="556"/>
      <c r="I189" s="556"/>
      <c r="J189" s="556"/>
      <c r="K189" s="556"/>
      <c r="L189" s="556"/>
      <c r="M189" s="556"/>
      <c r="N189" s="556"/>
      <c r="O189" s="556"/>
      <c r="P189" s="556"/>
      <c r="Q189" s="556"/>
      <c r="R189" s="556"/>
      <c r="S189" s="599">
        <f>S187+S188</f>
        <v>32755</v>
      </c>
      <c r="T189" s="599">
        <f>T188+T187</f>
        <v>6019</v>
      </c>
      <c r="U189" s="556"/>
      <c r="V189" s="599">
        <f>S189+T189</f>
        <v>38774</v>
      </c>
      <c r="W189" s="558"/>
      <c r="X189" s="543"/>
    </row>
    <row r="190" spans="1:256" s="544" customFormat="1" x14ac:dyDescent="0.3">
      <c r="A190" s="555"/>
      <c r="B190" s="556" t="s">
        <v>64</v>
      </c>
      <c r="C190" s="556"/>
      <c r="D190" s="556"/>
      <c r="E190" s="556"/>
      <c r="F190" s="556"/>
      <c r="G190" s="556"/>
      <c r="H190" s="556"/>
      <c r="I190" s="556"/>
      <c r="J190" s="556"/>
      <c r="K190" s="556"/>
      <c r="L190" s="556"/>
      <c r="M190" s="556"/>
      <c r="N190" s="556"/>
      <c r="O190" s="556"/>
      <c r="P190" s="556"/>
      <c r="Q190" s="556"/>
      <c r="R190" s="556"/>
      <c r="S190" s="599">
        <f>S186-S189-T189</f>
        <v>201270</v>
      </c>
      <c r="T190" s="578"/>
      <c r="U190" s="556"/>
      <c r="V190" s="599"/>
      <c r="W190" s="558"/>
      <c r="X190" s="543"/>
    </row>
    <row r="191" spans="1:256" ht="16.2" thickBot="1" x14ac:dyDescent="0.35">
      <c r="A191" s="417"/>
      <c r="B191" s="441"/>
      <c r="C191" s="441"/>
      <c r="D191" s="441"/>
      <c r="E191" s="441"/>
      <c r="F191" s="441"/>
      <c r="G191" s="441"/>
      <c r="H191" s="441"/>
      <c r="I191" s="441"/>
      <c r="J191" s="441"/>
      <c r="K191" s="441"/>
      <c r="L191" s="441"/>
      <c r="M191" s="441"/>
      <c r="N191" s="441"/>
      <c r="O191" s="441"/>
      <c r="P191" s="441"/>
      <c r="Q191" s="441"/>
      <c r="R191" s="441"/>
      <c r="S191" s="441"/>
      <c r="T191" s="441"/>
      <c r="U191" s="441"/>
      <c r="V191" s="452"/>
      <c r="W191" s="441"/>
      <c r="X191" s="415"/>
    </row>
    <row r="192" spans="1:256" x14ac:dyDescent="0.3">
      <c r="A192" s="413"/>
      <c r="B192" s="414"/>
      <c r="C192" s="414"/>
      <c r="D192" s="414"/>
      <c r="E192" s="414"/>
      <c r="F192" s="414"/>
      <c r="G192" s="414"/>
      <c r="H192" s="414"/>
      <c r="I192" s="414"/>
      <c r="J192" s="414"/>
      <c r="K192" s="414"/>
      <c r="L192" s="414"/>
      <c r="M192" s="414"/>
      <c r="N192" s="414"/>
      <c r="O192" s="414"/>
      <c r="P192" s="414"/>
      <c r="Q192" s="414"/>
      <c r="R192" s="414"/>
      <c r="S192" s="414"/>
      <c r="T192" s="414"/>
      <c r="U192" s="414"/>
      <c r="V192" s="460"/>
      <c r="W192" s="414"/>
      <c r="X192" s="415"/>
    </row>
    <row r="193" spans="1:24" x14ac:dyDescent="0.3">
      <c r="A193" s="417"/>
      <c r="B193" s="508" t="s">
        <v>65</v>
      </c>
      <c r="C193" s="419"/>
      <c r="D193" s="419"/>
      <c r="E193" s="419"/>
      <c r="F193" s="419"/>
      <c r="G193" s="419"/>
      <c r="H193" s="419"/>
      <c r="I193" s="419"/>
      <c r="J193" s="419"/>
      <c r="K193" s="419"/>
      <c r="L193" s="419"/>
      <c r="M193" s="419"/>
      <c r="N193" s="419"/>
      <c r="O193" s="419"/>
      <c r="P193" s="419"/>
      <c r="Q193" s="419"/>
      <c r="R193" s="419"/>
      <c r="S193" s="419"/>
      <c r="T193" s="419"/>
      <c r="U193" s="419"/>
      <c r="V193" s="462"/>
      <c r="W193" s="419"/>
      <c r="X193" s="415"/>
    </row>
    <row r="194" spans="1:24" s="544" customFormat="1" x14ac:dyDescent="0.3">
      <c r="A194" s="555"/>
      <c r="B194" s="556" t="s">
        <v>66</v>
      </c>
      <c r="C194" s="556"/>
      <c r="D194" s="556"/>
      <c r="E194" s="556"/>
      <c r="F194" s="556"/>
      <c r="G194" s="556"/>
      <c r="H194" s="556"/>
      <c r="I194" s="556"/>
      <c r="J194" s="556"/>
      <c r="K194" s="556"/>
      <c r="L194" s="556"/>
      <c r="M194" s="556"/>
      <c r="N194" s="556"/>
      <c r="O194" s="556"/>
      <c r="P194" s="556"/>
      <c r="Q194" s="556"/>
      <c r="R194" s="556"/>
      <c r="S194" s="556"/>
      <c r="T194" s="556"/>
      <c r="U194" s="556"/>
      <c r="V194" s="608">
        <f>(V100+V102+V103+V104+V105)/-(V106+V107)</f>
        <v>4.1070878274268106</v>
      </c>
      <c r="W194" s="558" t="s">
        <v>115</v>
      </c>
      <c r="X194" s="543"/>
    </row>
    <row r="195" spans="1:24" s="544" customFormat="1" x14ac:dyDescent="0.3">
      <c r="A195" s="555"/>
      <c r="B195" s="556" t="s">
        <v>67</v>
      </c>
      <c r="C195" s="556"/>
      <c r="D195" s="556"/>
      <c r="E195" s="556"/>
      <c r="F195" s="556"/>
      <c r="G195" s="556"/>
      <c r="H195" s="556"/>
      <c r="I195" s="556"/>
      <c r="J195" s="556"/>
      <c r="K195" s="556"/>
      <c r="L195" s="556"/>
      <c r="M195" s="556"/>
      <c r="N195" s="556"/>
      <c r="O195" s="556"/>
      <c r="P195" s="556"/>
      <c r="Q195" s="556"/>
      <c r="R195" s="556"/>
      <c r="S195" s="556"/>
      <c r="T195" s="556"/>
      <c r="U195" s="556"/>
      <c r="V195" s="610">
        <v>2.11</v>
      </c>
      <c r="W195" s="558" t="s">
        <v>115</v>
      </c>
      <c r="X195" s="543"/>
    </row>
    <row r="196" spans="1:24" s="544" customFormat="1" x14ac:dyDescent="0.3">
      <c r="A196" s="555"/>
      <c r="B196" s="556" t="s">
        <v>68</v>
      </c>
      <c r="C196" s="556"/>
      <c r="D196" s="556"/>
      <c r="E196" s="556"/>
      <c r="F196" s="556"/>
      <c r="G196" s="556"/>
      <c r="H196" s="556"/>
      <c r="I196" s="556"/>
      <c r="J196" s="556"/>
      <c r="K196" s="556"/>
      <c r="L196" s="556"/>
      <c r="M196" s="556"/>
      <c r="N196" s="556"/>
      <c r="O196" s="556"/>
      <c r="P196" s="556"/>
      <c r="Q196" s="556"/>
      <c r="R196" s="556"/>
      <c r="S196" s="556"/>
      <c r="T196" s="556"/>
      <c r="U196" s="556"/>
      <c r="V196" s="608">
        <f>(V100+V102+V103+V104+V105+V106+V107)/-(V109+V110)</f>
        <v>14.250883392226148</v>
      </c>
      <c r="W196" s="558" t="s">
        <v>115</v>
      </c>
      <c r="X196" s="543"/>
    </row>
    <row r="197" spans="1:24" s="544" customFormat="1" x14ac:dyDescent="0.3">
      <c r="A197" s="555"/>
      <c r="B197" s="556" t="s">
        <v>69</v>
      </c>
      <c r="C197" s="556"/>
      <c r="D197" s="556"/>
      <c r="E197" s="556"/>
      <c r="F197" s="556"/>
      <c r="G197" s="556"/>
      <c r="H197" s="556"/>
      <c r="I197" s="556"/>
      <c r="J197" s="556"/>
      <c r="K197" s="556"/>
      <c r="L197" s="556"/>
      <c r="M197" s="556"/>
      <c r="N197" s="556"/>
      <c r="O197" s="556"/>
      <c r="P197" s="556"/>
      <c r="Q197" s="556"/>
      <c r="R197" s="556"/>
      <c r="S197" s="556"/>
      <c r="T197" s="556"/>
      <c r="U197" s="556"/>
      <c r="V197" s="610">
        <v>9.7200000000000006</v>
      </c>
      <c r="W197" s="558" t="s">
        <v>115</v>
      </c>
      <c r="X197" s="543"/>
    </row>
    <row r="198" spans="1:24" s="544" customFormat="1" x14ac:dyDescent="0.3">
      <c r="A198" s="555"/>
      <c r="B198" s="556" t="s">
        <v>198</v>
      </c>
      <c r="C198" s="556"/>
      <c r="D198" s="556"/>
      <c r="E198" s="556"/>
      <c r="F198" s="556"/>
      <c r="G198" s="556"/>
      <c r="H198" s="556"/>
      <c r="I198" s="556"/>
      <c r="J198" s="556"/>
      <c r="K198" s="556"/>
      <c r="L198" s="556"/>
      <c r="M198" s="556"/>
      <c r="N198" s="556"/>
      <c r="O198" s="556"/>
      <c r="P198" s="556"/>
      <c r="Q198" s="556"/>
      <c r="R198" s="556"/>
      <c r="S198" s="556"/>
      <c r="T198" s="556"/>
      <c r="U198" s="556"/>
      <c r="V198" s="608">
        <f>(V100+V102+V103+V104+V105+V106+V107+V109+V110)/-(V111+V112)</f>
        <v>9.1019417475728162</v>
      </c>
      <c r="W198" s="558" t="s">
        <v>115</v>
      </c>
      <c r="X198" s="543"/>
    </row>
    <row r="199" spans="1:24" s="544" customFormat="1" x14ac:dyDescent="0.3">
      <c r="A199" s="555"/>
      <c r="B199" s="556" t="s">
        <v>199</v>
      </c>
      <c r="C199" s="556"/>
      <c r="D199" s="556"/>
      <c r="E199" s="556"/>
      <c r="F199" s="556"/>
      <c r="G199" s="556"/>
      <c r="H199" s="556"/>
      <c r="I199" s="556"/>
      <c r="J199" s="556"/>
      <c r="K199" s="556"/>
      <c r="L199" s="556"/>
      <c r="M199" s="556"/>
      <c r="N199" s="556"/>
      <c r="O199" s="556"/>
      <c r="P199" s="556"/>
      <c r="Q199" s="556"/>
      <c r="R199" s="556"/>
      <c r="S199" s="556"/>
      <c r="T199" s="556"/>
      <c r="U199" s="556"/>
      <c r="V199" s="610">
        <v>7.32</v>
      </c>
      <c r="W199" s="558" t="s">
        <v>115</v>
      </c>
      <c r="X199" s="543"/>
    </row>
    <row r="200" spans="1:24" s="544" customFormat="1" x14ac:dyDescent="0.3">
      <c r="A200" s="555"/>
      <c r="B200" s="556"/>
      <c r="C200" s="556"/>
      <c r="D200" s="556"/>
      <c r="E200" s="556"/>
      <c r="F200" s="556"/>
      <c r="G200" s="556"/>
      <c r="H200" s="556"/>
      <c r="I200" s="556"/>
      <c r="J200" s="556"/>
      <c r="K200" s="556"/>
      <c r="L200" s="556"/>
      <c r="M200" s="556"/>
      <c r="N200" s="556"/>
      <c r="O200" s="556"/>
      <c r="P200" s="556"/>
      <c r="Q200" s="556"/>
      <c r="R200" s="556"/>
      <c r="S200" s="556"/>
      <c r="T200" s="556"/>
      <c r="U200" s="556"/>
      <c r="V200" s="556"/>
      <c r="W200" s="558"/>
      <c r="X200" s="543"/>
    </row>
    <row r="201" spans="1:24" s="544" customFormat="1" x14ac:dyDescent="0.3">
      <c r="A201" s="540"/>
      <c r="B201" s="588"/>
      <c r="C201" s="588"/>
      <c r="D201" s="588"/>
      <c r="E201" s="588"/>
      <c r="F201" s="588"/>
      <c r="G201" s="588"/>
      <c r="H201" s="588"/>
      <c r="I201" s="588"/>
      <c r="J201" s="588"/>
      <c r="K201" s="588"/>
      <c r="L201" s="588"/>
      <c r="M201" s="588"/>
      <c r="N201" s="588"/>
      <c r="O201" s="588"/>
      <c r="P201" s="588"/>
      <c r="Q201" s="588"/>
      <c r="R201" s="588"/>
      <c r="S201" s="588"/>
      <c r="T201" s="588"/>
      <c r="U201" s="588"/>
      <c r="V201" s="588"/>
      <c r="W201" s="588"/>
      <c r="X201" s="543"/>
    </row>
    <row r="202" spans="1:24" s="544" customFormat="1" x14ac:dyDescent="0.3">
      <c r="A202" s="540"/>
      <c r="B202" s="541"/>
      <c r="C202" s="541"/>
      <c r="D202" s="541"/>
      <c r="E202" s="541"/>
      <c r="F202" s="541"/>
      <c r="G202" s="541"/>
      <c r="H202" s="541"/>
      <c r="I202" s="541"/>
      <c r="J202" s="541"/>
      <c r="K202" s="541"/>
      <c r="L202" s="541"/>
      <c r="M202" s="541"/>
      <c r="N202" s="541"/>
      <c r="O202" s="541"/>
      <c r="P202" s="541"/>
      <c r="Q202" s="541"/>
      <c r="R202" s="541"/>
      <c r="S202" s="541"/>
      <c r="T202" s="541"/>
      <c r="U202" s="541"/>
      <c r="V202" s="541"/>
      <c r="W202" s="541"/>
      <c r="X202" s="543"/>
    </row>
    <row r="203" spans="1:24" s="544" customFormat="1" ht="18.600000000000001" thickBot="1" x14ac:dyDescent="0.4">
      <c r="A203" s="593"/>
      <c r="B203" s="594" t="str">
        <f>B137</f>
        <v>PM14 INVESTOR REPORT QUARTER ENDING MAY 2018</v>
      </c>
      <c r="C203" s="595"/>
      <c r="D203" s="595"/>
      <c r="E203" s="595"/>
      <c r="F203" s="595"/>
      <c r="G203" s="595"/>
      <c r="H203" s="595"/>
      <c r="I203" s="595"/>
      <c r="J203" s="595"/>
      <c r="K203" s="595"/>
      <c r="L203" s="595"/>
      <c r="M203" s="595"/>
      <c r="N203" s="595"/>
      <c r="O203" s="595"/>
      <c r="P203" s="595"/>
      <c r="Q203" s="595"/>
      <c r="R203" s="595"/>
      <c r="S203" s="595"/>
      <c r="T203" s="595"/>
      <c r="U203" s="595"/>
      <c r="V203" s="595"/>
      <c r="W203" s="597"/>
      <c r="X203" s="543"/>
    </row>
    <row r="204" spans="1:24" x14ac:dyDescent="0.3">
      <c r="A204" s="527"/>
      <c r="B204" s="528" t="s">
        <v>70</v>
      </c>
      <c r="C204" s="531"/>
      <c r="D204" s="531"/>
      <c r="E204" s="531"/>
      <c r="F204" s="531"/>
      <c r="G204" s="532"/>
      <c r="H204" s="532"/>
      <c r="I204" s="532"/>
      <c r="J204" s="532"/>
      <c r="K204" s="532"/>
      <c r="L204" s="532"/>
      <c r="M204" s="532"/>
      <c r="N204" s="532"/>
      <c r="O204" s="532"/>
      <c r="P204" s="532"/>
      <c r="Q204" s="532"/>
      <c r="R204" s="532"/>
      <c r="S204" s="532"/>
      <c r="T204" s="532">
        <v>43251</v>
      </c>
      <c r="U204" s="529"/>
      <c r="V204" s="529"/>
      <c r="W204" s="529"/>
      <c r="X204" s="415"/>
    </row>
    <row r="205" spans="1:24" x14ac:dyDescent="0.3">
      <c r="A205" s="463"/>
      <c r="B205" s="429"/>
      <c r="C205" s="464"/>
      <c r="D205" s="464"/>
      <c r="E205" s="464"/>
      <c r="F205" s="464"/>
      <c r="G205" s="428"/>
      <c r="H205" s="428"/>
      <c r="I205" s="428"/>
      <c r="J205" s="428"/>
      <c r="K205" s="428"/>
      <c r="L205" s="428"/>
      <c r="M205" s="428"/>
      <c r="N205" s="428"/>
      <c r="O205" s="428"/>
      <c r="P205" s="428"/>
      <c r="Q205" s="428"/>
      <c r="R205" s="428"/>
      <c r="S205" s="428"/>
      <c r="T205" s="428"/>
      <c r="U205" s="427"/>
      <c r="V205" s="427"/>
      <c r="W205" s="427"/>
      <c r="X205" s="415"/>
    </row>
    <row r="206" spans="1:24" s="544" customFormat="1" x14ac:dyDescent="0.3">
      <c r="A206" s="555"/>
      <c r="B206" s="556" t="s">
        <v>71</v>
      </c>
      <c r="C206" s="611"/>
      <c r="D206" s="611"/>
      <c r="E206" s="611"/>
      <c r="F206" s="611"/>
      <c r="G206" s="582"/>
      <c r="H206" s="582"/>
      <c r="I206" s="582"/>
      <c r="J206" s="582"/>
      <c r="K206" s="582"/>
      <c r="L206" s="582"/>
      <c r="M206" s="582"/>
      <c r="N206" s="582"/>
      <c r="O206" s="582"/>
      <c r="P206" s="582"/>
      <c r="Q206" s="582"/>
      <c r="R206" s="582"/>
      <c r="S206" s="582"/>
      <c r="T206" s="575">
        <v>5.2819999999999999E-2</v>
      </c>
      <c r="U206" s="556"/>
      <c r="V206" s="556"/>
      <c r="W206" s="558"/>
      <c r="X206" s="543"/>
    </row>
    <row r="207" spans="1:24" s="544" customFormat="1" x14ac:dyDescent="0.3">
      <c r="A207" s="555"/>
      <c r="B207" s="556" t="s">
        <v>151</v>
      </c>
      <c r="C207" s="611"/>
      <c r="D207" s="611"/>
      <c r="E207" s="611"/>
      <c r="F207" s="611"/>
      <c r="G207" s="582"/>
      <c r="H207" s="582"/>
      <c r="I207" s="582"/>
      <c r="J207" s="582"/>
      <c r="K207" s="582"/>
      <c r="L207" s="582"/>
      <c r="M207" s="582"/>
      <c r="N207" s="582"/>
      <c r="O207" s="582"/>
      <c r="P207" s="582"/>
      <c r="Q207" s="582"/>
      <c r="R207" s="582"/>
      <c r="S207" s="582"/>
      <c r="T207" s="575">
        <v>5.7799999999999997E-2</v>
      </c>
      <c r="U207" s="556"/>
      <c r="V207" s="556"/>
      <c r="W207" s="558"/>
      <c r="X207" s="543"/>
    </row>
    <row r="208" spans="1:24" s="544" customFormat="1" x14ac:dyDescent="0.3">
      <c r="A208" s="555"/>
      <c r="B208" s="556" t="s">
        <v>72</v>
      </c>
      <c r="C208" s="611"/>
      <c r="D208" s="611"/>
      <c r="E208" s="611"/>
      <c r="F208" s="611"/>
      <c r="G208" s="582"/>
      <c r="H208" s="582"/>
      <c r="I208" s="582"/>
      <c r="J208" s="582"/>
      <c r="K208" s="582"/>
      <c r="L208" s="582"/>
      <c r="M208" s="582"/>
      <c r="N208" s="582"/>
      <c r="O208" s="582"/>
      <c r="P208" s="582"/>
      <c r="Q208" s="582"/>
      <c r="R208" s="582"/>
      <c r="S208" s="582"/>
      <c r="T208" s="575">
        <f>T206-T207</f>
        <v>-4.9799999999999983E-3</v>
      </c>
      <c r="U208" s="556"/>
      <c r="V208" s="556"/>
      <c r="W208" s="558"/>
      <c r="X208" s="543"/>
    </row>
    <row r="209" spans="1:24" s="544" customFormat="1" x14ac:dyDescent="0.3">
      <c r="A209" s="555"/>
      <c r="B209" s="556" t="s">
        <v>73</v>
      </c>
      <c r="C209" s="611"/>
      <c r="D209" s="611"/>
      <c r="E209" s="611"/>
      <c r="F209" s="611"/>
      <c r="G209" s="582"/>
      <c r="H209" s="582"/>
      <c r="I209" s="582"/>
      <c r="J209" s="582"/>
      <c r="K209" s="582"/>
      <c r="L209" s="582"/>
      <c r="M209" s="582"/>
      <c r="N209" s="582"/>
      <c r="O209" s="582"/>
      <c r="P209" s="582"/>
      <c r="Q209" s="582"/>
      <c r="R209" s="582"/>
      <c r="S209" s="582"/>
      <c r="T209" s="575">
        <v>2.479E-2</v>
      </c>
      <c r="U209" s="556"/>
      <c r="V209" s="556"/>
      <c r="W209" s="558"/>
      <c r="X209" s="543"/>
    </row>
    <row r="210" spans="1:24" s="544" customFormat="1" x14ac:dyDescent="0.3">
      <c r="A210" s="555"/>
      <c r="B210" s="556" t="s">
        <v>219</v>
      </c>
      <c r="C210" s="611"/>
      <c r="D210" s="611"/>
      <c r="E210" s="611"/>
      <c r="F210" s="611"/>
      <c r="G210" s="582"/>
      <c r="H210" s="582"/>
      <c r="I210" s="582"/>
      <c r="J210" s="582"/>
      <c r="K210" s="582"/>
      <c r="L210" s="582"/>
      <c r="M210" s="582"/>
      <c r="N210" s="582"/>
      <c r="O210" s="582"/>
      <c r="P210" s="582"/>
      <c r="Q210" s="582"/>
      <c r="R210" s="582"/>
      <c r="S210" s="582"/>
      <c r="T210" s="575">
        <f>V43</f>
        <v>9.2822907300563126E-3</v>
      </c>
      <c r="U210" s="556"/>
      <c r="V210" s="556"/>
      <c r="W210" s="558"/>
      <c r="X210" s="543"/>
    </row>
    <row r="211" spans="1:24" s="544" customFormat="1" x14ac:dyDescent="0.3">
      <c r="A211" s="555"/>
      <c r="B211" s="556" t="s">
        <v>74</v>
      </c>
      <c r="C211" s="611"/>
      <c r="D211" s="611"/>
      <c r="E211" s="611"/>
      <c r="F211" s="611"/>
      <c r="G211" s="582"/>
      <c r="H211" s="582"/>
      <c r="I211" s="582"/>
      <c r="J211" s="582"/>
      <c r="K211" s="582"/>
      <c r="L211" s="582"/>
      <c r="M211" s="582"/>
      <c r="N211" s="582"/>
      <c r="O211" s="582"/>
      <c r="P211" s="582"/>
      <c r="Q211" s="582"/>
      <c r="R211" s="582"/>
      <c r="S211" s="582"/>
      <c r="T211" s="575">
        <f>T209-T210</f>
        <v>1.5507709269943687E-2</v>
      </c>
      <c r="U211" s="556"/>
      <c r="V211" s="556"/>
      <c r="W211" s="558"/>
      <c r="X211" s="543"/>
    </row>
    <row r="212" spans="1:24" s="544" customFormat="1" x14ac:dyDescent="0.3">
      <c r="A212" s="555"/>
      <c r="B212" s="556" t="s">
        <v>242</v>
      </c>
      <c r="C212" s="611"/>
      <c r="D212" s="611"/>
      <c r="E212" s="611"/>
      <c r="F212" s="611"/>
      <c r="G212" s="582"/>
      <c r="H212" s="582"/>
      <c r="I212" s="582"/>
      <c r="J212" s="582"/>
      <c r="K212" s="582"/>
      <c r="L212" s="582"/>
      <c r="M212" s="582"/>
      <c r="N212" s="582"/>
      <c r="O212" s="582"/>
      <c r="P212" s="582"/>
      <c r="Q212" s="582"/>
      <c r="R212" s="582"/>
      <c r="S212" s="582"/>
      <c r="T212" s="575">
        <f>V100/N70</f>
        <v>6.578090476318992E-3</v>
      </c>
      <c r="U212" s="556"/>
      <c r="V212" s="556"/>
      <c r="W212" s="558"/>
      <c r="X212" s="543"/>
    </row>
    <row r="213" spans="1:24" s="544" customFormat="1" x14ac:dyDescent="0.3">
      <c r="A213" s="555"/>
      <c r="B213" s="556" t="s">
        <v>208</v>
      </c>
      <c r="C213" s="611"/>
      <c r="D213" s="611"/>
      <c r="E213" s="611"/>
      <c r="F213" s="611"/>
      <c r="G213" s="582"/>
      <c r="H213" s="582"/>
      <c r="I213" s="582"/>
      <c r="J213" s="582"/>
      <c r="K213" s="582"/>
      <c r="L213" s="582"/>
      <c r="M213" s="582"/>
      <c r="N213" s="582"/>
      <c r="O213" s="582"/>
      <c r="P213" s="582"/>
      <c r="Q213" s="582"/>
      <c r="R213" s="582"/>
      <c r="S213" s="582"/>
      <c r="T213" s="612">
        <v>51014</v>
      </c>
      <c r="U213" s="556"/>
      <c r="V213" s="556"/>
      <c r="W213" s="558"/>
      <c r="X213" s="543"/>
    </row>
    <row r="214" spans="1:24" s="544" customFormat="1" x14ac:dyDescent="0.3">
      <c r="A214" s="555"/>
      <c r="B214" s="556" t="s">
        <v>209</v>
      </c>
      <c r="C214" s="611"/>
      <c r="D214" s="611"/>
      <c r="E214" s="611"/>
      <c r="F214" s="611"/>
      <c r="G214" s="582"/>
      <c r="H214" s="582"/>
      <c r="I214" s="582"/>
      <c r="J214" s="582"/>
      <c r="K214" s="582"/>
      <c r="L214" s="582"/>
      <c r="M214" s="582"/>
      <c r="N214" s="582"/>
      <c r="O214" s="582"/>
      <c r="P214" s="582"/>
      <c r="Q214" s="582"/>
      <c r="R214" s="582"/>
      <c r="S214" s="582"/>
      <c r="T214" s="612">
        <v>51014</v>
      </c>
      <c r="U214" s="556"/>
      <c r="V214" s="556"/>
      <c r="W214" s="558"/>
      <c r="X214" s="543"/>
    </row>
    <row r="215" spans="1:24" s="544" customFormat="1" x14ac:dyDescent="0.3">
      <c r="A215" s="555"/>
      <c r="B215" s="556" t="s">
        <v>210</v>
      </c>
      <c r="C215" s="611"/>
      <c r="D215" s="611"/>
      <c r="E215" s="611"/>
      <c r="F215" s="611"/>
      <c r="G215" s="582"/>
      <c r="H215" s="582"/>
      <c r="I215" s="582"/>
      <c r="J215" s="582"/>
      <c r="K215" s="582"/>
      <c r="L215" s="582"/>
      <c r="M215" s="582"/>
      <c r="N215" s="582"/>
      <c r="O215" s="582"/>
      <c r="P215" s="582"/>
      <c r="Q215" s="582"/>
      <c r="R215" s="582"/>
      <c r="S215" s="582"/>
      <c r="T215" s="612">
        <v>51014</v>
      </c>
      <c r="U215" s="556"/>
      <c r="V215" s="556"/>
      <c r="W215" s="558"/>
      <c r="X215" s="543"/>
    </row>
    <row r="216" spans="1:24" s="544" customFormat="1" x14ac:dyDescent="0.3">
      <c r="A216" s="555"/>
      <c r="B216" s="556" t="s">
        <v>75</v>
      </c>
      <c r="C216" s="611"/>
      <c r="D216" s="611"/>
      <c r="E216" s="611"/>
      <c r="F216" s="611"/>
      <c r="G216" s="582"/>
      <c r="H216" s="582"/>
      <c r="I216" s="582"/>
      <c r="J216" s="582"/>
      <c r="K216" s="582"/>
      <c r="L216" s="582"/>
      <c r="M216" s="582"/>
      <c r="N216" s="582"/>
      <c r="O216" s="582"/>
      <c r="P216" s="582"/>
      <c r="Q216" s="582"/>
      <c r="R216" s="582"/>
      <c r="S216" s="582"/>
      <c r="T216" s="580">
        <v>20.66</v>
      </c>
      <c r="U216" s="556" t="s">
        <v>110</v>
      </c>
      <c r="V216" s="556"/>
      <c r="W216" s="558"/>
      <c r="X216" s="543"/>
    </row>
    <row r="217" spans="1:24" s="544" customFormat="1" x14ac:dyDescent="0.3">
      <c r="A217" s="555"/>
      <c r="B217" s="556" t="s">
        <v>76</v>
      </c>
      <c r="C217" s="611"/>
      <c r="D217" s="611"/>
      <c r="E217" s="611"/>
      <c r="F217" s="611"/>
      <c r="G217" s="582"/>
      <c r="H217" s="582"/>
      <c r="I217" s="582"/>
      <c r="J217" s="582"/>
      <c r="K217" s="582"/>
      <c r="L217" s="582"/>
      <c r="M217" s="582"/>
      <c r="N217" s="582"/>
      <c r="O217" s="582"/>
      <c r="P217" s="582"/>
      <c r="Q217" s="582"/>
      <c r="R217" s="582"/>
      <c r="S217" s="582"/>
      <c r="T217" s="580">
        <v>10.8</v>
      </c>
      <c r="U217" s="556" t="s">
        <v>110</v>
      </c>
      <c r="V217" s="556"/>
      <c r="W217" s="558"/>
      <c r="X217" s="543"/>
    </row>
    <row r="218" spans="1:24" s="544" customFormat="1" x14ac:dyDescent="0.3">
      <c r="A218" s="555"/>
      <c r="B218" s="556" t="s">
        <v>77</v>
      </c>
      <c r="C218" s="611"/>
      <c r="D218" s="611"/>
      <c r="E218" s="611"/>
      <c r="F218" s="611"/>
      <c r="G218" s="582"/>
      <c r="H218" s="582"/>
      <c r="I218" s="582"/>
      <c r="J218" s="582"/>
      <c r="K218" s="582"/>
      <c r="L218" s="582"/>
      <c r="M218" s="582"/>
      <c r="N218" s="582"/>
      <c r="O218" s="582"/>
      <c r="P218" s="582"/>
      <c r="Q218" s="582"/>
      <c r="R218" s="582"/>
      <c r="S218" s="582"/>
      <c r="T218" s="575">
        <f>+P67/N67</f>
        <v>1.9580555793495366E-2</v>
      </c>
      <c r="U218" s="556"/>
      <c r="V218" s="556"/>
      <c r="W218" s="558"/>
      <c r="X218" s="543"/>
    </row>
    <row r="219" spans="1:24" s="544" customFormat="1" x14ac:dyDescent="0.3">
      <c r="A219" s="555"/>
      <c r="B219" s="556" t="s">
        <v>78</v>
      </c>
      <c r="C219" s="611"/>
      <c r="D219" s="611"/>
      <c r="E219" s="611"/>
      <c r="F219" s="611"/>
      <c r="G219" s="582"/>
      <c r="H219" s="582"/>
      <c r="I219" s="582"/>
      <c r="J219" s="582"/>
      <c r="K219" s="582"/>
      <c r="L219" s="582"/>
      <c r="M219" s="582"/>
      <c r="N219" s="582"/>
      <c r="O219" s="582"/>
      <c r="P219" s="582"/>
      <c r="Q219" s="582"/>
      <c r="R219" s="582"/>
      <c r="S219" s="582"/>
      <c r="T219" s="575">
        <v>5.3600000000000002E-2</v>
      </c>
      <c r="U219" s="556"/>
      <c r="V219" s="556"/>
      <c r="W219" s="558"/>
      <c r="X219" s="543"/>
    </row>
    <row r="220" spans="1:24" x14ac:dyDescent="0.3">
      <c r="A220" s="463"/>
      <c r="B220" s="437"/>
      <c r="C220" s="437"/>
      <c r="D220" s="437"/>
      <c r="E220" s="437"/>
      <c r="F220" s="437"/>
      <c r="G220" s="437"/>
      <c r="H220" s="437"/>
      <c r="I220" s="437"/>
      <c r="J220" s="437"/>
      <c r="K220" s="437"/>
      <c r="L220" s="437"/>
      <c r="M220" s="437"/>
      <c r="N220" s="437"/>
      <c r="O220" s="437"/>
      <c r="P220" s="437"/>
      <c r="Q220" s="437"/>
      <c r="R220" s="437"/>
      <c r="S220" s="437"/>
      <c r="T220" s="454"/>
      <c r="U220" s="437"/>
      <c r="V220" s="465"/>
      <c r="W220" s="437"/>
      <c r="X220" s="415"/>
    </row>
    <row r="221" spans="1:24" x14ac:dyDescent="0.3">
      <c r="A221" s="533"/>
      <c r="B221" s="523" t="s">
        <v>79</v>
      </c>
      <c r="C221" s="524"/>
      <c r="D221" s="524"/>
      <c r="E221" s="524"/>
      <c r="F221" s="534"/>
      <c r="G221" s="524"/>
      <c r="H221" s="524"/>
      <c r="I221" s="524"/>
      <c r="J221" s="524"/>
      <c r="K221" s="524"/>
      <c r="L221" s="524"/>
      <c r="M221" s="524"/>
      <c r="N221" s="524"/>
      <c r="O221" s="524"/>
      <c r="P221" s="524"/>
      <c r="Q221" s="524"/>
      <c r="R221" s="524"/>
      <c r="S221" s="524" t="s">
        <v>102</v>
      </c>
      <c r="T221" s="534" t="s">
        <v>108</v>
      </c>
      <c r="U221" s="517"/>
      <c r="V221" s="517"/>
      <c r="W221" s="520"/>
      <c r="X221" s="415"/>
    </row>
    <row r="222" spans="1:24" s="544" customFormat="1" x14ac:dyDescent="0.3">
      <c r="A222" s="613"/>
      <c r="B222" s="588" t="s">
        <v>80</v>
      </c>
      <c r="C222" s="600"/>
      <c r="D222" s="600"/>
      <c r="E222" s="600"/>
      <c r="F222" s="588"/>
      <c r="G222" s="588"/>
      <c r="H222" s="614"/>
      <c r="I222" s="614"/>
      <c r="J222" s="614"/>
      <c r="K222" s="614"/>
      <c r="L222" s="614"/>
      <c r="M222" s="614"/>
      <c r="N222" s="614"/>
      <c r="O222" s="614"/>
      <c r="P222" s="614"/>
      <c r="Q222" s="614"/>
      <c r="R222" s="614"/>
      <c r="S222" s="614">
        <v>1</v>
      </c>
      <c r="T222" s="615">
        <v>77</v>
      </c>
      <c r="U222" s="588"/>
      <c r="V222" s="616"/>
      <c r="W222" s="617"/>
      <c r="X222" s="543"/>
    </row>
    <row r="223" spans="1:24" s="544" customFormat="1" x14ac:dyDescent="0.3">
      <c r="A223" s="618"/>
      <c r="B223" s="556" t="s">
        <v>145</v>
      </c>
      <c r="C223" s="598"/>
      <c r="D223" s="598"/>
      <c r="E223" s="598"/>
      <c r="F223" s="556"/>
      <c r="G223" s="556"/>
      <c r="H223" s="562"/>
      <c r="I223" s="562"/>
      <c r="J223" s="562"/>
      <c r="K223" s="562"/>
      <c r="L223" s="562"/>
      <c r="M223" s="562"/>
      <c r="N223" s="562"/>
      <c r="O223" s="562"/>
      <c r="P223" s="562"/>
      <c r="Q223" s="562"/>
      <c r="R223" s="562"/>
      <c r="S223" s="619">
        <f>+R275</f>
        <v>117</v>
      </c>
      <c r="T223" s="620">
        <f>+T275</f>
        <v>16817</v>
      </c>
      <c r="U223" s="556"/>
      <c r="V223" s="621"/>
      <c r="W223" s="622"/>
      <c r="X223" s="543"/>
    </row>
    <row r="224" spans="1:24" s="544" customFormat="1" x14ac:dyDescent="0.3">
      <c r="A224" s="618"/>
      <c r="B224" s="556" t="s">
        <v>81</v>
      </c>
      <c r="C224" s="598"/>
      <c r="D224" s="598"/>
      <c r="E224" s="598"/>
      <c r="F224" s="556"/>
      <c r="G224" s="556"/>
      <c r="H224" s="562"/>
      <c r="I224" s="562"/>
      <c r="J224" s="562"/>
      <c r="K224" s="562"/>
      <c r="L224" s="562"/>
      <c r="M224" s="562"/>
      <c r="N224" s="562"/>
      <c r="O224" s="562"/>
      <c r="P224" s="562"/>
      <c r="Q224" s="562"/>
      <c r="R224" s="562"/>
      <c r="S224" s="619">
        <f>+R287</f>
        <v>0</v>
      </c>
      <c r="T224" s="620">
        <f>+T287</f>
        <v>0</v>
      </c>
      <c r="U224" s="556"/>
      <c r="V224" s="621"/>
      <c r="W224" s="622"/>
      <c r="X224" s="543"/>
    </row>
    <row r="225" spans="1:24" x14ac:dyDescent="0.3">
      <c r="A225" s="466"/>
      <c r="B225" s="493" t="s">
        <v>82</v>
      </c>
      <c r="C225" s="467"/>
      <c r="D225" s="467"/>
      <c r="E225" s="467"/>
      <c r="F225" s="434"/>
      <c r="G225" s="434"/>
      <c r="H225" s="434"/>
      <c r="I225" s="434"/>
      <c r="J225" s="434"/>
      <c r="K225" s="434"/>
      <c r="L225" s="434"/>
      <c r="M225" s="434"/>
      <c r="N225" s="434"/>
      <c r="O225" s="434"/>
      <c r="P225" s="434"/>
      <c r="Q225" s="434"/>
      <c r="R225" s="434"/>
      <c r="S225" s="434"/>
      <c r="T225" s="620">
        <v>0</v>
      </c>
      <c r="U225" s="434"/>
      <c r="V225" s="468"/>
      <c r="W225" s="469"/>
      <c r="X225" s="415"/>
    </row>
    <row r="226" spans="1:24" x14ac:dyDescent="0.3">
      <c r="A226" s="466"/>
      <c r="B226" s="493" t="s">
        <v>243</v>
      </c>
      <c r="C226" s="467"/>
      <c r="D226" s="467"/>
      <c r="E226" s="467"/>
      <c r="F226" s="434"/>
      <c r="G226" s="434"/>
      <c r="H226" s="434"/>
      <c r="I226" s="434"/>
      <c r="J226" s="434"/>
      <c r="K226" s="434"/>
      <c r="L226" s="434"/>
      <c r="M226" s="434"/>
      <c r="N226" s="434"/>
      <c r="O226" s="434"/>
      <c r="P226" s="434"/>
      <c r="Q226" s="434"/>
      <c r="R226" s="434"/>
      <c r="S226" s="434"/>
      <c r="T226" s="620">
        <f>+N80</f>
        <v>0</v>
      </c>
      <c r="U226" s="434"/>
      <c r="V226" s="468"/>
      <c r="W226" s="469"/>
      <c r="X226" s="415"/>
    </row>
    <row r="227" spans="1:24" x14ac:dyDescent="0.3">
      <c r="A227" s="470"/>
      <c r="B227" s="493" t="s">
        <v>83</v>
      </c>
      <c r="C227" s="471"/>
      <c r="D227" s="471"/>
      <c r="E227" s="471"/>
      <c r="F227" s="471"/>
      <c r="G227" s="434"/>
      <c r="H227" s="434"/>
      <c r="I227" s="434"/>
      <c r="J227" s="434"/>
      <c r="K227" s="434"/>
      <c r="L227" s="434"/>
      <c r="M227" s="434"/>
      <c r="N227" s="434"/>
      <c r="O227" s="434"/>
      <c r="P227" s="434"/>
      <c r="Q227" s="434"/>
      <c r="R227" s="434"/>
      <c r="S227" s="434"/>
      <c r="T227" s="472"/>
      <c r="U227" s="434"/>
      <c r="V227" s="468"/>
      <c r="W227" s="473"/>
      <c r="X227" s="415"/>
    </row>
    <row r="228" spans="1:24" s="544" customFormat="1" x14ac:dyDescent="0.3">
      <c r="A228" s="623"/>
      <c r="B228" s="556" t="s">
        <v>84</v>
      </c>
      <c r="C228" s="556"/>
      <c r="D228" s="556"/>
      <c r="E228" s="556"/>
      <c r="F228" s="556"/>
      <c r="G228" s="556"/>
      <c r="H228" s="556"/>
      <c r="I228" s="556"/>
      <c r="J228" s="556"/>
      <c r="K228" s="556"/>
      <c r="L228" s="556"/>
      <c r="M228" s="556"/>
      <c r="N228" s="556"/>
      <c r="O228" s="556"/>
      <c r="P228" s="556"/>
      <c r="Q228" s="556"/>
      <c r="R228" s="556"/>
      <c r="S228" s="562"/>
      <c r="T228" s="620">
        <f>V166</f>
        <v>97</v>
      </c>
      <c r="U228" s="556"/>
      <c r="V228" s="621"/>
      <c r="W228" s="624"/>
      <c r="X228" s="543"/>
    </row>
    <row r="229" spans="1:24" s="544" customFormat="1" x14ac:dyDescent="0.3">
      <c r="A229" s="618"/>
      <c r="B229" s="556" t="s">
        <v>85</v>
      </c>
      <c r="C229" s="598"/>
      <c r="D229" s="598"/>
      <c r="E229" s="598"/>
      <c r="F229" s="598"/>
      <c r="G229" s="556"/>
      <c r="H229" s="556"/>
      <c r="I229" s="556"/>
      <c r="J229" s="556"/>
      <c r="K229" s="556"/>
      <c r="L229" s="556"/>
      <c r="M229" s="556"/>
      <c r="N229" s="556"/>
      <c r="O229" s="556"/>
      <c r="P229" s="556"/>
      <c r="Q229" s="556"/>
      <c r="R229" s="556"/>
      <c r="S229" s="562"/>
      <c r="T229" s="620">
        <f>'Feb 18'!T229+T228</f>
        <v>8206</v>
      </c>
      <c r="U229" s="556"/>
      <c r="V229" s="621"/>
      <c r="W229" s="624"/>
      <c r="X229" s="543"/>
    </row>
    <row r="230" spans="1:24" x14ac:dyDescent="0.3">
      <c r="A230" s="470"/>
      <c r="B230" s="493" t="s">
        <v>295</v>
      </c>
      <c r="C230" s="471"/>
      <c r="D230" s="471"/>
      <c r="E230" s="471"/>
      <c r="F230" s="471"/>
      <c r="G230" s="434"/>
      <c r="H230" s="434"/>
      <c r="I230" s="434"/>
      <c r="J230" s="434"/>
      <c r="K230" s="434"/>
      <c r="L230" s="434"/>
      <c r="M230" s="434"/>
      <c r="N230" s="434"/>
      <c r="O230" s="434"/>
      <c r="P230" s="434"/>
      <c r="Q230" s="434"/>
      <c r="R230" s="434"/>
      <c r="S230" s="435"/>
      <c r="T230" s="472"/>
      <c r="U230" s="434"/>
      <c r="V230" s="468"/>
      <c r="W230" s="473"/>
      <c r="X230" s="415"/>
    </row>
    <row r="231" spans="1:24" s="544" customFormat="1" x14ac:dyDescent="0.3">
      <c r="A231" s="623"/>
      <c r="B231" s="556" t="s">
        <v>291</v>
      </c>
      <c r="C231" s="556"/>
      <c r="D231" s="556"/>
      <c r="E231" s="556"/>
      <c r="F231" s="556"/>
      <c r="G231" s="556"/>
      <c r="H231" s="556"/>
      <c r="I231" s="556"/>
      <c r="J231" s="556"/>
      <c r="K231" s="556"/>
      <c r="L231" s="556"/>
      <c r="M231" s="556"/>
      <c r="N231" s="556"/>
      <c r="O231" s="556"/>
      <c r="P231" s="556"/>
      <c r="Q231" s="556"/>
      <c r="R231" s="556"/>
      <c r="S231" s="562">
        <v>0</v>
      </c>
      <c r="T231" s="620">
        <v>0</v>
      </c>
      <c r="U231" s="556"/>
      <c r="V231" s="621"/>
      <c r="W231" s="624"/>
      <c r="X231" s="543"/>
    </row>
    <row r="232" spans="1:24" s="544" customFormat="1" x14ac:dyDescent="0.3">
      <c r="A232" s="618"/>
      <c r="B232" s="556" t="s">
        <v>86</v>
      </c>
      <c r="C232" s="578"/>
      <c r="D232" s="578"/>
      <c r="E232" s="578"/>
      <c r="F232" s="625"/>
      <c r="G232" s="556"/>
      <c r="H232" s="556"/>
      <c r="I232" s="556"/>
      <c r="J232" s="556"/>
      <c r="K232" s="556"/>
      <c r="L232" s="556"/>
      <c r="M232" s="556"/>
      <c r="N232" s="556"/>
      <c r="O232" s="556"/>
      <c r="P232" s="556"/>
      <c r="Q232" s="556"/>
      <c r="R232" s="556"/>
      <c r="S232" s="556"/>
      <c r="T232" s="626">
        <v>0</v>
      </c>
      <c r="U232" s="556"/>
      <c r="V232" s="621"/>
      <c r="W232" s="624"/>
      <c r="X232" s="543"/>
    </row>
    <row r="233" spans="1:24" s="544" customFormat="1" x14ac:dyDescent="0.3">
      <c r="A233" s="618"/>
      <c r="B233" s="556" t="s">
        <v>87</v>
      </c>
      <c r="C233" s="578"/>
      <c r="D233" s="578"/>
      <c r="E233" s="578"/>
      <c r="F233" s="625"/>
      <c r="G233" s="556"/>
      <c r="H233" s="556"/>
      <c r="I233" s="556"/>
      <c r="J233" s="556"/>
      <c r="K233" s="556"/>
      <c r="L233" s="556"/>
      <c r="M233" s="556"/>
      <c r="N233" s="556"/>
      <c r="O233" s="556"/>
      <c r="P233" s="556"/>
      <c r="Q233" s="556"/>
      <c r="R233" s="556"/>
      <c r="S233" s="556"/>
      <c r="T233" s="626">
        <v>0</v>
      </c>
      <c r="U233" s="556"/>
      <c r="V233" s="621"/>
      <c r="W233" s="624"/>
      <c r="X233" s="543"/>
    </row>
    <row r="234" spans="1:24" x14ac:dyDescent="0.3">
      <c r="A234" s="466"/>
      <c r="B234" s="493" t="s">
        <v>217</v>
      </c>
      <c r="C234" s="474"/>
      <c r="D234" s="474"/>
      <c r="E234" s="474"/>
      <c r="F234" s="475"/>
      <c r="G234" s="434"/>
      <c r="H234" s="434"/>
      <c r="I234" s="434"/>
      <c r="J234" s="434"/>
      <c r="K234" s="434"/>
      <c r="L234" s="434"/>
      <c r="M234" s="434"/>
      <c r="N234" s="434"/>
      <c r="O234" s="434"/>
      <c r="P234" s="434"/>
      <c r="Q234" s="434"/>
      <c r="R234" s="434"/>
      <c r="S234" s="434"/>
      <c r="T234" s="476"/>
      <c r="U234" s="434"/>
      <c r="V234" s="468"/>
      <c r="W234" s="473"/>
      <c r="X234" s="415"/>
    </row>
    <row r="235" spans="1:24" s="544" customFormat="1" x14ac:dyDescent="0.3">
      <c r="A235" s="618"/>
      <c r="B235" s="556" t="s">
        <v>291</v>
      </c>
      <c r="C235" s="578"/>
      <c r="D235" s="578"/>
      <c r="E235" s="578"/>
      <c r="F235" s="625"/>
      <c r="G235" s="556"/>
      <c r="H235" s="556"/>
      <c r="I235" s="556"/>
      <c r="J235" s="556"/>
      <c r="K235" s="556"/>
      <c r="L235" s="556"/>
      <c r="M235" s="556"/>
      <c r="N235" s="556"/>
      <c r="O235" s="556"/>
      <c r="P235" s="556"/>
      <c r="Q235" s="556"/>
      <c r="R235" s="556"/>
      <c r="S235" s="562">
        <v>3</v>
      </c>
      <c r="T235" s="620">
        <v>204</v>
      </c>
      <c r="U235" s="556"/>
      <c r="V235" s="621"/>
      <c r="W235" s="624"/>
      <c r="X235" s="543"/>
    </row>
    <row r="236" spans="1:24" s="544" customFormat="1" x14ac:dyDescent="0.3">
      <c r="A236" s="618"/>
      <c r="B236" s="556" t="s">
        <v>218</v>
      </c>
      <c r="C236" s="578"/>
      <c r="D236" s="578"/>
      <c r="E236" s="578"/>
      <c r="F236" s="625"/>
      <c r="G236" s="556"/>
      <c r="H236" s="556"/>
      <c r="I236" s="556"/>
      <c r="J236" s="556"/>
      <c r="K236" s="556"/>
      <c r="L236" s="556"/>
      <c r="M236" s="556"/>
      <c r="N236" s="556"/>
      <c r="O236" s="556"/>
      <c r="P236" s="556"/>
      <c r="Q236" s="556"/>
      <c r="R236" s="556"/>
      <c r="S236" s="556"/>
      <c r="T236" s="626">
        <v>1.65</v>
      </c>
      <c r="U236" s="556"/>
      <c r="V236" s="621"/>
      <c r="W236" s="624"/>
      <c r="X236" s="543"/>
    </row>
    <row r="237" spans="1:24" x14ac:dyDescent="0.3">
      <c r="A237" s="466"/>
      <c r="B237" s="471"/>
      <c r="C237" s="474"/>
      <c r="D237" s="474"/>
      <c r="E237" s="474"/>
      <c r="F237" s="475"/>
      <c r="G237" s="434"/>
      <c r="H237" s="434"/>
      <c r="I237" s="434"/>
      <c r="J237" s="434"/>
      <c r="K237" s="434"/>
      <c r="L237" s="434"/>
      <c r="M237" s="434"/>
      <c r="N237" s="434"/>
      <c r="O237" s="434"/>
      <c r="P237" s="434"/>
      <c r="Q237" s="434"/>
      <c r="R237" s="434"/>
      <c r="S237" s="434"/>
      <c r="T237" s="476"/>
      <c r="U237" s="434"/>
      <c r="V237" s="468"/>
      <c r="W237" s="473"/>
      <c r="X237" s="415"/>
    </row>
    <row r="238" spans="1:24" x14ac:dyDescent="0.3">
      <c r="A238" s="466"/>
      <c r="B238" s="471"/>
      <c r="C238" s="474"/>
      <c r="D238" s="474"/>
      <c r="E238" s="474"/>
      <c r="F238" s="475"/>
      <c r="G238" s="434"/>
      <c r="H238" s="434"/>
      <c r="I238" s="434"/>
      <c r="J238" s="434"/>
      <c r="K238" s="434"/>
      <c r="L238" s="434"/>
      <c r="M238" s="434"/>
      <c r="N238" s="434"/>
      <c r="O238" s="434"/>
      <c r="P238" s="434"/>
      <c r="Q238" s="434"/>
      <c r="R238" s="434"/>
      <c r="S238" s="434"/>
      <c r="T238" s="476"/>
      <c r="U238" s="434"/>
      <c r="V238" s="468"/>
      <c r="W238" s="473"/>
      <c r="X238" s="415"/>
    </row>
    <row r="239" spans="1:24" ht="18" x14ac:dyDescent="0.35">
      <c r="A239" s="466"/>
      <c r="B239" s="512" t="s">
        <v>168</v>
      </c>
      <c r="C239" s="474"/>
      <c r="D239" s="474"/>
      <c r="E239" s="474"/>
      <c r="F239" s="475"/>
      <c r="G239" s="434"/>
      <c r="H239" s="434"/>
      <c r="I239" s="434"/>
      <c r="J239" s="434"/>
      <c r="K239" s="434"/>
      <c r="L239" s="434"/>
      <c r="M239" s="434"/>
      <c r="N239" s="434"/>
      <c r="O239" s="434"/>
      <c r="P239" s="513" t="s">
        <v>371</v>
      </c>
      <c r="Q239" s="434"/>
      <c r="R239" s="434"/>
      <c r="S239" s="434"/>
      <c r="T239" s="476"/>
      <c r="U239" s="434"/>
      <c r="V239" s="468"/>
      <c r="W239" s="473"/>
      <c r="X239" s="415"/>
    </row>
    <row r="240" spans="1:24" x14ac:dyDescent="0.3">
      <c r="A240" s="477"/>
      <c r="B240" s="511"/>
      <c r="C240" s="478"/>
      <c r="D240" s="478"/>
      <c r="E240" s="478"/>
      <c r="F240" s="479"/>
      <c r="G240" s="441"/>
      <c r="H240" s="441"/>
      <c r="I240" s="441"/>
      <c r="J240" s="441"/>
      <c r="K240" s="441"/>
      <c r="L240" s="441"/>
      <c r="M240" s="441"/>
      <c r="N240" s="441"/>
      <c r="O240" s="441"/>
      <c r="P240" s="441"/>
      <c r="Q240" s="441"/>
      <c r="R240" s="441"/>
      <c r="S240" s="441"/>
      <c r="T240" s="480"/>
      <c r="U240" s="441"/>
      <c r="V240" s="481"/>
      <c r="W240" s="482"/>
      <c r="X240" s="415"/>
    </row>
    <row r="241" spans="1:25" x14ac:dyDescent="0.3">
      <c r="A241" s="515"/>
      <c r="B241" s="523" t="s">
        <v>308</v>
      </c>
      <c r="C241" s="524"/>
      <c r="D241" s="524"/>
      <c r="E241" s="524"/>
      <c r="F241" s="534"/>
      <c r="G241" s="524"/>
      <c r="H241" s="524"/>
      <c r="I241" s="524"/>
      <c r="J241" s="524"/>
      <c r="K241" s="524"/>
      <c r="L241" s="524"/>
      <c r="M241" s="524"/>
      <c r="N241" s="524"/>
      <c r="O241" s="524"/>
      <c r="P241" s="524"/>
      <c r="Q241" s="524"/>
      <c r="R241" s="534" t="s">
        <v>102</v>
      </c>
      <c r="S241" s="524" t="s">
        <v>103</v>
      </c>
      <c r="T241" s="534" t="s">
        <v>109</v>
      </c>
      <c r="U241" s="524" t="s">
        <v>103</v>
      </c>
      <c r="V241" s="517"/>
      <c r="W241" s="535"/>
      <c r="X241" s="415"/>
    </row>
    <row r="242" spans="1:25" s="544" customFormat="1" x14ac:dyDescent="0.3">
      <c r="A242" s="540"/>
      <c r="B242" s="600" t="s">
        <v>88</v>
      </c>
      <c r="C242" s="627"/>
      <c r="D242" s="627"/>
      <c r="E242" s="627"/>
      <c r="F242" s="588"/>
      <c r="G242" s="627"/>
      <c r="H242" s="627"/>
      <c r="I242" s="627"/>
      <c r="J242" s="627"/>
      <c r="K242" s="627"/>
      <c r="L242" s="627"/>
      <c r="M242" s="627"/>
      <c r="N242" s="627"/>
      <c r="O242" s="627"/>
      <c r="P242" s="627"/>
      <c r="Q242" s="627"/>
      <c r="R242" s="600">
        <f t="shared" ref="R242:R249" si="1">+R254+R266+R278</f>
        <v>6072</v>
      </c>
      <c r="S242" s="628">
        <f t="shared" ref="S242:S249" si="2">R242/$R$251</f>
        <v>0.99671700590938939</v>
      </c>
      <c r="T242" s="601">
        <f t="shared" ref="T242:T249" si="3">+T254+T266+T278</f>
        <v>833003</v>
      </c>
      <c r="U242" s="628">
        <f t="shared" ref="U242:U249" si="4">T242/$T$251</f>
        <v>0.99693858377784506</v>
      </c>
      <c r="V242" s="616"/>
      <c r="W242" s="629"/>
      <c r="X242" s="543"/>
    </row>
    <row r="243" spans="1:25" s="544" customFormat="1" x14ac:dyDescent="0.3">
      <c r="A243" s="555"/>
      <c r="B243" s="598" t="s">
        <v>89</v>
      </c>
      <c r="C243" s="630"/>
      <c r="D243" s="630"/>
      <c r="E243" s="630"/>
      <c r="F243" s="556"/>
      <c r="G243" s="631"/>
      <c r="H243" s="630"/>
      <c r="I243" s="630"/>
      <c r="J243" s="630"/>
      <c r="K243" s="630"/>
      <c r="L243" s="630"/>
      <c r="M243" s="630"/>
      <c r="N243" s="630"/>
      <c r="O243" s="630"/>
      <c r="P243" s="630"/>
      <c r="Q243" s="630"/>
      <c r="R243" s="598">
        <f t="shared" si="1"/>
        <v>3</v>
      </c>
      <c r="S243" s="631">
        <f t="shared" si="2"/>
        <v>4.9244911359159549E-4</v>
      </c>
      <c r="T243" s="599">
        <f t="shared" si="3"/>
        <v>276</v>
      </c>
      <c r="U243" s="631">
        <f t="shared" si="4"/>
        <v>3.3031699660467637E-4</v>
      </c>
      <c r="V243" s="621"/>
      <c r="W243" s="624"/>
      <c r="X243" s="543"/>
      <c r="Y243" s="604"/>
    </row>
    <row r="244" spans="1:25" s="544" customFormat="1" x14ac:dyDescent="0.3">
      <c r="A244" s="555"/>
      <c r="B244" s="598" t="s">
        <v>90</v>
      </c>
      <c r="C244" s="630"/>
      <c r="D244" s="630"/>
      <c r="E244" s="630"/>
      <c r="F244" s="556"/>
      <c r="G244" s="631"/>
      <c r="H244" s="630"/>
      <c r="I244" s="630"/>
      <c r="J244" s="630"/>
      <c r="K244" s="630"/>
      <c r="L244" s="630"/>
      <c r="M244" s="630"/>
      <c r="N244" s="630"/>
      <c r="O244" s="630"/>
      <c r="P244" s="630"/>
      <c r="Q244" s="630"/>
      <c r="R244" s="598">
        <f t="shared" si="1"/>
        <v>4</v>
      </c>
      <c r="S244" s="631">
        <f t="shared" si="2"/>
        <v>6.5659881812212733E-4</v>
      </c>
      <c r="T244" s="599">
        <f t="shared" si="3"/>
        <v>639</v>
      </c>
      <c r="U244" s="631">
        <f t="shared" si="4"/>
        <v>7.6475565518256596E-4</v>
      </c>
      <c r="V244" s="621"/>
      <c r="W244" s="624"/>
      <c r="X244" s="543"/>
    </row>
    <row r="245" spans="1:25" s="544" customFormat="1" x14ac:dyDescent="0.3">
      <c r="A245" s="555"/>
      <c r="B245" s="598" t="s">
        <v>156</v>
      </c>
      <c r="C245" s="630"/>
      <c r="D245" s="630"/>
      <c r="E245" s="630"/>
      <c r="F245" s="556"/>
      <c r="G245" s="631"/>
      <c r="H245" s="630"/>
      <c r="I245" s="630"/>
      <c r="J245" s="630"/>
      <c r="K245" s="630"/>
      <c r="L245" s="630"/>
      <c r="M245" s="630"/>
      <c r="N245" s="630"/>
      <c r="O245" s="630"/>
      <c r="P245" s="630"/>
      <c r="Q245" s="630"/>
      <c r="R245" s="598">
        <f t="shared" si="1"/>
        <v>5</v>
      </c>
      <c r="S245" s="631">
        <f t="shared" si="2"/>
        <v>8.2074852265265927E-4</v>
      </c>
      <c r="T245" s="599">
        <f t="shared" si="3"/>
        <v>710</v>
      </c>
      <c r="U245" s="631">
        <f t="shared" si="4"/>
        <v>8.4972850575840662E-4</v>
      </c>
      <c r="V245" s="621"/>
      <c r="W245" s="624"/>
      <c r="X245" s="543"/>
      <c r="Y245" s="604"/>
    </row>
    <row r="246" spans="1:25" s="544" customFormat="1" x14ac:dyDescent="0.3">
      <c r="A246" s="555"/>
      <c r="B246" s="598" t="s">
        <v>157</v>
      </c>
      <c r="C246" s="630"/>
      <c r="D246" s="630"/>
      <c r="E246" s="630"/>
      <c r="F246" s="556"/>
      <c r="G246" s="631"/>
      <c r="H246" s="630"/>
      <c r="I246" s="630"/>
      <c r="J246" s="630"/>
      <c r="K246" s="630"/>
      <c r="L246" s="630"/>
      <c r="M246" s="630"/>
      <c r="N246" s="630"/>
      <c r="O246" s="630"/>
      <c r="P246" s="630"/>
      <c r="Q246" s="630"/>
      <c r="R246" s="598">
        <f t="shared" si="1"/>
        <v>3</v>
      </c>
      <c r="S246" s="631">
        <f t="shared" si="2"/>
        <v>4.9244911359159549E-4</v>
      </c>
      <c r="T246" s="599">
        <f t="shared" si="3"/>
        <v>256</v>
      </c>
      <c r="U246" s="631">
        <f t="shared" si="4"/>
        <v>3.0638098235796069E-4</v>
      </c>
      <c r="V246" s="621"/>
      <c r="W246" s="624"/>
      <c r="X246" s="543"/>
    </row>
    <row r="247" spans="1:25" s="544" customFormat="1" x14ac:dyDescent="0.3">
      <c r="A247" s="555"/>
      <c r="B247" s="598" t="s">
        <v>158</v>
      </c>
      <c r="C247" s="630"/>
      <c r="D247" s="630"/>
      <c r="E247" s="630"/>
      <c r="F247" s="556"/>
      <c r="G247" s="631"/>
      <c r="H247" s="630"/>
      <c r="I247" s="630"/>
      <c r="J247" s="630"/>
      <c r="K247" s="630"/>
      <c r="L247" s="630"/>
      <c r="M247" s="630"/>
      <c r="N247" s="630"/>
      <c r="O247" s="630"/>
      <c r="P247" s="630"/>
      <c r="Q247" s="630"/>
      <c r="R247" s="598">
        <f t="shared" si="1"/>
        <v>0</v>
      </c>
      <c r="S247" s="631">
        <f t="shared" si="2"/>
        <v>0</v>
      </c>
      <c r="T247" s="599">
        <f t="shared" si="3"/>
        <v>0</v>
      </c>
      <c r="U247" s="631">
        <f t="shared" si="4"/>
        <v>0</v>
      </c>
      <c r="V247" s="621"/>
      <c r="W247" s="624"/>
      <c r="X247" s="543"/>
      <c r="Y247" s="604"/>
    </row>
    <row r="248" spans="1:25" s="544" customFormat="1" x14ac:dyDescent="0.3">
      <c r="A248" s="555"/>
      <c r="B248" s="598" t="s">
        <v>159</v>
      </c>
      <c r="C248" s="630"/>
      <c r="D248" s="630"/>
      <c r="E248" s="630"/>
      <c r="F248" s="556"/>
      <c r="G248" s="631"/>
      <c r="H248" s="630"/>
      <c r="I248" s="630"/>
      <c r="J248" s="630"/>
      <c r="K248" s="630"/>
      <c r="L248" s="630"/>
      <c r="M248" s="630"/>
      <c r="N248" s="630"/>
      <c r="O248" s="630"/>
      <c r="P248" s="630"/>
      <c r="Q248" s="630"/>
      <c r="R248" s="598">
        <f t="shared" si="1"/>
        <v>3</v>
      </c>
      <c r="S248" s="631">
        <f t="shared" si="2"/>
        <v>4.9244911359159549E-4</v>
      </c>
      <c r="T248" s="599">
        <f t="shared" si="3"/>
        <v>314</v>
      </c>
      <c r="U248" s="631">
        <f t="shared" si="4"/>
        <v>3.7579542367343618E-4</v>
      </c>
      <c r="V248" s="621"/>
      <c r="W248" s="624"/>
      <c r="X248" s="543"/>
    </row>
    <row r="249" spans="1:25" s="544" customFormat="1" x14ac:dyDescent="0.3">
      <c r="A249" s="555"/>
      <c r="B249" s="598" t="s">
        <v>160</v>
      </c>
      <c r="C249" s="630"/>
      <c r="D249" s="630"/>
      <c r="E249" s="630"/>
      <c r="F249" s="556"/>
      <c r="G249" s="631"/>
      <c r="H249" s="630"/>
      <c r="I249" s="630"/>
      <c r="J249" s="630"/>
      <c r="K249" s="630"/>
      <c r="L249" s="630"/>
      <c r="M249" s="630"/>
      <c r="N249" s="630"/>
      <c r="O249" s="630"/>
      <c r="P249" s="630"/>
      <c r="Q249" s="630"/>
      <c r="R249" s="600">
        <f t="shared" si="1"/>
        <v>2</v>
      </c>
      <c r="S249" s="628">
        <f t="shared" si="2"/>
        <v>3.2829940906106366E-4</v>
      </c>
      <c r="T249" s="601">
        <f t="shared" si="3"/>
        <v>363</v>
      </c>
      <c r="U249" s="628">
        <f t="shared" si="4"/>
        <v>4.3443865857788959E-4</v>
      </c>
      <c r="V249" s="621"/>
      <c r="W249" s="624"/>
      <c r="X249" s="543"/>
      <c r="Y249" s="604"/>
    </row>
    <row r="250" spans="1:25" s="544" customFormat="1" x14ac:dyDescent="0.3">
      <c r="A250" s="555"/>
      <c r="B250" s="598"/>
      <c r="C250" s="630"/>
      <c r="D250" s="630"/>
      <c r="E250" s="630"/>
      <c r="F250" s="556"/>
      <c r="G250" s="631"/>
      <c r="H250" s="630"/>
      <c r="I250" s="630"/>
      <c r="J250" s="630"/>
      <c r="K250" s="630"/>
      <c r="L250" s="630"/>
      <c r="M250" s="630"/>
      <c r="N250" s="630"/>
      <c r="O250" s="630"/>
      <c r="P250" s="630"/>
      <c r="Q250" s="630"/>
      <c r="R250" s="598"/>
      <c r="S250" s="631"/>
      <c r="T250" s="599"/>
      <c r="U250" s="631"/>
      <c r="V250" s="621"/>
      <c r="W250" s="624"/>
      <c r="X250" s="543"/>
    </row>
    <row r="251" spans="1:25" s="544" customFormat="1" x14ac:dyDescent="0.3">
      <c r="A251" s="555"/>
      <c r="B251" s="556"/>
      <c r="C251" s="556"/>
      <c r="D251" s="556"/>
      <c r="E251" s="556"/>
      <c r="F251" s="556"/>
      <c r="G251" s="556"/>
      <c r="H251" s="632"/>
      <c r="I251" s="632"/>
      <c r="J251" s="632"/>
      <c r="K251" s="632"/>
      <c r="L251" s="632"/>
      <c r="M251" s="632"/>
      <c r="N251" s="632"/>
      <c r="O251" s="632"/>
      <c r="P251" s="632"/>
      <c r="Q251" s="632"/>
      <c r="R251" s="598">
        <f>SUM(R242:R250)</f>
        <v>6092</v>
      </c>
      <c r="S251" s="631">
        <f>SUM(S242:S250)</f>
        <v>1</v>
      </c>
      <c r="T251" s="599">
        <f>SUM(T242:T250)</f>
        <v>835561</v>
      </c>
      <c r="U251" s="631">
        <f>SUM(U242:U250)</f>
        <v>0.99999999999999978</v>
      </c>
      <c r="V251" s="556"/>
      <c r="W251" s="558"/>
      <c r="X251" s="543"/>
    </row>
    <row r="252" spans="1:25" x14ac:dyDescent="0.3">
      <c r="A252" s="417"/>
      <c r="B252" s="441"/>
      <c r="C252" s="441"/>
      <c r="D252" s="441"/>
      <c r="E252" s="441"/>
      <c r="F252" s="441"/>
      <c r="G252" s="441"/>
      <c r="H252" s="485"/>
      <c r="I252" s="485"/>
      <c r="J252" s="485"/>
      <c r="K252" s="485"/>
      <c r="L252" s="485"/>
      <c r="M252" s="485"/>
      <c r="N252" s="485"/>
      <c r="O252" s="485"/>
      <c r="P252" s="485"/>
      <c r="Q252" s="485"/>
      <c r="R252" s="442"/>
      <c r="S252" s="486"/>
      <c r="T252" s="487"/>
      <c r="U252" s="486"/>
      <c r="V252" s="441"/>
      <c r="W252" s="441"/>
      <c r="X252" s="415"/>
    </row>
    <row r="253" spans="1:25" x14ac:dyDescent="0.3">
      <c r="A253" s="515"/>
      <c r="B253" s="523" t="s">
        <v>162</v>
      </c>
      <c r="C253" s="524"/>
      <c r="D253" s="524"/>
      <c r="E253" s="524"/>
      <c r="F253" s="534"/>
      <c r="G253" s="524"/>
      <c r="H253" s="524"/>
      <c r="I253" s="524"/>
      <c r="J253" s="524"/>
      <c r="K253" s="524"/>
      <c r="L253" s="524"/>
      <c r="M253" s="524"/>
      <c r="N253" s="524"/>
      <c r="O253" s="524"/>
      <c r="P253" s="524"/>
      <c r="Q253" s="524"/>
      <c r="R253" s="534" t="s">
        <v>102</v>
      </c>
      <c r="S253" s="524" t="s">
        <v>103</v>
      </c>
      <c r="T253" s="534" t="s">
        <v>109</v>
      </c>
      <c r="U253" s="524" t="s">
        <v>103</v>
      </c>
      <c r="V253" s="517"/>
      <c r="W253" s="535"/>
      <c r="X253" s="415"/>
    </row>
    <row r="254" spans="1:25" s="544" customFormat="1" x14ac:dyDescent="0.3">
      <c r="A254" s="540"/>
      <c r="B254" s="600" t="s">
        <v>88</v>
      </c>
      <c r="C254" s="627"/>
      <c r="D254" s="627"/>
      <c r="E254" s="627"/>
      <c r="F254" s="588"/>
      <c r="G254" s="627"/>
      <c r="H254" s="627"/>
      <c r="I254" s="627"/>
      <c r="J254" s="627"/>
      <c r="K254" s="627"/>
      <c r="L254" s="627"/>
      <c r="M254" s="627"/>
      <c r="N254" s="627"/>
      <c r="O254" s="627"/>
      <c r="P254" s="627"/>
      <c r="Q254" s="627"/>
      <c r="R254" s="600">
        <v>5969</v>
      </c>
      <c r="S254" s="628">
        <f t="shared" ref="S254:S261" si="5">R254/$R$263</f>
        <v>0.99899581589958164</v>
      </c>
      <c r="T254" s="601">
        <v>817934</v>
      </c>
      <c r="U254" s="628">
        <f t="shared" ref="U254:U261" si="6">T254/$T$263</f>
        <v>0.99901067977292046</v>
      </c>
      <c r="V254" s="616"/>
      <c r="W254" s="629"/>
      <c r="X254" s="543"/>
    </row>
    <row r="255" spans="1:25" s="544" customFormat="1" x14ac:dyDescent="0.3">
      <c r="A255" s="555"/>
      <c r="B255" s="598" t="s">
        <v>89</v>
      </c>
      <c r="C255" s="630"/>
      <c r="D255" s="630"/>
      <c r="E255" s="630"/>
      <c r="F255" s="556"/>
      <c r="G255" s="631"/>
      <c r="H255" s="630"/>
      <c r="I255" s="630"/>
      <c r="J255" s="630"/>
      <c r="K255" s="630"/>
      <c r="L255" s="630"/>
      <c r="M255" s="630"/>
      <c r="N255" s="630"/>
      <c r="O255" s="630"/>
      <c r="P255" s="630"/>
      <c r="Q255" s="630"/>
      <c r="R255" s="598">
        <v>3</v>
      </c>
      <c r="S255" s="631">
        <f t="shared" si="5"/>
        <v>5.0209205020920506E-4</v>
      </c>
      <c r="T255" s="599">
        <v>276</v>
      </c>
      <c r="U255" s="631">
        <f t="shared" si="6"/>
        <v>3.3710170700487578E-4</v>
      </c>
      <c r="V255" s="621"/>
      <c r="W255" s="624"/>
      <c r="X255" s="543"/>
      <c r="Y255" s="604"/>
    </row>
    <row r="256" spans="1:25" s="544" customFormat="1" x14ac:dyDescent="0.3">
      <c r="A256" s="555"/>
      <c r="B256" s="598" t="s">
        <v>90</v>
      </c>
      <c r="C256" s="630"/>
      <c r="D256" s="630"/>
      <c r="E256" s="630"/>
      <c r="F256" s="556"/>
      <c r="G256" s="631"/>
      <c r="H256" s="630"/>
      <c r="I256" s="630"/>
      <c r="J256" s="630"/>
      <c r="K256" s="630"/>
      <c r="L256" s="630"/>
      <c r="M256" s="630"/>
      <c r="N256" s="630"/>
      <c r="O256" s="630"/>
      <c r="P256" s="630"/>
      <c r="Q256" s="630"/>
      <c r="R256" s="598">
        <v>3</v>
      </c>
      <c r="S256" s="631">
        <f t="shared" si="5"/>
        <v>5.0209205020920506E-4</v>
      </c>
      <c r="T256" s="599">
        <v>534</v>
      </c>
      <c r="U256" s="631">
        <f t="shared" si="6"/>
        <v>6.5221852007465097E-4</v>
      </c>
      <c r="V256" s="621"/>
      <c r="W256" s="624"/>
      <c r="X256" s="543"/>
    </row>
    <row r="257" spans="1:25" s="544" customFormat="1" x14ac:dyDescent="0.3">
      <c r="A257" s="555"/>
      <c r="B257" s="598" t="s">
        <v>156</v>
      </c>
      <c r="C257" s="630"/>
      <c r="D257" s="630"/>
      <c r="E257" s="630"/>
      <c r="F257" s="556"/>
      <c r="G257" s="631"/>
      <c r="H257" s="630"/>
      <c r="I257" s="630"/>
      <c r="J257" s="630"/>
      <c r="K257" s="630"/>
      <c r="L257" s="630"/>
      <c r="M257" s="630"/>
      <c r="N257" s="630"/>
      <c r="O257" s="630"/>
      <c r="P257" s="630"/>
      <c r="Q257" s="630"/>
      <c r="R257" s="598">
        <v>0</v>
      </c>
      <c r="S257" s="631">
        <f t="shared" si="5"/>
        <v>0</v>
      </c>
      <c r="T257" s="599">
        <v>0</v>
      </c>
      <c r="U257" s="631">
        <f t="shared" si="6"/>
        <v>0</v>
      </c>
      <c r="V257" s="621"/>
      <c r="W257" s="624"/>
      <c r="X257" s="543"/>
      <c r="Y257" s="604"/>
    </row>
    <row r="258" spans="1:25" s="544" customFormat="1" x14ac:dyDescent="0.3">
      <c r="A258" s="555"/>
      <c r="B258" s="598" t="s">
        <v>157</v>
      </c>
      <c r="C258" s="630"/>
      <c r="D258" s="630"/>
      <c r="E258" s="630"/>
      <c r="F258" s="556"/>
      <c r="G258" s="631"/>
      <c r="H258" s="630"/>
      <c r="I258" s="630"/>
      <c r="J258" s="630"/>
      <c r="K258" s="630"/>
      <c r="L258" s="630"/>
      <c r="M258" s="630"/>
      <c r="N258" s="630"/>
      <c r="O258" s="630"/>
      <c r="P258" s="630"/>
      <c r="Q258" s="630"/>
      <c r="R258" s="598">
        <v>0</v>
      </c>
      <c r="S258" s="631">
        <f t="shared" si="5"/>
        <v>0</v>
      </c>
      <c r="T258" s="599">
        <v>0</v>
      </c>
      <c r="U258" s="631">
        <f t="shared" si="6"/>
        <v>0</v>
      </c>
      <c r="V258" s="621"/>
      <c r="W258" s="624"/>
      <c r="X258" s="543"/>
    </row>
    <row r="259" spans="1:25" s="544" customFormat="1" x14ac:dyDescent="0.3">
      <c r="A259" s="555"/>
      <c r="B259" s="598" t="s">
        <v>158</v>
      </c>
      <c r="C259" s="630"/>
      <c r="D259" s="630"/>
      <c r="E259" s="630"/>
      <c r="F259" s="556"/>
      <c r="G259" s="631"/>
      <c r="H259" s="630"/>
      <c r="I259" s="630"/>
      <c r="J259" s="630"/>
      <c r="K259" s="630"/>
      <c r="L259" s="630"/>
      <c r="M259" s="630"/>
      <c r="N259" s="630"/>
      <c r="O259" s="630"/>
      <c r="P259" s="630"/>
      <c r="Q259" s="630"/>
      <c r="R259" s="598">
        <v>0</v>
      </c>
      <c r="S259" s="631">
        <f t="shared" si="5"/>
        <v>0</v>
      </c>
      <c r="T259" s="599">
        <v>0</v>
      </c>
      <c r="U259" s="631">
        <f t="shared" si="6"/>
        <v>0</v>
      </c>
      <c r="V259" s="621"/>
      <c r="W259" s="624"/>
      <c r="X259" s="543"/>
      <c r="Y259" s="604"/>
    </row>
    <row r="260" spans="1:25" s="544" customFormat="1" x14ac:dyDescent="0.3">
      <c r="A260" s="555"/>
      <c r="B260" s="598" t="s">
        <v>159</v>
      </c>
      <c r="C260" s="630"/>
      <c r="D260" s="630"/>
      <c r="E260" s="630"/>
      <c r="F260" s="556"/>
      <c r="G260" s="631"/>
      <c r="H260" s="630"/>
      <c r="I260" s="630"/>
      <c r="J260" s="630"/>
      <c r="K260" s="630"/>
      <c r="L260" s="630"/>
      <c r="M260" s="630"/>
      <c r="N260" s="630"/>
      <c r="O260" s="630"/>
      <c r="P260" s="630"/>
      <c r="Q260" s="630"/>
      <c r="R260" s="598">
        <v>0</v>
      </c>
      <c r="S260" s="631">
        <f t="shared" si="5"/>
        <v>0</v>
      </c>
      <c r="T260" s="599">
        <v>0</v>
      </c>
      <c r="U260" s="631">
        <f t="shared" si="6"/>
        <v>0</v>
      </c>
      <c r="V260" s="621"/>
      <c r="W260" s="624"/>
      <c r="X260" s="543"/>
    </row>
    <row r="261" spans="1:25" s="544" customFormat="1" x14ac:dyDescent="0.3">
      <c r="A261" s="555"/>
      <c r="B261" s="598" t="s">
        <v>160</v>
      </c>
      <c r="C261" s="630"/>
      <c r="D261" s="630"/>
      <c r="E261" s="630"/>
      <c r="F261" s="556"/>
      <c r="G261" s="631"/>
      <c r="H261" s="630"/>
      <c r="I261" s="630"/>
      <c r="J261" s="630"/>
      <c r="K261" s="630"/>
      <c r="L261" s="630"/>
      <c r="M261" s="630"/>
      <c r="N261" s="630"/>
      <c r="O261" s="630"/>
      <c r="P261" s="630"/>
      <c r="Q261" s="630"/>
      <c r="R261" s="598">
        <v>0</v>
      </c>
      <c r="S261" s="631">
        <f t="shared" si="5"/>
        <v>0</v>
      </c>
      <c r="T261" s="599">
        <v>0</v>
      </c>
      <c r="U261" s="631">
        <f t="shared" si="6"/>
        <v>0</v>
      </c>
      <c r="V261" s="621"/>
      <c r="W261" s="624"/>
      <c r="X261" s="543"/>
      <c r="Y261" s="604"/>
    </row>
    <row r="262" spans="1:25" s="544" customFormat="1" x14ac:dyDescent="0.3">
      <c r="A262" s="555"/>
      <c r="B262" s="598"/>
      <c r="C262" s="630"/>
      <c r="D262" s="630"/>
      <c r="E262" s="630"/>
      <c r="F262" s="556"/>
      <c r="G262" s="631"/>
      <c r="H262" s="630"/>
      <c r="I262" s="630"/>
      <c r="J262" s="630"/>
      <c r="K262" s="630"/>
      <c r="L262" s="630"/>
      <c r="M262" s="630"/>
      <c r="N262" s="630"/>
      <c r="O262" s="630"/>
      <c r="P262" s="630"/>
      <c r="Q262" s="630"/>
      <c r="R262" s="598"/>
      <c r="S262" s="631"/>
      <c r="T262" s="599"/>
      <c r="U262" s="631"/>
      <c r="V262" s="621"/>
      <c r="W262" s="624"/>
      <c r="X262" s="543"/>
    </row>
    <row r="263" spans="1:25" s="544" customFormat="1" x14ac:dyDescent="0.3">
      <c r="A263" s="555"/>
      <c r="B263" s="556"/>
      <c r="C263" s="556"/>
      <c r="D263" s="556"/>
      <c r="E263" s="556"/>
      <c r="F263" s="556"/>
      <c r="G263" s="556"/>
      <c r="H263" s="632"/>
      <c r="I263" s="632"/>
      <c r="J263" s="632"/>
      <c r="K263" s="632"/>
      <c r="L263" s="632"/>
      <c r="M263" s="632"/>
      <c r="N263" s="632"/>
      <c r="O263" s="632"/>
      <c r="P263" s="632"/>
      <c r="Q263" s="632"/>
      <c r="R263" s="598">
        <f>SUM(R254:R262)</f>
        <v>5975</v>
      </c>
      <c r="S263" s="631">
        <f>SUM(S254:S262)</f>
        <v>1</v>
      </c>
      <c r="T263" s="599">
        <f>SUM(T254:T262)</f>
        <v>818744</v>
      </c>
      <c r="U263" s="631">
        <f>SUM(U254:U262)</f>
        <v>1</v>
      </c>
      <c r="V263" s="556"/>
      <c r="W263" s="558"/>
      <c r="X263" s="543"/>
    </row>
    <row r="264" spans="1:25" x14ac:dyDescent="0.3">
      <c r="A264" s="417"/>
      <c r="B264" s="441"/>
      <c r="C264" s="441"/>
      <c r="D264" s="441"/>
      <c r="E264" s="441"/>
      <c r="F264" s="441"/>
      <c r="G264" s="441"/>
      <c r="H264" s="485"/>
      <c r="I264" s="485"/>
      <c r="J264" s="485"/>
      <c r="K264" s="485"/>
      <c r="L264" s="485"/>
      <c r="M264" s="485"/>
      <c r="N264" s="485"/>
      <c r="O264" s="485"/>
      <c r="P264" s="485"/>
      <c r="Q264" s="485"/>
      <c r="R264" s="442"/>
      <c r="S264" s="486"/>
      <c r="T264" s="487"/>
      <c r="U264" s="486"/>
      <c r="V264" s="441"/>
      <c r="W264" s="441"/>
      <c r="X264" s="415"/>
    </row>
    <row r="265" spans="1:25" x14ac:dyDescent="0.3">
      <c r="A265" s="515"/>
      <c r="B265" s="523" t="s">
        <v>275</v>
      </c>
      <c r="C265" s="524"/>
      <c r="D265" s="524"/>
      <c r="E265" s="524"/>
      <c r="F265" s="534"/>
      <c r="G265" s="524"/>
      <c r="H265" s="524"/>
      <c r="I265" s="524"/>
      <c r="J265" s="524"/>
      <c r="K265" s="524"/>
      <c r="L265" s="524"/>
      <c r="M265" s="524"/>
      <c r="N265" s="524"/>
      <c r="O265" s="524"/>
      <c r="P265" s="524"/>
      <c r="Q265" s="524"/>
      <c r="R265" s="534" t="s">
        <v>102</v>
      </c>
      <c r="S265" s="524" t="s">
        <v>103</v>
      </c>
      <c r="T265" s="534" t="s">
        <v>109</v>
      </c>
      <c r="U265" s="524" t="s">
        <v>103</v>
      </c>
      <c r="V265" s="517"/>
      <c r="W265" s="520"/>
      <c r="X265" s="415"/>
    </row>
    <row r="266" spans="1:25" s="544" customFormat="1" x14ac:dyDescent="0.3">
      <c r="A266" s="540"/>
      <c r="B266" s="600" t="s">
        <v>88</v>
      </c>
      <c r="C266" s="627"/>
      <c r="D266" s="627"/>
      <c r="E266" s="627"/>
      <c r="F266" s="588"/>
      <c r="G266" s="627"/>
      <c r="H266" s="627"/>
      <c r="I266" s="627"/>
      <c r="J266" s="627"/>
      <c r="K266" s="627"/>
      <c r="L266" s="627"/>
      <c r="M266" s="627"/>
      <c r="N266" s="627"/>
      <c r="O266" s="627"/>
      <c r="P266" s="627"/>
      <c r="Q266" s="627"/>
      <c r="R266" s="600">
        <v>103</v>
      </c>
      <c r="S266" s="628">
        <f t="shared" ref="S266:S273" si="7">R266/$R$275</f>
        <v>0.88034188034188032</v>
      </c>
      <c r="T266" s="601">
        <v>15069</v>
      </c>
      <c r="U266" s="628">
        <f t="shared" ref="U266:U273" si="8">T266/$T$275</f>
        <v>0.89605756080156984</v>
      </c>
      <c r="V266" s="588"/>
      <c r="W266" s="588"/>
      <c r="X266" s="543"/>
    </row>
    <row r="267" spans="1:25" s="544" customFormat="1" x14ac:dyDescent="0.3">
      <c r="A267" s="555"/>
      <c r="B267" s="598" t="s">
        <v>89</v>
      </c>
      <c r="C267" s="630"/>
      <c r="D267" s="630"/>
      <c r="E267" s="630"/>
      <c r="F267" s="556"/>
      <c r="G267" s="631"/>
      <c r="H267" s="630"/>
      <c r="I267" s="630"/>
      <c r="J267" s="630"/>
      <c r="K267" s="630"/>
      <c r="L267" s="630"/>
      <c r="M267" s="630"/>
      <c r="N267" s="630"/>
      <c r="O267" s="630"/>
      <c r="P267" s="630"/>
      <c r="Q267" s="630"/>
      <c r="R267" s="598">
        <v>0</v>
      </c>
      <c r="S267" s="631">
        <f t="shared" si="7"/>
        <v>0</v>
      </c>
      <c r="T267" s="599">
        <v>0</v>
      </c>
      <c r="U267" s="631">
        <f t="shared" si="8"/>
        <v>0</v>
      </c>
      <c r="V267" s="556"/>
      <c r="W267" s="558"/>
      <c r="X267" s="543"/>
    </row>
    <row r="268" spans="1:25" s="544" customFormat="1" x14ac:dyDescent="0.3">
      <c r="A268" s="555"/>
      <c r="B268" s="598" t="s">
        <v>90</v>
      </c>
      <c r="C268" s="630"/>
      <c r="D268" s="630"/>
      <c r="E268" s="630"/>
      <c r="F268" s="556"/>
      <c r="G268" s="631"/>
      <c r="H268" s="630"/>
      <c r="I268" s="630"/>
      <c r="J268" s="630"/>
      <c r="K268" s="630"/>
      <c r="L268" s="630"/>
      <c r="M268" s="630"/>
      <c r="N268" s="630"/>
      <c r="O268" s="630"/>
      <c r="P268" s="630"/>
      <c r="Q268" s="630"/>
      <c r="R268" s="598">
        <v>1</v>
      </c>
      <c r="S268" s="631">
        <f t="shared" si="7"/>
        <v>8.5470085470085479E-3</v>
      </c>
      <c r="T268" s="599">
        <v>105</v>
      </c>
      <c r="U268" s="631">
        <f t="shared" si="8"/>
        <v>6.2436819884640546E-3</v>
      </c>
      <c r="V268" s="556"/>
      <c r="W268" s="558"/>
      <c r="X268" s="543"/>
    </row>
    <row r="269" spans="1:25" s="544" customFormat="1" x14ac:dyDescent="0.3">
      <c r="A269" s="555"/>
      <c r="B269" s="598" t="s">
        <v>156</v>
      </c>
      <c r="C269" s="630"/>
      <c r="D269" s="630"/>
      <c r="E269" s="630"/>
      <c r="F269" s="556"/>
      <c r="G269" s="631"/>
      <c r="H269" s="630"/>
      <c r="I269" s="630"/>
      <c r="J269" s="630"/>
      <c r="K269" s="630"/>
      <c r="L269" s="630"/>
      <c r="M269" s="630"/>
      <c r="N269" s="630"/>
      <c r="O269" s="630"/>
      <c r="P269" s="630"/>
      <c r="Q269" s="630"/>
      <c r="R269" s="598">
        <v>5</v>
      </c>
      <c r="S269" s="631">
        <f t="shared" si="7"/>
        <v>4.2735042735042736E-2</v>
      </c>
      <c r="T269" s="599">
        <v>710</v>
      </c>
      <c r="U269" s="631">
        <f t="shared" si="8"/>
        <v>4.2219182969614084E-2</v>
      </c>
      <c r="V269" s="556"/>
      <c r="W269" s="558"/>
      <c r="X269" s="543"/>
    </row>
    <row r="270" spans="1:25" s="544" customFormat="1" x14ac:dyDescent="0.3">
      <c r="A270" s="555"/>
      <c r="B270" s="598" t="s">
        <v>157</v>
      </c>
      <c r="C270" s="630"/>
      <c r="D270" s="630"/>
      <c r="E270" s="630"/>
      <c r="F270" s="556"/>
      <c r="G270" s="631"/>
      <c r="H270" s="630"/>
      <c r="I270" s="630"/>
      <c r="J270" s="630"/>
      <c r="K270" s="630"/>
      <c r="L270" s="630"/>
      <c r="M270" s="630"/>
      <c r="N270" s="630"/>
      <c r="O270" s="630"/>
      <c r="P270" s="630"/>
      <c r="Q270" s="630"/>
      <c r="R270" s="598">
        <v>3</v>
      </c>
      <c r="S270" s="631">
        <f t="shared" si="7"/>
        <v>2.564102564102564E-2</v>
      </c>
      <c r="T270" s="599">
        <v>256</v>
      </c>
      <c r="U270" s="631">
        <f t="shared" si="8"/>
        <v>1.5222691324255218E-2</v>
      </c>
      <c r="V270" s="556"/>
      <c r="W270" s="558"/>
      <c r="X270" s="543"/>
    </row>
    <row r="271" spans="1:25" s="544" customFormat="1" x14ac:dyDescent="0.3">
      <c r="A271" s="555"/>
      <c r="B271" s="598" t="s">
        <v>158</v>
      </c>
      <c r="C271" s="630"/>
      <c r="D271" s="630"/>
      <c r="E271" s="630"/>
      <c r="F271" s="556"/>
      <c r="G271" s="631"/>
      <c r="H271" s="630"/>
      <c r="I271" s="630"/>
      <c r="J271" s="630"/>
      <c r="K271" s="630"/>
      <c r="L271" s="630"/>
      <c r="M271" s="630"/>
      <c r="N271" s="630"/>
      <c r="O271" s="630"/>
      <c r="P271" s="630"/>
      <c r="Q271" s="630"/>
      <c r="R271" s="598">
        <v>0</v>
      </c>
      <c r="S271" s="631">
        <f t="shared" si="7"/>
        <v>0</v>
      </c>
      <c r="T271" s="599">
        <v>0</v>
      </c>
      <c r="U271" s="631">
        <f t="shared" si="8"/>
        <v>0</v>
      </c>
      <c r="V271" s="556"/>
      <c r="W271" s="558"/>
      <c r="X271" s="543"/>
    </row>
    <row r="272" spans="1:25" s="544" customFormat="1" x14ac:dyDescent="0.3">
      <c r="A272" s="555"/>
      <c r="B272" s="598" t="s">
        <v>159</v>
      </c>
      <c r="C272" s="630"/>
      <c r="D272" s="630"/>
      <c r="E272" s="630"/>
      <c r="F272" s="556"/>
      <c r="G272" s="631"/>
      <c r="H272" s="630"/>
      <c r="I272" s="630"/>
      <c r="J272" s="630"/>
      <c r="K272" s="630"/>
      <c r="L272" s="630"/>
      <c r="M272" s="630"/>
      <c r="N272" s="630"/>
      <c r="O272" s="630"/>
      <c r="P272" s="630"/>
      <c r="Q272" s="630"/>
      <c r="R272" s="598">
        <v>3</v>
      </c>
      <c r="S272" s="631">
        <f t="shared" si="7"/>
        <v>2.564102564102564E-2</v>
      </c>
      <c r="T272" s="599">
        <v>314</v>
      </c>
      <c r="U272" s="631">
        <f t="shared" si="8"/>
        <v>1.8671582327406792E-2</v>
      </c>
      <c r="V272" s="556"/>
      <c r="W272" s="558"/>
      <c r="X272" s="543"/>
    </row>
    <row r="273" spans="1:24" s="544" customFormat="1" x14ac:dyDescent="0.3">
      <c r="A273" s="555"/>
      <c r="B273" s="598" t="s">
        <v>160</v>
      </c>
      <c r="C273" s="630"/>
      <c r="D273" s="630"/>
      <c r="E273" s="630"/>
      <c r="F273" s="556"/>
      <c r="G273" s="631"/>
      <c r="H273" s="630"/>
      <c r="I273" s="630"/>
      <c r="J273" s="630"/>
      <c r="K273" s="630"/>
      <c r="L273" s="630"/>
      <c r="M273" s="630"/>
      <c r="N273" s="630"/>
      <c r="O273" s="630"/>
      <c r="P273" s="630"/>
      <c r="Q273" s="630"/>
      <c r="R273" s="598">
        <v>2</v>
      </c>
      <c r="S273" s="631">
        <f t="shared" si="7"/>
        <v>1.7094017094017096E-2</v>
      </c>
      <c r="T273" s="599">
        <v>363</v>
      </c>
      <c r="U273" s="631">
        <f t="shared" si="8"/>
        <v>2.1585300588690015E-2</v>
      </c>
      <c r="V273" s="556"/>
      <c r="W273" s="558"/>
      <c r="X273" s="543"/>
    </row>
    <row r="274" spans="1:24" s="544" customFormat="1" x14ac:dyDescent="0.3">
      <c r="A274" s="555"/>
      <c r="B274" s="598"/>
      <c r="C274" s="630"/>
      <c r="D274" s="630"/>
      <c r="E274" s="630"/>
      <c r="F274" s="556"/>
      <c r="G274" s="631"/>
      <c r="H274" s="630"/>
      <c r="I274" s="630"/>
      <c r="J274" s="630"/>
      <c r="K274" s="630"/>
      <c r="L274" s="630"/>
      <c r="M274" s="630"/>
      <c r="N274" s="630"/>
      <c r="O274" s="630"/>
      <c r="P274" s="630"/>
      <c r="Q274" s="630"/>
      <c r="R274" s="598"/>
      <c r="S274" s="631"/>
      <c r="T274" s="599"/>
      <c r="U274" s="631"/>
      <c r="V274" s="556"/>
      <c r="W274" s="558"/>
      <c r="X274" s="543"/>
    </row>
    <row r="275" spans="1:24" s="544" customFormat="1" x14ac:dyDescent="0.3">
      <c r="A275" s="555"/>
      <c r="B275" s="556"/>
      <c r="C275" s="556"/>
      <c r="D275" s="556"/>
      <c r="E275" s="556"/>
      <c r="F275" s="556"/>
      <c r="G275" s="556"/>
      <c r="H275" s="632"/>
      <c r="I275" s="632"/>
      <c r="J275" s="632"/>
      <c r="K275" s="632"/>
      <c r="L275" s="632"/>
      <c r="M275" s="632"/>
      <c r="N275" s="632"/>
      <c r="O275" s="632"/>
      <c r="P275" s="632"/>
      <c r="Q275" s="632"/>
      <c r="R275" s="598">
        <f>SUM(R266:R274)</f>
        <v>117</v>
      </c>
      <c r="S275" s="631">
        <f>SUM(S266:S274)</f>
        <v>1</v>
      </c>
      <c r="T275" s="599">
        <f>SUM(T266:T274)</f>
        <v>16817</v>
      </c>
      <c r="U275" s="631">
        <f>SUM(U266:U274)</f>
        <v>1</v>
      </c>
      <c r="V275" s="556"/>
      <c r="W275" s="558"/>
      <c r="X275" s="543"/>
    </row>
    <row r="276" spans="1:24" x14ac:dyDescent="0.3">
      <c r="A276" s="417"/>
      <c r="B276" s="437"/>
      <c r="C276" s="437"/>
      <c r="D276" s="437"/>
      <c r="E276" s="437"/>
      <c r="F276" s="437"/>
      <c r="G276" s="437"/>
      <c r="H276" s="488"/>
      <c r="I276" s="488"/>
      <c r="J276" s="488"/>
      <c r="K276" s="488"/>
      <c r="L276" s="488"/>
      <c r="M276" s="488"/>
      <c r="N276" s="488"/>
      <c r="O276" s="488"/>
      <c r="P276" s="488"/>
      <c r="Q276" s="488"/>
      <c r="R276" s="447"/>
      <c r="S276" s="483"/>
      <c r="T276" s="484"/>
      <c r="U276" s="483"/>
      <c r="V276" s="437"/>
      <c r="W276" s="437"/>
      <c r="X276" s="415"/>
    </row>
    <row r="277" spans="1:24" x14ac:dyDescent="0.3">
      <c r="A277" s="515"/>
      <c r="B277" s="523" t="s">
        <v>163</v>
      </c>
      <c r="C277" s="517"/>
      <c r="D277" s="517"/>
      <c r="E277" s="517"/>
      <c r="F277" s="517"/>
      <c r="G277" s="517"/>
      <c r="H277" s="536"/>
      <c r="I277" s="536"/>
      <c r="J277" s="536"/>
      <c r="K277" s="536"/>
      <c r="L277" s="536"/>
      <c r="M277" s="536"/>
      <c r="N277" s="536"/>
      <c r="O277" s="536"/>
      <c r="P277" s="536"/>
      <c r="Q277" s="536"/>
      <c r="R277" s="534" t="s">
        <v>102</v>
      </c>
      <c r="S277" s="524" t="s">
        <v>103</v>
      </c>
      <c r="T277" s="534" t="s">
        <v>109</v>
      </c>
      <c r="U277" s="524" t="s">
        <v>103</v>
      </c>
      <c r="V277" s="517"/>
      <c r="W277" s="520"/>
      <c r="X277" s="415"/>
    </row>
    <row r="278" spans="1:24" s="544" customFormat="1" x14ac:dyDescent="0.3">
      <c r="A278" s="540"/>
      <c r="B278" s="600" t="s">
        <v>88</v>
      </c>
      <c r="C278" s="588"/>
      <c r="D278" s="588"/>
      <c r="E278" s="588"/>
      <c r="F278" s="588"/>
      <c r="G278" s="588"/>
      <c r="H278" s="633"/>
      <c r="I278" s="633"/>
      <c r="J278" s="633"/>
      <c r="K278" s="633"/>
      <c r="L278" s="633"/>
      <c r="M278" s="633"/>
      <c r="N278" s="633"/>
      <c r="O278" s="633"/>
      <c r="P278" s="633"/>
      <c r="Q278" s="633"/>
      <c r="R278" s="600">
        <v>0</v>
      </c>
      <c r="S278" s="628">
        <v>0</v>
      </c>
      <c r="T278" s="601">
        <v>0</v>
      </c>
      <c r="U278" s="628">
        <v>0</v>
      </c>
      <c r="V278" s="588"/>
      <c r="W278" s="588"/>
      <c r="X278" s="543"/>
    </row>
    <row r="279" spans="1:24" s="544" customFormat="1" x14ac:dyDescent="0.3">
      <c r="A279" s="555"/>
      <c r="B279" s="598" t="s">
        <v>89</v>
      </c>
      <c r="C279" s="556"/>
      <c r="D279" s="556"/>
      <c r="E279" s="556"/>
      <c r="F279" s="556"/>
      <c r="G279" s="556"/>
      <c r="H279" s="632"/>
      <c r="I279" s="632"/>
      <c r="J279" s="632"/>
      <c r="K279" s="632"/>
      <c r="L279" s="632"/>
      <c r="M279" s="632"/>
      <c r="N279" s="632"/>
      <c r="O279" s="632"/>
      <c r="P279" s="632"/>
      <c r="Q279" s="632"/>
      <c r="R279" s="598">
        <v>0</v>
      </c>
      <c r="S279" s="631">
        <v>0</v>
      </c>
      <c r="T279" s="599">
        <v>0</v>
      </c>
      <c r="U279" s="631">
        <v>0</v>
      </c>
      <c r="V279" s="556"/>
      <c r="W279" s="558"/>
      <c r="X279" s="543"/>
    </row>
    <row r="280" spans="1:24" s="544" customFormat="1" x14ac:dyDescent="0.3">
      <c r="A280" s="555"/>
      <c r="B280" s="598" t="s">
        <v>90</v>
      </c>
      <c r="C280" s="556"/>
      <c r="D280" s="556"/>
      <c r="E280" s="556"/>
      <c r="F280" s="556"/>
      <c r="G280" s="556"/>
      <c r="H280" s="632"/>
      <c r="I280" s="632"/>
      <c r="J280" s="632"/>
      <c r="K280" s="632"/>
      <c r="L280" s="632"/>
      <c r="M280" s="632"/>
      <c r="N280" s="632"/>
      <c r="O280" s="632"/>
      <c r="P280" s="632"/>
      <c r="Q280" s="632"/>
      <c r="R280" s="598">
        <v>0</v>
      </c>
      <c r="S280" s="631">
        <v>0</v>
      </c>
      <c r="T280" s="599">
        <v>0</v>
      </c>
      <c r="U280" s="631">
        <v>0</v>
      </c>
      <c r="V280" s="556"/>
      <c r="W280" s="558"/>
      <c r="X280" s="543"/>
    </row>
    <row r="281" spans="1:24" s="544" customFormat="1" x14ac:dyDescent="0.3">
      <c r="A281" s="555"/>
      <c r="B281" s="598" t="s">
        <v>156</v>
      </c>
      <c r="C281" s="556"/>
      <c r="D281" s="556"/>
      <c r="E281" s="556"/>
      <c r="F281" s="556"/>
      <c r="G281" s="556"/>
      <c r="H281" s="632"/>
      <c r="I281" s="632"/>
      <c r="J281" s="632"/>
      <c r="K281" s="632"/>
      <c r="L281" s="632"/>
      <c r="M281" s="632"/>
      <c r="N281" s="632"/>
      <c r="O281" s="632"/>
      <c r="P281" s="632"/>
      <c r="Q281" s="632"/>
      <c r="R281" s="598">
        <v>0</v>
      </c>
      <c r="S281" s="631">
        <v>0</v>
      </c>
      <c r="T281" s="599">
        <v>0</v>
      </c>
      <c r="U281" s="631">
        <v>0</v>
      </c>
      <c r="V281" s="556"/>
      <c r="W281" s="558"/>
      <c r="X281" s="543"/>
    </row>
    <row r="282" spans="1:24" s="544" customFormat="1" x14ac:dyDescent="0.3">
      <c r="A282" s="555"/>
      <c r="B282" s="598" t="s">
        <v>157</v>
      </c>
      <c r="C282" s="556"/>
      <c r="D282" s="556"/>
      <c r="E282" s="556"/>
      <c r="F282" s="556"/>
      <c r="G282" s="556"/>
      <c r="H282" s="632"/>
      <c r="I282" s="632"/>
      <c r="J282" s="632"/>
      <c r="K282" s="632"/>
      <c r="L282" s="632"/>
      <c r="M282" s="632"/>
      <c r="N282" s="632"/>
      <c r="O282" s="632"/>
      <c r="P282" s="632"/>
      <c r="Q282" s="632"/>
      <c r="R282" s="598">
        <v>0</v>
      </c>
      <c r="S282" s="631">
        <v>0</v>
      </c>
      <c r="T282" s="599">
        <v>0</v>
      </c>
      <c r="U282" s="631">
        <v>0</v>
      </c>
      <c r="V282" s="556"/>
      <c r="W282" s="558"/>
      <c r="X282" s="543"/>
    </row>
    <row r="283" spans="1:24" s="544" customFormat="1" x14ac:dyDescent="0.3">
      <c r="A283" s="555"/>
      <c r="B283" s="598" t="s">
        <v>158</v>
      </c>
      <c r="C283" s="556"/>
      <c r="D283" s="556"/>
      <c r="E283" s="556"/>
      <c r="F283" s="556"/>
      <c r="G283" s="556"/>
      <c r="H283" s="632"/>
      <c r="I283" s="632"/>
      <c r="J283" s="632"/>
      <c r="K283" s="632"/>
      <c r="L283" s="632"/>
      <c r="M283" s="632"/>
      <c r="N283" s="632"/>
      <c r="O283" s="632"/>
      <c r="P283" s="632"/>
      <c r="Q283" s="632"/>
      <c r="R283" s="598">
        <v>0</v>
      </c>
      <c r="S283" s="631">
        <v>0</v>
      </c>
      <c r="T283" s="599">
        <v>0</v>
      </c>
      <c r="U283" s="631">
        <v>0</v>
      </c>
      <c r="V283" s="556"/>
      <c r="W283" s="558"/>
      <c r="X283" s="543"/>
    </row>
    <row r="284" spans="1:24" s="544" customFormat="1" x14ac:dyDescent="0.3">
      <c r="A284" s="555"/>
      <c r="B284" s="598" t="s">
        <v>159</v>
      </c>
      <c r="C284" s="556"/>
      <c r="D284" s="556"/>
      <c r="E284" s="556"/>
      <c r="F284" s="556"/>
      <c r="G284" s="556"/>
      <c r="H284" s="632"/>
      <c r="I284" s="632"/>
      <c r="J284" s="632"/>
      <c r="K284" s="632"/>
      <c r="L284" s="632"/>
      <c r="M284" s="632"/>
      <c r="N284" s="632"/>
      <c r="O284" s="632"/>
      <c r="P284" s="632"/>
      <c r="Q284" s="632"/>
      <c r="R284" s="598">
        <v>0</v>
      </c>
      <c r="S284" s="631">
        <v>0</v>
      </c>
      <c r="T284" s="599">
        <v>0</v>
      </c>
      <c r="U284" s="631">
        <v>0</v>
      </c>
      <c r="V284" s="556"/>
      <c r="W284" s="558"/>
      <c r="X284" s="543"/>
    </row>
    <row r="285" spans="1:24" s="544" customFormat="1" x14ac:dyDescent="0.3">
      <c r="A285" s="555"/>
      <c r="B285" s="598" t="s">
        <v>160</v>
      </c>
      <c r="C285" s="556"/>
      <c r="D285" s="556"/>
      <c r="E285" s="556"/>
      <c r="F285" s="556"/>
      <c r="G285" s="556"/>
      <c r="H285" s="632"/>
      <c r="I285" s="632"/>
      <c r="J285" s="632"/>
      <c r="K285" s="632"/>
      <c r="L285" s="632"/>
      <c r="M285" s="632"/>
      <c r="N285" s="632"/>
      <c r="O285" s="632"/>
      <c r="P285" s="632"/>
      <c r="Q285" s="632"/>
      <c r="R285" s="598">
        <v>0</v>
      </c>
      <c r="S285" s="631">
        <v>0</v>
      </c>
      <c r="T285" s="599">
        <v>0</v>
      </c>
      <c r="U285" s="631">
        <v>0</v>
      </c>
      <c r="V285" s="556"/>
      <c r="W285" s="558"/>
      <c r="X285" s="543"/>
    </row>
    <row r="286" spans="1:24" s="544" customFormat="1" x14ac:dyDescent="0.3">
      <c r="A286" s="555"/>
      <c r="B286" s="598"/>
      <c r="C286" s="556"/>
      <c r="D286" s="556"/>
      <c r="E286" s="556"/>
      <c r="F286" s="556"/>
      <c r="G286" s="556"/>
      <c r="H286" s="632"/>
      <c r="I286" s="632"/>
      <c r="J286" s="632"/>
      <c r="K286" s="632"/>
      <c r="L286" s="632"/>
      <c r="M286" s="632"/>
      <c r="N286" s="632"/>
      <c r="O286" s="632"/>
      <c r="P286" s="632"/>
      <c r="Q286" s="632"/>
      <c r="R286" s="598"/>
      <c r="S286" s="631"/>
      <c r="T286" s="599"/>
      <c r="U286" s="631"/>
      <c r="V286" s="556"/>
      <c r="W286" s="558"/>
      <c r="X286" s="543"/>
    </row>
    <row r="287" spans="1:24" s="544" customFormat="1" x14ac:dyDescent="0.3">
      <c r="A287" s="555"/>
      <c r="B287" s="556" t="s">
        <v>114</v>
      </c>
      <c r="C287" s="556"/>
      <c r="D287" s="556"/>
      <c r="E287" s="556"/>
      <c r="F287" s="556"/>
      <c r="G287" s="556"/>
      <c r="H287" s="632"/>
      <c r="I287" s="632"/>
      <c r="J287" s="632"/>
      <c r="K287" s="632"/>
      <c r="L287" s="632"/>
      <c r="M287" s="632"/>
      <c r="N287" s="632"/>
      <c r="O287" s="632"/>
      <c r="P287" s="632"/>
      <c r="Q287" s="632"/>
      <c r="R287" s="598">
        <f>SUM(R278:R285)</f>
        <v>0</v>
      </c>
      <c r="S287" s="631">
        <f>SUM(S278:S286)</f>
        <v>0</v>
      </c>
      <c r="T287" s="599">
        <f>SUM(T278:T285)</f>
        <v>0</v>
      </c>
      <c r="U287" s="631">
        <f>SUM(U278:U286)</f>
        <v>0</v>
      </c>
      <c r="V287" s="556"/>
      <c r="W287" s="558"/>
      <c r="X287" s="543"/>
    </row>
    <row r="288" spans="1:24" s="544" customFormat="1" x14ac:dyDescent="0.3">
      <c r="A288" s="555"/>
      <c r="B288" s="556"/>
      <c r="C288" s="556"/>
      <c r="D288" s="556"/>
      <c r="E288" s="556"/>
      <c r="F288" s="556"/>
      <c r="G288" s="556"/>
      <c r="H288" s="632"/>
      <c r="I288" s="632"/>
      <c r="J288" s="632"/>
      <c r="K288" s="632"/>
      <c r="L288" s="632"/>
      <c r="M288" s="632"/>
      <c r="N288" s="632"/>
      <c r="O288" s="632"/>
      <c r="P288" s="632"/>
      <c r="Q288" s="632"/>
      <c r="R288" s="598"/>
      <c r="S288" s="631"/>
      <c r="T288" s="599"/>
      <c r="U288" s="631"/>
      <c r="V288" s="556"/>
      <c r="W288" s="558"/>
      <c r="X288" s="543"/>
    </row>
    <row r="289" spans="1:24" s="544" customFormat="1" x14ac:dyDescent="0.3">
      <c r="A289" s="555"/>
      <c r="B289" s="561" t="s">
        <v>164</v>
      </c>
      <c r="C289" s="556"/>
      <c r="D289" s="556"/>
      <c r="E289" s="556"/>
      <c r="F289" s="556"/>
      <c r="G289" s="556"/>
      <c r="H289" s="632"/>
      <c r="I289" s="632"/>
      <c r="J289" s="632"/>
      <c r="K289" s="632"/>
      <c r="L289" s="632"/>
      <c r="M289" s="632"/>
      <c r="N289" s="632"/>
      <c r="O289" s="632"/>
      <c r="P289" s="632"/>
      <c r="Q289" s="632"/>
      <c r="R289" s="634">
        <f>R287+R275+R263</f>
        <v>6092</v>
      </c>
      <c r="S289" s="631"/>
      <c r="T289" s="635">
        <f>+T287+T275+T263</f>
        <v>835561</v>
      </c>
      <c r="U289" s="631"/>
      <c r="V289" s="556"/>
      <c r="W289" s="558"/>
      <c r="X289" s="543"/>
    </row>
    <row r="290" spans="1:24" s="544" customFormat="1" x14ac:dyDescent="0.3">
      <c r="A290" s="540"/>
      <c r="B290" s="588"/>
      <c r="C290" s="588"/>
      <c r="D290" s="588"/>
      <c r="E290" s="588"/>
      <c r="F290" s="588"/>
      <c r="G290" s="588"/>
      <c r="H290" s="633"/>
      <c r="I290" s="633"/>
      <c r="J290" s="633"/>
      <c r="K290" s="633"/>
      <c r="L290" s="633"/>
      <c r="M290" s="633"/>
      <c r="N290" s="633"/>
      <c r="O290" s="633"/>
      <c r="P290" s="633"/>
      <c r="Q290" s="633"/>
      <c r="R290" s="633"/>
      <c r="S290" s="633"/>
      <c r="T290" s="601"/>
      <c r="U290" s="633"/>
      <c r="V290" s="588"/>
      <c r="W290" s="588"/>
      <c r="X290" s="543"/>
    </row>
    <row r="291" spans="1:24" s="544" customFormat="1" x14ac:dyDescent="0.3">
      <c r="A291" s="540"/>
      <c r="B291" s="541"/>
      <c r="C291" s="541"/>
      <c r="D291" s="541"/>
      <c r="E291" s="541"/>
      <c r="F291" s="541"/>
      <c r="G291" s="541"/>
      <c r="H291" s="636"/>
      <c r="I291" s="636"/>
      <c r="J291" s="636"/>
      <c r="K291" s="636"/>
      <c r="L291" s="636"/>
      <c r="M291" s="636"/>
      <c r="N291" s="636"/>
      <c r="O291" s="636"/>
      <c r="P291" s="636"/>
      <c r="Q291" s="636"/>
      <c r="R291" s="636"/>
      <c r="S291" s="636"/>
      <c r="T291" s="637"/>
      <c r="U291" s="636"/>
      <c r="V291" s="541"/>
      <c r="W291" s="541"/>
      <c r="X291" s="543"/>
    </row>
    <row r="292" spans="1:24" s="544" customFormat="1" x14ac:dyDescent="0.3">
      <c r="A292" s="540"/>
      <c r="B292" s="539" t="s">
        <v>91</v>
      </c>
      <c r="C292" s="541"/>
      <c r="D292" s="541"/>
      <c r="E292" s="541"/>
      <c r="F292" s="547" t="s">
        <v>97</v>
      </c>
      <c r="G292" s="541"/>
      <c r="H292" s="539" t="s">
        <v>99</v>
      </c>
      <c r="I292" s="539"/>
      <c r="J292" s="539"/>
      <c r="K292" s="541"/>
      <c r="L292" s="541"/>
      <c r="M292" s="541"/>
      <c r="N292" s="541"/>
      <c r="O292" s="541"/>
      <c r="P292" s="541"/>
      <c r="Q292" s="541"/>
      <c r="R292" s="541"/>
      <c r="S292" s="541"/>
      <c r="T292" s="541"/>
      <c r="U292" s="541"/>
      <c r="V292" s="541"/>
      <c r="W292" s="541"/>
      <c r="X292" s="543"/>
    </row>
    <row r="293" spans="1:24" s="544" customFormat="1" x14ac:dyDescent="0.3">
      <c r="A293" s="540"/>
      <c r="B293" s="539" t="s">
        <v>339</v>
      </c>
      <c r="C293" s="539"/>
      <c r="D293" s="539"/>
      <c r="E293" s="539"/>
      <c r="F293" s="638" t="s">
        <v>278</v>
      </c>
      <c r="G293" s="539"/>
      <c r="H293" s="639" t="s">
        <v>372</v>
      </c>
      <c r="I293" s="541"/>
      <c r="J293" s="539"/>
      <c r="K293" s="541"/>
      <c r="L293" s="541"/>
      <c r="M293" s="541"/>
      <c r="N293" s="541"/>
      <c r="O293" s="541"/>
      <c r="P293" s="541"/>
      <c r="Q293" s="541"/>
      <c r="R293" s="541"/>
      <c r="S293" s="541"/>
      <c r="T293" s="541"/>
      <c r="U293" s="541"/>
      <c r="V293" s="541"/>
      <c r="W293" s="541"/>
      <c r="X293" s="543"/>
    </row>
    <row r="294" spans="1:24" s="544" customFormat="1" x14ac:dyDescent="0.3">
      <c r="A294" s="540"/>
      <c r="B294" s="539" t="s">
        <v>340</v>
      </c>
      <c r="C294" s="539"/>
      <c r="D294" s="539"/>
      <c r="E294" s="539"/>
      <c r="F294" s="638" t="s">
        <v>147</v>
      </c>
      <c r="G294" s="539"/>
      <c r="H294" s="639" t="s">
        <v>373</v>
      </c>
      <c r="I294" s="539"/>
      <c r="J294" s="539"/>
      <c r="K294" s="541"/>
      <c r="L294" s="541"/>
      <c r="M294" s="541"/>
      <c r="N294" s="541"/>
      <c r="O294" s="541"/>
      <c r="P294" s="541"/>
      <c r="Q294" s="541"/>
      <c r="R294" s="541"/>
      <c r="S294" s="541"/>
      <c r="T294" s="541"/>
      <c r="U294" s="541"/>
      <c r="V294" s="541"/>
      <c r="W294" s="541"/>
      <c r="X294" s="543"/>
    </row>
    <row r="295" spans="1:24" s="544" customFormat="1" x14ac:dyDescent="0.3">
      <c r="A295" s="540"/>
      <c r="B295" s="539"/>
      <c r="C295" s="539"/>
      <c r="D295" s="539"/>
      <c r="E295" s="539"/>
      <c r="F295" s="638"/>
      <c r="G295" s="539"/>
      <c r="H295" s="539"/>
      <c r="I295" s="539"/>
      <c r="J295" s="539"/>
      <c r="K295" s="541"/>
      <c r="L295" s="541"/>
      <c r="M295" s="541"/>
      <c r="N295" s="541"/>
      <c r="O295" s="541"/>
      <c r="P295" s="541"/>
      <c r="Q295" s="541"/>
      <c r="R295" s="541"/>
      <c r="S295" s="541"/>
      <c r="T295" s="541"/>
      <c r="U295" s="541"/>
      <c r="V295" s="541"/>
      <c r="W295" s="541"/>
      <c r="X295" s="543"/>
    </row>
    <row r="296" spans="1:24" s="544" customFormat="1" x14ac:dyDescent="0.3">
      <c r="A296" s="540"/>
      <c r="B296" s="588" t="s">
        <v>368</v>
      </c>
      <c r="C296" s="539"/>
      <c r="D296" s="539"/>
      <c r="E296" s="539"/>
      <c r="F296" s="638"/>
      <c r="G296" s="539"/>
      <c r="H296" s="539"/>
      <c r="I296" s="539"/>
      <c r="J296" s="539"/>
      <c r="K296" s="541"/>
      <c r="L296" s="541"/>
      <c r="M296" s="541"/>
      <c r="N296" s="541"/>
      <c r="O296" s="541"/>
      <c r="P296" s="541"/>
      <c r="Q296" s="541"/>
      <c r="R296" s="541"/>
      <c r="S296" s="541"/>
      <c r="T296" s="541"/>
      <c r="U296" s="541"/>
      <c r="V296" s="541"/>
      <c r="W296" s="541"/>
      <c r="X296" s="543"/>
    </row>
    <row r="297" spans="1:24" s="544" customFormat="1" x14ac:dyDescent="0.3">
      <c r="A297" s="540"/>
      <c r="B297" s="588" t="s">
        <v>374</v>
      </c>
      <c r="C297" s="539"/>
      <c r="D297" s="539"/>
      <c r="E297" s="539"/>
      <c r="F297" s="638"/>
      <c r="G297" s="539"/>
      <c r="H297" s="539"/>
      <c r="I297" s="539"/>
      <c r="J297" s="539"/>
      <c r="K297" s="541"/>
      <c r="L297" s="541"/>
      <c r="M297" s="541"/>
      <c r="N297" s="541"/>
      <c r="O297" s="541"/>
      <c r="P297" s="541"/>
      <c r="Q297" s="541"/>
      <c r="R297" s="541"/>
      <c r="S297" s="541"/>
      <c r="T297" s="541"/>
      <c r="U297" s="541"/>
      <c r="V297" s="541"/>
      <c r="W297" s="541"/>
      <c r="X297" s="543"/>
    </row>
    <row r="298" spans="1:24" s="544" customFormat="1" x14ac:dyDescent="0.3">
      <c r="A298" s="540"/>
      <c r="B298" s="588" t="s">
        <v>365</v>
      </c>
      <c r="C298" s="539"/>
      <c r="D298" s="539"/>
      <c r="E298" s="539"/>
      <c r="F298" s="638"/>
      <c r="G298" s="539"/>
      <c r="H298" s="539"/>
      <c r="I298" s="539"/>
      <c r="J298" s="539"/>
      <c r="K298" s="541"/>
      <c r="L298" s="541"/>
      <c r="M298" s="541"/>
      <c r="N298" s="541"/>
      <c r="O298" s="541"/>
      <c r="P298" s="541"/>
      <c r="Q298" s="541"/>
      <c r="R298" s="541"/>
      <c r="S298" s="541"/>
      <c r="T298" s="541"/>
      <c r="U298" s="541"/>
      <c r="V298" s="541"/>
      <c r="W298" s="541"/>
      <c r="X298" s="543"/>
    </row>
    <row r="299" spans="1:24" s="544" customFormat="1" x14ac:dyDescent="0.3">
      <c r="A299" s="540"/>
      <c r="B299" s="588" t="s">
        <v>366</v>
      </c>
      <c r="C299" s="539"/>
      <c r="D299" s="539"/>
      <c r="E299" s="539"/>
      <c r="F299" s="638"/>
      <c r="G299" s="539"/>
      <c r="H299" s="539"/>
      <c r="I299" s="539"/>
      <c r="J299" s="539"/>
      <c r="K299" s="541"/>
      <c r="L299" s="541"/>
      <c r="M299" s="541"/>
      <c r="N299" s="541"/>
      <c r="O299" s="541"/>
      <c r="P299" s="541"/>
      <c r="Q299" s="541"/>
      <c r="R299" s="541"/>
      <c r="S299" s="541"/>
      <c r="T299" s="541"/>
      <c r="U299" s="541"/>
      <c r="V299" s="541"/>
      <c r="W299" s="541"/>
      <c r="X299" s="543"/>
    </row>
    <row r="300" spans="1:24" x14ac:dyDescent="0.3">
      <c r="A300" s="417"/>
      <c r="B300" s="426"/>
      <c r="C300" s="426"/>
      <c r="D300" s="426"/>
      <c r="E300" s="426"/>
      <c r="F300" s="489"/>
      <c r="G300" s="426"/>
      <c r="H300" s="426"/>
      <c r="I300" s="426"/>
      <c r="J300" s="426"/>
      <c r="K300" s="427"/>
      <c r="L300" s="427"/>
      <c r="M300" s="427"/>
      <c r="N300" s="427"/>
      <c r="O300" s="427"/>
      <c r="P300" s="427"/>
      <c r="Q300" s="427"/>
      <c r="R300" s="427"/>
      <c r="S300" s="427"/>
      <c r="T300" s="427"/>
      <c r="U300" s="427"/>
      <c r="V300" s="427"/>
      <c r="W300" s="427"/>
      <c r="X300" s="415"/>
    </row>
    <row r="301" spans="1:24" ht="18" x14ac:dyDescent="0.35">
      <c r="A301" s="417"/>
      <c r="B301" s="514" t="s">
        <v>369</v>
      </c>
      <c r="C301" s="426"/>
      <c r="D301" s="426"/>
      <c r="E301" s="426"/>
      <c r="F301" s="426"/>
      <c r="G301" s="426"/>
      <c r="H301" s="427"/>
      <c r="I301" s="427"/>
      <c r="J301" s="427"/>
      <c r="K301" s="427"/>
      <c r="L301" s="419"/>
      <c r="M301" s="419"/>
      <c r="N301" s="490"/>
      <c r="O301" s="419"/>
      <c r="P301" s="412" t="s">
        <v>371</v>
      </c>
      <c r="Q301" s="427"/>
      <c r="R301" s="427"/>
      <c r="S301" s="427"/>
      <c r="T301" s="427"/>
      <c r="U301" s="427"/>
      <c r="V301" s="427"/>
      <c r="W301" s="427"/>
      <c r="X301" s="415"/>
    </row>
    <row r="302" spans="1:24" x14ac:dyDescent="0.3">
      <c r="A302" s="417"/>
      <c r="B302" s="426"/>
      <c r="C302" s="426"/>
      <c r="D302" s="426"/>
      <c r="E302" s="426"/>
      <c r="F302" s="426"/>
      <c r="G302" s="426"/>
      <c r="H302" s="427"/>
      <c r="I302" s="427"/>
      <c r="J302" s="427"/>
      <c r="K302" s="427"/>
      <c r="L302" s="427"/>
      <c r="M302" s="427"/>
      <c r="N302" s="427"/>
      <c r="O302" s="427"/>
      <c r="P302" s="427"/>
      <c r="Q302" s="427"/>
      <c r="R302" s="427"/>
      <c r="S302" s="427"/>
      <c r="T302" s="427"/>
      <c r="U302" s="427"/>
      <c r="V302" s="427"/>
      <c r="W302" s="427"/>
      <c r="X302" s="415"/>
    </row>
    <row r="303" spans="1:24" ht="18.600000000000001" thickBot="1" x14ac:dyDescent="0.4">
      <c r="A303" s="417"/>
      <c r="B303" s="640" t="str">
        <f>B203</f>
        <v>PM14 INVESTOR REPORT QUARTER ENDING MAY 2018</v>
      </c>
      <c r="C303" s="426"/>
      <c r="D303" s="426"/>
      <c r="E303" s="426"/>
      <c r="F303" s="426"/>
      <c r="G303" s="426"/>
      <c r="H303" s="427"/>
      <c r="I303" s="427"/>
      <c r="J303" s="427"/>
      <c r="K303" s="427"/>
      <c r="L303" s="427"/>
      <c r="M303" s="427"/>
      <c r="N303" s="427"/>
      <c r="O303" s="427"/>
      <c r="P303" s="427"/>
      <c r="Q303" s="427"/>
      <c r="R303" s="427"/>
      <c r="S303" s="427"/>
      <c r="T303" s="427"/>
      <c r="U303" s="427"/>
      <c r="V303" s="427"/>
      <c r="W303" s="427"/>
      <c r="X303" s="415"/>
    </row>
    <row r="304" spans="1:24" x14ac:dyDescent="0.3">
      <c r="A304" s="491"/>
      <c r="B304" s="491"/>
      <c r="C304" s="491"/>
      <c r="D304" s="491"/>
      <c r="E304" s="491"/>
      <c r="F304" s="491"/>
      <c r="G304" s="491"/>
      <c r="H304" s="491"/>
      <c r="I304" s="491"/>
      <c r="J304" s="491"/>
      <c r="K304" s="491"/>
      <c r="L304" s="491"/>
      <c r="M304" s="491"/>
      <c r="N304" s="491"/>
      <c r="O304" s="491"/>
      <c r="P304" s="491"/>
      <c r="Q304" s="491"/>
      <c r="R304" s="491"/>
      <c r="S304" s="491"/>
      <c r="T304" s="491"/>
      <c r="U304" s="491"/>
      <c r="V304" s="491"/>
      <c r="W304" s="491"/>
    </row>
  </sheetData>
  <hyperlinks>
    <hyperlink ref="I9" r:id="rId1" xr:uid="{00000000-0004-0000-2B00-000000000000}"/>
    <hyperlink ref="P239" r:id="rId2" xr:uid="{00000000-0004-0000-2B00-000001000000}"/>
    <hyperlink ref="P301" r:id="rId3" xr:uid="{00000000-0004-0000-2B00-000002000000}"/>
  </hyperlinks>
  <printOptions horizontalCentered="1" verticalCentered="1"/>
  <pageMargins left="0.19685039370078741" right="0.19685039370078741" top="0.27559055118110237" bottom="0.27559055118110237" header="0" footer="0"/>
  <pageSetup scale="37" orientation="landscape" r:id="rId4"/>
  <headerFooter alignWithMargins="0"/>
  <rowBreaks count="3" manualBreakCount="3">
    <brk id="63" max="23" man="1"/>
    <brk id="137" max="14" man="1"/>
    <brk id="203" max="14" man="1"/>
  </rowBreaks>
  <drawing r:id="rId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6"/>
  </sheetPr>
  <dimension ref="A1:IV304"/>
  <sheetViews>
    <sheetView showGridLines="0" showOutlineSymbols="0" zoomScale="70" zoomScaleNormal="70" workbookViewId="0"/>
  </sheetViews>
  <sheetFormatPr defaultColWidth="9.81640625" defaultRowHeight="15.6" x14ac:dyDescent="0.3"/>
  <cols>
    <col min="1" max="1" width="4" style="416" customWidth="1"/>
    <col min="2" max="2" width="71.08984375" style="416" customWidth="1"/>
    <col min="3" max="3" width="2.08984375" style="416" customWidth="1"/>
    <col min="4" max="4" width="19.1796875" style="416" customWidth="1"/>
    <col min="5" max="5" width="2.08984375" style="416" customWidth="1"/>
    <col min="6" max="6" width="25.08984375" style="416" customWidth="1"/>
    <col min="7" max="7" width="2.08984375" style="416" customWidth="1"/>
    <col min="8" max="8" width="16.08984375" style="416" customWidth="1"/>
    <col min="9" max="9" width="2.81640625" style="416" customWidth="1"/>
    <col min="10" max="10" width="16.08984375" style="416" customWidth="1"/>
    <col min="11" max="11" width="2.08984375" style="416" customWidth="1"/>
    <col min="12" max="12" width="17.81640625" style="416" customWidth="1"/>
    <col min="13" max="13" width="2.1796875" style="416" customWidth="1"/>
    <col min="14" max="14" width="14.81640625" style="416" customWidth="1"/>
    <col min="15" max="15" width="2.1796875" style="416" customWidth="1"/>
    <col min="16" max="16" width="15.54296875" style="416" customWidth="1"/>
    <col min="17" max="17" width="2.08984375" style="416" customWidth="1"/>
    <col min="18" max="18" width="15.54296875" style="416" customWidth="1"/>
    <col min="19" max="20" width="12.81640625" style="416" customWidth="1"/>
    <col min="21" max="21" width="7.81640625" style="416" customWidth="1"/>
    <col min="22" max="22" width="14.81640625" style="416" customWidth="1"/>
    <col min="23" max="23" width="11.81640625" style="416" customWidth="1"/>
    <col min="24" max="16384" width="9.81640625" style="416"/>
  </cols>
  <sheetData>
    <row r="1" spans="1:24" ht="21" x14ac:dyDescent="0.4">
      <c r="A1" s="413"/>
      <c r="B1" s="537" t="s">
        <v>244</v>
      </c>
      <c r="C1" s="414"/>
      <c r="D1" s="414"/>
      <c r="E1" s="414"/>
      <c r="F1" s="414"/>
      <c r="G1" s="414"/>
      <c r="H1" s="414"/>
      <c r="I1" s="414"/>
      <c r="J1" s="414"/>
      <c r="K1" s="414"/>
      <c r="L1" s="414"/>
      <c r="M1" s="414"/>
      <c r="N1" s="414"/>
      <c r="O1" s="414"/>
      <c r="P1" s="414"/>
      <c r="Q1" s="414"/>
      <c r="R1" s="414"/>
      <c r="S1" s="414"/>
      <c r="T1" s="414"/>
      <c r="U1" s="414"/>
      <c r="V1" s="414"/>
      <c r="W1" s="414"/>
      <c r="X1" s="415"/>
    </row>
    <row r="2" spans="1:24" x14ac:dyDescent="0.3">
      <c r="A2" s="417"/>
      <c r="B2" s="418"/>
      <c r="C2" s="419"/>
      <c r="D2" s="419"/>
      <c r="E2" s="419"/>
      <c r="F2" s="419"/>
      <c r="G2" s="419"/>
      <c r="H2" s="419"/>
      <c r="I2" s="419"/>
      <c r="J2" s="419"/>
      <c r="K2" s="419"/>
      <c r="L2" s="419"/>
      <c r="M2" s="419"/>
      <c r="N2" s="419"/>
      <c r="O2" s="419"/>
      <c r="P2" s="419"/>
      <c r="Q2" s="419"/>
      <c r="R2" s="419"/>
      <c r="S2" s="419"/>
      <c r="T2" s="419"/>
      <c r="U2" s="419"/>
      <c r="V2" s="419"/>
      <c r="W2" s="419"/>
      <c r="X2" s="415"/>
    </row>
    <row r="3" spans="1:24" x14ac:dyDescent="0.3">
      <c r="A3" s="420"/>
      <c r="B3" s="421" t="s">
        <v>245</v>
      </c>
      <c r="C3" s="419"/>
      <c r="D3" s="419"/>
      <c r="E3" s="419"/>
      <c r="F3" s="419"/>
      <c r="G3" s="419"/>
      <c r="H3" s="419"/>
      <c r="I3" s="419"/>
      <c r="J3" s="419"/>
      <c r="K3" s="419"/>
      <c r="L3" s="419"/>
      <c r="M3" s="419"/>
      <c r="N3" s="419"/>
      <c r="O3" s="419"/>
      <c r="P3" s="419"/>
      <c r="Q3" s="419"/>
      <c r="R3" s="419"/>
      <c r="S3" s="419"/>
      <c r="T3" s="419"/>
      <c r="U3" s="419"/>
      <c r="V3" s="419"/>
      <c r="W3" s="419"/>
      <c r="X3" s="415"/>
    </row>
    <row r="4" spans="1:24" x14ac:dyDescent="0.3">
      <c r="A4" s="417"/>
      <c r="B4" s="418"/>
      <c r="C4" s="419"/>
      <c r="D4" s="419"/>
      <c r="E4" s="419"/>
      <c r="F4" s="419"/>
      <c r="G4" s="419"/>
      <c r="H4" s="419"/>
      <c r="I4" s="419"/>
      <c r="J4" s="419"/>
      <c r="K4" s="419"/>
      <c r="L4" s="419"/>
      <c r="M4" s="419"/>
      <c r="N4" s="419"/>
      <c r="O4" s="419"/>
      <c r="P4" s="419"/>
      <c r="Q4" s="419"/>
      <c r="R4" s="419"/>
      <c r="S4" s="419"/>
      <c r="T4" s="419"/>
      <c r="U4" s="419"/>
      <c r="V4" s="419"/>
      <c r="W4" s="419"/>
      <c r="X4" s="415"/>
    </row>
    <row r="5" spans="1:24" x14ac:dyDescent="0.3">
      <c r="A5" s="417"/>
      <c r="B5" s="538" t="s">
        <v>137</v>
      </c>
      <c r="C5" s="419"/>
      <c r="D5" s="419"/>
      <c r="E5" s="419"/>
      <c r="F5" s="419"/>
      <c r="G5" s="419"/>
      <c r="H5" s="419"/>
      <c r="I5" s="419"/>
      <c r="J5" s="419"/>
      <c r="K5" s="419"/>
      <c r="L5" s="419"/>
      <c r="M5" s="419"/>
      <c r="N5" s="419"/>
      <c r="O5" s="419"/>
      <c r="P5" s="419"/>
      <c r="Q5" s="419"/>
      <c r="R5" s="419"/>
      <c r="S5" s="419"/>
      <c r="T5" s="419"/>
      <c r="U5" s="419"/>
      <c r="V5" s="419"/>
      <c r="W5" s="419"/>
      <c r="X5" s="415"/>
    </row>
    <row r="6" spans="1:24" x14ac:dyDescent="0.3">
      <c r="A6" s="417"/>
      <c r="B6" s="538" t="s">
        <v>139</v>
      </c>
      <c r="C6" s="419"/>
      <c r="D6" s="419"/>
      <c r="E6" s="419"/>
      <c r="F6" s="419"/>
      <c r="G6" s="419"/>
      <c r="H6" s="419"/>
      <c r="I6" s="419"/>
      <c r="J6" s="419"/>
      <c r="K6" s="419"/>
      <c r="L6" s="419"/>
      <c r="M6" s="419"/>
      <c r="N6" s="419"/>
      <c r="O6" s="419"/>
      <c r="P6" s="419"/>
      <c r="Q6" s="419"/>
      <c r="R6" s="419"/>
      <c r="S6" s="419"/>
      <c r="T6" s="419"/>
      <c r="U6" s="419"/>
      <c r="V6" s="419"/>
      <c r="W6" s="419"/>
      <c r="X6" s="415"/>
    </row>
    <row r="7" spans="1:24" x14ac:dyDescent="0.3">
      <c r="A7" s="417"/>
      <c r="B7" s="538" t="s">
        <v>138</v>
      </c>
      <c r="C7" s="419"/>
      <c r="D7" s="419"/>
      <c r="E7" s="419"/>
      <c r="F7" s="419"/>
      <c r="G7" s="419"/>
      <c r="H7" s="419"/>
      <c r="I7" s="419"/>
      <c r="J7" s="419"/>
      <c r="K7" s="419"/>
      <c r="L7" s="419"/>
      <c r="M7" s="419"/>
      <c r="N7" s="419"/>
      <c r="O7" s="419"/>
      <c r="P7" s="419"/>
      <c r="Q7" s="419"/>
      <c r="R7" s="419"/>
      <c r="S7" s="419"/>
      <c r="T7" s="419"/>
      <c r="U7" s="419"/>
      <c r="V7" s="419"/>
      <c r="W7" s="419"/>
      <c r="X7" s="415"/>
    </row>
    <row r="8" spans="1:24" x14ac:dyDescent="0.3">
      <c r="A8" s="417"/>
      <c r="B8" s="422"/>
      <c r="C8" s="419"/>
      <c r="D8" s="419"/>
      <c r="E8" s="419"/>
      <c r="F8" s="419"/>
      <c r="G8" s="419"/>
      <c r="H8" s="419"/>
      <c r="I8" s="419"/>
      <c r="J8" s="419"/>
      <c r="K8" s="419"/>
      <c r="L8" s="419"/>
      <c r="M8" s="419"/>
      <c r="N8" s="419"/>
      <c r="O8" s="419"/>
      <c r="P8" s="419"/>
      <c r="Q8" s="419"/>
      <c r="R8" s="419"/>
      <c r="S8" s="419"/>
      <c r="T8" s="419"/>
      <c r="U8" s="419"/>
      <c r="V8" s="419"/>
      <c r="W8" s="419"/>
      <c r="X8" s="415"/>
    </row>
    <row r="9" spans="1:24" ht="18" x14ac:dyDescent="0.35">
      <c r="A9" s="417"/>
      <c r="B9" s="423" t="s">
        <v>166</v>
      </c>
      <c r="C9" s="419"/>
      <c r="D9" s="419"/>
      <c r="E9" s="419"/>
      <c r="F9" s="419"/>
      <c r="G9" s="419"/>
      <c r="H9" s="419"/>
      <c r="I9" s="412" t="s">
        <v>371</v>
      </c>
      <c r="J9" s="419"/>
      <c r="K9" s="419"/>
      <c r="L9" s="424"/>
      <c r="M9" s="419"/>
      <c r="N9" s="424"/>
      <c r="O9" s="419"/>
      <c r="P9" s="419"/>
      <c r="Q9" s="419"/>
      <c r="R9" s="419"/>
      <c r="S9" s="419"/>
      <c r="T9" s="419"/>
      <c r="U9" s="419"/>
      <c r="V9" s="419"/>
      <c r="W9" s="419"/>
      <c r="X9" s="415"/>
    </row>
    <row r="10" spans="1:24" x14ac:dyDescent="0.3">
      <c r="A10" s="417"/>
      <c r="B10" s="422"/>
      <c r="C10" s="425"/>
      <c r="D10" s="425"/>
      <c r="E10" s="425"/>
      <c r="F10" s="419"/>
      <c r="G10" s="419"/>
      <c r="H10" s="419"/>
      <c r="I10" s="419"/>
      <c r="J10" s="419"/>
      <c r="K10" s="419"/>
      <c r="L10" s="419"/>
      <c r="M10" s="419"/>
      <c r="N10" s="419"/>
      <c r="O10" s="419"/>
      <c r="P10" s="419"/>
      <c r="Q10" s="419"/>
      <c r="R10" s="419"/>
      <c r="S10" s="419"/>
      <c r="T10" s="419"/>
      <c r="U10" s="419"/>
      <c r="V10" s="419"/>
      <c r="W10" s="419"/>
      <c r="X10" s="415"/>
    </row>
    <row r="11" spans="1:24" x14ac:dyDescent="0.3">
      <c r="A11" s="417"/>
      <c r="B11" s="539" t="s">
        <v>0</v>
      </c>
      <c r="C11" s="419"/>
      <c r="D11" s="419"/>
      <c r="E11" s="419"/>
      <c r="F11" s="419"/>
      <c r="G11" s="419"/>
      <c r="H11" s="419"/>
      <c r="I11" s="419"/>
      <c r="J11" s="419"/>
      <c r="K11" s="419"/>
      <c r="L11" s="419"/>
      <c r="M11" s="419"/>
      <c r="N11" s="419"/>
      <c r="O11" s="419"/>
      <c r="P11" s="419"/>
      <c r="Q11" s="419"/>
      <c r="R11" s="419"/>
      <c r="S11" s="419"/>
      <c r="T11" s="419"/>
      <c r="U11" s="419"/>
      <c r="V11" s="419"/>
      <c r="W11" s="419"/>
      <c r="X11" s="415"/>
    </row>
    <row r="12" spans="1:24" ht="16.2" thickBot="1" x14ac:dyDescent="0.35">
      <c r="A12" s="417"/>
      <c r="B12" s="425"/>
      <c r="C12" s="419"/>
      <c r="D12" s="419"/>
      <c r="E12" s="419"/>
      <c r="F12" s="419"/>
      <c r="G12" s="419"/>
      <c r="H12" s="419"/>
      <c r="I12" s="419"/>
      <c r="J12" s="419"/>
      <c r="K12" s="419"/>
      <c r="L12" s="419"/>
      <c r="M12" s="419"/>
      <c r="N12" s="419"/>
      <c r="O12" s="419"/>
      <c r="P12" s="419"/>
      <c r="Q12" s="419"/>
      <c r="R12" s="419"/>
      <c r="S12" s="419"/>
      <c r="T12" s="419"/>
      <c r="U12" s="419"/>
      <c r="V12" s="419"/>
      <c r="W12" s="419"/>
      <c r="X12" s="415"/>
    </row>
    <row r="13" spans="1:24" x14ac:dyDescent="0.3">
      <c r="A13" s="413"/>
      <c r="B13" s="414"/>
      <c r="C13" s="414"/>
      <c r="D13" s="414"/>
      <c r="E13" s="414"/>
      <c r="F13" s="414"/>
      <c r="G13" s="414"/>
      <c r="H13" s="414"/>
      <c r="I13" s="414"/>
      <c r="J13" s="414"/>
      <c r="K13" s="414"/>
      <c r="L13" s="414"/>
      <c r="M13" s="414"/>
      <c r="N13" s="414"/>
      <c r="O13" s="414"/>
      <c r="P13" s="414"/>
      <c r="Q13" s="414"/>
      <c r="R13" s="414"/>
      <c r="S13" s="414"/>
      <c r="T13" s="414"/>
      <c r="U13" s="414"/>
      <c r="V13" s="414"/>
      <c r="W13" s="414"/>
      <c r="X13" s="415"/>
    </row>
    <row r="14" spans="1:24" s="544" customFormat="1" x14ac:dyDescent="0.3">
      <c r="A14" s="540"/>
      <c r="B14" s="539" t="s">
        <v>1</v>
      </c>
      <c r="C14" s="541"/>
      <c r="D14" s="541"/>
      <c r="E14" s="541"/>
      <c r="F14" s="541"/>
      <c r="G14" s="541"/>
      <c r="H14" s="541"/>
      <c r="I14" s="541"/>
      <c r="J14" s="541"/>
      <c r="K14" s="541"/>
      <c r="L14" s="541"/>
      <c r="M14" s="541"/>
      <c r="N14" s="541"/>
      <c r="O14" s="541"/>
      <c r="P14" s="541"/>
      <c r="Q14" s="541"/>
      <c r="R14" s="541"/>
      <c r="S14" s="541"/>
      <c r="T14" s="541"/>
      <c r="U14" s="541"/>
      <c r="V14" s="542" t="s">
        <v>246</v>
      </c>
      <c r="W14" s="541"/>
      <c r="X14" s="543"/>
    </row>
    <row r="15" spans="1:24" s="544" customFormat="1" x14ac:dyDescent="0.3">
      <c r="A15" s="540"/>
      <c r="B15" s="539" t="s">
        <v>2</v>
      </c>
      <c r="C15" s="541"/>
      <c r="D15" s="541"/>
      <c r="E15" s="541"/>
      <c r="F15" s="541"/>
      <c r="G15" s="541"/>
      <c r="H15" s="545"/>
      <c r="I15" s="545"/>
      <c r="J15" s="545"/>
      <c r="K15" s="545"/>
      <c r="L15" s="545"/>
      <c r="M15" s="545"/>
      <c r="N15" s="545"/>
      <c r="O15" s="545"/>
      <c r="P15" s="545"/>
      <c r="Q15" s="545"/>
      <c r="R15" s="545" t="s">
        <v>104</v>
      </c>
      <c r="S15" s="546">
        <v>0.38300000000000001</v>
      </c>
      <c r="T15" s="547" t="s">
        <v>140</v>
      </c>
      <c r="U15" s="546">
        <v>0.61699999999999999</v>
      </c>
      <c r="V15" s="542"/>
      <c r="W15" s="541"/>
      <c r="X15" s="543"/>
    </row>
    <row r="16" spans="1:24" s="544" customFormat="1" x14ac:dyDescent="0.3">
      <c r="A16" s="540"/>
      <c r="B16" s="539" t="s">
        <v>3</v>
      </c>
      <c r="C16" s="541"/>
      <c r="D16" s="541"/>
      <c r="E16" s="541"/>
      <c r="F16" s="541"/>
      <c r="G16" s="541"/>
      <c r="H16" s="545"/>
      <c r="I16" s="545"/>
      <c r="J16" s="545"/>
      <c r="K16" s="545"/>
      <c r="L16" s="545"/>
      <c r="M16" s="545"/>
      <c r="N16" s="545"/>
      <c r="O16" s="545"/>
      <c r="P16" s="545"/>
      <c r="Q16" s="545"/>
      <c r="R16" s="545" t="s">
        <v>104</v>
      </c>
      <c r="S16" s="546">
        <v>0.4975</v>
      </c>
      <c r="T16" s="547" t="s">
        <v>140</v>
      </c>
      <c r="U16" s="546">
        <v>0.50249999999999995</v>
      </c>
      <c r="V16" s="542"/>
      <c r="W16" s="541"/>
      <c r="X16" s="543"/>
    </row>
    <row r="17" spans="1:24" s="544" customFormat="1" x14ac:dyDescent="0.3">
      <c r="A17" s="540"/>
      <c r="B17" s="539" t="s">
        <v>4</v>
      </c>
      <c r="C17" s="541"/>
      <c r="D17" s="541"/>
      <c r="E17" s="541"/>
      <c r="F17" s="541"/>
      <c r="G17" s="541"/>
      <c r="H17" s="541"/>
      <c r="I17" s="541"/>
      <c r="J17" s="541"/>
      <c r="K17" s="541"/>
      <c r="L17" s="541"/>
      <c r="M17" s="541"/>
      <c r="N17" s="541"/>
      <c r="O17" s="541"/>
      <c r="P17" s="541"/>
      <c r="Q17" s="541"/>
      <c r="R17" s="541"/>
      <c r="S17" s="541"/>
      <c r="T17" s="541"/>
      <c r="U17" s="541"/>
      <c r="V17" s="548">
        <v>39163</v>
      </c>
      <c r="W17" s="541"/>
      <c r="X17" s="543"/>
    </row>
    <row r="18" spans="1:24" s="544" customFormat="1" x14ac:dyDescent="0.3">
      <c r="A18" s="540"/>
      <c r="B18" s="539" t="s">
        <v>5</v>
      </c>
      <c r="C18" s="541"/>
      <c r="D18" s="541"/>
      <c r="E18" s="541"/>
      <c r="F18" s="541"/>
      <c r="G18" s="541"/>
      <c r="H18" s="541"/>
      <c r="I18" s="541"/>
      <c r="J18" s="541"/>
      <c r="K18" s="541"/>
      <c r="L18" s="541"/>
      <c r="M18" s="541"/>
      <c r="N18" s="541"/>
      <c r="O18" s="541"/>
      <c r="P18" s="541"/>
      <c r="Q18" s="541"/>
      <c r="R18" s="541"/>
      <c r="S18" s="541"/>
      <c r="T18" s="541"/>
      <c r="U18" s="541"/>
      <c r="V18" s="548">
        <v>43364</v>
      </c>
      <c r="W18" s="541"/>
      <c r="X18" s="543"/>
    </row>
    <row r="19" spans="1:24" s="544" customFormat="1" x14ac:dyDescent="0.3">
      <c r="A19" s="540"/>
      <c r="B19" s="541"/>
      <c r="C19" s="541"/>
      <c r="D19" s="541"/>
      <c r="E19" s="541"/>
      <c r="F19" s="541"/>
      <c r="G19" s="541"/>
      <c r="H19" s="541"/>
      <c r="I19" s="541"/>
      <c r="J19" s="541"/>
      <c r="K19" s="541"/>
      <c r="L19" s="541"/>
      <c r="M19" s="541"/>
      <c r="N19" s="541"/>
      <c r="O19" s="541"/>
      <c r="P19" s="541"/>
      <c r="Q19" s="541"/>
      <c r="R19" s="541"/>
      <c r="S19" s="541"/>
      <c r="T19" s="541"/>
      <c r="U19" s="541"/>
      <c r="V19" s="549"/>
      <c r="W19" s="541"/>
      <c r="X19" s="543"/>
    </row>
    <row r="20" spans="1:24" s="544" customFormat="1" x14ac:dyDescent="0.3">
      <c r="A20" s="540"/>
      <c r="B20" s="550" t="s">
        <v>6</v>
      </c>
      <c r="C20" s="541"/>
      <c r="D20" s="541"/>
      <c r="E20" s="541"/>
      <c r="F20" s="541"/>
      <c r="G20" s="541"/>
      <c r="H20" s="541"/>
      <c r="I20" s="541"/>
      <c r="J20" s="541"/>
      <c r="K20" s="541"/>
      <c r="L20" s="541"/>
      <c r="M20" s="541"/>
      <c r="N20" s="541"/>
      <c r="O20" s="541"/>
      <c r="P20" s="541"/>
      <c r="Q20" s="541"/>
      <c r="R20" s="541"/>
      <c r="S20" s="541"/>
      <c r="T20" s="549" t="s">
        <v>105</v>
      </c>
      <c r="U20" s="541"/>
      <c r="V20" s="541"/>
      <c r="W20" s="541"/>
      <c r="X20" s="543"/>
    </row>
    <row r="21" spans="1:24" x14ac:dyDescent="0.3">
      <c r="A21" s="417"/>
      <c r="B21" s="419"/>
      <c r="C21" s="419"/>
      <c r="D21" s="419"/>
      <c r="E21" s="419"/>
      <c r="F21" s="419"/>
      <c r="G21" s="419"/>
      <c r="H21" s="419"/>
      <c r="I21" s="419"/>
      <c r="J21" s="419"/>
      <c r="K21" s="419"/>
      <c r="L21" s="419"/>
      <c r="M21" s="419"/>
      <c r="N21" s="419"/>
      <c r="O21" s="419"/>
      <c r="P21" s="419"/>
      <c r="Q21" s="419"/>
      <c r="R21" s="419"/>
      <c r="S21" s="419"/>
      <c r="T21" s="419"/>
      <c r="U21" s="419"/>
      <c r="V21" s="430"/>
      <c r="W21" s="419"/>
      <c r="X21" s="415"/>
    </row>
    <row r="22" spans="1:24" x14ac:dyDescent="0.3">
      <c r="A22" s="515"/>
      <c r="B22" s="517"/>
      <c r="C22" s="518"/>
      <c r="D22" s="518" t="s">
        <v>177</v>
      </c>
      <c r="E22" s="518"/>
      <c r="F22" s="518" t="s">
        <v>178</v>
      </c>
      <c r="G22" s="518"/>
      <c r="H22" s="518" t="s">
        <v>179</v>
      </c>
      <c r="I22" s="518"/>
      <c r="J22" s="518" t="s">
        <v>220</v>
      </c>
      <c r="K22" s="518"/>
      <c r="L22" s="518" t="s">
        <v>180</v>
      </c>
      <c r="M22" s="518"/>
      <c r="N22" s="518" t="s">
        <v>181</v>
      </c>
      <c r="O22" s="518"/>
      <c r="P22" s="518" t="s">
        <v>221</v>
      </c>
      <c r="Q22" s="518"/>
      <c r="R22" s="518" t="s">
        <v>182</v>
      </c>
      <c r="S22" s="519"/>
      <c r="T22" s="519"/>
      <c r="U22" s="517"/>
      <c r="V22" s="517"/>
      <c r="W22" s="520"/>
      <c r="X22" s="415"/>
    </row>
    <row r="23" spans="1:24" s="544" customFormat="1" x14ac:dyDescent="0.3">
      <c r="A23" s="551"/>
      <c r="B23" s="552" t="s">
        <v>7</v>
      </c>
      <c r="C23" s="553"/>
      <c r="D23" s="553" t="s">
        <v>213</v>
      </c>
      <c r="E23" s="553"/>
      <c r="F23" s="553" t="s">
        <v>141</v>
      </c>
      <c r="G23" s="553"/>
      <c r="H23" s="553" t="s">
        <v>141</v>
      </c>
      <c r="I23" s="553"/>
      <c r="J23" s="553" t="s">
        <v>141</v>
      </c>
      <c r="K23" s="553"/>
      <c r="L23" s="553" t="s">
        <v>183</v>
      </c>
      <c r="M23" s="553"/>
      <c r="N23" s="553" t="s">
        <v>183</v>
      </c>
      <c r="O23" s="553"/>
      <c r="P23" s="553" t="s">
        <v>142</v>
      </c>
      <c r="Q23" s="553"/>
      <c r="R23" s="553" t="s">
        <v>142</v>
      </c>
      <c r="S23" s="553"/>
      <c r="T23" s="553"/>
      <c r="U23" s="552"/>
      <c r="V23" s="552"/>
      <c r="W23" s="554"/>
      <c r="X23" s="543"/>
    </row>
    <row r="24" spans="1:24" s="544" customFormat="1" x14ac:dyDescent="0.3">
      <c r="A24" s="555"/>
      <c r="B24" s="556" t="s">
        <v>8</v>
      </c>
      <c r="C24" s="557"/>
      <c r="D24" s="557" t="s">
        <v>214</v>
      </c>
      <c r="E24" s="557"/>
      <c r="F24" s="557" t="s">
        <v>143</v>
      </c>
      <c r="G24" s="557"/>
      <c r="H24" s="557" t="s">
        <v>143</v>
      </c>
      <c r="I24" s="557"/>
      <c r="J24" s="557" t="s">
        <v>143</v>
      </c>
      <c r="K24" s="557"/>
      <c r="L24" s="557" t="s">
        <v>165</v>
      </c>
      <c r="M24" s="557"/>
      <c r="N24" s="557" t="s">
        <v>165</v>
      </c>
      <c r="O24" s="557"/>
      <c r="P24" s="557" t="s">
        <v>144</v>
      </c>
      <c r="Q24" s="557"/>
      <c r="R24" s="557" t="s">
        <v>144</v>
      </c>
      <c r="S24" s="557"/>
      <c r="T24" s="557"/>
      <c r="U24" s="556"/>
      <c r="V24" s="556"/>
      <c r="W24" s="558"/>
      <c r="X24" s="543"/>
    </row>
    <row r="25" spans="1:24" s="544" customFormat="1" x14ac:dyDescent="0.3">
      <c r="A25" s="559"/>
      <c r="B25" s="556" t="s">
        <v>190</v>
      </c>
      <c r="C25" s="560"/>
      <c r="D25" s="557" t="s">
        <v>215</v>
      </c>
      <c r="E25" s="557"/>
      <c r="F25" s="557" t="s">
        <v>143</v>
      </c>
      <c r="G25" s="557"/>
      <c r="H25" s="557" t="s">
        <v>143</v>
      </c>
      <c r="I25" s="557"/>
      <c r="J25" s="557" t="s">
        <v>143</v>
      </c>
      <c r="K25" s="557"/>
      <c r="L25" s="557" t="s">
        <v>293</v>
      </c>
      <c r="M25" s="557"/>
      <c r="N25" s="557" t="s">
        <v>293</v>
      </c>
      <c r="O25" s="557"/>
      <c r="P25" s="557" t="s">
        <v>144</v>
      </c>
      <c r="Q25" s="557"/>
      <c r="R25" s="557" t="s">
        <v>144</v>
      </c>
      <c r="S25" s="560"/>
      <c r="T25" s="557"/>
      <c r="U25" s="556"/>
      <c r="V25" s="556"/>
      <c r="W25" s="558"/>
      <c r="X25" s="543"/>
    </row>
    <row r="26" spans="1:24" s="544" customFormat="1" x14ac:dyDescent="0.3">
      <c r="A26" s="559"/>
      <c r="B26" s="561" t="s">
        <v>9</v>
      </c>
      <c r="C26" s="560"/>
      <c r="D26" s="560" t="s">
        <v>333</v>
      </c>
      <c r="E26" s="560"/>
      <c r="F26" s="560" t="s">
        <v>333</v>
      </c>
      <c r="G26" s="560"/>
      <c r="H26" s="560" t="s">
        <v>333</v>
      </c>
      <c r="I26" s="560"/>
      <c r="J26" s="560" t="s">
        <v>333</v>
      </c>
      <c r="K26" s="560"/>
      <c r="L26" s="560" t="s">
        <v>333</v>
      </c>
      <c r="M26" s="560"/>
      <c r="N26" s="560" t="s">
        <v>333</v>
      </c>
      <c r="O26" s="560"/>
      <c r="P26" s="560" t="s">
        <v>334</v>
      </c>
      <c r="Q26" s="560"/>
      <c r="R26" s="560" t="s">
        <v>334</v>
      </c>
      <c r="S26" s="560"/>
      <c r="T26" s="557"/>
      <c r="U26" s="556"/>
      <c r="V26" s="556"/>
      <c r="W26" s="558"/>
      <c r="X26" s="543"/>
    </row>
    <row r="27" spans="1:24" s="544" customFormat="1" x14ac:dyDescent="0.3">
      <c r="A27" s="555"/>
      <c r="B27" s="561" t="s">
        <v>191</v>
      </c>
      <c r="C27" s="557"/>
      <c r="D27" s="560" t="s">
        <v>143</v>
      </c>
      <c r="E27" s="560"/>
      <c r="F27" s="560" t="s">
        <v>143</v>
      </c>
      <c r="G27" s="560"/>
      <c r="H27" s="560" t="s">
        <v>143</v>
      </c>
      <c r="I27" s="560"/>
      <c r="J27" s="560" t="s">
        <v>143</v>
      </c>
      <c r="K27" s="560"/>
      <c r="L27" s="560" t="s">
        <v>293</v>
      </c>
      <c r="M27" s="560"/>
      <c r="N27" s="560" t="s">
        <v>293</v>
      </c>
      <c r="O27" s="560"/>
      <c r="P27" s="560" t="s">
        <v>144</v>
      </c>
      <c r="Q27" s="560"/>
      <c r="R27" s="560" t="s">
        <v>144</v>
      </c>
      <c r="S27" s="557"/>
      <c r="T27" s="562"/>
      <c r="U27" s="556"/>
      <c r="V27" s="556"/>
      <c r="W27" s="558"/>
      <c r="X27" s="543"/>
    </row>
    <row r="28" spans="1:24" s="544" customFormat="1" x14ac:dyDescent="0.3">
      <c r="A28" s="555"/>
      <c r="B28" s="561" t="s">
        <v>192</v>
      </c>
      <c r="C28" s="557"/>
      <c r="D28" s="560" t="s">
        <v>143</v>
      </c>
      <c r="E28" s="560"/>
      <c r="F28" s="560" t="s">
        <v>143</v>
      </c>
      <c r="G28" s="560"/>
      <c r="H28" s="560" t="s">
        <v>143</v>
      </c>
      <c r="I28" s="560"/>
      <c r="J28" s="560" t="s">
        <v>143</v>
      </c>
      <c r="K28" s="560"/>
      <c r="L28" s="560" t="s">
        <v>143</v>
      </c>
      <c r="M28" s="560"/>
      <c r="N28" s="560" t="s">
        <v>143</v>
      </c>
      <c r="O28" s="560"/>
      <c r="P28" s="560" t="s">
        <v>337</v>
      </c>
      <c r="Q28" s="560"/>
      <c r="R28" s="560" t="s">
        <v>337</v>
      </c>
      <c r="S28" s="557"/>
      <c r="T28" s="562"/>
      <c r="U28" s="556"/>
      <c r="V28" s="556"/>
      <c r="W28" s="558"/>
      <c r="X28" s="543"/>
    </row>
    <row r="29" spans="1:24" s="544" customFormat="1" x14ac:dyDescent="0.3">
      <c r="A29" s="555"/>
      <c r="B29" s="556" t="s">
        <v>10</v>
      </c>
      <c r="C29" s="563"/>
      <c r="D29" s="557" t="s">
        <v>249</v>
      </c>
      <c r="E29" s="557"/>
      <c r="F29" s="562" t="s">
        <v>250</v>
      </c>
      <c r="G29" s="557"/>
      <c r="H29" s="557" t="s">
        <v>251</v>
      </c>
      <c r="I29" s="557"/>
      <c r="J29" s="557" t="s">
        <v>253</v>
      </c>
      <c r="K29" s="557"/>
      <c r="L29" s="557" t="s">
        <v>254</v>
      </c>
      <c r="M29" s="557"/>
      <c r="N29" s="557" t="s">
        <v>255</v>
      </c>
      <c r="O29" s="557"/>
      <c r="P29" s="557" t="s">
        <v>256</v>
      </c>
      <c r="Q29" s="557"/>
      <c r="R29" s="557" t="s">
        <v>257</v>
      </c>
      <c r="S29" s="564"/>
      <c r="T29" s="564"/>
      <c r="U29" s="563"/>
      <c r="V29" s="564"/>
      <c r="W29" s="565"/>
      <c r="X29" s="543"/>
    </row>
    <row r="30" spans="1:24" s="544" customFormat="1" x14ac:dyDescent="0.3">
      <c r="A30" s="555"/>
      <c r="B30" s="556" t="s">
        <v>10</v>
      </c>
      <c r="C30" s="563"/>
      <c r="D30" s="557" t="s">
        <v>248</v>
      </c>
      <c r="E30" s="557"/>
      <c r="F30" s="562" t="s">
        <v>118</v>
      </c>
      <c r="G30" s="557"/>
      <c r="H30" s="557" t="s">
        <v>118</v>
      </c>
      <c r="I30" s="557"/>
      <c r="J30" s="557" t="s">
        <v>252</v>
      </c>
      <c r="K30" s="557"/>
      <c r="L30" s="557" t="s">
        <v>118</v>
      </c>
      <c r="M30" s="557"/>
      <c r="N30" s="557" t="s">
        <v>118</v>
      </c>
      <c r="O30" s="557"/>
      <c r="P30" s="557" t="s">
        <v>118</v>
      </c>
      <c r="Q30" s="557"/>
      <c r="R30" s="557" t="s">
        <v>118</v>
      </c>
      <c r="S30" s="564"/>
      <c r="T30" s="564"/>
      <c r="U30" s="563"/>
      <c r="V30" s="564"/>
      <c r="W30" s="565"/>
      <c r="X30" s="543"/>
    </row>
    <row r="31" spans="1:24" s="544" customFormat="1" x14ac:dyDescent="0.3">
      <c r="A31" s="559"/>
      <c r="B31" s="556" t="s">
        <v>133</v>
      </c>
      <c r="C31" s="566"/>
      <c r="D31" s="567">
        <v>1500000</v>
      </c>
      <c r="E31" s="563"/>
      <c r="F31" s="564">
        <v>125000</v>
      </c>
      <c r="G31" s="564"/>
      <c r="H31" s="568">
        <v>246000</v>
      </c>
      <c r="I31" s="568"/>
      <c r="J31" s="567">
        <v>400000</v>
      </c>
      <c r="K31" s="564"/>
      <c r="L31" s="564">
        <v>51900</v>
      </c>
      <c r="M31" s="564"/>
      <c r="N31" s="568">
        <v>88800</v>
      </c>
      <c r="O31" s="564"/>
      <c r="P31" s="564">
        <v>20000</v>
      </c>
      <c r="Q31" s="564"/>
      <c r="R31" s="568">
        <v>135500</v>
      </c>
      <c r="S31" s="569"/>
      <c r="T31" s="569"/>
      <c r="U31" s="566"/>
      <c r="V31" s="569"/>
      <c r="W31" s="565"/>
      <c r="X31" s="543"/>
    </row>
    <row r="32" spans="1:24" s="544" customFormat="1" x14ac:dyDescent="0.3">
      <c r="A32" s="555"/>
      <c r="B32" s="556" t="s">
        <v>132</v>
      </c>
      <c r="C32" s="563"/>
      <c r="D32" s="570">
        <f>D34*D38</f>
        <v>371069.63136180001</v>
      </c>
      <c r="E32" s="563"/>
      <c r="F32" s="564">
        <f>F31*F38</f>
        <v>59835.199999999997</v>
      </c>
      <c r="G32" s="564"/>
      <c r="H32" s="568">
        <f>H31*H38</f>
        <v>117755.67359999999</v>
      </c>
      <c r="I32" s="568"/>
      <c r="J32" s="567">
        <f>J31*J38</f>
        <v>191471.88</v>
      </c>
      <c r="K32" s="564"/>
      <c r="L32" s="564">
        <f>+L31</f>
        <v>51900</v>
      </c>
      <c r="M32" s="564"/>
      <c r="N32" s="568">
        <f>+N31</f>
        <v>88800</v>
      </c>
      <c r="O32" s="564"/>
      <c r="P32" s="564">
        <f>+P31</f>
        <v>20000</v>
      </c>
      <c r="Q32" s="564"/>
      <c r="R32" s="568">
        <f>+R31</f>
        <v>135500</v>
      </c>
      <c r="S32" s="564"/>
      <c r="T32" s="564"/>
      <c r="U32" s="563"/>
      <c r="V32" s="564"/>
      <c r="W32" s="565"/>
      <c r="X32" s="543"/>
    </row>
    <row r="33" spans="1:24" s="544" customFormat="1" x14ac:dyDescent="0.3">
      <c r="A33" s="555"/>
      <c r="B33" s="561" t="s">
        <v>134</v>
      </c>
      <c r="C33" s="563"/>
      <c r="D33" s="571">
        <f>D34*D37</f>
        <v>359023.73675700004</v>
      </c>
      <c r="E33" s="566"/>
      <c r="F33" s="569">
        <f>F37*F31</f>
        <v>57892.800000000003</v>
      </c>
      <c r="G33" s="569"/>
      <c r="H33" s="572">
        <f>H31*H37</f>
        <v>113933.0304</v>
      </c>
      <c r="I33" s="572"/>
      <c r="J33" s="573">
        <f>J37*J31</f>
        <v>185256.2</v>
      </c>
      <c r="K33" s="569"/>
      <c r="L33" s="569">
        <f>L31*L37</f>
        <v>51900</v>
      </c>
      <c r="M33" s="569"/>
      <c r="N33" s="572">
        <f>N31*N37</f>
        <v>88800</v>
      </c>
      <c r="O33" s="569"/>
      <c r="P33" s="569">
        <f>P31*P37</f>
        <v>20000</v>
      </c>
      <c r="Q33" s="569"/>
      <c r="R33" s="572">
        <f>R31*R37</f>
        <v>135500</v>
      </c>
      <c r="S33" s="564"/>
      <c r="T33" s="564"/>
      <c r="U33" s="563"/>
      <c r="V33" s="564"/>
      <c r="W33" s="565"/>
      <c r="X33" s="543"/>
    </row>
    <row r="34" spans="1:24" s="544" customFormat="1" x14ac:dyDescent="0.3">
      <c r="A34" s="559"/>
      <c r="B34" s="556" t="s">
        <v>296</v>
      </c>
      <c r="C34" s="566"/>
      <c r="D34" s="564">
        <v>775194</v>
      </c>
      <c r="E34" s="563"/>
      <c r="F34" s="564">
        <v>125000</v>
      </c>
      <c r="G34" s="564"/>
      <c r="H34" s="564">
        <v>168148</v>
      </c>
      <c r="I34" s="564"/>
      <c r="J34" s="564">
        <v>206718</v>
      </c>
      <c r="K34" s="564"/>
      <c r="L34" s="564">
        <v>51900</v>
      </c>
      <c r="M34" s="564"/>
      <c r="N34" s="564">
        <v>60697</v>
      </c>
      <c r="O34" s="564"/>
      <c r="P34" s="564">
        <v>20000</v>
      </c>
      <c r="Q34" s="564"/>
      <c r="R34" s="564">
        <v>92618</v>
      </c>
      <c r="S34" s="569"/>
      <c r="T34" s="569"/>
      <c r="U34" s="566"/>
      <c r="V34" s="564">
        <f>SUM(C34:R34)</f>
        <v>1500275</v>
      </c>
      <c r="W34" s="565"/>
      <c r="X34" s="543"/>
    </row>
    <row r="35" spans="1:24" s="544" customFormat="1" x14ac:dyDescent="0.3">
      <c r="A35" s="559"/>
      <c r="B35" s="556" t="s">
        <v>297</v>
      </c>
      <c r="C35" s="566"/>
      <c r="D35" s="564">
        <f>D34*D38</f>
        <v>371069.63136180001</v>
      </c>
      <c r="E35" s="563"/>
      <c r="F35" s="564">
        <f>F34*F38</f>
        <v>59835.199999999997</v>
      </c>
      <c r="G35" s="564"/>
      <c r="H35" s="564">
        <f>H34*H38</f>
        <v>80489.35367679999</v>
      </c>
      <c r="I35" s="564"/>
      <c r="J35" s="564">
        <f>J34*J38</f>
        <v>98951.710224599999</v>
      </c>
      <c r="K35" s="564"/>
      <c r="L35" s="564">
        <f>+L34</f>
        <v>51900</v>
      </c>
      <c r="M35" s="564"/>
      <c r="N35" s="564">
        <f>+N34</f>
        <v>60697</v>
      </c>
      <c r="O35" s="564"/>
      <c r="P35" s="564">
        <f>+P34</f>
        <v>20000</v>
      </c>
      <c r="Q35" s="564"/>
      <c r="R35" s="564">
        <f>+R34</f>
        <v>92618</v>
      </c>
      <c r="S35" s="564"/>
      <c r="T35" s="564"/>
      <c r="U35" s="563"/>
      <c r="V35" s="564">
        <f>SUM(C35:R35)</f>
        <v>835560.89526320004</v>
      </c>
      <c r="W35" s="565"/>
      <c r="X35" s="543"/>
    </row>
    <row r="36" spans="1:24" s="544" customFormat="1" x14ac:dyDescent="0.3">
      <c r="A36" s="559"/>
      <c r="B36" s="561" t="s">
        <v>298</v>
      </c>
      <c r="C36" s="566"/>
      <c r="D36" s="569">
        <f>D34*D37</f>
        <v>359023.73675700004</v>
      </c>
      <c r="E36" s="566"/>
      <c r="F36" s="569">
        <f>F34*F37</f>
        <v>57892.800000000003</v>
      </c>
      <c r="G36" s="569"/>
      <c r="H36" s="569">
        <f>H34*H37</f>
        <v>77876.468275200008</v>
      </c>
      <c r="I36" s="569"/>
      <c r="J36" s="569">
        <f>J34*J37</f>
        <v>95739.477878999998</v>
      </c>
      <c r="K36" s="569"/>
      <c r="L36" s="569">
        <f>L34*L37</f>
        <v>51900</v>
      </c>
      <c r="M36" s="569"/>
      <c r="N36" s="569">
        <f>N34*N37</f>
        <v>60697</v>
      </c>
      <c r="O36" s="569"/>
      <c r="P36" s="569">
        <f>P34*P37</f>
        <v>20000</v>
      </c>
      <c r="Q36" s="569"/>
      <c r="R36" s="569">
        <f>R34*R37</f>
        <v>92618</v>
      </c>
      <c r="S36" s="574"/>
      <c r="T36" s="574"/>
      <c r="U36" s="563"/>
      <c r="V36" s="569">
        <f>SUM(C36:R36)</f>
        <v>815747.48291120003</v>
      </c>
      <c r="W36" s="565"/>
      <c r="X36" s="543"/>
    </row>
    <row r="37" spans="1:24" s="499" customFormat="1" x14ac:dyDescent="0.3">
      <c r="A37" s="492"/>
      <c r="B37" s="493" t="s">
        <v>130</v>
      </c>
      <c r="C37" s="494"/>
      <c r="D37" s="495">
        <v>0.46314050000000001</v>
      </c>
      <c r="E37" s="495"/>
      <c r="F37" s="495">
        <v>0.46314240000000001</v>
      </c>
      <c r="G37" s="495"/>
      <c r="H37" s="495">
        <v>0.46314240000000001</v>
      </c>
      <c r="I37" s="495"/>
      <c r="J37" s="495">
        <v>0.46314050000000001</v>
      </c>
      <c r="K37" s="495"/>
      <c r="L37" s="495">
        <v>1</v>
      </c>
      <c r="M37" s="495"/>
      <c r="N37" s="495">
        <v>1</v>
      </c>
      <c r="O37" s="495"/>
      <c r="P37" s="495">
        <v>1</v>
      </c>
      <c r="Q37" s="495"/>
      <c r="R37" s="495">
        <v>1</v>
      </c>
      <c r="S37" s="496"/>
      <c r="T37" s="496"/>
      <c r="U37" s="494"/>
      <c r="V37" s="494"/>
      <c r="W37" s="497"/>
      <c r="X37" s="498"/>
    </row>
    <row r="38" spans="1:24" s="499" customFormat="1" x14ac:dyDescent="0.3">
      <c r="A38" s="492"/>
      <c r="B38" s="493" t="s">
        <v>131</v>
      </c>
      <c r="C38" s="494"/>
      <c r="D38" s="495">
        <v>0.47867969999999999</v>
      </c>
      <c r="E38" s="495"/>
      <c r="F38" s="495">
        <v>0.47868159999999998</v>
      </c>
      <c r="G38" s="495"/>
      <c r="H38" s="495">
        <v>0.47868159999999998</v>
      </c>
      <c r="I38" s="495"/>
      <c r="J38" s="495">
        <v>0.47867969999999999</v>
      </c>
      <c r="K38" s="495"/>
      <c r="L38" s="495">
        <v>1</v>
      </c>
      <c r="M38" s="495"/>
      <c r="N38" s="495">
        <v>1</v>
      </c>
      <c r="O38" s="495"/>
      <c r="P38" s="495">
        <v>1</v>
      </c>
      <c r="Q38" s="495"/>
      <c r="R38" s="495">
        <v>1</v>
      </c>
      <c r="S38" s="500"/>
      <c r="T38" s="501"/>
      <c r="U38" s="494"/>
      <c r="V38" s="500"/>
      <c r="W38" s="497"/>
      <c r="X38" s="498"/>
    </row>
    <row r="39" spans="1:24" s="544" customFormat="1" x14ac:dyDescent="0.3">
      <c r="A39" s="555"/>
      <c r="B39" s="556" t="s">
        <v>11</v>
      </c>
      <c r="C39" s="556"/>
      <c r="D39" s="562" t="s">
        <v>321</v>
      </c>
      <c r="E39" s="556"/>
      <c r="F39" s="562" t="s">
        <v>231</v>
      </c>
      <c r="G39" s="562"/>
      <c r="H39" s="562" t="s">
        <v>231</v>
      </c>
      <c r="I39" s="562"/>
      <c r="J39" s="562" t="s">
        <v>231</v>
      </c>
      <c r="K39" s="562"/>
      <c r="L39" s="562" t="s">
        <v>265</v>
      </c>
      <c r="M39" s="562"/>
      <c r="N39" s="562" t="s">
        <v>265</v>
      </c>
      <c r="O39" s="562"/>
      <c r="P39" s="562" t="s">
        <v>266</v>
      </c>
      <c r="Q39" s="562"/>
      <c r="R39" s="562" t="s">
        <v>266</v>
      </c>
      <c r="S39" s="575"/>
      <c r="T39" s="576"/>
      <c r="U39" s="556"/>
      <c r="V39" s="556"/>
      <c r="W39" s="558"/>
      <c r="X39" s="543"/>
    </row>
    <row r="40" spans="1:24" s="544" customFormat="1" x14ac:dyDescent="0.3">
      <c r="A40" s="555"/>
      <c r="B40" s="556" t="s">
        <v>12</v>
      </c>
      <c r="C40" s="556"/>
      <c r="D40" s="576">
        <v>8.3075000000000006E-3</v>
      </c>
      <c r="E40" s="556"/>
      <c r="F40" s="576">
        <v>8.3075000000000006E-3</v>
      </c>
      <c r="G40" s="575"/>
      <c r="H40" s="576">
        <v>0</v>
      </c>
      <c r="I40" s="576"/>
      <c r="J40" s="576">
        <v>2.54063E-2</v>
      </c>
      <c r="K40" s="575"/>
      <c r="L40" s="576">
        <v>9.9074999999999996E-3</v>
      </c>
      <c r="M40" s="575"/>
      <c r="N40" s="576">
        <v>3.8999999999999999E-4</v>
      </c>
      <c r="O40" s="575"/>
      <c r="P40" s="576">
        <v>1.39075E-2</v>
      </c>
      <c r="Q40" s="575"/>
      <c r="R40" s="576">
        <v>4.3899999999999998E-3</v>
      </c>
      <c r="S40" s="575"/>
      <c r="T40" s="576"/>
      <c r="U40" s="556"/>
      <c r="V40" s="562"/>
      <c r="W40" s="558"/>
      <c r="X40" s="543"/>
    </row>
    <row r="41" spans="1:24" s="544" customFormat="1" x14ac:dyDescent="0.3">
      <c r="A41" s="555"/>
      <c r="B41" s="556" t="s">
        <v>13</v>
      </c>
      <c r="C41" s="556"/>
      <c r="D41" s="576">
        <v>8.0590999999999996E-3</v>
      </c>
      <c r="E41" s="556"/>
      <c r="F41" s="576">
        <v>8.0590999999999996E-3</v>
      </c>
      <c r="G41" s="575"/>
      <c r="H41" s="576">
        <v>0</v>
      </c>
      <c r="I41" s="576"/>
      <c r="J41" s="576">
        <v>2.3244999999999998E-2</v>
      </c>
      <c r="K41" s="575"/>
      <c r="L41" s="576">
        <v>9.6591000000000003E-3</v>
      </c>
      <c r="M41" s="575"/>
      <c r="N41" s="576">
        <v>3.3E-4</v>
      </c>
      <c r="O41" s="575"/>
      <c r="P41" s="576">
        <v>1.36591E-2</v>
      </c>
      <c r="Q41" s="575"/>
      <c r="R41" s="576">
        <v>4.3299999999999996E-3</v>
      </c>
      <c r="S41" s="575"/>
      <c r="T41" s="576"/>
      <c r="U41" s="556"/>
      <c r="V41" s="575" t="s">
        <v>193</v>
      </c>
      <c r="W41" s="558"/>
      <c r="X41" s="543"/>
    </row>
    <row r="42" spans="1:24" s="544" customFormat="1" x14ac:dyDescent="0.3">
      <c r="A42" s="555"/>
      <c r="B42" s="556" t="s">
        <v>299</v>
      </c>
      <c r="C42" s="556"/>
      <c r="D42" s="562" t="s">
        <v>321</v>
      </c>
      <c r="E42" s="556"/>
      <c r="F42" s="562" t="s">
        <v>231</v>
      </c>
      <c r="G42" s="562"/>
      <c r="H42" s="562" t="s">
        <v>323</v>
      </c>
      <c r="I42" s="562"/>
      <c r="J42" s="562" t="s">
        <v>324</v>
      </c>
      <c r="K42" s="562"/>
      <c r="L42" s="562" t="s">
        <v>265</v>
      </c>
      <c r="M42" s="562"/>
      <c r="N42" s="562" t="s">
        <v>234</v>
      </c>
      <c r="O42" s="562"/>
      <c r="P42" s="562" t="s">
        <v>266</v>
      </c>
      <c r="Q42" s="562"/>
      <c r="R42" s="562" t="s">
        <v>264</v>
      </c>
      <c r="S42" s="575"/>
      <c r="T42" s="576"/>
      <c r="U42" s="556"/>
      <c r="V42" s="556"/>
      <c r="W42" s="558"/>
      <c r="X42" s="543"/>
    </row>
    <row r="43" spans="1:24" s="544" customFormat="1" x14ac:dyDescent="0.3">
      <c r="A43" s="555"/>
      <c r="B43" s="556" t="s">
        <v>300</v>
      </c>
      <c r="C43" s="577"/>
      <c r="D43" s="576">
        <f>D40</f>
        <v>8.3075000000000006E-3</v>
      </c>
      <c r="E43" s="576"/>
      <c r="F43" s="576">
        <f>+F40</f>
        <v>8.3075000000000006E-3</v>
      </c>
      <c r="G43" s="576"/>
      <c r="H43" s="576">
        <v>8.5874999999999996E-3</v>
      </c>
      <c r="I43" s="576"/>
      <c r="J43" s="576">
        <v>9.0334999999999999E-3</v>
      </c>
      <c r="K43" s="576"/>
      <c r="L43" s="576">
        <f>+L40</f>
        <v>9.9074999999999996E-3</v>
      </c>
      <c r="M43" s="576"/>
      <c r="N43" s="576">
        <v>1.04995E-2</v>
      </c>
      <c r="O43" s="576"/>
      <c r="P43" s="576">
        <f>+P40</f>
        <v>1.39075E-2</v>
      </c>
      <c r="Q43" s="575"/>
      <c r="R43" s="576">
        <v>1.4973500000000001E-2</v>
      </c>
      <c r="S43" s="562"/>
      <c r="T43" s="562"/>
      <c r="U43" s="556"/>
      <c r="V43" s="575">
        <f>SUMPRODUCT(D43:R43,D35:R35)/V35</f>
        <v>9.5519998067136805E-3</v>
      </c>
      <c r="W43" s="558"/>
      <c r="X43" s="543"/>
    </row>
    <row r="44" spans="1:24" s="544" customFormat="1" x14ac:dyDescent="0.3">
      <c r="A44" s="555"/>
      <c r="B44" s="556" t="s">
        <v>301</v>
      </c>
      <c r="C44" s="577"/>
      <c r="D44" s="576">
        <f>D41</f>
        <v>8.0590999999999996E-3</v>
      </c>
      <c r="E44" s="576"/>
      <c r="F44" s="576">
        <f>+F41</f>
        <v>8.0590999999999996E-3</v>
      </c>
      <c r="G44" s="576"/>
      <c r="H44" s="576">
        <v>8.3391000000000003E-3</v>
      </c>
      <c r="I44" s="576"/>
      <c r="J44" s="576">
        <v>8.7851000000000005E-3</v>
      </c>
      <c r="K44" s="576"/>
      <c r="L44" s="576">
        <f>+L41</f>
        <v>9.6591000000000003E-3</v>
      </c>
      <c r="M44" s="576"/>
      <c r="N44" s="576">
        <v>1.0251100000000001E-2</v>
      </c>
      <c r="O44" s="576"/>
      <c r="P44" s="576">
        <f>+P41</f>
        <v>1.36591E-2</v>
      </c>
      <c r="Q44" s="575"/>
      <c r="R44" s="576">
        <v>1.47251E-2</v>
      </c>
      <c r="S44" s="562"/>
      <c r="T44" s="562"/>
      <c r="U44" s="556"/>
      <c r="V44" s="556"/>
      <c r="W44" s="558"/>
      <c r="X44" s="543"/>
    </row>
    <row r="45" spans="1:24" s="544" customFormat="1" x14ac:dyDescent="0.3">
      <c r="A45" s="555"/>
      <c r="B45" s="556" t="s">
        <v>14</v>
      </c>
      <c r="C45" s="556"/>
      <c r="D45" s="577">
        <v>40617</v>
      </c>
      <c r="E45" s="577"/>
      <c r="F45" s="577">
        <v>40617</v>
      </c>
      <c r="G45" s="577"/>
      <c r="H45" s="577">
        <v>40617</v>
      </c>
      <c r="I45" s="577"/>
      <c r="J45" s="577">
        <v>40617</v>
      </c>
      <c r="K45" s="577"/>
      <c r="L45" s="577">
        <v>40617</v>
      </c>
      <c r="M45" s="577"/>
      <c r="N45" s="577">
        <v>40617</v>
      </c>
      <c r="O45" s="577"/>
      <c r="P45" s="577">
        <v>40617</v>
      </c>
      <c r="Q45" s="577"/>
      <c r="R45" s="577">
        <v>40617</v>
      </c>
      <c r="S45" s="562"/>
      <c r="T45" s="562"/>
      <c r="U45" s="556"/>
      <c r="V45" s="556"/>
      <c r="W45" s="558"/>
      <c r="X45" s="543"/>
    </row>
    <row r="46" spans="1:24" s="544" customFormat="1" x14ac:dyDescent="0.3">
      <c r="A46" s="555"/>
      <c r="B46" s="556" t="s">
        <v>15</v>
      </c>
      <c r="C46" s="556"/>
      <c r="D46" s="577">
        <v>40983</v>
      </c>
      <c r="E46" s="577"/>
      <c r="F46" s="577">
        <v>40983</v>
      </c>
      <c r="G46" s="577"/>
      <c r="H46" s="577">
        <v>40983</v>
      </c>
      <c r="I46" s="577"/>
      <c r="J46" s="577">
        <v>40983</v>
      </c>
      <c r="K46" s="562"/>
      <c r="L46" s="577">
        <v>40983</v>
      </c>
      <c r="M46" s="562"/>
      <c r="N46" s="577">
        <v>40983</v>
      </c>
      <c r="O46" s="562"/>
      <c r="P46" s="577">
        <v>40983</v>
      </c>
      <c r="Q46" s="562"/>
      <c r="R46" s="577">
        <v>40983</v>
      </c>
      <c r="S46" s="562"/>
      <c r="T46" s="562"/>
      <c r="U46" s="556"/>
      <c r="V46" s="556"/>
      <c r="W46" s="558"/>
      <c r="X46" s="543"/>
    </row>
    <row r="47" spans="1:24" s="544" customFormat="1" x14ac:dyDescent="0.3">
      <c r="A47" s="555"/>
      <c r="B47" s="556" t="s">
        <v>119</v>
      </c>
      <c r="C47" s="556"/>
      <c r="D47" s="562" t="s">
        <v>231</v>
      </c>
      <c r="E47" s="556"/>
      <c r="F47" s="562" t="s">
        <v>231</v>
      </c>
      <c r="G47" s="562"/>
      <c r="H47" s="562" t="s">
        <v>231</v>
      </c>
      <c r="I47" s="562"/>
      <c r="J47" s="562" t="s">
        <v>231</v>
      </c>
      <c r="K47" s="562"/>
      <c r="L47" s="562" t="s">
        <v>265</v>
      </c>
      <c r="M47" s="562"/>
      <c r="N47" s="562" t="s">
        <v>265</v>
      </c>
      <c r="O47" s="562"/>
      <c r="P47" s="562" t="s">
        <v>266</v>
      </c>
      <c r="Q47" s="562"/>
      <c r="R47" s="562" t="s">
        <v>266</v>
      </c>
      <c r="S47" s="578"/>
      <c r="T47" s="578"/>
      <c r="U47" s="578"/>
      <c r="V47" s="578"/>
      <c r="W47" s="558"/>
      <c r="X47" s="543"/>
    </row>
    <row r="48" spans="1:24" s="544" customFormat="1" x14ac:dyDescent="0.3">
      <c r="A48" s="555"/>
      <c r="B48" s="556" t="s">
        <v>302</v>
      </c>
      <c r="C48" s="556"/>
      <c r="D48" s="562" t="s">
        <v>325</v>
      </c>
      <c r="E48" s="556"/>
      <c r="F48" s="562" t="s">
        <v>231</v>
      </c>
      <c r="G48" s="562"/>
      <c r="H48" s="562" t="s">
        <v>262</v>
      </c>
      <c r="I48" s="562"/>
      <c r="J48" s="562" t="s">
        <v>263</v>
      </c>
      <c r="K48" s="562"/>
      <c r="L48" s="562" t="s">
        <v>265</v>
      </c>
      <c r="M48" s="562"/>
      <c r="N48" s="562" t="s">
        <v>234</v>
      </c>
      <c r="O48" s="562"/>
      <c r="P48" s="562" t="s">
        <v>266</v>
      </c>
      <c r="Q48" s="562"/>
      <c r="R48" s="562" t="s">
        <v>264</v>
      </c>
      <c r="S48" s="556"/>
      <c r="T48" s="556"/>
      <c r="U48" s="556"/>
      <c r="V48" s="575"/>
      <c r="W48" s="558"/>
      <c r="X48" s="543"/>
    </row>
    <row r="49" spans="1:25" s="544" customFormat="1" x14ac:dyDescent="0.3">
      <c r="A49" s="555"/>
      <c r="B49" s="556"/>
      <c r="C49" s="556"/>
      <c r="D49" s="562"/>
      <c r="E49" s="556"/>
      <c r="F49" s="562"/>
      <c r="G49" s="562"/>
      <c r="H49" s="562"/>
      <c r="I49" s="562"/>
      <c r="J49" s="562"/>
      <c r="K49" s="562"/>
      <c r="L49" s="562"/>
      <c r="M49" s="562"/>
      <c r="N49" s="562"/>
      <c r="O49" s="562"/>
      <c r="P49" s="562"/>
      <c r="Q49" s="562"/>
      <c r="R49" s="562"/>
      <c r="S49" s="556"/>
      <c r="T49" s="556"/>
      <c r="U49" s="556"/>
      <c r="V49" s="575" t="s">
        <v>193</v>
      </c>
      <c r="W49" s="558"/>
      <c r="X49" s="543"/>
    </row>
    <row r="50" spans="1:25" s="544" customFormat="1" x14ac:dyDescent="0.3">
      <c r="A50" s="555"/>
      <c r="B50" s="556" t="s">
        <v>169</v>
      </c>
      <c r="C50" s="556"/>
      <c r="D50" s="562"/>
      <c r="E50" s="556"/>
      <c r="F50" s="562"/>
      <c r="G50" s="562"/>
      <c r="H50" s="562"/>
      <c r="I50" s="562"/>
      <c r="J50" s="562"/>
      <c r="K50" s="562"/>
      <c r="L50" s="562"/>
      <c r="M50" s="562"/>
      <c r="N50" s="562"/>
      <c r="O50" s="562"/>
      <c r="P50" s="562"/>
      <c r="Q50" s="562"/>
      <c r="R50" s="562"/>
      <c r="S50" s="556"/>
      <c r="T50" s="556"/>
      <c r="U50" s="556"/>
      <c r="V50" s="575">
        <f>SUM(L34:R34)/SUM(D34:J34)</f>
        <v>0.17663090364375009</v>
      </c>
      <c r="W50" s="558"/>
      <c r="X50" s="543"/>
    </row>
    <row r="51" spans="1:25" s="544" customFormat="1" x14ac:dyDescent="0.3">
      <c r="A51" s="555"/>
      <c r="B51" s="556" t="s">
        <v>170</v>
      </c>
      <c r="C51" s="556"/>
      <c r="D51" s="556"/>
      <c r="E51" s="556"/>
      <c r="F51" s="579"/>
      <c r="G51" s="556"/>
      <c r="H51" s="556"/>
      <c r="I51" s="556"/>
      <c r="J51" s="556"/>
      <c r="K51" s="556"/>
      <c r="L51" s="556"/>
      <c r="M51" s="556"/>
      <c r="N51" s="556"/>
      <c r="O51" s="556"/>
      <c r="P51" s="556"/>
      <c r="Q51" s="556"/>
      <c r="R51" s="556"/>
      <c r="S51" s="556"/>
      <c r="T51" s="556"/>
      <c r="U51" s="556"/>
      <c r="V51" s="575">
        <f>SUM(L36:R36)/SUM(D36:J36)</f>
        <v>0.38137614190118341</v>
      </c>
      <c r="W51" s="558"/>
      <c r="X51" s="543"/>
    </row>
    <row r="52" spans="1:25" s="544" customFormat="1" x14ac:dyDescent="0.3">
      <c r="A52" s="555"/>
      <c r="B52" s="556" t="s">
        <v>171</v>
      </c>
      <c r="C52" s="556"/>
      <c r="D52" s="556"/>
      <c r="E52" s="556"/>
      <c r="F52" s="556"/>
      <c r="G52" s="556"/>
      <c r="H52" s="556"/>
      <c r="I52" s="556"/>
      <c r="J52" s="556"/>
      <c r="K52" s="556"/>
      <c r="L52" s="556"/>
      <c r="M52" s="556"/>
      <c r="N52" s="556"/>
      <c r="O52" s="556"/>
      <c r="P52" s="556"/>
      <c r="Q52" s="556"/>
      <c r="R52" s="556"/>
      <c r="S52" s="556"/>
      <c r="T52" s="562"/>
      <c r="U52" s="562"/>
      <c r="V52" s="564" t="s">
        <v>276</v>
      </c>
      <c r="W52" s="558"/>
      <c r="X52" s="543"/>
    </row>
    <row r="53" spans="1:25" s="544" customFormat="1" x14ac:dyDescent="0.3">
      <c r="A53" s="555"/>
      <c r="B53" s="556"/>
      <c r="C53" s="556"/>
      <c r="D53" s="556"/>
      <c r="E53" s="556"/>
      <c r="F53" s="556"/>
      <c r="G53" s="556"/>
      <c r="H53" s="556"/>
      <c r="I53" s="556"/>
      <c r="J53" s="556"/>
      <c r="K53" s="556"/>
      <c r="L53" s="556"/>
      <c r="M53" s="556"/>
      <c r="N53" s="556"/>
      <c r="O53" s="556"/>
      <c r="P53" s="556"/>
      <c r="Q53" s="556"/>
      <c r="R53" s="556"/>
      <c r="S53" s="556"/>
      <c r="T53" s="556"/>
      <c r="U53" s="556"/>
      <c r="V53" s="580"/>
      <c r="W53" s="558"/>
      <c r="X53" s="543"/>
    </row>
    <row r="54" spans="1:25" s="544" customFormat="1" x14ac:dyDescent="0.3">
      <c r="A54" s="555"/>
      <c r="B54" s="556" t="s">
        <v>361</v>
      </c>
      <c r="C54" s="556"/>
      <c r="D54" s="556"/>
      <c r="E54" s="556"/>
      <c r="F54" s="556"/>
      <c r="G54" s="556"/>
      <c r="H54" s="556"/>
      <c r="I54" s="556"/>
      <c r="J54" s="556"/>
      <c r="K54" s="556"/>
      <c r="L54" s="556"/>
      <c r="M54" s="556"/>
      <c r="N54" s="556"/>
      <c r="O54" s="556"/>
      <c r="P54" s="556"/>
      <c r="Q54" s="556"/>
      <c r="R54" s="556"/>
      <c r="S54" s="556"/>
      <c r="T54" s="562"/>
      <c r="U54" s="562"/>
      <c r="V54" s="581" t="s">
        <v>111</v>
      </c>
      <c r="W54" s="558"/>
      <c r="X54" s="543"/>
    </row>
    <row r="55" spans="1:25" s="544" customFormat="1" x14ac:dyDescent="0.3">
      <c r="A55" s="555"/>
      <c r="B55" s="561" t="s">
        <v>201</v>
      </c>
      <c r="C55" s="561"/>
      <c r="D55" s="561"/>
      <c r="E55" s="561"/>
      <c r="F55" s="561"/>
      <c r="G55" s="561"/>
      <c r="H55" s="561"/>
      <c r="I55" s="561"/>
      <c r="J55" s="561"/>
      <c r="K55" s="561"/>
      <c r="L55" s="561"/>
      <c r="M55" s="561"/>
      <c r="N55" s="561"/>
      <c r="O55" s="561"/>
      <c r="P55" s="561"/>
      <c r="Q55" s="561"/>
      <c r="R55" s="561"/>
      <c r="S55" s="561"/>
      <c r="T55" s="582"/>
      <c r="U55" s="582"/>
      <c r="V55" s="583">
        <v>43360</v>
      </c>
      <c r="W55" s="558"/>
      <c r="X55" s="543"/>
    </row>
    <row r="56" spans="1:25" s="544" customFormat="1" x14ac:dyDescent="0.3">
      <c r="A56" s="555"/>
      <c r="B56" s="556" t="s">
        <v>121</v>
      </c>
      <c r="C56" s="556"/>
      <c r="D56" s="556"/>
      <c r="E56" s="556"/>
      <c r="F56" s="556"/>
      <c r="G56" s="556"/>
      <c r="H56" s="584"/>
      <c r="I56" s="584"/>
      <c r="J56" s="584"/>
      <c r="K56" s="584"/>
      <c r="L56" s="584"/>
      <c r="M56" s="584"/>
      <c r="N56" s="584"/>
      <c r="O56" s="584"/>
      <c r="P56" s="584"/>
      <c r="Q56" s="584"/>
      <c r="R56" s="556">
        <f>+V56-T56+1</f>
        <v>92</v>
      </c>
      <c r="S56" s="584"/>
      <c r="T56" s="585">
        <v>43174</v>
      </c>
      <c r="U56" s="586"/>
      <c r="V56" s="585">
        <v>43265</v>
      </c>
      <c r="W56" s="558"/>
      <c r="X56" s="543"/>
    </row>
    <row r="57" spans="1:25" s="544" customFormat="1" x14ac:dyDescent="0.3">
      <c r="A57" s="555"/>
      <c r="B57" s="556" t="s">
        <v>122</v>
      </c>
      <c r="C57" s="556"/>
      <c r="D57" s="556"/>
      <c r="E57" s="556"/>
      <c r="F57" s="556"/>
      <c r="G57" s="556"/>
      <c r="H57" s="556"/>
      <c r="I57" s="556"/>
      <c r="J57" s="556"/>
      <c r="K57" s="556"/>
      <c r="L57" s="556"/>
      <c r="M57" s="556"/>
      <c r="N57" s="556"/>
      <c r="O57" s="556"/>
      <c r="P57" s="556"/>
      <c r="Q57" s="556"/>
      <c r="R57" s="556">
        <f>+V57-T57+1</f>
        <v>94</v>
      </c>
      <c r="S57" s="556"/>
      <c r="T57" s="585">
        <v>43266</v>
      </c>
      <c r="U57" s="586"/>
      <c r="V57" s="585">
        <v>43359</v>
      </c>
      <c r="W57" s="558"/>
      <c r="X57" s="543"/>
    </row>
    <row r="58" spans="1:25" s="544" customFormat="1" x14ac:dyDescent="0.3">
      <c r="A58" s="555"/>
      <c r="B58" s="556" t="s">
        <v>360</v>
      </c>
      <c r="C58" s="556"/>
      <c r="D58" s="556"/>
      <c r="E58" s="556"/>
      <c r="F58" s="556"/>
      <c r="G58" s="556"/>
      <c r="H58" s="556"/>
      <c r="I58" s="556"/>
      <c r="J58" s="556"/>
      <c r="K58" s="556"/>
      <c r="L58" s="556"/>
      <c r="M58" s="556"/>
      <c r="N58" s="556"/>
      <c r="O58" s="556"/>
      <c r="P58" s="556"/>
      <c r="Q58" s="556"/>
      <c r="R58" s="556"/>
      <c r="S58" s="556"/>
      <c r="T58" s="585"/>
      <c r="U58" s="586"/>
      <c r="V58" s="585" t="s">
        <v>120</v>
      </c>
      <c r="W58" s="558"/>
      <c r="X58" s="543"/>
    </row>
    <row r="59" spans="1:25" s="544" customFormat="1" x14ac:dyDescent="0.3">
      <c r="A59" s="555"/>
      <c r="B59" s="556" t="s">
        <v>359</v>
      </c>
      <c r="C59" s="556"/>
      <c r="D59" s="556"/>
      <c r="E59" s="556"/>
      <c r="F59" s="556"/>
      <c r="G59" s="556"/>
      <c r="H59" s="556"/>
      <c r="I59" s="556"/>
      <c r="J59" s="556"/>
      <c r="K59" s="556"/>
      <c r="L59" s="556"/>
      <c r="M59" s="556"/>
      <c r="N59" s="556"/>
      <c r="O59" s="556"/>
      <c r="P59" s="556"/>
      <c r="Q59" s="556"/>
      <c r="R59" s="556"/>
      <c r="S59" s="556"/>
      <c r="T59" s="585"/>
      <c r="U59" s="586"/>
      <c r="V59" s="585" t="s">
        <v>154</v>
      </c>
      <c r="W59" s="558"/>
      <c r="X59" s="543"/>
      <c r="Y59" s="587"/>
    </row>
    <row r="60" spans="1:25" s="544" customFormat="1" x14ac:dyDescent="0.3">
      <c r="A60" s="555"/>
      <c r="B60" s="556" t="s">
        <v>16</v>
      </c>
      <c r="C60" s="556"/>
      <c r="D60" s="556"/>
      <c r="E60" s="556"/>
      <c r="F60" s="556"/>
      <c r="G60" s="556"/>
      <c r="H60" s="556"/>
      <c r="I60" s="556"/>
      <c r="J60" s="556"/>
      <c r="K60" s="556"/>
      <c r="L60" s="556"/>
      <c r="M60" s="556"/>
      <c r="N60" s="556"/>
      <c r="O60" s="556"/>
      <c r="P60" s="556"/>
      <c r="Q60" s="556"/>
      <c r="R60" s="556"/>
      <c r="S60" s="556"/>
      <c r="T60" s="585"/>
      <c r="U60" s="586"/>
      <c r="V60" s="585">
        <v>43346</v>
      </c>
      <c r="W60" s="558"/>
      <c r="X60" s="543"/>
    </row>
    <row r="61" spans="1:25" s="544" customFormat="1" x14ac:dyDescent="0.3">
      <c r="A61" s="540"/>
      <c r="B61" s="588"/>
      <c r="C61" s="588"/>
      <c r="D61" s="588"/>
      <c r="E61" s="588"/>
      <c r="F61" s="588"/>
      <c r="G61" s="588"/>
      <c r="H61" s="588"/>
      <c r="I61" s="588"/>
      <c r="J61" s="588"/>
      <c r="K61" s="588"/>
      <c r="L61" s="588"/>
      <c r="M61" s="588"/>
      <c r="N61" s="588"/>
      <c r="O61" s="588"/>
      <c r="P61" s="588"/>
      <c r="Q61" s="588"/>
      <c r="R61" s="588"/>
      <c r="S61" s="588"/>
      <c r="T61" s="589"/>
      <c r="U61" s="590"/>
      <c r="V61" s="589"/>
      <c r="W61" s="588"/>
      <c r="X61" s="543"/>
    </row>
    <row r="62" spans="1:25" s="544" customFormat="1" x14ac:dyDescent="0.3">
      <c r="A62" s="540"/>
      <c r="B62" s="541"/>
      <c r="C62" s="541"/>
      <c r="D62" s="541"/>
      <c r="E62" s="541"/>
      <c r="F62" s="541"/>
      <c r="G62" s="541"/>
      <c r="H62" s="541"/>
      <c r="I62" s="541"/>
      <c r="J62" s="541"/>
      <c r="K62" s="541"/>
      <c r="L62" s="541"/>
      <c r="M62" s="541"/>
      <c r="N62" s="541"/>
      <c r="O62" s="541"/>
      <c r="P62" s="541"/>
      <c r="Q62" s="541"/>
      <c r="R62" s="541"/>
      <c r="S62" s="541"/>
      <c r="T62" s="591"/>
      <c r="U62" s="592"/>
      <c r="V62" s="591"/>
      <c r="W62" s="541"/>
      <c r="X62" s="543"/>
    </row>
    <row r="63" spans="1:25" s="544" customFormat="1" ht="18.600000000000001" thickBot="1" x14ac:dyDescent="0.4">
      <c r="A63" s="593"/>
      <c r="B63" s="594" t="s">
        <v>378</v>
      </c>
      <c r="C63" s="595"/>
      <c r="D63" s="595"/>
      <c r="E63" s="595"/>
      <c r="F63" s="595"/>
      <c r="G63" s="595"/>
      <c r="H63" s="595"/>
      <c r="I63" s="595"/>
      <c r="J63" s="595"/>
      <c r="K63" s="595"/>
      <c r="L63" s="595"/>
      <c r="M63" s="595"/>
      <c r="N63" s="595"/>
      <c r="O63" s="595"/>
      <c r="P63" s="595"/>
      <c r="Q63" s="595"/>
      <c r="R63" s="595"/>
      <c r="S63" s="595"/>
      <c r="T63" s="595"/>
      <c r="U63" s="595"/>
      <c r="V63" s="596"/>
      <c r="W63" s="597"/>
      <c r="X63" s="543"/>
    </row>
    <row r="64" spans="1:25" x14ac:dyDescent="0.3">
      <c r="A64" s="515"/>
      <c r="B64" s="521" t="s">
        <v>17</v>
      </c>
      <c r="C64" s="516"/>
      <c r="D64" s="516"/>
      <c r="E64" s="516"/>
      <c r="F64" s="516"/>
      <c r="G64" s="516"/>
      <c r="H64" s="516"/>
      <c r="I64" s="516"/>
      <c r="J64" s="516"/>
      <c r="K64" s="516"/>
      <c r="L64" s="516"/>
      <c r="M64" s="516"/>
      <c r="N64" s="516"/>
      <c r="O64" s="516"/>
      <c r="P64" s="516"/>
      <c r="Q64" s="516"/>
      <c r="R64" s="516"/>
      <c r="S64" s="516"/>
      <c r="T64" s="516"/>
      <c r="U64" s="516"/>
      <c r="V64" s="522"/>
      <c r="W64" s="516"/>
      <c r="X64" s="415"/>
    </row>
    <row r="65" spans="1:24" x14ac:dyDescent="0.3">
      <c r="A65" s="417"/>
      <c r="B65" s="425"/>
      <c r="C65" s="419"/>
      <c r="D65" s="419"/>
      <c r="E65" s="419"/>
      <c r="F65" s="419"/>
      <c r="G65" s="419"/>
      <c r="H65" s="419"/>
      <c r="I65" s="419"/>
      <c r="J65" s="419"/>
      <c r="K65" s="419"/>
      <c r="L65" s="419"/>
      <c r="M65" s="419"/>
      <c r="N65" s="419"/>
      <c r="O65" s="419"/>
      <c r="P65" s="419"/>
      <c r="Q65" s="419"/>
      <c r="R65" s="419"/>
      <c r="S65" s="419"/>
      <c r="T65" s="419"/>
      <c r="U65" s="419"/>
      <c r="V65" s="439"/>
      <c r="W65" s="419"/>
      <c r="X65" s="415"/>
    </row>
    <row r="66" spans="1:24" s="499" customFormat="1" ht="46.8" x14ac:dyDescent="0.3">
      <c r="A66" s="502"/>
      <c r="B66" s="503" t="s">
        <v>18</v>
      </c>
      <c r="C66" s="504"/>
      <c r="D66" s="504"/>
      <c r="E66" s="504"/>
      <c r="F66" s="504"/>
      <c r="G66" s="504"/>
      <c r="H66" s="504"/>
      <c r="I66" s="504"/>
      <c r="J66" s="504"/>
      <c r="K66" s="504"/>
      <c r="L66" s="504" t="s">
        <v>94</v>
      </c>
      <c r="M66" s="504"/>
      <c r="N66" s="504" t="s">
        <v>96</v>
      </c>
      <c r="O66" s="504"/>
      <c r="P66" s="504" t="s">
        <v>98</v>
      </c>
      <c r="Q66" s="504"/>
      <c r="R66" s="504" t="s">
        <v>100</v>
      </c>
      <c r="S66" s="504"/>
      <c r="T66" s="504" t="s">
        <v>106</v>
      </c>
      <c r="U66" s="504"/>
      <c r="V66" s="505" t="s">
        <v>112</v>
      </c>
      <c r="W66" s="506"/>
      <c r="X66" s="498"/>
    </row>
    <row r="67" spans="1:24" s="544" customFormat="1" x14ac:dyDescent="0.3">
      <c r="A67" s="555"/>
      <c r="B67" s="556" t="s">
        <v>19</v>
      </c>
      <c r="C67" s="598"/>
      <c r="D67" s="598"/>
      <c r="E67" s="598"/>
      <c r="F67" s="598"/>
      <c r="G67" s="598"/>
      <c r="H67" s="598"/>
      <c r="I67" s="598"/>
      <c r="J67" s="598"/>
      <c r="K67" s="598"/>
      <c r="L67" s="598">
        <v>1158015</v>
      </c>
      <c r="M67" s="598"/>
      <c r="N67" s="599">
        <v>835561</v>
      </c>
      <c r="O67" s="598"/>
      <c r="P67" s="598">
        <f>19814+351+131</f>
        <v>20296</v>
      </c>
      <c r="Q67" s="598"/>
      <c r="R67" s="598">
        <f>351+131</f>
        <v>482</v>
      </c>
      <c r="S67" s="598"/>
      <c r="T67" s="598">
        <v>0</v>
      </c>
      <c r="U67" s="598"/>
      <c r="V67" s="599">
        <f>+N67-P67+R67-T67</f>
        <v>815747</v>
      </c>
      <c r="W67" s="558"/>
      <c r="X67" s="543"/>
    </row>
    <row r="68" spans="1:24" s="544" customFormat="1" x14ac:dyDescent="0.3">
      <c r="A68" s="555"/>
      <c r="B68" s="556" t="s">
        <v>20</v>
      </c>
      <c r="C68" s="598"/>
      <c r="D68" s="598"/>
      <c r="E68" s="598"/>
      <c r="F68" s="598"/>
      <c r="G68" s="598"/>
      <c r="H68" s="598"/>
      <c r="I68" s="598"/>
      <c r="J68" s="598"/>
      <c r="K68" s="598"/>
      <c r="L68" s="598">
        <v>15</v>
      </c>
      <c r="M68" s="598"/>
      <c r="N68" s="599">
        <v>0</v>
      </c>
      <c r="O68" s="598"/>
      <c r="P68" s="598">
        <v>0</v>
      </c>
      <c r="Q68" s="598"/>
      <c r="R68" s="598">
        <v>0</v>
      </c>
      <c r="S68" s="598"/>
      <c r="T68" s="598">
        <v>0</v>
      </c>
      <c r="U68" s="598"/>
      <c r="V68" s="599">
        <v>0</v>
      </c>
      <c r="W68" s="558"/>
      <c r="X68" s="543"/>
    </row>
    <row r="69" spans="1:24" s="544" customFormat="1" x14ac:dyDescent="0.3">
      <c r="A69" s="555"/>
      <c r="B69" s="556"/>
      <c r="C69" s="598"/>
      <c r="D69" s="598"/>
      <c r="E69" s="598"/>
      <c r="F69" s="598"/>
      <c r="G69" s="598"/>
      <c r="H69" s="598"/>
      <c r="I69" s="598"/>
      <c r="J69" s="598"/>
      <c r="K69" s="598"/>
      <c r="L69" s="598"/>
      <c r="M69" s="598"/>
      <c r="N69" s="599"/>
      <c r="O69" s="598"/>
      <c r="P69" s="598"/>
      <c r="Q69" s="598"/>
      <c r="R69" s="598"/>
      <c r="S69" s="598"/>
      <c r="T69" s="598"/>
      <c r="U69" s="598"/>
      <c r="V69" s="599"/>
      <c r="W69" s="558"/>
      <c r="X69" s="543"/>
    </row>
    <row r="70" spans="1:24" s="544" customFormat="1" x14ac:dyDescent="0.3">
      <c r="A70" s="555"/>
      <c r="B70" s="556" t="s">
        <v>21</v>
      </c>
      <c r="C70" s="598"/>
      <c r="D70" s="598"/>
      <c r="E70" s="598"/>
      <c r="F70" s="598"/>
      <c r="G70" s="598"/>
      <c r="H70" s="598"/>
      <c r="I70" s="598"/>
      <c r="J70" s="598"/>
      <c r="K70" s="598"/>
      <c r="L70" s="598">
        <f>SUM(L67:L69)</f>
        <v>1158030</v>
      </c>
      <c r="M70" s="598"/>
      <c r="N70" s="598">
        <f>N67+N68</f>
        <v>835561</v>
      </c>
      <c r="O70" s="598"/>
      <c r="P70" s="598">
        <f>SUM(P67:P69)</f>
        <v>20296</v>
      </c>
      <c r="Q70" s="598"/>
      <c r="R70" s="598">
        <f>SUM(R67:R69)</f>
        <v>482</v>
      </c>
      <c r="S70" s="598"/>
      <c r="T70" s="598">
        <f>SUM(T67:T69)</f>
        <v>0</v>
      </c>
      <c r="U70" s="598"/>
      <c r="V70" s="598">
        <f>SUM(V67:V69)</f>
        <v>815747</v>
      </c>
      <c r="W70" s="558"/>
      <c r="X70" s="543"/>
    </row>
    <row r="71" spans="1:24" x14ac:dyDescent="0.3">
      <c r="A71" s="417"/>
      <c r="B71" s="441"/>
      <c r="C71" s="442"/>
      <c r="D71" s="442"/>
      <c r="E71" s="442"/>
      <c r="F71" s="442"/>
      <c r="G71" s="442"/>
      <c r="H71" s="442"/>
      <c r="I71" s="442"/>
      <c r="J71" s="442"/>
      <c r="K71" s="442"/>
      <c r="L71" s="442"/>
      <c r="M71" s="442"/>
      <c r="N71" s="442"/>
      <c r="O71" s="442"/>
      <c r="P71" s="442"/>
      <c r="Q71" s="442"/>
      <c r="R71" s="442"/>
      <c r="S71" s="442"/>
      <c r="T71" s="442"/>
      <c r="U71" s="442"/>
      <c r="V71" s="443"/>
      <c r="W71" s="441"/>
      <c r="X71" s="415"/>
    </row>
    <row r="72" spans="1:24" x14ac:dyDescent="0.3">
      <c r="A72" s="417"/>
      <c r="B72" s="421" t="s">
        <v>22</v>
      </c>
      <c r="C72" s="444"/>
      <c r="D72" s="444"/>
      <c r="E72" s="444"/>
      <c r="F72" s="444"/>
      <c r="G72" s="444"/>
      <c r="H72" s="444"/>
      <c r="I72" s="444"/>
      <c r="J72" s="444"/>
      <c r="K72" s="444"/>
      <c r="L72" s="444"/>
      <c r="M72" s="444"/>
      <c r="N72" s="444"/>
      <c r="O72" s="444"/>
      <c r="P72" s="444"/>
      <c r="Q72" s="444"/>
      <c r="R72" s="444"/>
      <c r="S72" s="444"/>
      <c r="T72" s="444"/>
      <c r="U72" s="444"/>
      <c r="V72" s="445"/>
      <c r="W72" s="419"/>
      <c r="X72" s="415"/>
    </row>
    <row r="73" spans="1:24" x14ac:dyDescent="0.3">
      <c r="A73" s="417"/>
      <c r="B73" s="419"/>
      <c r="C73" s="444"/>
      <c r="D73" s="444"/>
      <c r="E73" s="444"/>
      <c r="F73" s="444"/>
      <c r="G73" s="444"/>
      <c r="H73" s="444"/>
      <c r="I73" s="444"/>
      <c r="J73" s="444"/>
      <c r="K73" s="444"/>
      <c r="L73" s="444"/>
      <c r="M73" s="444"/>
      <c r="N73" s="444"/>
      <c r="O73" s="444"/>
      <c r="P73" s="444"/>
      <c r="Q73" s="444"/>
      <c r="R73" s="444"/>
      <c r="S73" s="444"/>
      <c r="T73" s="444"/>
      <c r="U73" s="444"/>
      <c r="V73" s="445"/>
      <c r="W73" s="419"/>
      <c r="X73" s="415"/>
    </row>
    <row r="74" spans="1:24" s="544" customFormat="1" x14ac:dyDescent="0.3">
      <c r="A74" s="555"/>
      <c r="B74" s="556" t="s">
        <v>19</v>
      </c>
      <c r="C74" s="598"/>
      <c r="D74" s="598"/>
      <c r="E74" s="598"/>
      <c r="F74" s="598"/>
      <c r="G74" s="598"/>
      <c r="H74" s="598"/>
      <c r="I74" s="598"/>
      <c r="J74" s="598"/>
      <c r="K74" s="598"/>
      <c r="L74" s="598"/>
      <c r="M74" s="598"/>
      <c r="N74" s="598"/>
      <c r="O74" s="598"/>
      <c r="P74" s="598"/>
      <c r="Q74" s="598"/>
      <c r="R74" s="598"/>
      <c r="S74" s="598"/>
      <c r="T74" s="598"/>
      <c r="U74" s="598"/>
      <c r="V74" s="598"/>
      <c r="W74" s="558"/>
      <c r="X74" s="543"/>
    </row>
    <row r="75" spans="1:24" s="544" customFormat="1" x14ac:dyDescent="0.3">
      <c r="A75" s="555"/>
      <c r="B75" s="556" t="s">
        <v>20</v>
      </c>
      <c r="C75" s="598"/>
      <c r="D75" s="598"/>
      <c r="E75" s="598"/>
      <c r="F75" s="598"/>
      <c r="G75" s="598"/>
      <c r="H75" s="598"/>
      <c r="I75" s="598"/>
      <c r="J75" s="598"/>
      <c r="K75" s="598"/>
      <c r="L75" s="598"/>
      <c r="M75" s="598"/>
      <c r="N75" s="598"/>
      <c r="O75" s="598"/>
      <c r="P75" s="598"/>
      <c r="Q75" s="598"/>
      <c r="R75" s="598"/>
      <c r="S75" s="598"/>
      <c r="T75" s="598"/>
      <c r="U75" s="598"/>
      <c r="V75" s="598"/>
      <c r="W75" s="558"/>
      <c r="X75" s="543"/>
    </row>
    <row r="76" spans="1:24" s="544" customFormat="1" x14ac:dyDescent="0.3">
      <c r="A76" s="555"/>
      <c r="B76" s="556"/>
      <c r="C76" s="598"/>
      <c r="D76" s="598"/>
      <c r="E76" s="598"/>
      <c r="F76" s="598"/>
      <c r="G76" s="598"/>
      <c r="H76" s="598"/>
      <c r="I76" s="598"/>
      <c r="J76" s="598"/>
      <c r="K76" s="598"/>
      <c r="L76" s="598"/>
      <c r="M76" s="598"/>
      <c r="N76" s="598"/>
      <c r="O76" s="598"/>
      <c r="P76" s="598"/>
      <c r="Q76" s="598"/>
      <c r="R76" s="598"/>
      <c r="S76" s="598"/>
      <c r="T76" s="598"/>
      <c r="U76" s="598"/>
      <c r="V76" s="598"/>
      <c r="W76" s="558"/>
      <c r="X76" s="543"/>
    </row>
    <row r="77" spans="1:24" s="544" customFormat="1" x14ac:dyDescent="0.3">
      <c r="A77" s="555"/>
      <c r="B77" s="556" t="s">
        <v>21</v>
      </c>
      <c r="C77" s="598"/>
      <c r="D77" s="598"/>
      <c r="E77" s="598"/>
      <c r="F77" s="598"/>
      <c r="G77" s="598"/>
      <c r="H77" s="598"/>
      <c r="I77" s="598"/>
      <c r="J77" s="598"/>
      <c r="K77" s="598"/>
      <c r="L77" s="598"/>
      <c r="M77" s="598"/>
      <c r="N77" s="598"/>
      <c r="O77" s="598"/>
      <c r="P77" s="598"/>
      <c r="Q77" s="598"/>
      <c r="R77" s="598"/>
      <c r="S77" s="598"/>
      <c r="T77" s="598"/>
      <c r="U77" s="598"/>
      <c r="V77" s="598"/>
      <c r="W77" s="558"/>
      <c r="X77" s="543"/>
    </row>
    <row r="78" spans="1:24" s="544" customFormat="1" x14ac:dyDescent="0.3">
      <c r="A78" s="555"/>
      <c r="B78" s="556"/>
      <c r="C78" s="598"/>
      <c r="D78" s="598"/>
      <c r="E78" s="598"/>
      <c r="F78" s="598"/>
      <c r="G78" s="598"/>
      <c r="H78" s="598"/>
      <c r="I78" s="598"/>
      <c r="J78" s="598"/>
      <c r="K78" s="598"/>
      <c r="L78" s="598"/>
      <c r="M78" s="598"/>
      <c r="N78" s="598"/>
      <c r="O78" s="598"/>
      <c r="P78" s="598"/>
      <c r="Q78" s="598"/>
      <c r="R78" s="598"/>
      <c r="S78" s="598"/>
      <c r="T78" s="598"/>
      <c r="U78" s="598"/>
      <c r="V78" s="598"/>
      <c r="W78" s="558"/>
      <c r="X78" s="543"/>
    </row>
    <row r="79" spans="1:24" s="544" customFormat="1" x14ac:dyDescent="0.3">
      <c r="A79" s="555"/>
      <c r="B79" s="556" t="s">
        <v>23</v>
      </c>
      <c r="C79" s="598"/>
      <c r="D79" s="598"/>
      <c r="E79" s="598"/>
      <c r="F79" s="598"/>
      <c r="G79" s="598"/>
      <c r="H79" s="598"/>
      <c r="I79" s="598"/>
      <c r="J79" s="598"/>
      <c r="K79" s="598"/>
      <c r="L79" s="598">
        <v>0</v>
      </c>
      <c r="M79" s="598"/>
      <c r="N79" s="598">
        <v>0</v>
      </c>
      <c r="O79" s="598"/>
      <c r="P79" s="598"/>
      <c r="Q79" s="598"/>
      <c r="R79" s="598"/>
      <c r="S79" s="598"/>
      <c r="T79" s="598"/>
      <c r="U79" s="598"/>
      <c r="V79" s="599">
        <v>0</v>
      </c>
      <c r="W79" s="558"/>
      <c r="X79" s="543"/>
    </row>
    <row r="80" spans="1:24" s="544" customFormat="1" x14ac:dyDescent="0.3">
      <c r="A80" s="555"/>
      <c r="B80" s="556" t="s">
        <v>117</v>
      </c>
      <c r="C80" s="598"/>
      <c r="D80" s="598"/>
      <c r="E80" s="598"/>
      <c r="F80" s="598"/>
      <c r="G80" s="598"/>
      <c r="H80" s="598"/>
      <c r="I80" s="598"/>
      <c r="J80" s="598"/>
      <c r="K80" s="598"/>
      <c r="L80" s="598">
        <v>342245</v>
      </c>
      <c r="M80" s="598"/>
      <c r="N80" s="598">
        <v>0</v>
      </c>
      <c r="O80" s="598"/>
      <c r="P80" s="598">
        <v>0</v>
      </c>
      <c r="Q80" s="598"/>
      <c r="R80" s="598"/>
      <c r="S80" s="598"/>
      <c r="T80" s="598"/>
      <c r="U80" s="598"/>
      <c r="V80" s="598">
        <f>SUM(N80:R80)</f>
        <v>0</v>
      </c>
      <c r="W80" s="558"/>
      <c r="X80" s="543"/>
    </row>
    <row r="81" spans="1:24" s="544" customFormat="1" x14ac:dyDescent="0.3">
      <c r="A81" s="555"/>
      <c r="B81" s="556" t="s">
        <v>146</v>
      </c>
      <c r="C81" s="598"/>
      <c r="D81" s="598"/>
      <c r="E81" s="598"/>
      <c r="F81" s="598"/>
      <c r="G81" s="598"/>
      <c r="H81" s="598"/>
      <c r="I81" s="598"/>
      <c r="J81" s="598"/>
      <c r="K81" s="598"/>
      <c r="L81" s="598">
        <v>0</v>
      </c>
      <c r="M81" s="598"/>
      <c r="N81" s="598">
        <v>0</v>
      </c>
      <c r="O81" s="598"/>
      <c r="P81" s="598">
        <v>0</v>
      </c>
      <c r="Q81" s="598"/>
      <c r="R81" s="598"/>
      <c r="S81" s="598"/>
      <c r="T81" s="598"/>
      <c r="U81" s="598"/>
      <c r="V81" s="598">
        <f>+N81+P81</f>
        <v>0</v>
      </c>
      <c r="W81" s="558"/>
      <c r="X81" s="543"/>
    </row>
    <row r="82" spans="1:24" s="544" customFormat="1" x14ac:dyDescent="0.3">
      <c r="A82" s="555"/>
      <c r="B82" s="556" t="s">
        <v>25</v>
      </c>
      <c r="C82" s="598"/>
      <c r="D82" s="598"/>
      <c r="E82" s="598"/>
      <c r="F82" s="598"/>
      <c r="G82" s="598"/>
      <c r="H82" s="598"/>
      <c r="I82" s="598"/>
      <c r="J82" s="598"/>
      <c r="K82" s="598"/>
      <c r="L82" s="598">
        <v>0</v>
      </c>
      <c r="M82" s="598"/>
      <c r="N82" s="598">
        <v>0</v>
      </c>
      <c r="O82" s="598"/>
      <c r="P82" s="598"/>
      <c r="Q82" s="598"/>
      <c r="R82" s="598"/>
      <c r="S82" s="598"/>
      <c r="T82" s="598"/>
      <c r="U82" s="598"/>
      <c r="V82" s="598">
        <v>0</v>
      </c>
      <c r="W82" s="558"/>
      <c r="X82" s="543"/>
    </row>
    <row r="83" spans="1:24" s="544" customFormat="1" x14ac:dyDescent="0.3">
      <c r="A83" s="555"/>
      <c r="B83" s="556" t="s">
        <v>26</v>
      </c>
      <c r="C83" s="598"/>
      <c r="D83" s="598"/>
      <c r="E83" s="598"/>
      <c r="F83" s="598"/>
      <c r="G83" s="598"/>
      <c r="H83" s="598"/>
      <c r="I83" s="598"/>
      <c r="J83" s="598"/>
      <c r="K83" s="598"/>
      <c r="L83" s="598">
        <f>SUM(L70:L82)</f>
        <v>1500275</v>
      </c>
      <c r="M83" s="598"/>
      <c r="N83" s="598">
        <f>SUM(N70:N82)</f>
        <v>835561</v>
      </c>
      <c r="O83" s="598"/>
      <c r="P83" s="598"/>
      <c r="Q83" s="598"/>
      <c r="R83" s="598"/>
      <c r="S83" s="598"/>
      <c r="T83" s="598"/>
      <c r="U83" s="598"/>
      <c r="V83" s="598">
        <f>SUM(V70:V82)</f>
        <v>815747</v>
      </c>
      <c r="W83" s="558"/>
      <c r="X83" s="543"/>
    </row>
    <row r="84" spans="1:24" x14ac:dyDescent="0.3">
      <c r="A84" s="446"/>
      <c r="B84" s="437"/>
      <c r="C84" s="447"/>
      <c r="D84" s="447"/>
      <c r="E84" s="447"/>
      <c r="F84" s="447"/>
      <c r="G84" s="447"/>
      <c r="H84" s="447"/>
      <c r="I84" s="447"/>
      <c r="J84" s="447"/>
      <c r="K84" s="447"/>
      <c r="L84" s="447"/>
      <c r="M84" s="447"/>
      <c r="N84" s="447"/>
      <c r="O84" s="447"/>
      <c r="P84" s="447"/>
      <c r="Q84" s="447"/>
      <c r="R84" s="447"/>
      <c r="S84" s="447"/>
      <c r="T84" s="447"/>
      <c r="U84" s="447"/>
      <c r="V84" s="447"/>
      <c r="W84" s="437"/>
      <c r="X84" s="415"/>
    </row>
    <row r="85" spans="1:24" x14ac:dyDescent="0.3">
      <c r="A85" s="446"/>
      <c r="B85" s="427"/>
      <c r="C85" s="427"/>
      <c r="D85" s="427"/>
      <c r="E85" s="427"/>
      <c r="F85" s="427"/>
      <c r="G85" s="427"/>
      <c r="H85" s="427"/>
      <c r="I85" s="427"/>
      <c r="J85" s="427"/>
      <c r="K85" s="427"/>
      <c r="L85" s="427"/>
      <c r="M85" s="427"/>
      <c r="N85" s="427"/>
      <c r="O85" s="427"/>
      <c r="P85" s="427"/>
      <c r="Q85" s="427"/>
      <c r="R85" s="427"/>
      <c r="S85" s="427"/>
      <c r="T85" s="427"/>
      <c r="U85" s="427"/>
      <c r="V85" s="427"/>
      <c r="W85" s="427"/>
      <c r="X85" s="415"/>
    </row>
    <row r="86" spans="1:24" x14ac:dyDescent="0.3">
      <c r="A86" s="515"/>
      <c r="B86" s="523" t="s">
        <v>27</v>
      </c>
      <c r="C86" s="523"/>
      <c r="D86" s="523"/>
      <c r="E86" s="523"/>
      <c r="F86" s="523"/>
      <c r="G86" s="523"/>
      <c r="H86" s="524"/>
      <c r="I86" s="524"/>
      <c r="J86" s="524"/>
      <c r="K86" s="524"/>
      <c r="L86" s="525" t="s">
        <v>95</v>
      </c>
      <c r="M86" s="524"/>
      <c r="N86" s="526">
        <f>+T204</f>
        <v>43343</v>
      </c>
      <c r="O86" s="524"/>
      <c r="P86" s="524"/>
      <c r="Q86" s="524"/>
      <c r="R86" s="524"/>
      <c r="S86" s="524"/>
      <c r="T86" s="524" t="s">
        <v>107</v>
      </c>
      <c r="U86" s="524"/>
      <c r="V86" s="524" t="s">
        <v>113</v>
      </c>
      <c r="W86" s="520"/>
      <c r="X86" s="415"/>
    </row>
    <row r="87" spans="1:24" s="544" customFormat="1" x14ac:dyDescent="0.3">
      <c r="A87" s="540"/>
      <c r="B87" s="588" t="s">
        <v>28</v>
      </c>
      <c r="C87" s="588"/>
      <c r="D87" s="588"/>
      <c r="E87" s="588"/>
      <c r="F87" s="588"/>
      <c r="G87" s="588"/>
      <c r="H87" s="588"/>
      <c r="I87" s="588"/>
      <c r="J87" s="588"/>
      <c r="K87" s="588"/>
      <c r="L87" s="588"/>
      <c r="M87" s="588"/>
      <c r="N87" s="588"/>
      <c r="O87" s="588"/>
      <c r="P87" s="588"/>
      <c r="Q87" s="588"/>
      <c r="R87" s="588"/>
      <c r="S87" s="588"/>
      <c r="T87" s="600">
        <v>0</v>
      </c>
      <c r="U87" s="588"/>
      <c r="V87" s="601">
        <v>0</v>
      </c>
      <c r="W87" s="588"/>
      <c r="X87" s="543"/>
    </row>
    <row r="88" spans="1:24" s="544" customFormat="1" x14ac:dyDescent="0.3">
      <c r="A88" s="555"/>
      <c r="B88" s="556" t="s">
        <v>29</v>
      </c>
      <c r="C88" s="556"/>
      <c r="D88" s="556"/>
      <c r="E88" s="556"/>
      <c r="F88" s="556"/>
      <c r="G88" s="556"/>
      <c r="H88" s="578"/>
      <c r="I88" s="578"/>
      <c r="J88" s="578"/>
      <c r="K88" s="602"/>
      <c r="L88" s="578"/>
      <c r="M88" s="556"/>
      <c r="N88" s="603"/>
      <c r="O88" s="556"/>
      <c r="P88" s="556"/>
      <c r="Q88" s="556"/>
      <c r="R88" s="556"/>
      <c r="S88" s="556"/>
      <c r="T88" s="598">
        <f>20296-166</f>
        <v>20130</v>
      </c>
      <c r="U88" s="556"/>
      <c r="V88" s="599"/>
      <c r="W88" s="558"/>
      <c r="X88" s="543"/>
    </row>
    <row r="89" spans="1:24" s="544" customFormat="1" x14ac:dyDescent="0.3">
      <c r="A89" s="555"/>
      <c r="B89" s="556" t="s">
        <v>216</v>
      </c>
      <c r="C89" s="556"/>
      <c r="D89" s="556"/>
      <c r="E89" s="556"/>
      <c r="F89" s="556"/>
      <c r="G89" s="556"/>
      <c r="H89" s="578"/>
      <c r="I89" s="578"/>
      <c r="J89" s="578"/>
      <c r="K89" s="602"/>
      <c r="L89" s="578"/>
      <c r="M89" s="556"/>
      <c r="N89" s="603"/>
      <c r="O89" s="556"/>
      <c r="P89" s="556"/>
      <c r="Q89" s="556"/>
      <c r="R89" s="556"/>
      <c r="S89" s="556"/>
      <c r="T89" s="598"/>
      <c r="U89" s="556"/>
      <c r="V89" s="599">
        <f>4242+3705-1543-1084</f>
        <v>5320</v>
      </c>
      <c r="W89" s="558"/>
      <c r="X89" s="543"/>
    </row>
    <row r="90" spans="1:24" s="544" customFormat="1" x14ac:dyDescent="0.3">
      <c r="A90" s="555"/>
      <c r="B90" s="556" t="s">
        <v>211</v>
      </c>
      <c r="C90" s="556"/>
      <c r="D90" s="556"/>
      <c r="E90" s="556"/>
      <c r="F90" s="556"/>
      <c r="G90" s="556"/>
      <c r="H90" s="578"/>
      <c r="I90" s="578"/>
      <c r="J90" s="578"/>
      <c r="K90" s="602"/>
      <c r="L90" s="578"/>
      <c r="M90" s="556"/>
      <c r="N90" s="603"/>
      <c r="O90" s="556"/>
      <c r="P90" s="556"/>
      <c r="Q90" s="556"/>
      <c r="R90" s="556"/>
      <c r="S90" s="556"/>
      <c r="T90" s="598"/>
      <c r="U90" s="556"/>
      <c r="V90" s="599">
        <f>75+152</f>
        <v>227</v>
      </c>
      <c r="W90" s="558"/>
      <c r="X90" s="543"/>
    </row>
    <row r="91" spans="1:24" s="544" customFormat="1" x14ac:dyDescent="0.3">
      <c r="A91" s="555"/>
      <c r="B91" s="556" t="s">
        <v>212</v>
      </c>
      <c r="C91" s="556"/>
      <c r="D91" s="556"/>
      <c r="E91" s="556"/>
      <c r="F91" s="556"/>
      <c r="G91" s="556"/>
      <c r="H91" s="578"/>
      <c r="I91" s="578"/>
      <c r="J91" s="578"/>
      <c r="K91" s="602"/>
      <c r="L91" s="578"/>
      <c r="M91" s="556"/>
      <c r="N91" s="603"/>
      <c r="O91" s="556"/>
      <c r="P91" s="556"/>
      <c r="Q91" s="556"/>
      <c r="R91" s="556"/>
      <c r="S91" s="556"/>
      <c r="T91" s="598"/>
      <c r="U91" s="556"/>
      <c r="V91" s="599">
        <v>60</v>
      </c>
      <c r="W91" s="558"/>
      <c r="X91" s="543"/>
    </row>
    <row r="92" spans="1:24" s="544" customFormat="1" x14ac:dyDescent="0.3">
      <c r="A92" s="555"/>
      <c r="B92" s="556" t="s">
        <v>272</v>
      </c>
      <c r="C92" s="556"/>
      <c r="D92" s="556"/>
      <c r="E92" s="556"/>
      <c r="F92" s="556"/>
      <c r="G92" s="556"/>
      <c r="H92" s="578"/>
      <c r="I92" s="578"/>
      <c r="J92" s="578"/>
      <c r="K92" s="602"/>
      <c r="L92" s="578"/>
      <c r="M92" s="556"/>
      <c r="N92" s="603"/>
      <c r="O92" s="556"/>
      <c r="P92" s="556"/>
      <c r="Q92" s="556"/>
      <c r="R92" s="556"/>
      <c r="S92" s="556"/>
      <c r="T92" s="598"/>
      <c r="U92" s="556"/>
      <c r="V92" s="599">
        <v>0</v>
      </c>
      <c r="W92" s="558"/>
      <c r="X92" s="543"/>
    </row>
    <row r="93" spans="1:24" s="544" customFormat="1" x14ac:dyDescent="0.3">
      <c r="A93" s="555"/>
      <c r="B93" s="556" t="s">
        <v>274</v>
      </c>
      <c r="C93" s="556"/>
      <c r="D93" s="556"/>
      <c r="E93" s="556"/>
      <c r="F93" s="556"/>
      <c r="G93" s="556"/>
      <c r="H93" s="578"/>
      <c r="I93" s="578"/>
      <c r="J93" s="578"/>
      <c r="K93" s="602"/>
      <c r="L93" s="578"/>
      <c r="M93" s="556"/>
      <c r="N93" s="603"/>
      <c r="O93" s="556"/>
      <c r="P93" s="556"/>
      <c r="Q93" s="556"/>
      <c r="R93" s="556"/>
      <c r="S93" s="556"/>
      <c r="T93" s="598"/>
      <c r="U93" s="556"/>
      <c r="V93" s="599">
        <v>0</v>
      </c>
      <c r="W93" s="558"/>
      <c r="X93" s="543"/>
    </row>
    <row r="94" spans="1:24" s="544" customFormat="1" x14ac:dyDescent="0.3">
      <c r="A94" s="555"/>
      <c r="B94" s="556" t="s">
        <v>135</v>
      </c>
      <c r="C94" s="556"/>
      <c r="D94" s="556"/>
      <c r="E94" s="556"/>
      <c r="F94" s="556"/>
      <c r="G94" s="556"/>
      <c r="H94" s="556"/>
      <c r="I94" s="556"/>
      <c r="J94" s="556"/>
      <c r="K94" s="556"/>
      <c r="L94" s="556"/>
      <c r="M94" s="556"/>
      <c r="N94" s="556"/>
      <c r="O94" s="556"/>
      <c r="P94" s="556"/>
      <c r="Q94" s="556"/>
      <c r="R94" s="556"/>
      <c r="S94" s="556"/>
      <c r="T94" s="598"/>
      <c r="U94" s="556"/>
      <c r="V94" s="599">
        <v>0</v>
      </c>
      <c r="W94" s="558"/>
      <c r="X94" s="543"/>
    </row>
    <row r="95" spans="1:24" s="544" customFormat="1" x14ac:dyDescent="0.3">
      <c r="A95" s="555"/>
      <c r="B95" s="556" t="s">
        <v>268</v>
      </c>
      <c r="C95" s="556"/>
      <c r="D95" s="556"/>
      <c r="E95" s="556"/>
      <c r="F95" s="556"/>
      <c r="G95" s="556"/>
      <c r="H95" s="556"/>
      <c r="I95" s="556"/>
      <c r="J95" s="556"/>
      <c r="K95" s="556"/>
      <c r="L95" s="556"/>
      <c r="M95" s="556"/>
      <c r="N95" s="556"/>
      <c r="O95" s="556"/>
      <c r="P95" s="556"/>
      <c r="Q95" s="556"/>
      <c r="R95" s="556"/>
      <c r="S95" s="556"/>
      <c r="T95" s="598"/>
      <c r="U95" s="556"/>
      <c r="V95" s="599">
        <v>37</v>
      </c>
      <c r="W95" s="558"/>
      <c r="X95" s="543"/>
    </row>
    <row r="96" spans="1:24" s="544" customFormat="1" x14ac:dyDescent="0.3">
      <c r="A96" s="555"/>
      <c r="B96" s="556" t="s">
        <v>30</v>
      </c>
      <c r="C96" s="556"/>
      <c r="D96" s="556"/>
      <c r="E96" s="556"/>
      <c r="F96" s="556"/>
      <c r="G96" s="556"/>
      <c r="H96" s="556"/>
      <c r="I96" s="556"/>
      <c r="J96" s="556"/>
      <c r="K96" s="556"/>
      <c r="L96" s="556"/>
      <c r="M96" s="556"/>
      <c r="N96" s="556"/>
      <c r="O96" s="556"/>
      <c r="P96" s="556"/>
      <c r="Q96" s="556"/>
      <c r="R96" s="556"/>
      <c r="S96" s="556"/>
      <c r="T96" s="598">
        <f>SUM(T87:T95)</f>
        <v>20130</v>
      </c>
      <c r="U96" s="556"/>
      <c r="V96" s="598">
        <f>SUM(V87:V95)</f>
        <v>5644</v>
      </c>
      <c r="W96" s="558"/>
      <c r="X96" s="543"/>
    </row>
    <row r="97" spans="1:25" s="544" customFormat="1" x14ac:dyDescent="0.3">
      <c r="A97" s="555"/>
      <c r="B97" s="556" t="s">
        <v>161</v>
      </c>
      <c r="C97" s="556"/>
      <c r="D97" s="556"/>
      <c r="E97" s="556"/>
      <c r="F97" s="556"/>
      <c r="G97" s="556"/>
      <c r="H97" s="556"/>
      <c r="I97" s="556"/>
      <c r="J97" s="556"/>
      <c r="K97" s="556"/>
      <c r="L97" s="556"/>
      <c r="M97" s="556"/>
      <c r="N97" s="556"/>
      <c r="O97" s="556"/>
      <c r="P97" s="556"/>
      <c r="Q97" s="556"/>
      <c r="R97" s="556"/>
      <c r="S97" s="556"/>
      <c r="T97" s="598">
        <f>-V97</f>
        <v>0</v>
      </c>
      <c r="U97" s="556"/>
      <c r="V97" s="598">
        <v>0</v>
      </c>
      <c r="W97" s="558"/>
      <c r="X97" s="543"/>
    </row>
    <row r="98" spans="1:25" s="544" customFormat="1" x14ac:dyDescent="0.3">
      <c r="A98" s="555"/>
      <c r="B98" s="556" t="s">
        <v>31</v>
      </c>
      <c r="C98" s="556"/>
      <c r="D98" s="556"/>
      <c r="E98" s="556"/>
      <c r="F98" s="556"/>
      <c r="G98" s="556"/>
      <c r="H98" s="556"/>
      <c r="I98" s="556"/>
      <c r="J98" s="556"/>
      <c r="K98" s="556"/>
      <c r="L98" s="556"/>
      <c r="M98" s="556"/>
      <c r="N98" s="556"/>
      <c r="O98" s="556"/>
      <c r="P98" s="556"/>
      <c r="Q98" s="556"/>
      <c r="R98" s="556"/>
      <c r="S98" s="556"/>
      <c r="T98" s="598">
        <f>-V98</f>
        <v>0</v>
      </c>
      <c r="U98" s="556"/>
      <c r="V98" s="599">
        <v>0</v>
      </c>
      <c r="W98" s="558"/>
      <c r="X98" s="543"/>
    </row>
    <row r="99" spans="1:25" s="544" customFormat="1" x14ac:dyDescent="0.3">
      <c r="A99" s="555"/>
      <c r="B99" s="556" t="s">
        <v>283</v>
      </c>
      <c r="C99" s="556"/>
      <c r="D99" s="556"/>
      <c r="E99" s="556"/>
      <c r="F99" s="556"/>
      <c r="G99" s="556"/>
      <c r="H99" s="556"/>
      <c r="I99" s="556"/>
      <c r="J99" s="556"/>
      <c r="K99" s="556"/>
      <c r="L99" s="556"/>
      <c r="M99" s="556"/>
      <c r="N99" s="556"/>
      <c r="O99" s="556"/>
      <c r="P99" s="556"/>
      <c r="Q99" s="556"/>
      <c r="R99" s="556"/>
      <c r="S99" s="556"/>
      <c r="T99" s="598"/>
      <c r="U99" s="556"/>
      <c r="V99" s="599">
        <v>-18</v>
      </c>
      <c r="W99" s="558"/>
      <c r="X99" s="543"/>
    </row>
    <row r="100" spans="1:25" s="544" customFormat="1" x14ac:dyDescent="0.3">
      <c r="A100" s="555"/>
      <c r="B100" s="556" t="s">
        <v>32</v>
      </c>
      <c r="C100" s="556"/>
      <c r="D100" s="556"/>
      <c r="E100" s="556"/>
      <c r="F100" s="556"/>
      <c r="G100" s="556"/>
      <c r="H100" s="556"/>
      <c r="I100" s="556"/>
      <c r="J100" s="556"/>
      <c r="K100" s="556"/>
      <c r="L100" s="556"/>
      <c r="M100" s="556"/>
      <c r="N100" s="556"/>
      <c r="O100" s="556"/>
      <c r="P100" s="556"/>
      <c r="Q100" s="556"/>
      <c r="R100" s="556"/>
      <c r="S100" s="556"/>
      <c r="T100" s="598">
        <f>T96+T98+T97</f>
        <v>20130</v>
      </c>
      <c r="U100" s="556"/>
      <c r="V100" s="598">
        <f>V96+V98+V97+V99</f>
        <v>5626</v>
      </c>
      <c r="W100" s="558"/>
      <c r="X100" s="543"/>
    </row>
    <row r="101" spans="1:25" x14ac:dyDescent="0.3">
      <c r="A101" s="431"/>
      <c r="B101" s="507" t="s">
        <v>33</v>
      </c>
      <c r="C101" s="434"/>
      <c r="D101" s="434"/>
      <c r="E101" s="434"/>
      <c r="F101" s="434"/>
      <c r="G101" s="434"/>
      <c r="H101" s="434"/>
      <c r="I101" s="434"/>
      <c r="J101" s="434"/>
      <c r="K101" s="434"/>
      <c r="L101" s="434"/>
      <c r="M101" s="434"/>
      <c r="N101" s="434"/>
      <c r="O101" s="434"/>
      <c r="P101" s="434"/>
      <c r="Q101" s="434"/>
      <c r="R101" s="434"/>
      <c r="S101" s="434"/>
      <c r="T101" s="448"/>
      <c r="U101" s="434"/>
      <c r="V101" s="449"/>
      <c r="W101" s="436"/>
      <c r="X101" s="415"/>
    </row>
    <row r="102" spans="1:25" s="544" customFormat="1" x14ac:dyDescent="0.3">
      <c r="A102" s="555">
        <v>1</v>
      </c>
      <c r="B102" s="556" t="s">
        <v>34</v>
      </c>
      <c r="C102" s="556"/>
      <c r="D102" s="556"/>
      <c r="E102" s="556"/>
      <c r="F102" s="556"/>
      <c r="G102" s="556"/>
      <c r="H102" s="556"/>
      <c r="I102" s="556"/>
      <c r="J102" s="556"/>
      <c r="K102" s="556"/>
      <c r="L102" s="556"/>
      <c r="M102" s="556"/>
      <c r="N102" s="556"/>
      <c r="O102" s="556"/>
      <c r="P102" s="556"/>
      <c r="Q102" s="556"/>
      <c r="R102" s="556"/>
      <c r="S102" s="556"/>
      <c r="T102" s="556"/>
      <c r="U102" s="556"/>
      <c r="V102" s="599">
        <v>0</v>
      </c>
      <c r="W102" s="558"/>
      <c r="X102" s="543"/>
    </row>
    <row r="103" spans="1:25" s="544" customFormat="1" x14ac:dyDescent="0.3">
      <c r="A103" s="555">
        <f>+A102+1</f>
        <v>2</v>
      </c>
      <c r="B103" s="556" t="s">
        <v>330</v>
      </c>
      <c r="C103" s="556"/>
      <c r="D103" s="556"/>
      <c r="E103" s="556"/>
      <c r="F103" s="556"/>
      <c r="G103" s="556"/>
      <c r="H103" s="556"/>
      <c r="I103" s="556"/>
      <c r="J103" s="556"/>
      <c r="K103" s="556"/>
      <c r="L103" s="556"/>
      <c r="M103" s="556"/>
      <c r="N103" s="556"/>
      <c r="O103" s="556"/>
      <c r="P103" s="556"/>
      <c r="Q103" s="556"/>
      <c r="R103" s="556"/>
      <c r="S103" s="556"/>
      <c r="T103" s="556"/>
      <c r="U103" s="556"/>
      <c r="V103" s="599">
        <v>-2</v>
      </c>
      <c r="W103" s="558"/>
      <c r="X103" s="543"/>
    </row>
    <row r="104" spans="1:25" s="544" customFormat="1" x14ac:dyDescent="0.3">
      <c r="A104" s="555">
        <f>+A103+1</f>
        <v>3</v>
      </c>
      <c r="B104" s="556" t="s">
        <v>331</v>
      </c>
      <c r="C104" s="556"/>
      <c r="D104" s="556"/>
      <c r="E104" s="556"/>
      <c r="F104" s="556"/>
      <c r="G104" s="556"/>
      <c r="H104" s="556"/>
      <c r="I104" s="556"/>
      <c r="J104" s="556"/>
      <c r="K104" s="556"/>
      <c r="L104" s="556"/>
      <c r="M104" s="556"/>
      <c r="N104" s="556"/>
      <c r="O104" s="556"/>
      <c r="P104" s="556"/>
      <c r="Q104" s="556"/>
      <c r="R104" s="556"/>
      <c r="S104" s="556"/>
      <c r="T104" s="556"/>
      <c r="U104" s="556"/>
      <c r="V104" s="599">
        <f>-107-148-11</f>
        <v>-266</v>
      </c>
      <c r="W104" s="558"/>
      <c r="X104" s="543"/>
    </row>
    <row r="105" spans="1:25" s="544" customFormat="1" x14ac:dyDescent="0.3">
      <c r="A105" s="555" t="s">
        <v>127</v>
      </c>
      <c r="B105" s="556" t="s">
        <v>116</v>
      </c>
      <c r="C105" s="556"/>
      <c r="D105" s="556"/>
      <c r="E105" s="556"/>
      <c r="F105" s="556"/>
      <c r="G105" s="556"/>
      <c r="H105" s="556"/>
      <c r="I105" s="556"/>
      <c r="J105" s="556"/>
      <c r="K105" s="556"/>
      <c r="L105" s="556"/>
      <c r="M105" s="556"/>
      <c r="N105" s="556"/>
      <c r="O105" s="556"/>
      <c r="P105" s="556"/>
      <c r="Q105" s="556"/>
      <c r="R105" s="556"/>
      <c r="S105" s="556"/>
      <c r="T105" s="556"/>
      <c r="U105" s="556"/>
      <c r="V105" s="599">
        <v>0</v>
      </c>
      <c r="W105" s="558"/>
      <c r="X105" s="543"/>
    </row>
    <row r="106" spans="1:25" s="544" customFormat="1" x14ac:dyDescent="0.3">
      <c r="A106" s="555" t="s">
        <v>128</v>
      </c>
      <c r="B106" s="556" t="s">
        <v>363</v>
      </c>
      <c r="C106" s="556"/>
      <c r="D106" s="556"/>
      <c r="E106" s="556"/>
      <c r="F106" s="556"/>
      <c r="G106" s="556"/>
      <c r="H106" s="556"/>
      <c r="I106" s="556"/>
      <c r="J106" s="556"/>
      <c r="K106" s="556"/>
      <c r="L106" s="556"/>
      <c r="M106" s="556"/>
      <c r="N106" s="556"/>
      <c r="O106" s="556"/>
      <c r="P106" s="556"/>
      <c r="Q106" s="556"/>
      <c r="R106" s="556"/>
      <c r="S106" s="556"/>
      <c r="T106" s="556"/>
      <c r="U106" s="556"/>
      <c r="V106" s="599">
        <f>-794-128</f>
        <v>-922</v>
      </c>
      <c r="W106" s="558"/>
      <c r="X106" s="543"/>
      <c r="Y106" s="604"/>
    </row>
    <row r="107" spans="1:25" s="544" customFormat="1" x14ac:dyDescent="0.3">
      <c r="A107" s="555" t="s">
        <v>150</v>
      </c>
      <c r="B107" s="556" t="s">
        <v>364</v>
      </c>
      <c r="C107" s="556"/>
      <c r="D107" s="556"/>
      <c r="E107" s="556"/>
      <c r="F107" s="556"/>
      <c r="G107" s="556"/>
      <c r="H107" s="556"/>
      <c r="I107" s="556"/>
      <c r="J107" s="556"/>
      <c r="K107" s="556"/>
      <c r="L107" s="556"/>
      <c r="M107" s="556"/>
      <c r="N107" s="556"/>
      <c r="O107" s="556"/>
      <c r="P107" s="556"/>
      <c r="Q107" s="556"/>
      <c r="R107" s="556"/>
      <c r="S107" s="556"/>
      <c r="T107" s="556"/>
      <c r="U107" s="556"/>
      <c r="V107" s="599">
        <f>-178-230</f>
        <v>-408</v>
      </c>
      <c r="W107" s="558"/>
      <c r="X107" s="543"/>
      <c r="Y107" s="604"/>
    </row>
    <row r="108" spans="1:25" s="544" customFormat="1" x14ac:dyDescent="0.3">
      <c r="A108" s="555" t="s">
        <v>236</v>
      </c>
      <c r="B108" s="556" t="s">
        <v>238</v>
      </c>
      <c r="C108" s="556"/>
      <c r="D108" s="556"/>
      <c r="E108" s="556"/>
      <c r="F108" s="556"/>
      <c r="G108" s="556"/>
      <c r="H108" s="556"/>
      <c r="I108" s="556"/>
      <c r="J108" s="556"/>
      <c r="K108" s="556"/>
      <c r="L108" s="556"/>
      <c r="M108" s="556"/>
      <c r="N108" s="556"/>
      <c r="O108" s="556"/>
      <c r="P108" s="556"/>
      <c r="Q108" s="556"/>
      <c r="R108" s="556"/>
      <c r="S108" s="556"/>
      <c r="T108" s="556"/>
      <c r="U108" s="556"/>
      <c r="V108" s="599">
        <v>0</v>
      </c>
      <c r="W108" s="558"/>
      <c r="X108" s="543"/>
    </row>
    <row r="109" spans="1:25" s="544" customFormat="1" x14ac:dyDescent="0.3">
      <c r="A109" s="555" t="s">
        <v>205</v>
      </c>
      <c r="B109" s="556" t="s">
        <v>185</v>
      </c>
      <c r="C109" s="556"/>
      <c r="D109" s="556"/>
      <c r="E109" s="556"/>
      <c r="F109" s="556"/>
      <c r="G109" s="556"/>
      <c r="H109" s="556"/>
      <c r="I109" s="556"/>
      <c r="J109" s="556"/>
      <c r="K109" s="556"/>
      <c r="L109" s="556"/>
      <c r="M109" s="556"/>
      <c r="N109" s="556"/>
      <c r="O109" s="556"/>
      <c r="P109" s="556"/>
      <c r="Q109" s="556"/>
      <c r="R109" s="556"/>
      <c r="S109" s="556"/>
      <c r="T109" s="556"/>
      <c r="U109" s="556"/>
      <c r="V109" s="599">
        <v>-164</v>
      </c>
      <c r="W109" s="558"/>
      <c r="X109" s="543"/>
      <c r="Y109" s="604"/>
    </row>
    <row r="110" spans="1:25" s="544" customFormat="1" x14ac:dyDescent="0.3">
      <c r="A110" s="555" t="s">
        <v>206</v>
      </c>
      <c r="B110" s="556" t="s">
        <v>186</v>
      </c>
      <c r="C110" s="556"/>
      <c r="D110" s="556"/>
      <c r="E110" s="556"/>
      <c r="F110" s="556"/>
      <c r="G110" s="556"/>
      <c r="H110" s="556"/>
      <c r="I110" s="556"/>
      <c r="J110" s="556"/>
      <c r="K110" s="556"/>
      <c r="L110" s="556"/>
      <c r="M110" s="556"/>
      <c r="N110" s="556"/>
      <c r="O110" s="556"/>
      <c r="P110" s="556"/>
      <c r="Q110" s="556"/>
      <c r="R110" s="556"/>
      <c r="S110" s="556"/>
      <c r="T110" s="556"/>
      <c r="U110" s="556"/>
      <c r="V110" s="599">
        <v>-132</v>
      </c>
      <c r="W110" s="558"/>
      <c r="X110" s="605"/>
      <c r="Y110" s="604"/>
    </row>
    <row r="111" spans="1:25" s="544" customFormat="1" x14ac:dyDescent="0.3">
      <c r="A111" s="555" t="s">
        <v>207</v>
      </c>
      <c r="B111" s="556" t="s">
        <v>196</v>
      </c>
      <c r="C111" s="556"/>
      <c r="D111" s="556"/>
      <c r="E111" s="556"/>
      <c r="F111" s="556"/>
      <c r="G111" s="556"/>
      <c r="H111" s="556"/>
      <c r="I111" s="556"/>
      <c r="J111" s="556"/>
      <c r="K111" s="556"/>
      <c r="L111" s="556"/>
      <c r="M111" s="556"/>
      <c r="N111" s="556"/>
      <c r="O111" s="556"/>
      <c r="P111" s="556"/>
      <c r="Q111" s="556"/>
      <c r="R111" s="556"/>
      <c r="S111" s="556"/>
      <c r="T111" s="556"/>
      <c r="U111" s="556"/>
      <c r="V111" s="599">
        <v>-357</v>
      </c>
      <c r="W111" s="558"/>
      <c r="X111" s="543"/>
      <c r="Y111" s="604"/>
    </row>
    <row r="112" spans="1:25" s="544" customFormat="1" x14ac:dyDescent="0.3">
      <c r="A112" s="555" t="s">
        <v>224</v>
      </c>
      <c r="B112" s="556" t="s">
        <v>223</v>
      </c>
      <c r="C112" s="556"/>
      <c r="D112" s="556"/>
      <c r="E112" s="556"/>
      <c r="F112" s="556"/>
      <c r="G112" s="556"/>
      <c r="H112" s="556"/>
      <c r="I112" s="556"/>
      <c r="J112" s="556"/>
      <c r="K112" s="556"/>
      <c r="L112" s="556"/>
      <c r="M112" s="556"/>
      <c r="N112" s="556"/>
      <c r="O112" s="556"/>
      <c r="P112" s="556"/>
      <c r="Q112" s="556"/>
      <c r="R112" s="556"/>
      <c r="S112" s="556"/>
      <c r="T112" s="556"/>
      <c r="U112" s="556"/>
      <c r="V112" s="599">
        <v>-72</v>
      </c>
      <c r="W112" s="558"/>
      <c r="X112" s="543"/>
      <c r="Y112" s="604"/>
    </row>
    <row r="113" spans="1:24" s="544" customFormat="1" x14ac:dyDescent="0.3">
      <c r="A113" s="555">
        <v>7</v>
      </c>
      <c r="B113" s="556" t="s">
        <v>35</v>
      </c>
      <c r="C113" s="556"/>
      <c r="D113" s="556"/>
      <c r="E113" s="556"/>
      <c r="F113" s="556"/>
      <c r="G113" s="556"/>
      <c r="H113" s="556"/>
      <c r="I113" s="556"/>
      <c r="J113" s="556"/>
      <c r="K113" s="556"/>
      <c r="L113" s="556"/>
      <c r="M113" s="556"/>
      <c r="N113" s="556"/>
      <c r="O113" s="556"/>
      <c r="P113" s="556"/>
      <c r="Q113" s="556"/>
      <c r="R113" s="556"/>
      <c r="S113" s="556"/>
      <c r="T113" s="556"/>
      <c r="U113" s="556"/>
      <c r="V113" s="599">
        <v>-45</v>
      </c>
      <c r="W113" s="558"/>
      <c r="X113" s="543"/>
    </row>
    <row r="114" spans="1:24" s="544" customFormat="1" x14ac:dyDescent="0.3">
      <c r="A114" s="555">
        <f t="shared" ref="A114:A120" si="0">+A113+1</f>
        <v>8</v>
      </c>
      <c r="B114" s="556" t="s">
        <v>45</v>
      </c>
      <c r="C114" s="556"/>
      <c r="D114" s="556"/>
      <c r="E114" s="556"/>
      <c r="F114" s="556"/>
      <c r="G114" s="556"/>
      <c r="H114" s="556"/>
      <c r="I114" s="556"/>
      <c r="J114" s="556"/>
      <c r="K114" s="556"/>
      <c r="L114" s="556"/>
      <c r="M114" s="556"/>
      <c r="N114" s="556"/>
      <c r="O114" s="556"/>
      <c r="P114" s="556"/>
      <c r="Q114" s="556"/>
      <c r="R114" s="556"/>
      <c r="S114" s="556"/>
      <c r="T114" s="598">
        <f>-V114</f>
        <v>166</v>
      </c>
      <c r="U114" s="556"/>
      <c r="V114" s="599">
        <v>-166</v>
      </c>
      <c r="W114" s="558"/>
      <c r="X114" s="543"/>
    </row>
    <row r="115" spans="1:24" s="544" customFormat="1" x14ac:dyDescent="0.3">
      <c r="A115" s="555">
        <f t="shared" si="0"/>
        <v>9</v>
      </c>
      <c r="B115" s="556" t="s">
        <v>125</v>
      </c>
      <c r="C115" s="556"/>
      <c r="D115" s="556"/>
      <c r="E115" s="556"/>
      <c r="F115" s="556"/>
      <c r="G115" s="556"/>
      <c r="H115" s="556"/>
      <c r="I115" s="556"/>
      <c r="J115" s="556"/>
      <c r="K115" s="556"/>
      <c r="L115" s="556"/>
      <c r="M115" s="556"/>
      <c r="N115" s="556"/>
      <c r="O115" s="556"/>
      <c r="P115" s="556"/>
      <c r="Q115" s="556"/>
      <c r="R115" s="556"/>
      <c r="S115" s="556"/>
      <c r="T115" s="556"/>
      <c r="U115" s="556"/>
      <c r="V115" s="599">
        <v>0</v>
      </c>
      <c r="W115" s="558"/>
      <c r="X115" s="543"/>
    </row>
    <row r="116" spans="1:24" s="544" customFormat="1" x14ac:dyDescent="0.3">
      <c r="A116" s="555">
        <f t="shared" si="0"/>
        <v>10</v>
      </c>
      <c r="B116" s="556" t="s">
        <v>240</v>
      </c>
      <c r="C116" s="556"/>
      <c r="D116" s="556"/>
      <c r="E116" s="556"/>
      <c r="F116" s="556"/>
      <c r="G116" s="556"/>
      <c r="H116" s="556"/>
      <c r="I116" s="556"/>
      <c r="J116" s="556"/>
      <c r="K116" s="556"/>
      <c r="L116" s="556"/>
      <c r="M116" s="556"/>
      <c r="N116" s="556"/>
      <c r="O116" s="556"/>
      <c r="P116" s="556"/>
      <c r="Q116" s="556"/>
      <c r="R116" s="556"/>
      <c r="S116" s="556"/>
      <c r="T116" s="556"/>
      <c r="U116" s="556"/>
      <c r="V116" s="599">
        <v>0</v>
      </c>
      <c r="W116" s="558"/>
      <c r="X116" s="543"/>
    </row>
    <row r="117" spans="1:24" s="544" customFormat="1" x14ac:dyDescent="0.3">
      <c r="A117" s="555">
        <f t="shared" si="0"/>
        <v>11</v>
      </c>
      <c r="B117" s="556" t="s">
        <v>36</v>
      </c>
      <c r="C117" s="556"/>
      <c r="D117" s="556"/>
      <c r="E117" s="556"/>
      <c r="F117" s="556"/>
      <c r="G117" s="556"/>
      <c r="H117" s="556"/>
      <c r="I117" s="556"/>
      <c r="J117" s="556"/>
      <c r="K117" s="556"/>
      <c r="L117" s="556"/>
      <c r="M117" s="556"/>
      <c r="N117" s="556"/>
      <c r="O117" s="556"/>
      <c r="P117" s="556"/>
      <c r="Q117" s="556"/>
      <c r="R117" s="556"/>
      <c r="S117" s="556"/>
      <c r="T117" s="556"/>
      <c r="U117" s="556"/>
      <c r="V117" s="599">
        <v>0</v>
      </c>
      <c r="W117" s="558"/>
      <c r="X117" s="543"/>
    </row>
    <row r="118" spans="1:24" s="544" customFormat="1" x14ac:dyDescent="0.3">
      <c r="A118" s="555">
        <f t="shared" si="0"/>
        <v>12</v>
      </c>
      <c r="B118" s="556" t="s">
        <v>239</v>
      </c>
      <c r="C118" s="556"/>
      <c r="D118" s="556"/>
      <c r="E118" s="556"/>
      <c r="F118" s="556"/>
      <c r="G118" s="556"/>
      <c r="H118" s="556"/>
      <c r="I118" s="556"/>
      <c r="J118" s="556"/>
      <c r="K118" s="556"/>
      <c r="L118" s="556"/>
      <c r="M118" s="556"/>
      <c r="N118" s="556"/>
      <c r="O118" s="556"/>
      <c r="P118" s="556"/>
      <c r="Q118" s="556"/>
      <c r="R118" s="556"/>
      <c r="S118" s="556"/>
      <c r="T118" s="556"/>
      <c r="U118" s="556"/>
      <c r="V118" s="599">
        <v>0</v>
      </c>
      <c r="W118" s="558"/>
      <c r="X118" s="543"/>
    </row>
    <row r="119" spans="1:24" s="544" customFormat="1" x14ac:dyDescent="0.3">
      <c r="A119" s="555">
        <f t="shared" si="0"/>
        <v>13</v>
      </c>
      <c r="B119" s="556" t="s">
        <v>149</v>
      </c>
      <c r="C119" s="556"/>
      <c r="D119" s="556"/>
      <c r="E119" s="556"/>
      <c r="F119" s="556"/>
      <c r="G119" s="556"/>
      <c r="H119" s="556"/>
      <c r="I119" s="556"/>
      <c r="J119" s="556"/>
      <c r="K119" s="556"/>
      <c r="L119" s="556"/>
      <c r="M119" s="556"/>
      <c r="N119" s="556"/>
      <c r="O119" s="556"/>
      <c r="P119" s="556"/>
      <c r="Q119" s="556"/>
      <c r="R119" s="556"/>
      <c r="S119" s="556"/>
      <c r="T119" s="556"/>
      <c r="U119" s="556"/>
      <c r="V119" s="599">
        <v>-533</v>
      </c>
      <c r="W119" s="558"/>
      <c r="X119" s="543"/>
    </row>
    <row r="120" spans="1:24" s="544" customFormat="1" x14ac:dyDescent="0.3">
      <c r="A120" s="555">
        <f t="shared" si="0"/>
        <v>14</v>
      </c>
      <c r="B120" s="556" t="s">
        <v>126</v>
      </c>
      <c r="C120" s="556"/>
      <c r="D120" s="556"/>
      <c r="E120" s="556"/>
      <c r="F120" s="556"/>
      <c r="G120" s="556"/>
      <c r="H120" s="556"/>
      <c r="I120" s="556"/>
      <c r="J120" s="556"/>
      <c r="K120" s="556"/>
      <c r="L120" s="556"/>
      <c r="M120" s="556"/>
      <c r="N120" s="556"/>
      <c r="O120" s="556"/>
      <c r="P120" s="556"/>
      <c r="Q120" s="556"/>
      <c r="R120" s="556"/>
      <c r="S120" s="556"/>
      <c r="T120" s="556"/>
      <c r="U120" s="556"/>
      <c r="V120" s="599">
        <f>-V100-SUM(V102:V119)</f>
        <v>-2559</v>
      </c>
      <c r="W120" s="558"/>
      <c r="X120" s="543"/>
    </row>
    <row r="121" spans="1:24" x14ac:dyDescent="0.3">
      <c r="A121" s="431"/>
      <c r="B121" s="507" t="s">
        <v>37</v>
      </c>
      <c r="C121" s="434"/>
      <c r="D121" s="434"/>
      <c r="E121" s="434"/>
      <c r="F121" s="434"/>
      <c r="G121" s="434"/>
      <c r="H121" s="434"/>
      <c r="I121" s="434"/>
      <c r="J121" s="434"/>
      <c r="K121" s="434"/>
      <c r="L121" s="434"/>
      <c r="M121" s="434"/>
      <c r="N121" s="434"/>
      <c r="O121" s="434"/>
      <c r="P121" s="434"/>
      <c r="Q121" s="434"/>
      <c r="R121" s="434"/>
      <c r="S121" s="434"/>
      <c r="T121" s="434"/>
      <c r="U121" s="434"/>
      <c r="V121" s="450"/>
      <c r="W121" s="436"/>
      <c r="X121" s="415"/>
    </row>
    <row r="122" spans="1:24" s="544" customFormat="1" x14ac:dyDescent="0.3">
      <c r="A122" s="555"/>
      <c r="B122" s="556" t="s">
        <v>173</v>
      </c>
      <c r="C122" s="556"/>
      <c r="D122" s="556"/>
      <c r="E122" s="556"/>
      <c r="F122" s="556"/>
      <c r="G122" s="556"/>
      <c r="H122" s="556"/>
      <c r="I122" s="556"/>
      <c r="J122" s="556"/>
      <c r="K122" s="556"/>
      <c r="L122" s="556"/>
      <c r="M122" s="556"/>
      <c r="N122" s="556"/>
      <c r="O122" s="556"/>
      <c r="P122" s="556"/>
      <c r="Q122" s="556"/>
      <c r="R122" s="556"/>
      <c r="S122" s="556"/>
      <c r="T122" s="598">
        <f>-T188</f>
        <v>0</v>
      </c>
      <c r="U122" s="598"/>
      <c r="V122" s="599"/>
      <c r="W122" s="558"/>
      <c r="X122" s="543"/>
    </row>
    <row r="123" spans="1:24" s="544" customFormat="1" x14ac:dyDescent="0.3">
      <c r="A123" s="555"/>
      <c r="B123" s="556" t="s">
        <v>174</v>
      </c>
      <c r="C123" s="556"/>
      <c r="D123" s="556"/>
      <c r="E123" s="556"/>
      <c r="F123" s="556"/>
      <c r="G123" s="556"/>
      <c r="H123" s="556"/>
      <c r="I123" s="556"/>
      <c r="J123" s="556"/>
      <c r="K123" s="556"/>
      <c r="L123" s="556"/>
      <c r="M123" s="556"/>
      <c r="N123" s="556"/>
      <c r="O123" s="556"/>
      <c r="P123" s="556"/>
      <c r="Q123" s="556"/>
      <c r="R123" s="556"/>
      <c r="S123" s="556"/>
      <c r="T123" s="598">
        <v>0</v>
      </c>
      <c r="U123" s="598"/>
      <c r="V123" s="599"/>
      <c r="W123" s="558"/>
      <c r="X123" s="543"/>
    </row>
    <row r="124" spans="1:24" s="544" customFormat="1" x14ac:dyDescent="0.3">
      <c r="A124" s="555"/>
      <c r="B124" s="556" t="s">
        <v>38</v>
      </c>
      <c r="C124" s="556"/>
      <c r="D124" s="556"/>
      <c r="E124" s="556"/>
      <c r="F124" s="556"/>
      <c r="G124" s="556"/>
      <c r="H124" s="556"/>
      <c r="I124" s="556"/>
      <c r="J124" s="556"/>
      <c r="K124" s="556"/>
      <c r="L124" s="556"/>
      <c r="M124" s="556"/>
      <c r="N124" s="556"/>
      <c r="O124" s="556"/>
      <c r="P124" s="556"/>
      <c r="Q124" s="556"/>
      <c r="R124" s="556"/>
      <c r="S124" s="556"/>
      <c r="T124" s="598">
        <f>-S188</f>
        <v>-482</v>
      </c>
      <c r="U124" s="598"/>
      <c r="V124" s="599"/>
      <c r="W124" s="558"/>
      <c r="X124" s="543"/>
    </row>
    <row r="125" spans="1:24" s="544" customFormat="1" x14ac:dyDescent="0.3">
      <c r="A125" s="555"/>
      <c r="B125" s="556" t="s">
        <v>388</v>
      </c>
      <c r="C125" s="556"/>
      <c r="D125" s="556"/>
      <c r="E125" s="556"/>
      <c r="F125" s="556"/>
      <c r="G125" s="556"/>
      <c r="H125" s="556"/>
      <c r="I125" s="556"/>
      <c r="J125" s="556"/>
      <c r="K125" s="556"/>
      <c r="L125" s="556"/>
      <c r="M125" s="556"/>
      <c r="N125" s="556"/>
      <c r="O125" s="556"/>
      <c r="P125" s="556"/>
      <c r="Q125" s="556"/>
      <c r="R125" s="556"/>
      <c r="S125" s="556"/>
      <c r="T125" s="598">
        <v>-12046</v>
      </c>
      <c r="U125" s="598"/>
      <c r="V125" s="599"/>
      <c r="W125" s="558"/>
      <c r="X125" s="543"/>
    </row>
    <row r="126" spans="1:24" s="544" customFormat="1" x14ac:dyDescent="0.3">
      <c r="A126" s="555"/>
      <c r="B126" s="556" t="s">
        <v>195</v>
      </c>
      <c r="C126" s="556"/>
      <c r="D126" s="556"/>
      <c r="E126" s="556"/>
      <c r="F126" s="556"/>
      <c r="G126" s="556"/>
      <c r="H126" s="556"/>
      <c r="I126" s="556"/>
      <c r="J126" s="556"/>
      <c r="K126" s="556"/>
      <c r="L126" s="556"/>
      <c r="M126" s="556"/>
      <c r="N126" s="556"/>
      <c r="O126" s="556"/>
      <c r="P126" s="556"/>
      <c r="Q126" s="556"/>
      <c r="R126" s="556"/>
      <c r="S126" s="556"/>
      <c r="T126" s="598">
        <v>-1943</v>
      </c>
      <c r="U126" s="598"/>
      <c r="V126" s="599"/>
      <c r="W126" s="558"/>
      <c r="X126" s="543"/>
    </row>
    <row r="127" spans="1:24" s="544" customFormat="1" x14ac:dyDescent="0.3">
      <c r="A127" s="555"/>
      <c r="B127" s="556" t="s">
        <v>194</v>
      </c>
      <c r="C127" s="556"/>
      <c r="D127" s="556"/>
      <c r="E127" s="556"/>
      <c r="F127" s="556"/>
      <c r="G127" s="556"/>
      <c r="H127" s="556"/>
      <c r="I127" s="556"/>
      <c r="J127" s="556"/>
      <c r="K127" s="556"/>
      <c r="L127" s="556"/>
      <c r="M127" s="556"/>
      <c r="N127" s="556"/>
      <c r="O127" s="556"/>
      <c r="P127" s="556"/>
      <c r="Q127" s="556"/>
      <c r="R127" s="556"/>
      <c r="S127" s="556"/>
      <c r="T127" s="598">
        <v>-2613</v>
      </c>
      <c r="U127" s="598"/>
      <c r="V127" s="599"/>
      <c r="W127" s="558"/>
      <c r="X127" s="543"/>
    </row>
    <row r="128" spans="1:24" s="544" customFormat="1" x14ac:dyDescent="0.3">
      <c r="A128" s="555"/>
      <c r="B128" s="556" t="s">
        <v>226</v>
      </c>
      <c r="C128" s="556"/>
      <c r="D128" s="556"/>
      <c r="E128" s="556"/>
      <c r="F128" s="556"/>
      <c r="G128" s="556"/>
      <c r="H128" s="556"/>
      <c r="I128" s="556"/>
      <c r="J128" s="556"/>
      <c r="K128" s="556"/>
      <c r="L128" s="556"/>
      <c r="M128" s="556"/>
      <c r="N128" s="556"/>
      <c r="O128" s="556"/>
      <c r="P128" s="556"/>
      <c r="Q128" s="556"/>
      <c r="R128" s="556"/>
      <c r="S128" s="556"/>
      <c r="T128" s="598">
        <v>-3212</v>
      </c>
      <c r="U128" s="598"/>
      <c r="V128" s="599"/>
      <c r="W128" s="558"/>
      <c r="X128" s="543"/>
    </row>
    <row r="129" spans="1:24" s="544" customFormat="1" x14ac:dyDescent="0.3">
      <c r="A129" s="555"/>
      <c r="B129" s="556" t="s">
        <v>189</v>
      </c>
      <c r="C129" s="556"/>
      <c r="D129" s="556"/>
      <c r="E129" s="556"/>
      <c r="F129" s="556"/>
      <c r="G129" s="556"/>
      <c r="H129" s="556"/>
      <c r="I129" s="556"/>
      <c r="J129" s="556"/>
      <c r="K129" s="556"/>
      <c r="L129" s="556"/>
      <c r="M129" s="556"/>
      <c r="N129" s="556"/>
      <c r="O129" s="556"/>
      <c r="P129" s="556"/>
      <c r="Q129" s="556"/>
      <c r="R129" s="556"/>
      <c r="S129" s="556"/>
      <c r="T129" s="598">
        <v>0</v>
      </c>
      <c r="U129" s="598"/>
      <c r="V129" s="599"/>
      <c r="W129" s="558"/>
      <c r="X129" s="543"/>
    </row>
    <row r="130" spans="1:24" s="544" customFormat="1" x14ac:dyDescent="0.3">
      <c r="A130" s="555"/>
      <c r="B130" s="556" t="s">
        <v>188</v>
      </c>
      <c r="C130" s="556"/>
      <c r="D130" s="556"/>
      <c r="E130" s="556"/>
      <c r="F130" s="556"/>
      <c r="G130" s="556"/>
      <c r="H130" s="556"/>
      <c r="I130" s="556"/>
      <c r="J130" s="556"/>
      <c r="K130" s="556"/>
      <c r="L130" s="556"/>
      <c r="M130" s="556"/>
      <c r="N130" s="556"/>
      <c r="O130" s="556"/>
      <c r="P130" s="556"/>
      <c r="Q130" s="556"/>
      <c r="R130" s="556"/>
      <c r="S130" s="556"/>
      <c r="T130" s="598">
        <v>0</v>
      </c>
      <c r="U130" s="598"/>
      <c r="V130" s="599"/>
      <c r="W130" s="558"/>
      <c r="X130" s="543"/>
    </row>
    <row r="131" spans="1:24" s="544" customFormat="1" x14ac:dyDescent="0.3">
      <c r="A131" s="555"/>
      <c r="B131" s="556" t="s">
        <v>227</v>
      </c>
      <c r="C131" s="556"/>
      <c r="D131" s="556"/>
      <c r="E131" s="556"/>
      <c r="F131" s="556"/>
      <c r="G131" s="556"/>
      <c r="H131" s="556"/>
      <c r="I131" s="556"/>
      <c r="J131" s="556"/>
      <c r="K131" s="556"/>
      <c r="L131" s="556"/>
      <c r="M131" s="556"/>
      <c r="N131" s="556"/>
      <c r="O131" s="556"/>
      <c r="P131" s="556"/>
      <c r="Q131" s="556"/>
      <c r="R131" s="556"/>
      <c r="S131" s="556"/>
      <c r="T131" s="598">
        <v>0</v>
      </c>
      <c r="U131" s="598"/>
      <c r="V131" s="599"/>
      <c r="W131" s="558"/>
      <c r="X131" s="543"/>
    </row>
    <row r="132" spans="1:24" s="544" customFormat="1" x14ac:dyDescent="0.3">
      <c r="A132" s="555"/>
      <c r="B132" s="556" t="s">
        <v>187</v>
      </c>
      <c r="C132" s="556"/>
      <c r="D132" s="556"/>
      <c r="E132" s="556"/>
      <c r="F132" s="556"/>
      <c r="G132" s="556"/>
      <c r="H132" s="556"/>
      <c r="I132" s="556"/>
      <c r="J132" s="556"/>
      <c r="K132" s="556"/>
      <c r="L132" s="556"/>
      <c r="M132" s="556"/>
      <c r="N132" s="556"/>
      <c r="O132" s="556"/>
      <c r="P132" s="556"/>
      <c r="Q132" s="556"/>
      <c r="R132" s="556"/>
      <c r="S132" s="556"/>
      <c r="T132" s="598">
        <v>0</v>
      </c>
      <c r="U132" s="598"/>
      <c r="V132" s="599"/>
      <c r="W132" s="558"/>
      <c r="X132" s="543"/>
    </row>
    <row r="133" spans="1:24" s="544" customFormat="1" x14ac:dyDescent="0.3">
      <c r="A133" s="555"/>
      <c r="B133" s="556" t="s">
        <v>39</v>
      </c>
      <c r="C133" s="556"/>
      <c r="D133" s="556"/>
      <c r="E133" s="556"/>
      <c r="F133" s="556"/>
      <c r="G133" s="556"/>
      <c r="H133" s="556"/>
      <c r="I133" s="556"/>
      <c r="J133" s="556"/>
      <c r="K133" s="556"/>
      <c r="L133" s="556"/>
      <c r="M133" s="556"/>
      <c r="N133" s="556"/>
      <c r="O133" s="556"/>
      <c r="P133" s="556"/>
      <c r="Q133" s="556"/>
      <c r="R133" s="556"/>
      <c r="S133" s="556"/>
      <c r="T133" s="598">
        <f>SUM(T122:T132)</f>
        <v>-20296</v>
      </c>
      <c r="U133" s="598"/>
      <c r="V133" s="598">
        <f>SUM(V101:V130)</f>
        <v>-5626</v>
      </c>
      <c r="W133" s="558"/>
      <c r="X133" s="543"/>
    </row>
    <row r="134" spans="1:24" s="544" customFormat="1" x14ac:dyDescent="0.3">
      <c r="A134" s="555"/>
      <c r="B134" s="556" t="s">
        <v>40</v>
      </c>
      <c r="C134" s="556"/>
      <c r="D134" s="556"/>
      <c r="E134" s="556"/>
      <c r="F134" s="556"/>
      <c r="G134" s="556"/>
      <c r="H134" s="556"/>
      <c r="I134" s="556"/>
      <c r="J134" s="556"/>
      <c r="K134" s="556"/>
      <c r="L134" s="556"/>
      <c r="M134" s="556"/>
      <c r="N134" s="556"/>
      <c r="O134" s="556"/>
      <c r="P134" s="556"/>
      <c r="Q134" s="556"/>
      <c r="R134" s="556"/>
      <c r="S134" s="556"/>
      <c r="T134" s="598">
        <f>T100+T133+T114</f>
        <v>0</v>
      </c>
      <c r="U134" s="598"/>
      <c r="V134" s="598">
        <f>V100+V133</f>
        <v>0</v>
      </c>
      <c r="W134" s="558"/>
      <c r="X134" s="543"/>
    </row>
    <row r="135" spans="1:24" s="544" customFormat="1" x14ac:dyDescent="0.3">
      <c r="A135" s="540"/>
      <c r="B135" s="588"/>
      <c r="C135" s="588"/>
      <c r="D135" s="588"/>
      <c r="E135" s="588"/>
      <c r="F135" s="588"/>
      <c r="G135" s="588"/>
      <c r="H135" s="588"/>
      <c r="I135" s="588"/>
      <c r="J135" s="588"/>
      <c r="K135" s="588"/>
      <c r="L135" s="588"/>
      <c r="M135" s="588"/>
      <c r="N135" s="588"/>
      <c r="O135" s="588"/>
      <c r="P135" s="588"/>
      <c r="Q135" s="588"/>
      <c r="R135" s="588"/>
      <c r="S135" s="588"/>
      <c r="T135" s="600"/>
      <c r="U135" s="600"/>
      <c r="V135" s="600"/>
      <c r="W135" s="588"/>
      <c r="X135" s="543"/>
    </row>
    <row r="136" spans="1:24" s="544" customFormat="1" x14ac:dyDescent="0.3">
      <c r="A136" s="540"/>
      <c r="B136" s="541"/>
      <c r="C136" s="541"/>
      <c r="D136" s="541"/>
      <c r="E136" s="541"/>
      <c r="F136" s="541"/>
      <c r="G136" s="541"/>
      <c r="H136" s="541"/>
      <c r="I136" s="541"/>
      <c r="J136" s="541"/>
      <c r="K136" s="541"/>
      <c r="L136" s="541"/>
      <c r="M136" s="541"/>
      <c r="N136" s="541"/>
      <c r="O136" s="541"/>
      <c r="P136" s="541"/>
      <c r="Q136" s="541"/>
      <c r="R136" s="541"/>
      <c r="S136" s="541"/>
      <c r="T136" s="541"/>
      <c r="U136" s="541"/>
      <c r="V136" s="606"/>
      <c r="W136" s="541"/>
      <c r="X136" s="543"/>
    </row>
    <row r="137" spans="1:24" s="544" customFormat="1" ht="18.600000000000001" thickBot="1" x14ac:dyDescent="0.4">
      <c r="A137" s="593"/>
      <c r="B137" s="594" t="str">
        <f>B63</f>
        <v>PM14 INVESTOR REPORT QUARTER ENDING AUGUST 2018</v>
      </c>
      <c r="C137" s="595"/>
      <c r="D137" s="595"/>
      <c r="E137" s="595"/>
      <c r="F137" s="595"/>
      <c r="G137" s="595"/>
      <c r="H137" s="595"/>
      <c r="I137" s="595"/>
      <c r="J137" s="595"/>
      <c r="K137" s="595"/>
      <c r="L137" s="595"/>
      <c r="M137" s="595"/>
      <c r="N137" s="595"/>
      <c r="O137" s="595"/>
      <c r="P137" s="595"/>
      <c r="Q137" s="595"/>
      <c r="R137" s="595"/>
      <c r="S137" s="595"/>
      <c r="T137" s="595"/>
      <c r="U137" s="595"/>
      <c r="V137" s="607"/>
      <c r="W137" s="597"/>
      <c r="X137" s="543"/>
    </row>
    <row r="138" spans="1:24" x14ac:dyDescent="0.3">
      <c r="A138" s="527"/>
      <c r="B138" s="528" t="s">
        <v>41</v>
      </c>
      <c r="C138" s="529"/>
      <c r="D138" s="529"/>
      <c r="E138" s="529"/>
      <c r="F138" s="529"/>
      <c r="G138" s="529"/>
      <c r="H138" s="529"/>
      <c r="I138" s="529"/>
      <c r="J138" s="529"/>
      <c r="K138" s="529"/>
      <c r="L138" s="529"/>
      <c r="M138" s="529"/>
      <c r="N138" s="529"/>
      <c r="O138" s="529"/>
      <c r="P138" s="529"/>
      <c r="Q138" s="529"/>
      <c r="R138" s="529"/>
      <c r="S138" s="529"/>
      <c r="T138" s="529"/>
      <c r="U138" s="529"/>
      <c r="V138" s="530"/>
      <c r="W138" s="529"/>
      <c r="X138" s="415"/>
    </row>
    <row r="139" spans="1:24" x14ac:dyDescent="0.3">
      <c r="A139" s="417"/>
      <c r="B139" s="451"/>
      <c r="C139" s="419"/>
      <c r="D139" s="419"/>
      <c r="E139" s="419"/>
      <c r="F139" s="419"/>
      <c r="G139" s="419"/>
      <c r="H139" s="419"/>
      <c r="I139" s="419"/>
      <c r="J139" s="419"/>
      <c r="K139" s="419"/>
      <c r="L139" s="419"/>
      <c r="M139" s="419"/>
      <c r="N139" s="419"/>
      <c r="O139" s="419"/>
      <c r="P139" s="419"/>
      <c r="Q139" s="419"/>
      <c r="R139" s="419"/>
      <c r="S139" s="419"/>
      <c r="T139" s="419"/>
      <c r="U139" s="419"/>
      <c r="V139" s="439"/>
      <c r="W139" s="419"/>
      <c r="X139" s="415"/>
    </row>
    <row r="140" spans="1:24" x14ac:dyDescent="0.3">
      <c r="A140" s="417"/>
      <c r="B140" s="508" t="s">
        <v>42</v>
      </c>
      <c r="C140" s="419"/>
      <c r="D140" s="419"/>
      <c r="E140" s="419"/>
      <c r="F140" s="419"/>
      <c r="G140" s="419"/>
      <c r="H140" s="419"/>
      <c r="I140" s="419"/>
      <c r="J140" s="419"/>
      <c r="K140" s="419"/>
      <c r="L140" s="419"/>
      <c r="M140" s="419"/>
      <c r="N140" s="419"/>
      <c r="O140" s="419"/>
      <c r="P140" s="419"/>
      <c r="Q140" s="419"/>
      <c r="R140" s="419"/>
      <c r="S140" s="419"/>
      <c r="T140" s="419"/>
      <c r="U140" s="419"/>
      <c r="V140" s="439"/>
      <c r="W140" s="419"/>
      <c r="X140" s="415"/>
    </row>
    <row r="141" spans="1:24" s="544" customFormat="1" x14ac:dyDescent="0.3">
      <c r="A141" s="555"/>
      <c r="B141" s="556" t="s">
        <v>43</v>
      </c>
      <c r="C141" s="556"/>
      <c r="D141" s="556"/>
      <c r="E141" s="556"/>
      <c r="F141" s="556"/>
      <c r="G141" s="556"/>
      <c r="H141" s="556"/>
      <c r="I141" s="556"/>
      <c r="J141" s="556"/>
      <c r="K141" s="556"/>
      <c r="L141" s="556"/>
      <c r="M141" s="556"/>
      <c r="N141" s="556"/>
      <c r="O141" s="556"/>
      <c r="P141" s="556"/>
      <c r="Q141" s="556"/>
      <c r="R141" s="556"/>
      <c r="S141" s="556"/>
      <c r="T141" s="556"/>
      <c r="U141" s="556"/>
      <c r="V141" s="599">
        <f>+V34*0.019</f>
        <v>28505.224999999999</v>
      </c>
      <c r="W141" s="558"/>
      <c r="X141" s="543"/>
    </row>
    <row r="142" spans="1:24" s="544" customFormat="1" x14ac:dyDescent="0.3">
      <c r="A142" s="555"/>
      <c r="B142" s="556" t="s">
        <v>44</v>
      </c>
      <c r="C142" s="556"/>
      <c r="D142" s="556"/>
      <c r="E142" s="556"/>
      <c r="F142" s="556"/>
      <c r="G142" s="556"/>
      <c r="H142" s="556"/>
      <c r="I142" s="556"/>
      <c r="J142" s="556"/>
      <c r="K142" s="556"/>
      <c r="L142" s="556"/>
      <c r="M142" s="556"/>
      <c r="N142" s="556"/>
      <c r="O142" s="556"/>
      <c r="P142" s="556"/>
      <c r="Q142" s="556"/>
      <c r="R142" s="556"/>
      <c r="S142" s="556"/>
      <c r="T142" s="556"/>
      <c r="U142" s="556"/>
      <c r="V142" s="599">
        <v>28505</v>
      </c>
      <c r="W142" s="558"/>
      <c r="X142" s="543"/>
    </row>
    <row r="143" spans="1:24" s="544" customFormat="1" x14ac:dyDescent="0.3">
      <c r="A143" s="555"/>
      <c r="B143" s="556" t="s">
        <v>136</v>
      </c>
      <c r="C143" s="556"/>
      <c r="D143" s="556"/>
      <c r="E143" s="556"/>
      <c r="F143" s="556"/>
      <c r="G143" s="556"/>
      <c r="H143" s="556"/>
      <c r="I143" s="556"/>
      <c r="J143" s="556"/>
      <c r="K143" s="556"/>
      <c r="L143" s="556"/>
      <c r="M143" s="556"/>
      <c r="N143" s="556"/>
      <c r="O143" s="556"/>
      <c r="P143" s="556"/>
      <c r="Q143" s="556"/>
      <c r="R143" s="556"/>
      <c r="S143" s="556"/>
      <c r="T143" s="556"/>
      <c r="U143" s="556"/>
      <c r="V143" s="599"/>
      <c r="W143" s="558"/>
      <c r="X143" s="543"/>
    </row>
    <row r="144" spans="1:24" s="544" customFormat="1" x14ac:dyDescent="0.3">
      <c r="A144" s="555"/>
      <c r="B144" s="556" t="s">
        <v>123</v>
      </c>
      <c r="C144" s="556"/>
      <c r="D144" s="556"/>
      <c r="E144" s="556"/>
      <c r="F144" s="556"/>
      <c r="G144" s="556"/>
      <c r="H144" s="556"/>
      <c r="I144" s="556"/>
      <c r="J144" s="556"/>
      <c r="K144" s="556"/>
      <c r="L144" s="556"/>
      <c r="M144" s="556"/>
      <c r="N144" s="556"/>
      <c r="O144" s="556"/>
      <c r="P144" s="556"/>
      <c r="Q144" s="556"/>
      <c r="R144" s="556"/>
      <c r="S144" s="556"/>
      <c r="T144" s="556"/>
      <c r="U144" s="556"/>
      <c r="V144" s="599">
        <v>0</v>
      </c>
      <c r="W144" s="558"/>
      <c r="X144" s="543"/>
    </row>
    <row r="145" spans="1:25" s="544" customFormat="1" x14ac:dyDescent="0.3">
      <c r="A145" s="555"/>
      <c r="B145" s="556" t="s">
        <v>124</v>
      </c>
      <c r="C145" s="556"/>
      <c r="D145" s="556"/>
      <c r="E145" s="556"/>
      <c r="F145" s="556"/>
      <c r="G145" s="556"/>
      <c r="H145" s="556"/>
      <c r="I145" s="556"/>
      <c r="J145" s="556"/>
      <c r="K145" s="556"/>
      <c r="L145" s="556"/>
      <c r="M145" s="556"/>
      <c r="N145" s="556"/>
      <c r="O145" s="556"/>
      <c r="P145" s="556"/>
      <c r="Q145" s="556"/>
      <c r="R145" s="556"/>
      <c r="S145" s="556"/>
      <c r="T145" s="556"/>
      <c r="U145" s="556"/>
      <c r="V145" s="599">
        <v>0</v>
      </c>
      <c r="W145" s="558"/>
      <c r="X145" s="543"/>
    </row>
    <row r="146" spans="1:25" s="544" customFormat="1" x14ac:dyDescent="0.3">
      <c r="A146" s="555"/>
      <c r="B146" s="556" t="s">
        <v>175</v>
      </c>
      <c r="C146" s="556"/>
      <c r="D146" s="556"/>
      <c r="E146" s="556"/>
      <c r="F146" s="556"/>
      <c r="G146" s="556"/>
      <c r="H146" s="556"/>
      <c r="I146" s="556"/>
      <c r="J146" s="556"/>
      <c r="K146" s="556"/>
      <c r="L146" s="556"/>
      <c r="M146" s="556"/>
      <c r="N146" s="556"/>
      <c r="O146" s="556"/>
      <c r="P146" s="556"/>
      <c r="Q146" s="556"/>
      <c r="R146" s="556"/>
      <c r="S146" s="556"/>
      <c r="T146" s="556"/>
      <c r="U146" s="556"/>
      <c r="V146" s="599">
        <v>0</v>
      </c>
      <c r="W146" s="558"/>
      <c r="X146" s="543"/>
    </row>
    <row r="147" spans="1:25" s="544" customFormat="1" x14ac:dyDescent="0.3">
      <c r="A147" s="555"/>
      <c r="B147" s="556" t="s">
        <v>45</v>
      </c>
      <c r="C147" s="556"/>
      <c r="D147" s="556"/>
      <c r="E147" s="556"/>
      <c r="F147" s="556"/>
      <c r="G147" s="556"/>
      <c r="H147" s="556"/>
      <c r="I147" s="556"/>
      <c r="J147" s="556"/>
      <c r="K147" s="556"/>
      <c r="L147" s="556"/>
      <c r="M147" s="556"/>
      <c r="N147" s="556"/>
      <c r="O147" s="556"/>
      <c r="P147" s="556"/>
      <c r="Q147" s="556"/>
      <c r="R147" s="556"/>
      <c r="S147" s="556"/>
      <c r="T147" s="556"/>
      <c r="U147" s="556"/>
      <c r="V147" s="599">
        <v>0</v>
      </c>
      <c r="W147" s="558"/>
      <c r="X147" s="543"/>
    </row>
    <row r="148" spans="1:25" s="544" customFormat="1" x14ac:dyDescent="0.3">
      <c r="A148" s="555"/>
      <c r="B148" s="556" t="s">
        <v>129</v>
      </c>
      <c r="C148" s="556"/>
      <c r="D148" s="556"/>
      <c r="E148" s="556"/>
      <c r="F148" s="556"/>
      <c r="G148" s="556"/>
      <c r="H148" s="556"/>
      <c r="I148" s="556"/>
      <c r="J148" s="556"/>
      <c r="K148" s="556"/>
      <c r="L148" s="556"/>
      <c r="M148" s="556"/>
      <c r="N148" s="556"/>
      <c r="O148" s="556"/>
      <c r="P148" s="556"/>
      <c r="Q148" s="556"/>
      <c r="R148" s="556"/>
      <c r="S148" s="556"/>
      <c r="T148" s="556"/>
      <c r="U148" s="556"/>
      <c r="V148" s="599">
        <v>0</v>
      </c>
      <c r="W148" s="558"/>
      <c r="X148" s="543"/>
    </row>
    <row r="149" spans="1:25" s="544" customFormat="1" x14ac:dyDescent="0.3">
      <c r="A149" s="555"/>
      <c r="B149" s="556" t="s">
        <v>267</v>
      </c>
      <c r="C149" s="556"/>
      <c r="D149" s="556"/>
      <c r="E149" s="556"/>
      <c r="F149" s="556"/>
      <c r="G149" s="556"/>
      <c r="H149" s="556"/>
      <c r="I149" s="556"/>
      <c r="J149" s="556"/>
      <c r="K149" s="556"/>
      <c r="L149" s="556"/>
      <c r="M149" s="556"/>
      <c r="N149" s="556"/>
      <c r="O149" s="556"/>
      <c r="P149" s="556"/>
      <c r="Q149" s="556"/>
      <c r="R149" s="556"/>
      <c r="S149" s="556"/>
      <c r="T149" s="556"/>
      <c r="U149" s="556"/>
      <c r="V149" s="599">
        <v>0</v>
      </c>
      <c r="W149" s="558"/>
      <c r="X149" s="543"/>
      <c r="Y149" s="604"/>
    </row>
    <row r="150" spans="1:25" s="544" customFormat="1" x14ac:dyDescent="0.3">
      <c r="A150" s="555"/>
      <c r="B150" s="556" t="s">
        <v>46</v>
      </c>
      <c r="C150" s="556"/>
      <c r="D150" s="556"/>
      <c r="E150" s="556"/>
      <c r="F150" s="556"/>
      <c r="G150" s="556"/>
      <c r="H150" s="556"/>
      <c r="I150" s="556"/>
      <c r="J150" s="556"/>
      <c r="K150" s="556"/>
      <c r="L150" s="556"/>
      <c r="M150" s="556"/>
      <c r="N150" s="556"/>
      <c r="O150" s="556"/>
      <c r="P150" s="556"/>
      <c r="Q150" s="556"/>
      <c r="R150" s="556"/>
      <c r="S150" s="556"/>
      <c r="T150" s="556"/>
      <c r="U150" s="556"/>
      <c r="V150" s="599">
        <f>SUM(V142:V149)</f>
        <v>28505</v>
      </c>
      <c r="W150" s="558"/>
      <c r="X150" s="543"/>
    </row>
    <row r="151" spans="1:25" x14ac:dyDescent="0.3">
      <c r="A151" s="431"/>
      <c r="B151" s="434"/>
      <c r="C151" s="434"/>
      <c r="D151" s="434"/>
      <c r="E151" s="434"/>
      <c r="F151" s="434"/>
      <c r="G151" s="434"/>
      <c r="H151" s="434"/>
      <c r="I151" s="434"/>
      <c r="J151" s="434"/>
      <c r="K151" s="434"/>
      <c r="L151" s="434"/>
      <c r="M151" s="434"/>
      <c r="N151" s="434"/>
      <c r="O151" s="434"/>
      <c r="P151" s="434"/>
      <c r="Q151" s="434"/>
      <c r="R151" s="434"/>
      <c r="S151" s="434"/>
      <c r="T151" s="434"/>
      <c r="U151" s="434"/>
      <c r="V151" s="449"/>
      <c r="W151" s="436"/>
      <c r="X151" s="415"/>
    </row>
    <row r="152" spans="1:25" x14ac:dyDescent="0.3">
      <c r="A152" s="431"/>
      <c r="B152" s="507" t="s">
        <v>237</v>
      </c>
      <c r="C152" s="434"/>
      <c r="D152" s="434"/>
      <c r="E152" s="434"/>
      <c r="F152" s="434"/>
      <c r="G152" s="434"/>
      <c r="H152" s="434"/>
      <c r="I152" s="434"/>
      <c r="J152" s="434"/>
      <c r="K152" s="434"/>
      <c r="L152" s="434"/>
      <c r="M152" s="434"/>
      <c r="N152" s="434"/>
      <c r="O152" s="434"/>
      <c r="P152" s="434"/>
      <c r="Q152" s="434"/>
      <c r="R152" s="434"/>
      <c r="S152" s="434"/>
      <c r="T152" s="434"/>
      <c r="U152" s="434"/>
      <c r="V152" s="449"/>
      <c r="W152" s="436"/>
      <c r="X152" s="415"/>
    </row>
    <row r="153" spans="1:25" s="544" customFormat="1" x14ac:dyDescent="0.3">
      <c r="A153" s="555"/>
      <c r="B153" s="556" t="s">
        <v>155</v>
      </c>
      <c r="C153" s="556"/>
      <c r="D153" s="556"/>
      <c r="E153" s="556"/>
      <c r="F153" s="556"/>
      <c r="G153" s="556"/>
      <c r="H153" s="556"/>
      <c r="I153" s="556"/>
      <c r="J153" s="556"/>
      <c r="K153" s="556"/>
      <c r="L153" s="556"/>
      <c r="M153" s="556"/>
      <c r="N153" s="556"/>
      <c r="O153" s="556"/>
      <c r="P153" s="556"/>
      <c r="Q153" s="556"/>
      <c r="R153" s="556"/>
      <c r="S153" s="556"/>
      <c r="T153" s="556"/>
      <c r="U153" s="556"/>
      <c r="V153" s="599">
        <v>7500</v>
      </c>
      <c r="W153" s="558"/>
      <c r="X153" s="543"/>
    </row>
    <row r="154" spans="1:25" s="544" customFormat="1" x14ac:dyDescent="0.3">
      <c r="A154" s="555"/>
      <c r="B154" s="556" t="s">
        <v>172</v>
      </c>
      <c r="C154" s="556"/>
      <c r="D154" s="556"/>
      <c r="E154" s="556"/>
      <c r="F154" s="556"/>
      <c r="G154" s="556"/>
      <c r="H154" s="556"/>
      <c r="I154" s="556"/>
      <c r="J154" s="556"/>
      <c r="K154" s="556"/>
      <c r="L154" s="556"/>
      <c r="M154" s="556"/>
      <c r="N154" s="556"/>
      <c r="O154" s="556"/>
      <c r="P154" s="556"/>
      <c r="Q154" s="556"/>
      <c r="R154" s="556"/>
      <c r="S154" s="556"/>
      <c r="T154" s="556"/>
      <c r="U154" s="556"/>
      <c r="V154" s="599">
        <v>0</v>
      </c>
      <c r="W154" s="558"/>
      <c r="X154" s="543"/>
    </row>
    <row r="155" spans="1:25" s="544" customFormat="1" x14ac:dyDescent="0.3">
      <c r="A155" s="555"/>
      <c r="B155" s="556" t="s">
        <v>344</v>
      </c>
      <c r="C155" s="556"/>
      <c r="D155" s="556"/>
      <c r="E155" s="556"/>
      <c r="F155" s="556"/>
      <c r="G155" s="556"/>
      <c r="H155" s="556"/>
      <c r="I155" s="556"/>
      <c r="J155" s="556"/>
      <c r="K155" s="556"/>
      <c r="L155" s="556"/>
      <c r="M155" s="556"/>
      <c r="N155" s="556"/>
      <c r="O155" s="556"/>
      <c r="P155" s="556"/>
      <c r="Q155" s="556"/>
      <c r="R155" s="556"/>
      <c r="S155" s="556"/>
      <c r="T155" s="556"/>
      <c r="U155" s="556"/>
      <c r="V155" s="599">
        <v>0</v>
      </c>
      <c r="W155" s="558"/>
      <c r="X155" s="543"/>
    </row>
    <row r="156" spans="1:25" x14ac:dyDescent="0.3">
      <c r="A156" s="431"/>
      <c r="B156" s="432"/>
      <c r="C156" s="432"/>
      <c r="D156" s="432"/>
      <c r="E156" s="432"/>
      <c r="F156" s="432"/>
      <c r="G156" s="432"/>
      <c r="H156" s="432"/>
      <c r="I156" s="432"/>
      <c r="J156" s="432"/>
      <c r="K156" s="432"/>
      <c r="L156" s="432"/>
      <c r="M156" s="432"/>
      <c r="N156" s="432"/>
      <c r="O156" s="432"/>
      <c r="P156" s="432"/>
      <c r="Q156" s="432"/>
      <c r="R156" s="432"/>
      <c r="S156" s="432"/>
      <c r="T156" s="432"/>
      <c r="U156" s="432"/>
      <c r="V156" s="440"/>
      <c r="W156" s="433"/>
      <c r="X156" s="415"/>
    </row>
    <row r="157" spans="1:25" x14ac:dyDescent="0.3">
      <c r="A157" s="417"/>
      <c r="B157" s="441"/>
      <c r="C157" s="441"/>
      <c r="D157" s="441"/>
      <c r="E157" s="441"/>
      <c r="F157" s="441"/>
      <c r="G157" s="441"/>
      <c r="H157" s="441"/>
      <c r="I157" s="441"/>
      <c r="J157" s="441"/>
      <c r="K157" s="441"/>
      <c r="L157" s="441"/>
      <c r="M157" s="441"/>
      <c r="N157" s="441"/>
      <c r="O157" s="441"/>
      <c r="P157" s="441"/>
      <c r="Q157" s="441"/>
      <c r="R157" s="441"/>
      <c r="S157" s="441"/>
      <c r="T157" s="441"/>
      <c r="U157" s="441"/>
      <c r="V157" s="452"/>
      <c r="W157" s="441"/>
      <c r="X157" s="415"/>
    </row>
    <row r="158" spans="1:25" x14ac:dyDescent="0.3">
      <c r="A158" s="417"/>
      <c r="B158" s="508" t="s">
        <v>24</v>
      </c>
      <c r="C158" s="419"/>
      <c r="D158" s="419"/>
      <c r="E158" s="419"/>
      <c r="F158" s="419"/>
      <c r="G158" s="419"/>
      <c r="H158" s="419"/>
      <c r="I158" s="419"/>
      <c r="J158" s="419"/>
      <c r="K158" s="419"/>
      <c r="L158" s="419"/>
      <c r="M158" s="419"/>
      <c r="N158" s="419"/>
      <c r="O158" s="419"/>
      <c r="P158" s="419"/>
      <c r="Q158" s="419"/>
      <c r="R158" s="419"/>
      <c r="S158" s="419"/>
      <c r="T158" s="419"/>
      <c r="U158" s="419"/>
      <c r="V158" s="439"/>
      <c r="W158" s="419"/>
      <c r="X158" s="415"/>
    </row>
    <row r="159" spans="1:25" s="544" customFormat="1" x14ac:dyDescent="0.3">
      <c r="A159" s="555"/>
      <c r="B159" s="556" t="s">
        <v>47</v>
      </c>
      <c r="C159" s="556"/>
      <c r="D159" s="556"/>
      <c r="E159" s="556"/>
      <c r="F159" s="556"/>
      <c r="G159" s="556"/>
      <c r="H159" s="556"/>
      <c r="I159" s="556"/>
      <c r="J159" s="556"/>
      <c r="K159" s="556"/>
      <c r="L159" s="556"/>
      <c r="M159" s="556"/>
      <c r="N159" s="556"/>
      <c r="O159" s="556"/>
      <c r="P159" s="556"/>
      <c r="Q159" s="556"/>
      <c r="R159" s="556"/>
      <c r="S159" s="556"/>
      <c r="T159" s="556"/>
      <c r="U159" s="556"/>
      <c r="V159" s="608" t="s">
        <v>118</v>
      </c>
      <c r="W159" s="558"/>
      <c r="X159" s="543"/>
    </row>
    <row r="160" spans="1:25" s="544" customFormat="1" x14ac:dyDescent="0.3">
      <c r="A160" s="555"/>
      <c r="B160" s="556" t="s">
        <v>48</v>
      </c>
      <c r="C160" s="556"/>
      <c r="D160" s="556"/>
      <c r="E160" s="556"/>
      <c r="F160" s="556"/>
      <c r="G160" s="556"/>
      <c r="H160" s="556"/>
      <c r="I160" s="556"/>
      <c r="J160" s="556"/>
      <c r="K160" s="556"/>
      <c r="L160" s="556"/>
      <c r="M160" s="556"/>
      <c r="N160" s="556"/>
      <c r="O160" s="556"/>
      <c r="P160" s="556"/>
      <c r="Q160" s="556"/>
      <c r="R160" s="556"/>
      <c r="S160" s="556"/>
      <c r="T160" s="556"/>
      <c r="U160" s="556"/>
      <c r="V160" s="608" t="s">
        <v>118</v>
      </c>
      <c r="W160" s="558"/>
      <c r="X160" s="543"/>
    </row>
    <row r="161" spans="1:256" s="544" customFormat="1" x14ac:dyDescent="0.3">
      <c r="A161" s="555"/>
      <c r="B161" s="556" t="s">
        <v>49</v>
      </c>
      <c r="C161" s="556"/>
      <c r="D161" s="556"/>
      <c r="E161" s="556"/>
      <c r="F161" s="556"/>
      <c r="G161" s="556"/>
      <c r="H161" s="556"/>
      <c r="I161" s="556"/>
      <c r="J161" s="556"/>
      <c r="K161" s="556"/>
      <c r="L161" s="556"/>
      <c r="M161" s="556"/>
      <c r="N161" s="556"/>
      <c r="O161" s="556"/>
      <c r="P161" s="556"/>
      <c r="Q161" s="556"/>
      <c r="R161" s="556"/>
      <c r="S161" s="556"/>
      <c r="T161" s="556"/>
      <c r="U161" s="556"/>
      <c r="V161" s="608" t="s">
        <v>118</v>
      </c>
      <c r="W161" s="558"/>
      <c r="X161" s="543"/>
    </row>
    <row r="162" spans="1:256" s="544" customFormat="1" x14ac:dyDescent="0.3">
      <c r="A162" s="555"/>
      <c r="B162" s="556" t="s">
        <v>50</v>
      </c>
      <c r="C162" s="556"/>
      <c r="D162" s="556"/>
      <c r="E162" s="556"/>
      <c r="F162" s="556"/>
      <c r="G162" s="556"/>
      <c r="H162" s="556"/>
      <c r="I162" s="556"/>
      <c r="J162" s="556"/>
      <c r="K162" s="556"/>
      <c r="L162" s="556"/>
      <c r="M162" s="556"/>
      <c r="N162" s="556"/>
      <c r="O162" s="556"/>
      <c r="P162" s="556"/>
      <c r="Q162" s="556"/>
      <c r="R162" s="556"/>
      <c r="S162" s="556"/>
      <c r="T162" s="556"/>
      <c r="U162" s="556"/>
      <c r="V162" s="608" t="s">
        <v>118</v>
      </c>
      <c r="W162" s="558"/>
      <c r="X162" s="543"/>
    </row>
    <row r="163" spans="1:256" x14ac:dyDescent="0.3">
      <c r="A163" s="417"/>
      <c r="B163" s="441"/>
      <c r="C163" s="441"/>
      <c r="D163" s="441"/>
      <c r="E163" s="441"/>
      <c r="F163" s="441"/>
      <c r="G163" s="441"/>
      <c r="H163" s="441"/>
      <c r="I163" s="441"/>
      <c r="J163" s="441"/>
      <c r="K163" s="441"/>
      <c r="L163" s="441"/>
      <c r="M163" s="441"/>
      <c r="N163" s="441"/>
      <c r="O163" s="441"/>
      <c r="P163" s="441"/>
      <c r="Q163" s="441"/>
      <c r="R163" s="441"/>
      <c r="S163" s="441"/>
      <c r="T163" s="441"/>
      <c r="U163" s="441"/>
      <c r="V163" s="452"/>
      <c r="W163" s="441"/>
      <c r="X163" s="415"/>
    </row>
    <row r="164" spans="1:256" x14ac:dyDescent="0.3">
      <c r="A164" s="417"/>
      <c r="B164" s="508" t="s">
        <v>51</v>
      </c>
      <c r="C164" s="419"/>
      <c r="D164" s="419"/>
      <c r="E164" s="419"/>
      <c r="F164" s="419"/>
      <c r="G164" s="419"/>
      <c r="H164" s="419"/>
      <c r="I164" s="419"/>
      <c r="J164" s="419"/>
      <c r="K164" s="419"/>
      <c r="L164" s="419"/>
      <c r="M164" s="419"/>
      <c r="N164" s="419"/>
      <c r="O164" s="419"/>
      <c r="P164" s="419"/>
      <c r="Q164" s="419"/>
      <c r="R164" s="419"/>
      <c r="S164" s="419"/>
      <c r="T164" s="419"/>
      <c r="U164" s="419"/>
      <c r="V164" s="453"/>
      <c r="W164" s="419"/>
      <c r="X164" s="415"/>
    </row>
    <row r="165" spans="1:256" s="544" customFormat="1" x14ac:dyDescent="0.3">
      <c r="A165" s="555"/>
      <c r="B165" s="556" t="s">
        <v>52</v>
      </c>
      <c r="C165" s="556"/>
      <c r="D165" s="556"/>
      <c r="E165" s="556"/>
      <c r="F165" s="556"/>
      <c r="G165" s="556"/>
      <c r="H165" s="556"/>
      <c r="I165" s="556"/>
      <c r="J165" s="556"/>
      <c r="K165" s="556"/>
      <c r="L165" s="556"/>
      <c r="M165" s="556"/>
      <c r="N165" s="556"/>
      <c r="O165" s="556"/>
      <c r="P165" s="556"/>
      <c r="Q165" s="556"/>
      <c r="R165" s="556"/>
      <c r="S165" s="556"/>
      <c r="T165" s="556"/>
      <c r="U165" s="556"/>
      <c r="V165" s="599">
        <v>0</v>
      </c>
      <c r="W165" s="558"/>
      <c r="X165" s="543"/>
    </row>
    <row r="166" spans="1:256" s="544" customFormat="1" x14ac:dyDescent="0.3">
      <c r="A166" s="555"/>
      <c r="B166" s="556" t="s">
        <v>53</v>
      </c>
      <c r="C166" s="556"/>
      <c r="D166" s="556"/>
      <c r="E166" s="556"/>
      <c r="F166" s="556"/>
      <c r="G166" s="556"/>
      <c r="H166" s="556"/>
      <c r="I166" s="556"/>
      <c r="J166" s="556"/>
      <c r="K166" s="556"/>
      <c r="L166" s="556"/>
      <c r="M166" s="556"/>
      <c r="N166" s="556"/>
      <c r="O166" s="556"/>
      <c r="P166" s="556"/>
      <c r="Q166" s="556"/>
      <c r="R166" s="556"/>
      <c r="S166" s="556"/>
      <c r="T166" s="556"/>
      <c r="U166" s="556"/>
      <c r="V166" s="599">
        <v>166</v>
      </c>
      <c r="W166" s="558"/>
      <c r="X166" s="543"/>
    </row>
    <row r="167" spans="1:256" s="544" customFormat="1" x14ac:dyDescent="0.3">
      <c r="A167" s="555"/>
      <c r="B167" s="556" t="s">
        <v>54</v>
      </c>
      <c r="C167" s="556"/>
      <c r="D167" s="556"/>
      <c r="E167" s="556"/>
      <c r="F167" s="556"/>
      <c r="G167" s="556"/>
      <c r="H167" s="556"/>
      <c r="I167" s="556"/>
      <c r="J167" s="556"/>
      <c r="K167" s="556"/>
      <c r="L167" s="556"/>
      <c r="M167" s="556"/>
      <c r="N167" s="556"/>
      <c r="O167" s="556"/>
      <c r="P167" s="556"/>
      <c r="Q167" s="556"/>
      <c r="R167" s="556"/>
      <c r="S167" s="556"/>
      <c r="T167" s="556"/>
      <c r="U167" s="556"/>
      <c r="V167" s="599">
        <f>V166+V165</f>
        <v>166</v>
      </c>
      <c r="W167" s="558"/>
      <c r="X167" s="543"/>
    </row>
    <row r="168" spans="1:256" s="544" customFormat="1" x14ac:dyDescent="0.3">
      <c r="A168" s="555"/>
      <c r="B168" s="556" t="s">
        <v>315</v>
      </c>
      <c r="C168" s="556"/>
      <c r="D168" s="556"/>
      <c r="E168" s="556"/>
      <c r="F168" s="556"/>
      <c r="G168" s="556"/>
      <c r="H168" s="556"/>
      <c r="I168" s="556"/>
      <c r="J168" s="556"/>
      <c r="K168" s="556"/>
      <c r="L168" s="556"/>
      <c r="M168" s="556"/>
      <c r="N168" s="556"/>
      <c r="O168" s="556"/>
      <c r="P168" s="556"/>
      <c r="Q168" s="556"/>
      <c r="R168" s="556"/>
      <c r="S168" s="556"/>
      <c r="T168" s="556"/>
      <c r="U168" s="556"/>
      <c r="V168" s="599">
        <f>V114</f>
        <v>-166</v>
      </c>
      <c r="W168" s="558"/>
      <c r="X168" s="543"/>
    </row>
    <row r="169" spans="1:256" s="544" customFormat="1" x14ac:dyDescent="0.3">
      <c r="A169" s="555"/>
      <c r="B169" s="556" t="s">
        <v>55</v>
      </c>
      <c r="C169" s="556"/>
      <c r="D169" s="556"/>
      <c r="E169" s="556"/>
      <c r="F169" s="556"/>
      <c r="G169" s="556"/>
      <c r="H169" s="556"/>
      <c r="I169" s="556"/>
      <c r="J169" s="556"/>
      <c r="K169" s="556"/>
      <c r="L169" s="556"/>
      <c r="M169" s="556"/>
      <c r="N169" s="556"/>
      <c r="O169" s="556"/>
      <c r="P169" s="556"/>
      <c r="Q169" s="556"/>
      <c r="R169" s="556"/>
      <c r="S169" s="556"/>
      <c r="T169" s="556"/>
      <c r="U169" s="556"/>
      <c r="V169" s="599">
        <f>V167+V168</f>
        <v>0</v>
      </c>
      <c r="W169" s="558"/>
      <c r="X169" s="543"/>
    </row>
    <row r="170" spans="1:256" s="544" customFormat="1" x14ac:dyDescent="0.3">
      <c r="A170" s="555"/>
      <c r="B170" s="556" t="s">
        <v>283</v>
      </c>
      <c r="C170" s="556"/>
      <c r="D170" s="556"/>
      <c r="E170" s="556"/>
      <c r="F170" s="556"/>
      <c r="G170" s="556"/>
      <c r="H170" s="556"/>
      <c r="I170" s="556"/>
      <c r="J170" s="556"/>
      <c r="K170" s="556"/>
      <c r="L170" s="556"/>
      <c r="M170" s="556"/>
      <c r="N170" s="556"/>
      <c r="O170" s="556"/>
      <c r="P170" s="556"/>
      <c r="Q170" s="556"/>
      <c r="R170" s="556"/>
      <c r="S170" s="556"/>
      <c r="T170" s="556"/>
      <c r="U170" s="556"/>
      <c r="V170" s="599">
        <f>-V99</f>
        <v>18</v>
      </c>
      <c r="W170" s="558"/>
      <c r="X170" s="543"/>
    </row>
    <row r="171" spans="1:256" ht="16.2" thickBot="1" x14ac:dyDescent="0.35">
      <c r="A171" s="417"/>
      <c r="B171" s="437"/>
      <c r="C171" s="437"/>
      <c r="D171" s="437"/>
      <c r="E171" s="437"/>
      <c r="F171" s="437"/>
      <c r="G171" s="437"/>
      <c r="H171" s="437"/>
      <c r="I171" s="437"/>
      <c r="J171" s="437"/>
      <c r="K171" s="437"/>
      <c r="L171" s="437"/>
      <c r="M171" s="437"/>
      <c r="N171" s="437"/>
      <c r="O171" s="437"/>
      <c r="P171" s="437"/>
      <c r="Q171" s="437"/>
      <c r="R171" s="437"/>
      <c r="S171" s="437"/>
      <c r="T171" s="437"/>
      <c r="U171" s="437"/>
      <c r="V171" s="454"/>
      <c r="W171" s="437"/>
      <c r="X171" s="415"/>
    </row>
    <row r="172" spans="1:256" x14ac:dyDescent="0.3">
      <c r="A172" s="413"/>
      <c r="B172" s="455"/>
      <c r="C172" s="455"/>
      <c r="D172" s="455"/>
      <c r="E172" s="455"/>
      <c r="F172" s="455"/>
      <c r="G172" s="455"/>
      <c r="H172" s="455"/>
      <c r="I172" s="455"/>
      <c r="J172" s="455"/>
      <c r="K172" s="455"/>
      <c r="L172" s="455"/>
      <c r="M172" s="455"/>
      <c r="N172" s="455"/>
      <c r="O172" s="455"/>
      <c r="P172" s="455"/>
      <c r="Q172" s="455"/>
      <c r="R172" s="455"/>
      <c r="S172" s="455"/>
      <c r="T172" s="455"/>
      <c r="U172" s="455"/>
      <c r="V172" s="456"/>
      <c r="W172" s="455"/>
      <c r="X172" s="415"/>
    </row>
    <row r="173" spans="1:256" s="458" customFormat="1" x14ac:dyDescent="0.3">
      <c r="A173" s="417"/>
      <c r="B173" s="508" t="s">
        <v>269</v>
      </c>
      <c r="C173" s="441"/>
      <c r="D173" s="441"/>
      <c r="E173" s="441"/>
      <c r="F173" s="441"/>
      <c r="G173" s="441"/>
      <c r="H173" s="441"/>
      <c r="I173" s="441"/>
      <c r="J173" s="441"/>
      <c r="K173" s="441"/>
      <c r="L173" s="441"/>
      <c r="M173" s="441"/>
      <c r="N173" s="441"/>
      <c r="O173" s="441"/>
      <c r="P173" s="441"/>
      <c r="Q173" s="441"/>
      <c r="R173" s="441"/>
      <c r="S173" s="441"/>
      <c r="T173" s="441"/>
      <c r="U173" s="441"/>
      <c r="V173" s="457"/>
      <c r="W173" s="441"/>
      <c r="X173" s="415"/>
      <c r="Y173" s="416"/>
      <c r="Z173" s="416"/>
      <c r="AA173" s="416"/>
      <c r="AB173" s="416"/>
      <c r="AC173" s="416"/>
      <c r="AD173" s="416"/>
      <c r="AE173" s="416"/>
      <c r="AF173" s="416"/>
      <c r="AG173" s="416"/>
      <c r="AH173" s="416"/>
      <c r="AI173" s="416"/>
      <c r="AJ173" s="416"/>
      <c r="AK173" s="416"/>
      <c r="AL173" s="416"/>
      <c r="AM173" s="416"/>
      <c r="AN173" s="416"/>
      <c r="AO173" s="416"/>
      <c r="AP173" s="416"/>
      <c r="AQ173" s="416"/>
      <c r="AR173" s="416"/>
      <c r="AS173" s="416"/>
      <c r="AT173" s="416"/>
      <c r="AU173" s="416"/>
      <c r="AV173" s="416"/>
      <c r="AW173" s="416"/>
      <c r="AX173" s="416"/>
      <c r="AY173" s="416"/>
      <c r="AZ173" s="416"/>
      <c r="BA173" s="416"/>
      <c r="BB173" s="416"/>
      <c r="BC173" s="416"/>
      <c r="BD173" s="416"/>
      <c r="BE173" s="416"/>
      <c r="BF173" s="416"/>
      <c r="BG173" s="416"/>
      <c r="BH173" s="416"/>
      <c r="BI173" s="416"/>
      <c r="BJ173" s="416"/>
      <c r="BK173" s="416"/>
      <c r="BL173" s="416"/>
      <c r="BM173" s="416"/>
      <c r="BN173" s="416"/>
      <c r="BO173" s="416"/>
      <c r="BP173" s="416"/>
      <c r="BQ173" s="416"/>
      <c r="BR173" s="416"/>
      <c r="BS173" s="416"/>
      <c r="BT173" s="416"/>
      <c r="BU173" s="416"/>
      <c r="BV173" s="416"/>
      <c r="BW173" s="416"/>
      <c r="BX173" s="416"/>
      <c r="BY173" s="416"/>
      <c r="BZ173" s="416"/>
      <c r="CA173" s="416"/>
      <c r="CB173" s="416"/>
      <c r="CC173" s="416"/>
      <c r="CD173" s="416"/>
      <c r="CE173" s="416"/>
      <c r="CF173" s="416"/>
      <c r="CG173" s="416"/>
      <c r="CH173" s="416"/>
      <c r="CI173" s="416"/>
      <c r="CJ173" s="416"/>
      <c r="CK173" s="416"/>
      <c r="CL173" s="416"/>
      <c r="CM173" s="416"/>
      <c r="CN173" s="416"/>
      <c r="CO173" s="416"/>
      <c r="CP173" s="416"/>
      <c r="CQ173" s="416"/>
      <c r="CR173" s="416"/>
      <c r="CS173" s="416"/>
      <c r="CT173" s="416"/>
      <c r="CU173" s="416"/>
      <c r="CV173" s="416"/>
      <c r="CW173" s="416"/>
      <c r="CX173" s="416"/>
      <c r="CY173" s="416"/>
      <c r="CZ173" s="416"/>
      <c r="DA173" s="416"/>
      <c r="DB173" s="416"/>
      <c r="DC173" s="416"/>
      <c r="DD173" s="416"/>
      <c r="DE173" s="416"/>
      <c r="DF173" s="416"/>
      <c r="DG173" s="416"/>
      <c r="DH173" s="416"/>
      <c r="DI173" s="416"/>
      <c r="DJ173" s="416"/>
      <c r="DK173" s="416"/>
      <c r="DL173" s="416"/>
      <c r="DM173" s="416"/>
      <c r="DN173" s="416"/>
      <c r="DO173" s="416"/>
      <c r="DP173" s="416"/>
      <c r="DQ173" s="416"/>
      <c r="DR173" s="416"/>
      <c r="DS173" s="416"/>
      <c r="DT173" s="416"/>
      <c r="DU173" s="416"/>
      <c r="DV173" s="416"/>
      <c r="DW173" s="416"/>
      <c r="DX173" s="416"/>
      <c r="DY173" s="416"/>
      <c r="DZ173" s="416"/>
      <c r="EA173" s="416"/>
      <c r="EB173" s="416"/>
      <c r="EC173" s="416"/>
      <c r="ED173" s="416"/>
      <c r="EE173" s="416"/>
      <c r="EF173" s="416"/>
      <c r="EG173" s="416"/>
      <c r="EH173" s="416"/>
      <c r="EI173" s="416"/>
      <c r="EJ173" s="416"/>
      <c r="EK173" s="416"/>
      <c r="EL173" s="416"/>
      <c r="EM173" s="416"/>
      <c r="EN173" s="416"/>
      <c r="EO173" s="416"/>
      <c r="EP173" s="416"/>
      <c r="EQ173" s="416"/>
      <c r="ER173" s="416"/>
      <c r="ES173" s="416"/>
      <c r="ET173" s="416"/>
      <c r="EU173" s="416"/>
      <c r="EV173" s="416"/>
      <c r="EW173" s="416"/>
      <c r="EX173" s="416"/>
      <c r="EY173" s="416"/>
      <c r="EZ173" s="416"/>
      <c r="FA173" s="416"/>
      <c r="FB173" s="416"/>
      <c r="FC173" s="416"/>
      <c r="FD173" s="416"/>
      <c r="FE173" s="416"/>
      <c r="FF173" s="416"/>
      <c r="FG173" s="416"/>
      <c r="FH173" s="416"/>
      <c r="FI173" s="416"/>
      <c r="FJ173" s="416"/>
      <c r="FK173" s="416"/>
      <c r="FL173" s="416"/>
      <c r="FM173" s="416"/>
      <c r="FN173" s="416"/>
      <c r="FO173" s="416"/>
      <c r="FP173" s="416"/>
      <c r="FQ173" s="416"/>
      <c r="FR173" s="416"/>
      <c r="FS173" s="416"/>
      <c r="FT173" s="416"/>
      <c r="FU173" s="416"/>
      <c r="FV173" s="416"/>
      <c r="FW173" s="416"/>
      <c r="FX173" s="416"/>
      <c r="FY173" s="416"/>
      <c r="FZ173" s="416"/>
      <c r="GA173" s="416"/>
      <c r="GB173" s="416"/>
      <c r="GC173" s="416"/>
      <c r="GD173" s="416"/>
      <c r="GE173" s="416"/>
      <c r="GF173" s="416"/>
      <c r="GG173" s="416"/>
      <c r="GH173" s="416"/>
      <c r="GI173" s="416"/>
      <c r="GJ173" s="416"/>
      <c r="GK173" s="416"/>
      <c r="GL173" s="416"/>
      <c r="GM173" s="416"/>
      <c r="GN173" s="416"/>
      <c r="GO173" s="416"/>
      <c r="GP173" s="416"/>
      <c r="GQ173" s="416"/>
      <c r="GR173" s="416"/>
      <c r="GS173" s="416"/>
      <c r="GT173" s="416"/>
      <c r="GU173" s="416"/>
      <c r="GV173" s="416"/>
      <c r="GW173" s="416"/>
      <c r="GX173" s="416"/>
      <c r="GY173" s="416"/>
      <c r="GZ173" s="416"/>
      <c r="HA173" s="416"/>
      <c r="HB173" s="416"/>
      <c r="HC173" s="416"/>
      <c r="HD173" s="416"/>
      <c r="HE173" s="416"/>
      <c r="HF173" s="416"/>
      <c r="HG173" s="416"/>
      <c r="HH173" s="416"/>
      <c r="HI173" s="416"/>
      <c r="HJ173" s="416"/>
      <c r="HK173" s="416"/>
      <c r="HL173" s="416"/>
      <c r="HM173" s="416"/>
      <c r="HN173" s="416"/>
      <c r="HO173" s="416"/>
      <c r="HP173" s="416"/>
      <c r="HQ173" s="416"/>
      <c r="HR173" s="416"/>
      <c r="HS173" s="416"/>
      <c r="HT173" s="416"/>
      <c r="HU173" s="416"/>
      <c r="HV173" s="416"/>
      <c r="HW173" s="416"/>
      <c r="HX173" s="416"/>
      <c r="HY173" s="416"/>
      <c r="HZ173" s="416"/>
      <c r="IA173" s="416"/>
      <c r="IB173" s="416"/>
      <c r="IC173" s="416"/>
      <c r="ID173" s="416"/>
      <c r="IE173" s="416"/>
      <c r="IF173" s="416"/>
      <c r="IG173" s="416"/>
      <c r="IH173" s="416"/>
      <c r="II173" s="416"/>
      <c r="IJ173" s="416"/>
      <c r="IK173" s="416"/>
      <c r="IL173" s="416"/>
      <c r="IM173" s="416"/>
      <c r="IN173" s="416"/>
      <c r="IO173" s="416"/>
      <c r="IP173" s="416"/>
      <c r="IQ173" s="416"/>
      <c r="IR173" s="416"/>
      <c r="IS173" s="416"/>
      <c r="IT173" s="416"/>
      <c r="IU173" s="416"/>
      <c r="IV173" s="416"/>
    </row>
    <row r="174" spans="1:256" s="609" customFormat="1" x14ac:dyDescent="0.3">
      <c r="A174" s="555"/>
      <c r="B174" s="556" t="s">
        <v>270</v>
      </c>
      <c r="C174" s="556"/>
      <c r="D174" s="556"/>
      <c r="E174" s="556"/>
      <c r="F174" s="556"/>
      <c r="G174" s="556"/>
      <c r="H174" s="556"/>
      <c r="I174" s="556"/>
      <c r="J174" s="556"/>
      <c r="K174" s="556"/>
      <c r="L174" s="556"/>
      <c r="M174" s="556"/>
      <c r="N174" s="556"/>
      <c r="O174" s="556"/>
      <c r="P174" s="556"/>
      <c r="Q174" s="556"/>
      <c r="R174" s="556"/>
      <c r="S174" s="556"/>
      <c r="T174" s="556"/>
      <c r="U174" s="556"/>
      <c r="V174" s="599">
        <f>+'Aug 08'!V177</f>
        <v>0</v>
      </c>
      <c r="W174" s="558"/>
      <c r="X174" s="543"/>
      <c r="Y174" s="544"/>
      <c r="Z174" s="544"/>
      <c r="AA174" s="544"/>
      <c r="AB174" s="544"/>
      <c r="AC174" s="544"/>
      <c r="AD174" s="544"/>
      <c r="AE174" s="544"/>
      <c r="AF174" s="544"/>
      <c r="AG174" s="544"/>
      <c r="AH174" s="544"/>
      <c r="AI174" s="544"/>
      <c r="AJ174" s="544"/>
      <c r="AK174" s="544"/>
      <c r="AL174" s="544"/>
      <c r="AM174" s="544"/>
      <c r="AN174" s="544"/>
      <c r="AO174" s="544"/>
      <c r="AP174" s="544"/>
      <c r="AQ174" s="544"/>
      <c r="AR174" s="544"/>
      <c r="AS174" s="544"/>
      <c r="AT174" s="544"/>
      <c r="AU174" s="544"/>
      <c r="AV174" s="544"/>
      <c r="AW174" s="544"/>
      <c r="AX174" s="544"/>
      <c r="AY174" s="544"/>
      <c r="AZ174" s="544"/>
      <c r="BA174" s="544"/>
      <c r="BB174" s="544"/>
      <c r="BC174" s="544"/>
      <c r="BD174" s="544"/>
      <c r="BE174" s="544"/>
      <c r="BF174" s="544"/>
      <c r="BG174" s="544"/>
      <c r="BH174" s="544"/>
      <c r="BI174" s="544"/>
      <c r="BJ174" s="544"/>
      <c r="BK174" s="544"/>
      <c r="BL174" s="544"/>
      <c r="BM174" s="544"/>
      <c r="BN174" s="544"/>
      <c r="BO174" s="544"/>
      <c r="BP174" s="544"/>
      <c r="BQ174" s="544"/>
      <c r="BR174" s="544"/>
      <c r="BS174" s="544"/>
      <c r="BT174" s="544"/>
      <c r="BU174" s="544"/>
      <c r="BV174" s="544"/>
      <c r="BW174" s="544"/>
      <c r="BX174" s="544"/>
      <c r="BY174" s="544"/>
      <c r="BZ174" s="544"/>
      <c r="CA174" s="544"/>
      <c r="CB174" s="544"/>
      <c r="CC174" s="544"/>
      <c r="CD174" s="544"/>
      <c r="CE174" s="544"/>
      <c r="CF174" s="544"/>
      <c r="CG174" s="544"/>
      <c r="CH174" s="544"/>
      <c r="CI174" s="544"/>
      <c r="CJ174" s="544"/>
      <c r="CK174" s="544"/>
      <c r="CL174" s="544"/>
      <c r="CM174" s="544"/>
      <c r="CN174" s="544"/>
      <c r="CO174" s="544"/>
      <c r="CP174" s="544"/>
      <c r="CQ174" s="544"/>
      <c r="CR174" s="544"/>
      <c r="CS174" s="544"/>
      <c r="CT174" s="544"/>
      <c r="CU174" s="544"/>
      <c r="CV174" s="544"/>
      <c r="CW174" s="544"/>
      <c r="CX174" s="544"/>
      <c r="CY174" s="544"/>
      <c r="CZ174" s="544"/>
      <c r="DA174" s="544"/>
      <c r="DB174" s="544"/>
      <c r="DC174" s="544"/>
      <c r="DD174" s="544"/>
      <c r="DE174" s="544"/>
      <c r="DF174" s="544"/>
      <c r="DG174" s="544"/>
      <c r="DH174" s="544"/>
      <c r="DI174" s="544"/>
      <c r="DJ174" s="544"/>
      <c r="DK174" s="544"/>
      <c r="DL174" s="544"/>
      <c r="DM174" s="544"/>
      <c r="DN174" s="544"/>
      <c r="DO174" s="544"/>
      <c r="DP174" s="544"/>
      <c r="DQ174" s="544"/>
      <c r="DR174" s="544"/>
      <c r="DS174" s="544"/>
      <c r="DT174" s="544"/>
      <c r="DU174" s="544"/>
      <c r="DV174" s="544"/>
      <c r="DW174" s="544"/>
      <c r="DX174" s="544"/>
      <c r="DY174" s="544"/>
      <c r="DZ174" s="544"/>
      <c r="EA174" s="544"/>
      <c r="EB174" s="544"/>
      <c r="EC174" s="544"/>
      <c r="ED174" s="544"/>
      <c r="EE174" s="544"/>
      <c r="EF174" s="544"/>
      <c r="EG174" s="544"/>
      <c r="EH174" s="544"/>
      <c r="EI174" s="544"/>
      <c r="EJ174" s="544"/>
      <c r="EK174" s="544"/>
      <c r="EL174" s="544"/>
      <c r="EM174" s="544"/>
      <c r="EN174" s="544"/>
      <c r="EO174" s="544"/>
      <c r="EP174" s="544"/>
      <c r="EQ174" s="544"/>
      <c r="ER174" s="544"/>
      <c r="ES174" s="544"/>
      <c r="ET174" s="544"/>
      <c r="EU174" s="544"/>
      <c r="EV174" s="544"/>
      <c r="EW174" s="544"/>
      <c r="EX174" s="544"/>
      <c r="EY174" s="544"/>
      <c r="EZ174" s="544"/>
      <c r="FA174" s="544"/>
      <c r="FB174" s="544"/>
      <c r="FC174" s="544"/>
      <c r="FD174" s="544"/>
      <c r="FE174" s="544"/>
      <c r="FF174" s="544"/>
      <c r="FG174" s="544"/>
      <c r="FH174" s="544"/>
      <c r="FI174" s="544"/>
      <c r="FJ174" s="544"/>
      <c r="FK174" s="544"/>
      <c r="FL174" s="544"/>
      <c r="FM174" s="544"/>
      <c r="FN174" s="544"/>
      <c r="FO174" s="544"/>
      <c r="FP174" s="544"/>
      <c r="FQ174" s="544"/>
      <c r="FR174" s="544"/>
      <c r="FS174" s="544"/>
      <c r="FT174" s="544"/>
      <c r="FU174" s="544"/>
      <c r="FV174" s="544"/>
      <c r="FW174" s="544"/>
      <c r="FX174" s="544"/>
      <c r="FY174" s="544"/>
      <c r="FZ174" s="544"/>
      <c r="GA174" s="544"/>
      <c r="GB174" s="544"/>
      <c r="GC174" s="544"/>
      <c r="GD174" s="544"/>
      <c r="GE174" s="544"/>
      <c r="GF174" s="544"/>
      <c r="GG174" s="544"/>
      <c r="GH174" s="544"/>
      <c r="GI174" s="544"/>
      <c r="GJ174" s="544"/>
      <c r="GK174" s="544"/>
      <c r="GL174" s="544"/>
      <c r="GM174" s="544"/>
      <c r="GN174" s="544"/>
      <c r="GO174" s="544"/>
      <c r="GP174" s="544"/>
      <c r="GQ174" s="544"/>
      <c r="GR174" s="544"/>
      <c r="GS174" s="544"/>
      <c r="GT174" s="544"/>
      <c r="GU174" s="544"/>
      <c r="GV174" s="544"/>
      <c r="GW174" s="544"/>
      <c r="GX174" s="544"/>
      <c r="GY174" s="544"/>
      <c r="GZ174" s="544"/>
      <c r="HA174" s="544"/>
      <c r="HB174" s="544"/>
      <c r="HC174" s="544"/>
      <c r="HD174" s="544"/>
      <c r="HE174" s="544"/>
      <c r="HF174" s="544"/>
      <c r="HG174" s="544"/>
      <c r="HH174" s="544"/>
      <c r="HI174" s="544"/>
      <c r="HJ174" s="544"/>
      <c r="HK174" s="544"/>
      <c r="HL174" s="544"/>
      <c r="HM174" s="544"/>
      <c r="HN174" s="544"/>
      <c r="HO174" s="544"/>
      <c r="HP174" s="544"/>
      <c r="HQ174" s="544"/>
      <c r="HR174" s="544"/>
      <c r="HS174" s="544"/>
      <c r="HT174" s="544"/>
      <c r="HU174" s="544"/>
      <c r="HV174" s="544"/>
      <c r="HW174" s="544"/>
      <c r="HX174" s="544"/>
      <c r="HY174" s="544"/>
      <c r="HZ174" s="544"/>
      <c r="IA174" s="544"/>
      <c r="IB174" s="544"/>
      <c r="IC174" s="544"/>
      <c r="ID174" s="544"/>
      <c r="IE174" s="544"/>
      <c r="IF174" s="544"/>
      <c r="IG174" s="544"/>
      <c r="IH174" s="544"/>
      <c r="II174" s="544"/>
      <c r="IJ174" s="544"/>
      <c r="IK174" s="544"/>
      <c r="IL174" s="544"/>
      <c r="IM174" s="544"/>
      <c r="IN174" s="544"/>
      <c r="IO174" s="544"/>
      <c r="IP174" s="544"/>
      <c r="IQ174" s="544"/>
      <c r="IR174" s="544"/>
      <c r="IS174" s="544"/>
      <c r="IT174" s="544"/>
      <c r="IU174" s="544"/>
      <c r="IV174" s="544"/>
    </row>
    <row r="175" spans="1:256" s="609" customFormat="1" x14ac:dyDescent="0.3">
      <c r="A175" s="555"/>
      <c r="B175" s="556" t="s">
        <v>273</v>
      </c>
      <c r="C175" s="556"/>
      <c r="D175" s="556"/>
      <c r="E175" s="556"/>
      <c r="F175" s="556"/>
      <c r="G175" s="556"/>
      <c r="H175" s="556"/>
      <c r="I175" s="556"/>
      <c r="J175" s="556"/>
      <c r="K175" s="556"/>
      <c r="L175" s="556"/>
      <c r="M175" s="556"/>
      <c r="N175" s="556"/>
      <c r="O175" s="556"/>
      <c r="P175" s="556"/>
      <c r="Q175" s="556"/>
      <c r="R175" s="556"/>
      <c r="S175" s="556"/>
      <c r="T175" s="556"/>
      <c r="U175" s="556"/>
      <c r="V175" s="599">
        <f>+V93</f>
        <v>0</v>
      </c>
      <c r="W175" s="558"/>
      <c r="X175" s="543"/>
      <c r="Y175" s="544"/>
      <c r="Z175" s="544"/>
      <c r="AA175" s="544"/>
      <c r="AB175" s="544"/>
      <c r="AC175" s="544"/>
      <c r="AD175" s="544"/>
      <c r="AE175" s="544"/>
      <c r="AF175" s="544"/>
      <c r="AG175" s="544"/>
      <c r="AH175" s="544"/>
      <c r="AI175" s="544"/>
      <c r="AJ175" s="544"/>
      <c r="AK175" s="544"/>
      <c r="AL175" s="544"/>
      <c r="AM175" s="544"/>
      <c r="AN175" s="544"/>
      <c r="AO175" s="544"/>
      <c r="AP175" s="544"/>
      <c r="AQ175" s="544"/>
      <c r="AR175" s="544"/>
      <c r="AS175" s="544"/>
      <c r="AT175" s="544"/>
      <c r="AU175" s="544"/>
      <c r="AV175" s="544"/>
      <c r="AW175" s="544"/>
      <c r="AX175" s="544"/>
      <c r="AY175" s="544"/>
      <c r="AZ175" s="544"/>
      <c r="BA175" s="544"/>
      <c r="BB175" s="544"/>
      <c r="BC175" s="544"/>
      <c r="BD175" s="544"/>
      <c r="BE175" s="544"/>
      <c r="BF175" s="544"/>
      <c r="BG175" s="544"/>
      <c r="BH175" s="544"/>
      <c r="BI175" s="544"/>
      <c r="BJ175" s="544"/>
      <c r="BK175" s="544"/>
      <c r="BL175" s="544"/>
      <c r="BM175" s="544"/>
      <c r="BN175" s="544"/>
      <c r="BO175" s="544"/>
      <c r="BP175" s="544"/>
      <c r="BQ175" s="544"/>
      <c r="BR175" s="544"/>
      <c r="BS175" s="544"/>
      <c r="BT175" s="544"/>
      <c r="BU175" s="544"/>
      <c r="BV175" s="544"/>
      <c r="BW175" s="544"/>
      <c r="BX175" s="544"/>
      <c r="BY175" s="544"/>
      <c r="BZ175" s="544"/>
      <c r="CA175" s="544"/>
      <c r="CB175" s="544"/>
      <c r="CC175" s="544"/>
      <c r="CD175" s="544"/>
      <c r="CE175" s="544"/>
      <c r="CF175" s="544"/>
      <c r="CG175" s="544"/>
      <c r="CH175" s="544"/>
      <c r="CI175" s="544"/>
      <c r="CJ175" s="544"/>
      <c r="CK175" s="544"/>
      <c r="CL175" s="544"/>
      <c r="CM175" s="544"/>
      <c r="CN175" s="544"/>
      <c r="CO175" s="544"/>
      <c r="CP175" s="544"/>
      <c r="CQ175" s="544"/>
      <c r="CR175" s="544"/>
      <c r="CS175" s="544"/>
      <c r="CT175" s="544"/>
      <c r="CU175" s="544"/>
      <c r="CV175" s="544"/>
      <c r="CW175" s="544"/>
      <c r="CX175" s="544"/>
      <c r="CY175" s="544"/>
      <c r="CZ175" s="544"/>
      <c r="DA175" s="544"/>
      <c r="DB175" s="544"/>
      <c r="DC175" s="544"/>
      <c r="DD175" s="544"/>
      <c r="DE175" s="544"/>
      <c r="DF175" s="544"/>
      <c r="DG175" s="544"/>
      <c r="DH175" s="544"/>
      <c r="DI175" s="544"/>
      <c r="DJ175" s="544"/>
      <c r="DK175" s="544"/>
      <c r="DL175" s="544"/>
      <c r="DM175" s="544"/>
      <c r="DN175" s="544"/>
      <c r="DO175" s="544"/>
      <c r="DP175" s="544"/>
      <c r="DQ175" s="544"/>
      <c r="DR175" s="544"/>
      <c r="DS175" s="544"/>
      <c r="DT175" s="544"/>
      <c r="DU175" s="544"/>
      <c r="DV175" s="544"/>
      <c r="DW175" s="544"/>
      <c r="DX175" s="544"/>
      <c r="DY175" s="544"/>
      <c r="DZ175" s="544"/>
      <c r="EA175" s="544"/>
      <c r="EB175" s="544"/>
      <c r="EC175" s="544"/>
      <c r="ED175" s="544"/>
      <c r="EE175" s="544"/>
      <c r="EF175" s="544"/>
      <c r="EG175" s="544"/>
      <c r="EH175" s="544"/>
      <c r="EI175" s="544"/>
      <c r="EJ175" s="544"/>
      <c r="EK175" s="544"/>
      <c r="EL175" s="544"/>
      <c r="EM175" s="544"/>
      <c r="EN175" s="544"/>
      <c r="EO175" s="544"/>
      <c r="EP175" s="544"/>
      <c r="EQ175" s="544"/>
      <c r="ER175" s="544"/>
      <c r="ES175" s="544"/>
      <c r="ET175" s="544"/>
      <c r="EU175" s="544"/>
      <c r="EV175" s="544"/>
      <c r="EW175" s="544"/>
      <c r="EX175" s="544"/>
      <c r="EY175" s="544"/>
      <c r="EZ175" s="544"/>
      <c r="FA175" s="544"/>
      <c r="FB175" s="544"/>
      <c r="FC175" s="544"/>
      <c r="FD175" s="544"/>
      <c r="FE175" s="544"/>
      <c r="FF175" s="544"/>
      <c r="FG175" s="544"/>
      <c r="FH175" s="544"/>
      <c r="FI175" s="544"/>
      <c r="FJ175" s="544"/>
      <c r="FK175" s="544"/>
      <c r="FL175" s="544"/>
      <c r="FM175" s="544"/>
      <c r="FN175" s="544"/>
      <c r="FO175" s="544"/>
      <c r="FP175" s="544"/>
      <c r="FQ175" s="544"/>
      <c r="FR175" s="544"/>
      <c r="FS175" s="544"/>
      <c r="FT175" s="544"/>
      <c r="FU175" s="544"/>
      <c r="FV175" s="544"/>
      <c r="FW175" s="544"/>
      <c r="FX175" s="544"/>
      <c r="FY175" s="544"/>
      <c r="FZ175" s="544"/>
      <c r="GA175" s="544"/>
      <c r="GB175" s="544"/>
      <c r="GC175" s="544"/>
      <c r="GD175" s="544"/>
      <c r="GE175" s="544"/>
      <c r="GF175" s="544"/>
      <c r="GG175" s="544"/>
      <c r="GH175" s="544"/>
      <c r="GI175" s="544"/>
      <c r="GJ175" s="544"/>
      <c r="GK175" s="544"/>
      <c r="GL175" s="544"/>
      <c r="GM175" s="544"/>
      <c r="GN175" s="544"/>
      <c r="GO175" s="544"/>
      <c r="GP175" s="544"/>
      <c r="GQ175" s="544"/>
      <c r="GR175" s="544"/>
      <c r="GS175" s="544"/>
      <c r="GT175" s="544"/>
      <c r="GU175" s="544"/>
      <c r="GV175" s="544"/>
      <c r="GW175" s="544"/>
      <c r="GX175" s="544"/>
      <c r="GY175" s="544"/>
      <c r="GZ175" s="544"/>
      <c r="HA175" s="544"/>
      <c r="HB175" s="544"/>
      <c r="HC175" s="544"/>
      <c r="HD175" s="544"/>
      <c r="HE175" s="544"/>
      <c r="HF175" s="544"/>
      <c r="HG175" s="544"/>
      <c r="HH175" s="544"/>
      <c r="HI175" s="544"/>
      <c r="HJ175" s="544"/>
      <c r="HK175" s="544"/>
      <c r="HL175" s="544"/>
      <c r="HM175" s="544"/>
      <c r="HN175" s="544"/>
      <c r="HO175" s="544"/>
      <c r="HP175" s="544"/>
      <c r="HQ175" s="544"/>
      <c r="HR175" s="544"/>
      <c r="HS175" s="544"/>
      <c r="HT175" s="544"/>
      <c r="HU175" s="544"/>
      <c r="HV175" s="544"/>
      <c r="HW175" s="544"/>
      <c r="HX175" s="544"/>
      <c r="HY175" s="544"/>
      <c r="HZ175" s="544"/>
      <c r="IA175" s="544"/>
      <c r="IB175" s="544"/>
      <c r="IC175" s="544"/>
      <c r="ID175" s="544"/>
      <c r="IE175" s="544"/>
      <c r="IF175" s="544"/>
      <c r="IG175" s="544"/>
      <c r="IH175" s="544"/>
      <c r="II175" s="544"/>
      <c r="IJ175" s="544"/>
      <c r="IK175" s="544"/>
      <c r="IL175" s="544"/>
      <c r="IM175" s="544"/>
      <c r="IN175" s="544"/>
      <c r="IO175" s="544"/>
      <c r="IP175" s="544"/>
      <c r="IQ175" s="544"/>
      <c r="IR175" s="544"/>
      <c r="IS175" s="544"/>
      <c r="IT175" s="544"/>
      <c r="IU175" s="544"/>
      <c r="IV175" s="544"/>
    </row>
    <row r="176" spans="1:256" s="609" customFormat="1" x14ac:dyDescent="0.3">
      <c r="A176" s="555"/>
      <c r="B176" s="556" t="s">
        <v>271</v>
      </c>
      <c r="C176" s="556"/>
      <c r="D176" s="556"/>
      <c r="E176" s="556"/>
      <c r="F176" s="556"/>
      <c r="G176" s="556"/>
      <c r="H176" s="556"/>
      <c r="I176" s="556"/>
      <c r="J176" s="556"/>
      <c r="K176" s="556"/>
      <c r="L176" s="556"/>
      <c r="M176" s="556"/>
      <c r="N176" s="556"/>
      <c r="O176" s="556"/>
      <c r="P176" s="556"/>
      <c r="Q176" s="556"/>
      <c r="R176" s="556"/>
      <c r="S176" s="556"/>
      <c r="T176" s="556"/>
      <c r="U176" s="556"/>
      <c r="V176" s="599">
        <f>+V174-V175</f>
        <v>0</v>
      </c>
      <c r="W176" s="558"/>
      <c r="X176" s="543"/>
      <c r="Y176" s="544"/>
      <c r="Z176" s="544"/>
      <c r="AA176" s="544"/>
      <c r="AB176" s="544"/>
      <c r="AC176" s="544"/>
      <c r="AD176" s="544"/>
      <c r="AE176" s="544"/>
      <c r="AF176" s="544"/>
      <c r="AG176" s="544"/>
      <c r="AH176" s="544"/>
      <c r="AI176" s="544"/>
      <c r="AJ176" s="544"/>
      <c r="AK176" s="544"/>
      <c r="AL176" s="544"/>
      <c r="AM176" s="544"/>
      <c r="AN176" s="544"/>
      <c r="AO176" s="544"/>
      <c r="AP176" s="544"/>
      <c r="AQ176" s="544"/>
      <c r="AR176" s="544"/>
      <c r="AS176" s="544"/>
      <c r="AT176" s="544"/>
      <c r="AU176" s="544"/>
      <c r="AV176" s="544"/>
      <c r="AW176" s="544"/>
      <c r="AX176" s="544"/>
      <c r="AY176" s="544"/>
      <c r="AZ176" s="544"/>
      <c r="BA176" s="544"/>
      <c r="BB176" s="544"/>
      <c r="BC176" s="544"/>
      <c r="BD176" s="544"/>
      <c r="BE176" s="544"/>
      <c r="BF176" s="544"/>
      <c r="BG176" s="544"/>
      <c r="BH176" s="544"/>
      <c r="BI176" s="544"/>
      <c r="BJ176" s="544"/>
      <c r="BK176" s="544"/>
      <c r="BL176" s="544"/>
      <c r="BM176" s="544"/>
      <c r="BN176" s="544"/>
      <c r="BO176" s="544"/>
      <c r="BP176" s="544"/>
      <c r="BQ176" s="544"/>
      <c r="BR176" s="544"/>
      <c r="BS176" s="544"/>
      <c r="BT176" s="544"/>
      <c r="BU176" s="544"/>
      <c r="BV176" s="544"/>
      <c r="BW176" s="544"/>
      <c r="BX176" s="544"/>
      <c r="BY176" s="544"/>
      <c r="BZ176" s="544"/>
      <c r="CA176" s="544"/>
      <c r="CB176" s="544"/>
      <c r="CC176" s="544"/>
      <c r="CD176" s="544"/>
      <c r="CE176" s="544"/>
      <c r="CF176" s="544"/>
      <c r="CG176" s="544"/>
      <c r="CH176" s="544"/>
      <c r="CI176" s="544"/>
      <c r="CJ176" s="544"/>
      <c r="CK176" s="544"/>
      <c r="CL176" s="544"/>
      <c r="CM176" s="544"/>
      <c r="CN176" s="544"/>
      <c r="CO176" s="544"/>
      <c r="CP176" s="544"/>
      <c r="CQ176" s="544"/>
      <c r="CR176" s="544"/>
      <c r="CS176" s="544"/>
      <c r="CT176" s="544"/>
      <c r="CU176" s="544"/>
      <c r="CV176" s="544"/>
      <c r="CW176" s="544"/>
      <c r="CX176" s="544"/>
      <c r="CY176" s="544"/>
      <c r="CZ176" s="544"/>
      <c r="DA176" s="544"/>
      <c r="DB176" s="544"/>
      <c r="DC176" s="544"/>
      <c r="DD176" s="544"/>
      <c r="DE176" s="544"/>
      <c r="DF176" s="544"/>
      <c r="DG176" s="544"/>
      <c r="DH176" s="544"/>
      <c r="DI176" s="544"/>
      <c r="DJ176" s="544"/>
      <c r="DK176" s="544"/>
      <c r="DL176" s="544"/>
      <c r="DM176" s="544"/>
      <c r="DN176" s="544"/>
      <c r="DO176" s="544"/>
      <c r="DP176" s="544"/>
      <c r="DQ176" s="544"/>
      <c r="DR176" s="544"/>
      <c r="DS176" s="544"/>
      <c r="DT176" s="544"/>
      <c r="DU176" s="544"/>
      <c r="DV176" s="544"/>
      <c r="DW176" s="544"/>
      <c r="DX176" s="544"/>
      <c r="DY176" s="544"/>
      <c r="DZ176" s="544"/>
      <c r="EA176" s="544"/>
      <c r="EB176" s="544"/>
      <c r="EC176" s="544"/>
      <c r="ED176" s="544"/>
      <c r="EE176" s="544"/>
      <c r="EF176" s="544"/>
      <c r="EG176" s="544"/>
      <c r="EH176" s="544"/>
      <c r="EI176" s="544"/>
      <c r="EJ176" s="544"/>
      <c r="EK176" s="544"/>
      <c r="EL176" s="544"/>
      <c r="EM176" s="544"/>
      <c r="EN176" s="544"/>
      <c r="EO176" s="544"/>
      <c r="EP176" s="544"/>
      <c r="EQ176" s="544"/>
      <c r="ER176" s="544"/>
      <c r="ES176" s="544"/>
      <c r="ET176" s="544"/>
      <c r="EU176" s="544"/>
      <c r="EV176" s="544"/>
      <c r="EW176" s="544"/>
      <c r="EX176" s="544"/>
      <c r="EY176" s="544"/>
      <c r="EZ176" s="544"/>
      <c r="FA176" s="544"/>
      <c r="FB176" s="544"/>
      <c r="FC176" s="544"/>
      <c r="FD176" s="544"/>
      <c r="FE176" s="544"/>
      <c r="FF176" s="544"/>
      <c r="FG176" s="544"/>
      <c r="FH176" s="544"/>
      <c r="FI176" s="544"/>
      <c r="FJ176" s="544"/>
      <c r="FK176" s="544"/>
      <c r="FL176" s="544"/>
      <c r="FM176" s="544"/>
      <c r="FN176" s="544"/>
      <c r="FO176" s="544"/>
      <c r="FP176" s="544"/>
      <c r="FQ176" s="544"/>
      <c r="FR176" s="544"/>
      <c r="FS176" s="544"/>
      <c r="FT176" s="544"/>
      <c r="FU176" s="544"/>
      <c r="FV176" s="544"/>
      <c r="FW176" s="544"/>
      <c r="FX176" s="544"/>
      <c r="FY176" s="544"/>
      <c r="FZ176" s="544"/>
      <c r="GA176" s="544"/>
      <c r="GB176" s="544"/>
      <c r="GC176" s="544"/>
      <c r="GD176" s="544"/>
      <c r="GE176" s="544"/>
      <c r="GF176" s="544"/>
      <c r="GG176" s="544"/>
      <c r="GH176" s="544"/>
      <c r="GI176" s="544"/>
      <c r="GJ176" s="544"/>
      <c r="GK176" s="544"/>
      <c r="GL176" s="544"/>
      <c r="GM176" s="544"/>
      <c r="GN176" s="544"/>
      <c r="GO176" s="544"/>
      <c r="GP176" s="544"/>
      <c r="GQ176" s="544"/>
      <c r="GR176" s="544"/>
      <c r="GS176" s="544"/>
      <c r="GT176" s="544"/>
      <c r="GU176" s="544"/>
      <c r="GV176" s="544"/>
      <c r="GW176" s="544"/>
      <c r="GX176" s="544"/>
      <c r="GY176" s="544"/>
      <c r="GZ176" s="544"/>
      <c r="HA176" s="544"/>
      <c r="HB176" s="544"/>
      <c r="HC176" s="544"/>
      <c r="HD176" s="544"/>
      <c r="HE176" s="544"/>
      <c r="HF176" s="544"/>
      <c r="HG176" s="544"/>
      <c r="HH176" s="544"/>
      <c r="HI176" s="544"/>
      <c r="HJ176" s="544"/>
      <c r="HK176" s="544"/>
      <c r="HL176" s="544"/>
      <c r="HM176" s="544"/>
      <c r="HN176" s="544"/>
      <c r="HO176" s="544"/>
      <c r="HP176" s="544"/>
      <c r="HQ176" s="544"/>
      <c r="HR176" s="544"/>
      <c r="HS176" s="544"/>
      <c r="HT176" s="544"/>
      <c r="HU176" s="544"/>
      <c r="HV176" s="544"/>
      <c r="HW176" s="544"/>
      <c r="HX176" s="544"/>
      <c r="HY176" s="544"/>
      <c r="HZ176" s="544"/>
      <c r="IA176" s="544"/>
      <c r="IB176" s="544"/>
      <c r="IC176" s="544"/>
      <c r="ID176" s="544"/>
      <c r="IE176" s="544"/>
      <c r="IF176" s="544"/>
      <c r="IG176" s="544"/>
      <c r="IH176" s="544"/>
      <c r="II176" s="544"/>
      <c r="IJ176" s="544"/>
      <c r="IK176" s="544"/>
      <c r="IL176" s="544"/>
      <c r="IM176" s="544"/>
      <c r="IN176" s="544"/>
      <c r="IO176" s="544"/>
      <c r="IP176" s="544"/>
      <c r="IQ176" s="544"/>
      <c r="IR176" s="544"/>
      <c r="IS176" s="544"/>
      <c r="IT176" s="544"/>
      <c r="IU176" s="544"/>
      <c r="IV176" s="544"/>
    </row>
    <row r="177" spans="1:256" s="459" customFormat="1" ht="16.2" thickBot="1" x14ac:dyDescent="0.35">
      <c r="A177" s="438"/>
      <c r="B177" s="441"/>
      <c r="C177" s="441"/>
      <c r="D177" s="441"/>
      <c r="E177" s="441"/>
      <c r="F177" s="441"/>
      <c r="G177" s="441"/>
      <c r="H177" s="441"/>
      <c r="I177" s="441"/>
      <c r="J177" s="441"/>
      <c r="K177" s="441"/>
      <c r="L177" s="441"/>
      <c r="M177" s="441"/>
      <c r="N177" s="441"/>
      <c r="O177" s="441"/>
      <c r="P177" s="441"/>
      <c r="Q177" s="441"/>
      <c r="R177" s="441"/>
      <c r="S177" s="441"/>
      <c r="T177" s="441"/>
      <c r="U177" s="441"/>
      <c r="V177" s="452"/>
      <c r="W177" s="441"/>
      <c r="X177" s="415"/>
      <c r="Y177" s="416"/>
      <c r="Z177" s="416"/>
      <c r="AA177" s="416"/>
      <c r="AB177" s="416"/>
      <c r="AC177" s="416"/>
      <c r="AD177" s="416"/>
      <c r="AE177" s="416"/>
      <c r="AF177" s="416"/>
      <c r="AG177" s="416"/>
      <c r="AH177" s="416"/>
      <c r="AI177" s="416"/>
      <c r="AJ177" s="416"/>
      <c r="AK177" s="416"/>
      <c r="AL177" s="416"/>
      <c r="AM177" s="416"/>
      <c r="AN177" s="416"/>
      <c r="AO177" s="416"/>
      <c r="AP177" s="416"/>
      <c r="AQ177" s="416"/>
      <c r="AR177" s="416"/>
      <c r="AS177" s="416"/>
      <c r="AT177" s="416"/>
      <c r="AU177" s="416"/>
      <c r="AV177" s="416"/>
      <c r="AW177" s="416"/>
      <c r="AX177" s="416"/>
      <c r="AY177" s="416"/>
      <c r="AZ177" s="416"/>
      <c r="BA177" s="416"/>
      <c r="BB177" s="416"/>
      <c r="BC177" s="416"/>
      <c r="BD177" s="416"/>
      <c r="BE177" s="416"/>
      <c r="BF177" s="416"/>
      <c r="BG177" s="416"/>
      <c r="BH177" s="416"/>
      <c r="BI177" s="416"/>
      <c r="BJ177" s="416"/>
      <c r="BK177" s="416"/>
      <c r="BL177" s="416"/>
      <c r="BM177" s="416"/>
      <c r="BN177" s="416"/>
      <c r="BO177" s="416"/>
      <c r="BP177" s="416"/>
      <c r="BQ177" s="416"/>
      <c r="BR177" s="416"/>
      <c r="BS177" s="416"/>
      <c r="BT177" s="416"/>
      <c r="BU177" s="416"/>
      <c r="BV177" s="416"/>
      <c r="BW177" s="416"/>
      <c r="BX177" s="416"/>
      <c r="BY177" s="416"/>
      <c r="BZ177" s="416"/>
      <c r="CA177" s="416"/>
      <c r="CB177" s="416"/>
      <c r="CC177" s="416"/>
      <c r="CD177" s="416"/>
      <c r="CE177" s="416"/>
      <c r="CF177" s="416"/>
      <c r="CG177" s="416"/>
      <c r="CH177" s="416"/>
      <c r="CI177" s="416"/>
      <c r="CJ177" s="416"/>
      <c r="CK177" s="416"/>
      <c r="CL177" s="416"/>
      <c r="CM177" s="416"/>
      <c r="CN177" s="416"/>
      <c r="CO177" s="416"/>
      <c r="CP177" s="416"/>
      <c r="CQ177" s="416"/>
      <c r="CR177" s="416"/>
      <c r="CS177" s="416"/>
      <c r="CT177" s="416"/>
      <c r="CU177" s="416"/>
      <c r="CV177" s="416"/>
      <c r="CW177" s="416"/>
      <c r="CX177" s="416"/>
      <c r="CY177" s="416"/>
      <c r="CZ177" s="416"/>
      <c r="DA177" s="416"/>
      <c r="DB177" s="416"/>
      <c r="DC177" s="416"/>
      <c r="DD177" s="416"/>
      <c r="DE177" s="416"/>
      <c r="DF177" s="416"/>
      <c r="DG177" s="416"/>
      <c r="DH177" s="416"/>
      <c r="DI177" s="416"/>
      <c r="DJ177" s="416"/>
      <c r="DK177" s="416"/>
      <c r="DL177" s="416"/>
      <c r="DM177" s="416"/>
      <c r="DN177" s="416"/>
      <c r="DO177" s="416"/>
      <c r="DP177" s="416"/>
      <c r="DQ177" s="416"/>
      <c r="DR177" s="416"/>
      <c r="DS177" s="416"/>
      <c r="DT177" s="416"/>
      <c r="DU177" s="416"/>
      <c r="DV177" s="416"/>
      <c r="DW177" s="416"/>
      <c r="DX177" s="416"/>
      <c r="DY177" s="416"/>
      <c r="DZ177" s="416"/>
      <c r="EA177" s="416"/>
      <c r="EB177" s="416"/>
      <c r="EC177" s="416"/>
      <c r="ED177" s="416"/>
      <c r="EE177" s="416"/>
      <c r="EF177" s="416"/>
      <c r="EG177" s="416"/>
      <c r="EH177" s="416"/>
      <c r="EI177" s="416"/>
      <c r="EJ177" s="416"/>
      <c r="EK177" s="416"/>
      <c r="EL177" s="416"/>
      <c r="EM177" s="416"/>
      <c r="EN177" s="416"/>
      <c r="EO177" s="416"/>
      <c r="EP177" s="416"/>
      <c r="EQ177" s="416"/>
      <c r="ER177" s="416"/>
      <c r="ES177" s="416"/>
      <c r="ET177" s="416"/>
      <c r="EU177" s="416"/>
      <c r="EV177" s="416"/>
      <c r="EW177" s="416"/>
      <c r="EX177" s="416"/>
      <c r="EY177" s="416"/>
      <c r="EZ177" s="416"/>
      <c r="FA177" s="416"/>
      <c r="FB177" s="416"/>
      <c r="FC177" s="416"/>
      <c r="FD177" s="416"/>
      <c r="FE177" s="416"/>
      <c r="FF177" s="416"/>
      <c r="FG177" s="416"/>
      <c r="FH177" s="416"/>
      <c r="FI177" s="416"/>
      <c r="FJ177" s="416"/>
      <c r="FK177" s="416"/>
      <c r="FL177" s="416"/>
      <c r="FM177" s="416"/>
      <c r="FN177" s="416"/>
      <c r="FO177" s="416"/>
      <c r="FP177" s="416"/>
      <c r="FQ177" s="416"/>
      <c r="FR177" s="416"/>
      <c r="FS177" s="416"/>
      <c r="FT177" s="416"/>
      <c r="FU177" s="416"/>
      <c r="FV177" s="416"/>
      <c r="FW177" s="416"/>
      <c r="FX177" s="416"/>
      <c r="FY177" s="416"/>
      <c r="FZ177" s="416"/>
      <c r="GA177" s="416"/>
      <c r="GB177" s="416"/>
      <c r="GC177" s="416"/>
      <c r="GD177" s="416"/>
      <c r="GE177" s="416"/>
      <c r="GF177" s="416"/>
      <c r="GG177" s="416"/>
      <c r="GH177" s="416"/>
      <c r="GI177" s="416"/>
      <c r="GJ177" s="416"/>
      <c r="GK177" s="416"/>
      <c r="GL177" s="416"/>
      <c r="GM177" s="416"/>
      <c r="GN177" s="416"/>
      <c r="GO177" s="416"/>
      <c r="GP177" s="416"/>
      <c r="GQ177" s="416"/>
      <c r="GR177" s="416"/>
      <c r="GS177" s="416"/>
      <c r="GT177" s="416"/>
      <c r="GU177" s="416"/>
      <c r="GV177" s="416"/>
      <c r="GW177" s="416"/>
      <c r="GX177" s="416"/>
      <c r="GY177" s="416"/>
      <c r="GZ177" s="416"/>
      <c r="HA177" s="416"/>
      <c r="HB177" s="416"/>
      <c r="HC177" s="416"/>
      <c r="HD177" s="416"/>
      <c r="HE177" s="416"/>
      <c r="HF177" s="416"/>
      <c r="HG177" s="416"/>
      <c r="HH177" s="416"/>
      <c r="HI177" s="416"/>
      <c r="HJ177" s="416"/>
      <c r="HK177" s="416"/>
      <c r="HL177" s="416"/>
      <c r="HM177" s="416"/>
      <c r="HN177" s="416"/>
      <c r="HO177" s="416"/>
      <c r="HP177" s="416"/>
      <c r="HQ177" s="416"/>
      <c r="HR177" s="416"/>
      <c r="HS177" s="416"/>
      <c r="HT177" s="416"/>
      <c r="HU177" s="416"/>
      <c r="HV177" s="416"/>
      <c r="HW177" s="416"/>
      <c r="HX177" s="416"/>
      <c r="HY177" s="416"/>
      <c r="HZ177" s="416"/>
      <c r="IA177" s="416"/>
      <c r="IB177" s="416"/>
      <c r="IC177" s="416"/>
      <c r="ID177" s="416"/>
      <c r="IE177" s="416"/>
      <c r="IF177" s="416"/>
      <c r="IG177" s="416"/>
      <c r="IH177" s="416"/>
      <c r="II177" s="416"/>
      <c r="IJ177" s="416"/>
      <c r="IK177" s="416"/>
      <c r="IL177" s="416"/>
      <c r="IM177" s="416"/>
      <c r="IN177" s="416"/>
      <c r="IO177" s="416"/>
      <c r="IP177" s="416"/>
      <c r="IQ177" s="416"/>
      <c r="IR177" s="416"/>
      <c r="IS177" s="416"/>
      <c r="IT177" s="416"/>
      <c r="IU177" s="416"/>
      <c r="IV177" s="416"/>
    </row>
    <row r="178" spans="1:256" s="461" customFormat="1" x14ac:dyDescent="0.3">
      <c r="A178" s="413"/>
      <c r="B178" s="414"/>
      <c r="C178" s="414"/>
      <c r="D178" s="414"/>
      <c r="E178" s="414"/>
      <c r="F178" s="414"/>
      <c r="G178" s="414"/>
      <c r="H178" s="414"/>
      <c r="I178" s="414"/>
      <c r="J178" s="414"/>
      <c r="K178" s="414"/>
      <c r="L178" s="414"/>
      <c r="M178" s="414"/>
      <c r="N178" s="414"/>
      <c r="O178" s="414"/>
      <c r="P178" s="414"/>
      <c r="Q178" s="414"/>
      <c r="R178" s="414"/>
      <c r="S178" s="414"/>
      <c r="T178" s="414"/>
      <c r="U178" s="414"/>
      <c r="V178" s="460"/>
      <c r="W178" s="414"/>
      <c r="X178" s="415"/>
      <c r="Y178" s="416"/>
      <c r="Z178" s="416"/>
      <c r="AA178" s="416"/>
      <c r="AB178" s="416"/>
      <c r="AC178" s="416"/>
      <c r="AD178" s="416"/>
      <c r="AE178" s="416"/>
      <c r="AF178" s="416"/>
      <c r="AG178" s="416"/>
      <c r="AH178" s="416"/>
      <c r="AI178" s="416"/>
      <c r="AJ178" s="416"/>
      <c r="AK178" s="416"/>
      <c r="AL178" s="416"/>
      <c r="AM178" s="416"/>
      <c r="AN178" s="416"/>
      <c r="AO178" s="416"/>
      <c r="AP178" s="416"/>
      <c r="AQ178" s="416"/>
      <c r="AR178" s="416"/>
      <c r="AS178" s="416"/>
      <c r="AT178" s="416"/>
      <c r="AU178" s="416"/>
      <c r="AV178" s="416"/>
      <c r="AW178" s="416"/>
      <c r="AX178" s="416"/>
      <c r="AY178" s="416"/>
      <c r="AZ178" s="416"/>
      <c r="BA178" s="416"/>
      <c r="BB178" s="416"/>
      <c r="BC178" s="416"/>
      <c r="BD178" s="416"/>
      <c r="BE178" s="416"/>
      <c r="BF178" s="416"/>
      <c r="BG178" s="416"/>
      <c r="BH178" s="416"/>
      <c r="BI178" s="416"/>
      <c r="BJ178" s="416"/>
      <c r="BK178" s="416"/>
      <c r="BL178" s="416"/>
      <c r="BM178" s="416"/>
      <c r="BN178" s="416"/>
      <c r="BO178" s="416"/>
      <c r="BP178" s="416"/>
      <c r="BQ178" s="416"/>
      <c r="BR178" s="416"/>
      <c r="BS178" s="416"/>
      <c r="BT178" s="416"/>
      <c r="BU178" s="416"/>
      <c r="BV178" s="416"/>
      <c r="BW178" s="416"/>
      <c r="BX178" s="416"/>
      <c r="BY178" s="416"/>
      <c r="BZ178" s="416"/>
      <c r="CA178" s="416"/>
      <c r="CB178" s="416"/>
      <c r="CC178" s="416"/>
      <c r="CD178" s="416"/>
      <c r="CE178" s="416"/>
      <c r="CF178" s="416"/>
      <c r="CG178" s="416"/>
      <c r="CH178" s="416"/>
      <c r="CI178" s="416"/>
      <c r="CJ178" s="416"/>
      <c r="CK178" s="416"/>
      <c r="CL178" s="416"/>
      <c r="CM178" s="416"/>
      <c r="CN178" s="416"/>
      <c r="CO178" s="416"/>
      <c r="CP178" s="416"/>
      <c r="CQ178" s="416"/>
      <c r="CR178" s="416"/>
      <c r="CS178" s="416"/>
      <c r="CT178" s="416"/>
      <c r="CU178" s="416"/>
      <c r="CV178" s="416"/>
      <c r="CW178" s="416"/>
      <c r="CX178" s="416"/>
      <c r="CY178" s="416"/>
      <c r="CZ178" s="416"/>
      <c r="DA178" s="416"/>
      <c r="DB178" s="416"/>
      <c r="DC178" s="416"/>
      <c r="DD178" s="416"/>
      <c r="DE178" s="416"/>
      <c r="DF178" s="416"/>
      <c r="DG178" s="416"/>
      <c r="DH178" s="416"/>
      <c r="DI178" s="416"/>
      <c r="DJ178" s="416"/>
      <c r="DK178" s="416"/>
      <c r="DL178" s="416"/>
      <c r="DM178" s="416"/>
      <c r="DN178" s="416"/>
      <c r="DO178" s="416"/>
      <c r="DP178" s="416"/>
      <c r="DQ178" s="416"/>
      <c r="DR178" s="416"/>
      <c r="DS178" s="416"/>
      <c r="DT178" s="416"/>
      <c r="DU178" s="416"/>
      <c r="DV178" s="416"/>
      <c r="DW178" s="416"/>
      <c r="DX178" s="416"/>
      <c r="DY178" s="416"/>
      <c r="DZ178" s="416"/>
      <c r="EA178" s="416"/>
      <c r="EB178" s="416"/>
      <c r="EC178" s="416"/>
      <c r="ED178" s="416"/>
      <c r="EE178" s="416"/>
      <c r="EF178" s="416"/>
      <c r="EG178" s="416"/>
      <c r="EH178" s="416"/>
      <c r="EI178" s="416"/>
      <c r="EJ178" s="416"/>
      <c r="EK178" s="416"/>
      <c r="EL178" s="416"/>
      <c r="EM178" s="416"/>
      <c r="EN178" s="416"/>
      <c r="EO178" s="416"/>
      <c r="EP178" s="416"/>
      <c r="EQ178" s="416"/>
      <c r="ER178" s="416"/>
      <c r="ES178" s="416"/>
      <c r="ET178" s="416"/>
      <c r="EU178" s="416"/>
      <c r="EV178" s="416"/>
      <c r="EW178" s="416"/>
      <c r="EX178" s="416"/>
      <c r="EY178" s="416"/>
      <c r="EZ178" s="416"/>
      <c r="FA178" s="416"/>
      <c r="FB178" s="416"/>
      <c r="FC178" s="416"/>
      <c r="FD178" s="416"/>
      <c r="FE178" s="416"/>
      <c r="FF178" s="416"/>
      <c r="FG178" s="416"/>
      <c r="FH178" s="416"/>
      <c r="FI178" s="416"/>
      <c r="FJ178" s="416"/>
      <c r="FK178" s="416"/>
      <c r="FL178" s="416"/>
      <c r="FM178" s="416"/>
      <c r="FN178" s="416"/>
      <c r="FO178" s="416"/>
      <c r="FP178" s="416"/>
      <c r="FQ178" s="416"/>
      <c r="FR178" s="416"/>
      <c r="FS178" s="416"/>
      <c r="FT178" s="416"/>
      <c r="FU178" s="416"/>
      <c r="FV178" s="416"/>
      <c r="FW178" s="416"/>
      <c r="FX178" s="416"/>
      <c r="FY178" s="416"/>
      <c r="FZ178" s="416"/>
      <c r="GA178" s="416"/>
      <c r="GB178" s="416"/>
      <c r="GC178" s="416"/>
      <c r="GD178" s="416"/>
      <c r="GE178" s="416"/>
      <c r="GF178" s="416"/>
      <c r="GG178" s="416"/>
      <c r="GH178" s="416"/>
      <c r="GI178" s="416"/>
      <c r="GJ178" s="416"/>
      <c r="GK178" s="416"/>
      <c r="GL178" s="416"/>
      <c r="GM178" s="416"/>
      <c r="GN178" s="416"/>
      <c r="GO178" s="416"/>
      <c r="GP178" s="416"/>
      <c r="GQ178" s="416"/>
      <c r="GR178" s="416"/>
      <c r="GS178" s="416"/>
      <c r="GT178" s="416"/>
      <c r="GU178" s="416"/>
      <c r="GV178" s="416"/>
      <c r="GW178" s="416"/>
      <c r="GX178" s="416"/>
      <c r="GY178" s="416"/>
      <c r="GZ178" s="416"/>
      <c r="HA178" s="416"/>
      <c r="HB178" s="416"/>
      <c r="HC178" s="416"/>
      <c r="HD178" s="416"/>
      <c r="HE178" s="416"/>
      <c r="HF178" s="416"/>
      <c r="HG178" s="416"/>
      <c r="HH178" s="416"/>
      <c r="HI178" s="416"/>
      <c r="HJ178" s="416"/>
      <c r="HK178" s="416"/>
      <c r="HL178" s="416"/>
      <c r="HM178" s="416"/>
      <c r="HN178" s="416"/>
      <c r="HO178" s="416"/>
      <c r="HP178" s="416"/>
      <c r="HQ178" s="416"/>
      <c r="HR178" s="416"/>
      <c r="HS178" s="416"/>
      <c r="HT178" s="416"/>
      <c r="HU178" s="416"/>
      <c r="HV178" s="416"/>
      <c r="HW178" s="416"/>
      <c r="HX178" s="416"/>
      <c r="HY178" s="416"/>
      <c r="HZ178" s="416"/>
      <c r="IA178" s="416"/>
      <c r="IB178" s="416"/>
      <c r="IC178" s="416"/>
      <c r="ID178" s="416"/>
      <c r="IE178" s="416"/>
      <c r="IF178" s="416"/>
      <c r="IG178" s="416"/>
      <c r="IH178" s="416"/>
      <c r="II178" s="416"/>
      <c r="IJ178" s="416"/>
      <c r="IK178" s="416"/>
      <c r="IL178" s="416"/>
      <c r="IM178" s="416"/>
      <c r="IN178" s="416"/>
      <c r="IO178" s="416"/>
      <c r="IP178" s="416"/>
      <c r="IQ178" s="416"/>
      <c r="IR178" s="416"/>
      <c r="IS178" s="416"/>
      <c r="IT178" s="416"/>
      <c r="IU178" s="416"/>
      <c r="IV178" s="416"/>
    </row>
    <row r="179" spans="1:256" x14ac:dyDescent="0.3">
      <c r="A179" s="417"/>
      <c r="B179" s="508" t="s">
        <v>56</v>
      </c>
      <c r="C179" s="419"/>
      <c r="D179" s="419"/>
      <c r="E179" s="419"/>
      <c r="F179" s="419"/>
      <c r="G179" s="419"/>
      <c r="H179" s="419"/>
      <c r="I179" s="419"/>
      <c r="J179" s="419"/>
      <c r="K179" s="419"/>
      <c r="L179" s="419"/>
      <c r="M179" s="419"/>
      <c r="N179" s="419"/>
      <c r="O179" s="419"/>
      <c r="P179" s="419"/>
      <c r="Q179" s="419"/>
      <c r="R179" s="419"/>
      <c r="S179" s="419"/>
      <c r="T179" s="419"/>
      <c r="U179" s="419"/>
      <c r="V179" s="439"/>
      <c r="W179" s="419"/>
      <c r="X179" s="415"/>
    </row>
    <row r="180" spans="1:256" x14ac:dyDescent="0.3">
      <c r="A180" s="417"/>
      <c r="B180" s="451"/>
      <c r="C180" s="419"/>
      <c r="D180" s="419"/>
      <c r="E180" s="419"/>
      <c r="F180" s="419"/>
      <c r="G180" s="419"/>
      <c r="H180" s="419"/>
      <c r="I180" s="419"/>
      <c r="J180" s="419"/>
      <c r="K180" s="419"/>
      <c r="L180" s="419"/>
      <c r="M180" s="419"/>
      <c r="N180" s="419"/>
      <c r="O180" s="419"/>
      <c r="P180" s="419"/>
      <c r="Q180" s="419"/>
      <c r="R180" s="419"/>
      <c r="S180" s="419"/>
      <c r="T180" s="419"/>
      <c r="U180" s="419"/>
      <c r="V180" s="439"/>
      <c r="W180" s="419"/>
      <c r="X180" s="415"/>
    </row>
    <row r="181" spans="1:256" s="544" customFormat="1" x14ac:dyDescent="0.3">
      <c r="A181" s="555"/>
      <c r="B181" s="556" t="s">
        <v>57</v>
      </c>
      <c r="C181" s="556"/>
      <c r="D181" s="556"/>
      <c r="E181" s="556"/>
      <c r="F181" s="556"/>
      <c r="G181" s="556"/>
      <c r="H181" s="556"/>
      <c r="I181" s="556"/>
      <c r="J181" s="556"/>
      <c r="K181" s="556"/>
      <c r="L181" s="556"/>
      <c r="M181" s="556"/>
      <c r="N181" s="556"/>
      <c r="O181" s="556"/>
      <c r="P181" s="556"/>
      <c r="Q181" s="556"/>
      <c r="R181" s="556"/>
      <c r="S181" s="556"/>
      <c r="T181" s="556"/>
      <c r="U181" s="556"/>
      <c r="V181" s="599">
        <f>V70</f>
        <v>815747</v>
      </c>
      <c r="W181" s="558"/>
      <c r="X181" s="543"/>
    </row>
    <row r="182" spans="1:256" s="544" customFormat="1" x14ac:dyDescent="0.3">
      <c r="A182" s="555"/>
      <c r="B182" s="556" t="s">
        <v>58</v>
      </c>
      <c r="C182" s="556"/>
      <c r="D182" s="556"/>
      <c r="E182" s="556"/>
      <c r="F182" s="556"/>
      <c r="G182" s="556"/>
      <c r="H182" s="556"/>
      <c r="I182" s="556"/>
      <c r="J182" s="556"/>
      <c r="K182" s="556"/>
      <c r="L182" s="556"/>
      <c r="M182" s="556"/>
      <c r="N182" s="556"/>
      <c r="O182" s="556"/>
      <c r="P182" s="556"/>
      <c r="Q182" s="556"/>
      <c r="R182" s="556"/>
      <c r="S182" s="556"/>
      <c r="T182" s="556"/>
      <c r="U182" s="556"/>
      <c r="V182" s="599">
        <f>V83</f>
        <v>815747</v>
      </c>
      <c r="W182" s="558"/>
      <c r="X182" s="543"/>
    </row>
    <row r="183" spans="1:256" ht="16.2" thickBot="1" x14ac:dyDescent="0.35">
      <c r="A183" s="417"/>
      <c r="B183" s="441"/>
      <c r="C183" s="441"/>
      <c r="D183" s="441"/>
      <c r="E183" s="441"/>
      <c r="F183" s="441"/>
      <c r="G183" s="441"/>
      <c r="H183" s="441"/>
      <c r="I183" s="441"/>
      <c r="J183" s="441"/>
      <c r="K183" s="441"/>
      <c r="L183" s="441"/>
      <c r="M183" s="441"/>
      <c r="N183" s="441"/>
      <c r="O183" s="441"/>
      <c r="P183" s="441"/>
      <c r="Q183" s="441"/>
      <c r="R183" s="441"/>
      <c r="S183" s="441"/>
      <c r="T183" s="441"/>
      <c r="U183" s="441"/>
      <c r="V183" s="452"/>
      <c r="W183" s="441"/>
      <c r="X183" s="415"/>
    </row>
    <row r="184" spans="1:256" x14ac:dyDescent="0.3">
      <c r="A184" s="413"/>
      <c r="B184" s="414"/>
      <c r="C184" s="414"/>
      <c r="D184" s="414"/>
      <c r="E184" s="414"/>
      <c r="F184" s="414"/>
      <c r="G184" s="414"/>
      <c r="H184" s="414"/>
      <c r="I184" s="414"/>
      <c r="J184" s="414"/>
      <c r="K184" s="414"/>
      <c r="L184" s="414"/>
      <c r="M184" s="414"/>
      <c r="N184" s="414"/>
      <c r="O184" s="414"/>
      <c r="P184" s="414"/>
      <c r="Q184" s="414"/>
      <c r="R184" s="414"/>
      <c r="S184" s="414"/>
      <c r="T184" s="414"/>
      <c r="U184" s="414"/>
      <c r="V184" s="460"/>
      <c r="W184" s="414"/>
      <c r="X184" s="415"/>
    </row>
    <row r="185" spans="1:256" s="499" customFormat="1" x14ac:dyDescent="0.3">
      <c r="A185" s="502"/>
      <c r="B185" s="508" t="s">
        <v>59</v>
      </c>
      <c r="C185" s="506"/>
      <c r="D185" s="506"/>
      <c r="E185" s="506"/>
      <c r="F185" s="506"/>
      <c r="G185" s="506"/>
      <c r="H185" s="509"/>
      <c r="I185" s="509"/>
      <c r="J185" s="509"/>
      <c r="K185" s="509"/>
      <c r="L185" s="509"/>
      <c r="M185" s="509"/>
      <c r="N185" s="509"/>
      <c r="O185" s="509"/>
      <c r="P185" s="509"/>
      <c r="Q185" s="509"/>
      <c r="R185" s="509"/>
      <c r="S185" s="509" t="s">
        <v>101</v>
      </c>
      <c r="T185" s="509" t="s">
        <v>176</v>
      </c>
      <c r="U185" s="421"/>
      <c r="V185" s="510" t="s">
        <v>114</v>
      </c>
      <c r="W185" s="421"/>
      <c r="X185" s="498"/>
    </row>
    <row r="186" spans="1:256" s="544" customFormat="1" x14ac:dyDescent="0.3">
      <c r="A186" s="555"/>
      <c r="B186" s="556" t="s">
        <v>60</v>
      </c>
      <c r="C186" s="556"/>
      <c r="D186" s="556"/>
      <c r="E186" s="556"/>
      <c r="F186" s="556"/>
      <c r="G186" s="556"/>
      <c r="H186" s="556"/>
      <c r="I186" s="556"/>
      <c r="J186" s="556"/>
      <c r="K186" s="556"/>
      <c r="L186" s="556"/>
      <c r="M186" s="556"/>
      <c r="N186" s="556"/>
      <c r="O186" s="556"/>
      <c r="P186" s="556"/>
      <c r="Q186" s="556"/>
      <c r="R186" s="556"/>
      <c r="S186" s="599">
        <f>+V34*0.16</f>
        <v>240044</v>
      </c>
      <c r="T186" s="578"/>
      <c r="U186" s="556"/>
      <c r="V186" s="599"/>
      <c r="W186" s="558"/>
      <c r="X186" s="543"/>
    </row>
    <row r="187" spans="1:256" s="544" customFormat="1" x14ac:dyDescent="0.3">
      <c r="A187" s="555"/>
      <c r="B187" s="556" t="s">
        <v>61</v>
      </c>
      <c r="C187" s="556"/>
      <c r="D187" s="556"/>
      <c r="E187" s="556"/>
      <c r="F187" s="556"/>
      <c r="G187" s="556"/>
      <c r="H187" s="556"/>
      <c r="I187" s="556"/>
      <c r="J187" s="556"/>
      <c r="K187" s="556"/>
      <c r="L187" s="556"/>
      <c r="M187" s="556"/>
      <c r="N187" s="556"/>
      <c r="O187" s="556"/>
      <c r="P187" s="556"/>
      <c r="Q187" s="556"/>
      <c r="R187" s="556"/>
      <c r="S187" s="599">
        <f>+'May 18'!S189</f>
        <v>32755</v>
      </c>
      <c r="T187" s="599">
        <f>+'May 18'!T189</f>
        <v>6019</v>
      </c>
      <c r="U187" s="556"/>
      <c r="V187" s="599">
        <f>S187+T187</f>
        <v>38774</v>
      </c>
      <c r="W187" s="558"/>
      <c r="X187" s="543"/>
    </row>
    <row r="188" spans="1:256" s="544" customFormat="1" x14ac:dyDescent="0.3">
      <c r="A188" s="555"/>
      <c r="B188" s="556" t="s">
        <v>62</v>
      </c>
      <c r="C188" s="556"/>
      <c r="D188" s="556"/>
      <c r="E188" s="556"/>
      <c r="F188" s="556"/>
      <c r="G188" s="556"/>
      <c r="H188" s="556"/>
      <c r="I188" s="556"/>
      <c r="J188" s="556"/>
      <c r="K188" s="556"/>
      <c r="L188" s="556"/>
      <c r="M188" s="556"/>
      <c r="N188" s="556"/>
      <c r="O188" s="556"/>
      <c r="P188" s="556"/>
      <c r="Q188" s="556"/>
      <c r="R188" s="556"/>
      <c r="S188" s="598">
        <v>482</v>
      </c>
      <c r="T188" s="598">
        <v>0</v>
      </c>
      <c r="U188" s="556"/>
      <c r="V188" s="599">
        <f>S188+T188</f>
        <v>482</v>
      </c>
      <c r="W188" s="558"/>
      <c r="X188" s="543"/>
    </row>
    <row r="189" spans="1:256" s="544" customFormat="1" x14ac:dyDescent="0.3">
      <c r="A189" s="555"/>
      <c r="B189" s="556" t="s">
        <v>63</v>
      </c>
      <c r="C189" s="556"/>
      <c r="D189" s="556"/>
      <c r="E189" s="556"/>
      <c r="F189" s="556"/>
      <c r="G189" s="556"/>
      <c r="H189" s="556"/>
      <c r="I189" s="556"/>
      <c r="J189" s="556"/>
      <c r="K189" s="556"/>
      <c r="L189" s="556"/>
      <c r="M189" s="556"/>
      <c r="N189" s="556"/>
      <c r="O189" s="556"/>
      <c r="P189" s="556"/>
      <c r="Q189" s="556"/>
      <c r="R189" s="556"/>
      <c r="S189" s="599">
        <f>S187+S188</f>
        <v>33237</v>
      </c>
      <c r="T189" s="599">
        <f>T188+T187</f>
        <v>6019</v>
      </c>
      <c r="U189" s="556"/>
      <c r="V189" s="599">
        <f>S189+T189</f>
        <v>39256</v>
      </c>
      <c r="W189" s="558"/>
      <c r="X189" s="543"/>
    </row>
    <row r="190" spans="1:256" s="544" customFormat="1" x14ac:dyDescent="0.3">
      <c r="A190" s="555"/>
      <c r="B190" s="556" t="s">
        <v>64</v>
      </c>
      <c r="C190" s="556"/>
      <c r="D190" s="556"/>
      <c r="E190" s="556"/>
      <c r="F190" s="556"/>
      <c r="G190" s="556"/>
      <c r="H190" s="556"/>
      <c r="I190" s="556"/>
      <c r="J190" s="556"/>
      <c r="K190" s="556"/>
      <c r="L190" s="556"/>
      <c r="M190" s="556"/>
      <c r="N190" s="556"/>
      <c r="O190" s="556"/>
      <c r="P190" s="556"/>
      <c r="Q190" s="556"/>
      <c r="R190" s="556"/>
      <c r="S190" s="599">
        <f>S186-S189-T189</f>
        <v>200788</v>
      </c>
      <c r="T190" s="578"/>
      <c r="U190" s="556"/>
      <c r="V190" s="599"/>
      <c r="W190" s="558"/>
      <c r="X190" s="543"/>
    </row>
    <row r="191" spans="1:256" ht="16.2" thickBot="1" x14ac:dyDescent="0.35">
      <c r="A191" s="417"/>
      <c r="B191" s="441"/>
      <c r="C191" s="441"/>
      <c r="D191" s="441"/>
      <c r="E191" s="441"/>
      <c r="F191" s="441"/>
      <c r="G191" s="441"/>
      <c r="H191" s="441"/>
      <c r="I191" s="441"/>
      <c r="J191" s="441"/>
      <c r="K191" s="441"/>
      <c r="L191" s="441"/>
      <c r="M191" s="441"/>
      <c r="N191" s="441"/>
      <c r="O191" s="441"/>
      <c r="P191" s="441"/>
      <c r="Q191" s="441"/>
      <c r="R191" s="441"/>
      <c r="S191" s="441"/>
      <c r="T191" s="441"/>
      <c r="U191" s="441"/>
      <c r="V191" s="452"/>
      <c r="W191" s="441"/>
      <c r="X191" s="415"/>
    </row>
    <row r="192" spans="1:256" x14ac:dyDescent="0.3">
      <c r="A192" s="413"/>
      <c r="B192" s="414"/>
      <c r="C192" s="414"/>
      <c r="D192" s="414"/>
      <c r="E192" s="414"/>
      <c r="F192" s="414"/>
      <c r="G192" s="414"/>
      <c r="H192" s="414"/>
      <c r="I192" s="414"/>
      <c r="J192" s="414"/>
      <c r="K192" s="414"/>
      <c r="L192" s="414"/>
      <c r="M192" s="414"/>
      <c r="N192" s="414"/>
      <c r="O192" s="414"/>
      <c r="P192" s="414"/>
      <c r="Q192" s="414"/>
      <c r="R192" s="414"/>
      <c r="S192" s="414"/>
      <c r="T192" s="414"/>
      <c r="U192" s="414"/>
      <c r="V192" s="460"/>
      <c r="W192" s="414"/>
      <c r="X192" s="415"/>
    </row>
    <row r="193" spans="1:24" x14ac:dyDescent="0.3">
      <c r="A193" s="417"/>
      <c r="B193" s="508" t="s">
        <v>65</v>
      </c>
      <c r="C193" s="419"/>
      <c r="D193" s="419"/>
      <c r="E193" s="419"/>
      <c r="F193" s="419"/>
      <c r="G193" s="419"/>
      <c r="H193" s="419"/>
      <c r="I193" s="419"/>
      <c r="J193" s="419"/>
      <c r="K193" s="419"/>
      <c r="L193" s="419"/>
      <c r="M193" s="419"/>
      <c r="N193" s="419"/>
      <c r="O193" s="419"/>
      <c r="P193" s="419"/>
      <c r="Q193" s="419"/>
      <c r="R193" s="419"/>
      <c r="S193" s="419"/>
      <c r="T193" s="419"/>
      <c r="U193" s="419"/>
      <c r="V193" s="462"/>
      <c r="W193" s="419"/>
      <c r="X193" s="415"/>
    </row>
    <row r="194" spans="1:24" s="544" customFormat="1" x14ac:dyDescent="0.3">
      <c r="A194" s="555"/>
      <c r="B194" s="556" t="s">
        <v>66</v>
      </c>
      <c r="C194" s="556"/>
      <c r="D194" s="556"/>
      <c r="E194" s="556"/>
      <c r="F194" s="556"/>
      <c r="G194" s="556"/>
      <c r="H194" s="556"/>
      <c r="I194" s="556"/>
      <c r="J194" s="556"/>
      <c r="K194" s="556"/>
      <c r="L194" s="556"/>
      <c r="M194" s="556"/>
      <c r="N194" s="556"/>
      <c r="O194" s="556"/>
      <c r="P194" s="556"/>
      <c r="Q194" s="556"/>
      <c r="R194" s="556"/>
      <c r="S194" s="556"/>
      <c r="T194" s="556"/>
      <c r="U194" s="556"/>
      <c r="V194" s="608">
        <f>(V100+V102+V103+V104+V105)/-(V106+V107)</f>
        <v>4.0285714285714285</v>
      </c>
      <c r="W194" s="558" t="s">
        <v>115</v>
      </c>
      <c r="X194" s="543"/>
    </row>
    <row r="195" spans="1:24" s="544" customFormat="1" x14ac:dyDescent="0.3">
      <c r="A195" s="555"/>
      <c r="B195" s="556" t="s">
        <v>67</v>
      </c>
      <c r="C195" s="556"/>
      <c r="D195" s="556"/>
      <c r="E195" s="556"/>
      <c r="F195" s="556"/>
      <c r="G195" s="556"/>
      <c r="H195" s="556"/>
      <c r="I195" s="556"/>
      <c r="J195" s="556"/>
      <c r="K195" s="556"/>
      <c r="L195" s="556"/>
      <c r="M195" s="556"/>
      <c r="N195" s="556"/>
      <c r="O195" s="556"/>
      <c r="P195" s="556"/>
      <c r="Q195" s="556"/>
      <c r="R195" s="556"/>
      <c r="S195" s="556"/>
      <c r="T195" s="556"/>
      <c r="U195" s="556"/>
      <c r="V195" s="610">
        <v>2.12</v>
      </c>
      <c r="W195" s="558" t="s">
        <v>115</v>
      </c>
      <c r="X195" s="543"/>
    </row>
    <row r="196" spans="1:24" s="544" customFormat="1" x14ac:dyDescent="0.3">
      <c r="A196" s="555"/>
      <c r="B196" s="556" t="s">
        <v>68</v>
      </c>
      <c r="C196" s="556"/>
      <c r="D196" s="556"/>
      <c r="E196" s="556"/>
      <c r="F196" s="556"/>
      <c r="G196" s="556"/>
      <c r="H196" s="556"/>
      <c r="I196" s="556"/>
      <c r="J196" s="556"/>
      <c r="K196" s="556"/>
      <c r="L196" s="556"/>
      <c r="M196" s="556"/>
      <c r="N196" s="556"/>
      <c r="O196" s="556"/>
      <c r="P196" s="556"/>
      <c r="Q196" s="556"/>
      <c r="R196" s="556"/>
      <c r="S196" s="556"/>
      <c r="T196" s="556"/>
      <c r="U196" s="556"/>
      <c r="V196" s="608">
        <f>(V100+V102+V103+V104+V105+V106+V107)/-(V109+V110)</f>
        <v>13.608108108108109</v>
      </c>
      <c r="W196" s="558" t="s">
        <v>115</v>
      </c>
      <c r="X196" s="543"/>
    </row>
    <row r="197" spans="1:24" s="544" customFormat="1" x14ac:dyDescent="0.3">
      <c r="A197" s="555"/>
      <c r="B197" s="556" t="s">
        <v>69</v>
      </c>
      <c r="C197" s="556"/>
      <c r="D197" s="556"/>
      <c r="E197" s="556"/>
      <c r="F197" s="556"/>
      <c r="G197" s="556"/>
      <c r="H197" s="556"/>
      <c r="I197" s="556"/>
      <c r="J197" s="556"/>
      <c r="K197" s="556"/>
      <c r="L197" s="556"/>
      <c r="M197" s="556"/>
      <c r="N197" s="556"/>
      <c r="O197" s="556"/>
      <c r="P197" s="556"/>
      <c r="Q197" s="556"/>
      <c r="R197" s="556"/>
      <c r="S197" s="556"/>
      <c r="T197" s="556"/>
      <c r="U197" s="556"/>
      <c r="V197" s="610">
        <v>9.77</v>
      </c>
      <c r="W197" s="558" t="s">
        <v>115</v>
      </c>
      <c r="X197" s="543"/>
    </row>
    <row r="198" spans="1:24" s="544" customFormat="1" x14ac:dyDescent="0.3">
      <c r="A198" s="555"/>
      <c r="B198" s="556" t="s">
        <v>198</v>
      </c>
      <c r="C198" s="556"/>
      <c r="D198" s="556"/>
      <c r="E198" s="556"/>
      <c r="F198" s="556"/>
      <c r="G198" s="556"/>
      <c r="H198" s="556"/>
      <c r="I198" s="556"/>
      <c r="J198" s="556"/>
      <c r="K198" s="556"/>
      <c r="L198" s="556"/>
      <c r="M198" s="556"/>
      <c r="N198" s="556"/>
      <c r="O198" s="556"/>
      <c r="P198" s="556"/>
      <c r="Q198" s="556"/>
      <c r="R198" s="556"/>
      <c r="S198" s="556"/>
      <c r="T198" s="556"/>
      <c r="U198" s="556"/>
      <c r="V198" s="608">
        <f>(V100+V102+V103+V104+V105+V106+V107+V109+V110)/-(V111+V112)</f>
        <v>8.6993006993007</v>
      </c>
      <c r="W198" s="558" t="s">
        <v>115</v>
      </c>
      <c r="X198" s="543"/>
    </row>
    <row r="199" spans="1:24" s="544" customFormat="1" x14ac:dyDescent="0.3">
      <c r="A199" s="555"/>
      <c r="B199" s="556" t="s">
        <v>199</v>
      </c>
      <c r="C199" s="556"/>
      <c r="D199" s="556"/>
      <c r="E199" s="556"/>
      <c r="F199" s="556"/>
      <c r="G199" s="556"/>
      <c r="H199" s="556"/>
      <c r="I199" s="556"/>
      <c r="J199" s="556"/>
      <c r="K199" s="556"/>
      <c r="L199" s="556"/>
      <c r="M199" s="556"/>
      <c r="N199" s="556"/>
      <c r="O199" s="556"/>
      <c r="P199" s="556"/>
      <c r="Q199" s="556"/>
      <c r="R199" s="556"/>
      <c r="S199" s="556"/>
      <c r="T199" s="556"/>
      <c r="U199" s="556"/>
      <c r="V199" s="610">
        <v>7.34</v>
      </c>
      <c r="W199" s="558" t="s">
        <v>115</v>
      </c>
      <c r="X199" s="543"/>
    </row>
    <row r="200" spans="1:24" s="544" customFormat="1" x14ac:dyDescent="0.3">
      <c r="A200" s="555"/>
      <c r="B200" s="556"/>
      <c r="C200" s="556"/>
      <c r="D200" s="556"/>
      <c r="E200" s="556"/>
      <c r="F200" s="556"/>
      <c r="G200" s="556"/>
      <c r="H200" s="556"/>
      <c r="I200" s="556"/>
      <c r="J200" s="556"/>
      <c r="K200" s="556"/>
      <c r="L200" s="556"/>
      <c r="M200" s="556"/>
      <c r="N200" s="556"/>
      <c r="O200" s="556"/>
      <c r="P200" s="556"/>
      <c r="Q200" s="556"/>
      <c r="R200" s="556"/>
      <c r="S200" s="556"/>
      <c r="T200" s="556"/>
      <c r="U200" s="556"/>
      <c r="V200" s="556"/>
      <c r="W200" s="558"/>
      <c r="X200" s="543"/>
    </row>
    <row r="201" spans="1:24" s="544" customFormat="1" x14ac:dyDescent="0.3">
      <c r="A201" s="540"/>
      <c r="B201" s="588"/>
      <c r="C201" s="588"/>
      <c r="D201" s="588"/>
      <c r="E201" s="588"/>
      <c r="F201" s="588"/>
      <c r="G201" s="588"/>
      <c r="H201" s="588"/>
      <c r="I201" s="588"/>
      <c r="J201" s="588"/>
      <c r="K201" s="588"/>
      <c r="L201" s="588"/>
      <c r="M201" s="588"/>
      <c r="N201" s="588"/>
      <c r="O201" s="588"/>
      <c r="P201" s="588"/>
      <c r="Q201" s="588"/>
      <c r="R201" s="588"/>
      <c r="S201" s="588"/>
      <c r="T201" s="588"/>
      <c r="U201" s="588"/>
      <c r="V201" s="588"/>
      <c r="W201" s="588"/>
      <c r="X201" s="543"/>
    </row>
    <row r="202" spans="1:24" s="544" customFormat="1" x14ac:dyDescent="0.3">
      <c r="A202" s="540"/>
      <c r="B202" s="541"/>
      <c r="C202" s="541"/>
      <c r="D202" s="541"/>
      <c r="E202" s="541"/>
      <c r="F202" s="541"/>
      <c r="G202" s="541"/>
      <c r="H202" s="541"/>
      <c r="I202" s="541"/>
      <c r="J202" s="541"/>
      <c r="K202" s="541"/>
      <c r="L202" s="541"/>
      <c r="M202" s="541"/>
      <c r="N202" s="541"/>
      <c r="O202" s="541"/>
      <c r="P202" s="541"/>
      <c r="Q202" s="541"/>
      <c r="R202" s="541"/>
      <c r="S202" s="541"/>
      <c r="T202" s="541"/>
      <c r="U202" s="541"/>
      <c r="V202" s="541"/>
      <c r="W202" s="541"/>
      <c r="X202" s="543"/>
    </row>
    <row r="203" spans="1:24" s="544" customFormat="1" ht="18.600000000000001" thickBot="1" x14ac:dyDescent="0.4">
      <c r="A203" s="593"/>
      <c r="B203" s="594" t="str">
        <f>B137</f>
        <v>PM14 INVESTOR REPORT QUARTER ENDING AUGUST 2018</v>
      </c>
      <c r="C203" s="595"/>
      <c r="D203" s="595"/>
      <c r="E203" s="595"/>
      <c r="F203" s="595"/>
      <c r="G203" s="595"/>
      <c r="H203" s="595"/>
      <c r="I203" s="595"/>
      <c r="J203" s="595"/>
      <c r="K203" s="595"/>
      <c r="L203" s="595"/>
      <c r="M203" s="595"/>
      <c r="N203" s="595"/>
      <c r="O203" s="595"/>
      <c r="P203" s="595"/>
      <c r="Q203" s="595"/>
      <c r="R203" s="595"/>
      <c r="S203" s="595"/>
      <c r="T203" s="595"/>
      <c r="U203" s="595"/>
      <c r="V203" s="595"/>
      <c r="W203" s="597"/>
      <c r="X203" s="543"/>
    </row>
    <row r="204" spans="1:24" x14ac:dyDescent="0.3">
      <c r="A204" s="527"/>
      <c r="B204" s="528" t="s">
        <v>70</v>
      </c>
      <c r="C204" s="531"/>
      <c r="D204" s="531"/>
      <c r="E204" s="531"/>
      <c r="F204" s="531"/>
      <c r="G204" s="532"/>
      <c r="H204" s="532"/>
      <c r="I204" s="532"/>
      <c r="J204" s="532"/>
      <c r="K204" s="532"/>
      <c r="L204" s="532"/>
      <c r="M204" s="532"/>
      <c r="N204" s="532"/>
      <c r="O204" s="532"/>
      <c r="P204" s="532"/>
      <c r="Q204" s="532"/>
      <c r="R204" s="532"/>
      <c r="S204" s="532"/>
      <c r="T204" s="532">
        <v>43343</v>
      </c>
      <c r="U204" s="529"/>
      <c r="V204" s="529"/>
      <c r="W204" s="529"/>
      <c r="X204" s="415"/>
    </row>
    <row r="205" spans="1:24" x14ac:dyDescent="0.3">
      <c r="A205" s="463"/>
      <c r="B205" s="429"/>
      <c r="C205" s="464"/>
      <c r="D205" s="464"/>
      <c r="E205" s="464"/>
      <c r="F205" s="464"/>
      <c r="G205" s="428"/>
      <c r="H205" s="428"/>
      <c r="I205" s="428"/>
      <c r="J205" s="428"/>
      <c r="K205" s="428"/>
      <c r="L205" s="428"/>
      <c r="M205" s="428"/>
      <c r="N205" s="428"/>
      <c r="O205" s="428"/>
      <c r="P205" s="428"/>
      <c r="Q205" s="428"/>
      <c r="R205" s="428"/>
      <c r="S205" s="428"/>
      <c r="T205" s="428"/>
      <c r="U205" s="427"/>
      <c r="V205" s="427"/>
      <c r="W205" s="427"/>
      <c r="X205" s="415"/>
    </row>
    <row r="206" spans="1:24" s="544" customFormat="1" x14ac:dyDescent="0.3">
      <c r="A206" s="555"/>
      <c r="B206" s="556" t="s">
        <v>71</v>
      </c>
      <c r="C206" s="611"/>
      <c r="D206" s="611"/>
      <c r="E206" s="611"/>
      <c r="F206" s="611"/>
      <c r="G206" s="582"/>
      <c r="H206" s="582"/>
      <c r="I206" s="582"/>
      <c r="J206" s="582"/>
      <c r="K206" s="582"/>
      <c r="L206" s="582"/>
      <c r="M206" s="582"/>
      <c r="N206" s="582"/>
      <c r="O206" s="582"/>
      <c r="P206" s="582"/>
      <c r="Q206" s="582"/>
      <c r="R206" s="582"/>
      <c r="S206" s="582"/>
      <c r="T206" s="575">
        <v>5.2819999999999999E-2</v>
      </c>
      <c r="U206" s="556"/>
      <c r="V206" s="556"/>
      <c r="W206" s="558"/>
      <c r="X206" s="543"/>
    </row>
    <row r="207" spans="1:24" s="544" customFormat="1" x14ac:dyDescent="0.3">
      <c r="A207" s="555"/>
      <c r="B207" s="556" t="s">
        <v>151</v>
      </c>
      <c r="C207" s="611"/>
      <c r="D207" s="611"/>
      <c r="E207" s="611"/>
      <c r="F207" s="611"/>
      <c r="G207" s="582"/>
      <c r="H207" s="582"/>
      <c r="I207" s="582"/>
      <c r="J207" s="582"/>
      <c r="K207" s="582"/>
      <c r="L207" s="582"/>
      <c r="M207" s="582"/>
      <c r="N207" s="582"/>
      <c r="O207" s="582"/>
      <c r="P207" s="582"/>
      <c r="Q207" s="582"/>
      <c r="R207" s="582"/>
      <c r="S207" s="582"/>
      <c r="T207" s="575">
        <v>5.7799999999999997E-2</v>
      </c>
      <c r="U207" s="556"/>
      <c r="V207" s="556"/>
      <c r="W207" s="558"/>
      <c r="X207" s="543"/>
    </row>
    <row r="208" spans="1:24" s="544" customFormat="1" x14ac:dyDescent="0.3">
      <c r="A208" s="555"/>
      <c r="B208" s="556" t="s">
        <v>72</v>
      </c>
      <c r="C208" s="611"/>
      <c r="D208" s="611"/>
      <c r="E208" s="611"/>
      <c r="F208" s="611"/>
      <c r="G208" s="582"/>
      <c r="H208" s="582"/>
      <c r="I208" s="582"/>
      <c r="J208" s="582"/>
      <c r="K208" s="582"/>
      <c r="L208" s="582"/>
      <c r="M208" s="582"/>
      <c r="N208" s="582"/>
      <c r="O208" s="582"/>
      <c r="P208" s="582"/>
      <c r="Q208" s="582"/>
      <c r="R208" s="582"/>
      <c r="S208" s="582"/>
      <c r="T208" s="575">
        <f>T206-T207</f>
        <v>-4.9799999999999983E-3</v>
      </c>
      <c r="U208" s="556"/>
      <c r="V208" s="556"/>
      <c r="W208" s="558"/>
      <c r="X208" s="543"/>
    </row>
    <row r="209" spans="1:24" s="544" customFormat="1" x14ac:dyDescent="0.3">
      <c r="A209" s="555"/>
      <c r="B209" s="556" t="s">
        <v>73</v>
      </c>
      <c r="C209" s="611"/>
      <c r="D209" s="611"/>
      <c r="E209" s="611"/>
      <c r="F209" s="611"/>
      <c r="G209" s="582"/>
      <c r="H209" s="582"/>
      <c r="I209" s="582"/>
      <c r="J209" s="582"/>
      <c r="K209" s="582"/>
      <c r="L209" s="582"/>
      <c r="M209" s="582"/>
      <c r="N209" s="582"/>
      <c r="O209" s="582"/>
      <c r="P209" s="582"/>
      <c r="Q209" s="582"/>
      <c r="R209" s="582"/>
      <c r="S209" s="582"/>
      <c r="T209" s="575">
        <v>2.47E-2</v>
      </c>
      <c r="U209" s="556"/>
      <c r="V209" s="556"/>
      <c r="W209" s="558"/>
      <c r="X209" s="543"/>
    </row>
    <row r="210" spans="1:24" s="544" customFormat="1" x14ac:dyDescent="0.3">
      <c r="A210" s="555"/>
      <c r="B210" s="556" t="s">
        <v>219</v>
      </c>
      <c r="C210" s="611"/>
      <c r="D210" s="611"/>
      <c r="E210" s="611"/>
      <c r="F210" s="611"/>
      <c r="G210" s="582"/>
      <c r="H210" s="582"/>
      <c r="I210" s="582"/>
      <c r="J210" s="582"/>
      <c r="K210" s="582"/>
      <c r="L210" s="582"/>
      <c r="M210" s="582"/>
      <c r="N210" s="582"/>
      <c r="O210" s="582"/>
      <c r="P210" s="582"/>
      <c r="Q210" s="582"/>
      <c r="R210" s="582"/>
      <c r="S210" s="582"/>
      <c r="T210" s="575">
        <f>V43</f>
        <v>9.5519998067136805E-3</v>
      </c>
      <c r="U210" s="556"/>
      <c r="V210" s="556"/>
      <c r="W210" s="558"/>
      <c r="X210" s="543"/>
    </row>
    <row r="211" spans="1:24" s="544" customFormat="1" x14ac:dyDescent="0.3">
      <c r="A211" s="555"/>
      <c r="B211" s="556" t="s">
        <v>74</v>
      </c>
      <c r="C211" s="611"/>
      <c r="D211" s="611"/>
      <c r="E211" s="611"/>
      <c r="F211" s="611"/>
      <c r="G211" s="582"/>
      <c r="H211" s="582"/>
      <c r="I211" s="582"/>
      <c r="J211" s="582"/>
      <c r="K211" s="582"/>
      <c r="L211" s="582"/>
      <c r="M211" s="582"/>
      <c r="N211" s="582"/>
      <c r="O211" s="582"/>
      <c r="P211" s="582"/>
      <c r="Q211" s="582"/>
      <c r="R211" s="582"/>
      <c r="S211" s="582"/>
      <c r="T211" s="575">
        <f>T209-T210</f>
        <v>1.5148000193286319E-2</v>
      </c>
      <c r="U211" s="556"/>
      <c r="V211" s="556"/>
      <c r="W211" s="558"/>
      <c r="X211" s="543"/>
    </row>
    <row r="212" spans="1:24" s="544" customFormat="1" x14ac:dyDescent="0.3">
      <c r="A212" s="555"/>
      <c r="B212" s="556" t="s">
        <v>242</v>
      </c>
      <c r="C212" s="611"/>
      <c r="D212" s="611"/>
      <c r="E212" s="611"/>
      <c r="F212" s="611"/>
      <c r="G212" s="582"/>
      <c r="H212" s="582"/>
      <c r="I212" s="582"/>
      <c r="J212" s="582"/>
      <c r="K212" s="582"/>
      <c r="L212" s="582"/>
      <c r="M212" s="582"/>
      <c r="N212" s="582"/>
      <c r="O212" s="582"/>
      <c r="P212" s="582"/>
      <c r="Q212" s="582"/>
      <c r="R212" s="582"/>
      <c r="S212" s="582"/>
      <c r="T212" s="575">
        <f>V100/N70</f>
        <v>6.7332008076011205E-3</v>
      </c>
      <c r="U212" s="556"/>
      <c r="V212" s="556"/>
      <c r="W212" s="558"/>
      <c r="X212" s="543"/>
    </row>
    <row r="213" spans="1:24" s="544" customFormat="1" x14ac:dyDescent="0.3">
      <c r="A213" s="555"/>
      <c r="B213" s="556" t="s">
        <v>208</v>
      </c>
      <c r="C213" s="611"/>
      <c r="D213" s="611"/>
      <c r="E213" s="611"/>
      <c r="F213" s="611"/>
      <c r="G213" s="582"/>
      <c r="H213" s="582"/>
      <c r="I213" s="582"/>
      <c r="J213" s="582"/>
      <c r="K213" s="582"/>
      <c r="L213" s="582"/>
      <c r="M213" s="582"/>
      <c r="N213" s="582"/>
      <c r="O213" s="582"/>
      <c r="P213" s="582"/>
      <c r="Q213" s="582"/>
      <c r="R213" s="582"/>
      <c r="S213" s="582"/>
      <c r="T213" s="612">
        <v>51014</v>
      </c>
      <c r="U213" s="556"/>
      <c r="V213" s="556"/>
      <c r="W213" s="558"/>
      <c r="X213" s="543"/>
    </row>
    <row r="214" spans="1:24" s="544" customFormat="1" x14ac:dyDescent="0.3">
      <c r="A214" s="555"/>
      <c r="B214" s="556" t="s">
        <v>209</v>
      </c>
      <c r="C214" s="611"/>
      <c r="D214" s="611"/>
      <c r="E214" s="611"/>
      <c r="F214" s="611"/>
      <c r="G214" s="582"/>
      <c r="H214" s="582"/>
      <c r="I214" s="582"/>
      <c r="J214" s="582"/>
      <c r="K214" s="582"/>
      <c r="L214" s="582"/>
      <c r="M214" s="582"/>
      <c r="N214" s="582"/>
      <c r="O214" s="582"/>
      <c r="P214" s="582"/>
      <c r="Q214" s="582"/>
      <c r="R214" s="582"/>
      <c r="S214" s="582"/>
      <c r="T214" s="612">
        <v>51014</v>
      </c>
      <c r="U214" s="556"/>
      <c r="V214" s="556"/>
      <c r="W214" s="558"/>
      <c r="X214" s="543"/>
    </row>
    <row r="215" spans="1:24" s="544" customFormat="1" x14ac:dyDescent="0.3">
      <c r="A215" s="555"/>
      <c r="B215" s="556" t="s">
        <v>210</v>
      </c>
      <c r="C215" s="611"/>
      <c r="D215" s="611"/>
      <c r="E215" s="611"/>
      <c r="F215" s="611"/>
      <c r="G215" s="582"/>
      <c r="H215" s="582"/>
      <c r="I215" s="582"/>
      <c r="J215" s="582"/>
      <c r="K215" s="582"/>
      <c r="L215" s="582"/>
      <c r="M215" s="582"/>
      <c r="N215" s="582"/>
      <c r="O215" s="582"/>
      <c r="P215" s="582"/>
      <c r="Q215" s="582"/>
      <c r="R215" s="582"/>
      <c r="S215" s="582"/>
      <c r="T215" s="612">
        <v>51014</v>
      </c>
      <c r="U215" s="556"/>
      <c r="V215" s="556"/>
      <c r="W215" s="558"/>
      <c r="X215" s="543"/>
    </row>
    <row r="216" spans="1:24" s="544" customFormat="1" x14ac:dyDescent="0.3">
      <c r="A216" s="555"/>
      <c r="B216" s="556" t="s">
        <v>75</v>
      </c>
      <c r="C216" s="611"/>
      <c r="D216" s="611"/>
      <c r="E216" s="611"/>
      <c r="F216" s="611"/>
      <c r="G216" s="582"/>
      <c r="H216" s="582"/>
      <c r="I216" s="582"/>
      <c r="J216" s="582"/>
      <c r="K216" s="582"/>
      <c r="L216" s="582"/>
      <c r="M216" s="582"/>
      <c r="N216" s="582"/>
      <c r="O216" s="582"/>
      <c r="P216" s="582"/>
      <c r="Q216" s="582"/>
      <c r="R216" s="582"/>
      <c r="S216" s="582"/>
      <c r="T216" s="580">
        <v>20.66</v>
      </c>
      <c r="U216" s="556" t="s">
        <v>110</v>
      </c>
      <c r="V216" s="556"/>
      <c r="W216" s="558"/>
      <c r="X216" s="543"/>
    </row>
    <row r="217" spans="1:24" s="544" customFormat="1" x14ac:dyDescent="0.3">
      <c r="A217" s="555"/>
      <c r="B217" s="556" t="s">
        <v>76</v>
      </c>
      <c r="C217" s="611"/>
      <c r="D217" s="611"/>
      <c r="E217" s="611"/>
      <c r="F217" s="611"/>
      <c r="G217" s="582"/>
      <c r="H217" s="582"/>
      <c r="I217" s="582"/>
      <c r="J217" s="582"/>
      <c r="K217" s="582"/>
      <c r="L217" s="582"/>
      <c r="M217" s="582"/>
      <c r="N217" s="582"/>
      <c r="O217" s="582"/>
      <c r="P217" s="582"/>
      <c r="Q217" s="582"/>
      <c r="R217" s="582"/>
      <c r="S217" s="582"/>
      <c r="T217" s="580">
        <v>10.61</v>
      </c>
      <c r="U217" s="556" t="s">
        <v>110</v>
      </c>
      <c r="V217" s="556"/>
      <c r="W217" s="558"/>
      <c r="X217" s="543"/>
    </row>
    <row r="218" spans="1:24" s="544" customFormat="1" x14ac:dyDescent="0.3">
      <c r="A218" s="555"/>
      <c r="B218" s="556" t="s">
        <v>77</v>
      </c>
      <c r="C218" s="611"/>
      <c r="D218" s="611"/>
      <c r="E218" s="611"/>
      <c r="F218" s="611"/>
      <c r="G218" s="582"/>
      <c r="H218" s="582"/>
      <c r="I218" s="582"/>
      <c r="J218" s="582"/>
      <c r="K218" s="582"/>
      <c r="L218" s="582"/>
      <c r="M218" s="582"/>
      <c r="N218" s="582"/>
      <c r="O218" s="582"/>
      <c r="P218" s="582"/>
      <c r="Q218" s="582"/>
      <c r="R218" s="582"/>
      <c r="S218" s="582"/>
      <c r="T218" s="575">
        <f>+P67/N67</f>
        <v>2.4290267257567073E-2</v>
      </c>
      <c r="U218" s="556"/>
      <c r="V218" s="556"/>
      <c r="W218" s="558"/>
      <c r="X218" s="543"/>
    </row>
    <row r="219" spans="1:24" s="544" customFormat="1" x14ac:dyDescent="0.3">
      <c r="A219" s="555"/>
      <c r="B219" s="556" t="s">
        <v>78</v>
      </c>
      <c r="C219" s="611"/>
      <c r="D219" s="611"/>
      <c r="E219" s="611"/>
      <c r="F219" s="611"/>
      <c r="G219" s="582"/>
      <c r="H219" s="582"/>
      <c r="I219" s="582"/>
      <c r="J219" s="582"/>
      <c r="K219" s="582"/>
      <c r="L219" s="582"/>
      <c r="M219" s="582"/>
      <c r="N219" s="582"/>
      <c r="O219" s="582"/>
      <c r="P219" s="582"/>
      <c r="Q219" s="582"/>
      <c r="R219" s="582"/>
      <c r="S219" s="582"/>
      <c r="T219" s="575">
        <v>5.45E-2</v>
      </c>
      <c r="U219" s="556"/>
      <c r="V219" s="556"/>
      <c r="W219" s="558"/>
      <c r="X219" s="543"/>
    </row>
    <row r="220" spans="1:24" x14ac:dyDescent="0.3">
      <c r="A220" s="463"/>
      <c r="B220" s="437"/>
      <c r="C220" s="437"/>
      <c r="D220" s="437"/>
      <c r="E220" s="437"/>
      <c r="F220" s="437"/>
      <c r="G220" s="437"/>
      <c r="H220" s="437"/>
      <c r="I220" s="437"/>
      <c r="J220" s="437"/>
      <c r="K220" s="437"/>
      <c r="L220" s="437"/>
      <c r="M220" s="437"/>
      <c r="N220" s="437"/>
      <c r="O220" s="437"/>
      <c r="P220" s="437"/>
      <c r="Q220" s="437"/>
      <c r="R220" s="437"/>
      <c r="S220" s="437"/>
      <c r="T220" s="454"/>
      <c r="U220" s="437"/>
      <c r="V220" s="465"/>
      <c r="W220" s="437"/>
      <c r="X220" s="415"/>
    </row>
    <row r="221" spans="1:24" x14ac:dyDescent="0.3">
      <c r="A221" s="533"/>
      <c r="B221" s="523" t="s">
        <v>79</v>
      </c>
      <c r="C221" s="524"/>
      <c r="D221" s="524"/>
      <c r="E221" s="524"/>
      <c r="F221" s="534"/>
      <c r="G221" s="524"/>
      <c r="H221" s="524"/>
      <c r="I221" s="524"/>
      <c r="J221" s="524"/>
      <c r="K221" s="524"/>
      <c r="L221" s="524"/>
      <c r="M221" s="524"/>
      <c r="N221" s="524"/>
      <c r="O221" s="524"/>
      <c r="P221" s="524"/>
      <c r="Q221" s="524"/>
      <c r="R221" s="524"/>
      <c r="S221" s="524" t="s">
        <v>102</v>
      </c>
      <c r="T221" s="534" t="s">
        <v>108</v>
      </c>
      <c r="U221" s="517"/>
      <c r="V221" s="517"/>
      <c r="W221" s="520"/>
      <c r="X221" s="415"/>
    </row>
    <row r="222" spans="1:24" s="544" customFormat="1" x14ac:dyDescent="0.3">
      <c r="A222" s="613"/>
      <c r="B222" s="588" t="s">
        <v>80</v>
      </c>
      <c r="C222" s="600"/>
      <c r="D222" s="600"/>
      <c r="E222" s="600"/>
      <c r="F222" s="588"/>
      <c r="G222" s="588"/>
      <c r="H222" s="614"/>
      <c r="I222" s="614"/>
      <c r="J222" s="614"/>
      <c r="K222" s="614"/>
      <c r="L222" s="614"/>
      <c r="M222" s="614"/>
      <c r="N222" s="614"/>
      <c r="O222" s="614"/>
      <c r="P222" s="614"/>
      <c r="Q222" s="614"/>
      <c r="R222" s="614"/>
      <c r="S222" s="614">
        <v>1</v>
      </c>
      <c r="T222" s="615">
        <v>77</v>
      </c>
      <c r="U222" s="588"/>
      <c r="V222" s="616"/>
      <c r="W222" s="617"/>
      <c r="X222" s="543"/>
    </row>
    <row r="223" spans="1:24" s="544" customFormat="1" x14ac:dyDescent="0.3">
      <c r="A223" s="618"/>
      <c r="B223" s="556" t="s">
        <v>145</v>
      </c>
      <c r="C223" s="598"/>
      <c r="D223" s="598"/>
      <c r="E223" s="598"/>
      <c r="F223" s="556"/>
      <c r="G223" s="556"/>
      <c r="H223" s="562"/>
      <c r="I223" s="562"/>
      <c r="J223" s="562"/>
      <c r="K223" s="562"/>
      <c r="L223" s="562"/>
      <c r="M223" s="562"/>
      <c r="N223" s="562"/>
      <c r="O223" s="562"/>
      <c r="P223" s="562"/>
      <c r="Q223" s="562"/>
      <c r="R223" s="562"/>
      <c r="S223" s="619">
        <f>+R275</f>
        <v>113</v>
      </c>
      <c r="T223" s="620">
        <f>+T275</f>
        <v>16106</v>
      </c>
      <c r="U223" s="556"/>
      <c r="V223" s="621"/>
      <c r="W223" s="622"/>
      <c r="X223" s="543"/>
    </row>
    <row r="224" spans="1:24" s="544" customFormat="1" x14ac:dyDescent="0.3">
      <c r="A224" s="618"/>
      <c r="B224" s="556" t="s">
        <v>81</v>
      </c>
      <c r="C224" s="598"/>
      <c r="D224" s="598"/>
      <c r="E224" s="598"/>
      <c r="F224" s="556"/>
      <c r="G224" s="556"/>
      <c r="H224" s="562"/>
      <c r="I224" s="562"/>
      <c r="J224" s="562"/>
      <c r="K224" s="562"/>
      <c r="L224" s="562"/>
      <c r="M224" s="562"/>
      <c r="N224" s="562"/>
      <c r="O224" s="562"/>
      <c r="P224" s="562"/>
      <c r="Q224" s="562"/>
      <c r="R224" s="562"/>
      <c r="S224" s="619">
        <f>+R287</f>
        <v>0</v>
      </c>
      <c r="T224" s="620">
        <f>+T287</f>
        <v>0</v>
      </c>
      <c r="U224" s="556"/>
      <c r="V224" s="621"/>
      <c r="W224" s="622"/>
      <c r="X224" s="543"/>
    </row>
    <row r="225" spans="1:24" x14ac:dyDescent="0.3">
      <c r="A225" s="466"/>
      <c r="B225" s="493" t="s">
        <v>82</v>
      </c>
      <c r="C225" s="467"/>
      <c r="D225" s="467"/>
      <c r="E225" s="467"/>
      <c r="F225" s="434"/>
      <c r="G225" s="434"/>
      <c r="H225" s="434"/>
      <c r="I225" s="434"/>
      <c r="J225" s="434"/>
      <c r="K225" s="434"/>
      <c r="L225" s="434"/>
      <c r="M225" s="434"/>
      <c r="N225" s="434"/>
      <c r="O225" s="434"/>
      <c r="P225" s="434"/>
      <c r="Q225" s="434"/>
      <c r="R225" s="434"/>
      <c r="S225" s="434"/>
      <c r="T225" s="620">
        <v>0</v>
      </c>
      <c r="U225" s="434"/>
      <c r="V225" s="468"/>
      <c r="W225" s="469"/>
      <c r="X225" s="415"/>
    </row>
    <row r="226" spans="1:24" x14ac:dyDescent="0.3">
      <c r="A226" s="466"/>
      <c r="B226" s="493" t="s">
        <v>243</v>
      </c>
      <c r="C226" s="467"/>
      <c r="D226" s="467"/>
      <c r="E226" s="467"/>
      <c r="F226" s="434"/>
      <c r="G226" s="434"/>
      <c r="H226" s="434"/>
      <c r="I226" s="434"/>
      <c r="J226" s="434"/>
      <c r="K226" s="434"/>
      <c r="L226" s="434"/>
      <c r="M226" s="434"/>
      <c r="N226" s="434"/>
      <c r="O226" s="434"/>
      <c r="P226" s="434"/>
      <c r="Q226" s="434"/>
      <c r="R226" s="434"/>
      <c r="S226" s="434"/>
      <c r="T226" s="620">
        <f>+N80</f>
        <v>0</v>
      </c>
      <c r="U226" s="434"/>
      <c r="V226" s="468"/>
      <c r="W226" s="469"/>
      <c r="X226" s="415"/>
    </row>
    <row r="227" spans="1:24" x14ac:dyDescent="0.3">
      <c r="A227" s="470"/>
      <c r="B227" s="493" t="s">
        <v>83</v>
      </c>
      <c r="C227" s="471"/>
      <c r="D227" s="471"/>
      <c r="E227" s="471"/>
      <c r="F227" s="471"/>
      <c r="G227" s="434"/>
      <c r="H227" s="434"/>
      <c r="I227" s="434"/>
      <c r="J227" s="434"/>
      <c r="K227" s="434"/>
      <c r="L227" s="434"/>
      <c r="M227" s="434"/>
      <c r="N227" s="434"/>
      <c r="O227" s="434"/>
      <c r="P227" s="434"/>
      <c r="Q227" s="434"/>
      <c r="R227" s="434"/>
      <c r="S227" s="434"/>
      <c r="T227" s="472"/>
      <c r="U227" s="434"/>
      <c r="V227" s="468"/>
      <c r="W227" s="473"/>
      <c r="X227" s="415"/>
    </row>
    <row r="228" spans="1:24" s="544" customFormat="1" x14ac:dyDescent="0.3">
      <c r="A228" s="623"/>
      <c r="B228" s="556" t="s">
        <v>84</v>
      </c>
      <c r="C228" s="556"/>
      <c r="D228" s="556"/>
      <c r="E228" s="556"/>
      <c r="F228" s="556"/>
      <c r="G228" s="556"/>
      <c r="H228" s="556"/>
      <c r="I228" s="556"/>
      <c r="J228" s="556"/>
      <c r="K228" s="556"/>
      <c r="L228" s="556"/>
      <c r="M228" s="556"/>
      <c r="N228" s="556"/>
      <c r="O228" s="556"/>
      <c r="P228" s="556"/>
      <c r="Q228" s="556"/>
      <c r="R228" s="556"/>
      <c r="S228" s="562"/>
      <c r="T228" s="620">
        <f>V166</f>
        <v>166</v>
      </c>
      <c r="U228" s="556"/>
      <c r="V228" s="621"/>
      <c r="W228" s="624"/>
      <c r="X228" s="543"/>
    </row>
    <row r="229" spans="1:24" s="544" customFormat="1" x14ac:dyDescent="0.3">
      <c r="A229" s="618"/>
      <c r="B229" s="556" t="s">
        <v>85</v>
      </c>
      <c r="C229" s="598"/>
      <c r="D229" s="598"/>
      <c r="E229" s="598"/>
      <c r="F229" s="598"/>
      <c r="G229" s="556"/>
      <c r="H229" s="556"/>
      <c r="I229" s="556"/>
      <c r="J229" s="556"/>
      <c r="K229" s="556"/>
      <c r="L229" s="556"/>
      <c r="M229" s="556"/>
      <c r="N229" s="556"/>
      <c r="O229" s="556"/>
      <c r="P229" s="556"/>
      <c r="Q229" s="556"/>
      <c r="R229" s="556"/>
      <c r="S229" s="562"/>
      <c r="T229" s="620">
        <f>'May 18'!T229+T228</f>
        <v>8372</v>
      </c>
      <c r="U229" s="556"/>
      <c r="V229" s="621"/>
      <c r="W229" s="624"/>
      <c r="X229" s="543"/>
    </row>
    <row r="230" spans="1:24" x14ac:dyDescent="0.3">
      <c r="A230" s="470"/>
      <c r="B230" s="493" t="s">
        <v>295</v>
      </c>
      <c r="C230" s="471"/>
      <c r="D230" s="471"/>
      <c r="E230" s="471"/>
      <c r="F230" s="471"/>
      <c r="G230" s="434"/>
      <c r="H230" s="434"/>
      <c r="I230" s="434"/>
      <c r="J230" s="434"/>
      <c r="K230" s="434"/>
      <c r="L230" s="434"/>
      <c r="M230" s="434"/>
      <c r="N230" s="434"/>
      <c r="O230" s="434"/>
      <c r="P230" s="434"/>
      <c r="Q230" s="434"/>
      <c r="R230" s="434"/>
      <c r="S230" s="435"/>
      <c r="T230" s="472"/>
      <c r="U230" s="434"/>
      <c r="V230" s="468"/>
      <c r="W230" s="473"/>
      <c r="X230" s="415"/>
    </row>
    <row r="231" spans="1:24" s="544" customFormat="1" x14ac:dyDescent="0.3">
      <c r="A231" s="623"/>
      <c r="B231" s="556" t="s">
        <v>291</v>
      </c>
      <c r="C231" s="556"/>
      <c r="D231" s="556"/>
      <c r="E231" s="556"/>
      <c r="F231" s="556"/>
      <c r="G231" s="556"/>
      <c r="H231" s="556"/>
      <c r="I231" s="556"/>
      <c r="J231" s="556"/>
      <c r="K231" s="556"/>
      <c r="L231" s="556"/>
      <c r="M231" s="556"/>
      <c r="N231" s="556"/>
      <c r="O231" s="556"/>
      <c r="P231" s="556"/>
      <c r="Q231" s="556"/>
      <c r="R231" s="556"/>
      <c r="S231" s="562">
        <v>0</v>
      </c>
      <c r="T231" s="620">
        <v>0</v>
      </c>
      <c r="U231" s="556"/>
      <c r="V231" s="621"/>
      <c r="W231" s="624"/>
      <c r="X231" s="543"/>
    </row>
    <row r="232" spans="1:24" s="544" customFormat="1" x14ac:dyDescent="0.3">
      <c r="A232" s="618"/>
      <c r="B232" s="556" t="s">
        <v>86</v>
      </c>
      <c r="C232" s="578"/>
      <c r="D232" s="578"/>
      <c r="E232" s="578"/>
      <c r="F232" s="625"/>
      <c r="G232" s="556"/>
      <c r="H232" s="556"/>
      <c r="I232" s="556"/>
      <c r="J232" s="556"/>
      <c r="K232" s="556"/>
      <c r="L232" s="556"/>
      <c r="M232" s="556"/>
      <c r="N232" s="556"/>
      <c r="O232" s="556"/>
      <c r="P232" s="556"/>
      <c r="Q232" s="556"/>
      <c r="R232" s="556"/>
      <c r="S232" s="556"/>
      <c r="T232" s="626">
        <v>0</v>
      </c>
      <c r="U232" s="556"/>
      <c r="V232" s="621"/>
      <c r="W232" s="624"/>
      <c r="X232" s="543"/>
    </row>
    <row r="233" spans="1:24" s="544" customFormat="1" x14ac:dyDescent="0.3">
      <c r="A233" s="618"/>
      <c r="B233" s="556" t="s">
        <v>87</v>
      </c>
      <c r="C233" s="578"/>
      <c r="D233" s="578"/>
      <c r="E233" s="578"/>
      <c r="F233" s="625"/>
      <c r="G233" s="556"/>
      <c r="H233" s="556"/>
      <c r="I233" s="556"/>
      <c r="J233" s="556"/>
      <c r="K233" s="556"/>
      <c r="L233" s="556"/>
      <c r="M233" s="556"/>
      <c r="N233" s="556"/>
      <c r="O233" s="556"/>
      <c r="P233" s="556"/>
      <c r="Q233" s="556"/>
      <c r="R233" s="556"/>
      <c r="S233" s="556"/>
      <c r="T233" s="626">
        <v>0</v>
      </c>
      <c r="U233" s="556"/>
      <c r="V233" s="621"/>
      <c r="W233" s="624"/>
      <c r="X233" s="543"/>
    </row>
    <row r="234" spans="1:24" x14ac:dyDescent="0.3">
      <c r="A234" s="466"/>
      <c r="B234" s="493" t="s">
        <v>217</v>
      </c>
      <c r="C234" s="474"/>
      <c r="D234" s="474"/>
      <c r="E234" s="474"/>
      <c r="F234" s="475"/>
      <c r="G234" s="434"/>
      <c r="H234" s="434"/>
      <c r="I234" s="434"/>
      <c r="J234" s="434"/>
      <c r="K234" s="434"/>
      <c r="L234" s="434"/>
      <c r="M234" s="434"/>
      <c r="N234" s="434"/>
      <c r="O234" s="434"/>
      <c r="P234" s="434"/>
      <c r="Q234" s="434"/>
      <c r="R234" s="434"/>
      <c r="S234" s="434"/>
      <c r="T234" s="476"/>
      <c r="U234" s="434"/>
      <c r="V234" s="468"/>
      <c r="W234" s="473"/>
      <c r="X234" s="415"/>
    </row>
    <row r="235" spans="1:24" s="544" customFormat="1" x14ac:dyDescent="0.3">
      <c r="A235" s="618"/>
      <c r="B235" s="556" t="s">
        <v>291</v>
      </c>
      <c r="C235" s="578"/>
      <c r="D235" s="578"/>
      <c r="E235" s="578"/>
      <c r="F235" s="625"/>
      <c r="G235" s="556"/>
      <c r="H235" s="556"/>
      <c r="I235" s="556"/>
      <c r="J235" s="556"/>
      <c r="K235" s="556"/>
      <c r="L235" s="556"/>
      <c r="M235" s="556"/>
      <c r="N235" s="556"/>
      <c r="O235" s="556"/>
      <c r="P235" s="556"/>
      <c r="Q235" s="556"/>
      <c r="R235" s="556"/>
      <c r="S235" s="562">
        <v>6</v>
      </c>
      <c r="T235" s="620">
        <v>985</v>
      </c>
      <c r="U235" s="556"/>
      <c r="V235" s="621"/>
      <c r="W235" s="624"/>
      <c r="X235" s="543"/>
    </row>
    <row r="236" spans="1:24" s="544" customFormat="1" x14ac:dyDescent="0.3">
      <c r="A236" s="618"/>
      <c r="B236" s="556" t="s">
        <v>218</v>
      </c>
      <c r="C236" s="578"/>
      <c r="D236" s="578"/>
      <c r="E236" s="578"/>
      <c r="F236" s="625"/>
      <c r="G236" s="556"/>
      <c r="H236" s="556"/>
      <c r="I236" s="556"/>
      <c r="J236" s="556"/>
      <c r="K236" s="556"/>
      <c r="L236" s="556"/>
      <c r="M236" s="556"/>
      <c r="N236" s="556"/>
      <c r="O236" s="556"/>
      <c r="P236" s="556"/>
      <c r="Q236" s="556"/>
      <c r="R236" s="556"/>
      <c r="S236" s="556"/>
      <c r="T236" s="626">
        <v>1.81</v>
      </c>
      <c r="U236" s="556"/>
      <c r="V236" s="621"/>
      <c r="W236" s="624"/>
      <c r="X236" s="543"/>
    </row>
    <row r="237" spans="1:24" x14ac:dyDescent="0.3">
      <c r="A237" s="466"/>
      <c r="B237" s="471"/>
      <c r="C237" s="474"/>
      <c r="D237" s="474"/>
      <c r="E237" s="474"/>
      <c r="F237" s="475"/>
      <c r="G237" s="434"/>
      <c r="H237" s="434"/>
      <c r="I237" s="434"/>
      <c r="J237" s="434"/>
      <c r="K237" s="434"/>
      <c r="L237" s="434"/>
      <c r="M237" s="434"/>
      <c r="N237" s="434"/>
      <c r="O237" s="434"/>
      <c r="P237" s="434"/>
      <c r="Q237" s="434"/>
      <c r="R237" s="434"/>
      <c r="S237" s="434"/>
      <c r="T237" s="476"/>
      <c r="U237" s="434"/>
      <c r="V237" s="468"/>
      <c r="W237" s="473"/>
      <c r="X237" s="415"/>
    </row>
    <row r="238" spans="1:24" x14ac:dyDescent="0.3">
      <c r="A238" s="466"/>
      <c r="B238" s="471"/>
      <c r="C238" s="474"/>
      <c r="D238" s="474"/>
      <c r="E238" s="474"/>
      <c r="F238" s="475"/>
      <c r="G238" s="434"/>
      <c r="H238" s="434"/>
      <c r="I238" s="434"/>
      <c r="J238" s="434"/>
      <c r="K238" s="434"/>
      <c r="L238" s="434"/>
      <c r="M238" s="434"/>
      <c r="N238" s="434"/>
      <c r="O238" s="434"/>
      <c r="P238" s="434"/>
      <c r="Q238" s="434"/>
      <c r="R238" s="434"/>
      <c r="S238" s="434"/>
      <c r="T238" s="476"/>
      <c r="U238" s="434"/>
      <c r="V238" s="468"/>
      <c r="W238" s="473"/>
      <c r="X238" s="415"/>
    </row>
    <row r="239" spans="1:24" ht="18" x14ac:dyDescent="0.35">
      <c r="A239" s="466"/>
      <c r="B239" s="512" t="s">
        <v>168</v>
      </c>
      <c r="C239" s="474"/>
      <c r="D239" s="474"/>
      <c r="E239" s="474"/>
      <c r="F239" s="475"/>
      <c r="G239" s="434"/>
      <c r="H239" s="434"/>
      <c r="I239" s="434"/>
      <c r="J239" s="434"/>
      <c r="K239" s="434"/>
      <c r="L239" s="434"/>
      <c r="M239" s="434"/>
      <c r="N239" s="434"/>
      <c r="O239" s="434"/>
      <c r="P239" s="513" t="s">
        <v>371</v>
      </c>
      <c r="Q239" s="434"/>
      <c r="R239" s="434"/>
      <c r="S239" s="434"/>
      <c r="T239" s="476"/>
      <c r="U239" s="434"/>
      <c r="V239" s="468"/>
      <c r="W239" s="473"/>
      <c r="X239" s="415"/>
    </row>
    <row r="240" spans="1:24" x14ac:dyDescent="0.3">
      <c r="A240" s="477"/>
      <c r="B240" s="511"/>
      <c r="C240" s="478"/>
      <c r="D240" s="478"/>
      <c r="E240" s="478"/>
      <c r="F240" s="479"/>
      <c r="G240" s="441"/>
      <c r="H240" s="441"/>
      <c r="I240" s="441"/>
      <c r="J240" s="441"/>
      <c r="K240" s="441"/>
      <c r="L240" s="441"/>
      <c r="M240" s="441"/>
      <c r="N240" s="441"/>
      <c r="O240" s="441"/>
      <c r="P240" s="441"/>
      <c r="Q240" s="441"/>
      <c r="R240" s="441"/>
      <c r="S240" s="441"/>
      <c r="T240" s="480"/>
      <c r="U240" s="441"/>
      <c r="V240" s="481"/>
      <c r="W240" s="482"/>
      <c r="X240" s="415"/>
    </row>
    <row r="241" spans="1:25" x14ac:dyDescent="0.3">
      <c r="A241" s="515"/>
      <c r="B241" s="523" t="s">
        <v>308</v>
      </c>
      <c r="C241" s="524"/>
      <c r="D241" s="524"/>
      <c r="E241" s="524"/>
      <c r="F241" s="534"/>
      <c r="G241" s="524"/>
      <c r="H241" s="524"/>
      <c r="I241" s="524"/>
      <c r="J241" s="524"/>
      <c r="K241" s="524"/>
      <c r="L241" s="524"/>
      <c r="M241" s="524"/>
      <c r="N241" s="524"/>
      <c r="O241" s="524"/>
      <c r="P241" s="524"/>
      <c r="Q241" s="524"/>
      <c r="R241" s="534" t="s">
        <v>102</v>
      </c>
      <c r="S241" s="524" t="s">
        <v>103</v>
      </c>
      <c r="T241" s="534" t="s">
        <v>109</v>
      </c>
      <c r="U241" s="524" t="s">
        <v>103</v>
      </c>
      <c r="V241" s="517"/>
      <c r="W241" s="535"/>
      <c r="X241" s="415"/>
    </row>
    <row r="242" spans="1:25" s="544" customFormat="1" x14ac:dyDescent="0.3">
      <c r="A242" s="540"/>
      <c r="B242" s="600" t="s">
        <v>88</v>
      </c>
      <c r="C242" s="627"/>
      <c r="D242" s="627"/>
      <c r="E242" s="627"/>
      <c r="F242" s="588"/>
      <c r="G242" s="627"/>
      <c r="H242" s="627"/>
      <c r="I242" s="627"/>
      <c r="J242" s="627"/>
      <c r="K242" s="627"/>
      <c r="L242" s="627"/>
      <c r="M242" s="627"/>
      <c r="N242" s="627"/>
      <c r="O242" s="627"/>
      <c r="P242" s="627"/>
      <c r="Q242" s="627"/>
      <c r="R242" s="600">
        <f t="shared" ref="R242:R249" si="1">+R254+R266+R278</f>
        <v>5947</v>
      </c>
      <c r="S242" s="628">
        <f t="shared" ref="S242:S249" si="2">R242/$R$251</f>
        <v>0.99681528662420382</v>
      </c>
      <c r="T242" s="601">
        <f t="shared" ref="T242:T249" si="3">+T254+T266+T278</f>
        <v>813307</v>
      </c>
      <c r="U242" s="628">
        <f t="shared" ref="U242:U249" si="4">T242/$T$251</f>
        <v>0.99700887652666814</v>
      </c>
      <c r="V242" s="616"/>
      <c r="W242" s="629"/>
      <c r="X242" s="543"/>
    </row>
    <row r="243" spans="1:25" s="544" customFormat="1" x14ac:dyDescent="0.3">
      <c r="A243" s="555"/>
      <c r="B243" s="598" t="s">
        <v>89</v>
      </c>
      <c r="C243" s="630"/>
      <c r="D243" s="630"/>
      <c r="E243" s="630"/>
      <c r="F243" s="556"/>
      <c r="G243" s="631"/>
      <c r="H243" s="630"/>
      <c r="I243" s="630"/>
      <c r="J243" s="630"/>
      <c r="K243" s="630"/>
      <c r="L243" s="630"/>
      <c r="M243" s="630"/>
      <c r="N243" s="630"/>
      <c r="O243" s="630"/>
      <c r="P243" s="630"/>
      <c r="Q243" s="630"/>
      <c r="R243" s="598">
        <f t="shared" si="1"/>
        <v>4</v>
      </c>
      <c r="S243" s="631">
        <f t="shared" si="2"/>
        <v>6.7046597385182706E-4</v>
      </c>
      <c r="T243" s="599">
        <f t="shared" si="3"/>
        <v>544</v>
      </c>
      <c r="U243" s="631">
        <f t="shared" si="4"/>
        <v>6.6687343011987788E-4</v>
      </c>
      <c r="V243" s="621"/>
      <c r="W243" s="624"/>
      <c r="X243" s="543"/>
      <c r="Y243" s="604"/>
    </row>
    <row r="244" spans="1:25" s="544" customFormat="1" x14ac:dyDescent="0.3">
      <c r="A244" s="555"/>
      <c r="B244" s="598" t="s">
        <v>90</v>
      </c>
      <c r="C244" s="630"/>
      <c r="D244" s="630"/>
      <c r="E244" s="630"/>
      <c r="F244" s="556"/>
      <c r="G244" s="631"/>
      <c r="H244" s="630"/>
      <c r="I244" s="630"/>
      <c r="J244" s="630"/>
      <c r="K244" s="630"/>
      <c r="L244" s="630"/>
      <c r="M244" s="630"/>
      <c r="N244" s="630"/>
      <c r="O244" s="630"/>
      <c r="P244" s="630"/>
      <c r="Q244" s="630"/>
      <c r="R244" s="598">
        <f t="shared" si="1"/>
        <v>2</v>
      </c>
      <c r="S244" s="631">
        <f t="shared" si="2"/>
        <v>3.3523298692591353E-4</v>
      </c>
      <c r="T244" s="599">
        <f t="shared" si="3"/>
        <v>226</v>
      </c>
      <c r="U244" s="631">
        <f t="shared" si="4"/>
        <v>2.7704668236597869E-4</v>
      </c>
      <c r="V244" s="621"/>
      <c r="W244" s="624"/>
      <c r="X244" s="543"/>
    </row>
    <row r="245" spans="1:25" s="544" customFormat="1" x14ac:dyDescent="0.3">
      <c r="A245" s="555"/>
      <c r="B245" s="598" t="s">
        <v>156</v>
      </c>
      <c r="C245" s="630"/>
      <c r="D245" s="630"/>
      <c r="E245" s="630"/>
      <c r="F245" s="556"/>
      <c r="G245" s="631"/>
      <c r="H245" s="630"/>
      <c r="I245" s="630"/>
      <c r="J245" s="630"/>
      <c r="K245" s="630"/>
      <c r="L245" s="630"/>
      <c r="M245" s="630"/>
      <c r="N245" s="630"/>
      <c r="O245" s="630"/>
      <c r="P245" s="630"/>
      <c r="Q245" s="630"/>
      <c r="R245" s="598">
        <f t="shared" si="1"/>
        <v>3</v>
      </c>
      <c r="S245" s="631">
        <f t="shared" si="2"/>
        <v>5.0284948038887027E-4</v>
      </c>
      <c r="T245" s="599">
        <f t="shared" si="3"/>
        <v>375</v>
      </c>
      <c r="U245" s="631">
        <f t="shared" si="4"/>
        <v>4.5970135348337166E-4</v>
      </c>
      <c r="V245" s="621"/>
      <c r="W245" s="624"/>
      <c r="X245" s="543"/>
      <c r="Y245" s="604"/>
    </row>
    <row r="246" spans="1:25" s="544" customFormat="1" x14ac:dyDescent="0.3">
      <c r="A246" s="555"/>
      <c r="B246" s="598" t="s">
        <v>157</v>
      </c>
      <c r="C246" s="630"/>
      <c r="D246" s="630"/>
      <c r="E246" s="630"/>
      <c r="F246" s="556"/>
      <c r="G246" s="631"/>
      <c r="H246" s="630"/>
      <c r="I246" s="630"/>
      <c r="J246" s="630"/>
      <c r="K246" s="630"/>
      <c r="L246" s="630"/>
      <c r="M246" s="630"/>
      <c r="N246" s="630"/>
      <c r="O246" s="630"/>
      <c r="P246" s="630"/>
      <c r="Q246" s="630"/>
      <c r="R246" s="598">
        <f t="shared" si="1"/>
        <v>2</v>
      </c>
      <c r="S246" s="631">
        <f t="shared" si="2"/>
        <v>3.3523298692591353E-4</v>
      </c>
      <c r="T246" s="599">
        <f t="shared" si="3"/>
        <v>232</v>
      </c>
      <c r="U246" s="631">
        <f t="shared" si="4"/>
        <v>2.8440190402171262E-4</v>
      </c>
      <c r="V246" s="621"/>
      <c r="W246" s="624"/>
      <c r="X246" s="543"/>
    </row>
    <row r="247" spans="1:25" s="544" customFormat="1" x14ac:dyDescent="0.3">
      <c r="A247" s="555"/>
      <c r="B247" s="598" t="s">
        <v>158</v>
      </c>
      <c r="C247" s="630"/>
      <c r="D247" s="630"/>
      <c r="E247" s="630"/>
      <c r="F247" s="556"/>
      <c r="G247" s="631"/>
      <c r="H247" s="630"/>
      <c r="I247" s="630"/>
      <c r="J247" s="630"/>
      <c r="K247" s="630"/>
      <c r="L247" s="630"/>
      <c r="M247" s="630"/>
      <c r="N247" s="630"/>
      <c r="O247" s="630"/>
      <c r="P247" s="630"/>
      <c r="Q247" s="630"/>
      <c r="R247" s="598">
        <f t="shared" si="1"/>
        <v>0</v>
      </c>
      <c r="S247" s="631">
        <f t="shared" si="2"/>
        <v>0</v>
      </c>
      <c r="T247" s="599">
        <f t="shared" si="3"/>
        <v>0</v>
      </c>
      <c r="U247" s="631">
        <f t="shared" si="4"/>
        <v>0</v>
      </c>
      <c r="V247" s="621"/>
      <c r="W247" s="624"/>
      <c r="X247" s="543"/>
      <c r="Y247" s="604"/>
    </row>
    <row r="248" spans="1:25" s="544" customFormat="1" x14ac:dyDescent="0.3">
      <c r="A248" s="555"/>
      <c r="B248" s="598" t="s">
        <v>159</v>
      </c>
      <c r="C248" s="630"/>
      <c r="D248" s="630"/>
      <c r="E248" s="630"/>
      <c r="F248" s="556"/>
      <c r="G248" s="631"/>
      <c r="H248" s="630"/>
      <c r="I248" s="630"/>
      <c r="J248" s="630"/>
      <c r="K248" s="630"/>
      <c r="L248" s="630"/>
      <c r="M248" s="630"/>
      <c r="N248" s="630"/>
      <c r="O248" s="630"/>
      <c r="P248" s="630"/>
      <c r="Q248" s="630"/>
      <c r="R248" s="598">
        <f t="shared" si="1"/>
        <v>6</v>
      </c>
      <c r="S248" s="631">
        <f t="shared" si="2"/>
        <v>1.0056989607777405E-3</v>
      </c>
      <c r="T248" s="599">
        <f t="shared" si="3"/>
        <v>745</v>
      </c>
      <c r="U248" s="631">
        <f t="shared" si="4"/>
        <v>9.1327335558696507E-4</v>
      </c>
      <c r="V248" s="621"/>
      <c r="W248" s="624"/>
      <c r="X248" s="543"/>
    </row>
    <row r="249" spans="1:25" s="544" customFormat="1" x14ac:dyDescent="0.3">
      <c r="A249" s="555"/>
      <c r="B249" s="598" t="s">
        <v>160</v>
      </c>
      <c r="C249" s="630"/>
      <c r="D249" s="630"/>
      <c r="E249" s="630"/>
      <c r="F249" s="556"/>
      <c r="G249" s="631"/>
      <c r="H249" s="630"/>
      <c r="I249" s="630"/>
      <c r="J249" s="630"/>
      <c r="K249" s="630"/>
      <c r="L249" s="630"/>
      <c r="M249" s="630"/>
      <c r="N249" s="630"/>
      <c r="O249" s="630"/>
      <c r="P249" s="630"/>
      <c r="Q249" s="630"/>
      <c r="R249" s="600">
        <f t="shared" si="1"/>
        <v>2</v>
      </c>
      <c r="S249" s="628">
        <f t="shared" si="2"/>
        <v>3.3523298692591353E-4</v>
      </c>
      <c r="T249" s="601">
        <f t="shared" si="3"/>
        <v>318</v>
      </c>
      <c r="U249" s="628">
        <f t="shared" si="4"/>
        <v>3.8982674775389918E-4</v>
      </c>
      <c r="V249" s="621"/>
      <c r="W249" s="624"/>
      <c r="X249" s="543"/>
      <c r="Y249" s="604"/>
    </row>
    <row r="250" spans="1:25" s="544" customFormat="1" x14ac:dyDescent="0.3">
      <c r="A250" s="555"/>
      <c r="B250" s="598"/>
      <c r="C250" s="630"/>
      <c r="D250" s="630"/>
      <c r="E250" s="630"/>
      <c r="F250" s="556"/>
      <c r="G250" s="631"/>
      <c r="H250" s="630"/>
      <c r="I250" s="630"/>
      <c r="J250" s="630"/>
      <c r="K250" s="630"/>
      <c r="L250" s="630"/>
      <c r="M250" s="630"/>
      <c r="N250" s="630"/>
      <c r="O250" s="630"/>
      <c r="P250" s="630"/>
      <c r="Q250" s="630"/>
      <c r="R250" s="598"/>
      <c r="S250" s="631"/>
      <c r="T250" s="599"/>
      <c r="U250" s="631"/>
      <c r="V250" s="621"/>
      <c r="W250" s="624"/>
      <c r="X250" s="543"/>
    </row>
    <row r="251" spans="1:25" s="544" customFormat="1" x14ac:dyDescent="0.3">
      <c r="A251" s="555"/>
      <c r="B251" s="556"/>
      <c r="C251" s="556"/>
      <c r="D251" s="556"/>
      <c r="E251" s="556"/>
      <c r="F251" s="556"/>
      <c r="G251" s="556"/>
      <c r="H251" s="632"/>
      <c r="I251" s="632"/>
      <c r="J251" s="632"/>
      <c r="K251" s="632"/>
      <c r="L251" s="632"/>
      <c r="M251" s="632"/>
      <c r="N251" s="632"/>
      <c r="O251" s="632"/>
      <c r="P251" s="632"/>
      <c r="Q251" s="632"/>
      <c r="R251" s="598">
        <f>SUM(R242:R250)</f>
        <v>5966</v>
      </c>
      <c r="S251" s="631">
        <f>SUM(S242:S250)</f>
        <v>1</v>
      </c>
      <c r="T251" s="599">
        <f>SUM(T242:T250)</f>
        <v>815747</v>
      </c>
      <c r="U251" s="631">
        <f>SUM(U242:U250)</f>
        <v>0.99999999999999989</v>
      </c>
      <c r="V251" s="556"/>
      <c r="W251" s="558"/>
      <c r="X251" s="543"/>
    </row>
    <row r="252" spans="1:25" x14ac:dyDescent="0.3">
      <c r="A252" s="417"/>
      <c r="B252" s="441"/>
      <c r="C252" s="441"/>
      <c r="D252" s="441"/>
      <c r="E252" s="441"/>
      <c r="F252" s="441"/>
      <c r="G252" s="441"/>
      <c r="H252" s="485"/>
      <c r="I252" s="485"/>
      <c r="J252" s="485"/>
      <c r="K252" s="485"/>
      <c r="L252" s="485"/>
      <c r="M252" s="485"/>
      <c r="N252" s="485"/>
      <c r="O252" s="485"/>
      <c r="P252" s="485"/>
      <c r="Q252" s="485"/>
      <c r="R252" s="442"/>
      <c r="S252" s="486"/>
      <c r="T252" s="487"/>
      <c r="U252" s="486"/>
      <c r="V252" s="441"/>
      <c r="W252" s="441"/>
      <c r="X252" s="415"/>
    </row>
    <row r="253" spans="1:25" x14ac:dyDescent="0.3">
      <c r="A253" s="515"/>
      <c r="B253" s="523" t="s">
        <v>162</v>
      </c>
      <c r="C253" s="524"/>
      <c r="D253" s="524"/>
      <c r="E253" s="524"/>
      <c r="F253" s="534"/>
      <c r="G253" s="524"/>
      <c r="H253" s="524"/>
      <c r="I253" s="524"/>
      <c r="J253" s="524"/>
      <c r="K253" s="524"/>
      <c r="L253" s="524"/>
      <c r="M253" s="524"/>
      <c r="N253" s="524"/>
      <c r="O253" s="524"/>
      <c r="P253" s="524"/>
      <c r="Q253" s="524"/>
      <c r="R253" s="534" t="s">
        <v>102</v>
      </c>
      <c r="S253" s="524" t="s">
        <v>103</v>
      </c>
      <c r="T253" s="534" t="s">
        <v>109</v>
      </c>
      <c r="U253" s="524" t="s">
        <v>103</v>
      </c>
      <c r="V253" s="517"/>
      <c r="W253" s="535"/>
      <c r="X253" s="415"/>
    </row>
    <row r="254" spans="1:25" s="544" customFormat="1" x14ac:dyDescent="0.3">
      <c r="A254" s="540"/>
      <c r="B254" s="600" t="s">
        <v>88</v>
      </c>
      <c r="C254" s="627"/>
      <c r="D254" s="627"/>
      <c r="E254" s="627"/>
      <c r="F254" s="588"/>
      <c r="G254" s="627"/>
      <c r="H254" s="627"/>
      <c r="I254" s="627"/>
      <c r="J254" s="627"/>
      <c r="K254" s="627"/>
      <c r="L254" s="627"/>
      <c r="M254" s="627"/>
      <c r="N254" s="627"/>
      <c r="O254" s="627"/>
      <c r="P254" s="627"/>
      <c r="Q254" s="627"/>
      <c r="R254" s="600">
        <v>5845</v>
      </c>
      <c r="S254" s="628">
        <f t="shared" ref="S254:S261" si="5">R254/$R$263</f>
        <v>0.99863317956603448</v>
      </c>
      <c r="T254" s="601">
        <v>798634</v>
      </c>
      <c r="U254" s="628">
        <f t="shared" ref="U254:U261" si="6">T254/$T$263</f>
        <v>0.99874068488234091</v>
      </c>
      <c r="V254" s="616"/>
      <c r="W254" s="629"/>
      <c r="X254" s="543"/>
    </row>
    <row r="255" spans="1:25" s="544" customFormat="1" x14ac:dyDescent="0.3">
      <c r="A255" s="555"/>
      <c r="B255" s="598" t="s">
        <v>89</v>
      </c>
      <c r="C255" s="630"/>
      <c r="D255" s="630"/>
      <c r="E255" s="630"/>
      <c r="F255" s="556"/>
      <c r="G255" s="631"/>
      <c r="H255" s="630"/>
      <c r="I255" s="630"/>
      <c r="J255" s="630"/>
      <c r="K255" s="630"/>
      <c r="L255" s="630"/>
      <c r="M255" s="630"/>
      <c r="N255" s="630"/>
      <c r="O255" s="630"/>
      <c r="P255" s="630"/>
      <c r="Q255" s="630"/>
      <c r="R255" s="598">
        <v>4</v>
      </c>
      <c r="S255" s="631">
        <f t="shared" si="5"/>
        <v>6.8341021698274391E-4</v>
      </c>
      <c r="T255" s="599">
        <v>544</v>
      </c>
      <c r="U255" s="631">
        <f t="shared" si="6"/>
        <v>6.8030528699754018E-4</v>
      </c>
      <c r="V255" s="621"/>
      <c r="W255" s="624"/>
      <c r="X255" s="543"/>
      <c r="Y255" s="604"/>
    </row>
    <row r="256" spans="1:25" s="544" customFormat="1" x14ac:dyDescent="0.3">
      <c r="A256" s="555"/>
      <c r="B256" s="598" t="s">
        <v>90</v>
      </c>
      <c r="C256" s="630"/>
      <c r="D256" s="630"/>
      <c r="E256" s="630"/>
      <c r="F256" s="556"/>
      <c r="G256" s="631"/>
      <c r="H256" s="630"/>
      <c r="I256" s="630"/>
      <c r="J256" s="630"/>
      <c r="K256" s="630"/>
      <c r="L256" s="630"/>
      <c r="M256" s="630"/>
      <c r="N256" s="630"/>
      <c r="O256" s="630"/>
      <c r="P256" s="630"/>
      <c r="Q256" s="630"/>
      <c r="R256" s="598">
        <v>1</v>
      </c>
      <c r="S256" s="631">
        <f t="shared" si="5"/>
        <v>1.7085255424568598E-4</v>
      </c>
      <c r="T256" s="599">
        <v>136</v>
      </c>
      <c r="U256" s="631">
        <f t="shared" si="6"/>
        <v>1.7007632174938505E-4</v>
      </c>
      <c r="V256" s="621"/>
      <c r="W256" s="624"/>
      <c r="X256" s="543"/>
    </row>
    <row r="257" spans="1:25" s="544" customFormat="1" x14ac:dyDescent="0.3">
      <c r="A257" s="555"/>
      <c r="B257" s="598" t="s">
        <v>156</v>
      </c>
      <c r="C257" s="630"/>
      <c r="D257" s="630"/>
      <c r="E257" s="630"/>
      <c r="F257" s="556"/>
      <c r="G257" s="631"/>
      <c r="H257" s="630"/>
      <c r="I257" s="630"/>
      <c r="J257" s="630"/>
      <c r="K257" s="630"/>
      <c r="L257" s="630"/>
      <c r="M257" s="630"/>
      <c r="N257" s="630"/>
      <c r="O257" s="630"/>
      <c r="P257" s="630"/>
      <c r="Q257" s="630"/>
      <c r="R257" s="598">
        <v>2</v>
      </c>
      <c r="S257" s="631">
        <f t="shared" si="5"/>
        <v>3.4170510849137196E-4</v>
      </c>
      <c r="T257" s="599">
        <v>250</v>
      </c>
      <c r="U257" s="631">
        <f t="shared" si="6"/>
        <v>3.1264029733342837E-4</v>
      </c>
      <c r="V257" s="621"/>
      <c r="W257" s="624"/>
      <c r="X257" s="543"/>
      <c r="Y257" s="604"/>
    </row>
    <row r="258" spans="1:25" s="544" customFormat="1" x14ac:dyDescent="0.3">
      <c r="A258" s="555"/>
      <c r="B258" s="598" t="s">
        <v>157</v>
      </c>
      <c r="C258" s="630"/>
      <c r="D258" s="630"/>
      <c r="E258" s="630"/>
      <c r="F258" s="556"/>
      <c r="G258" s="631"/>
      <c r="H258" s="630"/>
      <c r="I258" s="630"/>
      <c r="J258" s="630"/>
      <c r="K258" s="630"/>
      <c r="L258" s="630"/>
      <c r="M258" s="630"/>
      <c r="N258" s="630"/>
      <c r="O258" s="630"/>
      <c r="P258" s="630"/>
      <c r="Q258" s="630"/>
      <c r="R258" s="598">
        <v>1</v>
      </c>
      <c r="S258" s="631">
        <f t="shared" si="5"/>
        <v>1.7085255424568598E-4</v>
      </c>
      <c r="T258" s="599">
        <v>77</v>
      </c>
      <c r="U258" s="631">
        <f t="shared" si="6"/>
        <v>9.6293211578695937E-5</v>
      </c>
      <c r="V258" s="621"/>
      <c r="W258" s="624"/>
      <c r="X258" s="543"/>
    </row>
    <row r="259" spans="1:25" s="544" customFormat="1" x14ac:dyDescent="0.3">
      <c r="A259" s="555"/>
      <c r="B259" s="598" t="s">
        <v>158</v>
      </c>
      <c r="C259" s="630"/>
      <c r="D259" s="630"/>
      <c r="E259" s="630"/>
      <c r="F259" s="556"/>
      <c r="G259" s="631"/>
      <c r="H259" s="630"/>
      <c r="I259" s="630"/>
      <c r="J259" s="630"/>
      <c r="K259" s="630"/>
      <c r="L259" s="630"/>
      <c r="M259" s="630"/>
      <c r="N259" s="630"/>
      <c r="O259" s="630"/>
      <c r="P259" s="630"/>
      <c r="Q259" s="630"/>
      <c r="R259" s="598">
        <v>0</v>
      </c>
      <c r="S259" s="631">
        <f t="shared" si="5"/>
        <v>0</v>
      </c>
      <c r="T259" s="599">
        <v>0</v>
      </c>
      <c r="U259" s="631">
        <f t="shared" si="6"/>
        <v>0</v>
      </c>
      <c r="V259" s="621"/>
      <c r="W259" s="624"/>
      <c r="X259" s="543"/>
      <c r="Y259" s="604"/>
    </row>
    <row r="260" spans="1:25" s="544" customFormat="1" x14ac:dyDescent="0.3">
      <c r="A260" s="555"/>
      <c r="B260" s="598" t="s">
        <v>159</v>
      </c>
      <c r="C260" s="630"/>
      <c r="D260" s="630"/>
      <c r="E260" s="630"/>
      <c r="F260" s="556"/>
      <c r="G260" s="631"/>
      <c r="H260" s="630"/>
      <c r="I260" s="630"/>
      <c r="J260" s="630"/>
      <c r="K260" s="630"/>
      <c r="L260" s="630"/>
      <c r="M260" s="630"/>
      <c r="N260" s="630"/>
      <c r="O260" s="630"/>
      <c r="P260" s="630"/>
      <c r="Q260" s="630"/>
      <c r="R260" s="598">
        <v>0</v>
      </c>
      <c r="S260" s="631">
        <f t="shared" si="5"/>
        <v>0</v>
      </c>
      <c r="T260" s="599">
        <v>0</v>
      </c>
      <c r="U260" s="631">
        <f t="shared" si="6"/>
        <v>0</v>
      </c>
      <c r="V260" s="621"/>
      <c r="W260" s="624"/>
      <c r="X260" s="543"/>
    </row>
    <row r="261" spans="1:25" s="544" customFormat="1" x14ac:dyDescent="0.3">
      <c r="A261" s="555"/>
      <c r="B261" s="598" t="s">
        <v>160</v>
      </c>
      <c r="C261" s="630"/>
      <c r="D261" s="630"/>
      <c r="E261" s="630"/>
      <c r="F261" s="556"/>
      <c r="G261" s="631"/>
      <c r="H261" s="630"/>
      <c r="I261" s="630"/>
      <c r="J261" s="630"/>
      <c r="K261" s="630"/>
      <c r="L261" s="630"/>
      <c r="M261" s="630"/>
      <c r="N261" s="630"/>
      <c r="O261" s="630"/>
      <c r="P261" s="630"/>
      <c r="Q261" s="630"/>
      <c r="R261" s="598">
        <v>0</v>
      </c>
      <c r="S261" s="631">
        <f t="shared" si="5"/>
        <v>0</v>
      </c>
      <c r="T261" s="599">
        <v>0</v>
      </c>
      <c r="U261" s="631">
        <f t="shared" si="6"/>
        <v>0</v>
      </c>
      <c r="V261" s="621"/>
      <c r="W261" s="624"/>
      <c r="X261" s="543"/>
      <c r="Y261" s="604"/>
    </row>
    <row r="262" spans="1:25" s="544" customFormat="1" x14ac:dyDescent="0.3">
      <c r="A262" s="555"/>
      <c r="B262" s="598"/>
      <c r="C262" s="630"/>
      <c r="D262" s="630"/>
      <c r="E262" s="630"/>
      <c r="F262" s="556"/>
      <c r="G262" s="631"/>
      <c r="H262" s="630"/>
      <c r="I262" s="630"/>
      <c r="J262" s="630"/>
      <c r="K262" s="630"/>
      <c r="L262" s="630"/>
      <c r="M262" s="630"/>
      <c r="N262" s="630"/>
      <c r="O262" s="630"/>
      <c r="P262" s="630"/>
      <c r="Q262" s="630"/>
      <c r="R262" s="598"/>
      <c r="S262" s="631"/>
      <c r="T262" s="599"/>
      <c r="U262" s="631"/>
      <c r="V262" s="621"/>
      <c r="W262" s="624"/>
      <c r="X262" s="543"/>
    </row>
    <row r="263" spans="1:25" s="544" customFormat="1" x14ac:dyDescent="0.3">
      <c r="A263" s="555"/>
      <c r="B263" s="556"/>
      <c r="C263" s="556"/>
      <c r="D263" s="556"/>
      <c r="E263" s="556"/>
      <c r="F263" s="556"/>
      <c r="G263" s="556"/>
      <c r="H263" s="632"/>
      <c r="I263" s="632"/>
      <c r="J263" s="632"/>
      <c r="K263" s="632"/>
      <c r="L263" s="632"/>
      <c r="M263" s="632"/>
      <c r="N263" s="632"/>
      <c r="O263" s="632"/>
      <c r="P263" s="632"/>
      <c r="Q263" s="632"/>
      <c r="R263" s="598">
        <f>SUM(R254:R262)</f>
        <v>5853</v>
      </c>
      <c r="S263" s="631">
        <f>SUM(S254:S262)</f>
        <v>0.99999999999999989</v>
      </c>
      <c r="T263" s="599">
        <f>SUM(T254:T262)</f>
        <v>799641</v>
      </c>
      <c r="U263" s="631">
        <f>SUM(U254:U262)</f>
        <v>1</v>
      </c>
      <c r="V263" s="556"/>
      <c r="W263" s="558"/>
      <c r="X263" s="543"/>
    </row>
    <row r="264" spans="1:25" x14ac:dyDescent="0.3">
      <c r="A264" s="417"/>
      <c r="B264" s="441"/>
      <c r="C264" s="441"/>
      <c r="D264" s="441"/>
      <c r="E264" s="441"/>
      <c r="F264" s="441"/>
      <c r="G264" s="441"/>
      <c r="H264" s="485"/>
      <c r="I264" s="485"/>
      <c r="J264" s="485"/>
      <c r="K264" s="485"/>
      <c r="L264" s="485"/>
      <c r="M264" s="485"/>
      <c r="N264" s="485"/>
      <c r="O264" s="485"/>
      <c r="P264" s="485"/>
      <c r="Q264" s="485"/>
      <c r="R264" s="442"/>
      <c r="S264" s="486"/>
      <c r="T264" s="487"/>
      <c r="U264" s="486"/>
      <c r="V264" s="441"/>
      <c r="W264" s="441"/>
      <c r="X264" s="415"/>
    </row>
    <row r="265" spans="1:25" x14ac:dyDescent="0.3">
      <c r="A265" s="515"/>
      <c r="B265" s="523" t="s">
        <v>275</v>
      </c>
      <c r="C265" s="524"/>
      <c r="D265" s="524"/>
      <c r="E265" s="524"/>
      <c r="F265" s="534"/>
      <c r="G265" s="524"/>
      <c r="H265" s="524"/>
      <c r="I265" s="524"/>
      <c r="J265" s="524"/>
      <c r="K265" s="524"/>
      <c r="L265" s="524"/>
      <c r="M265" s="524"/>
      <c r="N265" s="524"/>
      <c r="O265" s="524"/>
      <c r="P265" s="524"/>
      <c r="Q265" s="524"/>
      <c r="R265" s="534" t="s">
        <v>102</v>
      </c>
      <c r="S265" s="524" t="s">
        <v>103</v>
      </c>
      <c r="T265" s="534" t="s">
        <v>109</v>
      </c>
      <c r="U265" s="524" t="s">
        <v>103</v>
      </c>
      <c r="V265" s="517"/>
      <c r="W265" s="520"/>
      <c r="X265" s="415"/>
    </row>
    <row r="266" spans="1:25" s="544" customFormat="1" x14ac:dyDescent="0.3">
      <c r="A266" s="540"/>
      <c r="B266" s="600" t="s">
        <v>88</v>
      </c>
      <c r="C266" s="627"/>
      <c r="D266" s="627"/>
      <c r="E266" s="627"/>
      <c r="F266" s="588"/>
      <c r="G266" s="627"/>
      <c r="H266" s="627"/>
      <c r="I266" s="627"/>
      <c r="J266" s="627"/>
      <c r="K266" s="627"/>
      <c r="L266" s="627"/>
      <c r="M266" s="627"/>
      <c r="N266" s="627"/>
      <c r="O266" s="627"/>
      <c r="P266" s="627"/>
      <c r="Q266" s="627"/>
      <c r="R266" s="600">
        <v>102</v>
      </c>
      <c r="S266" s="628">
        <f t="shared" ref="S266:S273" si="7">R266/$R$275</f>
        <v>0.90265486725663713</v>
      </c>
      <c r="T266" s="601">
        <v>14673</v>
      </c>
      <c r="U266" s="628">
        <f t="shared" ref="U266:U273" si="8">T266/$T$275</f>
        <v>0.91102694647957283</v>
      </c>
      <c r="V266" s="588"/>
      <c r="W266" s="588"/>
      <c r="X266" s="543"/>
    </row>
    <row r="267" spans="1:25" s="544" customFormat="1" x14ac:dyDescent="0.3">
      <c r="A267" s="555"/>
      <c r="B267" s="598" t="s">
        <v>89</v>
      </c>
      <c r="C267" s="630"/>
      <c r="D267" s="630"/>
      <c r="E267" s="630"/>
      <c r="F267" s="556"/>
      <c r="G267" s="631"/>
      <c r="H267" s="630"/>
      <c r="I267" s="630"/>
      <c r="J267" s="630"/>
      <c r="K267" s="630"/>
      <c r="L267" s="630"/>
      <c r="M267" s="630"/>
      <c r="N267" s="630"/>
      <c r="O267" s="630"/>
      <c r="P267" s="630"/>
      <c r="Q267" s="630"/>
      <c r="R267" s="598">
        <v>0</v>
      </c>
      <c r="S267" s="631">
        <f t="shared" si="7"/>
        <v>0</v>
      </c>
      <c r="T267" s="599">
        <v>0</v>
      </c>
      <c r="U267" s="631">
        <f t="shared" si="8"/>
        <v>0</v>
      </c>
      <c r="V267" s="556"/>
      <c r="W267" s="558"/>
      <c r="X267" s="543"/>
    </row>
    <row r="268" spans="1:25" s="544" customFormat="1" x14ac:dyDescent="0.3">
      <c r="A268" s="555"/>
      <c r="B268" s="598" t="s">
        <v>90</v>
      </c>
      <c r="C268" s="630"/>
      <c r="D268" s="630"/>
      <c r="E268" s="630"/>
      <c r="F268" s="556"/>
      <c r="G268" s="631"/>
      <c r="H268" s="630"/>
      <c r="I268" s="630"/>
      <c r="J268" s="630"/>
      <c r="K268" s="630"/>
      <c r="L268" s="630"/>
      <c r="M268" s="630"/>
      <c r="N268" s="630"/>
      <c r="O268" s="630"/>
      <c r="P268" s="630"/>
      <c r="Q268" s="630"/>
      <c r="R268" s="598">
        <v>1</v>
      </c>
      <c r="S268" s="631">
        <f t="shared" si="7"/>
        <v>8.8495575221238937E-3</v>
      </c>
      <c r="T268" s="599">
        <v>90</v>
      </c>
      <c r="U268" s="631">
        <f t="shared" si="8"/>
        <v>5.5879796349186635E-3</v>
      </c>
      <c r="V268" s="556"/>
      <c r="W268" s="558"/>
      <c r="X268" s="543"/>
    </row>
    <row r="269" spans="1:25" s="544" customFormat="1" x14ac:dyDescent="0.3">
      <c r="A269" s="555"/>
      <c r="B269" s="598" t="s">
        <v>156</v>
      </c>
      <c r="C269" s="630"/>
      <c r="D269" s="630"/>
      <c r="E269" s="630"/>
      <c r="F269" s="556"/>
      <c r="G269" s="631"/>
      <c r="H269" s="630"/>
      <c r="I269" s="630"/>
      <c r="J269" s="630"/>
      <c r="K269" s="630"/>
      <c r="L269" s="630"/>
      <c r="M269" s="630"/>
      <c r="N269" s="630"/>
      <c r="O269" s="630"/>
      <c r="P269" s="630"/>
      <c r="Q269" s="630"/>
      <c r="R269" s="598">
        <v>1</v>
      </c>
      <c r="S269" s="631">
        <f t="shared" si="7"/>
        <v>8.8495575221238937E-3</v>
      </c>
      <c r="T269" s="599">
        <v>125</v>
      </c>
      <c r="U269" s="631">
        <f t="shared" si="8"/>
        <v>7.7610828262759217E-3</v>
      </c>
      <c r="V269" s="556"/>
      <c r="W269" s="558"/>
      <c r="X269" s="543"/>
    </row>
    <row r="270" spans="1:25" s="544" customFormat="1" x14ac:dyDescent="0.3">
      <c r="A270" s="555"/>
      <c r="B270" s="598" t="s">
        <v>157</v>
      </c>
      <c r="C270" s="630"/>
      <c r="D270" s="630"/>
      <c r="E270" s="630"/>
      <c r="F270" s="556"/>
      <c r="G270" s="631"/>
      <c r="H270" s="630"/>
      <c r="I270" s="630"/>
      <c r="J270" s="630"/>
      <c r="K270" s="630"/>
      <c r="L270" s="630"/>
      <c r="M270" s="630"/>
      <c r="N270" s="630"/>
      <c r="O270" s="630"/>
      <c r="P270" s="630"/>
      <c r="Q270" s="630"/>
      <c r="R270" s="598">
        <v>1</v>
      </c>
      <c r="S270" s="631">
        <f t="shared" si="7"/>
        <v>8.8495575221238937E-3</v>
      </c>
      <c r="T270" s="599">
        <v>155</v>
      </c>
      <c r="U270" s="631">
        <f t="shared" si="8"/>
        <v>9.6237427045821437E-3</v>
      </c>
      <c r="V270" s="556"/>
      <c r="W270" s="558"/>
      <c r="X270" s="543"/>
    </row>
    <row r="271" spans="1:25" s="544" customFormat="1" x14ac:dyDescent="0.3">
      <c r="A271" s="555"/>
      <c r="B271" s="598" t="s">
        <v>158</v>
      </c>
      <c r="C271" s="630"/>
      <c r="D271" s="630"/>
      <c r="E271" s="630"/>
      <c r="F271" s="556"/>
      <c r="G271" s="631"/>
      <c r="H271" s="630"/>
      <c r="I271" s="630"/>
      <c r="J271" s="630"/>
      <c r="K271" s="630"/>
      <c r="L271" s="630"/>
      <c r="M271" s="630"/>
      <c r="N271" s="630"/>
      <c r="O271" s="630"/>
      <c r="P271" s="630"/>
      <c r="Q271" s="630"/>
      <c r="R271" s="598">
        <v>0</v>
      </c>
      <c r="S271" s="631">
        <f t="shared" si="7"/>
        <v>0</v>
      </c>
      <c r="T271" s="599">
        <v>0</v>
      </c>
      <c r="U271" s="631">
        <f t="shared" si="8"/>
        <v>0</v>
      </c>
      <c r="V271" s="556"/>
      <c r="W271" s="558"/>
      <c r="X271" s="543"/>
    </row>
    <row r="272" spans="1:25" s="544" customFormat="1" x14ac:dyDescent="0.3">
      <c r="A272" s="555"/>
      <c r="B272" s="598" t="s">
        <v>159</v>
      </c>
      <c r="C272" s="630"/>
      <c r="D272" s="630"/>
      <c r="E272" s="630"/>
      <c r="F272" s="556"/>
      <c r="G272" s="631"/>
      <c r="H272" s="630"/>
      <c r="I272" s="630"/>
      <c r="J272" s="630"/>
      <c r="K272" s="630"/>
      <c r="L272" s="630"/>
      <c r="M272" s="630"/>
      <c r="N272" s="630"/>
      <c r="O272" s="630"/>
      <c r="P272" s="630"/>
      <c r="Q272" s="630"/>
      <c r="R272" s="598">
        <v>6</v>
      </c>
      <c r="S272" s="631">
        <f t="shared" si="7"/>
        <v>5.3097345132743362E-2</v>
      </c>
      <c r="T272" s="599">
        <v>745</v>
      </c>
      <c r="U272" s="631">
        <f t="shared" si="8"/>
        <v>4.6256053644604493E-2</v>
      </c>
      <c r="V272" s="556"/>
      <c r="W272" s="558"/>
      <c r="X272" s="543"/>
    </row>
    <row r="273" spans="1:24" s="544" customFormat="1" x14ac:dyDescent="0.3">
      <c r="A273" s="555"/>
      <c r="B273" s="598" t="s">
        <v>160</v>
      </c>
      <c r="C273" s="630"/>
      <c r="D273" s="630"/>
      <c r="E273" s="630"/>
      <c r="F273" s="556"/>
      <c r="G273" s="631"/>
      <c r="H273" s="630"/>
      <c r="I273" s="630"/>
      <c r="J273" s="630"/>
      <c r="K273" s="630"/>
      <c r="L273" s="630"/>
      <c r="M273" s="630"/>
      <c r="N273" s="630"/>
      <c r="O273" s="630"/>
      <c r="P273" s="630"/>
      <c r="Q273" s="630"/>
      <c r="R273" s="598">
        <v>2</v>
      </c>
      <c r="S273" s="631">
        <f t="shared" si="7"/>
        <v>1.7699115044247787E-2</v>
      </c>
      <c r="T273" s="599">
        <v>318</v>
      </c>
      <c r="U273" s="631">
        <f t="shared" si="8"/>
        <v>1.9744194710045945E-2</v>
      </c>
      <c r="V273" s="556"/>
      <c r="W273" s="558"/>
      <c r="X273" s="543"/>
    </row>
    <row r="274" spans="1:24" s="544" customFormat="1" x14ac:dyDescent="0.3">
      <c r="A274" s="555"/>
      <c r="B274" s="598"/>
      <c r="C274" s="630"/>
      <c r="D274" s="630"/>
      <c r="E274" s="630"/>
      <c r="F274" s="556"/>
      <c r="G274" s="631"/>
      <c r="H274" s="630"/>
      <c r="I274" s="630"/>
      <c r="J274" s="630"/>
      <c r="K274" s="630"/>
      <c r="L274" s="630"/>
      <c r="M274" s="630"/>
      <c r="N274" s="630"/>
      <c r="O274" s="630"/>
      <c r="P274" s="630"/>
      <c r="Q274" s="630"/>
      <c r="R274" s="598"/>
      <c r="S274" s="631"/>
      <c r="T274" s="599"/>
      <c r="U274" s="631"/>
      <c r="V274" s="556"/>
      <c r="W274" s="558"/>
      <c r="X274" s="543"/>
    </row>
    <row r="275" spans="1:24" s="544" customFormat="1" x14ac:dyDescent="0.3">
      <c r="A275" s="555"/>
      <c r="B275" s="556"/>
      <c r="C275" s="556"/>
      <c r="D275" s="556"/>
      <c r="E275" s="556"/>
      <c r="F275" s="556"/>
      <c r="G275" s="556"/>
      <c r="H275" s="632"/>
      <c r="I275" s="632"/>
      <c r="J275" s="632"/>
      <c r="K275" s="632"/>
      <c r="L275" s="632"/>
      <c r="M275" s="632"/>
      <c r="N275" s="632"/>
      <c r="O275" s="632"/>
      <c r="P275" s="632"/>
      <c r="Q275" s="632"/>
      <c r="R275" s="598">
        <f>SUM(R266:R274)</f>
        <v>113</v>
      </c>
      <c r="S275" s="631">
        <f>SUM(S266:S274)</f>
        <v>1</v>
      </c>
      <c r="T275" s="599">
        <f>SUM(T266:T274)</f>
        <v>16106</v>
      </c>
      <c r="U275" s="631">
        <f>SUM(U266:U274)</f>
        <v>1</v>
      </c>
      <c r="V275" s="556"/>
      <c r="W275" s="558"/>
      <c r="X275" s="543"/>
    </row>
    <row r="276" spans="1:24" x14ac:dyDescent="0.3">
      <c r="A276" s="417"/>
      <c r="B276" s="437"/>
      <c r="C276" s="437"/>
      <c r="D276" s="437"/>
      <c r="E276" s="437"/>
      <c r="F276" s="437"/>
      <c r="G276" s="437"/>
      <c r="H276" s="488"/>
      <c r="I276" s="488"/>
      <c r="J276" s="488"/>
      <c r="K276" s="488"/>
      <c r="L276" s="488"/>
      <c r="M276" s="488"/>
      <c r="N276" s="488"/>
      <c r="O276" s="488"/>
      <c r="P276" s="488"/>
      <c r="Q276" s="488"/>
      <c r="R276" s="447"/>
      <c r="S276" s="483"/>
      <c r="T276" s="484"/>
      <c r="U276" s="483"/>
      <c r="V276" s="437"/>
      <c r="W276" s="437"/>
      <c r="X276" s="415"/>
    </row>
    <row r="277" spans="1:24" x14ac:dyDescent="0.3">
      <c r="A277" s="515"/>
      <c r="B277" s="523" t="s">
        <v>163</v>
      </c>
      <c r="C277" s="517"/>
      <c r="D277" s="517"/>
      <c r="E277" s="517"/>
      <c r="F277" s="517"/>
      <c r="G277" s="517"/>
      <c r="H277" s="536"/>
      <c r="I277" s="536"/>
      <c r="J277" s="536"/>
      <c r="K277" s="536"/>
      <c r="L277" s="536"/>
      <c r="M277" s="536"/>
      <c r="N277" s="536"/>
      <c r="O277" s="536"/>
      <c r="P277" s="536"/>
      <c r="Q277" s="536"/>
      <c r="R277" s="534" t="s">
        <v>102</v>
      </c>
      <c r="S277" s="524" t="s">
        <v>103</v>
      </c>
      <c r="T277" s="534" t="s">
        <v>109</v>
      </c>
      <c r="U277" s="524" t="s">
        <v>103</v>
      </c>
      <c r="V277" s="517"/>
      <c r="W277" s="520"/>
      <c r="X277" s="415"/>
    </row>
    <row r="278" spans="1:24" s="544" customFormat="1" x14ac:dyDescent="0.3">
      <c r="A278" s="540"/>
      <c r="B278" s="600" t="s">
        <v>88</v>
      </c>
      <c r="C278" s="588"/>
      <c r="D278" s="588"/>
      <c r="E278" s="588"/>
      <c r="F278" s="588"/>
      <c r="G278" s="588"/>
      <c r="H278" s="633"/>
      <c r="I278" s="633"/>
      <c r="J278" s="633"/>
      <c r="K278" s="633"/>
      <c r="L278" s="633"/>
      <c r="M278" s="633"/>
      <c r="N278" s="633"/>
      <c r="O278" s="633"/>
      <c r="P278" s="633"/>
      <c r="Q278" s="633"/>
      <c r="R278" s="600">
        <v>0</v>
      </c>
      <c r="S278" s="628">
        <v>0</v>
      </c>
      <c r="T278" s="601">
        <v>0</v>
      </c>
      <c r="U278" s="628">
        <v>0</v>
      </c>
      <c r="V278" s="588"/>
      <c r="W278" s="588"/>
      <c r="X278" s="543"/>
    </row>
    <row r="279" spans="1:24" s="544" customFormat="1" x14ac:dyDescent="0.3">
      <c r="A279" s="555"/>
      <c r="B279" s="598" t="s">
        <v>89</v>
      </c>
      <c r="C279" s="556"/>
      <c r="D279" s="556"/>
      <c r="E279" s="556"/>
      <c r="F279" s="556"/>
      <c r="G279" s="556"/>
      <c r="H279" s="632"/>
      <c r="I279" s="632"/>
      <c r="J279" s="632"/>
      <c r="K279" s="632"/>
      <c r="L279" s="632"/>
      <c r="M279" s="632"/>
      <c r="N279" s="632"/>
      <c r="O279" s="632"/>
      <c r="P279" s="632"/>
      <c r="Q279" s="632"/>
      <c r="R279" s="598">
        <v>0</v>
      </c>
      <c r="S279" s="631">
        <v>0</v>
      </c>
      <c r="T279" s="599">
        <v>0</v>
      </c>
      <c r="U279" s="631">
        <v>0</v>
      </c>
      <c r="V279" s="556"/>
      <c r="W279" s="558"/>
      <c r="X279" s="543"/>
    </row>
    <row r="280" spans="1:24" s="544" customFormat="1" x14ac:dyDescent="0.3">
      <c r="A280" s="555"/>
      <c r="B280" s="598" t="s">
        <v>90</v>
      </c>
      <c r="C280" s="556"/>
      <c r="D280" s="556"/>
      <c r="E280" s="556"/>
      <c r="F280" s="556"/>
      <c r="G280" s="556"/>
      <c r="H280" s="632"/>
      <c r="I280" s="632"/>
      <c r="J280" s="632"/>
      <c r="K280" s="632"/>
      <c r="L280" s="632"/>
      <c r="M280" s="632"/>
      <c r="N280" s="632"/>
      <c r="O280" s="632"/>
      <c r="P280" s="632"/>
      <c r="Q280" s="632"/>
      <c r="R280" s="598">
        <v>0</v>
      </c>
      <c r="S280" s="631">
        <v>0</v>
      </c>
      <c r="T280" s="599">
        <v>0</v>
      </c>
      <c r="U280" s="631">
        <v>0</v>
      </c>
      <c r="V280" s="556"/>
      <c r="W280" s="558"/>
      <c r="X280" s="543"/>
    </row>
    <row r="281" spans="1:24" s="544" customFormat="1" x14ac:dyDescent="0.3">
      <c r="A281" s="555"/>
      <c r="B281" s="598" t="s">
        <v>156</v>
      </c>
      <c r="C281" s="556"/>
      <c r="D281" s="556"/>
      <c r="E281" s="556"/>
      <c r="F281" s="556"/>
      <c r="G281" s="556"/>
      <c r="H281" s="632"/>
      <c r="I281" s="632"/>
      <c r="J281" s="632"/>
      <c r="K281" s="632"/>
      <c r="L281" s="632"/>
      <c r="M281" s="632"/>
      <c r="N281" s="632"/>
      <c r="O281" s="632"/>
      <c r="P281" s="632"/>
      <c r="Q281" s="632"/>
      <c r="R281" s="598">
        <v>0</v>
      </c>
      <c r="S281" s="631">
        <v>0</v>
      </c>
      <c r="T281" s="599">
        <v>0</v>
      </c>
      <c r="U281" s="631">
        <v>0</v>
      </c>
      <c r="V281" s="556"/>
      <c r="W281" s="558"/>
      <c r="X281" s="543"/>
    </row>
    <row r="282" spans="1:24" s="544" customFormat="1" x14ac:dyDescent="0.3">
      <c r="A282" s="555"/>
      <c r="B282" s="598" t="s">
        <v>157</v>
      </c>
      <c r="C282" s="556"/>
      <c r="D282" s="556"/>
      <c r="E282" s="556"/>
      <c r="F282" s="556"/>
      <c r="G282" s="556"/>
      <c r="H282" s="632"/>
      <c r="I282" s="632"/>
      <c r="J282" s="632"/>
      <c r="K282" s="632"/>
      <c r="L282" s="632"/>
      <c r="M282" s="632"/>
      <c r="N282" s="632"/>
      <c r="O282" s="632"/>
      <c r="P282" s="632"/>
      <c r="Q282" s="632"/>
      <c r="R282" s="598">
        <v>0</v>
      </c>
      <c r="S282" s="631">
        <v>0</v>
      </c>
      <c r="T282" s="599">
        <v>0</v>
      </c>
      <c r="U282" s="631">
        <v>0</v>
      </c>
      <c r="V282" s="556"/>
      <c r="W282" s="558"/>
      <c r="X282" s="543"/>
    </row>
    <row r="283" spans="1:24" s="544" customFormat="1" x14ac:dyDescent="0.3">
      <c r="A283" s="555"/>
      <c r="B283" s="598" t="s">
        <v>158</v>
      </c>
      <c r="C283" s="556"/>
      <c r="D283" s="556"/>
      <c r="E283" s="556"/>
      <c r="F283" s="556"/>
      <c r="G283" s="556"/>
      <c r="H283" s="632"/>
      <c r="I283" s="632"/>
      <c r="J283" s="632"/>
      <c r="K283" s="632"/>
      <c r="L283" s="632"/>
      <c r="M283" s="632"/>
      <c r="N283" s="632"/>
      <c r="O283" s="632"/>
      <c r="P283" s="632"/>
      <c r="Q283" s="632"/>
      <c r="R283" s="598">
        <v>0</v>
      </c>
      <c r="S283" s="631">
        <v>0</v>
      </c>
      <c r="T283" s="599">
        <v>0</v>
      </c>
      <c r="U283" s="631">
        <v>0</v>
      </c>
      <c r="V283" s="556"/>
      <c r="W283" s="558"/>
      <c r="X283" s="543"/>
    </row>
    <row r="284" spans="1:24" s="544" customFormat="1" x14ac:dyDescent="0.3">
      <c r="A284" s="555"/>
      <c r="B284" s="598" t="s">
        <v>159</v>
      </c>
      <c r="C284" s="556"/>
      <c r="D284" s="556"/>
      <c r="E284" s="556"/>
      <c r="F284" s="556"/>
      <c r="G284" s="556"/>
      <c r="H284" s="632"/>
      <c r="I284" s="632"/>
      <c r="J284" s="632"/>
      <c r="K284" s="632"/>
      <c r="L284" s="632"/>
      <c r="M284" s="632"/>
      <c r="N284" s="632"/>
      <c r="O284" s="632"/>
      <c r="P284" s="632"/>
      <c r="Q284" s="632"/>
      <c r="R284" s="598">
        <v>0</v>
      </c>
      <c r="S284" s="631">
        <v>0</v>
      </c>
      <c r="T284" s="599">
        <v>0</v>
      </c>
      <c r="U284" s="631">
        <v>0</v>
      </c>
      <c r="V284" s="556"/>
      <c r="W284" s="558"/>
      <c r="X284" s="543"/>
    </row>
    <row r="285" spans="1:24" s="544" customFormat="1" x14ac:dyDescent="0.3">
      <c r="A285" s="555"/>
      <c r="B285" s="598" t="s">
        <v>160</v>
      </c>
      <c r="C285" s="556"/>
      <c r="D285" s="556"/>
      <c r="E285" s="556"/>
      <c r="F285" s="556"/>
      <c r="G285" s="556"/>
      <c r="H285" s="632"/>
      <c r="I285" s="632"/>
      <c r="J285" s="632"/>
      <c r="K285" s="632"/>
      <c r="L285" s="632"/>
      <c r="M285" s="632"/>
      <c r="N285" s="632"/>
      <c r="O285" s="632"/>
      <c r="P285" s="632"/>
      <c r="Q285" s="632"/>
      <c r="R285" s="598">
        <v>0</v>
      </c>
      <c r="S285" s="631">
        <v>0</v>
      </c>
      <c r="T285" s="599">
        <v>0</v>
      </c>
      <c r="U285" s="631">
        <v>0</v>
      </c>
      <c r="V285" s="556"/>
      <c r="W285" s="558"/>
      <c r="X285" s="543"/>
    </row>
    <row r="286" spans="1:24" s="544" customFormat="1" x14ac:dyDescent="0.3">
      <c r="A286" s="555"/>
      <c r="B286" s="598"/>
      <c r="C286" s="556"/>
      <c r="D286" s="556"/>
      <c r="E286" s="556"/>
      <c r="F286" s="556"/>
      <c r="G286" s="556"/>
      <c r="H286" s="632"/>
      <c r="I286" s="632"/>
      <c r="J286" s="632"/>
      <c r="K286" s="632"/>
      <c r="L286" s="632"/>
      <c r="M286" s="632"/>
      <c r="N286" s="632"/>
      <c r="O286" s="632"/>
      <c r="P286" s="632"/>
      <c r="Q286" s="632"/>
      <c r="R286" s="598"/>
      <c r="S286" s="631"/>
      <c r="T286" s="599"/>
      <c r="U286" s="631"/>
      <c r="V286" s="556"/>
      <c r="W286" s="558"/>
      <c r="X286" s="543"/>
    </row>
    <row r="287" spans="1:24" s="544" customFormat="1" x14ac:dyDescent="0.3">
      <c r="A287" s="555"/>
      <c r="B287" s="556" t="s">
        <v>114</v>
      </c>
      <c r="C287" s="556"/>
      <c r="D287" s="556"/>
      <c r="E287" s="556"/>
      <c r="F287" s="556"/>
      <c r="G287" s="556"/>
      <c r="H287" s="632"/>
      <c r="I287" s="632"/>
      <c r="J287" s="632"/>
      <c r="K287" s="632"/>
      <c r="L287" s="632"/>
      <c r="M287" s="632"/>
      <c r="N287" s="632"/>
      <c r="O287" s="632"/>
      <c r="P287" s="632"/>
      <c r="Q287" s="632"/>
      <c r="R287" s="598">
        <f>SUM(R278:R285)</f>
        <v>0</v>
      </c>
      <c r="S287" s="631">
        <f>SUM(S278:S286)</f>
        <v>0</v>
      </c>
      <c r="T287" s="599">
        <f>SUM(T278:T285)</f>
        <v>0</v>
      </c>
      <c r="U287" s="631">
        <f>SUM(U278:U286)</f>
        <v>0</v>
      </c>
      <c r="V287" s="556"/>
      <c r="W287" s="558"/>
      <c r="X287" s="543"/>
    </row>
    <row r="288" spans="1:24" s="544" customFormat="1" x14ac:dyDescent="0.3">
      <c r="A288" s="555"/>
      <c r="B288" s="556"/>
      <c r="C288" s="556"/>
      <c r="D288" s="556"/>
      <c r="E288" s="556"/>
      <c r="F288" s="556"/>
      <c r="G288" s="556"/>
      <c r="H288" s="632"/>
      <c r="I288" s="632"/>
      <c r="J288" s="632"/>
      <c r="K288" s="632"/>
      <c r="L288" s="632"/>
      <c r="M288" s="632"/>
      <c r="N288" s="632"/>
      <c r="O288" s="632"/>
      <c r="P288" s="632"/>
      <c r="Q288" s="632"/>
      <c r="R288" s="598"/>
      <c r="S288" s="631"/>
      <c r="T288" s="599"/>
      <c r="U288" s="631"/>
      <c r="V288" s="556"/>
      <c r="W288" s="558"/>
      <c r="X288" s="543"/>
    </row>
    <row r="289" spans="1:24" s="544" customFormat="1" x14ac:dyDescent="0.3">
      <c r="A289" s="555"/>
      <c r="B289" s="561" t="s">
        <v>164</v>
      </c>
      <c r="C289" s="556"/>
      <c r="D289" s="556"/>
      <c r="E289" s="556"/>
      <c r="F289" s="556"/>
      <c r="G289" s="556"/>
      <c r="H289" s="632"/>
      <c r="I289" s="632"/>
      <c r="J289" s="632"/>
      <c r="K289" s="632"/>
      <c r="L289" s="632"/>
      <c r="M289" s="632"/>
      <c r="N289" s="632"/>
      <c r="O289" s="632"/>
      <c r="P289" s="632"/>
      <c r="Q289" s="632"/>
      <c r="R289" s="634">
        <f>R287+R275+R263</f>
        <v>5966</v>
      </c>
      <c r="S289" s="631"/>
      <c r="T289" s="635">
        <f>+T287+T275+T263</f>
        <v>815747</v>
      </c>
      <c r="U289" s="631"/>
      <c r="V289" s="556"/>
      <c r="W289" s="558"/>
      <c r="X289" s="543"/>
    </row>
    <row r="290" spans="1:24" s="544" customFormat="1" x14ac:dyDescent="0.3">
      <c r="A290" s="540"/>
      <c r="B290" s="588"/>
      <c r="C290" s="588"/>
      <c r="D290" s="588"/>
      <c r="E290" s="588"/>
      <c r="F290" s="588"/>
      <c r="G290" s="588"/>
      <c r="H290" s="633"/>
      <c r="I290" s="633"/>
      <c r="J290" s="633"/>
      <c r="K290" s="633"/>
      <c r="L290" s="633"/>
      <c r="M290" s="633"/>
      <c r="N290" s="633"/>
      <c r="O290" s="633"/>
      <c r="P290" s="633"/>
      <c r="Q290" s="633"/>
      <c r="R290" s="633"/>
      <c r="S290" s="633"/>
      <c r="T290" s="601"/>
      <c r="U290" s="633"/>
      <c r="V290" s="588"/>
      <c r="W290" s="588"/>
      <c r="X290" s="543"/>
    </row>
    <row r="291" spans="1:24" s="544" customFormat="1" x14ac:dyDescent="0.3">
      <c r="A291" s="540"/>
      <c r="B291" s="541"/>
      <c r="C291" s="541"/>
      <c r="D291" s="541"/>
      <c r="E291" s="541"/>
      <c r="F291" s="541"/>
      <c r="G291" s="541"/>
      <c r="H291" s="636"/>
      <c r="I291" s="636"/>
      <c r="J291" s="636"/>
      <c r="K291" s="636"/>
      <c r="L291" s="636"/>
      <c r="M291" s="636"/>
      <c r="N291" s="636"/>
      <c r="O291" s="636"/>
      <c r="P291" s="636"/>
      <c r="Q291" s="636"/>
      <c r="R291" s="636"/>
      <c r="S291" s="636"/>
      <c r="T291" s="637"/>
      <c r="U291" s="636"/>
      <c r="V291" s="541"/>
      <c r="W291" s="541"/>
      <c r="X291" s="543"/>
    </row>
    <row r="292" spans="1:24" s="544" customFormat="1" x14ac:dyDescent="0.3">
      <c r="A292" s="540"/>
      <c r="B292" s="539" t="s">
        <v>91</v>
      </c>
      <c r="C292" s="541"/>
      <c r="D292" s="541"/>
      <c r="E292" s="541"/>
      <c r="F292" s="547" t="s">
        <v>97</v>
      </c>
      <c r="G292" s="541"/>
      <c r="H292" s="539" t="s">
        <v>99</v>
      </c>
      <c r="I292" s="539"/>
      <c r="J292" s="539"/>
      <c r="K292" s="541"/>
      <c r="L292" s="541"/>
      <c r="M292" s="541"/>
      <c r="N292" s="541"/>
      <c r="O292" s="541"/>
      <c r="P292" s="541"/>
      <c r="Q292" s="541"/>
      <c r="R292" s="541"/>
      <c r="S292" s="541"/>
      <c r="T292" s="541"/>
      <c r="U292" s="541"/>
      <c r="V292" s="541"/>
      <c r="W292" s="541"/>
      <c r="X292" s="543"/>
    </row>
    <row r="293" spans="1:24" s="544" customFormat="1" x14ac:dyDescent="0.3">
      <c r="A293" s="540"/>
      <c r="B293" s="539" t="s">
        <v>339</v>
      </c>
      <c r="C293" s="539"/>
      <c r="D293" s="539"/>
      <c r="E293" s="539"/>
      <c r="F293" s="638" t="s">
        <v>278</v>
      </c>
      <c r="G293" s="539"/>
      <c r="H293" s="639" t="s">
        <v>372</v>
      </c>
      <c r="I293" s="541"/>
      <c r="J293" s="539"/>
      <c r="K293" s="541"/>
      <c r="L293" s="541"/>
      <c r="M293" s="541"/>
      <c r="N293" s="541"/>
      <c r="O293" s="541"/>
      <c r="P293" s="541"/>
      <c r="Q293" s="541"/>
      <c r="R293" s="541"/>
      <c r="S293" s="541"/>
      <c r="T293" s="541"/>
      <c r="U293" s="541"/>
      <c r="V293" s="541"/>
      <c r="W293" s="541"/>
      <c r="X293" s="543"/>
    </row>
    <row r="294" spans="1:24" s="544" customFormat="1" x14ac:dyDescent="0.3">
      <c r="A294" s="540"/>
      <c r="B294" s="539" t="s">
        <v>340</v>
      </c>
      <c r="C294" s="539"/>
      <c r="D294" s="539"/>
      <c r="E294" s="539"/>
      <c r="F294" s="638" t="s">
        <v>147</v>
      </c>
      <c r="G294" s="539"/>
      <c r="H294" s="639" t="s">
        <v>373</v>
      </c>
      <c r="I294" s="539"/>
      <c r="J294" s="539"/>
      <c r="K294" s="541"/>
      <c r="L294" s="541"/>
      <c r="M294" s="541"/>
      <c r="N294" s="541"/>
      <c r="O294" s="541"/>
      <c r="P294" s="541"/>
      <c r="Q294" s="541"/>
      <c r="R294" s="541"/>
      <c r="S294" s="541"/>
      <c r="T294" s="541"/>
      <c r="U294" s="541"/>
      <c r="V294" s="541"/>
      <c r="W294" s="541"/>
      <c r="X294" s="543"/>
    </row>
    <row r="295" spans="1:24" s="544" customFormat="1" x14ac:dyDescent="0.3">
      <c r="A295" s="540"/>
      <c r="B295" s="539"/>
      <c r="C295" s="539"/>
      <c r="D295" s="539"/>
      <c r="E295" s="539"/>
      <c r="F295" s="638"/>
      <c r="G295" s="539"/>
      <c r="H295" s="539"/>
      <c r="I295" s="539"/>
      <c r="J295" s="539"/>
      <c r="K295" s="541"/>
      <c r="L295" s="541"/>
      <c r="M295" s="541"/>
      <c r="N295" s="541"/>
      <c r="O295" s="541"/>
      <c r="P295" s="541"/>
      <c r="Q295" s="541"/>
      <c r="R295" s="541"/>
      <c r="S295" s="541"/>
      <c r="T295" s="541"/>
      <c r="U295" s="541"/>
      <c r="V295" s="541"/>
      <c r="W295" s="541"/>
      <c r="X295" s="543"/>
    </row>
    <row r="296" spans="1:24" s="544" customFormat="1" x14ac:dyDescent="0.3">
      <c r="A296" s="540"/>
      <c r="B296" s="588" t="s">
        <v>368</v>
      </c>
      <c r="C296" s="539"/>
      <c r="D296" s="539"/>
      <c r="E296" s="539"/>
      <c r="F296" s="638"/>
      <c r="G296" s="539"/>
      <c r="H296" s="539"/>
      <c r="I296" s="539"/>
      <c r="J296" s="539"/>
      <c r="K296" s="541"/>
      <c r="L296" s="541"/>
      <c r="M296" s="541"/>
      <c r="N296" s="541"/>
      <c r="O296" s="541"/>
      <c r="P296" s="541"/>
      <c r="Q296" s="541"/>
      <c r="R296" s="541"/>
      <c r="S296" s="541"/>
      <c r="T296" s="541"/>
      <c r="U296" s="541"/>
      <c r="V296" s="541"/>
      <c r="W296" s="541"/>
      <c r="X296" s="543"/>
    </row>
    <row r="297" spans="1:24" s="544" customFormat="1" x14ac:dyDescent="0.3">
      <c r="A297" s="540"/>
      <c r="B297" s="588" t="s">
        <v>374</v>
      </c>
      <c r="C297" s="539"/>
      <c r="D297" s="539"/>
      <c r="E297" s="539"/>
      <c r="F297" s="638"/>
      <c r="G297" s="539"/>
      <c r="H297" s="539"/>
      <c r="I297" s="539"/>
      <c r="J297" s="539"/>
      <c r="K297" s="541"/>
      <c r="L297" s="541"/>
      <c r="M297" s="541"/>
      <c r="N297" s="541"/>
      <c r="O297" s="541"/>
      <c r="P297" s="541"/>
      <c r="Q297" s="541"/>
      <c r="R297" s="541"/>
      <c r="S297" s="541"/>
      <c r="T297" s="541"/>
      <c r="U297" s="541"/>
      <c r="V297" s="541"/>
      <c r="W297" s="541"/>
      <c r="X297" s="543"/>
    </row>
    <row r="298" spans="1:24" s="544" customFormat="1" x14ac:dyDescent="0.3">
      <c r="A298" s="540"/>
      <c r="B298" s="588" t="s">
        <v>365</v>
      </c>
      <c r="C298" s="539"/>
      <c r="D298" s="539"/>
      <c r="E298" s="539"/>
      <c r="F298" s="638"/>
      <c r="G298" s="539"/>
      <c r="H298" s="539"/>
      <c r="I298" s="539"/>
      <c r="J298" s="539"/>
      <c r="K298" s="541"/>
      <c r="L298" s="541"/>
      <c r="M298" s="541"/>
      <c r="N298" s="541"/>
      <c r="O298" s="541"/>
      <c r="P298" s="541"/>
      <c r="Q298" s="541"/>
      <c r="R298" s="541"/>
      <c r="S298" s="541"/>
      <c r="T298" s="541"/>
      <c r="U298" s="541"/>
      <c r="V298" s="541"/>
      <c r="W298" s="541"/>
      <c r="X298" s="543"/>
    </row>
    <row r="299" spans="1:24" s="544" customFormat="1" x14ac:dyDescent="0.3">
      <c r="A299" s="540"/>
      <c r="B299" s="588" t="s">
        <v>366</v>
      </c>
      <c r="C299" s="539"/>
      <c r="D299" s="539"/>
      <c r="E299" s="539"/>
      <c r="F299" s="638"/>
      <c r="G299" s="539"/>
      <c r="H299" s="539"/>
      <c r="I299" s="539"/>
      <c r="J299" s="539"/>
      <c r="K299" s="541"/>
      <c r="L299" s="541"/>
      <c r="M299" s="541"/>
      <c r="N299" s="541"/>
      <c r="O299" s="541"/>
      <c r="P299" s="541"/>
      <c r="Q299" s="541"/>
      <c r="R299" s="541"/>
      <c r="S299" s="541"/>
      <c r="T299" s="541"/>
      <c r="U299" s="541"/>
      <c r="V299" s="541"/>
      <c r="W299" s="541"/>
      <c r="X299" s="543"/>
    </row>
    <row r="300" spans="1:24" x14ac:dyDescent="0.3">
      <c r="A300" s="417"/>
      <c r="B300" s="426"/>
      <c r="C300" s="426"/>
      <c r="D300" s="426"/>
      <c r="E300" s="426"/>
      <c r="F300" s="489"/>
      <c r="G300" s="426"/>
      <c r="H300" s="426"/>
      <c r="I300" s="426"/>
      <c r="J300" s="426"/>
      <c r="K300" s="427"/>
      <c r="L300" s="427"/>
      <c r="M300" s="427"/>
      <c r="N300" s="427"/>
      <c r="O300" s="427"/>
      <c r="P300" s="427"/>
      <c r="Q300" s="427"/>
      <c r="R300" s="427"/>
      <c r="S300" s="427"/>
      <c r="T300" s="427"/>
      <c r="U300" s="427"/>
      <c r="V300" s="427"/>
      <c r="W300" s="427"/>
      <c r="X300" s="415"/>
    </row>
    <row r="301" spans="1:24" ht="18" x14ac:dyDescent="0.35">
      <c r="A301" s="417"/>
      <c r="B301" s="514" t="s">
        <v>369</v>
      </c>
      <c r="C301" s="426"/>
      <c r="D301" s="426"/>
      <c r="E301" s="426"/>
      <c r="F301" s="426"/>
      <c r="G301" s="426"/>
      <c r="H301" s="427"/>
      <c r="I301" s="427"/>
      <c r="J301" s="427"/>
      <c r="K301" s="427"/>
      <c r="L301" s="419"/>
      <c r="M301" s="419"/>
      <c r="N301" s="490"/>
      <c r="O301" s="419"/>
      <c r="P301" s="412" t="s">
        <v>371</v>
      </c>
      <c r="Q301" s="427"/>
      <c r="R301" s="427"/>
      <c r="S301" s="427"/>
      <c r="T301" s="427"/>
      <c r="U301" s="427"/>
      <c r="V301" s="427"/>
      <c r="W301" s="427"/>
      <c r="X301" s="415"/>
    </row>
    <row r="302" spans="1:24" x14ac:dyDescent="0.3">
      <c r="A302" s="417"/>
      <c r="B302" s="426"/>
      <c r="C302" s="426"/>
      <c r="D302" s="426"/>
      <c r="E302" s="426"/>
      <c r="F302" s="426"/>
      <c r="G302" s="426"/>
      <c r="H302" s="427"/>
      <c r="I302" s="427"/>
      <c r="J302" s="427"/>
      <c r="K302" s="427"/>
      <c r="L302" s="427"/>
      <c r="M302" s="427"/>
      <c r="N302" s="427"/>
      <c r="O302" s="427"/>
      <c r="P302" s="427"/>
      <c r="Q302" s="427"/>
      <c r="R302" s="427"/>
      <c r="S302" s="427"/>
      <c r="T302" s="427"/>
      <c r="U302" s="427"/>
      <c r="V302" s="427"/>
      <c r="W302" s="427"/>
      <c r="X302" s="415"/>
    </row>
    <row r="303" spans="1:24" ht="18.600000000000001" thickBot="1" x14ac:dyDescent="0.4">
      <c r="A303" s="417"/>
      <c r="B303" s="640" t="str">
        <f>B203</f>
        <v>PM14 INVESTOR REPORT QUARTER ENDING AUGUST 2018</v>
      </c>
      <c r="C303" s="426"/>
      <c r="D303" s="426"/>
      <c r="E303" s="426"/>
      <c r="F303" s="426"/>
      <c r="G303" s="426"/>
      <c r="H303" s="427"/>
      <c r="I303" s="427"/>
      <c r="J303" s="427"/>
      <c r="K303" s="427"/>
      <c r="L303" s="427"/>
      <c r="M303" s="427"/>
      <c r="N303" s="427"/>
      <c r="O303" s="427"/>
      <c r="P303" s="427"/>
      <c r="Q303" s="427"/>
      <c r="R303" s="427"/>
      <c r="S303" s="427"/>
      <c r="T303" s="427"/>
      <c r="U303" s="427"/>
      <c r="V303" s="427"/>
      <c r="W303" s="427"/>
      <c r="X303" s="415"/>
    </row>
    <row r="304" spans="1:24" x14ac:dyDescent="0.3">
      <c r="A304" s="491"/>
      <c r="B304" s="491"/>
      <c r="C304" s="491"/>
      <c r="D304" s="491"/>
      <c r="E304" s="491"/>
      <c r="F304" s="491"/>
      <c r="G304" s="491"/>
      <c r="H304" s="491"/>
      <c r="I304" s="491"/>
      <c r="J304" s="491"/>
      <c r="K304" s="491"/>
      <c r="L304" s="491"/>
      <c r="M304" s="491"/>
      <c r="N304" s="491"/>
      <c r="O304" s="491"/>
      <c r="P304" s="491"/>
      <c r="Q304" s="491"/>
      <c r="R304" s="491"/>
      <c r="S304" s="491"/>
      <c r="T304" s="491"/>
      <c r="U304" s="491"/>
      <c r="V304" s="491"/>
      <c r="W304" s="491"/>
    </row>
  </sheetData>
  <hyperlinks>
    <hyperlink ref="I9" r:id="rId1" xr:uid="{00000000-0004-0000-2C00-000000000000}"/>
    <hyperlink ref="P239" r:id="rId2" xr:uid="{00000000-0004-0000-2C00-000001000000}"/>
    <hyperlink ref="P301" r:id="rId3" xr:uid="{00000000-0004-0000-2C00-000002000000}"/>
  </hyperlinks>
  <printOptions horizontalCentered="1" verticalCentered="1"/>
  <pageMargins left="0.19685039370078741" right="0.19685039370078741" top="0.27559055118110237" bottom="0.27559055118110237" header="0" footer="0"/>
  <pageSetup scale="37" orientation="landscape" r:id="rId4"/>
  <headerFooter alignWithMargins="0"/>
  <rowBreaks count="3" manualBreakCount="3">
    <brk id="63" max="23" man="1"/>
    <brk id="137" max="14" man="1"/>
    <brk id="203" max="14" man="1"/>
  </rowBreaks>
  <drawing r:id="rId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4"/>
  </sheetPr>
  <dimension ref="A1:IV304"/>
  <sheetViews>
    <sheetView showGridLines="0" showOutlineSymbols="0" zoomScale="70" zoomScaleNormal="70" workbookViewId="0"/>
  </sheetViews>
  <sheetFormatPr defaultColWidth="9.81640625" defaultRowHeight="15.6" x14ac:dyDescent="0.3"/>
  <cols>
    <col min="1" max="1" width="4" style="416" customWidth="1"/>
    <col min="2" max="2" width="71.08984375" style="416" customWidth="1"/>
    <col min="3" max="3" width="2.08984375" style="416" customWidth="1"/>
    <col min="4" max="4" width="19.1796875" style="416" customWidth="1"/>
    <col min="5" max="5" width="2.08984375" style="416" customWidth="1"/>
    <col min="6" max="6" width="25.08984375" style="416" customWidth="1"/>
    <col min="7" max="7" width="2.08984375" style="416" customWidth="1"/>
    <col min="8" max="8" width="16.08984375" style="416" customWidth="1"/>
    <col min="9" max="9" width="2.81640625" style="416" customWidth="1"/>
    <col min="10" max="10" width="16.08984375" style="416" customWidth="1"/>
    <col min="11" max="11" width="2.08984375" style="416" customWidth="1"/>
    <col min="12" max="12" width="17.81640625" style="416" customWidth="1"/>
    <col min="13" max="13" width="2.1796875" style="416" customWidth="1"/>
    <col min="14" max="14" width="14.81640625" style="416" customWidth="1"/>
    <col min="15" max="15" width="2.1796875" style="416" customWidth="1"/>
    <col min="16" max="16" width="15.54296875" style="416" customWidth="1"/>
    <col min="17" max="17" width="2.08984375" style="416" customWidth="1"/>
    <col min="18" max="18" width="15.54296875" style="416" customWidth="1"/>
    <col min="19" max="20" width="12.81640625" style="416" customWidth="1"/>
    <col min="21" max="21" width="7.81640625" style="416" customWidth="1"/>
    <col min="22" max="22" width="14.81640625" style="416" customWidth="1"/>
    <col min="23" max="23" width="11.81640625" style="416" customWidth="1"/>
    <col min="24" max="16384" width="9.81640625" style="416"/>
  </cols>
  <sheetData>
    <row r="1" spans="1:24" ht="21" x14ac:dyDescent="0.4">
      <c r="A1" s="413"/>
      <c r="B1" s="537" t="s">
        <v>244</v>
      </c>
      <c r="C1" s="414"/>
      <c r="D1" s="414"/>
      <c r="E1" s="414"/>
      <c r="F1" s="414"/>
      <c r="G1" s="414"/>
      <c r="H1" s="414"/>
      <c r="I1" s="414"/>
      <c r="J1" s="414"/>
      <c r="K1" s="414"/>
      <c r="L1" s="414"/>
      <c r="M1" s="414"/>
      <c r="N1" s="414"/>
      <c r="O1" s="414"/>
      <c r="P1" s="414"/>
      <c r="Q1" s="414"/>
      <c r="R1" s="414"/>
      <c r="S1" s="414"/>
      <c r="T1" s="414"/>
      <c r="U1" s="414"/>
      <c r="V1" s="414"/>
      <c r="W1" s="414"/>
      <c r="X1" s="415"/>
    </row>
    <row r="2" spans="1:24" x14ac:dyDescent="0.3">
      <c r="A2" s="417"/>
      <c r="B2" s="418"/>
      <c r="C2" s="419"/>
      <c r="D2" s="419"/>
      <c r="E2" s="419"/>
      <c r="F2" s="419"/>
      <c r="G2" s="419"/>
      <c r="H2" s="419"/>
      <c r="I2" s="419"/>
      <c r="J2" s="419"/>
      <c r="K2" s="419"/>
      <c r="L2" s="419"/>
      <c r="M2" s="419"/>
      <c r="N2" s="419"/>
      <c r="O2" s="419"/>
      <c r="P2" s="419"/>
      <c r="Q2" s="419"/>
      <c r="R2" s="419"/>
      <c r="S2" s="419"/>
      <c r="T2" s="419"/>
      <c r="U2" s="419"/>
      <c r="V2" s="419"/>
      <c r="W2" s="419"/>
      <c r="X2" s="415"/>
    </row>
    <row r="3" spans="1:24" x14ac:dyDescent="0.3">
      <c r="A3" s="420"/>
      <c r="B3" s="421" t="s">
        <v>245</v>
      </c>
      <c r="C3" s="419"/>
      <c r="D3" s="419"/>
      <c r="E3" s="419"/>
      <c r="F3" s="419"/>
      <c r="G3" s="419"/>
      <c r="H3" s="419"/>
      <c r="I3" s="419"/>
      <c r="J3" s="419"/>
      <c r="K3" s="419"/>
      <c r="L3" s="419"/>
      <c r="M3" s="419"/>
      <c r="N3" s="419"/>
      <c r="O3" s="419"/>
      <c r="P3" s="419"/>
      <c r="Q3" s="419"/>
      <c r="R3" s="419"/>
      <c r="S3" s="419"/>
      <c r="T3" s="419"/>
      <c r="U3" s="419"/>
      <c r="V3" s="419"/>
      <c r="W3" s="419"/>
      <c r="X3" s="415"/>
    </row>
    <row r="4" spans="1:24" x14ac:dyDescent="0.3">
      <c r="A4" s="417"/>
      <c r="B4" s="418"/>
      <c r="C4" s="419"/>
      <c r="D4" s="419"/>
      <c r="E4" s="419"/>
      <c r="F4" s="419"/>
      <c r="G4" s="419"/>
      <c r="H4" s="419"/>
      <c r="I4" s="419"/>
      <c r="J4" s="419"/>
      <c r="K4" s="419"/>
      <c r="L4" s="419"/>
      <c r="M4" s="419"/>
      <c r="N4" s="419"/>
      <c r="O4" s="419"/>
      <c r="P4" s="419"/>
      <c r="Q4" s="419"/>
      <c r="R4" s="419"/>
      <c r="S4" s="419"/>
      <c r="T4" s="419"/>
      <c r="U4" s="419"/>
      <c r="V4" s="419"/>
      <c r="W4" s="419"/>
      <c r="X4" s="415"/>
    </row>
    <row r="5" spans="1:24" x14ac:dyDescent="0.3">
      <c r="A5" s="417"/>
      <c r="B5" s="538" t="s">
        <v>137</v>
      </c>
      <c r="C5" s="419"/>
      <c r="D5" s="419"/>
      <c r="E5" s="419"/>
      <c r="F5" s="419"/>
      <c r="G5" s="419"/>
      <c r="H5" s="419"/>
      <c r="I5" s="419"/>
      <c r="J5" s="419"/>
      <c r="K5" s="419"/>
      <c r="L5" s="419"/>
      <c r="M5" s="419"/>
      <c r="N5" s="419"/>
      <c r="O5" s="419"/>
      <c r="P5" s="419"/>
      <c r="Q5" s="419"/>
      <c r="R5" s="419"/>
      <c r="S5" s="419"/>
      <c r="T5" s="419"/>
      <c r="U5" s="419"/>
      <c r="V5" s="419"/>
      <c r="W5" s="419"/>
      <c r="X5" s="415"/>
    </row>
    <row r="6" spans="1:24" x14ac:dyDescent="0.3">
      <c r="A6" s="417"/>
      <c r="B6" s="538" t="s">
        <v>139</v>
      </c>
      <c r="C6" s="419"/>
      <c r="D6" s="419"/>
      <c r="E6" s="419"/>
      <c r="F6" s="419"/>
      <c r="G6" s="419"/>
      <c r="H6" s="419"/>
      <c r="I6" s="419"/>
      <c r="J6" s="419"/>
      <c r="K6" s="419"/>
      <c r="L6" s="419"/>
      <c r="M6" s="419"/>
      <c r="N6" s="419"/>
      <c r="O6" s="419"/>
      <c r="P6" s="419"/>
      <c r="Q6" s="419"/>
      <c r="R6" s="419"/>
      <c r="S6" s="419"/>
      <c r="T6" s="419"/>
      <c r="U6" s="419"/>
      <c r="V6" s="419"/>
      <c r="W6" s="419"/>
      <c r="X6" s="415"/>
    </row>
    <row r="7" spans="1:24" x14ac:dyDescent="0.3">
      <c r="A7" s="417"/>
      <c r="B7" s="538" t="s">
        <v>138</v>
      </c>
      <c r="C7" s="419"/>
      <c r="D7" s="419"/>
      <c r="E7" s="419"/>
      <c r="F7" s="419"/>
      <c r="G7" s="419"/>
      <c r="H7" s="419"/>
      <c r="I7" s="419"/>
      <c r="J7" s="419"/>
      <c r="K7" s="419"/>
      <c r="L7" s="419"/>
      <c r="M7" s="419"/>
      <c r="N7" s="419"/>
      <c r="O7" s="419"/>
      <c r="P7" s="419"/>
      <c r="Q7" s="419"/>
      <c r="R7" s="419"/>
      <c r="S7" s="419"/>
      <c r="T7" s="419"/>
      <c r="U7" s="419"/>
      <c r="V7" s="419"/>
      <c r="W7" s="419"/>
      <c r="X7" s="415"/>
    </row>
    <row r="8" spans="1:24" x14ac:dyDescent="0.3">
      <c r="A8" s="417"/>
      <c r="B8" s="422"/>
      <c r="C8" s="419"/>
      <c r="D8" s="419"/>
      <c r="E8" s="419"/>
      <c r="F8" s="419"/>
      <c r="G8" s="419"/>
      <c r="H8" s="419"/>
      <c r="I8" s="419"/>
      <c r="J8" s="419"/>
      <c r="K8" s="419"/>
      <c r="L8" s="419"/>
      <c r="M8" s="419"/>
      <c r="N8" s="419"/>
      <c r="O8" s="419"/>
      <c r="P8" s="419"/>
      <c r="Q8" s="419"/>
      <c r="R8" s="419"/>
      <c r="S8" s="419"/>
      <c r="T8" s="419"/>
      <c r="U8" s="419"/>
      <c r="V8" s="419"/>
      <c r="W8" s="419"/>
      <c r="X8" s="415"/>
    </row>
    <row r="9" spans="1:24" ht="18" x14ac:dyDescent="0.35">
      <c r="A9" s="417"/>
      <c r="B9" s="423" t="s">
        <v>166</v>
      </c>
      <c r="C9" s="419"/>
      <c r="D9" s="419"/>
      <c r="E9" s="419"/>
      <c r="F9" s="419"/>
      <c r="G9" s="419"/>
      <c r="H9" s="419"/>
      <c r="I9" s="412" t="s">
        <v>371</v>
      </c>
      <c r="J9" s="419"/>
      <c r="K9" s="419"/>
      <c r="L9" s="424"/>
      <c r="M9" s="419"/>
      <c r="N9" s="424"/>
      <c r="O9" s="419"/>
      <c r="P9" s="419"/>
      <c r="Q9" s="419"/>
      <c r="R9" s="419"/>
      <c r="S9" s="419"/>
      <c r="T9" s="419"/>
      <c r="U9" s="419"/>
      <c r="V9" s="419"/>
      <c r="W9" s="419"/>
      <c r="X9" s="415"/>
    </row>
    <row r="10" spans="1:24" x14ac:dyDescent="0.3">
      <c r="A10" s="417"/>
      <c r="B10" s="422"/>
      <c r="C10" s="425"/>
      <c r="D10" s="425"/>
      <c r="E10" s="425"/>
      <c r="F10" s="419"/>
      <c r="G10" s="419"/>
      <c r="H10" s="419"/>
      <c r="I10" s="419"/>
      <c r="J10" s="419"/>
      <c r="K10" s="419"/>
      <c r="L10" s="419"/>
      <c r="M10" s="419"/>
      <c r="N10" s="419"/>
      <c r="O10" s="419"/>
      <c r="P10" s="419"/>
      <c r="Q10" s="419"/>
      <c r="R10" s="419"/>
      <c r="S10" s="419"/>
      <c r="T10" s="419"/>
      <c r="U10" s="419"/>
      <c r="V10" s="419"/>
      <c r="W10" s="419"/>
      <c r="X10" s="415"/>
    </row>
    <row r="11" spans="1:24" x14ac:dyDescent="0.3">
      <c r="A11" s="417"/>
      <c r="B11" s="539" t="s">
        <v>0</v>
      </c>
      <c r="C11" s="419"/>
      <c r="D11" s="419"/>
      <c r="E11" s="419"/>
      <c r="F11" s="419"/>
      <c r="G11" s="419"/>
      <c r="H11" s="419"/>
      <c r="I11" s="419"/>
      <c r="J11" s="419"/>
      <c r="K11" s="419"/>
      <c r="L11" s="419"/>
      <c r="M11" s="419"/>
      <c r="N11" s="419"/>
      <c r="O11" s="419"/>
      <c r="P11" s="419"/>
      <c r="Q11" s="419"/>
      <c r="R11" s="419"/>
      <c r="S11" s="419"/>
      <c r="T11" s="419"/>
      <c r="U11" s="419"/>
      <c r="V11" s="419"/>
      <c r="W11" s="419"/>
      <c r="X11" s="415"/>
    </row>
    <row r="12" spans="1:24" ht="16.2" thickBot="1" x14ac:dyDescent="0.35">
      <c r="A12" s="417"/>
      <c r="B12" s="425"/>
      <c r="C12" s="419"/>
      <c r="D12" s="419"/>
      <c r="E12" s="419"/>
      <c r="F12" s="419"/>
      <c r="G12" s="419"/>
      <c r="H12" s="419"/>
      <c r="I12" s="419"/>
      <c r="J12" s="419"/>
      <c r="K12" s="419"/>
      <c r="L12" s="419"/>
      <c r="M12" s="419"/>
      <c r="N12" s="419"/>
      <c r="O12" s="419"/>
      <c r="P12" s="419"/>
      <c r="Q12" s="419"/>
      <c r="R12" s="419"/>
      <c r="S12" s="419"/>
      <c r="T12" s="419"/>
      <c r="U12" s="419"/>
      <c r="V12" s="419"/>
      <c r="W12" s="419"/>
      <c r="X12" s="415"/>
    </row>
    <row r="13" spans="1:24" x14ac:dyDescent="0.3">
      <c r="A13" s="413"/>
      <c r="B13" s="414"/>
      <c r="C13" s="414"/>
      <c r="D13" s="414"/>
      <c r="E13" s="414"/>
      <c r="F13" s="414"/>
      <c r="G13" s="414"/>
      <c r="H13" s="414"/>
      <c r="I13" s="414"/>
      <c r="J13" s="414"/>
      <c r="K13" s="414"/>
      <c r="L13" s="414"/>
      <c r="M13" s="414"/>
      <c r="N13" s="414"/>
      <c r="O13" s="414"/>
      <c r="P13" s="414"/>
      <c r="Q13" s="414"/>
      <c r="R13" s="414"/>
      <c r="S13" s="414"/>
      <c r="T13" s="414"/>
      <c r="U13" s="414"/>
      <c r="V13" s="414"/>
      <c r="W13" s="414"/>
      <c r="X13" s="415"/>
    </row>
    <row r="14" spans="1:24" s="544" customFormat="1" x14ac:dyDescent="0.3">
      <c r="A14" s="540"/>
      <c r="B14" s="539" t="s">
        <v>1</v>
      </c>
      <c r="C14" s="541"/>
      <c r="D14" s="541"/>
      <c r="E14" s="541"/>
      <c r="F14" s="541"/>
      <c r="G14" s="541"/>
      <c r="H14" s="541"/>
      <c r="I14" s="541"/>
      <c r="J14" s="541"/>
      <c r="K14" s="541"/>
      <c r="L14" s="541"/>
      <c r="M14" s="541"/>
      <c r="N14" s="541"/>
      <c r="O14" s="541"/>
      <c r="P14" s="541"/>
      <c r="Q14" s="541"/>
      <c r="R14" s="541"/>
      <c r="S14" s="541"/>
      <c r="T14" s="541"/>
      <c r="U14" s="541"/>
      <c r="V14" s="542" t="s">
        <v>246</v>
      </c>
      <c r="W14" s="541"/>
      <c r="X14" s="543"/>
    </row>
    <row r="15" spans="1:24" s="544" customFormat="1" x14ac:dyDescent="0.3">
      <c r="A15" s="540"/>
      <c r="B15" s="539" t="s">
        <v>2</v>
      </c>
      <c r="C15" s="541"/>
      <c r="D15" s="541"/>
      <c r="E15" s="541"/>
      <c r="F15" s="541"/>
      <c r="G15" s="541"/>
      <c r="H15" s="545"/>
      <c r="I15" s="545"/>
      <c r="J15" s="545"/>
      <c r="K15" s="545"/>
      <c r="L15" s="545"/>
      <c r="M15" s="545"/>
      <c r="N15" s="545"/>
      <c r="O15" s="545"/>
      <c r="P15" s="545"/>
      <c r="Q15" s="545"/>
      <c r="R15" s="545" t="s">
        <v>104</v>
      </c>
      <c r="S15" s="546">
        <v>0.38300000000000001</v>
      </c>
      <c r="T15" s="547" t="s">
        <v>140</v>
      </c>
      <c r="U15" s="546">
        <v>0.61699999999999999</v>
      </c>
      <c r="V15" s="542"/>
      <c r="W15" s="541"/>
      <c r="X15" s="543"/>
    </row>
    <row r="16" spans="1:24" s="544" customFormat="1" x14ac:dyDescent="0.3">
      <c r="A16" s="540"/>
      <c r="B16" s="539" t="s">
        <v>3</v>
      </c>
      <c r="C16" s="541"/>
      <c r="D16" s="541"/>
      <c r="E16" s="541"/>
      <c r="F16" s="541"/>
      <c r="G16" s="541"/>
      <c r="H16" s="545"/>
      <c r="I16" s="545"/>
      <c r="J16" s="545"/>
      <c r="K16" s="545"/>
      <c r="L16" s="545"/>
      <c r="M16" s="545"/>
      <c r="N16" s="545"/>
      <c r="O16" s="545"/>
      <c r="P16" s="545"/>
      <c r="Q16" s="545"/>
      <c r="R16" s="545" t="s">
        <v>104</v>
      </c>
      <c r="S16" s="546">
        <v>0.49959999999999999</v>
      </c>
      <c r="T16" s="547" t="s">
        <v>140</v>
      </c>
      <c r="U16" s="546">
        <v>0.50039999999999996</v>
      </c>
      <c r="V16" s="542"/>
      <c r="W16" s="541"/>
      <c r="X16" s="543"/>
    </row>
    <row r="17" spans="1:24" s="544" customFormat="1" x14ac:dyDescent="0.3">
      <c r="A17" s="540"/>
      <c r="B17" s="539" t="s">
        <v>4</v>
      </c>
      <c r="C17" s="541"/>
      <c r="D17" s="541"/>
      <c r="E17" s="541"/>
      <c r="F17" s="541"/>
      <c r="G17" s="541"/>
      <c r="H17" s="541"/>
      <c r="I17" s="541"/>
      <c r="J17" s="541"/>
      <c r="K17" s="541"/>
      <c r="L17" s="541"/>
      <c r="M17" s="541"/>
      <c r="N17" s="541"/>
      <c r="O17" s="541"/>
      <c r="P17" s="541"/>
      <c r="Q17" s="541"/>
      <c r="R17" s="541"/>
      <c r="S17" s="541"/>
      <c r="T17" s="541"/>
      <c r="U17" s="541"/>
      <c r="V17" s="548">
        <v>39163</v>
      </c>
      <c r="W17" s="541"/>
      <c r="X17" s="543"/>
    </row>
    <row r="18" spans="1:24" s="544" customFormat="1" x14ac:dyDescent="0.3">
      <c r="A18" s="540"/>
      <c r="B18" s="539" t="s">
        <v>5</v>
      </c>
      <c r="C18" s="541"/>
      <c r="D18" s="541"/>
      <c r="E18" s="541"/>
      <c r="F18" s="541"/>
      <c r="G18" s="541"/>
      <c r="H18" s="541"/>
      <c r="I18" s="541"/>
      <c r="J18" s="541"/>
      <c r="K18" s="541"/>
      <c r="L18" s="541"/>
      <c r="M18" s="541"/>
      <c r="N18" s="541"/>
      <c r="O18" s="541"/>
      <c r="P18" s="541"/>
      <c r="Q18" s="541"/>
      <c r="R18" s="541"/>
      <c r="S18" s="541"/>
      <c r="T18" s="541"/>
      <c r="U18" s="541"/>
      <c r="V18" s="548">
        <v>43454</v>
      </c>
      <c r="W18" s="541"/>
      <c r="X18" s="543"/>
    </row>
    <row r="19" spans="1:24" s="544" customFormat="1" x14ac:dyDescent="0.3">
      <c r="A19" s="540"/>
      <c r="B19" s="541"/>
      <c r="C19" s="541"/>
      <c r="D19" s="541"/>
      <c r="E19" s="541"/>
      <c r="F19" s="541"/>
      <c r="G19" s="541"/>
      <c r="H19" s="541"/>
      <c r="I19" s="541"/>
      <c r="J19" s="541"/>
      <c r="K19" s="541"/>
      <c r="L19" s="541"/>
      <c r="M19" s="541"/>
      <c r="N19" s="541"/>
      <c r="O19" s="541"/>
      <c r="P19" s="541"/>
      <c r="Q19" s="541"/>
      <c r="R19" s="541"/>
      <c r="S19" s="541"/>
      <c r="T19" s="541"/>
      <c r="U19" s="541"/>
      <c r="V19" s="549"/>
      <c r="W19" s="541"/>
      <c r="X19" s="543"/>
    </row>
    <row r="20" spans="1:24" s="544" customFormat="1" x14ac:dyDescent="0.3">
      <c r="A20" s="540"/>
      <c r="B20" s="550" t="s">
        <v>6</v>
      </c>
      <c r="C20" s="541"/>
      <c r="D20" s="541"/>
      <c r="E20" s="541"/>
      <c r="F20" s="541"/>
      <c r="G20" s="541"/>
      <c r="H20" s="541"/>
      <c r="I20" s="541"/>
      <c r="J20" s="541"/>
      <c r="K20" s="541"/>
      <c r="L20" s="541"/>
      <c r="M20" s="541"/>
      <c r="N20" s="541"/>
      <c r="O20" s="541"/>
      <c r="P20" s="541"/>
      <c r="Q20" s="541"/>
      <c r="R20" s="541"/>
      <c r="S20" s="541"/>
      <c r="T20" s="549" t="s">
        <v>105</v>
      </c>
      <c r="U20" s="541"/>
      <c r="V20" s="541"/>
      <c r="W20" s="541"/>
      <c r="X20" s="543"/>
    </row>
    <row r="21" spans="1:24" x14ac:dyDescent="0.3">
      <c r="A21" s="417"/>
      <c r="B21" s="419"/>
      <c r="C21" s="419"/>
      <c r="D21" s="419"/>
      <c r="E21" s="419"/>
      <c r="F21" s="419"/>
      <c r="G21" s="419"/>
      <c r="H21" s="419"/>
      <c r="I21" s="419"/>
      <c r="J21" s="419"/>
      <c r="K21" s="419"/>
      <c r="L21" s="419"/>
      <c r="M21" s="419"/>
      <c r="N21" s="419"/>
      <c r="O21" s="419"/>
      <c r="P21" s="419"/>
      <c r="Q21" s="419"/>
      <c r="R21" s="419"/>
      <c r="S21" s="419"/>
      <c r="T21" s="419"/>
      <c r="U21" s="419"/>
      <c r="V21" s="430"/>
      <c r="W21" s="419"/>
      <c r="X21" s="415"/>
    </row>
    <row r="22" spans="1:24" x14ac:dyDescent="0.3">
      <c r="A22" s="515"/>
      <c r="B22" s="517"/>
      <c r="C22" s="518"/>
      <c r="D22" s="518" t="s">
        <v>177</v>
      </c>
      <c r="E22" s="518"/>
      <c r="F22" s="518" t="s">
        <v>178</v>
      </c>
      <c r="G22" s="518"/>
      <c r="H22" s="518" t="s">
        <v>179</v>
      </c>
      <c r="I22" s="518"/>
      <c r="J22" s="518" t="s">
        <v>220</v>
      </c>
      <c r="K22" s="518"/>
      <c r="L22" s="518" t="s">
        <v>180</v>
      </c>
      <c r="M22" s="518"/>
      <c r="N22" s="518" t="s">
        <v>181</v>
      </c>
      <c r="O22" s="518"/>
      <c r="P22" s="518" t="s">
        <v>221</v>
      </c>
      <c r="Q22" s="518"/>
      <c r="R22" s="518" t="s">
        <v>182</v>
      </c>
      <c r="S22" s="519"/>
      <c r="T22" s="519"/>
      <c r="U22" s="517"/>
      <c r="V22" s="517"/>
      <c r="W22" s="520"/>
      <c r="X22" s="415"/>
    </row>
    <row r="23" spans="1:24" s="544" customFormat="1" x14ac:dyDescent="0.3">
      <c r="A23" s="551"/>
      <c r="B23" s="552" t="s">
        <v>7</v>
      </c>
      <c r="C23" s="553"/>
      <c r="D23" s="553" t="s">
        <v>213</v>
      </c>
      <c r="E23" s="553"/>
      <c r="F23" s="553" t="s">
        <v>141</v>
      </c>
      <c r="G23" s="553"/>
      <c r="H23" s="553" t="s">
        <v>141</v>
      </c>
      <c r="I23" s="553"/>
      <c r="J23" s="553" t="s">
        <v>141</v>
      </c>
      <c r="K23" s="553"/>
      <c r="L23" s="553" t="s">
        <v>183</v>
      </c>
      <c r="M23" s="553"/>
      <c r="N23" s="553" t="s">
        <v>183</v>
      </c>
      <c r="O23" s="553"/>
      <c r="P23" s="553" t="s">
        <v>142</v>
      </c>
      <c r="Q23" s="553"/>
      <c r="R23" s="553" t="s">
        <v>142</v>
      </c>
      <c r="S23" s="553"/>
      <c r="T23" s="553"/>
      <c r="U23" s="552"/>
      <c r="V23" s="552"/>
      <c r="W23" s="554"/>
      <c r="X23" s="543"/>
    </row>
    <row r="24" spans="1:24" s="544" customFormat="1" x14ac:dyDescent="0.3">
      <c r="A24" s="555"/>
      <c r="B24" s="556" t="s">
        <v>8</v>
      </c>
      <c r="C24" s="557"/>
      <c r="D24" s="557" t="s">
        <v>214</v>
      </c>
      <c r="E24" s="557"/>
      <c r="F24" s="557" t="s">
        <v>143</v>
      </c>
      <c r="G24" s="557"/>
      <c r="H24" s="557" t="s">
        <v>143</v>
      </c>
      <c r="I24" s="557"/>
      <c r="J24" s="557" t="s">
        <v>143</v>
      </c>
      <c r="K24" s="557"/>
      <c r="L24" s="557" t="s">
        <v>165</v>
      </c>
      <c r="M24" s="557"/>
      <c r="N24" s="557" t="s">
        <v>165</v>
      </c>
      <c r="O24" s="557"/>
      <c r="P24" s="557" t="s">
        <v>144</v>
      </c>
      <c r="Q24" s="557"/>
      <c r="R24" s="557" t="s">
        <v>144</v>
      </c>
      <c r="S24" s="557"/>
      <c r="T24" s="557"/>
      <c r="U24" s="556"/>
      <c r="V24" s="556"/>
      <c r="W24" s="558"/>
      <c r="X24" s="543"/>
    </row>
    <row r="25" spans="1:24" s="544" customFormat="1" x14ac:dyDescent="0.3">
      <c r="A25" s="559"/>
      <c r="B25" s="556" t="s">
        <v>190</v>
      </c>
      <c r="C25" s="560"/>
      <c r="D25" s="557" t="s">
        <v>215</v>
      </c>
      <c r="E25" s="557"/>
      <c r="F25" s="557" t="s">
        <v>143</v>
      </c>
      <c r="G25" s="557"/>
      <c r="H25" s="557" t="s">
        <v>143</v>
      </c>
      <c r="I25" s="557"/>
      <c r="J25" s="557" t="s">
        <v>143</v>
      </c>
      <c r="K25" s="557"/>
      <c r="L25" s="557" t="s">
        <v>293</v>
      </c>
      <c r="M25" s="557"/>
      <c r="N25" s="557" t="s">
        <v>293</v>
      </c>
      <c r="O25" s="557"/>
      <c r="P25" s="557" t="s">
        <v>144</v>
      </c>
      <c r="Q25" s="557"/>
      <c r="R25" s="557" t="s">
        <v>144</v>
      </c>
      <c r="S25" s="560"/>
      <c r="T25" s="557"/>
      <c r="U25" s="556"/>
      <c r="V25" s="556"/>
      <c r="W25" s="558"/>
      <c r="X25" s="543"/>
    </row>
    <row r="26" spans="1:24" s="544" customFormat="1" x14ac:dyDescent="0.3">
      <c r="A26" s="559"/>
      <c r="B26" s="561" t="s">
        <v>9</v>
      </c>
      <c r="C26" s="560"/>
      <c r="D26" s="560" t="s">
        <v>333</v>
      </c>
      <c r="E26" s="560"/>
      <c r="F26" s="560" t="s">
        <v>333</v>
      </c>
      <c r="G26" s="560"/>
      <c r="H26" s="560" t="s">
        <v>333</v>
      </c>
      <c r="I26" s="560"/>
      <c r="J26" s="560" t="s">
        <v>333</v>
      </c>
      <c r="K26" s="560"/>
      <c r="L26" s="560" t="s">
        <v>333</v>
      </c>
      <c r="M26" s="560"/>
      <c r="N26" s="560" t="s">
        <v>333</v>
      </c>
      <c r="O26" s="560"/>
      <c r="P26" s="560" t="s">
        <v>334</v>
      </c>
      <c r="Q26" s="560"/>
      <c r="R26" s="560" t="s">
        <v>334</v>
      </c>
      <c r="S26" s="560"/>
      <c r="T26" s="557"/>
      <c r="U26" s="556"/>
      <c r="V26" s="556"/>
      <c r="W26" s="558"/>
      <c r="X26" s="543"/>
    </row>
    <row r="27" spans="1:24" s="544" customFormat="1" x14ac:dyDescent="0.3">
      <c r="A27" s="555"/>
      <c r="B27" s="561" t="s">
        <v>191</v>
      </c>
      <c r="C27" s="557"/>
      <c r="D27" s="560" t="s">
        <v>143</v>
      </c>
      <c r="E27" s="560"/>
      <c r="F27" s="560" t="s">
        <v>143</v>
      </c>
      <c r="G27" s="560"/>
      <c r="H27" s="560" t="s">
        <v>143</v>
      </c>
      <c r="I27" s="560"/>
      <c r="J27" s="560" t="s">
        <v>143</v>
      </c>
      <c r="K27" s="560"/>
      <c r="L27" s="560" t="s">
        <v>293</v>
      </c>
      <c r="M27" s="560"/>
      <c r="N27" s="560" t="s">
        <v>293</v>
      </c>
      <c r="O27" s="560"/>
      <c r="P27" s="560" t="s">
        <v>144</v>
      </c>
      <c r="Q27" s="560"/>
      <c r="R27" s="560" t="s">
        <v>144</v>
      </c>
      <c r="S27" s="557"/>
      <c r="T27" s="562"/>
      <c r="U27" s="556"/>
      <c r="V27" s="556"/>
      <c r="W27" s="558"/>
      <c r="X27" s="543"/>
    </row>
    <row r="28" spans="1:24" s="544" customFormat="1" x14ac:dyDescent="0.3">
      <c r="A28" s="555"/>
      <c r="B28" s="561" t="s">
        <v>192</v>
      </c>
      <c r="C28" s="557"/>
      <c r="D28" s="560" t="s">
        <v>143</v>
      </c>
      <c r="E28" s="560"/>
      <c r="F28" s="560" t="s">
        <v>143</v>
      </c>
      <c r="G28" s="560"/>
      <c r="H28" s="560" t="s">
        <v>143</v>
      </c>
      <c r="I28" s="560"/>
      <c r="J28" s="560" t="s">
        <v>143</v>
      </c>
      <c r="K28" s="560"/>
      <c r="L28" s="560" t="s">
        <v>143</v>
      </c>
      <c r="M28" s="560"/>
      <c r="N28" s="560" t="s">
        <v>143</v>
      </c>
      <c r="O28" s="560"/>
      <c r="P28" s="560" t="s">
        <v>337</v>
      </c>
      <c r="Q28" s="560"/>
      <c r="R28" s="560" t="s">
        <v>337</v>
      </c>
      <c r="S28" s="557"/>
      <c r="T28" s="562"/>
      <c r="U28" s="556"/>
      <c r="V28" s="556"/>
      <c r="W28" s="558"/>
      <c r="X28" s="543"/>
    </row>
    <row r="29" spans="1:24" s="544" customFormat="1" x14ac:dyDescent="0.3">
      <c r="A29" s="555"/>
      <c r="B29" s="556" t="s">
        <v>10</v>
      </c>
      <c r="C29" s="563"/>
      <c r="D29" s="557" t="s">
        <v>249</v>
      </c>
      <c r="E29" s="557"/>
      <c r="F29" s="562" t="s">
        <v>250</v>
      </c>
      <c r="G29" s="557"/>
      <c r="H29" s="557" t="s">
        <v>251</v>
      </c>
      <c r="I29" s="557"/>
      <c r="J29" s="557" t="s">
        <v>253</v>
      </c>
      <c r="K29" s="557"/>
      <c r="L29" s="557" t="s">
        <v>254</v>
      </c>
      <c r="M29" s="557"/>
      <c r="N29" s="557" t="s">
        <v>255</v>
      </c>
      <c r="O29" s="557"/>
      <c r="P29" s="557" t="s">
        <v>256</v>
      </c>
      <c r="Q29" s="557"/>
      <c r="R29" s="557" t="s">
        <v>257</v>
      </c>
      <c r="S29" s="564"/>
      <c r="T29" s="564"/>
      <c r="U29" s="563"/>
      <c r="V29" s="564"/>
      <c r="W29" s="565"/>
      <c r="X29" s="543"/>
    </row>
    <row r="30" spans="1:24" s="544" customFormat="1" x14ac:dyDescent="0.3">
      <c r="A30" s="555"/>
      <c r="B30" s="556" t="s">
        <v>10</v>
      </c>
      <c r="C30" s="563"/>
      <c r="D30" s="557" t="s">
        <v>248</v>
      </c>
      <c r="E30" s="557"/>
      <c r="F30" s="562" t="s">
        <v>118</v>
      </c>
      <c r="G30" s="557"/>
      <c r="H30" s="557" t="s">
        <v>118</v>
      </c>
      <c r="I30" s="557"/>
      <c r="J30" s="557" t="s">
        <v>252</v>
      </c>
      <c r="K30" s="557"/>
      <c r="L30" s="557" t="s">
        <v>118</v>
      </c>
      <c r="M30" s="557"/>
      <c r="N30" s="557" t="s">
        <v>118</v>
      </c>
      <c r="O30" s="557"/>
      <c r="P30" s="557" t="s">
        <v>118</v>
      </c>
      <c r="Q30" s="557"/>
      <c r="R30" s="557" t="s">
        <v>118</v>
      </c>
      <c r="S30" s="564"/>
      <c r="T30" s="564"/>
      <c r="U30" s="563"/>
      <c r="V30" s="564"/>
      <c r="W30" s="565"/>
      <c r="X30" s="543"/>
    </row>
    <row r="31" spans="1:24" s="544" customFormat="1" x14ac:dyDescent="0.3">
      <c r="A31" s="559"/>
      <c r="B31" s="556" t="s">
        <v>133</v>
      </c>
      <c r="C31" s="566"/>
      <c r="D31" s="567">
        <v>1500000</v>
      </c>
      <c r="E31" s="563"/>
      <c r="F31" s="564">
        <v>125000</v>
      </c>
      <c r="G31" s="564"/>
      <c r="H31" s="568">
        <v>246000</v>
      </c>
      <c r="I31" s="568"/>
      <c r="J31" s="567">
        <v>400000</v>
      </c>
      <c r="K31" s="564"/>
      <c r="L31" s="564">
        <v>51900</v>
      </c>
      <c r="M31" s="564"/>
      <c r="N31" s="568">
        <v>88800</v>
      </c>
      <c r="O31" s="564"/>
      <c r="P31" s="564">
        <v>20000</v>
      </c>
      <c r="Q31" s="564"/>
      <c r="R31" s="568">
        <v>135500</v>
      </c>
      <c r="S31" s="569"/>
      <c r="T31" s="569"/>
      <c r="U31" s="566"/>
      <c r="V31" s="569"/>
      <c r="W31" s="565"/>
      <c r="X31" s="543"/>
    </row>
    <row r="32" spans="1:24" s="544" customFormat="1" x14ac:dyDescent="0.3">
      <c r="A32" s="555"/>
      <c r="B32" s="556" t="s">
        <v>132</v>
      </c>
      <c r="C32" s="563"/>
      <c r="D32" s="570">
        <f>D34*D38</f>
        <v>359023.73675700004</v>
      </c>
      <c r="E32" s="563"/>
      <c r="F32" s="564">
        <f>F31*F38</f>
        <v>57892.800000000003</v>
      </c>
      <c r="G32" s="564"/>
      <c r="H32" s="568">
        <f>H31*H38</f>
        <v>113933.0304</v>
      </c>
      <c r="I32" s="568"/>
      <c r="J32" s="567">
        <f>J31*J38</f>
        <v>185256.2</v>
      </c>
      <c r="K32" s="564"/>
      <c r="L32" s="564">
        <f>+L31</f>
        <v>51900</v>
      </c>
      <c r="M32" s="564"/>
      <c r="N32" s="568">
        <f>+N31</f>
        <v>88800</v>
      </c>
      <c r="O32" s="564"/>
      <c r="P32" s="564">
        <f>+P31</f>
        <v>20000</v>
      </c>
      <c r="Q32" s="564"/>
      <c r="R32" s="568">
        <f>+R31</f>
        <v>135500</v>
      </c>
      <c r="S32" s="564"/>
      <c r="T32" s="564"/>
      <c r="U32" s="563"/>
      <c r="V32" s="564"/>
      <c r="W32" s="565"/>
      <c r="X32" s="543"/>
    </row>
    <row r="33" spans="1:24" s="544" customFormat="1" x14ac:dyDescent="0.3">
      <c r="A33" s="555"/>
      <c r="B33" s="561" t="s">
        <v>134</v>
      </c>
      <c r="C33" s="563"/>
      <c r="D33" s="571">
        <f>D34*D37</f>
        <v>350790.4788024</v>
      </c>
      <c r="E33" s="566"/>
      <c r="F33" s="569">
        <f>F37*F31</f>
        <v>56565.200000000004</v>
      </c>
      <c r="G33" s="569"/>
      <c r="H33" s="572">
        <f>H31*H37</f>
        <v>111320.31360000001</v>
      </c>
      <c r="I33" s="572"/>
      <c r="J33" s="573">
        <f>J37*J31</f>
        <v>181007.84</v>
      </c>
      <c r="K33" s="569"/>
      <c r="L33" s="569">
        <f>L31*L37</f>
        <v>51900</v>
      </c>
      <c r="M33" s="569"/>
      <c r="N33" s="572">
        <f>N31*N37</f>
        <v>88800</v>
      </c>
      <c r="O33" s="569"/>
      <c r="P33" s="569">
        <f>P31*P37</f>
        <v>20000</v>
      </c>
      <c r="Q33" s="569"/>
      <c r="R33" s="572">
        <f>R31*R37</f>
        <v>135500</v>
      </c>
      <c r="S33" s="564"/>
      <c r="T33" s="564"/>
      <c r="U33" s="563"/>
      <c r="V33" s="564"/>
      <c r="W33" s="565"/>
      <c r="X33" s="543"/>
    </row>
    <row r="34" spans="1:24" s="544" customFormat="1" x14ac:dyDescent="0.3">
      <c r="A34" s="559"/>
      <c r="B34" s="556" t="s">
        <v>296</v>
      </c>
      <c r="C34" s="566"/>
      <c r="D34" s="564">
        <v>775194</v>
      </c>
      <c r="E34" s="563"/>
      <c r="F34" s="564">
        <v>125000</v>
      </c>
      <c r="G34" s="564"/>
      <c r="H34" s="564">
        <v>168148</v>
      </c>
      <c r="I34" s="564"/>
      <c r="J34" s="564">
        <v>206718</v>
      </c>
      <c r="K34" s="564"/>
      <c r="L34" s="564">
        <v>51900</v>
      </c>
      <c r="M34" s="564"/>
      <c r="N34" s="564">
        <v>60697</v>
      </c>
      <c r="O34" s="564"/>
      <c r="P34" s="564">
        <v>20000</v>
      </c>
      <c r="Q34" s="564"/>
      <c r="R34" s="564">
        <v>92618</v>
      </c>
      <c r="S34" s="569"/>
      <c r="T34" s="569"/>
      <c r="U34" s="566"/>
      <c r="V34" s="564">
        <f>SUM(C34:R34)</f>
        <v>1500275</v>
      </c>
      <c r="W34" s="565"/>
      <c r="X34" s="543"/>
    </row>
    <row r="35" spans="1:24" s="544" customFormat="1" x14ac:dyDescent="0.3">
      <c r="A35" s="559"/>
      <c r="B35" s="556" t="s">
        <v>297</v>
      </c>
      <c r="C35" s="566"/>
      <c r="D35" s="564">
        <f>D34*D38</f>
        <v>359023.73675700004</v>
      </c>
      <c r="E35" s="563"/>
      <c r="F35" s="564">
        <f>F34*F38</f>
        <v>57892.800000000003</v>
      </c>
      <c r="G35" s="564"/>
      <c r="H35" s="564">
        <f>H34*H38</f>
        <v>77876.468275200008</v>
      </c>
      <c r="I35" s="564"/>
      <c r="J35" s="564">
        <f>J34*J38</f>
        <v>95739.477878999998</v>
      </c>
      <c r="K35" s="564"/>
      <c r="L35" s="564">
        <f>+L34</f>
        <v>51900</v>
      </c>
      <c r="M35" s="564"/>
      <c r="N35" s="564">
        <f>+N34</f>
        <v>60697</v>
      </c>
      <c r="O35" s="564"/>
      <c r="P35" s="564">
        <f>+P34</f>
        <v>20000</v>
      </c>
      <c r="Q35" s="564"/>
      <c r="R35" s="564">
        <f>+R34</f>
        <v>92618</v>
      </c>
      <c r="S35" s="564"/>
      <c r="T35" s="564"/>
      <c r="U35" s="563"/>
      <c r="V35" s="564">
        <f>SUM(C35:R35)</f>
        <v>815747.48291120003</v>
      </c>
      <c r="W35" s="565"/>
      <c r="X35" s="543"/>
    </row>
    <row r="36" spans="1:24" s="544" customFormat="1" x14ac:dyDescent="0.3">
      <c r="A36" s="559"/>
      <c r="B36" s="561" t="s">
        <v>298</v>
      </c>
      <c r="C36" s="566"/>
      <c r="D36" s="569">
        <f>D34*D37</f>
        <v>350790.4788024</v>
      </c>
      <c r="E36" s="566"/>
      <c r="F36" s="569">
        <f>F34*F37</f>
        <v>56565.200000000004</v>
      </c>
      <c r="G36" s="569"/>
      <c r="H36" s="569">
        <f>H34*H37</f>
        <v>76090.601996800004</v>
      </c>
      <c r="I36" s="569"/>
      <c r="J36" s="569">
        <f>J34*J37</f>
        <v>93543.946672800012</v>
      </c>
      <c r="K36" s="569"/>
      <c r="L36" s="569">
        <f>L34*L37</f>
        <v>51900</v>
      </c>
      <c r="M36" s="569"/>
      <c r="N36" s="569">
        <f>N34*N37</f>
        <v>60697</v>
      </c>
      <c r="O36" s="569"/>
      <c r="P36" s="569">
        <f>P34*P37</f>
        <v>20000</v>
      </c>
      <c r="Q36" s="569"/>
      <c r="R36" s="569">
        <f>R34*R37</f>
        <v>92618</v>
      </c>
      <c r="S36" s="574"/>
      <c r="T36" s="574"/>
      <c r="U36" s="563"/>
      <c r="V36" s="569">
        <f>SUM(C36:R36)</f>
        <v>802205.22747200006</v>
      </c>
      <c r="W36" s="565"/>
      <c r="X36" s="543"/>
    </row>
    <row r="37" spans="1:24" s="499" customFormat="1" x14ac:dyDescent="0.3">
      <c r="A37" s="492"/>
      <c r="B37" s="493" t="s">
        <v>130</v>
      </c>
      <c r="C37" s="494"/>
      <c r="D37" s="495">
        <v>0.45251960000000002</v>
      </c>
      <c r="E37" s="495"/>
      <c r="F37" s="495">
        <v>0.45252160000000002</v>
      </c>
      <c r="G37" s="495"/>
      <c r="H37" s="495">
        <v>0.45252160000000002</v>
      </c>
      <c r="I37" s="495"/>
      <c r="J37" s="495">
        <v>0.45251960000000002</v>
      </c>
      <c r="K37" s="495"/>
      <c r="L37" s="495">
        <v>1</v>
      </c>
      <c r="M37" s="495"/>
      <c r="N37" s="495">
        <v>1</v>
      </c>
      <c r="O37" s="495"/>
      <c r="P37" s="495">
        <v>1</v>
      </c>
      <c r="Q37" s="495"/>
      <c r="R37" s="495">
        <v>1</v>
      </c>
      <c r="S37" s="496"/>
      <c r="T37" s="496"/>
      <c r="U37" s="494"/>
      <c r="V37" s="494"/>
      <c r="W37" s="497"/>
      <c r="X37" s="498"/>
    </row>
    <row r="38" spans="1:24" s="499" customFormat="1" x14ac:dyDescent="0.3">
      <c r="A38" s="492"/>
      <c r="B38" s="493" t="s">
        <v>131</v>
      </c>
      <c r="C38" s="494"/>
      <c r="D38" s="495">
        <v>0.46314050000000001</v>
      </c>
      <c r="E38" s="495"/>
      <c r="F38" s="495">
        <v>0.46314240000000001</v>
      </c>
      <c r="G38" s="495"/>
      <c r="H38" s="495">
        <v>0.46314240000000001</v>
      </c>
      <c r="I38" s="495"/>
      <c r="J38" s="495">
        <v>0.46314050000000001</v>
      </c>
      <c r="K38" s="495"/>
      <c r="L38" s="495">
        <v>1</v>
      </c>
      <c r="M38" s="495"/>
      <c r="N38" s="495">
        <v>1</v>
      </c>
      <c r="O38" s="495"/>
      <c r="P38" s="495">
        <v>1</v>
      </c>
      <c r="Q38" s="495"/>
      <c r="R38" s="495">
        <v>1</v>
      </c>
      <c r="S38" s="500"/>
      <c r="T38" s="501"/>
      <c r="U38" s="494"/>
      <c r="V38" s="500"/>
      <c r="W38" s="497"/>
      <c r="X38" s="498"/>
    </row>
    <row r="39" spans="1:24" s="544" customFormat="1" x14ac:dyDescent="0.3">
      <c r="A39" s="555"/>
      <c r="B39" s="556" t="s">
        <v>11</v>
      </c>
      <c r="C39" s="556"/>
      <c r="D39" s="562" t="s">
        <v>321</v>
      </c>
      <c r="E39" s="556"/>
      <c r="F39" s="562" t="s">
        <v>231</v>
      </c>
      <c r="G39" s="562"/>
      <c r="H39" s="562" t="s">
        <v>231</v>
      </c>
      <c r="I39" s="562"/>
      <c r="J39" s="562" t="s">
        <v>231</v>
      </c>
      <c r="K39" s="562"/>
      <c r="L39" s="562" t="s">
        <v>265</v>
      </c>
      <c r="M39" s="562"/>
      <c r="N39" s="562" t="s">
        <v>265</v>
      </c>
      <c r="O39" s="562"/>
      <c r="P39" s="562" t="s">
        <v>266</v>
      </c>
      <c r="Q39" s="562"/>
      <c r="R39" s="562" t="s">
        <v>266</v>
      </c>
      <c r="S39" s="575"/>
      <c r="T39" s="576"/>
      <c r="U39" s="556"/>
      <c r="V39" s="556"/>
      <c r="W39" s="558"/>
      <c r="X39" s="543"/>
    </row>
    <row r="40" spans="1:24" s="544" customFormat="1" x14ac:dyDescent="0.3">
      <c r="A40" s="555"/>
      <c r="B40" s="556" t="s">
        <v>12</v>
      </c>
      <c r="C40" s="556"/>
      <c r="D40" s="576">
        <v>9.9731000000000004E-3</v>
      </c>
      <c r="E40" s="556"/>
      <c r="F40" s="576">
        <v>9.9731000000000004E-3</v>
      </c>
      <c r="G40" s="575"/>
      <c r="H40" s="576">
        <v>0</v>
      </c>
      <c r="I40" s="576"/>
      <c r="J40" s="576">
        <v>2.5341300000000001E-2</v>
      </c>
      <c r="K40" s="575"/>
      <c r="L40" s="576">
        <v>1.1573099999999999E-2</v>
      </c>
      <c r="M40" s="575"/>
      <c r="N40" s="576">
        <v>4.0999999999999999E-4</v>
      </c>
      <c r="O40" s="575"/>
      <c r="P40" s="576">
        <v>1.5573099999999999E-2</v>
      </c>
      <c r="Q40" s="575"/>
      <c r="R40" s="576">
        <v>4.4099999999999999E-3</v>
      </c>
      <c r="S40" s="575"/>
      <c r="T40" s="576"/>
      <c r="U40" s="556"/>
      <c r="V40" s="562"/>
      <c r="W40" s="558"/>
      <c r="X40" s="543"/>
    </row>
    <row r="41" spans="1:24" s="544" customFormat="1" x14ac:dyDescent="0.3">
      <c r="A41" s="555"/>
      <c r="B41" s="556" t="s">
        <v>13</v>
      </c>
      <c r="C41" s="556"/>
      <c r="D41" s="576">
        <v>8.3075000000000006E-3</v>
      </c>
      <c r="E41" s="556"/>
      <c r="F41" s="576">
        <v>8.3075000000000006E-3</v>
      </c>
      <c r="G41" s="575"/>
      <c r="H41" s="576">
        <v>0</v>
      </c>
      <c r="I41" s="576"/>
      <c r="J41" s="576">
        <v>2.54063E-2</v>
      </c>
      <c r="K41" s="575"/>
      <c r="L41" s="576">
        <v>9.9074999999999996E-3</v>
      </c>
      <c r="M41" s="575"/>
      <c r="N41" s="576">
        <v>3.8999999999999999E-4</v>
      </c>
      <c r="O41" s="575"/>
      <c r="P41" s="576">
        <v>1.39075E-2</v>
      </c>
      <c r="Q41" s="575"/>
      <c r="R41" s="576">
        <v>4.3899999999999998E-3</v>
      </c>
      <c r="S41" s="575"/>
      <c r="T41" s="576"/>
      <c r="U41" s="556"/>
      <c r="V41" s="575" t="s">
        <v>193</v>
      </c>
      <c r="W41" s="558"/>
      <c r="X41" s="543"/>
    </row>
    <row r="42" spans="1:24" s="544" customFormat="1" x14ac:dyDescent="0.3">
      <c r="A42" s="555"/>
      <c r="B42" s="556" t="s">
        <v>299</v>
      </c>
      <c r="C42" s="556"/>
      <c r="D42" s="562" t="s">
        <v>321</v>
      </c>
      <c r="E42" s="556"/>
      <c r="F42" s="562" t="s">
        <v>231</v>
      </c>
      <c r="G42" s="562"/>
      <c r="H42" s="562" t="s">
        <v>323</v>
      </c>
      <c r="I42" s="562"/>
      <c r="J42" s="562" t="s">
        <v>324</v>
      </c>
      <c r="K42" s="562"/>
      <c r="L42" s="562" t="s">
        <v>265</v>
      </c>
      <c r="M42" s="562"/>
      <c r="N42" s="562" t="s">
        <v>234</v>
      </c>
      <c r="O42" s="562"/>
      <c r="P42" s="562" t="s">
        <v>266</v>
      </c>
      <c r="Q42" s="562"/>
      <c r="R42" s="562" t="s">
        <v>264</v>
      </c>
      <c r="S42" s="575"/>
      <c r="T42" s="576"/>
      <c r="U42" s="556"/>
      <c r="V42" s="556"/>
      <c r="W42" s="558"/>
      <c r="X42" s="543"/>
    </row>
    <row r="43" spans="1:24" s="544" customFormat="1" x14ac:dyDescent="0.3">
      <c r="A43" s="555"/>
      <c r="B43" s="556" t="s">
        <v>300</v>
      </c>
      <c r="C43" s="577"/>
      <c r="D43" s="576">
        <f>D40</f>
        <v>9.9731000000000004E-3</v>
      </c>
      <c r="E43" s="576"/>
      <c r="F43" s="576">
        <f>+F40</f>
        <v>9.9731000000000004E-3</v>
      </c>
      <c r="G43" s="576"/>
      <c r="H43" s="576">
        <v>1.0253099999999999E-2</v>
      </c>
      <c r="I43" s="576"/>
      <c r="J43" s="576">
        <v>1.06991E-2</v>
      </c>
      <c r="K43" s="576"/>
      <c r="L43" s="576">
        <f>+L40</f>
        <v>1.1573099999999999E-2</v>
      </c>
      <c r="M43" s="576"/>
      <c r="N43" s="576">
        <v>1.21651E-2</v>
      </c>
      <c r="O43" s="576"/>
      <c r="P43" s="576">
        <f>+P40</f>
        <v>1.5573099999999999E-2</v>
      </c>
      <c r="Q43" s="575"/>
      <c r="R43" s="576">
        <v>1.66391E-2</v>
      </c>
      <c r="S43" s="562"/>
      <c r="T43" s="562"/>
      <c r="U43" s="556"/>
      <c r="V43" s="575">
        <f>SUMPRODUCT(D43:R43,D35:R35)/V35</f>
        <v>1.1244071355445875E-2</v>
      </c>
      <c r="W43" s="558"/>
      <c r="X43" s="543"/>
    </row>
    <row r="44" spans="1:24" s="544" customFormat="1" x14ac:dyDescent="0.3">
      <c r="A44" s="555"/>
      <c r="B44" s="556" t="s">
        <v>301</v>
      </c>
      <c r="C44" s="577"/>
      <c r="D44" s="576">
        <f>D41</f>
        <v>8.3075000000000006E-3</v>
      </c>
      <c r="E44" s="576"/>
      <c r="F44" s="576">
        <f>+F41</f>
        <v>8.3075000000000006E-3</v>
      </c>
      <c r="G44" s="576"/>
      <c r="H44" s="576">
        <v>8.5874999999999996E-3</v>
      </c>
      <c r="I44" s="576"/>
      <c r="J44" s="576">
        <v>9.0334999999999999E-3</v>
      </c>
      <c r="K44" s="576"/>
      <c r="L44" s="576">
        <f>+L41</f>
        <v>9.9074999999999996E-3</v>
      </c>
      <c r="M44" s="576"/>
      <c r="N44" s="576">
        <v>1.04995E-2</v>
      </c>
      <c r="O44" s="576"/>
      <c r="P44" s="576">
        <f>+P41</f>
        <v>1.39075E-2</v>
      </c>
      <c r="Q44" s="575"/>
      <c r="R44" s="576">
        <v>1.4973500000000001E-2</v>
      </c>
      <c r="S44" s="562"/>
      <c r="T44" s="562"/>
      <c r="U44" s="556"/>
      <c r="V44" s="556"/>
      <c r="W44" s="558"/>
      <c r="X44" s="543"/>
    </row>
    <row r="45" spans="1:24" s="544" customFormat="1" x14ac:dyDescent="0.3">
      <c r="A45" s="555"/>
      <c r="B45" s="556" t="s">
        <v>14</v>
      </c>
      <c r="C45" s="556"/>
      <c r="D45" s="577">
        <v>40617</v>
      </c>
      <c r="E45" s="577"/>
      <c r="F45" s="577">
        <v>40617</v>
      </c>
      <c r="G45" s="577"/>
      <c r="H45" s="577">
        <v>40617</v>
      </c>
      <c r="I45" s="577"/>
      <c r="J45" s="577">
        <v>40617</v>
      </c>
      <c r="K45" s="577"/>
      <c r="L45" s="577">
        <v>40617</v>
      </c>
      <c r="M45" s="577"/>
      <c r="N45" s="577">
        <v>40617</v>
      </c>
      <c r="O45" s="577"/>
      <c r="P45" s="577">
        <v>40617</v>
      </c>
      <c r="Q45" s="577"/>
      <c r="R45" s="577">
        <v>40617</v>
      </c>
      <c r="S45" s="562"/>
      <c r="T45" s="562"/>
      <c r="U45" s="556"/>
      <c r="V45" s="556"/>
      <c r="W45" s="558"/>
      <c r="X45" s="543"/>
    </row>
    <row r="46" spans="1:24" s="544" customFormat="1" x14ac:dyDescent="0.3">
      <c r="A46" s="555"/>
      <c r="B46" s="556" t="s">
        <v>15</v>
      </c>
      <c r="C46" s="556"/>
      <c r="D46" s="577">
        <v>40983</v>
      </c>
      <c r="E46" s="577"/>
      <c r="F46" s="577">
        <v>40983</v>
      </c>
      <c r="G46" s="577"/>
      <c r="H46" s="577">
        <v>40983</v>
      </c>
      <c r="I46" s="577"/>
      <c r="J46" s="577">
        <v>40983</v>
      </c>
      <c r="K46" s="562"/>
      <c r="L46" s="577">
        <v>40983</v>
      </c>
      <c r="M46" s="562"/>
      <c r="N46" s="577">
        <v>40983</v>
      </c>
      <c r="O46" s="562"/>
      <c r="P46" s="577">
        <v>40983</v>
      </c>
      <c r="Q46" s="562"/>
      <c r="R46" s="577">
        <v>40983</v>
      </c>
      <c r="S46" s="562"/>
      <c r="T46" s="562"/>
      <c r="U46" s="556"/>
      <c r="V46" s="556"/>
      <c r="W46" s="558"/>
      <c r="X46" s="543"/>
    </row>
    <row r="47" spans="1:24" s="544" customFormat="1" x14ac:dyDescent="0.3">
      <c r="A47" s="555"/>
      <c r="B47" s="556" t="s">
        <v>119</v>
      </c>
      <c r="C47" s="556"/>
      <c r="D47" s="562" t="s">
        <v>231</v>
      </c>
      <c r="E47" s="556"/>
      <c r="F47" s="562" t="s">
        <v>231</v>
      </c>
      <c r="G47" s="562"/>
      <c r="H47" s="562" t="s">
        <v>231</v>
      </c>
      <c r="I47" s="562"/>
      <c r="J47" s="562" t="s">
        <v>231</v>
      </c>
      <c r="K47" s="562"/>
      <c r="L47" s="562" t="s">
        <v>265</v>
      </c>
      <c r="M47" s="562"/>
      <c r="N47" s="562" t="s">
        <v>265</v>
      </c>
      <c r="O47" s="562"/>
      <c r="P47" s="562" t="s">
        <v>266</v>
      </c>
      <c r="Q47" s="562"/>
      <c r="R47" s="562" t="s">
        <v>266</v>
      </c>
      <c r="S47" s="578"/>
      <c r="T47" s="578"/>
      <c r="U47" s="578"/>
      <c r="V47" s="578"/>
      <c r="W47" s="558"/>
      <c r="X47" s="543"/>
    </row>
    <row r="48" spans="1:24" s="544" customFormat="1" x14ac:dyDescent="0.3">
      <c r="A48" s="555"/>
      <c r="B48" s="556" t="s">
        <v>302</v>
      </c>
      <c r="C48" s="556"/>
      <c r="D48" s="562" t="s">
        <v>325</v>
      </c>
      <c r="E48" s="556"/>
      <c r="F48" s="562" t="s">
        <v>231</v>
      </c>
      <c r="G48" s="562"/>
      <c r="H48" s="562" t="s">
        <v>262</v>
      </c>
      <c r="I48" s="562"/>
      <c r="J48" s="562" t="s">
        <v>263</v>
      </c>
      <c r="K48" s="562"/>
      <c r="L48" s="562" t="s">
        <v>265</v>
      </c>
      <c r="M48" s="562"/>
      <c r="N48" s="562" t="s">
        <v>234</v>
      </c>
      <c r="O48" s="562"/>
      <c r="P48" s="562" t="s">
        <v>266</v>
      </c>
      <c r="Q48" s="562"/>
      <c r="R48" s="562" t="s">
        <v>264</v>
      </c>
      <c r="S48" s="556"/>
      <c r="T48" s="556"/>
      <c r="U48" s="556"/>
      <c r="V48" s="575"/>
      <c r="W48" s="558"/>
      <c r="X48" s="543"/>
    </row>
    <row r="49" spans="1:25" s="544" customFormat="1" x14ac:dyDescent="0.3">
      <c r="A49" s="555"/>
      <c r="B49" s="556"/>
      <c r="C49" s="556"/>
      <c r="D49" s="562"/>
      <c r="E49" s="556"/>
      <c r="F49" s="562"/>
      <c r="G49" s="562"/>
      <c r="H49" s="562"/>
      <c r="I49" s="562"/>
      <c r="J49" s="562"/>
      <c r="K49" s="562"/>
      <c r="L49" s="562"/>
      <c r="M49" s="562"/>
      <c r="N49" s="562"/>
      <c r="O49" s="562"/>
      <c r="P49" s="562"/>
      <c r="Q49" s="562"/>
      <c r="R49" s="562"/>
      <c r="S49" s="556"/>
      <c r="T49" s="556"/>
      <c r="U49" s="556"/>
      <c r="V49" s="575" t="s">
        <v>193</v>
      </c>
      <c r="W49" s="558"/>
      <c r="X49" s="543"/>
    </row>
    <row r="50" spans="1:25" s="544" customFormat="1" x14ac:dyDescent="0.3">
      <c r="A50" s="555"/>
      <c r="B50" s="556" t="s">
        <v>169</v>
      </c>
      <c r="C50" s="556"/>
      <c r="D50" s="562"/>
      <c r="E50" s="556"/>
      <c r="F50" s="562"/>
      <c r="G50" s="562"/>
      <c r="H50" s="562"/>
      <c r="I50" s="562"/>
      <c r="J50" s="562"/>
      <c r="K50" s="562"/>
      <c r="L50" s="562"/>
      <c r="M50" s="562"/>
      <c r="N50" s="562"/>
      <c r="O50" s="562"/>
      <c r="P50" s="562"/>
      <c r="Q50" s="562"/>
      <c r="R50" s="562"/>
      <c r="S50" s="556"/>
      <c r="T50" s="556"/>
      <c r="U50" s="556"/>
      <c r="V50" s="575">
        <f>SUM(L34:R34)/SUM(D34:J34)</f>
        <v>0.17663090364375009</v>
      </c>
      <c r="W50" s="558"/>
      <c r="X50" s="543"/>
    </row>
    <row r="51" spans="1:25" s="544" customFormat="1" x14ac:dyDescent="0.3">
      <c r="A51" s="555"/>
      <c r="B51" s="556" t="s">
        <v>170</v>
      </c>
      <c r="C51" s="556"/>
      <c r="D51" s="556"/>
      <c r="E51" s="556"/>
      <c r="F51" s="579"/>
      <c r="G51" s="556"/>
      <c r="H51" s="556"/>
      <c r="I51" s="556"/>
      <c r="J51" s="556"/>
      <c r="K51" s="556"/>
      <c r="L51" s="556"/>
      <c r="M51" s="556"/>
      <c r="N51" s="556"/>
      <c r="O51" s="556"/>
      <c r="P51" s="556"/>
      <c r="Q51" s="556"/>
      <c r="R51" s="556"/>
      <c r="S51" s="556"/>
      <c r="T51" s="556"/>
      <c r="U51" s="556"/>
      <c r="V51" s="575">
        <f>SUM(L36:R36)/SUM(D36:J36)</f>
        <v>0.39032723480733328</v>
      </c>
      <c r="W51" s="558"/>
      <c r="X51" s="543"/>
    </row>
    <row r="52" spans="1:25" s="544" customFormat="1" x14ac:dyDescent="0.3">
      <c r="A52" s="555"/>
      <c r="B52" s="556" t="s">
        <v>171</v>
      </c>
      <c r="C52" s="556"/>
      <c r="D52" s="556"/>
      <c r="E52" s="556"/>
      <c r="F52" s="556"/>
      <c r="G52" s="556"/>
      <c r="H52" s="556"/>
      <c r="I52" s="556"/>
      <c r="J52" s="556"/>
      <c r="K52" s="556"/>
      <c r="L52" s="556"/>
      <c r="M52" s="556"/>
      <c r="N52" s="556"/>
      <c r="O52" s="556"/>
      <c r="P52" s="556"/>
      <c r="Q52" s="556"/>
      <c r="R52" s="556"/>
      <c r="S52" s="556"/>
      <c r="T52" s="562"/>
      <c r="U52" s="562"/>
      <c r="V52" s="564" t="s">
        <v>276</v>
      </c>
      <c r="W52" s="558"/>
      <c r="X52" s="543"/>
    </row>
    <row r="53" spans="1:25" s="544" customFormat="1" x14ac:dyDescent="0.3">
      <c r="A53" s="555"/>
      <c r="B53" s="556"/>
      <c r="C53" s="556"/>
      <c r="D53" s="556"/>
      <c r="E53" s="556"/>
      <c r="F53" s="556"/>
      <c r="G53" s="556"/>
      <c r="H53" s="556"/>
      <c r="I53" s="556"/>
      <c r="J53" s="556"/>
      <c r="K53" s="556"/>
      <c r="L53" s="556"/>
      <c r="M53" s="556"/>
      <c r="N53" s="556"/>
      <c r="O53" s="556"/>
      <c r="P53" s="556"/>
      <c r="Q53" s="556"/>
      <c r="R53" s="556"/>
      <c r="S53" s="556"/>
      <c r="T53" s="556"/>
      <c r="U53" s="556"/>
      <c r="V53" s="580"/>
      <c r="W53" s="558"/>
      <c r="X53" s="543"/>
    </row>
    <row r="54" spans="1:25" s="544" customFormat="1" x14ac:dyDescent="0.3">
      <c r="A54" s="555"/>
      <c r="B54" s="556" t="s">
        <v>361</v>
      </c>
      <c r="C54" s="556"/>
      <c r="D54" s="556"/>
      <c r="E54" s="556"/>
      <c r="F54" s="556"/>
      <c r="G54" s="556"/>
      <c r="H54" s="556"/>
      <c r="I54" s="556"/>
      <c r="J54" s="556"/>
      <c r="K54" s="556"/>
      <c r="L54" s="556"/>
      <c r="M54" s="556"/>
      <c r="N54" s="556"/>
      <c r="O54" s="556"/>
      <c r="P54" s="556"/>
      <c r="Q54" s="556"/>
      <c r="R54" s="556"/>
      <c r="S54" s="556"/>
      <c r="T54" s="562"/>
      <c r="U54" s="562"/>
      <c r="V54" s="581" t="s">
        <v>111</v>
      </c>
      <c r="W54" s="558"/>
      <c r="X54" s="543"/>
    </row>
    <row r="55" spans="1:25" s="544" customFormat="1" x14ac:dyDescent="0.3">
      <c r="A55" s="555"/>
      <c r="B55" s="561" t="s">
        <v>201</v>
      </c>
      <c r="C55" s="561"/>
      <c r="D55" s="561"/>
      <c r="E55" s="561"/>
      <c r="F55" s="561"/>
      <c r="G55" s="561"/>
      <c r="H55" s="561"/>
      <c r="I55" s="561"/>
      <c r="J55" s="561"/>
      <c r="K55" s="561"/>
      <c r="L55" s="561"/>
      <c r="M55" s="561"/>
      <c r="N55" s="561"/>
      <c r="O55" s="561"/>
      <c r="P55" s="561"/>
      <c r="Q55" s="561"/>
      <c r="R55" s="561"/>
      <c r="S55" s="561"/>
      <c r="T55" s="582"/>
      <c r="U55" s="582"/>
      <c r="V55" s="583">
        <v>43451</v>
      </c>
      <c r="W55" s="558"/>
      <c r="X55" s="543"/>
    </row>
    <row r="56" spans="1:25" s="544" customFormat="1" x14ac:dyDescent="0.3">
      <c r="A56" s="555"/>
      <c r="B56" s="556" t="s">
        <v>121</v>
      </c>
      <c r="C56" s="556"/>
      <c r="D56" s="556"/>
      <c r="E56" s="556"/>
      <c r="F56" s="556"/>
      <c r="G56" s="556"/>
      <c r="H56" s="584"/>
      <c r="I56" s="584"/>
      <c r="J56" s="584"/>
      <c r="K56" s="584"/>
      <c r="L56" s="584"/>
      <c r="M56" s="584"/>
      <c r="N56" s="584"/>
      <c r="O56" s="584"/>
      <c r="P56" s="584"/>
      <c r="Q56" s="584"/>
      <c r="R56" s="556">
        <f>+V56-T56+1</f>
        <v>94</v>
      </c>
      <c r="S56" s="584"/>
      <c r="T56" s="585">
        <v>43266</v>
      </c>
      <c r="U56" s="586"/>
      <c r="V56" s="585">
        <v>43359</v>
      </c>
      <c r="W56" s="558"/>
      <c r="X56" s="543"/>
    </row>
    <row r="57" spans="1:25" s="544" customFormat="1" x14ac:dyDescent="0.3">
      <c r="A57" s="555"/>
      <c r="B57" s="556" t="s">
        <v>122</v>
      </c>
      <c r="C57" s="556"/>
      <c r="D57" s="556"/>
      <c r="E57" s="556"/>
      <c r="F57" s="556"/>
      <c r="G57" s="556"/>
      <c r="H57" s="556"/>
      <c r="I57" s="556"/>
      <c r="J57" s="556"/>
      <c r="K57" s="556"/>
      <c r="L57" s="556"/>
      <c r="M57" s="556"/>
      <c r="N57" s="556"/>
      <c r="O57" s="556"/>
      <c r="P57" s="556"/>
      <c r="Q57" s="556"/>
      <c r="R57" s="556">
        <f>+V57-T57+1</f>
        <v>91</v>
      </c>
      <c r="S57" s="556"/>
      <c r="T57" s="585">
        <v>43360</v>
      </c>
      <c r="U57" s="586"/>
      <c r="V57" s="585">
        <v>43450</v>
      </c>
      <c r="W57" s="558"/>
      <c r="X57" s="543"/>
    </row>
    <row r="58" spans="1:25" s="544" customFormat="1" x14ac:dyDescent="0.3">
      <c r="A58" s="555"/>
      <c r="B58" s="556" t="s">
        <v>360</v>
      </c>
      <c r="C58" s="556"/>
      <c r="D58" s="556"/>
      <c r="E58" s="556"/>
      <c r="F58" s="556"/>
      <c r="G58" s="556"/>
      <c r="H58" s="556"/>
      <c r="I58" s="556"/>
      <c r="J58" s="556"/>
      <c r="K58" s="556"/>
      <c r="L58" s="556"/>
      <c r="M58" s="556"/>
      <c r="N58" s="556"/>
      <c r="O58" s="556"/>
      <c r="P58" s="556"/>
      <c r="Q58" s="556"/>
      <c r="R58" s="556"/>
      <c r="S58" s="556"/>
      <c r="T58" s="585"/>
      <c r="U58" s="586"/>
      <c r="V58" s="585" t="s">
        <v>120</v>
      </c>
      <c r="W58" s="558"/>
      <c r="X58" s="543"/>
    </row>
    <row r="59" spans="1:25" s="544" customFormat="1" x14ac:dyDescent="0.3">
      <c r="A59" s="555"/>
      <c r="B59" s="556" t="s">
        <v>359</v>
      </c>
      <c r="C59" s="556"/>
      <c r="D59" s="556"/>
      <c r="E59" s="556"/>
      <c r="F59" s="556"/>
      <c r="G59" s="556"/>
      <c r="H59" s="556"/>
      <c r="I59" s="556"/>
      <c r="J59" s="556"/>
      <c r="K59" s="556"/>
      <c r="L59" s="556"/>
      <c r="M59" s="556"/>
      <c r="N59" s="556"/>
      <c r="O59" s="556"/>
      <c r="P59" s="556"/>
      <c r="Q59" s="556"/>
      <c r="R59" s="556"/>
      <c r="S59" s="556"/>
      <c r="T59" s="585"/>
      <c r="U59" s="586"/>
      <c r="V59" s="585" t="s">
        <v>154</v>
      </c>
      <c r="W59" s="558"/>
      <c r="X59" s="543"/>
      <c r="Y59" s="587"/>
    </row>
    <row r="60" spans="1:25" s="544" customFormat="1" x14ac:dyDescent="0.3">
      <c r="A60" s="555"/>
      <c r="B60" s="556" t="s">
        <v>16</v>
      </c>
      <c r="C60" s="556"/>
      <c r="D60" s="556"/>
      <c r="E60" s="556"/>
      <c r="F60" s="556"/>
      <c r="G60" s="556"/>
      <c r="H60" s="556"/>
      <c r="I60" s="556"/>
      <c r="J60" s="556"/>
      <c r="K60" s="556"/>
      <c r="L60" s="556"/>
      <c r="M60" s="556"/>
      <c r="N60" s="556"/>
      <c r="O60" s="556"/>
      <c r="P60" s="556"/>
      <c r="Q60" s="556"/>
      <c r="R60" s="556"/>
      <c r="S60" s="556"/>
      <c r="T60" s="585"/>
      <c r="U60" s="586"/>
      <c r="V60" s="585">
        <v>43437</v>
      </c>
      <c r="W60" s="558"/>
      <c r="X60" s="543"/>
    </row>
    <row r="61" spans="1:25" s="544" customFormat="1" x14ac:dyDescent="0.3">
      <c r="A61" s="540"/>
      <c r="B61" s="588"/>
      <c r="C61" s="588"/>
      <c r="D61" s="588"/>
      <c r="E61" s="588"/>
      <c r="F61" s="588"/>
      <c r="G61" s="588"/>
      <c r="H61" s="588"/>
      <c r="I61" s="588"/>
      <c r="J61" s="588"/>
      <c r="K61" s="588"/>
      <c r="L61" s="588"/>
      <c r="M61" s="588"/>
      <c r="N61" s="588"/>
      <c r="O61" s="588"/>
      <c r="P61" s="588"/>
      <c r="Q61" s="588"/>
      <c r="R61" s="588"/>
      <c r="S61" s="588"/>
      <c r="T61" s="589"/>
      <c r="U61" s="590"/>
      <c r="V61" s="589"/>
      <c r="W61" s="588"/>
      <c r="X61" s="543"/>
    </row>
    <row r="62" spans="1:25" s="544" customFormat="1" x14ac:dyDescent="0.3">
      <c r="A62" s="540"/>
      <c r="B62" s="541"/>
      <c r="C62" s="541"/>
      <c r="D62" s="541"/>
      <c r="E62" s="541"/>
      <c r="F62" s="541"/>
      <c r="G62" s="541"/>
      <c r="H62" s="541"/>
      <c r="I62" s="541"/>
      <c r="J62" s="541"/>
      <c r="K62" s="541"/>
      <c r="L62" s="541"/>
      <c r="M62" s="541"/>
      <c r="N62" s="541"/>
      <c r="O62" s="541"/>
      <c r="P62" s="541"/>
      <c r="Q62" s="541"/>
      <c r="R62" s="541"/>
      <c r="S62" s="541"/>
      <c r="T62" s="591"/>
      <c r="U62" s="592"/>
      <c r="V62" s="591"/>
      <c r="W62" s="541"/>
      <c r="X62" s="543"/>
    </row>
    <row r="63" spans="1:25" s="544" customFormat="1" ht="18.600000000000001" thickBot="1" x14ac:dyDescent="0.4">
      <c r="A63" s="593"/>
      <c r="B63" s="594" t="s">
        <v>379</v>
      </c>
      <c r="C63" s="595"/>
      <c r="D63" s="595"/>
      <c r="E63" s="595"/>
      <c r="F63" s="595"/>
      <c r="G63" s="595"/>
      <c r="H63" s="595"/>
      <c r="I63" s="595"/>
      <c r="J63" s="595"/>
      <c r="K63" s="595"/>
      <c r="L63" s="595"/>
      <c r="M63" s="595"/>
      <c r="N63" s="595"/>
      <c r="O63" s="595"/>
      <c r="P63" s="595"/>
      <c r="Q63" s="595"/>
      <c r="R63" s="595"/>
      <c r="S63" s="595"/>
      <c r="T63" s="595"/>
      <c r="U63" s="595"/>
      <c r="V63" s="596"/>
      <c r="W63" s="597"/>
      <c r="X63" s="543"/>
    </row>
    <row r="64" spans="1:25" x14ac:dyDescent="0.3">
      <c r="A64" s="515"/>
      <c r="B64" s="521" t="s">
        <v>17</v>
      </c>
      <c r="C64" s="516"/>
      <c r="D64" s="516"/>
      <c r="E64" s="516"/>
      <c r="F64" s="516"/>
      <c r="G64" s="516"/>
      <c r="H64" s="516"/>
      <c r="I64" s="516"/>
      <c r="J64" s="516"/>
      <c r="K64" s="516"/>
      <c r="L64" s="516"/>
      <c r="M64" s="516"/>
      <c r="N64" s="516"/>
      <c r="O64" s="516"/>
      <c r="P64" s="516"/>
      <c r="Q64" s="516"/>
      <c r="R64" s="516"/>
      <c r="S64" s="516"/>
      <c r="T64" s="516"/>
      <c r="U64" s="516"/>
      <c r="V64" s="522"/>
      <c r="W64" s="516"/>
      <c r="X64" s="415"/>
    </row>
    <row r="65" spans="1:24" x14ac:dyDescent="0.3">
      <c r="A65" s="417"/>
      <c r="B65" s="425"/>
      <c r="C65" s="419"/>
      <c r="D65" s="419"/>
      <c r="E65" s="419"/>
      <c r="F65" s="419"/>
      <c r="G65" s="419"/>
      <c r="H65" s="419"/>
      <c r="I65" s="419"/>
      <c r="J65" s="419"/>
      <c r="K65" s="419"/>
      <c r="L65" s="419"/>
      <c r="M65" s="419"/>
      <c r="N65" s="419"/>
      <c r="O65" s="419"/>
      <c r="P65" s="419"/>
      <c r="Q65" s="419"/>
      <c r="R65" s="419"/>
      <c r="S65" s="419"/>
      <c r="T65" s="419"/>
      <c r="U65" s="419"/>
      <c r="V65" s="439"/>
      <c r="W65" s="419"/>
      <c r="X65" s="415"/>
    </row>
    <row r="66" spans="1:24" s="499" customFormat="1" ht="46.8" x14ac:dyDescent="0.3">
      <c r="A66" s="502"/>
      <c r="B66" s="503" t="s">
        <v>18</v>
      </c>
      <c r="C66" s="504"/>
      <c r="D66" s="504"/>
      <c r="E66" s="504"/>
      <c r="F66" s="504"/>
      <c r="G66" s="504"/>
      <c r="H66" s="504"/>
      <c r="I66" s="504"/>
      <c r="J66" s="504"/>
      <c r="K66" s="504"/>
      <c r="L66" s="504" t="s">
        <v>94</v>
      </c>
      <c r="M66" s="504"/>
      <c r="N66" s="504" t="s">
        <v>96</v>
      </c>
      <c r="O66" s="504"/>
      <c r="P66" s="504" t="s">
        <v>98</v>
      </c>
      <c r="Q66" s="504"/>
      <c r="R66" s="504" t="s">
        <v>100</v>
      </c>
      <c r="S66" s="504"/>
      <c r="T66" s="504" t="s">
        <v>106</v>
      </c>
      <c r="U66" s="504"/>
      <c r="V66" s="505" t="s">
        <v>112</v>
      </c>
      <c r="W66" s="506"/>
      <c r="X66" s="498"/>
    </row>
    <row r="67" spans="1:24" s="544" customFormat="1" x14ac:dyDescent="0.3">
      <c r="A67" s="555"/>
      <c r="B67" s="556" t="s">
        <v>19</v>
      </c>
      <c r="C67" s="598"/>
      <c r="D67" s="598"/>
      <c r="E67" s="598"/>
      <c r="F67" s="598"/>
      <c r="G67" s="598"/>
      <c r="H67" s="598"/>
      <c r="I67" s="598"/>
      <c r="J67" s="598"/>
      <c r="K67" s="598"/>
      <c r="L67" s="598">
        <v>1158015</v>
      </c>
      <c r="M67" s="598"/>
      <c r="N67" s="599">
        <v>815747</v>
      </c>
      <c r="O67" s="598"/>
      <c r="P67" s="598">
        <f>13542+216</f>
        <v>13758</v>
      </c>
      <c r="Q67" s="598"/>
      <c r="R67" s="598">
        <v>216</v>
      </c>
      <c r="S67" s="598"/>
      <c r="T67" s="598">
        <v>0</v>
      </c>
      <c r="U67" s="598"/>
      <c r="V67" s="599">
        <f>+N67-P67+R67-T67</f>
        <v>802205</v>
      </c>
      <c r="W67" s="558"/>
      <c r="X67" s="543"/>
    </row>
    <row r="68" spans="1:24" s="544" customFormat="1" x14ac:dyDescent="0.3">
      <c r="A68" s="555"/>
      <c r="B68" s="556" t="s">
        <v>20</v>
      </c>
      <c r="C68" s="598"/>
      <c r="D68" s="598"/>
      <c r="E68" s="598"/>
      <c r="F68" s="598"/>
      <c r="G68" s="598"/>
      <c r="H68" s="598"/>
      <c r="I68" s="598"/>
      <c r="J68" s="598"/>
      <c r="K68" s="598"/>
      <c r="L68" s="598">
        <v>15</v>
      </c>
      <c r="M68" s="598"/>
      <c r="N68" s="599">
        <v>0</v>
      </c>
      <c r="O68" s="598"/>
      <c r="P68" s="598">
        <v>0</v>
      </c>
      <c r="Q68" s="598"/>
      <c r="R68" s="598">
        <v>0</v>
      </c>
      <c r="S68" s="598"/>
      <c r="T68" s="598">
        <v>0</v>
      </c>
      <c r="U68" s="598"/>
      <c r="V68" s="599">
        <v>0</v>
      </c>
      <c r="W68" s="558"/>
      <c r="X68" s="543"/>
    </row>
    <row r="69" spans="1:24" s="544" customFormat="1" x14ac:dyDescent="0.3">
      <c r="A69" s="555"/>
      <c r="B69" s="556"/>
      <c r="C69" s="598"/>
      <c r="D69" s="598"/>
      <c r="E69" s="598"/>
      <c r="F69" s="598"/>
      <c r="G69" s="598"/>
      <c r="H69" s="598"/>
      <c r="I69" s="598"/>
      <c r="J69" s="598"/>
      <c r="K69" s="598"/>
      <c r="L69" s="598"/>
      <c r="M69" s="598"/>
      <c r="N69" s="599"/>
      <c r="O69" s="598"/>
      <c r="P69" s="598"/>
      <c r="Q69" s="598"/>
      <c r="R69" s="598"/>
      <c r="S69" s="598"/>
      <c r="T69" s="598"/>
      <c r="U69" s="598"/>
      <c r="V69" s="599"/>
      <c r="W69" s="558"/>
      <c r="X69" s="543"/>
    </row>
    <row r="70" spans="1:24" s="544" customFormat="1" x14ac:dyDescent="0.3">
      <c r="A70" s="555"/>
      <c r="B70" s="556" t="s">
        <v>21</v>
      </c>
      <c r="C70" s="598"/>
      <c r="D70" s="598"/>
      <c r="E70" s="598"/>
      <c r="F70" s="598"/>
      <c r="G70" s="598"/>
      <c r="H70" s="598"/>
      <c r="I70" s="598"/>
      <c r="J70" s="598"/>
      <c r="K70" s="598"/>
      <c r="L70" s="598">
        <f>SUM(L67:L69)</f>
        <v>1158030</v>
      </c>
      <c r="M70" s="598"/>
      <c r="N70" s="598">
        <f>N67+N68</f>
        <v>815747</v>
      </c>
      <c r="O70" s="598"/>
      <c r="P70" s="598">
        <f>SUM(P67:P69)</f>
        <v>13758</v>
      </c>
      <c r="Q70" s="598"/>
      <c r="R70" s="598">
        <f>SUM(R67:R69)</f>
        <v>216</v>
      </c>
      <c r="S70" s="598"/>
      <c r="T70" s="598">
        <f>SUM(T67:T69)</f>
        <v>0</v>
      </c>
      <c r="U70" s="598"/>
      <c r="V70" s="598">
        <f>SUM(V67:V69)</f>
        <v>802205</v>
      </c>
      <c r="W70" s="558"/>
      <c r="X70" s="543"/>
    </row>
    <row r="71" spans="1:24" x14ac:dyDescent="0.3">
      <c r="A71" s="417"/>
      <c r="B71" s="441"/>
      <c r="C71" s="442"/>
      <c r="D71" s="442"/>
      <c r="E71" s="442"/>
      <c r="F71" s="442"/>
      <c r="G71" s="442"/>
      <c r="H71" s="442"/>
      <c r="I71" s="442"/>
      <c r="J71" s="442"/>
      <c r="K71" s="442"/>
      <c r="L71" s="442"/>
      <c r="M71" s="442"/>
      <c r="N71" s="442"/>
      <c r="O71" s="442"/>
      <c r="P71" s="442"/>
      <c r="Q71" s="442"/>
      <c r="R71" s="442"/>
      <c r="S71" s="442"/>
      <c r="T71" s="442"/>
      <c r="U71" s="442"/>
      <c r="V71" s="443"/>
      <c r="W71" s="441"/>
      <c r="X71" s="415"/>
    </row>
    <row r="72" spans="1:24" x14ac:dyDescent="0.3">
      <c r="A72" s="417"/>
      <c r="B72" s="421" t="s">
        <v>22</v>
      </c>
      <c r="C72" s="444"/>
      <c r="D72" s="444"/>
      <c r="E72" s="444"/>
      <c r="F72" s="444"/>
      <c r="G72" s="444"/>
      <c r="H72" s="444"/>
      <c r="I72" s="444"/>
      <c r="J72" s="444"/>
      <c r="K72" s="444"/>
      <c r="L72" s="444"/>
      <c r="M72" s="444"/>
      <c r="N72" s="444"/>
      <c r="O72" s="444"/>
      <c r="P72" s="444"/>
      <c r="Q72" s="444"/>
      <c r="R72" s="444"/>
      <c r="S72" s="444"/>
      <c r="T72" s="444"/>
      <c r="U72" s="444"/>
      <c r="V72" s="445"/>
      <c r="W72" s="419"/>
      <c r="X72" s="415"/>
    </row>
    <row r="73" spans="1:24" x14ac:dyDescent="0.3">
      <c r="A73" s="417"/>
      <c r="B73" s="419"/>
      <c r="C73" s="444"/>
      <c r="D73" s="444"/>
      <c r="E73" s="444"/>
      <c r="F73" s="444"/>
      <c r="G73" s="444"/>
      <c r="H73" s="444"/>
      <c r="I73" s="444"/>
      <c r="J73" s="444"/>
      <c r="K73" s="444"/>
      <c r="L73" s="444"/>
      <c r="M73" s="444"/>
      <c r="N73" s="444"/>
      <c r="O73" s="444"/>
      <c r="P73" s="444"/>
      <c r="Q73" s="444"/>
      <c r="R73" s="444"/>
      <c r="S73" s="444"/>
      <c r="T73" s="444"/>
      <c r="U73" s="444"/>
      <c r="V73" s="445"/>
      <c r="W73" s="419"/>
      <c r="X73" s="415"/>
    </row>
    <row r="74" spans="1:24" s="544" customFormat="1" x14ac:dyDescent="0.3">
      <c r="A74" s="555"/>
      <c r="B74" s="556" t="s">
        <v>19</v>
      </c>
      <c r="C74" s="598"/>
      <c r="D74" s="598"/>
      <c r="E74" s="598"/>
      <c r="F74" s="598"/>
      <c r="G74" s="598"/>
      <c r="H74" s="598"/>
      <c r="I74" s="598"/>
      <c r="J74" s="598"/>
      <c r="K74" s="598"/>
      <c r="L74" s="598"/>
      <c r="M74" s="598"/>
      <c r="N74" s="598"/>
      <c r="O74" s="598"/>
      <c r="P74" s="598"/>
      <c r="Q74" s="598"/>
      <c r="R74" s="598"/>
      <c r="S74" s="598"/>
      <c r="T74" s="598"/>
      <c r="U74" s="598"/>
      <c r="V74" s="598"/>
      <c r="W74" s="558"/>
      <c r="X74" s="543"/>
    </row>
    <row r="75" spans="1:24" s="544" customFormat="1" x14ac:dyDescent="0.3">
      <c r="A75" s="555"/>
      <c r="B75" s="556" t="s">
        <v>20</v>
      </c>
      <c r="C75" s="598"/>
      <c r="D75" s="598"/>
      <c r="E75" s="598"/>
      <c r="F75" s="598"/>
      <c r="G75" s="598"/>
      <c r="H75" s="598"/>
      <c r="I75" s="598"/>
      <c r="J75" s="598"/>
      <c r="K75" s="598"/>
      <c r="L75" s="598"/>
      <c r="M75" s="598"/>
      <c r="N75" s="598"/>
      <c r="O75" s="598"/>
      <c r="P75" s="598"/>
      <c r="Q75" s="598"/>
      <c r="R75" s="598"/>
      <c r="S75" s="598"/>
      <c r="T75" s="598"/>
      <c r="U75" s="598"/>
      <c r="V75" s="598"/>
      <c r="W75" s="558"/>
      <c r="X75" s="543"/>
    </row>
    <row r="76" spans="1:24" s="544" customFormat="1" x14ac:dyDescent="0.3">
      <c r="A76" s="555"/>
      <c r="B76" s="556"/>
      <c r="C76" s="598"/>
      <c r="D76" s="598"/>
      <c r="E76" s="598"/>
      <c r="F76" s="598"/>
      <c r="G76" s="598"/>
      <c r="H76" s="598"/>
      <c r="I76" s="598"/>
      <c r="J76" s="598"/>
      <c r="K76" s="598"/>
      <c r="L76" s="598"/>
      <c r="M76" s="598"/>
      <c r="N76" s="598"/>
      <c r="O76" s="598"/>
      <c r="P76" s="598"/>
      <c r="Q76" s="598"/>
      <c r="R76" s="598"/>
      <c r="S76" s="598"/>
      <c r="T76" s="598"/>
      <c r="U76" s="598"/>
      <c r="V76" s="598"/>
      <c r="W76" s="558"/>
      <c r="X76" s="543"/>
    </row>
    <row r="77" spans="1:24" s="544" customFormat="1" x14ac:dyDescent="0.3">
      <c r="A77" s="555"/>
      <c r="B77" s="556" t="s">
        <v>21</v>
      </c>
      <c r="C77" s="598"/>
      <c r="D77" s="598"/>
      <c r="E77" s="598"/>
      <c r="F77" s="598"/>
      <c r="G77" s="598"/>
      <c r="H77" s="598"/>
      <c r="I77" s="598"/>
      <c r="J77" s="598"/>
      <c r="K77" s="598"/>
      <c r="L77" s="598"/>
      <c r="M77" s="598"/>
      <c r="N77" s="598"/>
      <c r="O77" s="598"/>
      <c r="P77" s="598"/>
      <c r="Q77" s="598"/>
      <c r="R77" s="598"/>
      <c r="S77" s="598"/>
      <c r="T77" s="598"/>
      <c r="U77" s="598"/>
      <c r="V77" s="598"/>
      <c r="W77" s="558"/>
      <c r="X77" s="543"/>
    </row>
    <row r="78" spans="1:24" s="544" customFormat="1" x14ac:dyDescent="0.3">
      <c r="A78" s="555"/>
      <c r="B78" s="556"/>
      <c r="C78" s="598"/>
      <c r="D78" s="598"/>
      <c r="E78" s="598"/>
      <c r="F78" s="598"/>
      <c r="G78" s="598"/>
      <c r="H78" s="598"/>
      <c r="I78" s="598"/>
      <c r="J78" s="598"/>
      <c r="K78" s="598"/>
      <c r="L78" s="598"/>
      <c r="M78" s="598"/>
      <c r="N78" s="598"/>
      <c r="O78" s="598"/>
      <c r="P78" s="598"/>
      <c r="Q78" s="598"/>
      <c r="R78" s="598"/>
      <c r="S78" s="598"/>
      <c r="T78" s="598"/>
      <c r="U78" s="598"/>
      <c r="V78" s="598"/>
      <c r="W78" s="558"/>
      <c r="X78" s="543"/>
    </row>
    <row r="79" spans="1:24" s="544" customFormat="1" x14ac:dyDescent="0.3">
      <c r="A79" s="555"/>
      <c r="B79" s="556" t="s">
        <v>23</v>
      </c>
      <c r="C79" s="598"/>
      <c r="D79" s="598"/>
      <c r="E79" s="598"/>
      <c r="F79" s="598"/>
      <c r="G79" s="598"/>
      <c r="H79" s="598"/>
      <c r="I79" s="598"/>
      <c r="J79" s="598"/>
      <c r="K79" s="598"/>
      <c r="L79" s="598">
        <v>0</v>
      </c>
      <c r="M79" s="598"/>
      <c r="N79" s="598">
        <v>0</v>
      </c>
      <c r="O79" s="598"/>
      <c r="P79" s="598"/>
      <c r="Q79" s="598"/>
      <c r="R79" s="598"/>
      <c r="S79" s="598"/>
      <c r="T79" s="598"/>
      <c r="U79" s="598"/>
      <c r="V79" s="599">
        <v>0</v>
      </c>
      <c r="W79" s="558"/>
      <c r="X79" s="543"/>
    </row>
    <row r="80" spans="1:24" s="544" customFormat="1" x14ac:dyDescent="0.3">
      <c r="A80" s="555"/>
      <c r="B80" s="556" t="s">
        <v>117</v>
      </c>
      <c r="C80" s="598"/>
      <c r="D80" s="598"/>
      <c r="E80" s="598"/>
      <c r="F80" s="598"/>
      <c r="G80" s="598"/>
      <c r="H80" s="598"/>
      <c r="I80" s="598"/>
      <c r="J80" s="598"/>
      <c r="K80" s="598"/>
      <c r="L80" s="598">
        <v>342245</v>
      </c>
      <c r="M80" s="598"/>
      <c r="N80" s="598">
        <v>0</v>
      </c>
      <c r="O80" s="598"/>
      <c r="P80" s="598">
        <v>0</v>
      </c>
      <c r="Q80" s="598"/>
      <c r="R80" s="598"/>
      <c r="S80" s="598"/>
      <c r="T80" s="598"/>
      <c r="U80" s="598"/>
      <c r="V80" s="598">
        <f>SUM(N80:R80)</f>
        <v>0</v>
      </c>
      <c r="W80" s="558"/>
      <c r="X80" s="543"/>
    </row>
    <row r="81" spans="1:24" s="544" customFormat="1" x14ac:dyDescent="0.3">
      <c r="A81" s="555"/>
      <c r="B81" s="556" t="s">
        <v>146</v>
      </c>
      <c r="C81" s="598"/>
      <c r="D81" s="598"/>
      <c r="E81" s="598"/>
      <c r="F81" s="598"/>
      <c r="G81" s="598"/>
      <c r="H81" s="598"/>
      <c r="I81" s="598"/>
      <c r="J81" s="598"/>
      <c r="K81" s="598"/>
      <c r="L81" s="598">
        <v>0</v>
      </c>
      <c r="M81" s="598"/>
      <c r="N81" s="598">
        <v>0</v>
      </c>
      <c r="O81" s="598"/>
      <c r="P81" s="598">
        <v>0</v>
      </c>
      <c r="Q81" s="598"/>
      <c r="R81" s="598"/>
      <c r="S81" s="598"/>
      <c r="T81" s="598"/>
      <c r="U81" s="598"/>
      <c r="V81" s="598">
        <f>+N81+P81</f>
        <v>0</v>
      </c>
      <c r="W81" s="558"/>
      <c r="X81" s="543"/>
    </row>
    <row r="82" spans="1:24" s="544" customFormat="1" x14ac:dyDescent="0.3">
      <c r="A82" s="555"/>
      <c r="B82" s="556" t="s">
        <v>25</v>
      </c>
      <c r="C82" s="598"/>
      <c r="D82" s="598"/>
      <c r="E82" s="598"/>
      <c r="F82" s="598"/>
      <c r="G82" s="598"/>
      <c r="H82" s="598"/>
      <c r="I82" s="598"/>
      <c r="J82" s="598"/>
      <c r="K82" s="598"/>
      <c r="L82" s="598">
        <v>0</v>
      </c>
      <c r="M82" s="598"/>
      <c r="N82" s="598">
        <v>0</v>
      </c>
      <c r="O82" s="598"/>
      <c r="P82" s="598"/>
      <c r="Q82" s="598"/>
      <c r="R82" s="598"/>
      <c r="S82" s="598"/>
      <c r="T82" s="598"/>
      <c r="U82" s="598"/>
      <c r="V82" s="598">
        <v>0</v>
      </c>
      <c r="W82" s="558"/>
      <c r="X82" s="543"/>
    </row>
    <row r="83" spans="1:24" s="544" customFormat="1" x14ac:dyDescent="0.3">
      <c r="A83" s="555"/>
      <c r="B83" s="556" t="s">
        <v>26</v>
      </c>
      <c r="C83" s="598"/>
      <c r="D83" s="598"/>
      <c r="E83" s="598"/>
      <c r="F83" s="598"/>
      <c r="G83" s="598"/>
      <c r="H83" s="598"/>
      <c r="I83" s="598"/>
      <c r="J83" s="598"/>
      <c r="K83" s="598"/>
      <c r="L83" s="598">
        <f>SUM(L70:L82)</f>
        <v>1500275</v>
      </c>
      <c r="M83" s="598"/>
      <c r="N83" s="598">
        <f>SUM(N70:N82)</f>
        <v>815747</v>
      </c>
      <c r="O83" s="598"/>
      <c r="P83" s="598"/>
      <c r="Q83" s="598"/>
      <c r="R83" s="598"/>
      <c r="S83" s="598"/>
      <c r="T83" s="598"/>
      <c r="U83" s="598"/>
      <c r="V83" s="598">
        <f>SUM(V70:V82)</f>
        <v>802205</v>
      </c>
      <c r="W83" s="558"/>
      <c r="X83" s="543"/>
    </row>
    <row r="84" spans="1:24" x14ac:dyDescent="0.3">
      <c r="A84" s="446"/>
      <c r="B84" s="437"/>
      <c r="C84" s="447"/>
      <c r="D84" s="447"/>
      <c r="E84" s="447"/>
      <c r="F84" s="447"/>
      <c r="G84" s="447"/>
      <c r="H84" s="447"/>
      <c r="I84" s="447"/>
      <c r="J84" s="447"/>
      <c r="K84" s="447"/>
      <c r="L84" s="447"/>
      <c r="M84" s="447"/>
      <c r="N84" s="447"/>
      <c r="O84" s="447"/>
      <c r="P84" s="447"/>
      <c r="Q84" s="447"/>
      <c r="R84" s="447"/>
      <c r="S84" s="447"/>
      <c r="T84" s="447"/>
      <c r="U84" s="447"/>
      <c r="V84" s="447"/>
      <c r="W84" s="437"/>
      <c r="X84" s="415"/>
    </row>
    <row r="85" spans="1:24" x14ac:dyDescent="0.3">
      <c r="A85" s="446"/>
      <c r="B85" s="427"/>
      <c r="C85" s="427"/>
      <c r="D85" s="427"/>
      <c r="E85" s="427"/>
      <c r="F85" s="427"/>
      <c r="G85" s="427"/>
      <c r="H85" s="427"/>
      <c r="I85" s="427"/>
      <c r="J85" s="427"/>
      <c r="K85" s="427"/>
      <c r="L85" s="427"/>
      <c r="M85" s="427"/>
      <c r="N85" s="427"/>
      <c r="O85" s="427"/>
      <c r="P85" s="427"/>
      <c r="Q85" s="427"/>
      <c r="R85" s="427"/>
      <c r="S85" s="427"/>
      <c r="T85" s="427"/>
      <c r="U85" s="427"/>
      <c r="V85" s="427"/>
      <c r="W85" s="427"/>
      <c r="X85" s="415"/>
    </row>
    <row r="86" spans="1:24" x14ac:dyDescent="0.3">
      <c r="A86" s="515"/>
      <c r="B86" s="523" t="s">
        <v>27</v>
      </c>
      <c r="C86" s="523"/>
      <c r="D86" s="523"/>
      <c r="E86" s="523"/>
      <c r="F86" s="523"/>
      <c r="G86" s="523"/>
      <c r="H86" s="524"/>
      <c r="I86" s="524"/>
      <c r="J86" s="524"/>
      <c r="K86" s="524"/>
      <c r="L86" s="525" t="s">
        <v>95</v>
      </c>
      <c r="M86" s="524"/>
      <c r="N86" s="526">
        <f>+T204</f>
        <v>43434</v>
      </c>
      <c r="O86" s="524"/>
      <c r="P86" s="524"/>
      <c r="Q86" s="524"/>
      <c r="R86" s="524"/>
      <c r="S86" s="524"/>
      <c r="T86" s="524" t="s">
        <v>107</v>
      </c>
      <c r="U86" s="524"/>
      <c r="V86" s="524" t="s">
        <v>113</v>
      </c>
      <c r="W86" s="520"/>
      <c r="X86" s="415"/>
    </row>
    <row r="87" spans="1:24" s="544" customFormat="1" x14ac:dyDescent="0.3">
      <c r="A87" s="540"/>
      <c r="B87" s="588" t="s">
        <v>28</v>
      </c>
      <c r="C87" s="588"/>
      <c r="D87" s="588"/>
      <c r="E87" s="588"/>
      <c r="F87" s="588"/>
      <c r="G87" s="588"/>
      <c r="H87" s="588"/>
      <c r="I87" s="588"/>
      <c r="J87" s="588"/>
      <c r="K87" s="588"/>
      <c r="L87" s="588"/>
      <c r="M87" s="588"/>
      <c r="N87" s="588"/>
      <c r="O87" s="588"/>
      <c r="P87" s="588"/>
      <c r="Q87" s="588"/>
      <c r="R87" s="588"/>
      <c r="S87" s="588"/>
      <c r="T87" s="600">
        <v>0</v>
      </c>
      <c r="U87" s="588"/>
      <c r="V87" s="601">
        <v>0</v>
      </c>
      <c r="W87" s="588"/>
      <c r="X87" s="543"/>
    </row>
    <row r="88" spans="1:24" s="544" customFormat="1" x14ac:dyDescent="0.3">
      <c r="A88" s="555"/>
      <c r="B88" s="556" t="s">
        <v>29</v>
      </c>
      <c r="C88" s="556"/>
      <c r="D88" s="556"/>
      <c r="E88" s="556"/>
      <c r="F88" s="556"/>
      <c r="G88" s="556"/>
      <c r="H88" s="578"/>
      <c r="I88" s="578"/>
      <c r="J88" s="578"/>
      <c r="K88" s="602"/>
      <c r="L88" s="578"/>
      <c r="M88" s="556"/>
      <c r="N88" s="603"/>
      <c r="O88" s="556"/>
      <c r="P88" s="556"/>
      <c r="Q88" s="556"/>
      <c r="R88" s="556"/>
      <c r="S88" s="556"/>
      <c r="T88" s="598">
        <f>13758-25</f>
        <v>13733</v>
      </c>
      <c r="U88" s="556"/>
      <c r="V88" s="599"/>
      <c r="W88" s="558"/>
      <c r="X88" s="543"/>
    </row>
    <row r="89" spans="1:24" s="544" customFormat="1" x14ac:dyDescent="0.3">
      <c r="A89" s="555"/>
      <c r="B89" s="556" t="s">
        <v>216</v>
      </c>
      <c r="C89" s="556"/>
      <c r="D89" s="556"/>
      <c r="E89" s="556"/>
      <c r="F89" s="556"/>
      <c r="G89" s="556"/>
      <c r="H89" s="578"/>
      <c r="I89" s="578"/>
      <c r="J89" s="578"/>
      <c r="K89" s="602"/>
      <c r="L89" s="578"/>
      <c r="M89" s="556"/>
      <c r="N89" s="603"/>
      <c r="O89" s="556"/>
      <c r="P89" s="556"/>
      <c r="Q89" s="556"/>
      <c r="R89" s="556"/>
      <c r="S89" s="556"/>
      <c r="T89" s="598"/>
      <c r="U89" s="556"/>
      <c r="V89" s="599">
        <f>3159+3518-524-745</f>
        <v>5408</v>
      </c>
      <c r="W89" s="558"/>
      <c r="X89" s="543"/>
    </row>
    <row r="90" spans="1:24" s="544" customFormat="1" x14ac:dyDescent="0.3">
      <c r="A90" s="555"/>
      <c r="B90" s="556" t="s">
        <v>211</v>
      </c>
      <c r="C90" s="556"/>
      <c r="D90" s="556"/>
      <c r="E90" s="556"/>
      <c r="F90" s="556"/>
      <c r="G90" s="556"/>
      <c r="H90" s="578"/>
      <c r="I90" s="578"/>
      <c r="J90" s="578"/>
      <c r="K90" s="602"/>
      <c r="L90" s="578"/>
      <c r="M90" s="556"/>
      <c r="N90" s="603"/>
      <c r="O90" s="556"/>
      <c r="P90" s="556"/>
      <c r="Q90" s="556"/>
      <c r="R90" s="556"/>
      <c r="S90" s="556"/>
      <c r="T90" s="598"/>
      <c r="U90" s="556"/>
      <c r="V90" s="599">
        <f>36+32</f>
        <v>68</v>
      </c>
      <c r="W90" s="558"/>
      <c r="X90" s="543"/>
    </row>
    <row r="91" spans="1:24" s="544" customFormat="1" x14ac:dyDescent="0.3">
      <c r="A91" s="555"/>
      <c r="B91" s="556" t="s">
        <v>212</v>
      </c>
      <c r="C91" s="556"/>
      <c r="D91" s="556"/>
      <c r="E91" s="556"/>
      <c r="F91" s="556"/>
      <c r="G91" s="556"/>
      <c r="H91" s="578"/>
      <c r="I91" s="578"/>
      <c r="J91" s="578"/>
      <c r="K91" s="602"/>
      <c r="L91" s="578"/>
      <c r="M91" s="556"/>
      <c r="N91" s="603"/>
      <c r="O91" s="556"/>
      <c r="P91" s="556"/>
      <c r="Q91" s="556"/>
      <c r="R91" s="556"/>
      <c r="S91" s="556"/>
      <c r="T91" s="598"/>
      <c r="U91" s="556"/>
      <c r="V91" s="599">
        <v>68</v>
      </c>
      <c r="W91" s="558"/>
      <c r="X91" s="543"/>
    </row>
    <row r="92" spans="1:24" s="544" customFormat="1" x14ac:dyDescent="0.3">
      <c r="A92" s="555"/>
      <c r="B92" s="556" t="s">
        <v>272</v>
      </c>
      <c r="C92" s="556"/>
      <c r="D92" s="556"/>
      <c r="E92" s="556"/>
      <c r="F92" s="556"/>
      <c r="G92" s="556"/>
      <c r="H92" s="578"/>
      <c r="I92" s="578"/>
      <c r="J92" s="578"/>
      <c r="K92" s="602"/>
      <c r="L92" s="578"/>
      <c r="M92" s="556"/>
      <c r="N92" s="603"/>
      <c r="O92" s="556"/>
      <c r="P92" s="556"/>
      <c r="Q92" s="556"/>
      <c r="R92" s="556"/>
      <c r="S92" s="556"/>
      <c r="T92" s="598"/>
      <c r="U92" s="556"/>
      <c r="V92" s="599">
        <v>0</v>
      </c>
      <c r="W92" s="558"/>
      <c r="X92" s="543"/>
    </row>
    <row r="93" spans="1:24" s="544" customFormat="1" x14ac:dyDescent="0.3">
      <c r="A93" s="555"/>
      <c r="B93" s="556" t="s">
        <v>274</v>
      </c>
      <c r="C93" s="556"/>
      <c r="D93" s="556"/>
      <c r="E93" s="556"/>
      <c r="F93" s="556"/>
      <c r="G93" s="556"/>
      <c r="H93" s="578"/>
      <c r="I93" s="578"/>
      <c r="J93" s="578"/>
      <c r="K93" s="602"/>
      <c r="L93" s="578"/>
      <c r="M93" s="556"/>
      <c r="N93" s="603"/>
      <c r="O93" s="556"/>
      <c r="P93" s="556"/>
      <c r="Q93" s="556"/>
      <c r="R93" s="556"/>
      <c r="S93" s="556"/>
      <c r="T93" s="598"/>
      <c r="U93" s="556"/>
      <c r="V93" s="599">
        <v>0</v>
      </c>
      <c r="W93" s="558"/>
      <c r="X93" s="543"/>
    </row>
    <row r="94" spans="1:24" s="544" customFormat="1" x14ac:dyDescent="0.3">
      <c r="A94" s="555"/>
      <c r="B94" s="556" t="s">
        <v>135</v>
      </c>
      <c r="C94" s="556"/>
      <c r="D94" s="556"/>
      <c r="E94" s="556"/>
      <c r="F94" s="556"/>
      <c r="G94" s="556"/>
      <c r="H94" s="556"/>
      <c r="I94" s="556"/>
      <c r="J94" s="556"/>
      <c r="K94" s="556"/>
      <c r="L94" s="556"/>
      <c r="M94" s="556"/>
      <c r="N94" s="556"/>
      <c r="O94" s="556"/>
      <c r="P94" s="556"/>
      <c r="Q94" s="556"/>
      <c r="R94" s="556"/>
      <c r="S94" s="556"/>
      <c r="T94" s="598"/>
      <c r="U94" s="556"/>
      <c r="V94" s="599">
        <v>0</v>
      </c>
      <c r="W94" s="558"/>
      <c r="X94" s="543"/>
    </row>
    <row r="95" spans="1:24" s="544" customFormat="1" x14ac:dyDescent="0.3">
      <c r="A95" s="555"/>
      <c r="B95" s="556" t="s">
        <v>268</v>
      </c>
      <c r="C95" s="556"/>
      <c r="D95" s="556"/>
      <c r="E95" s="556"/>
      <c r="F95" s="556"/>
      <c r="G95" s="556"/>
      <c r="H95" s="556"/>
      <c r="I95" s="556"/>
      <c r="J95" s="556"/>
      <c r="K95" s="556"/>
      <c r="L95" s="556"/>
      <c r="M95" s="556"/>
      <c r="N95" s="556"/>
      <c r="O95" s="556"/>
      <c r="P95" s="556"/>
      <c r="Q95" s="556"/>
      <c r="R95" s="556"/>
      <c r="S95" s="556"/>
      <c r="T95" s="598"/>
      <c r="U95" s="556"/>
      <c r="V95" s="599">
        <v>142</v>
      </c>
      <c r="W95" s="558"/>
      <c r="X95" s="543"/>
    </row>
    <row r="96" spans="1:24" s="544" customFormat="1" x14ac:dyDescent="0.3">
      <c r="A96" s="555"/>
      <c r="B96" s="556" t="s">
        <v>30</v>
      </c>
      <c r="C96" s="556"/>
      <c r="D96" s="556"/>
      <c r="E96" s="556"/>
      <c r="F96" s="556"/>
      <c r="G96" s="556"/>
      <c r="H96" s="556"/>
      <c r="I96" s="556"/>
      <c r="J96" s="556"/>
      <c r="K96" s="556"/>
      <c r="L96" s="556"/>
      <c r="M96" s="556"/>
      <c r="N96" s="556"/>
      <c r="O96" s="556"/>
      <c r="P96" s="556"/>
      <c r="Q96" s="556"/>
      <c r="R96" s="556"/>
      <c r="S96" s="556"/>
      <c r="T96" s="598">
        <f>SUM(T87:T95)</f>
        <v>13733</v>
      </c>
      <c r="U96" s="556"/>
      <c r="V96" s="598">
        <f>SUM(V87:V95)</f>
        <v>5686</v>
      </c>
      <c r="W96" s="558"/>
      <c r="X96" s="543"/>
    </row>
    <row r="97" spans="1:25" s="544" customFormat="1" x14ac:dyDescent="0.3">
      <c r="A97" s="555"/>
      <c r="B97" s="556" t="s">
        <v>161</v>
      </c>
      <c r="C97" s="556"/>
      <c r="D97" s="556"/>
      <c r="E97" s="556"/>
      <c r="F97" s="556"/>
      <c r="G97" s="556"/>
      <c r="H97" s="556"/>
      <c r="I97" s="556"/>
      <c r="J97" s="556"/>
      <c r="K97" s="556"/>
      <c r="L97" s="556"/>
      <c r="M97" s="556"/>
      <c r="N97" s="556"/>
      <c r="O97" s="556"/>
      <c r="P97" s="556"/>
      <c r="Q97" s="556"/>
      <c r="R97" s="556"/>
      <c r="S97" s="556"/>
      <c r="T97" s="598">
        <f>-V97</f>
        <v>0</v>
      </c>
      <c r="U97" s="556"/>
      <c r="V97" s="598">
        <v>0</v>
      </c>
      <c r="W97" s="558"/>
      <c r="X97" s="543"/>
    </row>
    <row r="98" spans="1:25" s="544" customFormat="1" x14ac:dyDescent="0.3">
      <c r="A98" s="555"/>
      <c r="B98" s="556" t="s">
        <v>31</v>
      </c>
      <c r="C98" s="556"/>
      <c r="D98" s="556"/>
      <c r="E98" s="556"/>
      <c r="F98" s="556"/>
      <c r="G98" s="556"/>
      <c r="H98" s="556"/>
      <c r="I98" s="556"/>
      <c r="J98" s="556"/>
      <c r="K98" s="556"/>
      <c r="L98" s="556"/>
      <c r="M98" s="556"/>
      <c r="N98" s="556"/>
      <c r="O98" s="556"/>
      <c r="P98" s="556"/>
      <c r="Q98" s="556"/>
      <c r="R98" s="556"/>
      <c r="S98" s="556"/>
      <c r="T98" s="598">
        <f>-V98</f>
        <v>0</v>
      </c>
      <c r="U98" s="556"/>
      <c r="V98" s="599">
        <v>0</v>
      </c>
      <c r="W98" s="558"/>
      <c r="X98" s="543"/>
    </row>
    <row r="99" spans="1:25" s="544" customFormat="1" x14ac:dyDescent="0.3">
      <c r="A99" s="555"/>
      <c r="B99" s="556" t="s">
        <v>283</v>
      </c>
      <c r="C99" s="556"/>
      <c r="D99" s="556"/>
      <c r="E99" s="556"/>
      <c r="F99" s="556"/>
      <c r="G99" s="556"/>
      <c r="H99" s="556"/>
      <c r="I99" s="556"/>
      <c r="J99" s="556"/>
      <c r="K99" s="556"/>
      <c r="L99" s="556"/>
      <c r="M99" s="556"/>
      <c r="N99" s="556"/>
      <c r="O99" s="556"/>
      <c r="P99" s="556"/>
      <c r="Q99" s="556"/>
      <c r="R99" s="556"/>
      <c r="S99" s="556"/>
      <c r="T99" s="598"/>
      <c r="U99" s="556"/>
      <c r="V99" s="599">
        <v>-177</v>
      </c>
      <c r="W99" s="558"/>
      <c r="X99" s="543"/>
    </row>
    <row r="100" spans="1:25" s="544" customFormat="1" x14ac:dyDescent="0.3">
      <c r="A100" s="555"/>
      <c r="B100" s="556" t="s">
        <v>32</v>
      </c>
      <c r="C100" s="556"/>
      <c r="D100" s="556"/>
      <c r="E100" s="556"/>
      <c r="F100" s="556"/>
      <c r="G100" s="556"/>
      <c r="H100" s="556"/>
      <c r="I100" s="556"/>
      <c r="J100" s="556"/>
      <c r="K100" s="556"/>
      <c r="L100" s="556"/>
      <c r="M100" s="556"/>
      <c r="N100" s="556"/>
      <c r="O100" s="556"/>
      <c r="P100" s="556"/>
      <c r="Q100" s="556"/>
      <c r="R100" s="556"/>
      <c r="S100" s="556"/>
      <c r="T100" s="598">
        <f>T96+T98+T97</f>
        <v>13733</v>
      </c>
      <c r="U100" s="556"/>
      <c r="V100" s="598">
        <f>V96+V98+V97+V99</f>
        <v>5509</v>
      </c>
      <c r="W100" s="558"/>
      <c r="X100" s="543"/>
    </row>
    <row r="101" spans="1:25" x14ac:dyDescent="0.3">
      <c r="A101" s="431"/>
      <c r="B101" s="507" t="s">
        <v>33</v>
      </c>
      <c r="C101" s="434"/>
      <c r="D101" s="434"/>
      <c r="E101" s="434"/>
      <c r="F101" s="434"/>
      <c r="G101" s="434"/>
      <c r="H101" s="434"/>
      <c r="I101" s="434"/>
      <c r="J101" s="434"/>
      <c r="K101" s="434"/>
      <c r="L101" s="434"/>
      <c r="M101" s="434"/>
      <c r="N101" s="434"/>
      <c r="O101" s="434"/>
      <c r="P101" s="434"/>
      <c r="Q101" s="434"/>
      <c r="R101" s="434"/>
      <c r="S101" s="434"/>
      <c r="T101" s="448"/>
      <c r="U101" s="434"/>
      <c r="V101" s="449"/>
      <c r="W101" s="436"/>
      <c r="X101" s="415"/>
    </row>
    <row r="102" spans="1:25" s="544" customFormat="1" x14ac:dyDescent="0.3">
      <c r="A102" s="555">
        <v>1</v>
      </c>
      <c r="B102" s="556" t="s">
        <v>34</v>
      </c>
      <c r="C102" s="556"/>
      <c r="D102" s="556"/>
      <c r="E102" s="556"/>
      <c r="F102" s="556"/>
      <c r="G102" s="556"/>
      <c r="H102" s="556"/>
      <c r="I102" s="556"/>
      <c r="J102" s="556"/>
      <c r="K102" s="556"/>
      <c r="L102" s="556"/>
      <c r="M102" s="556"/>
      <c r="N102" s="556"/>
      <c r="O102" s="556"/>
      <c r="P102" s="556"/>
      <c r="Q102" s="556"/>
      <c r="R102" s="556"/>
      <c r="S102" s="556"/>
      <c r="T102" s="556"/>
      <c r="U102" s="556"/>
      <c r="V102" s="599">
        <v>0</v>
      </c>
      <c r="W102" s="558"/>
      <c r="X102" s="543"/>
    </row>
    <row r="103" spans="1:25" s="544" customFormat="1" x14ac:dyDescent="0.3">
      <c r="A103" s="555">
        <f>+A102+1</f>
        <v>2</v>
      </c>
      <c r="B103" s="556" t="s">
        <v>330</v>
      </c>
      <c r="C103" s="556"/>
      <c r="D103" s="556"/>
      <c r="E103" s="556"/>
      <c r="F103" s="556"/>
      <c r="G103" s="556"/>
      <c r="H103" s="556"/>
      <c r="I103" s="556"/>
      <c r="J103" s="556"/>
      <c r="K103" s="556"/>
      <c r="L103" s="556"/>
      <c r="M103" s="556"/>
      <c r="N103" s="556"/>
      <c r="O103" s="556"/>
      <c r="P103" s="556"/>
      <c r="Q103" s="556"/>
      <c r="R103" s="556"/>
      <c r="S103" s="556"/>
      <c r="T103" s="556"/>
      <c r="U103" s="556"/>
      <c r="V103" s="599">
        <v>-2</v>
      </c>
      <c r="W103" s="558"/>
      <c r="X103" s="543"/>
    </row>
    <row r="104" spans="1:25" s="544" customFormat="1" x14ac:dyDescent="0.3">
      <c r="A104" s="555">
        <f>+A103+1</f>
        <v>3</v>
      </c>
      <c r="B104" s="556" t="s">
        <v>331</v>
      </c>
      <c r="C104" s="556"/>
      <c r="D104" s="556"/>
      <c r="E104" s="556"/>
      <c r="F104" s="556"/>
      <c r="G104" s="556"/>
      <c r="H104" s="556"/>
      <c r="I104" s="556"/>
      <c r="J104" s="556"/>
      <c r="K104" s="556"/>
      <c r="L104" s="556"/>
      <c r="M104" s="556"/>
      <c r="N104" s="556"/>
      <c r="O104" s="556"/>
      <c r="P104" s="556"/>
      <c r="Q104" s="556"/>
      <c r="R104" s="556"/>
      <c r="S104" s="556"/>
      <c r="T104" s="556"/>
      <c r="U104" s="556"/>
      <c r="V104" s="599">
        <f>-103-133-11</f>
        <v>-247</v>
      </c>
      <c r="W104" s="558"/>
      <c r="X104" s="543"/>
    </row>
    <row r="105" spans="1:25" s="544" customFormat="1" x14ac:dyDescent="0.3">
      <c r="A105" s="555" t="s">
        <v>127</v>
      </c>
      <c r="B105" s="556" t="s">
        <v>116</v>
      </c>
      <c r="C105" s="556"/>
      <c r="D105" s="556"/>
      <c r="E105" s="556"/>
      <c r="F105" s="556"/>
      <c r="G105" s="556"/>
      <c r="H105" s="556"/>
      <c r="I105" s="556"/>
      <c r="J105" s="556"/>
      <c r="K105" s="556"/>
      <c r="L105" s="556"/>
      <c r="M105" s="556"/>
      <c r="N105" s="556"/>
      <c r="O105" s="556"/>
      <c r="P105" s="556"/>
      <c r="Q105" s="556"/>
      <c r="R105" s="556"/>
      <c r="S105" s="556"/>
      <c r="T105" s="556"/>
      <c r="U105" s="556"/>
      <c r="V105" s="599">
        <v>0</v>
      </c>
      <c r="W105" s="558"/>
      <c r="X105" s="543"/>
    </row>
    <row r="106" spans="1:25" s="544" customFormat="1" x14ac:dyDescent="0.3">
      <c r="A106" s="555" t="s">
        <v>128</v>
      </c>
      <c r="B106" s="556" t="s">
        <v>363</v>
      </c>
      <c r="C106" s="556"/>
      <c r="D106" s="556"/>
      <c r="E106" s="556"/>
      <c r="F106" s="556"/>
      <c r="G106" s="556"/>
      <c r="H106" s="556"/>
      <c r="I106" s="556"/>
      <c r="J106" s="556"/>
      <c r="K106" s="556"/>
      <c r="L106" s="556"/>
      <c r="M106" s="556"/>
      <c r="N106" s="556"/>
      <c r="O106" s="556"/>
      <c r="P106" s="556"/>
      <c r="Q106" s="556"/>
      <c r="R106" s="556"/>
      <c r="S106" s="556"/>
      <c r="T106" s="556"/>
      <c r="U106" s="556"/>
      <c r="V106" s="599">
        <f>-893-144</f>
        <v>-1037</v>
      </c>
      <c r="W106" s="558"/>
      <c r="X106" s="543"/>
      <c r="Y106" s="604"/>
    </row>
    <row r="107" spans="1:25" s="544" customFormat="1" x14ac:dyDescent="0.3">
      <c r="A107" s="555" t="s">
        <v>150</v>
      </c>
      <c r="B107" s="556" t="s">
        <v>364</v>
      </c>
      <c r="C107" s="556"/>
      <c r="D107" s="556"/>
      <c r="E107" s="556"/>
      <c r="F107" s="556"/>
      <c r="G107" s="556"/>
      <c r="H107" s="556"/>
      <c r="I107" s="556"/>
      <c r="J107" s="556"/>
      <c r="K107" s="556"/>
      <c r="L107" s="556"/>
      <c r="M107" s="556"/>
      <c r="N107" s="556"/>
      <c r="O107" s="556"/>
      <c r="P107" s="556"/>
      <c r="Q107" s="556"/>
      <c r="R107" s="556"/>
      <c r="S107" s="556"/>
      <c r="T107" s="556"/>
      <c r="U107" s="556"/>
      <c r="V107" s="599">
        <f>-199-255</f>
        <v>-454</v>
      </c>
      <c r="W107" s="558"/>
      <c r="X107" s="543"/>
      <c r="Y107" s="604"/>
    </row>
    <row r="108" spans="1:25" s="544" customFormat="1" x14ac:dyDescent="0.3">
      <c r="A108" s="555" t="s">
        <v>236</v>
      </c>
      <c r="B108" s="556" t="s">
        <v>238</v>
      </c>
      <c r="C108" s="556"/>
      <c r="D108" s="556"/>
      <c r="E108" s="556"/>
      <c r="F108" s="556"/>
      <c r="G108" s="556"/>
      <c r="H108" s="556"/>
      <c r="I108" s="556"/>
      <c r="J108" s="556"/>
      <c r="K108" s="556"/>
      <c r="L108" s="556"/>
      <c r="M108" s="556"/>
      <c r="N108" s="556"/>
      <c r="O108" s="556"/>
      <c r="P108" s="556"/>
      <c r="Q108" s="556"/>
      <c r="R108" s="556"/>
      <c r="S108" s="556"/>
      <c r="T108" s="556"/>
      <c r="U108" s="556"/>
      <c r="V108" s="599">
        <v>0</v>
      </c>
      <c r="W108" s="558"/>
      <c r="X108" s="543"/>
    </row>
    <row r="109" spans="1:25" s="544" customFormat="1" x14ac:dyDescent="0.3">
      <c r="A109" s="555" t="s">
        <v>205</v>
      </c>
      <c r="B109" s="556" t="s">
        <v>185</v>
      </c>
      <c r="C109" s="556"/>
      <c r="D109" s="556"/>
      <c r="E109" s="556"/>
      <c r="F109" s="556"/>
      <c r="G109" s="556"/>
      <c r="H109" s="556"/>
      <c r="I109" s="556"/>
      <c r="J109" s="556"/>
      <c r="K109" s="556"/>
      <c r="L109" s="556"/>
      <c r="M109" s="556"/>
      <c r="N109" s="556"/>
      <c r="O109" s="556"/>
      <c r="P109" s="556"/>
      <c r="Q109" s="556"/>
      <c r="R109" s="556"/>
      <c r="S109" s="556"/>
      <c r="T109" s="556"/>
      <c r="U109" s="556"/>
      <c r="V109" s="599">
        <v>-184</v>
      </c>
      <c r="W109" s="558"/>
      <c r="X109" s="543"/>
      <c r="Y109" s="604"/>
    </row>
    <row r="110" spans="1:25" s="544" customFormat="1" x14ac:dyDescent="0.3">
      <c r="A110" s="555" t="s">
        <v>206</v>
      </c>
      <c r="B110" s="556" t="s">
        <v>186</v>
      </c>
      <c r="C110" s="556"/>
      <c r="D110" s="556"/>
      <c r="E110" s="556"/>
      <c r="F110" s="556"/>
      <c r="G110" s="556"/>
      <c r="H110" s="556"/>
      <c r="I110" s="556"/>
      <c r="J110" s="556"/>
      <c r="K110" s="556"/>
      <c r="L110" s="556"/>
      <c r="M110" s="556"/>
      <c r="N110" s="556"/>
      <c r="O110" s="556"/>
      <c r="P110" s="556"/>
      <c r="Q110" s="556"/>
      <c r="R110" s="556"/>
      <c r="S110" s="556"/>
      <c r="T110" s="556"/>
      <c r="U110" s="556"/>
      <c r="V110" s="599">
        <v>-150</v>
      </c>
      <c r="W110" s="558"/>
      <c r="X110" s="605"/>
      <c r="Y110" s="604"/>
    </row>
    <row r="111" spans="1:25" s="544" customFormat="1" x14ac:dyDescent="0.3">
      <c r="A111" s="555" t="s">
        <v>207</v>
      </c>
      <c r="B111" s="556" t="s">
        <v>196</v>
      </c>
      <c r="C111" s="556"/>
      <c r="D111" s="556"/>
      <c r="E111" s="556"/>
      <c r="F111" s="556"/>
      <c r="G111" s="556"/>
      <c r="H111" s="556"/>
      <c r="I111" s="556"/>
      <c r="J111" s="556"/>
      <c r="K111" s="556"/>
      <c r="L111" s="556"/>
      <c r="M111" s="556"/>
      <c r="N111" s="556"/>
      <c r="O111" s="556"/>
      <c r="P111" s="556"/>
      <c r="Q111" s="556"/>
      <c r="R111" s="556"/>
      <c r="S111" s="556"/>
      <c r="T111" s="556"/>
      <c r="U111" s="556"/>
      <c r="V111" s="599">
        <v>-384</v>
      </c>
      <c r="W111" s="558"/>
      <c r="X111" s="543"/>
      <c r="Y111" s="604"/>
    </row>
    <row r="112" spans="1:25" s="544" customFormat="1" x14ac:dyDescent="0.3">
      <c r="A112" s="555" t="s">
        <v>224</v>
      </c>
      <c r="B112" s="556" t="s">
        <v>223</v>
      </c>
      <c r="C112" s="556"/>
      <c r="D112" s="556"/>
      <c r="E112" s="556"/>
      <c r="F112" s="556"/>
      <c r="G112" s="556"/>
      <c r="H112" s="556"/>
      <c r="I112" s="556"/>
      <c r="J112" s="556"/>
      <c r="K112" s="556"/>
      <c r="L112" s="556"/>
      <c r="M112" s="556"/>
      <c r="N112" s="556"/>
      <c r="O112" s="556"/>
      <c r="P112" s="556"/>
      <c r="Q112" s="556"/>
      <c r="R112" s="556"/>
      <c r="S112" s="556"/>
      <c r="T112" s="556"/>
      <c r="U112" s="556"/>
      <c r="V112" s="599">
        <v>-78</v>
      </c>
      <c r="W112" s="558"/>
      <c r="X112" s="543"/>
      <c r="Y112" s="604"/>
    </row>
    <row r="113" spans="1:24" s="544" customFormat="1" x14ac:dyDescent="0.3">
      <c r="A113" s="555">
        <v>7</v>
      </c>
      <c r="B113" s="556" t="s">
        <v>35</v>
      </c>
      <c r="C113" s="556"/>
      <c r="D113" s="556"/>
      <c r="E113" s="556"/>
      <c r="F113" s="556"/>
      <c r="G113" s="556"/>
      <c r="H113" s="556"/>
      <c r="I113" s="556"/>
      <c r="J113" s="556"/>
      <c r="K113" s="556"/>
      <c r="L113" s="556"/>
      <c r="M113" s="556"/>
      <c r="N113" s="556"/>
      <c r="O113" s="556"/>
      <c r="P113" s="556"/>
      <c r="Q113" s="556"/>
      <c r="R113" s="556"/>
      <c r="S113" s="556"/>
      <c r="T113" s="556"/>
      <c r="U113" s="556"/>
      <c r="V113" s="599">
        <v>-38</v>
      </c>
      <c r="W113" s="558"/>
      <c r="X113" s="543"/>
    </row>
    <row r="114" spans="1:24" s="544" customFormat="1" x14ac:dyDescent="0.3">
      <c r="A114" s="555">
        <f t="shared" ref="A114:A120" si="0">+A113+1</f>
        <v>8</v>
      </c>
      <c r="B114" s="556" t="s">
        <v>45</v>
      </c>
      <c r="C114" s="556"/>
      <c r="D114" s="556"/>
      <c r="E114" s="556"/>
      <c r="F114" s="556"/>
      <c r="G114" s="556"/>
      <c r="H114" s="556"/>
      <c r="I114" s="556"/>
      <c r="J114" s="556"/>
      <c r="K114" s="556"/>
      <c r="L114" s="556"/>
      <c r="M114" s="556"/>
      <c r="N114" s="556"/>
      <c r="O114" s="556"/>
      <c r="P114" s="556"/>
      <c r="Q114" s="556"/>
      <c r="R114" s="556"/>
      <c r="S114" s="556"/>
      <c r="T114" s="598">
        <f>-V114</f>
        <v>25</v>
      </c>
      <c r="U114" s="556"/>
      <c r="V114" s="599">
        <v>-25</v>
      </c>
      <c r="W114" s="558"/>
      <c r="X114" s="543"/>
    </row>
    <row r="115" spans="1:24" s="544" customFormat="1" x14ac:dyDescent="0.3">
      <c r="A115" s="555">
        <f t="shared" si="0"/>
        <v>9</v>
      </c>
      <c r="B115" s="556" t="s">
        <v>125</v>
      </c>
      <c r="C115" s="556"/>
      <c r="D115" s="556"/>
      <c r="E115" s="556"/>
      <c r="F115" s="556"/>
      <c r="G115" s="556"/>
      <c r="H115" s="556"/>
      <c r="I115" s="556"/>
      <c r="J115" s="556"/>
      <c r="K115" s="556"/>
      <c r="L115" s="556"/>
      <c r="M115" s="556"/>
      <c r="N115" s="556"/>
      <c r="O115" s="556"/>
      <c r="P115" s="556"/>
      <c r="Q115" s="556"/>
      <c r="R115" s="556"/>
      <c r="S115" s="556"/>
      <c r="T115" s="556"/>
      <c r="U115" s="556"/>
      <c r="V115" s="599">
        <v>0</v>
      </c>
      <c r="W115" s="558"/>
      <c r="X115" s="543"/>
    </row>
    <row r="116" spans="1:24" s="544" customFormat="1" x14ac:dyDescent="0.3">
      <c r="A116" s="555">
        <f t="shared" si="0"/>
        <v>10</v>
      </c>
      <c r="B116" s="556" t="s">
        <v>240</v>
      </c>
      <c r="C116" s="556"/>
      <c r="D116" s="556"/>
      <c r="E116" s="556"/>
      <c r="F116" s="556"/>
      <c r="G116" s="556"/>
      <c r="H116" s="556"/>
      <c r="I116" s="556"/>
      <c r="J116" s="556"/>
      <c r="K116" s="556"/>
      <c r="L116" s="556"/>
      <c r="M116" s="556"/>
      <c r="N116" s="556"/>
      <c r="O116" s="556"/>
      <c r="P116" s="556"/>
      <c r="Q116" s="556"/>
      <c r="R116" s="556"/>
      <c r="S116" s="556"/>
      <c r="T116" s="556"/>
      <c r="U116" s="556"/>
      <c r="V116" s="599">
        <v>0</v>
      </c>
      <c r="W116" s="558"/>
      <c r="X116" s="543"/>
    </row>
    <row r="117" spans="1:24" s="544" customFormat="1" x14ac:dyDescent="0.3">
      <c r="A117" s="555">
        <f t="shared" si="0"/>
        <v>11</v>
      </c>
      <c r="B117" s="556" t="s">
        <v>36</v>
      </c>
      <c r="C117" s="556"/>
      <c r="D117" s="556"/>
      <c r="E117" s="556"/>
      <c r="F117" s="556"/>
      <c r="G117" s="556"/>
      <c r="H117" s="556"/>
      <c r="I117" s="556"/>
      <c r="J117" s="556"/>
      <c r="K117" s="556"/>
      <c r="L117" s="556"/>
      <c r="M117" s="556"/>
      <c r="N117" s="556"/>
      <c r="O117" s="556"/>
      <c r="P117" s="556"/>
      <c r="Q117" s="556"/>
      <c r="R117" s="556"/>
      <c r="S117" s="556"/>
      <c r="T117" s="556"/>
      <c r="U117" s="556"/>
      <c r="V117" s="599">
        <v>0</v>
      </c>
      <c r="W117" s="558"/>
      <c r="X117" s="543"/>
    </row>
    <row r="118" spans="1:24" s="544" customFormat="1" x14ac:dyDescent="0.3">
      <c r="A118" s="555">
        <f t="shared" si="0"/>
        <v>12</v>
      </c>
      <c r="B118" s="556" t="s">
        <v>239</v>
      </c>
      <c r="C118" s="556"/>
      <c r="D118" s="556"/>
      <c r="E118" s="556"/>
      <c r="F118" s="556"/>
      <c r="G118" s="556"/>
      <c r="H118" s="556"/>
      <c r="I118" s="556"/>
      <c r="J118" s="556"/>
      <c r="K118" s="556"/>
      <c r="L118" s="556"/>
      <c r="M118" s="556"/>
      <c r="N118" s="556"/>
      <c r="O118" s="556"/>
      <c r="P118" s="556"/>
      <c r="Q118" s="556"/>
      <c r="R118" s="556"/>
      <c r="S118" s="556"/>
      <c r="T118" s="556"/>
      <c r="U118" s="556"/>
      <c r="V118" s="599">
        <v>0</v>
      </c>
      <c r="W118" s="558"/>
      <c r="X118" s="543"/>
    </row>
    <row r="119" spans="1:24" s="544" customFormat="1" x14ac:dyDescent="0.3">
      <c r="A119" s="555">
        <f t="shared" si="0"/>
        <v>13</v>
      </c>
      <c r="B119" s="556" t="s">
        <v>149</v>
      </c>
      <c r="C119" s="556"/>
      <c r="D119" s="556"/>
      <c r="E119" s="556"/>
      <c r="F119" s="556"/>
      <c r="G119" s="556"/>
      <c r="H119" s="556"/>
      <c r="I119" s="556"/>
      <c r="J119" s="556"/>
      <c r="K119" s="556"/>
      <c r="L119" s="556"/>
      <c r="M119" s="556"/>
      <c r="N119" s="556"/>
      <c r="O119" s="556"/>
      <c r="P119" s="556"/>
      <c r="Q119" s="556"/>
      <c r="R119" s="556"/>
      <c r="S119" s="556"/>
      <c r="T119" s="556"/>
      <c r="U119" s="556"/>
      <c r="V119" s="599">
        <v>-514</v>
      </c>
      <c r="W119" s="558"/>
      <c r="X119" s="543"/>
    </row>
    <row r="120" spans="1:24" s="544" customFormat="1" x14ac:dyDescent="0.3">
      <c r="A120" s="555">
        <f t="shared" si="0"/>
        <v>14</v>
      </c>
      <c r="B120" s="556" t="s">
        <v>126</v>
      </c>
      <c r="C120" s="556"/>
      <c r="D120" s="556"/>
      <c r="E120" s="556"/>
      <c r="F120" s="556"/>
      <c r="G120" s="556"/>
      <c r="H120" s="556"/>
      <c r="I120" s="556"/>
      <c r="J120" s="556"/>
      <c r="K120" s="556"/>
      <c r="L120" s="556"/>
      <c r="M120" s="556"/>
      <c r="N120" s="556"/>
      <c r="O120" s="556"/>
      <c r="P120" s="556"/>
      <c r="Q120" s="556"/>
      <c r="R120" s="556"/>
      <c r="S120" s="556"/>
      <c r="T120" s="556"/>
      <c r="U120" s="556"/>
      <c r="V120" s="599">
        <f>-V100-SUM(V102:V119)</f>
        <v>-2396</v>
      </c>
      <c r="W120" s="558"/>
      <c r="X120" s="543"/>
    </row>
    <row r="121" spans="1:24" x14ac:dyDescent="0.3">
      <c r="A121" s="431"/>
      <c r="B121" s="507" t="s">
        <v>37</v>
      </c>
      <c r="C121" s="434"/>
      <c r="D121" s="434"/>
      <c r="E121" s="434"/>
      <c r="F121" s="434"/>
      <c r="G121" s="434"/>
      <c r="H121" s="434"/>
      <c r="I121" s="434"/>
      <c r="J121" s="434"/>
      <c r="K121" s="434"/>
      <c r="L121" s="434"/>
      <c r="M121" s="434"/>
      <c r="N121" s="434"/>
      <c r="O121" s="434"/>
      <c r="P121" s="434"/>
      <c r="Q121" s="434"/>
      <c r="R121" s="434"/>
      <c r="S121" s="434"/>
      <c r="T121" s="434"/>
      <c r="U121" s="434"/>
      <c r="V121" s="450"/>
      <c r="W121" s="436"/>
      <c r="X121" s="415"/>
    </row>
    <row r="122" spans="1:24" s="544" customFormat="1" x14ac:dyDescent="0.3">
      <c r="A122" s="555"/>
      <c r="B122" s="556" t="s">
        <v>173</v>
      </c>
      <c r="C122" s="556"/>
      <c r="D122" s="556"/>
      <c r="E122" s="556"/>
      <c r="F122" s="556"/>
      <c r="G122" s="556"/>
      <c r="H122" s="556"/>
      <c r="I122" s="556"/>
      <c r="J122" s="556"/>
      <c r="K122" s="556"/>
      <c r="L122" s="556"/>
      <c r="M122" s="556"/>
      <c r="N122" s="556"/>
      <c r="O122" s="556"/>
      <c r="P122" s="556"/>
      <c r="Q122" s="556"/>
      <c r="R122" s="556"/>
      <c r="S122" s="556"/>
      <c r="T122" s="598">
        <f>-T188</f>
        <v>0</v>
      </c>
      <c r="U122" s="598"/>
      <c r="V122" s="599"/>
      <c r="W122" s="558"/>
      <c r="X122" s="543"/>
    </row>
    <row r="123" spans="1:24" s="544" customFormat="1" x14ac:dyDescent="0.3">
      <c r="A123" s="555"/>
      <c r="B123" s="556" t="s">
        <v>174</v>
      </c>
      <c r="C123" s="556"/>
      <c r="D123" s="556"/>
      <c r="E123" s="556"/>
      <c r="F123" s="556"/>
      <c r="G123" s="556"/>
      <c r="H123" s="556"/>
      <c r="I123" s="556"/>
      <c r="J123" s="556"/>
      <c r="K123" s="556"/>
      <c r="L123" s="556"/>
      <c r="M123" s="556"/>
      <c r="N123" s="556"/>
      <c r="O123" s="556"/>
      <c r="P123" s="556"/>
      <c r="Q123" s="556"/>
      <c r="R123" s="556"/>
      <c r="S123" s="556"/>
      <c r="T123" s="598">
        <v>0</v>
      </c>
      <c r="U123" s="598"/>
      <c r="V123" s="599"/>
      <c r="W123" s="558"/>
      <c r="X123" s="543"/>
    </row>
    <row r="124" spans="1:24" s="544" customFormat="1" x14ac:dyDescent="0.3">
      <c r="A124" s="555"/>
      <c r="B124" s="556" t="s">
        <v>38</v>
      </c>
      <c r="C124" s="556"/>
      <c r="D124" s="556"/>
      <c r="E124" s="556"/>
      <c r="F124" s="556"/>
      <c r="G124" s="556"/>
      <c r="H124" s="556"/>
      <c r="I124" s="556"/>
      <c r="J124" s="556"/>
      <c r="K124" s="556"/>
      <c r="L124" s="556"/>
      <c r="M124" s="556"/>
      <c r="N124" s="556"/>
      <c r="O124" s="556"/>
      <c r="P124" s="556"/>
      <c r="Q124" s="556"/>
      <c r="R124" s="556"/>
      <c r="S124" s="556"/>
      <c r="T124" s="598">
        <f>-S188</f>
        <v>-216</v>
      </c>
      <c r="U124" s="598"/>
      <c r="V124" s="599"/>
      <c r="W124" s="558"/>
      <c r="X124" s="543"/>
    </row>
    <row r="125" spans="1:24" s="544" customFormat="1" x14ac:dyDescent="0.3">
      <c r="A125" s="555"/>
      <c r="B125" s="556" t="s">
        <v>388</v>
      </c>
      <c r="C125" s="556"/>
      <c r="D125" s="556"/>
      <c r="E125" s="556"/>
      <c r="F125" s="556"/>
      <c r="G125" s="556"/>
      <c r="H125" s="556"/>
      <c r="I125" s="556"/>
      <c r="J125" s="556"/>
      <c r="K125" s="556"/>
      <c r="L125" s="556"/>
      <c r="M125" s="556"/>
      <c r="N125" s="556"/>
      <c r="O125" s="556"/>
      <c r="P125" s="556"/>
      <c r="Q125" s="556"/>
      <c r="R125" s="556"/>
      <c r="S125" s="556"/>
      <c r="T125" s="598">
        <v>-8233</v>
      </c>
      <c r="U125" s="598"/>
      <c r="V125" s="599"/>
      <c r="W125" s="558"/>
      <c r="X125" s="543"/>
    </row>
    <row r="126" spans="1:24" s="544" customFormat="1" x14ac:dyDescent="0.3">
      <c r="A126" s="555"/>
      <c r="B126" s="556" t="s">
        <v>195</v>
      </c>
      <c r="C126" s="556"/>
      <c r="D126" s="556"/>
      <c r="E126" s="556"/>
      <c r="F126" s="556"/>
      <c r="G126" s="556"/>
      <c r="H126" s="556"/>
      <c r="I126" s="556"/>
      <c r="J126" s="556"/>
      <c r="K126" s="556"/>
      <c r="L126" s="556"/>
      <c r="M126" s="556"/>
      <c r="N126" s="556"/>
      <c r="O126" s="556"/>
      <c r="P126" s="556"/>
      <c r="Q126" s="556"/>
      <c r="R126" s="556"/>
      <c r="S126" s="556"/>
      <c r="T126" s="598">
        <v>-1328</v>
      </c>
      <c r="U126" s="598"/>
      <c r="V126" s="599"/>
      <c r="W126" s="558"/>
      <c r="X126" s="543"/>
    </row>
    <row r="127" spans="1:24" s="544" customFormat="1" x14ac:dyDescent="0.3">
      <c r="A127" s="555"/>
      <c r="B127" s="556" t="s">
        <v>194</v>
      </c>
      <c r="C127" s="556"/>
      <c r="D127" s="556"/>
      <c r="E127" s="556"/>
      <c r="F127" s="556"/>
      <c r="G127" s="556"/>
      <c r="H127" s="556"/>
      <c r="I127" s="556"/>
      <c r="J127" s="556"/>
      <c r="K127" s="556"/>
      <c r="L127" s="556"/>
      <c r="M127" s="556"/>
      <c r="N127" s="556"/>
      <c r="O127" s="556"/>
      <c r="P127" s="556"/>
      <c r="Q127" s="556"/>
      <c r="R127" s="556"/>
      <c r="S127" s="556"/>
      <c r="T127" s="598">
        <v>-1786</v>
      </c>
      <c r="U127" s="598"/>
      <c r="V127" s="599"/>
      <c r="W127" s="558"/>
      <c r="X127" s="543"/>
    </row>
    <row r="128" spans="1:24" s="544" customFormat="1" x14ac:dyDescent="0.3">
      <c r="A128" s="555"/>
      <c r="B128" s="556" t="s">
        <v>226</v>
      </c>
      <c r="C128" s="556"/>
      <c r="D128" s="556"/>
      <c r="E128" s="556"/>
      <c r="F128" s="556"/>
      <c r="G128" s="556"/>
      <c r="H128" s="556"/>
      <c r="I128" s="556"/>
      <c r="J128" s="556"/>
      <c r="K128" s="556"/>
      <c r="L128" s="556"/>
      <c r="M128" s="556"/>
      <c r="N128" s="556"/>
      <c r="O128" s="556"/>
      <c r="P128" s="556"/>
      <c r="Q128" s="556"/>
      <c r="R128" s="556"/>
      <c r="S128" s="556"/>
      <c r="T128" s="598">
        <v>-2195</v>
      </c>
      <c r="U128" s="598"/>
      <c r="V128" s="599"/>
      <c r="W128" s="558"/>
      <c r="X128" s="543"/>
    </row>
    <row r="129" spans="1:24" s="544" customFormat="1" x14ac:dyDescent="0.3">
      <c r="A129" s="555"/>
      <c r="B129" s="556" t="s">
        <v>189</v>
      </c>
      <c r="C129" s="556"/>
      <c r="D129" s="556"/>
      <c r="E129" s="556"/>
      <c r="F129" s="556"/>
      <c r="G129" s="556"/>
      <c r="H129" s="556"/>
      <c r="I129" s="556"/>
      <c r="J129" s="556"/>
      <c r="K129" s="556"/>
      <c r="L129" s="556"/>
      <c r="M129" s="556"/>
      <c r="N129" s="556"/>
      <c r="O129" s="556"/>
      <c r="P129" s="556"/>
      <c r="Q129" s="556"/>
      <c r="R129" s="556"/>
      <c r="S129" s="556"/>
      <c r="T129" s="598">
        <v>0</v>
      </c>
      <c r="U129" s="598"/>
      <c r="V129" s="599"/>
      <c r="W129" s="558"/>
      <c r="X129" s="543"/>
    </row>
    <row r="130" spans="1:24" s="544" customFormat="1" x14ac:dyDescent="0.3">
      <c r="A130" s="555"/>
      <c r="B130" s="556" t="s">
        <v>188</v>
      </c>
      <c r="C130" s="556"/>
      <c r="D130" s="556"/>
      <c r="E130" s="556"/>
      <c r="F130" s="556"/>
      <c r="G130" s="556"/>
      <c r="H130" s="556"/>
      <c r="I130" s="556"/>
      <c r="J130" s="556"/>
      <c r="K130" s="556"/>
      <c r="L130" s="556"/>
      <c r="M130" s="556"/>
      <c r="N130" s="556"/>
      <c r="O130" s="556"/>
      <c r="P130" s="556"/>
      <c r="Q130" s="556"/>
      <c r="R130" s="556"/>
      <c r="S130" s="556"/>
      <c r="T130" s="598">
        <v>0</v>
      </c>
      <c r="U130" s="598"/>
      <c r="V130" s="599"/>
      <c r="W130" s="558"/>
      <c r="X130" s="543"/>
    </row>
    <row r="131" spans="1:24" s="544" customFormat="1" x14ac:dyDescent="0.3">
      <c r="A131" s="555"/>
      <c r="B131" s="556" t="s">
        <v>227</v>
      </c>
      <c r="C131" s="556"/>
      <c r="D131" s="556"/>
      <c r="E131" s="556"/>
      <c r="F131" s="556"/>
      <c r="G131" s="556"/>
      <c r="H131" s="556"/>
      <c r="I131" s="556"/>
      <c r="J131" s="556"/>
      <c r="K131" s="556"/>
      <c r="L131" s="556"/>
      <c r="M131" s="556"/>
      <c r="N131" s="556"/>
      <c r="O131" s="556"/>
      <c r="P131" s="556"/>
      <c r="Q131" s="556"/>
      <c r="R131" s="556"/>
      <c r="S131" s="556"/>
      <c r="T131" s="598">
        <v>0</v>
      </c>
      <c r="U131" s="598"/>
      <c r="V131" s="599"/>
      <c r="W131" s="558"/>
      <c r="X131" s="543"/>
    </row>
    <row r="132" spans="1:24" s="544" customFormat="1" x14ac:dyDescent="0.3">
      <c r="A132" s="555"/>
      <c r="B132" s="556" t="s">
        <v>187</v>
      </c>
      <c r="C132" s="556"/>
      <c r="D132" s="556"/>
      <c r="E132" s="556"/>
      <c r="F132" s="556"/>
      <c r="G132" s="556"/>
      <c r="H132" s="556"/>
      <c r="I132" s="556"/>
      <c r="J132" s="556"/>
      <c r="K132" s="556"/>
      <c r="L132" s="556"/>
      <c r="M132" s="556"/>
      <c r="N132" s="556"/>
      <c r="O132" s="556"/>
      <c r="P132" s="556"/>
      <c r="Q132" s="556"/>
      <c r="R132" s="556"/>
      <c r="S132" s="556"/>
      <c r="T132" s="598">
        <v>0</v>
      </c>
      <c r="U132" s="598"/>
      <c r="V132" s="599"/>
      <c r="W132" s="558"/>
      <c r="X132" s="543"/>
    </row>
    <row r="133" spans="1:24" s="544" customFormat="1" x14ac:dyDescent="0.3">
      <c r="A133" s="555"/>
      <c r="B133" s="556" t="s">
        <v>39</v>
      </c>
      <c r="C133" s="556"/>
      <c r="D133" s="556"/>
      <c r="E133" s="556"/>
      <c r="F133" s="556"/>
      <c r="G133" s="556"/>
      <c r="H133" s="556"/>
      <c r="I133" s="556"/>
      <c r="J133" s="556"/>
      <c r="K133" s="556"/>
      <c r="L133" s="556"/>
      <c r="M133" s="556"/>
      <c r="N133" s="556"/>
      <c r="O133" s="556"/>
      <c r="P133" s="556"/>
      <c r="Q133" s="556"/>
      <c r="R133" s="556"/>
      <c r="S133" s="556"/>
      <c r="T133" s="598">
        <f>SUM(T122:T132)</f>
        <v>-13758</v>
      </c>
      <c r="U133" s="598"/>
      <c r="V133" s="598">
        <f>SUM(V101:V130)</f>
        <v>-5509</v>
      </c>
      <c r="W133" s="558"/>
      <c r="X133" s="543"/>
    </row>
    <row r="134" spans="1:24" s="544" customFormat="1" x14ac:dyDescent="0.3">
      <c r="A134" s="555"/>
      <c r="B134" s="556" t="s">
        <v>40</v>
      </c>
      <c r="C134" s="556"/>
      <c r="D134" s="556"/>
      <c r="E134" s="556"/>
      <c r="F134" s="556"/>
      <c r="G134" s="556"/>
      <c r="H134" s="556"/>
      <c r="I134" s="556"/>
      <c r="J134" s="556"/>
      <c r="K134" s="556"/>
      <c r="L134" s="556"/>
      <c r="M134" s="556"/>
      <c r="N134" s="556"/>
      <c r="O134" s="556"/>
      <c r="P134" s="556"/>
      <c r="Q134" s="556"/>
      <c r="R134" s="556"/>
      <c r="S134" s="556"/>
      <c r="T134" s="598">
        <f>T100+T133+T114</f>
        <v>0</v>
      </c>
      <c r="U134" s="598"/>
      <c r="V134" s="598">
        <f>V100+V133</f>
        <v>0</v>
      </c>
      <c r="W134" s="558"/>
      <c r="X134" s="543"/>
    </row>
    <row r="135" spans="1:24" s="544" customFormat="1" x14ac:dyDescent="0.3">
      <c r="A135" s="540"/>
      <c r="B135" s="588"/>
      <c r="C135" s="588"/>
      <c r="D135" s="588"/>
      <c r="E135" s="588"/>
      <c r="F135" s="588"/>
      <c r="G135" s="588"/>
      <c r="H135" s="588"/>
      <c r="I135" s="588"/>
      <c r="J135" s="588"/>
      <c r="K135" s="588"/>
      <c r="L135" s="588"/>
      <c r="M135" s="588"/>
      <c r="N135" s="588"/>
      <c r="O135" s="588"/>
      <c r="P135" s="588"/>
      <c r="Q135" s="588"/>
      <c r="R135" s="588"/>
      <c r="S135" s="588"/>
      <c r="T135" s="600"/>
      <c r="U135" s="600"/>
      <c r="V135" s="600"/>
      <c r="W135" s="588"/>
      <c r="X135" s="543"/>
    </row>
    <row r="136" spans="1:24" s="544" customFormat="1" x14ac:dyDescent="0.3">
      <c r="A136" s="540"/>
      <c r="B136" s="541"/>
      <c r="C136" s="541"/>
      <c r="D136" s="541"/>
      <c r="E136" s="541"/>
      <c r="F136" s="541"/>
      <c r="G136" s="541"/>
      <c r="H136" s="541"/>
      <c r="I136" s="541"/>
      <c r="J136" s="541"/>
      <c r="K136" s="541"/>
      <c r="L136" s="541"/>
      <c r="M136" s="541"/>
      <c r="N136" s="541"/>
      <c r="O136" s="541"/>
      <c r="P136" s="541"/>
      <c r="Q136" s="541"/>
      <c r="R136" s="541"/>
      <c r="S136" s="541"/>
      <c r="T136" s="541"/>
      <c r="U136" s="541"/>
      <c r="V136" s="606"/>
      <c r="W136" s="541"/>
      <c r="X136" s="543"/>
    </row>
    <row r="137" spans="1:24" s="544" customFormat="1" ht="18.600000000000001" thickBot="1" x14ac:dyDescent="0.4">
      <c r="A137" s="593"/>
      <c r="B137" s="594" t="str">
        <f>B63</f>
        <v>PM14 INVESTOR REPORT QUARTER ENDING NOVEMBER 2018</v>
      </c>
      <c r="C137" s="595"/>
      <c r="D137" s="595"/>
      <c r="E137" s="595"/>
      <c r="F137" s="595"/>
      <c r="G137" s="595"/>
      <c r="H137" s="595"/>
      <c r="I137" s="595"/>
      <c r="J137" s="595"/>
      <c r="K137" s="595"/>
      <c r="L137" s="595"/>
      <c r="M137" s="595"/>
      <c r="N137" s="595"/>
      <c r="O137" s="595"/>
      <c r="P137" s="595"/>
      <c r="Q137" s="595"/>
      <c r="R137" s="595"/>
      <c r="S137" s="595"/>
      <c r="T137" s="595"/>
      <c r="U137" s="595"/>
      <c r="V137" s="607"/>
      <c r="W137" s="597"/>
      <c r="X137" s="543"/>
    </row>
    <row r="138" spans="1:24" x14ac:dyDescent="0.3">
      <c r="A138" s="527"/>
      <c r="B138" s="528" t="s">
        <v>41</v>
      </c>
      <c r="C138" s="529"/>
      <c r="D138" s="529"/>
      <c r="E138" s="529"/>
      <c r="F138" s="529"/>
      <c r="G138" s="529"/>
      <c r="H138" s="529"/>
      <c r="I138" s="529"/>
      <c r="J138" s="529"/>
      <c r="K138" s="529"/>
      <c r="L138" s="529"/>
      <c r="M138" s="529"/>
      <c r="N138" s="529"/>
      <c r="O138" s="529"/>
      <c r="P138" s="529"/>
      <c r="Q138" s="529"/>
      <c r="R138" s="529"/>
      <c r="S138" s="529"/>
      <c r="T138" s="529"/>
      <c r="U138" s="529"/>
      <c r="V138" s="530"/>
      <c r="W138" s="529"/>
      <c r="X138" s="415"/>
    </row>
    <row r="139" spans="1:24" x14ac:dyDescent="0.3">
      <c r="A139" s="417"/>
      <c r="B139" s="451"/>
      <c r="C139" s="419"/>
      <c r="D139" s="419"/>
      <c r="E139" s="419"/>
      <c r="F139" s="419"/>
      <c r="G139" s="419"/>
      <c r="H139" s="419"/>
      <c r="I139" s="419"/>
      <c r="J139" s="419"/>
      <c r="K139" s="419"/>
      <c r="L139" s="419"/>
      <c r="M139" s="419"/>
      <c r="N139" s="419"/>
      <c r="O139" s="419"/>
      <c r="P139" s="419"/>
      <c r="Q139" s="419"/>
      <c r="R139" s="419"/>
      <c r="S139" s="419"/>
      <c r="T139" s="419"/>
      <c r="U139" s="419"/>
      <c r="V139" s="439"/>
      <c r="W139" s="419"/>
      <c r="X139" s="415"/>
    </row>
    <row r="140" spans="1:24" x14ac:dyDescent="0.3">
      <c r="A140" s="417"/>
      <c r="B140" s="508" t="s">
        <v>42</v>
      </c>
      <c r="C140" s="419"/>
      <c r="D140" s="419"/>
      <c r="E140" s="419"/>
      <c r="F140" s="419"/>
      <c r="G140" s="419"/>
      <c r="H140" s="419"/>
      <c r="I140" s="419"/>
      <c r="J140" s="419"/>
      <c r="K140" s="419"/>
      <c r="L140" s="419"/>
      <c r="M140" s="419"/>
      <c r="N140" s="419"/>
      <c r="O140" s="419"/>
      <c r="P140" s="419"/>
      <c r="Q140" s="419"/>
      <c r="R140" s="419"/>
      <c r="S140" s="419"/>
      <c r="T140" s="419"/>
      <c r="U140" s="419"/>
      <c r="V140" s="439"/>
      <c r="W140" s="419"/>
      <c r="X140" s="415"/>
    </row>
    <row r="141" spans="1:24" s="544" customFormat="1" x14ac:dyDescent="0.3">
      <c r="A141" s="555"/>
      <c r="B141" s="556" t="s">
        <v>43</v>
      </c>
      <c r="C141" s="556"/>
      <c r="D141" s="556"/>
      <c r="E141" s="556"/>
      <c r="F141" s="556"/>
      <c r="G141" s="556"/>
      <c r="H141" s="556"/>
      <c r="I141" s="556"/>
      <c r="J141" s="556"/>
      <c r="K141" s="556"/>
      <c r="L141" s="556"/>
      <c r="M141" s="556"/>
      <c r="N141" s="556"/>
      <c r="O141" s="556"/>
      <c r="P141" s="556"/>
      <c r="Q141" s="556"/>
      <c r="R141" s="556"/>
      <c r="S141" s="556"/>
      <c r="T141" s="556"/>
      <c r="U141" s="556"/>
      <c r="V141" s="599">
        <f>+V34*0.019</f>
        <v>28505.224999999999</v>
      </c>
      <c r="W141" s="558"/>
      <c r="X141" s="543"/>
    </row>
    <row r="142" spans="1:24" s="544" customFormat="1" x14ac:dyDescent="0.3">
      <c r="A142" s="555"/>
      <c r="B142" s="556" t="s">
        <v>44</v>
      </c>
      <c r="C142" s="556"/>
      <c r="D142" s="556"/>
      <c r="E142" s="556"/>
      <c r="F142" s="556"/>
      <c r="G142" s="556"/>
      <c r="H142" s="556"/>
      <c r="I142" s="556"/>
      <c r="J142" s="556"/>
      <c r="K142" s="556"/>
      <c r="L142" s="556"/>
      <c r="M142" s="556"/>
      <c r="N142" s="556"/>
      <c r="O142" s="556"/>
      <c r="P142" s="556"/>
      <c r="Q142" s="556"/>
      <c r="R142" s="556"/>
      <c r="S142" s="556"/>
      <c r="T142" s="556"/>
      <c r="U142" s="556"/>
      <c r="V142" s="599">
        <v>28505</v>
      </c>
      <c r="W142" s="558"/>
      <c r="X142" s="543"/>
    </row>
    <row r="143" spans="1:24" s="544" customFormat="1" x14ac:dyDescent="0.3">
      <c r="A143" s="555"/>
      <c r="B143" s="556" t="s">
        <v>136</v>
      </c>
      <c r="C143" s="556"/>
      <c r="D143" s="556"/>
      <c r="E143" s="556"/>
      <c r="F143" s="556"/>
      <c r="G143" s="556"/>
      <c r="H143" s="556"/>
      <c r="I143" s="556"/>
      <c r="J143" s="556"/>
      <c r="K143" s="556"/>
      <c r="L143" s="556"/>
      <c r="M143" s="556"/>
      <c r="N143" s="556"/>
      <c r="O143" s="556"/>
      <c r="P143" s="556"/>
      <c r="Q143" s="556"/>
      <c r="R143" s="556"/>
      <c r="S143" s="556"/>
      <c r="T143" s="556"/>
      <c r="U143" s="556"/>
      <c r="V143" s="599"/>
      <c r="W143" s="558"/>
      <c r="X143" s="543"/>
    </row>
    <row r="144" spans="1:24" s="544" customFormat="1" x14ac:dyDescent="0.3">
      <c r="A144" s="555"/>
      <c r="B144" s="556" t="s">
        <v>123</v>
      </c>
      <c r="C144" s="556"/>
      <c r="D144" s="556"/>
      <c r="E144" s="556"/>
      <c r="F144" s="556"/>
      <c r="G144" s="556"/>
      <c r="H144" s="556"/>
      <c r="I144" s="556"/>
      <c r="J144" s="556"/>
      <c r="K144" s="556"/>
      <c r="L144" s="556"/>
      <c r="M144" s="556"/>
      <c r="N144" s="556"/>
      <c r="O144" s="556"/>
      <c r="P144" s="556"/>
      <c r="Q144" s="556"/>
      <c r="R144" s="556"/>
      <c r="S144" s="556"/>
      <c r="T144" s="556"/>
      <c r="U144" s="556"/>
      <c r="V144" s="599">
        <v>0</v>
      </c>
      <c r="W144" s="558"/>
      <c r="X144" s="543"/>
    </row>
    <row r="145" spans="1:25" s="544" customFormat="1" x14ac:dyDescent="0.3">
      <c r="A145" s="555"/>
      <c r="B145" s="556" t="s">
        <v>124</v>
      </c>
      <c r="C145" s="556"/>
      <c r="D145" s="556"/>
      <c r="E145" s="556"/>
      <c r="F145" s="556"/>
      <c r="G145" s="556"/>
      <c r="H145" s="556"/>
      <c r="I145" s="556"/>
      <c r="J145" s="556"/>
      <c r="K145" s="556"/>
      <c r="L145" s="556"/>
      <c r="M145" s="556"/>
      <c r="N145" s="556"/>
      <c r="O145" s="556"/>
      <c r="P145" s="556"/>
      <c r="Q145" s="556"/>
      <c r="R145" s="556"/>
      <c r="S145" s="556"/>
      <c r="T145" s="556"/>
      <c r="U145" s="556"/>
      <c r="V145" s="599">
        <v>0</v>
      </c>
      <c r="W145" s="558"/>
      <c r="X145" s="543"/>
    </row>
    <row r="146" spans="1:25" s="544" customFormat="1" x14ac:dyDescent="0.3">
      <c r="A146" s="555"/>
      <c r="B146" s="556" t="s">
        <v>175</v>
      </c>
      <c r="C146" s="556"/>
      <c r="D146" s="556"/>
      <c r="E146" s="556"/>
      <c r="F146" s="556"/>
      <c r="G146" s="556"/>
      <c r="H146" s="556"/>
      <c r="I146" s="556"/>
      <c r="J146" s="556"/>
      <c r="K146" s="556"/>
      <c r="L146" s="556"/>
      <c r="M146" s="556"/>
      <c r="N146" s="556"/>
      <c r="O146" s="556"/>
      <c r="P146" s="556"/>
      <c r="Q146" s="556"/>
      <c r="R146" s="556"/>
      <c r="S146" s="556"/>
      <c r="T146" s="556"/>
      <c r="U146" s="556"/>
      <c r="V146" s="599">
        <v>0</v>
      </c>
      <c r="W146" s="558"/>
      <c r="X146" s="543"/>
    </row>
    <row r="147" spans="1:25" s="544" customFormat="1" x14ac:dyDescent="0.3">
      <c r="A147" s="555"/>
      <c r="B147" s="556" t="s">
        <v>45</v>
      </c>
      <c r="C147" s="556"/>
      <c r="D147" s="556"/>
      <c r="E147" s="556"/>
      <c r="F147" s="556"/>
      <c r="G147" s="556"/>
      <c r="H147" s="556"/>
      <c r="I147" s="556"/>
      <c r="J147" s="556"/>
      <c r="K147" s="556"/>
      <c r="L147" s="556"/>
      <c r="M147" s="556"/>
      <c r="N147" s="556"/>
      <c r="O147" s="556"/>
      <c r="P147" s="556"/>
      <c r="Q147" s="556"/>
      <c r="R147" s="556"/>
      <c r="S147" s="556"/>
      <c r="T147" s="556"/>
      <c r="U147" s="556"/>
      <c r="V147" s="599">
        <v>0</v>
      </c>
      <c r="W147" s="558"/>
      <c r="X147" s="543"/>
    </row>
    <row r="148" spans="1:25" s="544" customFormat="1" x14ac:dyDescent="0.3">
      <c r="A148" s="555"/>
      <c r="B148" s="556" t="s">
        <v>129</v>
      </c>
      <c r="C148" s="556"/>
      <c r="D148" s="556"/>
      <c r="E148" s="556"/>
      <c r="F148" s="556"/>
      <c r="G148" s="556"/>
      <c r="H148" s="556"/>
      <c r="I148" s="556"/>
      <c r="J148" s="556"/>
      <c r="K148" s="556"/>
      <c r="L148" s="556"/>
      <c r="M148" s="556"/>
      <c r="N148" s="556"/>
      <c r="O148" s="556"/>
      <c r="P148" s="556"/>
      <c r="Q148" s="556"/>
      <c r="R148" s="556"/>
      <c r="S148" s="556"/>
      <c r="T148" s="556"/>
      <c r="U148" s="556"/>
      <c r="V148" s="599">
        <v>0</v>
      </c>
      <c r="W148" s="558"/>
      <c r="X148" s="543"/>
    </row>
    <row r="149" spans="1:25" s="544" customFormat="1" x14ac:dyDescent="0.3">
      <c r="A149" s="555"/>
      <c r="B149" s="556" t="s">
        <v>267</v>
      </c>
      <c r="C149" s="556"/>
      <c r="D149" s="556"/>
      <c r="E149" s="556"/>
      <c r="F149" s="556"/>
      <c r="G149" s="556"/>
      <c r="H149" s="556"/>
      <c r="I149" s="556"/>
      <c r="J149" s="556"/>
      <c r="K149" s="556"/>
      <c r="L149" s="556"/>
      <c r="M149" s="556"/>
      <c r="N149" s="556"/>
      <c r="O149" s="556"/>
      <c r="P149" s="556"/>
      <c r="Q149" s="556"/>
      <c r="R149" s="556"/>
      <c r="S149" s="556"/>
      <c r="T149" s="556"/>
      <c r="U149" s="556"/>
      <c r="V149" s="599">
        <v>0</v>
      </c>
      <c r="W149" s="558"/>
      <c r="X149" s="543"/>
      <c r="Y149" s="604"/>
    </row>
    <row r="150" spans="1:25" s="544" customFormat="1" x14ac:dyDescent="0.3">
      <c r="A150" s="555"/>
      <c r="B150" s="556" t="s">
        <v>46</v>
      </c>
      <c r="C150" s="556"/>
      <c r="D150" s="556"/>
      <c r="E150" s="556"/>
      <c r="F150" s="556"/>
      <c r="G150" s="556"/>
      <c r="H150" s="556"/>
      <c r="I150" s="556"/>
      <c r="J150" s="556"/>
      <c r="K150" s="556"/>
      <c r="L150" s="556"/>
      <c r="M150" s="556"/>
      <c r="N150" s="556"/>
      <c r="O150" s="556"/>
      <c r="P150" s="556"/>
      <c r="Q150" s="556"/>
      <c r="R150" s="556"/>
      <c r="S150" s="556"/>
      <c r="T150" s="556"/>
      <c r="U150" s="556"/>
      <c r="V150" s="599">
        <f>SUM(V142:V149)</f>
        <v>28505</v>
      </c>
      <c r="W150" s="558"/>
      <c r="X150" s="543"/>
    </row>
    <row r="151" spans="1:25" x14ac:dyDescent="0.3">
      <c r="A151" s="431"/>
      <c r="B151" s="434"/>
      <c r="C151" s="434"/>
      <c r="D151" s="434"/>
      <c r="E151" s="434"/>
      <c r="F151" s="434"/>
      <c r="G151" s="434"/>
      <c r="H151" s="434"/>
      <c r="I151" s="434"/>
      <c r="J151" s="434"/>
      <c r="K151" s="434"/>
      <c r="L151" s="434"/>
      <c r="M151" s="434"/>
      <c r="N151" s="434"/>
      <c r="O151" s="434"/>
      <c r="P151" s="434"/>
      <c r="Q151" s="434"/>
      <c r="R151" s="434"/>
      <c r="S151" s="434"/>
      <c r="T151" s="434"/>
      <c r="U151" s="434"/>
      <c r="V151" s="449"/>
      <c r="W151" s="436"/>
      <c r="X151" s="415"/>
    </row>
    <row r="152" spans="1:25" x14ac:dyDescent="0.3">
      <c r="A152" s="431"/>
      <c r="B152" s="507" t="s">
        <v>237</v>
      </c>
      <c r="C152" s="434"/>
      <c r="D152" s="434"/>
      <c r="E152" s="434"/>
      <c r="F152" s="434"/>
      <c r="G152" s="434"/>
      <c r="H152" s="434"/>
      <c r="I152" s="434"/>
      <c r="J152" s="434"/>
      <c r="K152" s="434"/>
      <c r="L152" s="434"/>
      <c r="M152" s="434"/>
      <c r="N152" s="434"/>
      <c r="O152" s="434"/>
      <c r="P152" s="434"/>
      <c r="Q152" s="434"/>
      <c r="R152" s="434"/>
      <c r="S152" s="434"/>
      <c r="T152" s="434"/>
      <c r="U152" s="434"/>
      <c r="V152" s="449"/>
      <c r="W152" s="436"/>
      <c r="X152" s="415"/>
    </row>
    <row r="153" spans="1:25" s="544" customFormat="1" x14ac:dyDescent="0.3">
      <c r="A153" s="555"/>
      <c r="B153" s="556" t="s">
        <v>155</v>
      </c>
      <c r="C153" s="556"/>
      <c r="D153" s="556"/>
      <c r="E153" s="556"/>
      <c r="F153" s="556"/>
      <c r="G153" s="556"/>
      <c r="H153" s="556"/>
      <c r="I153" s="556"/>
      <c r="J153" s="556"/>
      <c r="K153" s="556"/>
      <c r="L153" s="556"/>
      <c r="M153" s="556"/>
      <c r="N153" s="556"/>
      <c r="O153" s="556"/>
      <c r="P153" s="556"/>
      <c r="Q153" s="556"/>
      <c r="R153" s="556"/>
      <c r="S153" s="556"/>
      <c r="T153" s="556"/>
      <c r="U153" s="556"/>
      <c r="V153" s="599">
        <v>7500</v>
      </c>
      <c r="W153" s="558"/>
      <c r="X153" s="543"/>
    </row>
    <row r="154" spans="1:25" s="544" customFormat="1" x14ac:dyDescent="0.3">
      <c r="A154" s="555"/>
      <c r="B154" s="556" t="s">
        <v>172</v>
      </c>
      <c r="C154" s="556"/>
      <c r="D154" s="556"/>
      <c r="E154" s="556"/>
      <c r="F154" s="556"/>
      <c r="G154" s="556"/>
      <c r="H154" s="556"/>
      <c r="I154" s="556"/>
      <c r="J154" s="556"/>
      <c r="K154" s="556"/>
      <c r="L154" s="556"/>
      <c r="M154" s="556"/>
      <c r="N154" s="556"/>
      <c r="O154" s="556"/>
      <c r="P154" s="556"/>
      <c r="Q154" s="556"/>
      <c r="R154" s="556"/>
      <c r="S154" s="556"/>
      <c r="T154" s="556"/>
      <c r="U154" s="556"/>
      <c r="V154" s="599">
        <v>0</v>
      </c>
      <c r="W154" s="558"/>
      <c r="X154" s="543"/>
    </row>
    <row r="155" spans="1:25" s="544" customFormat="1" x14ac:dyDescent="0.3">
      <c r="A155" s="555"/>
      <c r="B155" s="556" t="s">
        <v>344</v>
      </c>
      <c r="C155" s="556"/>
      <c r="D155" s="556"/>
      <c r="E155" s="556"/>
      <c r="F155" s="556"/>
      <c r="G155" s="556"/>
      <c r="H155" s="556"/>
      <c r="I155" s="556"/>
      <c r="J155" s="556"/>
      <c r="K155" s="556"/>
      <c r="L155" s="556"/>
      <c r="M155" s="556"/>
      <c r="N155" s="556"/>
      <c r="O155" s="556"/>
      <c r="P155" s="556"/>
      <c r="Q155" s="556"/>
      <c r="R155" s="556"/>
      <c r="S155" s="556"/>
      <c r="T155" s="556"/>
      <c r="U155" s="556"/>
      <c r="V155" s="599">
        <v>0</v>
      </c>
      <c r="W155" s="558"/>
      <c r="X155" s="543"/>
    </row>
    <row r="156" spans="1:25" x14ac:dyDescent="0.3">
      <c r="A156" s="431"/>
      <c r="B156" s="432"/>
      <c r="C156" s="432"/>
      <c r="D156" s="432"/>
      <c r="E156" s="432"/>
      <c r="F156" s="432"/>
      <c r="G156" s="432"/>
      <c r="H156" s="432"/>
      <c r="I156" s="432"/>
      <c r="J156" s="432"/>
      <c r="K156" s="432"/>
      <c r="L156" s="432"/>
      <c r="M156" s="432"/>
      <c r="N156" s="432"/>
      <c r="O156" s="432"/>
      <c r="P156" s="432"/>
      <c r="Q156" s="432"/>
      <c r="R156" s="432"/>
      <c r="S156" s="432"/>
      <c r="T156" s="432"/>
      <c r="U156" s="432"/>
      <c r="V156" s="440"/>
      <c r="W156" s="433"/>
      <c r="X156" s="415"/>
    </row>
    <row r="157" spans="1:25" x14ac:dyDescent="0.3">
      <c r="A157" s="417"/>
      <c r="B157" s="441"/>
      <c r="C157" s="441"/>
      <c r="D157" s="441"/>
      <c r="E157" s="441"/>
      <c r="F157" s="441"/>
      <c r="G157" s="441"/>
      <c r="H157" s="441"/>
      <c r="I157" s="441"/>
      <c r="J157" s="441"/>
      <c r="K157" s="441"/>
      <c r="L157" s="441"/>
      <c r="M157" s="441"/>
      <c r="N157" s="441"/>
      <c r="O157" s="441"/>
      <c r="P157" s="441"/>
      <c r="Q157" s="441"/>
      <c r="R157" s="441"/>
      <c r="S157" s="441"/>
      <c r="T157" s="441"/>
      <c r="U157" s="441"/>
      <c r="V157" s="452"/>
      <c r="W157" s="441"/>
      <c r="X157" s="415"/>
    </row>
    <row r="158" spans="1:25" x14ac:dyDescent="0.3">
      <c r="A158" s="417"/>
      <c r="B158" s="508" t="s">
        <v>24</v>
      </c>
      <c r="C158" s="419"/>
      <c r="D158" s="419"/>
      <c r="E158" s="419"/>
      <c r="F158" s="419"/>
      <c r="G158" s="419"/>
      <c r="H158" s="419"/>
      <c r="I158" s="419"/>
      <c r="J158" s="419"/>
      <c r="K158" s="419"/>
      <c r="L158" s="419"/>
      <c r="M158" s="419"/>
      <c r="N158" s="419"/>
      <c r="O158" s="419"/>
      <c r="P158" s="419"/>
      <c r="Q158" s="419"/>
      <c r="R158" s="419"/>
      <c r="S158" s="419"/>
      <c r="T158" s="419"/>
      <c r="U158" s="419"/>
      <c r="V158" s="439"/>
      <c r="W158" s="419"/>
      <c r="X158" s="415"/>
    </row>
    <row r="159" spans="1:25" s="544" customFormat="1" x14ac:dyDescent="0.3">
      <c r="A159" s="555"/>
      <c r="B159" s="556" t="s">
        <v>47</v>
      </c>
      <c r="C159" s="556"/>
      <c r="D159" s="556"/>
      <c r="E159" s="556"/>
      <c r="F159" s="556"/>
      <c r="G159" s="556"/>
      <c r="H159" s="556"/>
      <c r="I159" s="556"/>
      <c r="J159" s="556"/>
      <c r="K159" s="556"/>
      <c r="L159" s="556"/>
      <c r="M159" s="556"/>
      <c r="N159" s="556"/>
      <c r="O159" s="556"/>
      <c r="P159" s="556"/>
      <c r="Q159" s="556"/>
      <c r="R159" s="556"/>
      <c r="S159" s="556"/>
      <c r="T159" s="556"/>
      <c r="U159" s="556"/>
      <c r="V159" s="608" t="s">
        <v>118</v>
      </c>
      <c r="W159" s="558"/>
      <c r="X159" s="543"/>
    </row>
    <row r="160" spans="1:25" s="544" customFormat="1" x14ac:dyDescent="0.3">
      <c r="A160" s="555"/>
      <c r="B160" s="556" t="s">
        <v>48</v>
      </c>
      <c r="C160" s="556"/>
      <c r="D160" s="556"/>
      <c r="E160" s="556"/>
      <c r="F160" s="556"/>
      <c r="G160" s="556"/>
      <c r="H160" s="556"/>
      <c r="I160" s="556"/>
      <c r="J160" s="556"/>
      <c r="K160" s="556"/>
      <c r="L160" s="556"/>
      <c r="M160" s="556"/>
      <c r="N160" s="556"/>
      <c r="O160" s="556"/>
      <c r="P160" s="556"/>
      <c r="Q160" s="556"/>
      <c r="R160" s="556"/>
      <c r="S160" s="556"/>
      <c r="T160" s="556"/>
      <c r="U160" s="556"/>
      <c r="V160" s="608" t="s">
        <v>118</v>
      </c>
      <c r="W160" s="558"/>
      <c r="X160" s="543"/>
    </row>
    <row r="161" spans="1:256" s="544" customFormat="1" x14ac:dyDescent="0.3">
      <c r="A161" s="555"/>
      <c r="B161" s="556" t="s">
        <v>49</v>
      </c>
      <c r="C161" s="556"/>
      <c r="D161" s="556"/>
      <c r="E161" s="556"/>
      <c r="F161" s="556"/>
      <c r="G161" s="556"/>
      <c r="H161" s="556"/>
      <c r="I161" s="556"/>
      <c r="J161" s="556"/>
      <c r="K161" s="556"/>
      <c r="L161" s="556"/>
      <c r="M161" s="556"/>
      <c r="N161" s="556"/>
      <c r="O161" s="556"/>
      <c r="P161" s="556"/>
      <c r="Q161" s="556"/>
      <c r="R161" s="556"/>
      <c r="S161" s="556"/>
      <c r="T161" s="556"/>
      <c r="U161" s="556"/>
      <c r="V161" s="608" t="s">
        <v>118</v>
      </c>
      <c r="W161" s="558"/>
      <c r="X161" s="543"/>
    </row>
    <row r="162" spans="1:256" s="544" customFormat="1" x14ac:dyDescent="0.3">
      <c r="A162" s="555"/>
      <c r="B162" s="556" t="s">
        <v>50</v>
      </c>
      <c r="C162" s="556"/>
      <c r="D162" s="556"/>
      <c r="E162" s="556"/>
      <c r="F162" s="556"/>
      <c r="G162" s="556"/>
      <c r="H162" s="556"/>
      <c r="I162" s="556"/>
      <c r="J162" s="556"/>
      <c r="K162" s="556"/>
      <c r="L162" s="556"/>
      <c r="M162" s="556"/>
      <c r="N162" s="556"/>
      <c r="O162" s="556"/>
      <c r="P162" s="556"/>
      <c r="Q162" s="556"/>
      <c r="R162" s="556"/>
      <c r="S162" s="556"/>
      <c r="T162" s="556"/>
      <c r="U162" s="556"/>
      <c r="V162" s="608" t="s">
        <v>118</v>
      </c>
      <c r="W162" s="558"/>
      <c r="X162" s="543"/>
    </row>
    <row r="163" spans="1:256" x14ac:dyDescent="0.3">
      <c r="A163" s="417"/>
      <c r="B163" s="441"/>
      <c r="C163" s="441"/>
      <c r="D163" s="441"/>
      <c r="E163" s="441"/>
      <c r="F163" s="441"/>
      <c r="G163" s="441"/>
      <c r="H163" s="441"/>
      <c r="I163" s="441"/>
      <c r="J163" s="441"/>
      <c r="K163" s="441"/>
      <c r="L163" s="441"/>
      <c r="M163" s="441"/>
      <c r="N163" s="441"/>
      <c r="O163" s="441"/>
      <c r="P163" s="441"/>
      <c r="Q163" s="441"/>
      <c r="R163" s="441"/>
      <c r="S163" s="441"/>
      <c r="T163" s="441"/>
      <c r="U163" s="441"/>
      <c r="V163" s="452"/>
      <c r="W163" s="441"/>
      <c r="X163" s="415"/>
    </row>
    <row r="164" spans="1:256" x14ac:dyDescent="0.3">
      <c r="A164" s="417"/>
      <c r="B164" s="508" t="s">
        <v>51</v>
      </c>
      <c r="C164" s="419"/>
      <c r="D164" s="419"/>
      <c r="E164" s="419"/>
      <c r="F164" s="419"/>
      <c r="G164" s="419"/>
      <c r="H164" s="419"/>
      <c r="I164" s="419"/>
      <c r="J164" s="419"/>
      <c r="K164" s="419"/>
      <c r="L164" s="419"/>
      <c r="M164" s="419"/>
      <c r="N164" s="419"/>
      <c r="O164" s="419"/>
      <c r="P164" s="419"/>
      <c r="Q164" s="419"/>
      <c r="R164" s="419"/>
      <c r="S164" s="419"/>
      <c r="T164" s="419"/>
      <c r="U164" s="419"/>
      <c r="V164" s="453"/>
      <c r="W164" s="419"/>
      <c r="X164" s="415"/>
    </row>
    <row r="165" spans="1:256" s="544" customFormat="1" x14ac:dyDescent="0.3">
      <c r="A165" s="555"/>
      <c r="B165" s="556" t="s">
        <v>52</v>
      </c>
      <c r="C165" s="556"/>
      <c r="D165" s="556"/>
      <c r="E165" s="556"/>
      <c r="F165" s="556"/>
      <c r="G165" s="556"/>
      <c r="H165" s="556"/>
      <c r="I165" s="556"/>
      <c r="J165" s="556"/>
      <c r="K165" s="556"/>
      <c r="L165" s="556"/>
      <c r="M165" s="556"/>
      <c r="N165" s="556"/>
      <c r="O165" s="556"/>
      <c r="P165" s="556"/>
      <c r="Q165" s="556"/>
      <c r="R165" s="556"/>
      <c r="S165" s="556"/>
      <c r="T165" s="556"/>
      <c r="U165" s="556"/>
      <c r="V165" s="599">
        <v>0</v>
      </c>
      <c r="W165" s="558"/>
      <c r="X165" s="543"/>
    </row>
    <row r="166" spans="1:256" s="544" customFormat="1" x14ac:dyDescent="0.3">
      <c r="A166" s="555"/>
      <c r="B166" s="556" t="s">
        <v>53</v>
      </c>
      <c r="C166" s="556"/>
      <c r="D166" s="556"/>
      <c r="E166" s="556"/>
      <c r="F166" s="556"/>
      <c r="G166" s="556"/>
      <c r="H166" s="556"/>
      <c r="I166" s="556"/>
      <c r="J166" s="556"/>
      <c r="K166" s="556"/>
      <c r="L166" s="556"/>
      <c r="M166" s="556"/>
      <c r="N166" s="556"/>
      <c r="O166" s="556"/>
      <c r="P166" s="556"/>
      <c r="Q166" s="556"/>
      <c r="R166" s="556"/>
      <c r="S166" s="556"/>
      <c r="T166" s="556"/>
      <c r="U166" s="556"/>
      <c r="V166" s="599">
        <v>25</v>
      </c>
      <c r="W166" s="558"/>
      <c r="X166" s="543"/>
    </row>
    <row r="167" spans="1:256" s="544" customFormat="1" x14ac:dyDescent="0.3">
      <c r="A167" s="555"/>
      <c r="B167" s="556" t="s">
        <v>54</v>
      </c>
      <c r="C167" s="556"/>
      <c r="D167" s="556"/>
      <c r="E167" s="556"/>
      <c r="F167" s="556"/>
      <c r="G167" s="556"/>
      <c r="H167" s="556"/>
      <c r="I167" s="556"/>
      <c r="J167" s="556"/>
      <c r="K167" s="556"/>
      <c r="L167" s="556"/>
      <c r="M167" s="556"/>
      <c r="N167" s="556"/>
      <c r="O167" s="556"/>
      <c r="P167" s="556"/>
      <c r="Q167" s="556"/>
      <c r="R167" s="556"/>
      <c r="S167" s="556"/>
      <c r="T167" s="556"/>
      <c r="U167" s="556"/>
      <c r="V167" s="599">
        <f>V166+V165</f>
        <v>25</v>
      </c>
      <c r="W167" s="558"/>
      <c r="X167" s="543"/>
    </row>
    <row r="168" spans="1:256" s="544" customFormat="1" x14ac:dyDescent="0.3">
      <c r="A168" s="555"/>
      <c r="B168" s="556" t="s">
        <v>315</v>
      </c>
      <c r="C168" s="556"/>
      <c r="D168" s="556"/>
      <c r="E168" s="556"/>
      <c r="F168" s="556"/>
      <c r="G168" s="556"/>
      <c r="H168" s="556"/>
      <c r="I168" s="556"/>
      <c r="J168" s="556"/>
      <c r="K168" s="556"/>
      <c r="L168" s="556"/>
      <c r="M168" s="556"/>
      <c r="N168" s="556"/>
      <c r="O168" s="556"/>
      <c r="P168" s="556"/>
      <c r="Q168" s="556"/>
      <c r="R168" s="556"/>
      <c r="S168" s="556"/>
      <c r="T168" s="556"/>
      <c r="U168" s="556"/>
      <c r="V168" s="599">
        <f>V114</f>
        <v>-25</v>
      </c>
      <c r="W168" s="558"/>
      <c r="X168" s="543"/>
    </row>
    <row r="169" spans="1:256" s="544" customFormat="1" x14ac:dyDescent="0.3">
      <c r="A169" s="555"/>
      <c r="B169" s="556" t="s">
        <v>55</v>
      </c>
      <c r="C169" s="556"/>
      <c r="D169" s="556"/>
      <c r="E169" s="556"/>
      <c r="F169" s="556"/>
      <c r="G169" s="556"/>
      <c r="H169" s="556"/>
      <c r="I169" s="556"/>
      <c r="J169" s="556"/>
      <c r="K169" s="556"/>
      <c r="L169" s="556"/>
      <c r="M169" s="556"/>
      <c r="N169" s="556"/>
      <c r="O169" s="556"/>
      <c r="P169" s="556"/>
      <c r="Q169" s="556"/>
      <c r="R169" s="556"/>
      <c r="S169" s="556"/>
      <c r="T169" s="556"/>
      <c r="U169" s="556"/>
      <c r="V169" s="599">
        <f>V167+V168</f>
        <v>0</v>
      </c>
      <c r="W169" s="558"/>
      <c r="X169" s="543"/>
    </row>
    <row r="170" spans="1:256" s="544" customFormat="1" x14ac:dyDescent="0.3">
      <c r="A170" s="555"/>
      <c r="B170" s="556" t="s">
        <v>283</v>
      </c>
      <c r="C170" s="556"/>
      <c r="D170" s="556"/>
      <c r="E170" s="556"/>
      <c r="F170" s="556"/>
      <c r="G170" s="556"/>
      <c r="H170" s="556"/>
      <c r="I170" s="556"/>
      <c r="J170" s="556"/>
      <c r="K170" s="556"/>
      <c r="L170" s="556"/>
      <c r="M170" s="556"/>
      <c r="N170" s="556"/>
      <c r="O170" s="556"/>
      <c r="P170" s="556"/>
      <c r="Q170" s="556"/>
      <c r="R170" s="556"/>
      <c r="S170" s="556"/>
      <c r="T170" s="556"/>
      <c r="U170" s="556"/>
      <c r="V170" s="599">
        <f>-V99</f>
        <v>177</v>
      </c>
      <c r="W170" s="558"/>
      <c r="X170" s="543"/>
    </row>
    <row r="171" spans="1:256" ht="16.2" thickBot="1" x14ac:dyDescent="0.35">
      <c r="A171" s="417"/>
      <c r="B171" s="437"/>
      <c r="C171" s="437"/>
      <c r="D171" s="437"/>
      <c r="E171" s="437"/>
      <c r="F171" s="437"/>
      <c r="G171" s="437"/>
      <c r="H171" s="437"/>
      <c r="I171" s="437"/>
      <c r="J171" s="437"/>
      <c r="K171" s="437"/>
      <c r="L171" s="437"/>
      <c r="M171" s="437"/>
      <c r="N171" s="437"/>
      <c r="O171" s="437"/>
      <c r="P171" s="437"/>
      <c r="Q171" s="437"/>
      <c r="R171" s="437"/>
      <c r="S171" s="437"/>
      <c r="T171" s="437"/>
      <c r="U171" s="437"/>
      <c r="V171" s="454"/>
      <c r="W171" s="437"/>
      <c r="X171" s="415"/>
    </row>
    <row r="172" spans="1:256" x14ac:dyDescent="0.3">
      <c r="A172" s="413"/>
      <c r="B172" s="455"/>
      <c r="C172" s="455"/>
      <c r="D172" s="455"/>
      <c r="E172" s="455"/>
      <c r="F172" s="455"/>
      <c r="G172" s="455"/>
      <c r="H172" s="455"/>
      <c r="I172" s="455"/>
      <c r="J172" s="455"/>
      <c r="K172" s="455"/>
      <c r="L172" s="455"/>
      <c r="M172" s="455"/>
      <c r="N172" s="455"/>
      <c r="O172" s="455"/>
      <c r="P172" s="455"/>
      <c r="Q172" s="455"/>
      <c r="R172" s="455"/>
      <c r="S172" s="455"/>
      <c r="T172" s="455"/>
      <c r="U172" s="455"/>
      <c r="V172" s="456"/>
      <c r="W172" s="455"/>
      <c r="X172" s="415"/>
    </row>
    <row r="173" spans="1:256" s="458" customFormat="1" x14ac:dyDescent="0.3">
      <c r="A173" s="417"/>
      <c r="B173" s="508" t="s">
        <v>269</v>
      </c>
      <c r="C173" s="441"/>
      <c r="D173" s="441"/>
      <c r="E173" s="441"/>
      <c r="F173" s="441"/>
      <c r="G173" s="441"/>
      <c r="H173" s="441"/>
      <c r="I173" s="441"/>
      <c r="J173" s="441"/>
      <c r="K173" s="441"/>
      <c r="L173" s="441"/>
      <c r="M173" s="441"/>
      <c r="N173" s="441"/>
      <c r="O173" s="441"/>
      <c r="P173" s="441"/>
      <c r="Q173" s="441"/>
      <c r="R173" s="441"/>
      <c r="S173" s="441"/>
      <c r="T173" s="441"/>
      <c r="U173" s="441"/>
      <c r="V173" s="457"/>
      <c r="W173" s="441"/>
      <c r="X173" s="415"/>
      <c r="Y173" s="416"/>
      <c r="Z173" s="416"/>
      <c r="AA173" s="416"/>
      <c r="AB173" s="416"/>
      <c r="AC173" s="416"/>
      <c r="AD173" s="416"/>
      <c r="AE173" s="416"/>
      <c r="AF173" s="416"/>
      <c r="AG173" s="416"/>
      <c r="AH173" s="416"/>
      <c r="AI173" s="416"/>
      <c r="AJ173" s="416"/>
      <c r="AK173" s="416"/>
      <c r="AL173" s="416"/>
      <c r="AM173" s="416"/>
      <c r="AN173" s="416"/>
      <c r="AO173" s="416"/>
      <c r="AP173" s="416"/>
      <c r="AQ173" s="416"/>
      <c r="AR173" s="416"/>
      <c r="AS173" s="416"/>
      <c r="AT173" s="416"/>
      <c r="AU173" s="416"/>
      <c r="AV173" s="416"/>
      <c r="AW173" s="416"/>
      <c r="AX173" s="416"/>
      <c r="AY173" s="416"/>
      <c r="AZ173" s="416"/>
      <c r="BA173" s="416"/>
      <c r="BB173" s="416"/>
      <c r="BC173" s="416"/>
      <c r="BD173" s="416"/>
      <c r="BE173" s="416"/>
      <c r="BF173" s="416"/>
      <c r="BG173" s="416"/>
      <c r="BH173" s="416"/>
      <c r="BI173" s="416"/>
      <c r="BJ173" s="416"/>
      <c r="BK173" s="416"/>
      <c r="BL173" s="416"/>
      <c r="BM173" s="416"/>
      <c r="BN173" s="416"/>
      <c r="BO173" s="416"/>
      <c r="BP173" s="416"/>
      <c r="BQ173" s="416"/>
      <c r="BR173" s="416"/>
      <c r="BS173" s="416"/>
      <c r="BT173" s="416"/>
      <c r="BU173" s="416"/>
      <c r="BV173" s="416"/>
      <c r="BW173" s="416"/>
      <c r="BX173" s="416"/>
      <c r="BY173" s="416"/>
      <c r="BZ173" s="416"/>
      <c r="CA173" s="416"/>
      <c r="CB173" s="416"/>
      <c r="CC173" s="416"/>
      <c r="CD173" s="416"/>
      <c r="CE173" s="416"/>
      <c r="CF173" s="416"/>
      <c r="CG173" s="416"/>
      <c r="CH173" s="416"/>
      <c r="CI173" s="416"/>
      <c r="CJ173" s="416"/>
      <c r="CK173" s="416"/>
      <c r="CL173" s="416"/>
      <c r="CM173" s="416"/>
      <c r="CN173" s="416"/>
      <c r="CO173" s="416"/>
      <c r="CP173" s="416"/>
      <c r="CQ173" s="416"/>
      <c r="CR173" s="416"/>
      <c r="CS173" s="416"/>
      <c r="CT173" s="416"/>
      <c r="CU173" s="416"/>
      <c r="CV173" s="416"/>
      <c r="CW173" s="416"/>
      <c r="CX173" s="416"/>
      <c r="CY173" s="416"/>
      <c r="CZ173" s="416"/>
      <c r="DA173" s="416"/>
      <c r="DB173" s="416"/>
      <c r="DC173" s="416"/>
      <c r="DD173" s="416"/>
      <c r="DE173" s="416"/>
      <c r="DF173" s="416"/>
      <c r="DG173" s="416"/>
      <c r="DH173" s="416"/>
      <c r="DI173" s="416"/>
      <c r="DJ173" s="416"/>
      <c r="DK173" s="416"/>
      <c r="DL173" s="416"/>
      <c r="DM173" s="416"/>
      <c r="DN173" s="416"/>
      <c r="DO173" s="416"/>
      <c r="DP173" s="416"/>
      <c r="DQ173" s="416"/>
      <c r="DR173" s="416"/>
      <c r="DS173" s="416"/>
      <c r="DT173" s="416"/>
      <c r="DU173" s="416"/>
      <c r="DV173" s="416"/>
      <c r="DW173" s="416"/>
      <c r="DX173" s="416"/>
      <c r="DY173" s="416"/>
      <c r="DZ173" s="416"/>
      <c r="EA173" s="416"/>
      <c r="EB173" s="416"/>
      <c r="EC173" s="416"/>
      <c r="ED173" s="416"/>
      <c r="EE173" s="416"/>
      <c r="EF173" s="416"/>
      <c r="EG173" s="416"/>
      <c r="EH173" s="416"/>
      <c r="EI173" s="416"/>
      <c r="EJ173" s="416"/>
      <c r="EK173" s="416"/>
      <c r="EL173" s="416"/>
      <c r="EM173" s="416"/>
      <c r="EN173" s="416"/>
      <c r="EO173" s="416"/>
      <c r="EP173" s="416"/>
      <c r="EQ173" s="416"/>
      <c r="ER173" s="416"/>
      <c r="ES173" s="416"/>
      <c r="ET173" s="416"/>
      <c r="EU173" s="416"/>
      <c r="EV173" s="416"/>
      <c r="EW173" s="416"/>
      <c r="EX173" s="416"/>
      <c r="EY173" s="416"/>
      <c r="EZ173" s="416"/>
      <c r="FA173" s="416"/>
      <c r="FB173" s="416"/>
      <c r="FC173" s="416"/>
      <c r="FD173" s="416"/>
      <c r="FE173" s="416"/>
      <c r="FF173" s="416"/>
      <c r="FG173" s="416"/>
      <c r="FH173" s="416"/>
      <c r="FI173" s="416"/>
      <c r="FJ173" s="416"/>
      <c r="FK173" s="416"/>
      <c r="FL173" s="416"/>
      <c r="FM173" s="416"/>
      <c r="FN173" s="416"/>
      <c r="FO173" s="416"/>
      <c r="FP173" s="416"/>
      <c r="FQ173" s="416"/>
      <c r="FR173" s="416"/>
      <c r="FS173" s="416"/>
      <c r="FT173" s="416"/>
      <c r="FU173" s="416"/>
      <c r="FV173" s="416"/>
      <c r="FW173" s="416"/>
      <c r="FX173" s="416"/>
      <c r="FY173" s="416"/>
      <c r="FZ173" s="416"/>
      <c r="GA173" s="416"/>
      <c r="GB173" s="416"/>
      <c r="GC173" s="416"/>
      <c r="GD173" s="416"/>
      <c r="GE173" s="416"/>
      <c r="GF173" s="416"/>
      <c r="GG173" s="416"/>
      <c r="GH173" s="416"/>
      <c r="GI173" s="416"/>
      <c r="GJ173" s="416"/>
      <c r="GK173" s="416"/>
      <c r="GL173" s="416"/>
      <c r="GM173" s="416"/>
      <c r="GN173" s="416"/>
      <c r="GO173" s="416"/>
      <c r="GP173" s="416"/>
      <c r="GQ173" s="416"/>
      <c r="GR173" s="416"/>
      <c r="GS173" s="416"/>
      <c r="GT173" s="416"/>
      <c r="GU173" s="416"/>
      <c r="GV173" s="416"/>
      <c r="GW173" s="416"/>
      <c r="GX173" s="416"/>
      <c r="GY173" s="416"/>
      <c r="GZ173" s="416"/>
      <c r="HA173" s="416"/>
      <c r="HB173" s="416"/>
      <c r="HC173" s="416"/>
      <c r="HD173" s="416"/>
      <c r="HE173" s="416"/>
      <c r="HF173" s="416"/>
      <c r="HG173" s="416"/>
      <c r="HH173" s="416"/>
      <c r="HI173" s="416"/>
      <c r="HJ173" s="416"/>
      <c r="HK173" s="416"/>
      <c r="HL173" s="416"/>
      <c r="HM173" s="416"/>
      <c r="HN173" s="416"/>
      <c r="HO173" s="416"/>
      <c r="HP173" s="416"/>
      <c r="HQ173" s="416"/>
      <c r="HR173" s="416"/>
      <c r="HS173" s="416"/>
      <c r="HT173" s="416"/>
      <c r="HU173" s="416"/>
      <c r="HV173" s="416"/>
      <c r="HW173" s="416"/>
      <c r="HX173" s="416"/>
      <c r="HY173" s="416"/>
      <c r="HZ173" s="416"/>
      <c r="IA173" s="416"/>
      <c r="IB173" s="416"/>
      <c r="IC173" s="416"/>
      <c r="ID173" s="416"/>
      <c r="IE173" s="416"/>
      <c r="IF173" s="416"/>
      <c r="IG173" s="416"/>
      <c r="IH173" s="416"/>
      <c r="II173" s="416"/>
      <c r="IJ173" s="416"/>
      <c r="IK173" s="416"/>
      <c r="IL173" s="416"/>
      <c r="IM173" s="416"/>
      <c r="IN173" s="416"/>
      <c r="IO173" s="416"/>
      <c r="IP173" s="416"/>
      <c r="IQ173" s="416"/>
      <c r="IR173" s="416"/>
      <c r="IS173" s="416"/>
      <c r="IT173" s="416"/>
      <c r="IU173" s="416"/>
      <c r="IV173" s="416"/>
    </row>
    <row r="174" spans="1:256" s="609" customFormat="1" x14ac:dyDescent="0.3">
      <c r="A174" s="555"/>
      <c r="B174" s="556" t="s">
        <v>270</v>
      </c>
      <c r="C174" s="556"/>
      <c r="D174" s="556"/>
      <c r="E174" s="556"/>
      <c r="F174" s="556"/>
      <c r="G174" s="556"/>
      <c r="H174" s="556"/>
      <c r="I174" s="556"/>
      <c r="J174" s="556"/>
      <c r="K174" s="556"/>
      <c r="L174" s="556"/>
      <c r="M174" s="556"/>
      <c r="N174" s="556"/>
      <c r="O174" s="556"/>
      <c r="P174" s="556"/>
      <c r="Q174" s="556"/>
      <c r="R174" s="556"/>
      <c r="S174" s="556"/>
      <c r="T174" s="556"/>
      <c r="U174" s="556"/>
      <c r="V174" s="599">
        <f>+'Aug 08'!V177</f>
        <v>0</v>
      </c>
      <c r="W174" s="558"/>
      <c r="X174" s="543"/>
      <c r="Y174" s="544"/>
      <c r="Z174" s="544"/>
      <c r="AA174" s="544"/>
      <c r="AB174" s="544"/>
      <c r="AC174" s="544"/>
      <c r="AD174" s="544"/>
      <c r="AE174" s="544"/>
      <c r="AF174" s="544"/>
      <c r="AG174" s="544"/>
      <c r="AH174" s="544"/>
      <c r="AI174" s="544"/>
      <c r="AJ174" s="544"/>
      <c r="AK174" s="544"/>
      <c r="AL174" s="544"/>
      <c r="AM174" s="544"/>
      <c r="AN174" s="544"/>
      <c r="AO174" s="544"/>
      <c r="AP174" s="544"/>
      <c r="AQ174" s="544"/>
      <c r="AR174" s="544"/>
      <c r="AS174" s="544"/>
      <c r="AT174" s="544"/>
      <c r="AU174" s="544"/>
      <c r="AV174" s="544"/>
      <c r="AW174" s="544"/>
      <c r="AX174" s="544"/>
      <c r="AY174" s="544"/>
      <c r="AZ174" s="544"/>
      <c r="BA174" s="544"/>
      <c r="BB174" s="544"/>
      <c r="BC174" s="544"/>
      <c r="BD174" s="544"/>
      <c r="BE174" s="544"/>
      <c r="BF174" s="544"/>
      <c r="BG174" s="544"/>
      <c r="BH174" s="544"/>
      <c r="BI174" s="544"/>
      <c r="BJ174" s="544"/>
      <c r="BK174" s="544"/>
      <c r="BL174" s="544"/>
      <c r="BM174" s="544"/>
      <c r="BN174" s="544"/>
      <c r="BO174" s="544"/>
      <c r="BP174" s="544"/>
      <c r="BQ174" s="544"/>
      <c r="BR174" s="544"/>
      <c r="BS174" s="544"/>
      <c r="BT174" s="544"/>
      <c r="BU174" s="544"/>
      <c r="BV174" s="544"/>
      <c r="BW174" s="544"/>
      <c r="BX174" s="544"/>
      <c r="BY174" s="544"/>
      <c r="BZ174" s="544"/>
      <c r="CA174" s="544"/>
      <c r="CB174" s="544"/>
      <c r="CC174" s="544"/>
      <c r="CD174" s="544"/>
      <c r="CE174" s="544"/>
      <c r="CF174" s="544"/>
      <c r="CG174" s="544"/>
      <c r="CH174" s="544"/>
      <c r="CI174" s="544"/>
      <c r="CJ174" s="544"/>
      <c r="CK174" s="544"/>
      <c r="CL174" s="544"/>
      <c r="CM174" s="544"/>
      <c r="CN174" s="544"/>
      <c r="CO174" s="544"/>
      <c r="CP174" s="544"/>
      <c r="CQ174" s="544"/>
      <c r="CR174" s="544"/>
      <c r="CS174" s="544"/>
      <c r="CT174" s="544"/>
      <c r="CU174" s="544"/>
      <c r="CV174" s="544"/>
      <c r="CW174" s="544"/>
      <c r="CX174" s="544"/>
      <c r="CY174" s="544"/>
      <c r="CZ174" s="544"/>
      <c r="DA174" s="544"/>
      <c r="DB174" s="544"/>
      <c r="DC174" s="544"/>
      <c r="DD174" s="544"/>
      <c r="DE174" s="544"/>
      <c r="DF174" s="544"/>
      <c r="DG174" s="544"/>
      <c r="DH174" s="544"/>
      <c r="DI174" s="544"/>
      <c r="DJ174" s="544"/>
      <c r="DK174" s="544"/>
      <c r="DL174" s="544"/>
      <c r="DM174" s="544"/>
      <c r="DN174" s="544"/>
      <c r="DO174" s="544"/>
      <c r="DP174" s="544"/>
      <c r="DQ174" s="544"/>
      <c r="DR174" s="544"/>
      <c r="DS174" s="544"/>
      <c r="DT174" s="544"/>
      <c r="DU174" s="544"/>
      <c r="DV174" s="544"/>
      <c r="DW174" s="544"/>
      <c r="DX174" s="544"/>
      <c r="DY174" s="544"/>
      <c r="DZ174" s="544"/>
      <c r="EA174" s="544"/>
      <c r="EB174" s="544"/>
      <c r="EC174" s="544"/>
      <c r="ED174" s="544"/>
      <c r="EE174" s="544"/>
      <c r="EF174" s="544"/>
      <c r="EG174" s="544"/>
      <c r="EH174" s="544"/>
      <c r="EI174" s="544"/>
      <c r="EJ174" s="544"/>
      <c r="EK174" s="544"/>
      <c r="EL174" s="544"/>
      <c r="EM174" s="544"/>
      <c r="EN174" s="544"/>
      <c r="EO174" s="544"/>
      <c r="EP174" s="544"/>
      <c r="EQ174" s="544"/>
      <c r="ER174" s="544"/>
      <c r="ES174" s="544"/>
      <c r="ET174" s="544"/>
      <c r="EU174" s="544"/>
      <c r="EV174" s="544"/>
      <c r="EW174" s="544"/>
      <c r="EX174" s="544"/>
      <c r="EY174" s="544"/>
      <c r="EZ174" s="544"/>
      <c r="FA174" s="544"/>
      <c r="FB174" s="544"/>
      <c r="FC174" s="544"/>
      <c r="FD174" s="544"/>
      <c r="FE174" s="544"/>
      <c r="FF174" s="544"/>
      <c r="FG174" s="544"/>
      <c r="FH174" s="544"/>
      <c r="FI174" s="544"/>
      <c r="FJ174" s="544"/>
      <c r="FK174" s="544"/>
      <c r="FL174" s="544"/>
      <c r="FM174" s="544"/>
      <c r="FN174" s="544"/>
      <c r="FO174" s="544"/>
      <c r="FP174" s="544"/>
      <c r="FQ174" s="544"/>
      <c r="FR174" s="544"/>
      <c r="FS174" s="544"/>
      <c r="FT174" s="544"/>
      <c r="FU174" s="544"/>
      <c r="FV174" s="544"/>
      <c r="FW174" s="544"/>
      <c r="FX174" s="544"/>
      <c r="FY174" s="544"/>
      <c r="FZ174" s="544"/>
      <c r="GA174" s="544"/>
      <c r="GB174" s="544"/>
      <c r="GC174" s="544"/>
      <c r="GD174" s="544"/>
      <c r="GE174" s="544"/>
      <c r="GF174" s="544"/>
      <c r="GG174" s="544"/>
      <c r="GH174" s="544"/>
      <c r="GI174" s="544"/>
      <c r="GJ174" s="544"/>
      <c r="GK174" s="544"/>
      <c r="GL174" s="544"/>
      <c r="GM174" s="544"/>
      <c r="GN174" s="544"/>
      <c r="GO174" s="544"/>
      <c r="GP174" s="544"/>
      <c r="GQ174" s="544"/>
      <c r="GR174" s="544"/>
      <c r="GS174" s="544"/>
      <c r="GT174" s="544"/>
      <c r="GU174" s="544"/>
      <c r="GV174" s="544"/>
      <c r="GW174" s="544"/>
      <c r="GX174" s="544"/>
      <c r="GY174" s="544"/>
      <c r="GZ174" s="544"/>
      <c r="HA174" s="544"/>
      <c r="HB174" s="544"/>
      <c r="HC174" s="544"/>
      <c r="HD174" s="544"/>
      <c r="HE174" s="544"/>
      <c r="HF174" s="544"/>
      <c r="HG174" s="544"/>
      <c r="HH174" s="544"/>
      <c r="HI174" s="544"/>
      <c r="HJ174" s="544"/>
      <c r="HK174" s="544"/>
      <c r="HL174" s="544"/>
      <c r="HM174" s="544"/>
      <c r="HN174" s="544"/>
      <c r="HO174" s="544"/>
      <c r="HP174" s="544"/>
      <c r="HQ174" s="544"/>
      <c r="HR174" s="544"/>
      <c r="HS174" s="544"/>
      <c r="HT174" s="544"/>
      <c r="HU174" s="544"/>
      <c r="HV174" s="544"/>
      <c r="HW174" s="544"/>
      <c r="HX174" s="544"/>
      <c r="HY174" s="544"/>
      <c r="HZ174" s="544"/>
      <c r="IA174" s="544"/>
      <c r="IB174" s="544"/>
      <c r="IC174" s="544"/>
      <c r="ID174" s="544"/>
      <c r="IE174" s="544"/>
      <c r="IF174" s="544"/>
      <c r="IG174" s="544"/>
      <c r="IH174" s="544"/>
      <c r="II174" s="544"/>
      <c r="IJ174" s="544"/>
      <c r="IK174" s="544"/>
      <c r="IL174" s="544"/>
      <c r="IM174" s="544"/>
      <c r="IN174" s="544"/>
      <c r="IO174" s="544"/>
      <c r="IP174" s="544"/>
      <c r="IQ174" s="544"/>
      <c r="IR174" s="544"/>
      <c r="IS174" s="544"/>
      <c r="IT174" s="544"/>
      <c r="IU174" s="544"/>
      <c r="IV174" s="544"/>
    </row>
    <row r="175" spans="1:256" s="609" customFormat="1" x14ac:dyDescent="0.3">
      <c r="A175" s="555"/>
      <c r="B175" s="556" t="s">
        <v>273</v>
      </c>
      <c r="C175" s="556"/>
      <c r="D175" s="556"/>
      <c r="E175" s="556"/>
      <c r="F175" s="556"/>
      <c r="G175" s="556"/>
      <c r="H175" s="556"/>
      <c r="I175" s="556"/>
      <c r="J175" s="556"/>
      <c r="K175" s="556"/>
      <c r="L175" s="556"/>
      <c r="M175" s="556"/>
      <c r="N175" s="556"/>
      <c r="O175" s="556"/>
      <c r="P175" s="556"/>
      <c r="Q175" s="556"/>
      <c r="R175" s="556"/>
      <c r="S175" s="556"/>
      <c r="T175" s="556"/>
      <c r="U175" s="556"/>
      <c r="V175" s="599">
        <f>+V93</f>
        <v>0</v>
      </c>
      <c r="W175" s="558"/>
      <c r="X175" s="543"/>
      <c r="Y175" s="544"/>
      <c r="Z175" s="544"/>
      <c r="AA175" s="544"/>
      <c r="AB175" s="544"/>
      <c r="AC175" s="544"/>
      <c r="AD175" s="544"/>
      <c r="AE175" s="544"/>
      <c r="AF175" s="544"/>
      <c r="AG175" s="544"/>
      <c r="AH175" s="544"/>
      <c r="AI175" s="544"/>
      <c r="AJ175" s="544"/>
      <c r="AK175" s="544"/>
      <c r="AL175" s="544"/>
      <c r="AM175" s="544"/>
      <c r="AN175" s="544"/>
      <c r="AO175" s="544"/>
      <c r="AP175" s="544"/>
      <c r="AQ175" s="544"/>
      <c r="AR175" s="544"/>
      <c r="AS175" s="544"/>
      <c r="AT175" s="544"/>
      <c r="AU175" s="544"/>
      <c r="AV175" s="544"/>
      <c r="AW175" s="544"/>
      <c r="AX175" s="544"/>
      <c r="AY175" s="544"/>
      <c r="AZ175" s="544"/>
      <c r="BA175" s="544"/>
      <c r="BB175" s="544"/>
      <c r="BC175" s="544"/>
      <c r="BD175" s="544"/>
      <c r="BE175" s="544"/>
      <c r="BF175" s="544"/>
      <c r="BG175" s="544"/>
      <c r="BH175" s="544"/>
      <c r="BI175" s="544"/>
      <c r="BJ175" s="544"/>
      <c r="BK175" s="544"/>
      <c r="BL175" s="544"/>
      <c r="BM175" s="544"/>
      <c r="BN175" s="544"/>
      <c r="BO175" s="544"/>
      <c r="BP175" s="544"/>
      <c r="BQ175" s="544"/>
      <c r="BR175" s="544"/>
      <c r="BS175" s="544"/>
      <c r="BT175" s="544"/>
      <c r="BU175" s="544"/>
      <c r="BV175" s="544"/>
      <c r="BW175" s="544"/>
      <c r="BX175" s="544"/>
      <c r="BY175" s="544"/>
      <c r="BZ175" s="544"/>
      <c r="CA175" s="544"/>
      <c r="CB175" s="544"/>
      <c r="CC175" s="544"/>
      <c r="CD175" s="544"/>
      <c r="CE175" s="544"/>
      <c r="CF175" s="544"/>
      <c r="CG175" s="544"/>
      <c r="CH175" s="544"/>
      <c r="CI175" s="544"/>
      <c r="CJ175" s="544"/>
      <c r="CK175" s="544"/>
      <c r="CL175" s="544"/>
      <c r="CM175" s="544"/>
      <c r="CN175" s="544"/>
      <c r="CO175" s="544"/>
      <c r="CP175" s="544"/>
      <c r="CQ175" s="544"/>
      <c r="CR175" s="544"/>
      <c r="CS175" s="544"/>
      <c r="CT175" s="544"/>
      <c r="CU175" s="544"/>
      <c r="CV175" s="544"/>
      <c r="CW175" s="544"/>
      <c r="CX175" s="544"/>
      <c r="CY175" s="544"/>
      <c r="CZ175" s="544"/>
      <c r="DA175" s="544"/>
      <c r="DB175" s="544"/>
      <c r="DC175" s="544"/>
      <c r="DD175" s="544"/>
      <c r="DE175" s="544"/>
      <c r="DF175" s="544"/>
      <c r="DG175" s="544"/>
      <c r="DH175" s="544"/>
      <c r="DI175" s="544"/>
      <c r="DJ175" s="544"/>
      <c r="DK175" s="544"/>
      <c r="DL175" s="544"/>
      <c r="DM175" s="544"/>
      <c r="DN175" s="544"/>
      <c r="DO175" s="544"/>
      <c r="DP175" s="544"/>
      <c r="DQ175" s="544"/>
      <c r="DR175" s="544"/>
      <c r="DS175" s="544"/>
      <c r="DT175" s="544"/>
      <c r="DU175" s="544"/>
      <c r="DV175" s="544"/>
      <c r="DW175" s="544"/>
      <c r="DX175" s="544"/>
      <c r="DY175" s="544"/>
      <c r="DZ175" s="544"/>
      <c r="EA175" s="544"/>
      <c r="EB175" s="544"/>
      <c r="EC175" s="544"/>
      <c r="ED175" s="544"/>
      <c r="EE175" s="544"/>
      <c r="EF175" s="544"/>
      <c r="EG175" s="544"/>
      <c r="EH175" s="544"/>
      <c r="EI175" s="544"/>
      <c r="EJ175" s="544"/>
      <c r="EK175" s="544"/>
      <c r="EL175" s="544"/>
      <c r="EM175" s="544"/>
      <c r="EN175" s="544"/>
      <c r="EO175" s="544"/>
      <c r="EP175" s="544"/>
      <c r="EQ175" s="544"/>
      <c r="ER175" s="544"/>
      <c r="ES175" s="544"/>
      <c r="ET175" s="544"/>
      <c r="EU175" s="544"/>
      <c r="EV175" s="544"/>
      <c r="EW175" s="544"/>
      <c r="EX175" s="544"/>
      <c r="EY175" s="544"/>
      <c r="EZ175" s="544"/>
      <c r="FA175" s="544"/>
      <c r="FB175" s="544"/>
      <c r="FC175" s="544"/>
      <c r="FD175" s="544"/>
      <c r="FE175" s="544"/>
      <c r="FF175" s="544"/>
      <c r="FG175" s="544"/>
      <c r="FH175" s="544"/>
      <c r="FI175" s="544"/>
      <c r="FJ175" s="544"/>
      <c r="FK175" s="544"/>
      <c r="FL175" s="544"/>
      <c r="FM175" s="544"/>
      <c r="FN175" s="544"/>
      <c r="FO175" s="544"/>
      <c r="FP175" s="544"/>
      <c r="FQ175" s="544"/>
      <c r="FR175" s="544"/>
      <c r="FS175" s="544"/>
      <c r="FT175" s="544"/>
      <c r="FU175" s="544"/>
      <c r="FV175" s="544"/>
      <c r="FW175" s="544"/>
      <c r="FX175" s="544"/>
      <c r="FY175" s="544"/>
      <c r="FZ175" s="544"/>
      <c r="GA175" s="544"/>
      <c r="GB175" s="544"/>
      <c r="GC175" s="544"/>
      <c r="GD175" s="544"/>
      <c r="GE175" s="544"/>
      <c r="GF175" s="544"/>
      <c r="GG175" s="544"/>
      <c r="GH175" s="544"/>
      <c r="GI175" s="544"/>
      <c r="GJ175" s="544"/>
      <c r="GK175" s="544"/>
      <c r="GL175" s="544"/>
      <c r="GM175" s="544"/>
      <c r="GN175" s="544"/>
      <c r="GO175" s="544"/>
      <c r="GP175" s="544"/>
      <c r="GQ175" s="544"/>
      <c r="GR175" s="544"/>
      <c r="GS175" s="544"/>
      <c r="GT175" s="544"/>
      <c r="GU175" s="544"/>
      <c r="GV175" s="544"/>
      <c r="GW175" s="544"/>
      <c r="GX175" s="544"/>
      <c r="GY175" s="544"/>
      <c r="GZ175" s="544"/>
      <c r="HA175" s="544"/>
      <c r="HB175" s="544"/>
      <c r="HC175" s="544"/>
      <c r="HD175" s="544"/>
      <c r="HE175" s="544"/>
      <c r="HF175" s="544"/>
      <c r="HG175" s="544"/>
      <c r="HH175" s="544"/>
      <c r="HI175" s="544"/>
      <c r="HJ175" s="544"/>
      <c r="HK175" s="544"/>
      <c r="HL175" s="544"/>
      <c r="HM175" s="544"/>
      <c r="HN175" s="544"/>
      <c r="HO175" s="544"/>
      <c r="HP175" s="544"/>
      <c r="HQ175" s="544"/>
      <c r="HR175" s="544"/>
      <c r="HS175" s="544"/>
      <c r="HT175" s="544"/>
      <c r="HU175" s="544"/>
      <c r="HV175" s="544"/>
      <c r="HW175" s="544"/>
      <c r="HX175" s="544"/>
      <c r="HY175" s="544"/>
      <c r="HZ175" s="544"/>
      <c r="IA175" s="544"/>
      <c r="IB175" s="544"/>
      <c r="IC175" s="544"/>
      <c r="ID175" s="544"/>
      <c r="IE175" s="544"/>
      <c r="IF175" s="544"/>
      <c r="IG175" s="544"/>
      <c r="IH175" s="544"/>
      <c r="II175" s="544"/>
      <c r="IJ175" s="544"/>
      <c r="IK175" s="544"/>
      <c r="IL175" s="544"/>
      <c r="IM175" s="544"/>
      <c r="IN175" s="544"/>
      <c r="IO175" s="544"/>
      <c r="IP175" s="544"/>
      <c r="IQ175" s="544"/>
      <c r="IR175" s="544"/>
      <c r="IS175" s="544"/>
      <c r="IT175" s="544"/>
      <c r="IU175" s="544"/>
      <c r="IV175" s="544"/>
    </row>
    <row r="176" spans="1:256" s="609" customFormat="1" x14ac:dyDescent="0.3">
      <c r="A176" s="555"/>
      <c r="B176" s="556" t="s">
        <v>271</v>
      </c>
      <c r="C176" s="556"/>
      <c r="D176" s="556"/>
      <c r="E176" s="556"/>
      <c r="F176" s="556"/>
      <c r="G176" s="556"/>
      <c r="H176" s="556"/>
      <c r="I176" s="556"/>
      <c r="J176" s="556"/>
      <c r="K176" s="556"/>
      <c r="L176" s="556"/>
      <c r="M176" s="556"/>
      <c r="N176" s="556"/>
      <c r="O176" s="556"/>
      <c r="P176" s="556"/>
      <c r="Q176" s="556"/>
      <c r="R176" s="556"/>
      <c r="S176" s="556"/>
      <c r="T176" s="556"/>
      <c r="U176" s="556"/>
      <c r="V176" s="599">
        <f>+V174-V175</f>
        <v>0</v>
      </c>
      <c r="W176" s="558"/>
      <c r="X176" s="543"/>
      <c r="Y176" s="544"/>
      <c r="Z176" s="544"/>
      <c r="AA176" s="544"/>
      <c r="AB176" s="544"/>
      <c r="AC176" s="544"/>
      <c r="AD176" s="544"/>
      <c r="AE176" s="544"/>
      <c r="AF176" s="544"/>
      <c r="AG176" s="544"/>
      <c r="AH176" s="544"/>
      <c r="AI176" s="544"/>
      <c r="AJ176" s="544"/>
      <c r="AK176" s="544"/>
      <c r="AL176" s="544"/>
      <c r="AM176" s="544"/>
      <c r="AN176" s="544"/>
      <c r="AO176" s="544"/>
      <c r="AP176" s="544"/>
      <c r="AQ176" s="544"/>
      <c r="AR176" s="544"/>
      <c r="AS176" s="544"/>
      <c r="AT176" s="544"/>
      <c r="AU176" s="544"/>
      <c r="AV176" s="544"/>
      <c r="AW176" s="544"/>
      <c r="AX176" s="544"/>
      <c r="AY176" s="544"/>
      <c r="AZ176" s="544"/>
      <c r="BA176" s="544"/>
      <c r="BB176" s="544"/>
      <c r="BC176" s="544"/>
      <c r="BD176" s="544"/>
      <c r="BE176" s="544"/>
      <c r="BF176" s="544"/>
      <c r="BG176" s="544"/>
      <c r="BH176" s="544"/>
      <c r="BI176" s="544"/>
      <c r="BJ176" s="544"/>
      <c r="BK176" s="544"/>
      <c r="BL176" s="544"/>
      <c r="BM176" s="544"/>
      <c r="BN176" s="544"/>
      <c r="BO176" s="544"/>
      <c r="BP176" s="544"/>
      <c r="BQ176" s="544"/>
      <c r="BR176" s="544"/>
      <c r="BS176" s="544"/>
      <c r="BT176" s="544"/>
      <c r="BU176" s="544"/>
      <c r="BV176" s="544"/>
      <c r="BW176" s="544"/>
      <c r="BX176" s="544"/>
      <c r="BY176" s="544"/>
      <c r="BZ176" s="544"/>
      <c r="CA176" s="544"/>
      <c r="CB176" s="544"/>
      <c r="CC176" s="544"/>
      <c r="CD176" s="544"/>
      <c r="CE176" s="544"/>
      <c r="CF176" s="544"/>
      <c r="CG176" s="544"/>
      <c r="CH176" s="544"/>
      <c r="CI176" s="544"/>
      <c r="CJ176" s="544"/>
      <c r="CK176" s="544"/>
      <c r="CL176" s="544"/>
      <c r="CM176" s="544"/>
      <c r="CN176" s="544"/>
      <c r="CO176" s="544"/>
      <c r="CP176" s="544"/>
      <c r="CQ176" s="544"/>
      <c r="CR176" s="544"/>
      <c r="CS176" s="544"/>
      <c r="CT176" s="544"/>
      <c r="CU176" s="544"/>
      <c r="CV176" s="544"/>
      <c r="CW176" s="544"/>
      <c r="CX176" s="544"/>
      <c r="CY176" s="544"/>
      <c r="CZ176" s="544"/>
      <c r="DA176" s="544"/>
      <c r="DB176" s="544"/>
      <c r="DC176" s="544"/>
      <c r="DD176" s="544"/>
      <c r="DE176" s="544"/>
      <c r="DF176" s="544"/>
      <c r="DG176" s="544"/>
      <c r="DH176" s="544"/>
      <c r="DI176" s="544"/>
      <c r="DJ176" s="544"/>
      <c r="DK176" s="544"/>
      <c r="DL176" s="544"/>
      <c r="DM176" s="544"/>
      <c r="DN176" s="544"/>
      <c r="DO176" s="544"/>
      <c r="DP176" s="544"/>
      <c r="DQ176" s="544"/>
      <c r="DR176" s="544"/>
      <c r="DS176" s="544"/>
      <c r="DT176" s="544"/>
      <c r="DU176" s="544"/>
      <c r="DV176" s="544"/>
      <c r="DW176" s="544"/>
      <c r="DX176" s="544"/>
      <c r="DY176" s="544"/>
      <c r="DZ176" s="544"/>
      <c r="EA176" s="544"/>
      <c r="EB176" s="544"/>
      <c r="EC176" s="544"/>
      <c r="ED176" s="544"/>
      <c r="EE176" s="544"/>
      <c r="EF176" s="544"/>
      <c r="EG176" s="544"/>
      <c r="EH176" s="544"/>
      <c r="EI176" s="544"/>
      <c r="EJ176" s="544"/>
      <c r="EK176" s="544"/>
      <c r="EL176" s="544"/>
      <c r="EM176" s="544"/>
      <c r="EN176" s="544"/>
      <c r="EO176" s="544"/>
      <c r="EP176" s="544"/>
      <c r="EQ176" s="544"/>
      <c r="ER176" s="544"/>
      <c r="ES176" s="544"/>
      <c r="ET176" s="544"/>
      <c r="EU176" s="544"/>
      <c r="EV176" s="544"/>
      <c r="EW176" s="544"/>
      <c r="EX176" s="544"/>
      <c r="EY176" s="544"/>
      <c r="EZ176" s="544"/>
      <c r="FA176" s="544"/>
      <c r="FB176" s="544"/>
      <c r="FC176" s="544"/>
      <c r="FD176" s="544"/>
      <c r="FE176" s="544"/>
      <c r="FF176" s="544"/>
      <c r="FG176" s="544"/>
      <c r="FH176" s="544"/>
      <c r="FI176" s="544"/>
      <c r="FJ176" s="544"/>
      <c r="FK176" s="544"/>
      <c r="FL176" s="544"/>
      <c r="FM176" s="544"/>
      <c r="FN176" s="544"/>
      <c r="FO176" s="544"/>
      <c r="FP176" s="544"/>
      <c r="FQ176" s="544"/>
      <c r="FR176" s="544"/>
      <c r="FS176" s="544"/>
      <c r="FT176" s="544"/>
      <c r="FU176" s="544"/>
      <c r="FV176" s="544"/>
      <c r="FW176" s="544"/>
      <c r="FX176" s="544"/>
      <c r="FY176" s="544"/>
      <c r="FZ176" s="544"/>
      <c r="GA176" s="544"/>
      <c r="GB176" s="544"/>
      <c r="GC176" s="544"/>
      <c r="GD176" s="544"/>
      <c r="GE176" s="544"/>
      <c r="GF176" s="544"/>
      <c r="GG176" s="544"/>
      <c r="GH176" s="544"/>
      <c r="GI176" s="544"/>
      <c r="GJ176" s="544"/>
      <c r="GK176" s="544"/>
      <c r="GL176" s="544"/>
      <c r="GM176" s="544"/>
      <c r="GN176" s="544"/>
      <c r="GO176" s="544"/>
      <c r="GP176" s="544"/>
      <c r="GQ176" s="544"/>
      <c r="GR176" s="544"/>
      <c r="GS176" s="544"/>
      <c r="GT176" s="544"/>
      <c r="GU176" s="544"/>
      <c r="GV176" s="544"/>
      <c r="GW176" s="544"/>
      <c r="GX176" s="544"/>
      <c r="GY176" s="544"/>
      <c r="GZ176" s="544"/>
      <c r="HA176" s="544"/>
      <c r="HB176" s="544"/>
      <c r="HC176" s="544"/>
      <c r="HD176" s="544"/>
      <c r="HE176" s="544"/>
      <c r="HF176" s="544"/>
      <c r="HG176" s="544"/>
      <c r="HH176" s="544"/>
      <c r="HI176" s="544"/>
      <c r="HJ176" s="544"/>
      <c r="HK176" s="544"/>
      <c r="HL176" s="544"/>
      <c r="HM176" s="544"/>
      <c r="HN176" s="544"/>
      <c r="HO176" s="544"/>
      <c r="HP176" s="544"/>
      <c r="HQ176" s="544"/>
      <c r="HR176" s="544"/>
      <c r="HS176" s="544"/>
      <c r="HT176" s="544"/>
      <c r="HU176" s="544"/>
      <c r="HV176" s="544"/>
      <c r="HW176" s="544"/>
      <c r="HX176" s="544"/>
      <c r="HY176" s="544"/>
      <c r="HZ176" s="544"/>
      <c r="IA176" s="544"/>
      <c r="IB176" s="544"/>
      <c r="IC176" s="544"/>
      <c r="ID176" s="544"/>
      <c r="IE176" s="544"/>
      <c r="IF176" s="544"/>
      <c r="IG176" s="544"/>
      <c r="IH176" s="544"/>
      <c r="II176" s="544"/>
      <c r="IJ176" s="544"/>
      <c r="IK176" s="544"/>
      <c r="IL176" s="544"/>
      <c r="IM176" s="544"/>
      <c r="IN176" s="544"/>
      <c r="IO176" s="544"/>
      <c r="IP176" s="544"/>
      <c r="IQ176" s="544"/>
      <c r="IR176" s="544"/>
      <c r="IS176" s="544"/>
      <c r="IT176" s="544"/>
      <c r="IU176" s="544"/>
      <c r="IV176" s="544"/>
    </row>
    <row r="177" spans="1:256" s="459" customFormat="1" ht="16.2" thickBot="1" x14ac:dyDescent="0.35">
      <c r="A177" s="438"/>
      <c r="B177" s="441"/>
      <c r="C177" s="441"/>
      <c r="D177" s="441"/>
      <c r="E177" s="441"/>
      <c r="F177" s="441"/>
      <c r="G177" s="441"/>
      <c r="H177" s="441"/>
      <c r="I177" s="441"/>
      <c r="J177" s="441"/>
      <c r="K177" s="441"/>
      <c r="L177" s="441"/>
      <c r="M177" s="441"/>
      <c r="N177" s="441"/>
      <c r="O177" s="441"/>
      <c r="P177" s="441"/>
      <c r="Q177" s="441"/>
      <c r="R177" s="441"/>
      <c r="S177" s="441"/>
      <c r="T177" s="441"/>
      <c r="U177" s="441"/>
      <c r="V177" s="452"/>
      <c r="W177" s="441"/>
      <c r="X177" s="415"/>
      <c r="Y177" s="416"/>
      <c r="Z177" s="416"/>
      <c r="AA177" s="416"/>
      <c r="AB177" s="416"/>
      <c r="AC177" s="416"/>
      <c r="AD177" s="416"/>
      <c r="AE177" s="416"/>
      <c r="AF177" s="416"/>
      <c r="AG177" s="416"/>
      <c r="AH177" s="416"/>
      <c r="AI177" s="416"/>
      <c r="AJ177" s="416"/>
      <c r="AK177" s="416"/>
      <c r="AL177" s="416"/>
      <c r="AM177" s="416"/>
      <c r="AN177" s="416"/>
      <c r="AO177" s="416"/>
      <c r="AP177" s="416"/>
      <c r="AQ177" s="416"/>
      <c r="AR177" s="416"/>
      <c r="AS177" s="416"/>
      <c r="AT177" s="416"/>
      <c r="AU177" s="416"/>
      <c r="AV177" s="416"/>
      <c r="AW177" s="416"/>
      <c r="AX177" s="416"/>
      <c r="AY177" s="416"/>
      <c r="AZ177" s="416"/>
      <c r="BA177" s="416"/>
      <c r="BB177" s="416"/>
      <c r="BC177" s="416"/>
      <c r="BD177" s="416"/>
      <c r="BE177" s="416"/>
      <c r="BF177" s="416"/>
      <c r="BG177" s="416"/>
      <c r="BH177" s="416"/>
      <c r="BI177" s="416"/>
      <c r="BJ177" s="416"/>
      <c r="BK177" s="416"/>
      <c r="BL177" s="416"/>
      <c r="BM177" s="416"/>
      <c r="BN177" s="416"/>
      <c r="BO177" s="416"/>
      <c r="BP177" s="416"/>
      <c r="BQ177" s="416"/>
      <c r="BR177" s="416"/>
      <c r="BS177" s="416"/>
      <c r="BT177" s="416"/>
      <c r="BU177" s="416"/>
      <c r="BV177" s="416"/>
      <c r="BW177" s="416"/>
      <c r="BX177" s="416"/>
      <c r="BY177" s="416"/>
      <c r="BZ177" s="416"/>
      <c r="CA177" s="416"/>
      <c r="CB177" s="416"/>
      <c r="CC177" s="416"/>
      <c r="CD177" s="416"/>
      <c r="CE177" s="416"/>
      <c r="CF177" s="416"/>
      <c r="CG177" s="416"/>
      <c r="CH177" s="416"/>
      <c r="CI177" s="416"/>
      <c r="CJ177" s="416"/>
      <c r="CK177" s="416"/>
      <c r="CL177" s="416"/>
      <c r="CM177" s="416"/>
      <c r="CN177" s="416"/>
      <c r="CO177" s="416"/>
      <c r="CP177" s="416"/>
      <c r="CQ177" s="416"/>
      <c r="CR177" s="416"/>
      <c r="CS177" s="416"/>
      <c r="CT177" s="416"/>
      <c r="CU177" s="416"/>
      <c r="CV177" s="416"/>
      <c r="CW177" s="416"/>
      <c r="CX177" s="416"/>
      <c r="CY177" s="416"/>
      <c r="CZ177" s="416"/>
      <c r="DA177" s="416"/>
      <c r="DB177" s="416"/>
      <c r="DC177" s="416"/>
      <c r="DD177" s="416"/>
      <c r="DE177" s="416"/>
      <c r="DF177" s="416"/>
      <c r="DG177" s="416"/>
      <c r="DH177" s="416"/>
      <c r="DI177" s="416"/>
      <c r="DJ177" s="416"/>
      <c r="DK177" s="416"/>
      <c r="DL177" s="416"/>
      <c r="DM177" s="416"/>
      <c r="DN177" s="416"/>
      <c r="DO177" s="416"/>
      <c r="DP177" s="416"/>
      <c r="DQ177" s="416"/>
      <c r="DR177" s="416"/>
      <c r="DS177" s="416"/>
      <c r="DT177" s="416"/>
      <c r="DU177" s="416"/>
      <c r="DV177" s="416"/>
      <c r="DW177" s="416"/>
      <c r="DX177" s="416"/>
      <c r="DY177" s="416"/>
      <c r="DZ177" s="416"/>
      <c r="EA177" s="416"/>
      <c r="EB177" s="416"/>
      <c r="EC177" s="416"/>
      <c r="ED177" s="416"/>
      <c r="EE177" s="416"/>
      <c r="EF177" s="416"/>
      <c r="EG177" s="416"/>
      <c r="EH177" s="416"/>
      <c r="EI177" s="416"/>
      <c r="EJ177" s="416"/>
      <c r="EK177" s="416"/>
      <c r="EL177" s="416"/>
      <c r="EM177" s="416"/>
      <c r="EN177" s="416"/>
      <c r="EO177" s="416"/>
      <c r="EP177" s="416"/>
      <c r="EQ177" s="416"/>
      <c r="ER177" s="416"/>
      <c r="ES177" s="416"/>
      <c r="ET177" s="416"/>
      <c r="EU177" s="416"/>
      <c r="EV177" s="416"/>
      <c r="EW177" s="416"/>
      <c r="EX177" s="416"/>
      <c r="EY177" s="416"/>
      <c r="EZ177" s="416"/>
      <c r="FA177" s="416"/>
      <c r="FB177" s="416"/>
      <c r="FC177" s="416"/>
      <c r="FD177" s="416"/>
      <c r="FE177" s="416"/>
      <c r="FF177" s="416"/>
      <c r="FG177" s="416"/>
      <c r="FH177" s="416"/>
      <c r="FI177" s="416"/>
      <c r="FJ177" s="416"/>
      <c r="FK177" s="416"/>
      <c r="FL177" s="416"/>
      <c r="FM177" s="416"/>
      <c r="FN177" s="416"/>
      <c r="FO177" s="416"/>
      <c r="FP177" s="416"/>
      <c r="FQ177" s="416"/>
      <c r="FR177" s="416"/>
      <c r="FS177" s="416"/>
      <c r="FT177" s="416"/>
      <c r="FU177" s="416"/>
      <c r="FV177" s="416"/>
      <c r="FW177" s="416"/>
      <c r="FX177" s="416"/>
      <c r="FY177" s="416"/>
      <c r="FZ177" s="416"/>
      <c r="GA177" s="416"/>
      <c r="GB177" s="416"/>
      <c r="GC177" s="416"/>
      <c r="GD177" s="416"/>
      <c r="GE177" s="416"/>
      <c r="GF177" s="416"/>
      <c r="GG177" s="416"/>
      <c r="GH177" s="416"/>
      <c r="GI177" s="416"/>
      <c r="GJ177" s="416"/>
      <c r="GK177" s="416"/>
      <c r="GL177" s="416"/>
      <c r="GM177" s="416"/>
      <c r="GN177" s="416"/>
      <c r="GO177" s="416"/>
      <c r="GP177" s="416"/>
      <c r="GQ177" s="416"/>
      <c r="GR177" s="416"/>
      <c r="GS177" s="416"/>
      <c r="GT177" s="416"/>
      <c r="GU177" s="416"/>
      <c r="GV177" s="416"/>
      <c r="GW177" s="416"/>
      <c r="GX177" s="416"/>
      <c r="GY177" s="416"/>
      <c r="GZ177" s="416"/>
      <c r="HA177" s="416"/>
      <c r="HB177" s="416"/>
      <c r="HC177" s="416"/>
      <c r="HD177" s="416"/>
      <c r="HE177" s="416"/>
      <c r="HF177" s="416"/>
      <c r="HG177" s="416"/>
      <c r="HH177" s="416"/>
      <c r="HI177" s="416"/>
      <c r="HJ177" s="416"/>
      <c r="HK177" s="416"/>
      <c r="HL177" s="416"/>
      <c r="HM177" s="416"/>
      <c r="HN177" s="416"/>
      <c r="HO177" s="416"/>
      <c r="HP177" s="416"/>
      <c r="HQ177" s="416"/>
      <c r="HR177" s="416"/>
      <c r="HS177" s="416"/>
      <c r="HT177" s="416"/>
      <c r="HU177" s="416"/>
      <c r="HV177" s="416"/>
      <c r="HW177" s="416"/>
      <c r="HX177" s="416"/>
      <c r="HY177" s="416"/>
      <c r="HZ177" s="416"/>
      <c r="IA177" s="416"/>
      <c r="IB177" s="416"/>
      <c r="IC177" s="416"/>
      <c r="ID177" s="416"/>
      <c r="IE177" s="416"/>
      <c r="IF177" s="416"/>
      <c r="IG177" s="416"/>
      <c r="IH177" s="416"/>
      <c r="II177" s="416"/>
      <c r="IJ177" s="416"/>
      <c r="IK177" s="416"/>
      <c r="IL177" s="416"/>
      <c r="IM177" s="416"/>
      <c r="IN177" s="416"/>
      <c r="IO177" s="416"/>
      <c r="IP177" s="416"/>
      <c r="IQ177" s="416"/>
      <c r="IR177" s="416"/>
      <c r="IS177" s="416"/>
      <c r="IT177" s="416"/>
      <c r="IU177" s="416"/>
      <c r="IV177" s="416"/>
    </row>
    <row r="178" spans="1:256" s="461" customFormat="1" x14ac:dyDescent="0.3">
      <c r="A178" s="413"/>
      <c r="B178" s="414"/>
      <c r="C178" s="414"/>
      <c r="D178" s="414"/>
      <c r="E178" s="414"/>
      <c r="F178" s="414"/>
      <c r="G178" s="414"/>
      <c r="H178" s="414"/>
      <c r="I178" s="414"/>
      <c r="J178" s="414"/>
      <c r="K178" s="414"/>
      <c r="L178" s="414"/>
      <c r="M178" s="414"/>
      <c r="N178" s="414"/>
      <c r="O178" s="414"/>
      <c r="P178" s="414"/>
      <c r="Q178" s="414"/>
      <c r="R178" s="414"/>
      <c r="S178" s="414"/>
      <c r="T178" s="414"/>
      <c r="U178" s="414"/>
      <c r="V178" s="460"/>
      <c r="W178" s="414"/>
      <c r="X178" s="415"/>
      <c r="Y178" s="416"/>
      <c r="Z178" s="416"/>
      <c r="AA178" s="416"/>
      <c r="AB178" s="416"/>
      <c r="AC178" s="416"/>
      <c r="AD178" s="416"/>
      <c r="AE178" s="416"/>
      <c r="AF178" s="416"/>
      <c r="AG178" s="416"/>
      <c r="AH178" s="416"/>
      <c r="AI178" s="416"/>
      <c r="AJ178" s="416"/>
      <c r="AK178" s="416"/>
      <c r="AL178" s="416"/>
      <c r="AM178" s="416"/>
      <c r="AN178" s="416"/>
      <c r="AO178" s="416"/>
      <c r="AP178" s="416"/>
      <c r="AQ178" s="416"/>
      <c r="AR178" s="416"/>
      <c r="AS178" s="416"/>
      <c r="AT178" s="416"/>
      <c r="AU178" s="416"/>
      <c r="AV178" s="416"/>
      <c r="AW178" s="416"/>
      <c r="AX178" s="416"/>
      <c r="AY178" s="416"/>
      <c r="AZ178" s="416"/>
      <c r="BA178" s="416"/>
      <c r="BB178" s="416"/>
      <c r="BC178" s="416"/>
      <c r="BD178" s="416"/>
      <c r="BE178" s="416"/>
      <c r="BF178" s="416"/>
      <c r="BG178" s="416"/>
      <c r="BH178" s="416"/>
      <c r="BI178" s="416"/>
      <c r="BJ178" s="416"/>
      <c r="BK178" s="416"/>
      <c r="BL178" s="416"/>
      <c r="BM178" s="416"/>
      <c r="BN178" s="416"/>
      <c r="BO178" s="416"/>
      <c r="BP178" s="416"/>
      <c r="BQ178" s="416"/>
      <c r="BR178" s="416"/>
      <c r="BS178" s="416"/>
      <c r="BT178" s="416"/>
      <c r="BU178" s="416"/>
      <c r="BV178" s="416"/>
      <c r="BW178" s="416"/>
      <c r="BX178" s="416"/>
      <c r="BY178" s="416"/>
      <c r="BZ178" s="416"/>
      <c r="CA178" s="416"/>
      <c r="CB178" s="416"/>
      <c r="CC178" s="416"/>
      <c r="CD178" s="416"/>
      <c r="CE178" s="416"/>
      <c r="CF178" s="416"/>
      <c r="CG178" s="416"/>
      <c r="CH178" s="416"/>
      <c r="CI178" s="416"/>
      <c r="CJ178" s="416"/>
      <c r="CK178" s="416"/>
      <c r="CL178" s="416"/>
      <c r="CM178" s="416"/>
      <c r="CN178" s="416"/>
      <c r="CO178" s="416"/>
      <c r="CP178" s="416"/>
      <c r="CQ178" s="416"/>
      <c r="CR178" s="416"/>
      <c r="CS178" s="416"/>
      <c r="CT178" s="416"/>
      <c r="CU178" s="416"/>
      <c r="CV178" s="416"/>
      <c r="CW178" s="416"/>
      <c r="CX178" s="416"/>
      <c r="CY178" s="416"/>
      <c r="CZ178" s="416"/>
      <c r="DA178" s="416"/>
      <c r="DB178" s="416"/>
      <c r="DC178" s="416"/>
      <c r="DD178" s="416"/>
      <c r="DE178" s="416"/>
      <c r="DF178" s="416"/>
      <c r="DG178" s="416"/>
      <c r="DH178" s="416"/>
      <c r="DI178" s="416"/>
      <c r="DJ178" s="416"/>
      <c r="DK178" s="416"/>
      <c r="DL178" s="416"/>
      <c r="DM178" s="416"/>
      <c r="DN178" s="416"/>
      <c r="DO178" s="416"/>
      <c r="DP178" s="416"/>
      <c r="DQ178" s="416"/>
      <c r="DR178" s="416"/>
      <c r="DS178" s="416"/>
      <c r="DT178" s="416"/>
      <c r="DU178" s="416"/>
      <c r="DV178" s="416"/>
      <c r="DW178" s="416"/>
      <c r="DX178" s="416"/>
      <c r="DY178" s="416"/>
      <c r="DZ178" s="416"/>
      <c r="EA178" s="416"/>
      <c r="EB178" s="416"/>
      <c r="EC178" s="416"/>
      <c r="ED178" s="416"/>
      <c r="EE178" s="416"/>
      <c r="EF178" s="416"/>
      <c r="EG178" s="416"/>
      <c r="EH178" s="416"/>
      <c r="EI178" s="416"/>
      <c r="EJ178" s="416"/>
      <c r="EK178" s="416"/>
      <c r="EL178" s="416"/>
      <c r="EM178" s="416"/>
      <c r="EN178" s="416"/>
      <c r="EO178" s="416"/>
      <c r="EP178" s="416"/>
      <c r="EQ178" s="416"/>
      <c r="ER178" s="416"/>
      <c r="ES178" s="416"/>
      <c r="ET178" s="416"/>
      <c r="EU178" s="416"/>
      <c r="EV178" s="416"/>
      <c r="EW178" s="416"/>
      <c r="EX178" s="416"/>
      <c r="EY178" s="416"/>
      <c r="EZ178" s="416"/>
      <c r="FA178" s="416"/>
      <c r="FB178" s="416"/>
      <c r="FC178" s="416"/>
      <c r="FD178" s="416"/>
      <c r="FE178" s="416"/>
      <c r="FF178" s="416"/>
      <c r="FG178" s="416"/>
      <c r="FH178" s="416"/>
      <c r="FI178" s="416"/>
      <c r="FJ178" s="416"/>
      <c r="FK178" s="416"/>
      <c r="FL178" s="416"/>
      <c r="FM178" s="416"/>
      <c r="FN178" s="416"/>
      <c r="FO178" s="416"/>
      <c r="FP178" s="416"/>
      <c r="FQ178" s="416"/>
      <c r="FR178" s="416"/>
      <c r="FS178" s="416"/>
      <c r="FT178" s="416"/>
      <c r="FU178" s="416"/>
      <c r="FV178" s="416"/>
      <c r="FW178" s="416"/>
      <c r="FX178" s="416"/>
      <c r="FY178" s="416"/>
      <c r="FZ178" s="416"/>
      <c r="GA178" s="416"/>
      <c r="GB178" s="416"/>
      <c r="GC178" s="416"/>
      <c r="GD178" s="416"/>
      <c r="GE178" s="416"/>
      <c r="GF178" s="416"/>
      <c r="GG178" s="416"/>
      <c r="GH178" s="416"/>
      <c r="GI178" s="416"/>
      <c r="GJ178" s="416"/>
      <c r="GK178" s="416"/>
      <c r="GL178" s="416"/>
      <c r="GM178" s="416"/>
      <c r="GN178" s="416"/>
      <c r="GO178" s="416"/>
      <c r="GP178" s="416"/>
      <c r="GQ178" s="416"/>
      <c r="GR178" s="416"/>
      <c r="GS178" s="416"/>
      <c r="GT178" s="416"/>
      <c r="GU178" s="416"/>
      <c r="GV178" s="416"/>
      <c r="GW178" s="416"/>
      <c r="GX178" s="416"/>
      <c r="GY178" s="416"/>
      <c r="GZ178" s="416"/>
      <c r="HA178" s="416"/>
      <c r="HB178" s="416"/>
      <c r="HC178" s="416"/>
      <c r="HD178" s="416"/>
      <c r="HE178" s="416"/>
      <c r="HF178" s="416"/>
      <c r="HG178" s="416"/>
      <c r="HH178" s="416"/>
      <c r="HI178" s="416"/>
      <c r="HJ178" s="416"/>
      <c r="HK178" s="416"/>
      <c r="HL178" s="416"/>
      <c r="HM178" s="416"/>
      <c r="HN178" s="416"/>
      <c r="HO178" s="416"/>
      <c r="HP178" s="416"/>
      <c r="HQ178" s="416"/>
      <c r="HR178" s="416"/>
      <c r="HS178" s="416"/>
      <c r="HT178" s="416"/>
      <c r="HU178" s="416"/>
      <c r="HV178" s="416"/>
      <c r="HW178" s="416"/>
      <c r="HX178" s="416"/>
      <c r="HY178" s="416"/>
      <c r="HZ178" s="416"/>
      <c r="IA178" s="416"/>
      <c r="IB178" s="416"/>
      <c r="IC178" s="416"/>
      <c r="ID178" s="416"/>
      <c r="IE178" s="416"/>
      <c r="IF178" s="416"/>
      <c r="IG178" s="416"/>
      <c r="IH178" s="416"/>
      <c r="II178" s="416"/>
      <c r="IJ178" s="416"/>
      <c r="IK178" s="416"/>
      <c r="IL178" s="416"/>
      <c r="IM178" s="416"/>
      <c r="IN178" s="416"/>
      <c r="IO178" s="416"/>
      <c r="IP178" s="416"/>
      <c r="IQ178" s="416"/>
      <c r="IR178" s="416"/>
      <c r="IS178" s="416"/>
      <c r="IT178" s="416"/>
      <c r="IU178" s="416"/>
      <c r="IV178" s="416"/>
    </row>
    <row r="179" spans="1:256" x14ac:dyDescent="0.3">
      <c r="A179" s="417"/>
      <c r="B179" s="508" t="s">
        <v>56</v>
      </c>
      <c r="C179" s="419"/>
      <c r="D179" s="419"/>
      <c r="E179" s="419"/>
      <c r="F179" s="419"/>
      <c r="G179" s="419"/>
      <c r="H179" s="419"/>
      <c r="I179" s="419"/>
      <c r="J179" s="419"/>
      <c r="K179" s="419"/>
      <c r="L179" s="419"/>
      <c r="M179" s="419"/>
      <c r="N179" s="419"/>
      <c r="O179" s="419"/>
      <c r="P179" s="419"/>
      <c r="Q179" s="419"/>
      <c r="R179" s="419"/>
      <c r="S179" s="419"/>
      <c r="T179" s="419"/>
      <c r="U179" s="419"/>
      <c r="V179" s="439"/>
      <c r="W179" s="419"/>
      <c r="X179" s="415"/>
    </row>
    <row r="180" spans="1:256" x14ac:dyDescent="0.3">
      <c r="A180" s="417"/>
      <c r="B180" s="451"/>
      <c r="C180" s="419"/>
      <c r="D180" s="419"/>
      <c r="E180" s="419"/>
      <c r="F180" s="419"/>
      <c r="G180" s="419"/>
      <c r="H180" s="419"/>
      <c r="I180" s="419"/>
      <c r="J180" s="419"/>
      <c r="K180" s="419"/>
      <c r="L180" s="419"/>
      <c r="M180" s="419"/>
      <c r="N180" s="419"/>
      <c r="O180" s="419"/>
      <c r="P180" s="419"/>
      <c r="Q180" s="419"/>
      <c r="R180" s="419"/>
      <c r="S180" s="419"/>
      <c r="T180" s="419"/>
      <c r="U180" s="419"/>
      <c r="V180" s="439"/>
      <c r="W180" s="419"/>
      <c r="X180" s="415"/>
    </row>
    <row r="181" spans="1:256" s="544" customFormat="1" x14ac:dyDescent="0.3">
      <c r="A181" s="555"/>
      <c r="B181" s="556" t="s">
        <v>57</v>
      </c>
      <c r="C181" s="556"/>
      <c r="D181" s="556"/>
      <c r="E181" s="556"/>
      <c r="F181" s="556"/>
      <c r="G181" s="556"/>
      <c r="H181" s="556"/>
      <c r="I181" s="556"/>
      <c r="J181" s="556"/>
      <c r="K181" s="556"/>
      <c r="L181" s="556"/>
      <c r="M181" s="556"/>
      <c r="N181" s="556"/>
      <c r="O181" s="556"/>
      <c r="P181" s="556"/>
      <c r="Q181" s="556"/>
      <c r="R181" s="556"/>
      <c r="S181" s="556"/>
      <c r="T181" s="556"/>
      <c r="U181" s="556"/>
      <c r="V181" s="599">
        <f>V70</f>
        <v>802205</v>
      </c>
      <c r="W181" s="558"/>
      <c r="X181" s="543"/>
    </row>
    <row r="182" spans="1:256" s="544" customFormat="1" x14ac:dyDescent="0.3">
      <c r="A182" s="555"/>
      <c r="B182" s="556" t="s">
        <v>58</v>
      </c>
      <c r="C182" s="556"/>
      <c r="D182" s="556"/>
      <c r="E182" s="556"/>
      <c r="F182" s="556"/>
      <c r="G182" s="556"/>
      <c r="H182" s="556"/>
      <c r="I182" s="556"/>
      <c r="J182" s="556"/>
      <c r="K182" s="556"/>
      <c r="L182" s="556"/>
      <c r="M182" s="556"/>
      <c r="N182" s="556"/>
      <c r="O182" s="556"/>
      <c r="P182" s="556"/>
      <c r="Q182" s="556"/>
      <c r="R182" s="556"/>
      <c r="S182" s="556"/>
      <c r="T182" s="556"/>
      <c r="U182" s="556"/>
      <c r="V182" s="599">
        <f>V83</f>
        <v>802205</v>
      </c>
      <c r="W182" s="558"/>
      <c r="X182" s="543"/>
    </row>
    <row r="183" spans="1:256" ht="16.2" thickBot="1" x14ac:dyDescent="0.35">
      <c r="A183" s="417"/>
      <c r="B183" s="441"/>
      <c r="C183" s="441"/>
      <c r="D183" s="441"/>
      <c r="E183" s="441"/>
      <c r="F183" s="441"/>
      <c r="G183" s="441"/>
      <c r="H183" s="441"/>
      <c r="I183" s="441"/>
      <c r="J183" s="441"/>
      <c r="K183" s="441"/>
      <c r="L183" s="441"/>
      <c r="M183" s="441"/>
      <c r="N183" s="441"/>
      <c r="O183" s="441"/>
      <c r="P183" s="441"/>
      <c r="Q183" s="441"/>
      <c r="R183" s="441"/>
      <c r="S183" s="441"/>
      <c r="T183" s="441"/>
      <c r="U183" s="441"/>
      <c r="V183" s="452"/>
      <c r="W183" s="441"/>
      <c r="X183" s="415"/>
    </row>
    <row r="184" spans="1:256" x14ac:dyDescent="0.3">
      <c r="A184" s="413"/>
      <c r="B184" s="414"/>
      <c r="C184" s="414"/>
      <c r="D184" s="414"/>
      <c r="E184" s="414"/>
      <c r="F184" s="414"/>
      <c r="G184" s="414"/>
      <c r="H184" s="414"/>
      <c r="I184" s="414"/>
      <c r="J184" s="414"/>
      <c r="K184" s="414"/>
      <c r="L184" s="414"/>
      <c r="M184" s="414"/>
      <c r="N184" s="414"/>
      <c r="O184" s="414"/>
      <c r="P184" s="414"/>
      <c r="Q184" s="414"/>
      <c r="R184" s="414"/>
      <c r="S184" s="414"/>
      <c r="T184" s="414"/>
      <c r="U184" s="414"/>
      <c r="V184" s="460"/>
      <c r="W184" s="414"/>
      <c r="X184" s="415"/>
    </row>
    <row r="185" spans="1:256" s="499" customFormat="1" x14ac:dyDescent="0.3">
      <c r="A185" s="502"/>
      <c r="B185" s="508" t="s">
        <v>59</v>
      </c>
      <c r="C185" s="506"/>
      <c r="D185" s="506"/>
      <c r="E185" s="506"/>
      <c r="F185" s="506"/>
      <c r="G185" s="506"/>
      <c r="H185" s="509"/>
      <c r="I185" s="509"/>
      <c r="J185" s="509"/>
      <c r="K185" s="509"/>
      <c r="L185" s="509"/>
      <c r="M185" s="509"/>
      <c r="N185" s="509"/>
      <c r="O185" s="509"/>
      <c r="P185" s="509"/>
      <c r="Q185" s="509"/>
      <c r="R185" s="509"/>
      <c r="S185" s="509" t="s">
        <v>101</v>
      </c>
      <c r="T185" s="509" t="s">
        <v>176</v>
      </c>
      <c r="U185" s="421"/>
      <c r="V185" s="510" t="s">
        <v>114</v>
      </c>
      <c r="W185" s="421"/>
      <c r="X185" s="498"/>
    </row>
    <row r="186" spans="1:256" s="544" customFormat="1" x14ac:dyDescent="0.3">
      <c r="A186" s="555"/>
      <c r="B186" s="556" t="s">
        <v>60</v>
      </c>
      <c r="C186" s="556"/>
      <c r="D186" s="556"/>
      <c r="E186" s="556"/>
      <c r="F186" s="556"/>
      <c r="G186" s="556"/>
      <c r="H186" s="556"/>
      <c r="I186" s="556"/>
      <c r="J186" s="556"/>
      <c r="K186" s="556"/>
      <c r="L186" s="556"/>
      <c r="M186" s="556"/>
      <c r="N186" s="556"/>
      <c r="O186" s="556"/>
      <c r="P186" s="556"/>
      <c r="Q186" s="556"/>
      <c r="R186" s="556"/>
      <c r="S186" s="599">
        <f>+V34*0.16</f>
        <v>240044</v>
      </c>
      <c r="T186" s="578"/>
      <c r="U186" s="556"/>
      <c r="V186" s="599"/>
      <c r="W186" s="558"/>
      <c r="X186" s="543"/>
    </row>
    <row r="187" spans="1:256" s="544" customFormat="1" x14ac:dyDescent="0.3">
      <c r="A187" s="555"/>
      <c r="B187" s="556" t="s">
        <v>61</v>
      </c>
      <c r="C187" s="556"/>
      <c r="D187" s="556"/>
      <c r="E187" s="556"/>
      <c r="F187" s="556"/>
      <c r="G187" s="556"/>
      <c r="H187" s="556"/>
      <c r="I187" s="556"/>
      <c r="J187" s="556"/>
      <c r="K187" s="556"/>
      <c r="L187" s="556"/>
      <c r="M187" s="556"/>
      <c r="N187" s="556"/>
      <c r="O187" s="556"/>
      <c r="P187" s="556"/>
      <c r="Q187" s="556"/>
      <c r="R187" s="556"/>
      <c r="S187" s="599">
        <f>+'Aug 18'!S189</f>
        <v>33237</v>
      </c>
      <c r="T187" s="599">
        <f>+'Aug 18'!T189</f>
        <v>6019</v>
      </c>
      <c r="U187" s="556"/>
      <c r="V187" s="599">
        <f>S187+T187</f>
        <v>39256</v>
      </c>
      <c r="W187" s="558"/>
      <c r="X187" s="543"/>
    </row>
    <row r="188" spans="1:256" s="544" customFormat="1" x14ac:dyDescent="0.3">
      <c r="A188" s="555"/>
      <c r="B188" s="556" t="s">
        <v>62</v>
      </c>
      <c r="C188" s="556"/>
      <c r="D188" s="556"/>
      <c r="E188" s="556"/>
      <c r="F188" s="556"/>
      <c r="G188" s="556"/>
      <c r="H188" s="556"/>
      <c r="I188" s="556"/>
      <c r="J188" s="556"/>
      <c r="K188" s="556"/>
      <c r="L188" s="556"/>
      <c r="M188" s="556"/>
      <c r="N188" s="556"/>
      <c r="O188" s="556"/>
      <c r="P188" s="556"/>
      <c r="Q188" s="556"/>
      <c r="R188" s="556"/>
      <c r="S188" s="598">
        <v>216</v>
      </c>
      <c r="T188" s="598">
        <v>0</v>
      </c>
      <c r="U188" s="556"/>
      <c r="V188" s="599">
        <f>S188+T188</f>
        <v>216</v>
      </c>
      <c r="W188" s="558"/>
      <c r="X188" s="543"/>
    </row>
    <row r="189" spans="1:256" s="544" customFormat="1" x14ac:dyDescent="0.3">
      <c r="A189" s="555"/>
      <c r="B189" s="556" t="s">
        <v>63</v>
      </c>
      <c r="C189" s="556"/>
      <c r="D189" s="556"/>
      <c r="E189" s="556"/>
      <c r="F189" s="556"/>
      <c r="G189" s="556"/>
      <c r="H189" s="556"/>
      <c r="I189" s="556"/>
      <c r="J189" s="556"/>
      <c r="K189" s="556"/>
      <c r="L189" s="556"/>
      <c r="M189" s="556"/>
      <c r="N189" s="556"/>
      <c r="O189" s="556"/>
      <c r="P189" s="556"/>
      <c r="Q189" s="556"/>
      <c r="R189" s="556"/>
      <c r="S189" s="599">
        <f>S187+S188</f>
        <v>33453</v>
      </c>
      <c r="T189" s="599">
        <f>T188+T187</f>
        <v>6019</v>
      </c>
      <c r="U189" s="556"/>
      <c r="V189" s="599">
        <f>S189+T189</f>
        <v>39472</v>
      </c>
      <c r="W189" s="558"/>
      <c r="X189" s="543"/>
    </row>
    <row r="190" spans="1:256" s="544" customFormat="1" x14ac:dyDescent="0.3">
      <c r="A190" s="555"/>
      <c r="B190" s="556" t="s">
        <v>64</v>
      </c>
      <c r="C190" s="556"/>
      <c r="D190" s="556"/>
      <c r="E190" s="556"/>
      <c r="F190" s="556"/>
      <c r="G190" s="556"/>
      <c r="H190" s="556"/>
      <c r="I190" s="556"/>
      <c r="J190" s="556"/>
      <c r="K190" s="556"/>
      <c r="L190" s="556"/>
      <c r="M190" s="556"/>
      <c r="N190" s="556"/>
      <c r="O190" s="556"/>
      <c r="P190" s="556"/>
      <c r="Q190" s="556"/>
      <c r="R190" s="556"/>
      <c r="S190" s="599">
        <f>S186-S189-T189</f>
        <v>200572</v>
      </c>
      <c r="T190" s="578"/>
      <c r="U190" s="556"/>
      <c r="V190" s="599"/>
      <c r="W190" s="558"/>
      <c r="X190" s="543"/>
    </row>
    <row r="191" spans="1:256" ht="16.2" thickBot="1" x14ac:dyDescent="0.35">
      <c r="A191" s="417"/>
      <c r="B191" s="441"/>
      <c r="C191" s="441"/>
      <c r="D191" s="441"/>
      <c r="E191" s="441"/>
      <c r="F191" s="441"/>
      <c r="G191" s="441"/>
      <c r="H191" s="441"/>
      <c r="I191" s="441"/>
      <c r="J191" s="441"/>
      <c r="K191" s="441"/>
      <c r="L191" s="441"/>
      <c r="M191" s="441"/>
      <c r="N191" s="441"/>
      <c r="O191" s="441"/>
      <c r="P191" s="441"/>
      <c r="Q191" s="441"/>
      <c r="R191" s="441"/>
      <c r="S191" s="441"/>
      <c r="T191" s="441"/>
      <c r="U191" s="441"/>
      <c r="V191" s="452"/>
      <c r="W191" s="441"/>
      <c r="X191" s="415"/>
    </row>
    <row r="192" spans="1:256" x14ac:dyDescent="0.3">
      <c r="A192" s="413"/>
      <c r="B192" s="414"/>
      <c r="C192" s="414"/>
      <c r="D192" s="414"/>
      <c r="E192" s="414"/>
      <c r="F192" s="414"/>
      <c r="G192" s="414"/>
      <c r="H192" s="414"/>
      <c r="I192" s="414"/>
      <c r="J192" s="414"/>
      <c r="K192" s="414"/>
      <c r="L192" s="414"/>
      <c r="M192" s="414"/>
      <c r="N192" s="414"/>
      <c r="O192" s="414"/>
      <c r="P192" s="414"/>
      <c r="Q192" s="414"/>
      <c r="R192" s="414"/>
      <c r="S192" s="414"/>
      <c r="T192" s="414"/>
      <c r="U192" s="414"/>
      <c r="V192" s="460"/>
      <c r="W192" s="414"/>
      <c r="X192" s="415"/>
    </row>
    <row r="193" spans="1:24" x14ac:dyDescent="0.3">
      <c r="A193" s="417"/>
      <c r="B193" s="508" t="s">
        <v>65</v>
      </c>
      <c r="C193" s="419"/>
      <c r="D193" s="419"/>
      <c r="E193" s="419"/>
      <c r="F193" s="419"/>
      <c r="G193" s="419"/>
      <c r="H193" s="419"/>
      <c r="I193" s="419"/>
      <c r="J193" s="419"/>
      <c r="K193" s="419"/>
      <c r="L193" s="419"/>
      <c r="M193" s="419"/>
      <c r="N193" s="419"/>
      <c r="O193" s="419"/>
      <c r="P193" s="419"/>
      <c r="Q193" s="419"/>
      <c r="R193" s="419"/>
      <c r="S193" s="419"/>
      <c r="T193" s="419"/>
      <c r="U193" s="419"/>
      <c r="V193" s="462"/>
      <c r="W193" s="419"/>
      <c r="X193" s="415"/>
    </row>
    <row r="194" spans="1:24" s="544" customFormat="1" x14ac:dyDescent="0.3">
      <c r="A194" s="555"/>
      <c r="B194" s="556" t="s">
        <v>66</v>
      </c>
      <c r="C194" s="556"/>
      <c r="D194" s="556"/>
      <c r="E194" s="556"/>
      <c r="F194" s="556"/>
      <c r="G194" s="556"/>
      <c r="H194" s="556"/>
      <c r="I194" s="556"/>
      <c r="J194" s="556"/>
      <c r="K194" s="556"/>
      <c r="L194" s="556"/>
      <c r="M194" s="556"/>
      <c r="N194" s="556"/>
      <c r="O194" s="556"/>
      <c r="P194" s="556"/>
      <c r="Q194" s="556"/>
      <c r="R194" s="556"/>
      <c r="S194" s="556"/>
      <c r="T194" s="556"/>
      <c r="U194" s="556"/>
      <c r="V194" s="608">
        <f>(V100+V102+V103+V104+V105)/-(V106+V107)</f>
        <v>3.5278336686787393</v>
      </c>
      <c r="W194" s="558" t="s">
        <v>115</v>
      </c>
      <c r="X194" s="543"/>
    </row>
    <row r="195" spans="1:24" s="544" customFormat="1" x14ac:dyDescent="0.3">
      <c r="A195" s="555"/>
      <c r="B195" s="556" t="s">
        <v>67</v>
      </c>
      <c r="C195" s="556"/>
      <c r="D195" s="556"/>
      <c r="E195" s="556"/>
      <c r="F195" s="556"/>
      <c r="G195" s="556"/>
      <c r="H195" s="556"/>
      <c r="I195" s="556"/>
      <c r="J195" s="556"/>
      <c r="K195" s="556"/>
      <c r="L195" s="556"/>
      <c r="M195" s="556"/>
      <c r="N195" s="556"/>
      <c r="O195" s="556"/>
      <c r="P195" s="556"/>
      <c r="Q195" s="556"/>
      <c r="R195" s="556"/>
      <c r="S195" s="556"/>
      <c r="T195" s="556"/>
      <c r="U195" s="556"/>
      <c r="V195" s="610">
        <v>2.13</v>
      </c>
      <c r="W195" s="558" t="s">
        <v>115</v>
      </c>
      <c r="X195" s="543"/>
    </row>
    <row r="196" spans="1:24" s="544" customFormat="1" x14ac:dyDescent="0.3">
      <c r="A196" s="555"/>
      <c r="B196" s="556" t="s">
        <v>68</v>
      </c>
      <c r="C196" s="556"/>
      <c r="D196" s="556"/>
      <c r="E196" s="556"/>
      <c r="F196" s="556"/>
      <c r="G196" s="556"/>
      <c r="H196" s="556"/>
      <c r="I196" s="556"/>
      <c r="J196" s="556"/>
      <c r="K196" s="556"/>
      <c r="L196" s="556"/>
      <c r="M196" s="556"/>
      <c r="N196" s="556"/>
      <c r="O196" s="556"/>
      <c r="P196" s="556"/>
      <c r="Q196" s="556"/>
      <c r="R196" s="556"/>
      <c r="S196" s="556"/>
      <c r="T196" s="556"/>
      <c r="U196" s="556"/>
      <c r="V196" s="608">
        <f>(V100+V102+V103+V104+V105+V106+V107)/-(V109+V110)</f>
        <v>11.284431137724551</v>
      </c>
      <c r="W196" s="558" t="s">
        <v>115</v>
      </c>
      <c r="X196" s="543"/>
    </row>
    <row r="197" spans="1:24" s="544" customFormat="1" x14ac:dyDescent="0.3">
      <c r="A197" s="555"/>
      <c r="B197" s="556" t="s">
        <v>69</v>
      </c>
      <c r="C197" s="556"/>
      <c r="D197" s="556"/>
      <c r="E197" s="556"/>
      <c r="F197" s="556"/>
      <c r="G197" s="556"/>
      <c r="H197" s="556"/>
      <c r="I197" s="556"/>
      <c r="J197" s="556"/>
      <c r="K197" s="556"/>
      <c r="L197" s="556"/>
      <c r="M197" s="556"/>
      <c r="N197" s="556"/>
      <c r="O197" s="556"/>
      <c r="P197" s="556"/>
      <c r="Q197" s="556"/>
      <c r="R197" s="556"/>
      <c r="S197" s="556"/>
      <c r="T197" s="556"/>
      <c r="U197" s="556"/>
      <c r="V197" s="610">
        <v>9.7899999999999991</v>
      </c>
      <c r="W197" s="558" t="s">
        <v>115</v>
      </c>
      <c r="X197" s="543"/>
    </row>
    <row r="198" spans="1:24" s="544" customFormat="1" x14ac:dyDescent="0.3">
      <c r="A198" s="555"/>
      <c r="B198" s="556" t="s">
        <v>198</v>
      </c>
      <c r="C198" s="556"/>
      <c r="D198" s="556"/>
      <c r="E198" s="556"/>
      <c r="F198" s="556"/>
      <c r="G198" s="556"/>
      <c r="H198" s="556"/>
      <c r="I198" s="556"/>
      <c r="J198" s="556"/>
      <c r="K198" s="556"/>
      <c r="L198" s="556"/>
      <c r="M198" s="556"/>
      <c r="N198" s="556"/>
      <c r="O198" s="556"/>
      <c r="P198" s="556"/>
      <c r="Q198" s="556"/>
      <c r="R198" s="556"/>
      <c r="S198" s="556"/>
      <c r="T198" s="556"/>
      <c r="U198" s="556"/>
      <c r="V198" s="608">
        <f>(V100+V102+V103+V104+V105+V106+V107+V109+V110)/-(V111+V112)</f>
        <v>7.4350649350649354</v>
      </c>
      <c r="W198" s="558" t="s">
        <v>115</v>
      </c>
      <c r="X198" s="543"/>
    </row>
    <row r="199" spans="1:24" s="544" customFormat="1" x14ac:dyDescent="0.3">
      <c r="A199" s="555"/>
      <c r="B199" s="556" t="s">
        <v>199</v>
      </c>
      <c r="C199" s="556"/>
      <c r="D199" s="556"/>
      <c r="E199" s="556"/>
      <c r="F199" s="556"/>
      <c r="G199" s="556"/>
      <c r="H199" s="556"/>
      <c r="I199" s="556"/>
      <c r="J199" s="556"/>
      <c r="K199" s="556"/>
      <c r="L199" s="556"/>
      <c r="M199" s="556"/>
      <c r="N199" s="556"/>
      <c r="O199" s="556"/>
      <c r="P199" s="556"/>
      <c r="Q199" s="556"/>
      <c r="R199" s="556"/>
      <c r="S199" s="556"/>
      <c r="T199" s="556"/>
      <c r="U199" s="556"/>
      <c r="V199" s="610">
        <v>7.34</v>
      </c>
      <c r="W199" s="558" t="s">
        <v>115</v>
      </c>
      <c r="X199" s="543"/>
    </row>
    <row r="200" spans="1:24" s="544" customFormat="1" x14ac:dyDescent="0.3">
      <c r="A200" s="555"/>
      <c r="B200" s="556"/>
      <c r="C200" s="556"/>
      <c r="D200" s="556"/>
      <c r="E200" s="556"/>
      <c r="F200" s="556"/>
      <c r="G200" s="556"/>
      <c r="H200" s="556"/>
      <c r="I200" s="556"/>
      <c r="J200" s="556"/>
      <c r="K200" s="556"/>
      <c r="L200" s="556"/>
      <c r="M200" s="556"/>
      <c r="N200" s="556"/>
      <c r="O200" s="556"/>
      <c r="P200" s="556"/>
      <c r="Q200" s="556"/>
      <c r="R200" s="556"/>
      <c r="S200" s="556"/>
      <c r="T200" s="556"/>
      <c r="U200" s="556"/>
      <c r="V200" s="556"/>
      <c r="W200" s="558"/>
      <c r="X200" s="543"/>
    </row>
    <row r="201" spans="1:24" s="544" customFormat="1" x14ac:dyDescent="0.3">
      <c r="A201" s="540"/>
      <c r="B201" s="588"/>
      <c r="C201" s="588"/>
      <c r="D201" s="588"/>
      <c r="E201" s="588"/>
      <c r="F201" s="588"/>
      <c r="G201" s="588"/>
      <c r="H201" s="588"/>
      <c r="I201" s="588"/>
      <c r="J201" s="588"/>
      <c r="K201" s="588"/>
      <c r="L201" s="588"/>
      <c r="M201" s="588"/>
      <c r="N201" s="588"/>
      <c r="O201" s="588"/>
      <c r="P201" s="588"/>
      <c r="Q201" s="588"/>
      <c r="R201" s="588"/>
      <c r="S201" s="588"/>
      <c r="T201" s="588"/>
      <c r="U201" s="588"/>
      <c r="V201" s="588"/>
      <c r="W201" s="588"/>
      <c r="X201" s="543"/>
    </row>
    <row r="202" spans="1:24" s="544" customFormat="1" x14ac:dyDescent="0.3">
      <c r="A202" s="540"/>
      <c r="B202" s="541"/>
      <c r="C202" s="541"/>
      <c r="D202" s="541"/>
      <c r="E202" s="541"/>
      <c r="F202" s="541"/>
      <c r="G202" s="541"/>
      <c r="H202" s="541"/>
      <c r="I202" s="541"/>
      <c r="J202" s="541"/>
      <c r="K202" s="541"/>
      <c r="L202" s="541"/>
      <c r="M202" s="541"/>
      <c r="N202" s="541"/>
      <c r="O202" s="541"/>
      <c r="P202" s="541"/>
      <c r="Q202" s="541"/>
      <c r="R202" s="541"/>
      <c r="S202" s="541"/>
      <c r="T202" s="541"/>
      <c r="U202" s="541"/>
      <c r="V202" s="541"/>
      <c r="W202" s="541"/>
      <c r="X202" s="543"/>
    </row>
    <row r="203" spans="1:24" s="544" customFormat="1" ht="18.600000000000001" thickBot="1" x14ac:dyDescent="0.4">
      <c r="A203" s="593"/>
      <c r="B203" s="594" t="str">
        <f>B137</f>
        <v>PM14 INVESTOR REPORT QUARTER ENDING NOVEMBER 2018</v>
      </c>
      <c r="C203" s="595"/>
      <c r="D203" s="595"/>
      <c r="E203" s="595"/>
      <c r="F203" s="595"/>
      <c r="G203" s="595"/>
      <c r="H203" s="595"/>
      <c r="I203" s="595"/>
      <c r="J203" s="595"/>
      <c r="K203" s="595"/>
      <c r="L203" s="595"/>
      <c r="M203" s="595"/>
      <c r="N203" s="595"/>
      <c r="O203" s="595"/>
      <c r="P203" s="595"/>
      <c r="Q203" s="595"/>
      <c r="R203" s="595"/>
      <c r="S203" s="595"/>
      <c r="T203" s="595"/>
      <c r="U203" s="595"/>
      <c r="V203" s="595"/>
      <c r="W203" s="597"/>
      <c r="X203" s="543"/>
    </row>
    <row r="204" spans="1:24" x14ac:dyDescent="0.3">
      <c r="A204" s="527"/>
      <c r="B204" s="528" t="s">
        <v>70</v>
      </c>
      <c r="C204" s="531"/>
      <c r="D204" s="531"/>
      <c r="E204" s="531"/>
      <c r="F204" s="531"/>
      <c r="G204" s="532"/>
      <c r="H204" s="532"/>
      <c r="I204" s="532"/>
      <c r="J204" s="532"/>
      <c r="K204" s="532"/>
      <c r="L204" s="532"/>
      <c r="M204" s="532"/>
      <c r="N204" s="532"/>
      <c r="O204" s="532"/>
      <c r="P204" s="532"/>
      <c r="Q204" s="532"/>
      <c r="R204" s="532"/>
      <c r="S204" s="532"/>
      <c r="T204" s="532">
        <v>43434</v>
      </c>
      <c r="U204" s="529"/>
      <c r="V204" s="529"/>
      <c r="W204" s="529"/>
      <c r="X204" s="415"/>
    </row>
    <row r="205" spans="1:24" x14ac:dyDescent="0.3">
      <c r="A205" s="463"/>
      <c r="B205" s="429"/>
      <c r="C205" s="464"/>
      <c r="D205" s="464"/>
      <c r="E205" s="464"/>
      <c r="F205" s="464"/>
      <c r="G205" s="428"/>
      <c r="H205" s="428"/>
      <c r="I205" s="428"/>
      <c r="J205" s="428"/>
      <c r="K205" s="428"/>
      <c r="L205" s="428"/>
      <c r="M205" s="428"/>
      <c r="N205" s="428"/>
      <c r="O205" s="428"/>
      <c r="P205" s="428"/>
      <c r="Q205" s="428"/>
      <c r="R205" s="428"/>
      <c r="S205" s="428"/>
      <c r="T205" s="428"/>
      <c r="U205" s="427"/>
      <c r="V205" s="427"/>
      <c r="W205" s="427"/>
      <c r="X205" s="415"/>
    </row>
    <row r="206" spans="1:24" s="544" customFormat="1" x14ac:dyDescent="0.3">
      <c r="A206" s="555"/>
      <c r="B206" s="556" t="s">
        <v>71</v>
      </c>
      <c r="C206" s="611"/>
      <c r="D206" s="611"/>
      <c r="E206" s="611"/>
      <c r="F206" s="611"/>
      <c r="G206" s="582"/>
      <c r="H206" s="582"/>
      <c r="I206" s="582"/>
      <c r="J206" s="582"/>
      <c r="K206" s="582"/>
      <c r="L206" s="582"/>
      <c r="M206" s="582"/>
      <c r="N206" s="582"/>
      <c r="O206" s="582"/>
      <c r="P206" s="582"/>
      <c r="Q206" s="582"/>
      <c r="R206" s="582"/>
      <c r="S206" s="582"/>
      <c r="T206" s="575">
        <v>5.2819999999999999E-2</v>
      </c>
      <c r="U206" s="556"/>
      <c r="V206" s="556"/>
      <c r="W206" s="558"/>
      <c r="X206" s="543"/>
    </row>
    <row r="207" spans="1:24" s="544" customFormat="1" x14ac:dyDescent="0.3">
      <c r="A207" s="555"/>
      <c r="B207" s="556" t="s">
        <v>151</v>
      </c>
      <c r="C207" s="611"/>
      <c r="D207" s="611"/>
      <c r="E207" s="611"/>
      <c r="F207" s="611"/>
      <c r="G207" s="582"/>
      <c r="H207" s="582"/>
      <c r="I207" s="582"/>
      <c r="J207" s="582"/>
      <c r="K207" s="582"/>
      <c r="L207" s="582"/>
      <c r="M207" s="582"/>
      <c r="N207" s="582"/>
      <c r="O207" s="582"/>
      <c r="P207" s="582"/>
      <c r="Q207" s="582"/>
      <c r="R207" s="582"/>
      <c r="S207" s="582"/>
      <c r="T207" s="575">
        <v>5.7799999999999997E-2</v>
      </c>
      <c r="U207" s="556"/>
      <c r="V207" s="556"/>
      <c r="W207" s="558"/>
      <c r="X207" s="543"/>
    </row>
    <row r="208" spans="1:24" s="544" customFormat="1" x14ac:dyDescent="0.3">
      <c r="A208" s="555"/>
      <c r="B208" s="556" t="s">
        <v>72</v>
      </c>
      <c r="C208" s="611"/>
      <c r="D208" s="611"/>
      <c r="E208" s="611"/>
      <c r="F208" s="611"/>
      <c r="G208" s="582"/>
      <c r="H208" s="582"/>
      <c r="I208" s="582"/>
      <c r="J208" s="582"/>
      <c r="K208" s="582"/>
      <c r="L208" s="582"/>
      <c r="M208" s="582"/>
      <c r="N208" s="582"/>
      <c r="O208" s="582"/>
      <c r="P208" s="582"/>
      <c r="Q208" s="582"/>
      <c r="R208" s="582"/>
      <c r="S208" s="582"/>
      <c r="T208" s="575">
        <f>T206-T207</f>
        <v>-4.9799999999999983E-3</v>
      </c>
      <c r="U208" s="556"/>
      <c r="V208" s="556"/>
      <c r="W208" s="558"/>
      <c r="X208" s="543"/>
    </row>
    <row r="209" spans="1:24" s="544" customFormat="1" x14ac:dyDescent="0.3">
      <c r="A209" s="555"/>
      <c r="B209" s="556" t="s">
        <v>73</v>
      </c>
      <c r="C209" s="611"/>
      <c r="D209" s="611"/>
      <c r="E209" s="611"/>
      <c r="F209" s="611"/>
      <c r="G209" s="582"/>
      <c r="H209" s="582"/>
      <c r="I209" s="582"/>
      <c r="J209" s="582"/>
      <c r="K209" s="582"/>
      <c r="L209" s="582"/>
      <c r="M209" s="582"/>
      <c r="N209" s="582"/>
      <c r="O209" s="582"/>
      <c r="P209" s="582"/>
      <c r="Q209" s="582"/>
      <c r="R209" s="582"/>
      <c r="S209" s="582"/>
      <c r="T209" s="575">
        <v>2.6759999999999999E-2</v>
      </c>
      <c r="U209" s="556"/>
      <c r="V209" s="556"/>
      <c r="W209" s="558"/>
      <c r="X209" s="543"/>
    </row>
    <row r="210" spans="1:24" s="544" customFormat="1" x14ac:dyDescent="0.3">
      <c r="A210" s="555"/>
      <c r="B210" s="556" t="s">
        <v>219</v>
      </c>
      <c r="C210" s="611"/>
      <c r="D210" s="611"/>
      <c r="E210" s="611"/>
      <c r="F210" s="611"/>
      <c r="G210" s="582"/>
      <c r="H210" s="582"/>
      <c r="I210" s="582"/>
      <c r="J210" s="582"/>
      <c r="K210" s="582"/>
      <c r="L210" s="582"/>
      <c r="M210" s="582"/>
      <c r="N210" s="582"/>
      <c r="O210" s="582"/>
      <c r="P210" s="582"/>
      <c r="Q210" s="582"/>
      <c r="R210" s="582"/>
      <c r="S210" s="582"/>
      <c r="T210" s="575">
        <f>V43</f>
        <v>1.1244071355445875E-2</v>
      </c>
      <c r="U210" s="556"/>
      <c r="V210" s="556"/>
      <c r="W210" s="558"/>
      <c r="X210" s="543"/>
    </row>
    <row r="211" spans="1:24" s="544" customFormat="1" x14ac:dyDescent="0.3">
      <c r="A211" s="555"/>
      <c r="B211" s="556" t="s">
        <v>74</v>
      </c>
      <c r="C211" s="611"/>
      <c r="D211" s="611"/>
      <c r="E211" s="611"/>
      <c r="F211" s="611"/>
      <c r="G211" s="582"/>
      <c r="H211" s="582"/>
      <c r="I211" s="582"/>
      <c r="J211" s="582"/>
      <c r="K211" s="582"/>
      <c r="L211" s="582"/>
      <c r="M211" s="582"/>
      <c r="N211" s="582"/>
      <c r="O211" s="582"/>
      <c r="P211" s="582"/>
      <c r="Q211" s="582"/>
      <c r="R211" s="582"/>
      <c r="S211" s="582"/>
      <c r="T211" s="575">
        <f>T209-T210</f>
        <v>1.5515928644554124E-2</v>
      </c>
      <c r="U211" s="556"/>
      <c r="V211" s="556"/>
      <c r="W211" s="558"/>
      <c r="X211" s="543"/>
    </row>
    <row r="212" spans="1:24" s="544" customFormat="1" x14ac:dyDescent="0.3">
      <c r="A212" s="555"/>
      <c r="B212" s="556" t="s">
        <v>242</v>
      </c>
      <c r="C212" s="611"/>
      <c r="D212" s="611"/>
      <c r="E212" s="611"/>
      <c r="F212" s="611"/>
      <c r="G212" s="582"/>
      <c r="H212" s="582"/>
      <c r="I212" s="582"/>
      <c r="J212" s="582"/>
      <c r="K212" s="582"/>
      <c r="L212" s="582"/>
      <c r="M212" s="582"/>
      <c r="N212" s="582"/>
      <c r="O212" s="582"/>
      <c r="P212" s="582"/>
      <c r="Q212" s="582"/>
      <c r="R212" s="582"/>
      <c r="S212" s="582"/>
      <c r="T212" s="575">
        <f>V100/N70</f>
        <v>6.753319350239719E-3</v>
      </c>
      <c r="U212" s="556"/>
      <c r="V212" s="556"/>
      <c r="W212" s="558"/>
      <c r="X212" s="543"/>
    </row>
    <row r="213" spans="1:24" s="544" customFormat="1" x14ac:dyDescent="0.3">
      <c r="A213" s="555"/>
      <c r="B213" s="556" t="s">
        <v>208</v>
      </c>
      <c r="C213" s="611"/>
      <c r="D213" s="611"/>
      <c r="E213" s="611"/>
      <c r="F213" s="611"/>
      <c r="G213" s="582"/>
      <c r="H213" s="582"/>
      <c r="I213" s="582"/>
      <c r="J213" s="582"/>
      <c r="K213" s="582"/>
      <c r="L213" s="582"/>
      <c r="M213" s="582"/>
      <c r="N213" s="582"/>
      <c r="O213" s="582"/>
      <c r="P213" s="582"/>
      <c r="Q213" s="582"/>
      <c r="R213" s="582"/>
      <c r="S213" s="582"/>
      <c r="T213" s="612">
        <v>51014</v>
      </c>
      <c r="U213" s="556"/>
      <c r="V213" s="556"/>
      <c r="W213" s="558"/>
      <c r="X213" s="543"/>
    </row>
    <row r="214" spans="1:24" s="544" customFormat="1" x14ac:dyDescent="0.3">
      <c r="A214" s="555"/>
      <c r="B214" s="556" t="s">
        <v>209</v>
      </c>
      <c r="C214" s="611"/>
      <c r="D214" s="611"/>
      <c r="E214" s="611"/>
      <c r="F214" s="611"/>
      <c r="G214" s="582"/>
      <c r="H214" s="582"/>
      <c r="I214" s="582"/>
      <c r="J214" s="582"/>
      <c r="K214" s="582"/>
      <c r="L214" s="582"/>
      <c r="M214" s="582"/>
      <c r="N214" s="582"/>
      <c r="O214" s="582"/>
      <c r="P214" s="582"/>
      <c r="Q214" s="582"/>
      <c r="R214" s="582"/>
      <c r="S214" s="582"/>
      <c r="T214" s="612">
        <v>51014</v>
      </c>
      <c r="U214" s="556"/>
      <c r="V214" s="556"/>
      <c r="W214" s="558"/>
      <c r="X214" s="543"/>
    </row>
    <row r="215" spans="1:24" s="544" customFormat="1" x14ac:dyDescent="0.3">
      <c r="A215" s="555"/>
      <c r="B215" s="556" t="s">
        <v>210</v>
      </c>
      <c r="C215" s="611"/>
      <c r="D215" s="611"/>
      <c r="E215" s="611"/>
      <c r="F215" s="611"/>
      <c r="G215" s="582"/>
      <c r="H215" s="582"/>
      <c r="I215" s="582"/>
      <c r="J215" s="582"/>
      <c r="K215" s="582"/>
      <c r="L215" s="582"/>
      <c r="M215" s="582"/>
      <c r="N215" s="582"/>
      <c r="O215" s="582"/>
      <c r="P215" s="582"/>
      <c r="Q215" s="582"/>
      <c r="R215" s="582"/>
      <c r="S215" s="582"/>
      <c r="T215" s="612">
        <v>51014</v>
      </c>
      <c r="U215" s="556"/>
      <c r="V215" s="556"/>
      <c r="W215" s="558"/>
      <c r="X215" s="543"/>
    </row>
    <row r="216" spans="1:24" s="544" customFormat="1" x14ac:dyDescent="0.3">
      <c r="A216" s="555"/>
      <c r="B216" s="556" t="s">
        <v>75</v>
      </c>
      <c r="C216" s="611"/>
      <c r="D216" s="611"/>
      <c r="E216" s="611"/>
      <c r="F216" s="611"/>
      <c r="G216" s="582"/>
      <c r="H216" s="582"/>
      <c r="I216" s="582"/>
      <c r="J216" s="582"/>
      <c r="K216" s="582"/>
      <c r="L216" s="582"/>
      <c r="M216" s="582"/>
      <c r="N216" s="582"/>
      <c r="O216" s="582"/>
      <c r="P216" s="582"/>
      <c r="Q216" s="582"/>
      <c r="R216" s="582"/>
      <c r="S216" s="582"/>
      <c r="T216" s="580">
        <v>20.66</v>
      </c>
      <c r="U216" s="556" t="s">
        <v>110</v>
      </c>
      <c r="V216" s="556"/>
      <c r="W216" s="558"/>
      <c r="X216" s="543"/>
    </row>
    <row r="217" spans="1:24" s="544" customFormat="1" x14ac:dyDescent="0.3">
      <c r="A217" s="555"/>
      <c r="B217" s="556" t="s">
        <v>76</v>
      </c>
      <c r="C217" s="611"/>
      <c r="D217" s="611"/>
      <c r="E217" s="611"/>
      <c r="F217" s="611"/>
      <c r="G217" s="582"/>
      <c r="H217" s="582"/>
      <c r="I217" s="582"/>
      <c r="J217" s="582"/>
      <c r="K217" s="582"/>
      <c r="L217" s="582"/>
      <c r="M217" s="582"/>
      <c r="N217" s="582"/>
      <c r="O217" s="582"/>
      <c r="P217" s="582"/>
      <c r="Q217" s="582"/>
      <c r="R217" s="582"/>
      <c r="S217" s="582"/>
      <c r="T217" s="580">
        <v>10.39</v>
      </c>
      <c r="U217" s="556" t="s">
        <v>110</v>
      </c>
      <c r="V217" s="556"/>
      <c r="W217" s="558"/>
      <c r="X217" s="543"/>
    </row>
    <row r="218" spans="1:24" s="544" customFormat="1" x14ac:dyDescent="0.3">
      <c r="A218" s="555"/>
      <c r="B218" s="556" t="s">
        <v>77</v>
      </c>
      <c r="C218" s="611"/>
      <c r="D218" s="611"/>
      <c r="E218" s="611"/>
      <c r="F218" s="611"/>
      <c r="G218" s="582"/>
      <c r="H218" s="582"/>
      <c r="I218" s="582"/>
      <c r="J218" s="582"/>
      <c r="K218" s="582"/>
      <c r="L218" s="582"/>
      <c r="M218" s="582"/>
      <c r="N218" s="582"/>
      <c r="O218" s="582"/>
      <c r="P218" s="582"/>
      <c r="Q218" s="582"/>
      <c r="R218" s="582"/>
      <c r="S218" s="582"/>
      <c r="T218" s="575">
        <f>+P67/N67</f>
        <v>1.6865523256597941E-2</v>
      </c>
      <c r="U218" s="556"/>
      <c r="V218" s="556"/>
      <c r="W218" s="558"/>
      <c r="X218" s="543"/>
    </row>
    <row r="219" spans="1:24" s="544" customFormat="1" x14ac:dyDescent="0.3">
      <c r="A219" s="555"/>
      <c r="B219" s="556" t="s">
        <v>78</v>
      </c>
      <c r="C219" s="611"/>
      <c r="D219" s="611"/>
      <c r="E219" s="611"/>
      <c r="F219" s="611"/>
      <c r="G219" s="582"/>
      <c r="H219" s="582"/>
      <c r="I219" s="582"/>
      <c r="J219" s="582"/>
      <c r="K219" s="582"/>
      <c r="L219" s="582"/>
      <c r="M219" s="582"/>
      <c r="N219" s="582"/>
      <c r="O219" s="582"/>
      <c r="P219" s="582"/>
      <c r="Q219" s="582"/>
      <c r="R219" s="582"/>
      <c r="S219" s="582"/>
      <c r="T219" s="575">
        <v>5.4699999999999999E-2</v>
      </c>
      <c r="U219" s="556"/>
      <c r="V219" s="556"/>
      <c r="W219" s="558"/>
      <c r="X219" s="543"/>
    </row>
    <row r="220" spans="1:24" x14ac:dyDescent="0.3">
      <c r="A220" s="463"/>
      <c r="B220" s="437"/>
      <c r="C220" s="437"/>
      <c r="D220" s="437"/>
      <c r="E220" s="437"/>
      <c r="F220" s="437"/>
      <c r="G220" s="437"/>
      <c r="H220" s="437"/>
      <c r="I220" s="437"/>
      <c r="J220" s="437"/>
      <c r="K220" s="437"/>
      <c r="L220" s="437"/>
      <c r="M220" s="437"/>
      <c r="N220" s="437"/>
      <c r="O220" s="437"/>
      <c r="P220" s="437"/>
      <c r="Q220" s="437"/>
      <c r="R220" s="437"/>
      <c r="S220" s="437"/>
      <c r="T220" s="454"/>
      <c r="U220" s="437"/>
      <c r="V220" s="465"/>
      <c r="W220" s="437"/>
      <c r="X220" s="415"/>
    </row>
    <row r="221" spans="1:24" x14ac:dyDescent="0.3">
      <c r="A221" s="533"/>
      <c r="B221" s="523" t="s">
        <v>79</v>
      </c>
      <c r="C221" s="524"/>
      <c r="D221" s="524"/>
      <c r="E221" s="524"/>
      <c r="F221" s="534"/>
      <c r="G221" s="524"/>
      <c r="H221" s="524"/>
      <c r="I221" s="524"/>
      <c r="J221" s="524"/>
      <c r="K221" s="524"/>
      <c r="L221" s="524"/>
      <c r="M221" s="524"/>
      <c r="N221" s="524"/>
      <c r="O221" s="524"/>
      <c r="P221" s="524"/>
      <c r="Q221" s="524"/>
      <c r="R221" s="524"/>
      <c r="S221" s="524" t="s">
        <v>102</v>
      </c>
      <c r="T221" s="534" t="s">
        <v>108</v>
      </c>
      <c r="U221" s="517"/>
      <c r="V221" s="517"/>
      <c r="W221" s="520"/>
      <c r="X221" s="415"/>
    </row>
    <row r="222" spans="1:24" s="544" customFormat="1" x14ac:dyDescent="0.3">
      <c r="A222" s="613"/>
      <c r="B222" s="588" t="s">
        <v>80</v>
      </c>
      <c r="C222" s="600"/>
      <c r="D222" s="600"/>
      <c r="E222" s="600"/>
      <c r="F222" s="588"/>
      <c r="G222" s="588"/>
      <c r="H222" s="614"/>
      <c r="I222" s="614"/>
      <c r="J222" s="614"/>
      <c r="K222" s="614"/>
      <c r="L222" s="614"/>
      <c r="M222" s="614"/>
      <c r="N222" s="614"/>
      <c r="O222" s="614"/>
      <c r="P222" s="614"/>
      <c r="Q222" s="614"/>
      <c r="R222" s="614"/>
      <c r="S222" s="614">
        <v>2</v>
      </c>
      <c r="T222" s="615">
        <v>222</v>
      </c>
      <c r="U222" s="588"/>
      <c r="V222" s="616"/>
      <c r="W222" s="617"/>
      <c r="X222" s="543"/>
    </row>
    <row r="223" spans="1:24" s="544" customFormat="1" x14ac:dyDescent="0.3">
      <c r="A223" s="618"/>
      <c r="B223" s="556" t="s">
        <v>145</v>
      </c>
      <c r="C223" s="598"/>
      <c r="D223" s="598"/>
      <c r="E223" s="598"/>
      <c r="F223" s="556"/>
      <c r="G223" s="556"/>
      <c r="H223" s="562"/>
      <c r="I223" s="562"/>
      <c r="J223" s="562"/>
      <c r="K223" s="562"/>
      <c r="L223" s="562"/>
      <c r="M223" s="562"/>
      <c r="N223" s="562"/>
      <c r="O223" s="562"/>
      <c r="P223" s="562"/>
      <c r="Q223" s="562"/>
      <c r="R223" s="562"/>
      <c r="S223" s="619">
        <f>+R275</f>
        <v>114</v>
      </c>
      <c r="T223" s="620">
        <f>+T275</f>
        <v>16272</v>
      </c>
      <c r="U223" s="556"/>
      <c r="V223" s="621"/>
      <c r="W223" s="622"/>
      <c r="X223" s="543"/>
    </row>
    <row r="224" spans="1:24" s="544" customFormat="1" x14ac:dyDescent="0.3">
      <c r="A224" s="618"/>
      <c r="B224" s="556" t="s">
        <v>81</v>
      </c>
      <c r="C224" s="598"/>
      <c r="D224" s="598"/>
      <c r="E224" s="598"/>
      <c r="F224" s="556"/>
      <c r="G224" s="556"/>
      <c r="H224" s="562"/>
      <c r="I224" s="562"/>
      <c r="J224" s="562"/>
      <c r="K224" s="562"/>
      <c r="L224" s="562"/>
      <c r="M224" s="562"/>
      <c r="N224" s="562"/>
      <c r="O224" s="562"/>
      <c r="P224" s="562"/>
      <c r="Q224" s="562"/>
      <c r="R224" s="562"/>
      <c r="S224" s="619">
        <f>+R287</f>
        <v>0</v>
      </c>
      <c r="T224" s="620">
        <f>+T287</f>
        <v>0</v>
      </c>
      <c r="U224" s="556"/>
      <c r="V224" s="621"/>
      <c r="W224" s="622"/>
      <c r="X224" s="543"/>
    </row>
    <row r="225" spans="1:24" x14ac:dyDescent="0.3">
      <c r="A225" s="466"/>
      <c r="B225" s="493" t="s">
        <v>82</v>
      </c>
      <c r="C225" s="467"/>
      <c r="D225" s="467"/>
      <c r="E225" s="467"/>
      <c r="F225" s="434"/>
      <c r="G225" s="434"/>
      <c r="H225" s="434"/>
      <c r="I225" s="434"/>
      <c r="J225" s="434"/>
      <c r="K225" s="434"/>
      <c r="L225" s="434"/>
      <c r="M225" s="434"/>
      <c r="N225" s="434"/>
      <c r="O225" s="434"/>
      <c r="P225" s="434"/>
      <c r="Q225" s="434"/>
      <c r="R225" s="434"/>
      <c r="S225" s="434"/>
      <c r="T225" s="620">
        <v>0</v>
      </c>
      <c r="U225" s="434"/>
      <c r="V225" s="468"/>
      <c r="W225" s="469"/>
      <c r="X225" s="415"/>
    </row>
    <row r="226" spans="1:24" x14ac:dyDescent="0.3">
      <c r="A226" s="466"/>
      <c r="B226" s="493" t="s">
        <v>243</v>
      </c>
      <c r="C226" s="467"/>
      <c r="D226" s="467"/>
      <c r="E226" s="467"/>
      <c r="F226" s="434"/>
      <c r="G226" s="434"/>
      <c r="H226" s="434"/>
      <c r="I226" s="434"/>
      <c r="J226" s="434"/>
      <c r="K226" s="434"/>
      <c r="L226" s="434"/>
      <c r="M226" s="434"/>
      <c r="N226" s="434"/>
      <c r="O226" s="434"/>
      <c r="P226" s="434"/>
      <c r="Q226" s="434"/>
      <c r="R226" s="434"/>
      <c r="S226" s="434"/>
      <c r="T226" s="620">
        <f>+N80</f>
        <v>0</v>
      </c>
      <c r="U226" s="434"/>
      <c r="V226" s="468"/>
      <c r="W226" s="469"/>
      <c r="X226" s="415"/>
    </row>
    <row r="227" spans="1:24" x14ac:dyDescent="0.3">
      <c r="A227" s="470"/>
      <c r="B227" s="493" t="s">
        <v>83</v>
      </c>
      <c r="C227" s="471"/>
      <c r="D227" s="471"/>
      <c r="E227" s="471"/>
      <c r="F227" s="471"/>
      <c r="G227" s="434"/>
      <c r="H227" s="434"/>
      <c r="I227" s="434"/>
      <c r="J227" s="434"/>
      <c r="K227" s="434"/>
      <c r="L227" s="434"/>
      <c r="M227" s="434"/>
      <c r="N227" s="434"/>
      <c r="O227" s="434"/>
      <c r="P227" s="434"/>
      <c r="Q227" s="434"/>
      <c r="R227" s="434"/>
      <c r="S227" s="434"/>
      <c r="T227" s="472"/>
      <c r="U227" s="434"/>
      <c r="V227" s="468"/>
      <c r="W227" s="473"/>
      <c r="X227" s="415"/>
    </row>
    <row r="228" spans="1:24" s="544" customFormat="1" x14ac:dyDescent="0.3">
      <c r="A228" s="623"/>
      <c r="B228" s="556" t="s">
        <v>84</v>
      </c>
      <c r="C228" s="556"/>
      <c r="D228" s="556"/>
      <c r="E228" s="556"/>
      <c r="F228" s="556"/>
      <c r="G228" s="556"/>
      <c r="H228" s="556"/>
      <c r="I228" s="556"/>
      <c r="J228" s="556"/>
      <c r="K228" s="556"/>
      <c r="L228" s="556"/>
      <c r="M228" s="556"/>
      <c r="N228" s="556"/>
      <c r="O228" s="556"/>
      <c r="P228" s="556"/>
      <c r="Q228" s="556"/>
      <c r="R228" s="556"/>
      <c r="S228" s="562"/>
      <c r="T228" s="620">
        <f>V166</f>
        <v>25</v>
      </c>
      <c r="U228" s="556"/>
      <c r="V228" s="621"/>
      <c r="W228" s="624"/>
      <c r="X228" s="543"/>
    </row>
    <row r="229" spans="1:24" s="544" customFormat="1" x14ac:dyDescent="0.3">
      <c r="A229" s="618"/>
      <c r="B229" s="556" t="s">
        <v>85</v>
      </c>
      <c r="C229" s="598"/>
      <c r="D229" s="598"/>
      <c r="E229" s="598"/>
      <c r="F229" s="598"/>
      <c r="G229" s="556"/>
      <c r="H229" s="556"/>
      <c r="I229" s="556"/>
      <c r="J229" s="556"/>
      <c r="K229" s="556"/>
      <c r="L229" s="556"/>
      <c r="M229" s="556"/>
      <c r="N229" s="556"/>
      <c r="O229" s="556"/>
      <c r="P229" s="556"/>
      <c r="Q229" s="556"/>
      <c r="R229" s="556"/>
      <c r="S229" s="562"/>
      <c r="T229" s="620">
        <f>'Aug 18'!T229+T228</f>
        <v>8397</v>
      </c>
      <c r="U229" s="556"/>
      <c r="V229" s="621"/>
      <c r="W229" s="624"/>
      <c r="X229" s="543"/>
    </row>
    <row r="230" spans="1:24" x14ac:dyDescent="0.3">
      <c r="A230" s="470"/>
      <c r="B230" s="493" t="s">
        <v>295</v>
      </c>
      <c r="C230" s="471"/>
      <c r="D230" s="471"/>
      <c r="E230" s="471"/>
      <c r="F230" s="471"/>
      <c r="G230" s="434"/>
      <c r="H230" s="434"/>
      <c r="I230" s="434"/>
      <c r="J230" s="434"/>
      <c r="K230" s="434"/>
      <c r="L230" s="434"/>
      <c r="M230" s="434"/>
      <c r="N230" s="434"/>
      <c r="O230" s="434"/>
      <c r="P230" s="434"/>
      <c r="Q230" s="434"/>
      <c r="R230" s="434"/>
      <c r="S230" s="435"/>
      <c r="T230" s="472"/>
      <c r="U230" s="434"/>
      <c r="V230" s="468"/>
      <c r="W230" s="473"/>
      <c r="X230" s="415"/>
    </row>
    <row r="231" spans="1:24" s="544" customFormat="1" x14ac:dyDescent="0.3">
      <c r="A231" s="623"/>
      <c r="B231" s="556" t="s">
        <v>291</v>
      </c>
      <c r="C231" s="556"/>
      <c r="D231" s="556"/>
      <c r="E231" s="556"/>
      <c r="F231" s="556"/>
      <c r="G231" s="556"/>
      <c r="H231" s="556"/>
      <c r="I231" s="556"/>
      <c r="J231" s="556"/>
      <c r="K231" s="556"/>
      <c r="L231" s="556"/>
      <c r="M231" s="556"/>
      <c r="N231" s="556"/>
      <c r="O231" s="556"/>
      <c r="P231" s="556"/>
      <c r="Q231" s="556"/>
      <c r="R231" s="556"/>
      <c r="S231" s="562">
        <v>0</v>
      </c>
      <c r="T231" s="620">
        <v>0</v>
      </c>
      <c r="U231" s="556"/>
      <c r="V231" s="621"/>
      <c r="W231" s="624"/>
      <c r="X231" s="543"/>
    </row>
    <row r="232" spans="1:24" s="544" customFormat="1" x14ac:dyDescent="0.3">
      <c r="A232" s="618"/>
      <c r="B232" s="556" t="s">
        <v>86</v>
      </c>
      <c r="C232" s="578"/>
      <c r="D232" s="578"/>
      <c r="E232" s="578"/>
      <c r="F232" s="625"/>
      <c r="G232" s="556"/>
      <c r="H232" s="556"/>
      <c r="I232" s="556"/>
      <c r="J232" s="556"/>
      <c r="K232" s="556"/>
      <c r="L232" s="556"/>
      <c r="M232" s="556"/>
      <c r="N232" s="556"/>
      <c r="O232" s="556"/>
      <c r="P232" s="556"/>
      <c r="Q232" s="556"/>
      <c r="R232" s="556"/>
      <c r="S232" s="556"/>
      <c r="T232" s="626">
        <v>0</v>
      </c>
      <c r="U232" s="556"/>
      <c r="V232" s="621"/>
      <c r="W232" s="624"/>
      <c r="X232" s="543"/>
    </row>
    <row r="233" spans="1:24" s="544" customFormat="1" x14ac:dyDescent="0.3">
      <c r="A233" s="618"/>
      <c r="B233" s="556" t="s">
        <v>87</v>
      </c>
      <c r="C233" s="578"/>
      <c r="D233" s="578"/>
      <c r="E233" s="578"/>
      <c r="F233" s="625"/>
      <c r="G233" s="556"/>
      <c r="H233" s="556"/>
      <c r="I233" s="556"/>
      <c r="J233" s="556"/>
      <c r="K233" s="556"/>
      <c r="L233" s="556"/>
      <c r="M233" s="556"/>
      <c r="N233" s="556"/>
      <c r="O233" s="556"/>
      <c r="P233" s="556"/>
      <c r="Q233" s="556"/>
      <c r="R233" s="556"/>
      <c r="S233" s="556"/>
      <c r="T233" s="626">
        <v>0</v>
      </c>
      <c r="U233" s="556"/>
      <c r="V233" s="621"/>
      <c r="W233" s="624"/>
      <c r="X233" s="543"/>
    </row>
    <row r="234" spans="1:24" x14ac:dyDescent="0.3">
      <c r="A234" s="466"/>
      <c r="B234" s="493" t="s">
        <v>217</v>
      </c>
      <c r="C234" s="474"/>
      <c r="D234" s="474"/>
      <c r="E234" s="474"/>
      <c r="F234" s="475"/>
      <c r="G234" s="434"/>
      <c r="H234" s="434"/>
      <c r="I234" s="434"/>
      <c r="J234" s="434"/>
      <c r="K234" s="434"/>
      <c r="L234" s="434"/>
      <c r="M234" s="434"/>
      <c r="N234" s="434"/>
      <c r="O234" s="434"/>
      <c r="P234" s="434"/>
      <c r="Q234" s="434"/>
      <c r="R234" s="434"/>
      <c r="S234" s="434"/>
      <c r="T234" s="476"/>
      <c r="U234" s="434"/>
      <c r="V234" s="468"/>
      <c r="W234" s="473"/>
      <c r="X234" s="415"/>
    </row>
    <row r="235" spans="1:24" s="544" customFormat="1" x14ac:dyDescent="0.3">
      <c r="A235" s="618"/>
      <c r="B235" s="556" t="s">
        <v>291</v>
      </c>
      <c r="C235" s="578"/>
      <c r="D235" s="578"/>
      <c r="E235" s="578"/>
      <c r="F235" s="625"/>
      <c r="G235" s="556"/>
      <c r="H235" s="556"/>
      <c r="I235" s="556"/>
      <c r="J235" s="556"/>
      <c r="K235" s="556"/>
      <c r="L235" s="556"/>
      <c r="M235" s="556"/>
      <c r="N235" s="556"/>
      <c r="O235" s="556"/>
      <c r="P235" s="556"/>
      <c r="Q235" s="556"/>
      <c r="R235" s="556"/>
      <c r="S235" s="562">
        <v>4</v>
      </c>
      <c r="T235" s="620">
        <v>341</v>
      </c>
      <c r="U235" s="556"/>
      <c r="V235" s="621"/>
      <c r="W235" s="624"/>
      <c r="X235" s="543"/>
    </row>
    <row r="236" spans="1:24" s="544" customFormat="1" x14ac:dyDescent="0.3">
      <c r="A236" s="618"/>
      <c r="B236" s="556" t="s">
        <v>218</v>
      </c>
      <c r="C236" s="578"/>
      <c r="D236" s="578"/>
      <c r="E236" s="578"/>
      <c r="F236" s="625"/>
      <c r="G236" s="556"/>
      <c r="H236" s="556"/>
      <c r="I236" s="556"/>
      <c r="J236" s="556"/>
      <c r="K236" s="556"/>
      <c r="L236" s="556"/>
      <c r="M236" s="556"/>
      <c r="N236" s="556"/>
      <c r="O236" s="556"/>
      <c r="P236" s="556"/>
      <c r="Q236" s="556"/>
      <c r="R236" s="556"/>
      <c r="S236" s="556"/>
      <c r="T236" s="626">
        <v>6.55</v>
      </c>
      <c r="U236" s="556"/>
      <c r="V236" s="621"/>
      <c r="W236" s="624"/>
      <c r="X236" s="543"/>
    </row>
    <row r="237" spans="1:24" x14ac:dyDescent="0.3">
      <c r="A237" s="466"/>
      <c r="B237" s="471"/>
      <c r="C237" s="474"/>
      <c r="D237" s="474"/>
      <c r="E237" s="474"/>
      <c r="F237" s="475"/>
      <c r="G237" s="434"/>
      <c r="H237" s="434"/>
      <c r="I237" s="434"/>
      <c r="J237" s="434"/>
      <c r="K237" s="434"/>
      <c r="L237" s="434"/>
      <c r="M237" s="434"/>
      <c r="N237" s="434"/>
      <c r="O237" s="434"/>
      <c r="P237" s="434"/>
      <c r="Q237" s="434"/>
      <c r="R237" s="434"/>
      <c r="S237" s="434"/>
      <c r="T237" s="476"/>
      <c r="U237" s="434"/>
      <c r="V237" s="468"/>
      <c r="W237" s="473"/>
      <c r="X237" s="415"/>
    </row>
    <row r="238" spans="1:24" x14ac:dyDescent="0.3">
      <c r="A238" s="466"/>
      <c r="B238" s="471"/>
      <c r="C238" s="474"/>
      <c r="D238" s="474"/>
      <c r="E238" s="474"/>
      <c r="F238" s="475"/>
      <c r="G238" s="434"/>
      <c r="H238" s="434"/>
      <c r="I238" s="434"/>
      <c r="J238" s="434"/>
      <c r="K238" s="434"/>
      <c r="L238" s="434"/>
      <c r="M238" s="434"/>
      <c r="N238" s="434"/>
      <c r="O238" s="434"/>
      <c r="P238" s="434"/>
      <c r="Q238" s="434"/>
      <c r="R238" s="434"/>
      <c r="S238" s="434"/>
      <c r="T238" s="476"/>
      <c r="U238" s="434"/>
      <c r="V238" s="468"/>
      <c r="W238" s="473"/>
      <c r="X238" s="415"/>
    </row>
    <row r="239" spans="1:24" ht="18" x14ac:dyDescent="0.35">
      <c r="A239" s="466"/>
      <c r="B239" s="512" t="s">
        <v>168</v>
      </c>
      <c r="C239" s="474"/>
      <c r="D239" s="474"/>
      <c r="E239" s="474"/>
      <c r="F239" s="475"/>
      <c r="G239" s="434"/>
      <c r="H239" s="434"/>
      <c r="I239" s="434"/>
      <c r="J239" s="434"/>
      <c r="K239" s="434"/>
      <c r="L239" s="434"/>
      <c r="M239" s="434"/>
      <c r="N239" s="434"/>
      <c r="O239" s="434"/>
      <c r="P239" s="513" t="s">
        <v>371</v>
      </c>
      <c r="Q239" s="434"/>
      <c r="R239" s="434"/>
      <c r="S239" s="434"/>
      <c r="T239" s="476"/>
      <c r="U239" s="434"/>
      <c r="V239" s="468"/>
      <c r="W239" s="473"/>
      <c r="X239" s="415"/>
    </row>
    <row r="240" spans="1:24" x14ac:dyDescent="0.3">
      <c r="A240" s="477"/>
      <c r="B240" s="511"/>
      <c r="C240" s="478"/>
      <c r="D240" s="478"/>
      <c r="E240" s="478"/>
      <c r="F240" s="479"/>
      <c r="G240" s="441"/>
      <c r="H240" s="441"/>
      <c r="I240" s="441"/>
      <c r="J240" s="441"/>
      <c r="K240" s="441"/>
      <c r="L240" s="441"/>
      <c r="M240" s="441"/>
      <c r="N240" s="441"/>
      <c r="O240" s="441"/>
      <c r="P240" s="441"/>
      <c r="Q240" s="441"/>
      <c r="R240" s="441"/>
      <c r="S240" s="441"/>
      <c r="T240" s="480"/>
      <c r="U240" s="441"/>
      <c r="V240" s="481"/>
      <c r="W240" s="482"/>
      <c r="X240" s="415"/>
    </row>
    <row r="241" spans="1:25" x14ac:dyDescent="0.3">
      <c r="A241" s="515"/>
      <c r="B241" s="523" t="s">
        <v>308</v>
      </c>
      <c r="C241" s="524"/>
      <c r="D241" s="524"/>
      <c r="E241" s="524"/>
      <c r="F241" s="534"/>
      <c r="G241" s="524"/>
      <c r="H241" s="524"/>
      <c r="I241" s="524"/>
      <c r="J241" s="524"/>
      <c r="K241" s="524"/>
      <c r="L241" s="524"/>
      <c r="M241" s="524"/>
      <c r="N241" s="524"/>
      <c r="O241" s="524"/>
      <c r="P241" s="524"/>
      <c r="Q241" s="524"/>
      <c r="R241" s="534" t="s">
        <v>102</v>
      </c>
      <c r="S241" s="524" t="s">
        <v>103</v>
      </c>
      <c r="T241" s="534" t="s">
        <v>109</v>
      </c>
      <c r="U241" s="524" t="s">
        <v>103</v>
      </c>
      <c r="V241" s="517"/>
      <c r="W241" s="535"/>
      <c r="X241" s="415"/>
    </row>
    <row r="242" spans="1:25" s="544" customFormat="1" x14ac:dyDescent="0.3">
      <c r="A242" s="540"/>
      <c r="B242" s="600" t="s">
        <v>88</v>
      </c>
      <c r="C242" s="627"/>
      <c r="D242" s="627"/>
      <c r="E242" s="627"/>
      <c r="F242" s="588"/>
      <c r="G242" s="627"/>
      <c r="H242" s="627"/>
      <c r="I242" s="627"/>
      <c r="J242" s="627"/>
      <c r="K242" s="627"/>
      <c r="L242" s="627"/>
      <c r="M242" s="627"/>
      <c r="N242" s="627"/>
      <c r="O242" s="627"/>
      <c r="P242" s="627"/>
      <c r="Q242" s="627"/>
      <c r="R242" s="600">
        <f t="shared" ref="R242:R249" si="1">+R254+R266+R278</f>
        <v>5851</v>
      </c>
      <c r="S242" s="628">
        <f t="shared" ref="S242:S249" si="2">R242/$R$251</f>
        <v>0.99676320272572405</v>
      </c>
      <c r="T242" s="601">
        <f t="shared" ref="T242:T249" si="3">+T254+T266+T278</f>
        <v>799395</v>
      </c>
      <c r="U242" s="628">
        <f t="shared" ref="U242:U249" si="4">T242/$T$251</f>
        <v>0.99649715471731037</v>
      </c>
      <c r="V242" s="616"/>
      <c r="W242" s="629"/>
      <c r="X242" s="543"/>
    </row>
    <row r="243" spans="1:25" s="544" customFormat="1" x14ac:dyDescent="0.3">
      <c r="A243" s="555"/>
      <c r="B243" s="598" t="s">
        <v>89</v>
      </c>
      <c r="C243" s="630"/>
      <c r="D243" s="630"/>
      <c r="E243" s="630"/>
      <c r="F243" s="556"/>
      <c r="G243" s="631"/>
      <c r="H243" s="630"/>
      <c r="I243" s="630"/>
      <c r="J243" s="630"/>
      <c r="K243" s="630"/>
      <c r="L243" s="630"/>
      <c r="M243" s="630"/>
      <c r="N243" s="630"/>
      <c r="O243" s="630"/>
      <c r="P243" s="630"/>
      <c r="Q243" s="630"/>
      <c r="R243" s="598">
        <f t="shared" si="1"/>
        <v>11</v>
      </c>
      <c r="S243" s="631">
        <f t="shared" si="2"/>
        <v>1.8739352640545145E-3</v>
      </c>
      <c r="T243" s="599">
        <f t="shared" si="3"/>
        <v>1778</v>
      </c>
      <c r="U243" s="631">
        <f t="shared" si="4"/>
        <v>2.2163910721075038E-3</v>
      </c>
      <c r="V243" s="621"/>
      <c r="W243" s="624"/>
      <c r="X243" s="543"/>
      <c r="Y243" s="604"/>
    </row>
    <row r="244" spans="1:25" s="544" customFormat="1" x14ac:dyDescent="0.3">
      <c r="A244" s="555"/>
      <c r="B244" s="598" t="s">
        <v>90</v>
      </c>
      <c r="C244" s="630"/>
      <c r="D244" s="630"/>
      <c r="E244" s="630"/>
      <c r="F244" s="556"/>
      <c r="G244" s="631"/>
      <c r="H244" s="630"/>
      <c r="I244" s="630"/>
      <c r="J244" s="630"/>
      <c r="K244" s="630"/>
      <c r="L244" s="630"/>
      <c r="M244" s="630"/>
      <c r="N244" s="630"/>
      <c r="O244" s="630"/>
      <c r="P244" s="630"/>
      <c r="Q244" s="630"/>
      <c r="R244" s="598">
        <f t="shared" si="1"/>
        <v>1</v>
      </c>
      <c r="S244" s="631">
        <f t="shared" si="2"/>
        <v>1.7035775127768313E-4</v>
      </c>
      <c r="T244" s="599">
        <f t="shared" si="3"/>
        <v>94</v>
      </c>
      <c r="U244" s="631">
        <f t="shared" si="4"/>
        <v>1.1717703080883315E-4</v>
      </c>
      <c r="V244" s="621"/>
      <c r="W244" s="624"/>
      <c r="X244" s="543"/>
    </row>
    <row r="245" spans="1:25" s="544" customFormat="1" x14ac:dyDescent="0.3">
      <c r="A245" s="555"/>
      <c r="B245" s="598" t="s">
        <v>156</v>
      </c>
      <c r="C245" s="630"/>
      <c r="D245" s="630"/>
      <c r="E245" s="630"/>
      <c r="F245" s="556"/>
      <c r="G245" s="631"/>
      <c r="H245" s="630"/>
      <c r="I245" s="630"/>
      <c r="J245" s="630"/>
      <c r="K245" s="630"/>
      <c r="L245" s="630"/>
      <c r="M245" s="630"/>
      <c r="N245" s="630"/>
      <c r="O245" s="630"/>
      <c r="P245" s="630"/>
      <c r="Q245" s="630"/>
      <c r="R245" s="598">
        <f t="shared" si="1"/>
        <v>0</v>
      </c>
      <c r="S245" s="631">
        <f t="shared" si="2"/>
        <v>0</v>
      </c>
      <c r="T245" s="599">
        <f t="shared" si="3"/>
        <v>0</v>
      </c>
      <c r="U245" s="631">
        <f t="shared" si="4"/>
        <v>0</v>
      </c>
      <c r="V245" s="621"/>
      <c r="W245" s="624"/>
      <c r="X245" s="543"/>
      <c r="Y245" s="604"/>
    </row>
    <row r="246" spans="1:25" s="544" customFormat="1" x14ac:dyDescent="0.3">
      <c r="A246" s="555"/>
      <c r="B246" s="598" t="s">
        <v>157</v>
      </c>
      <c r="C246" s="630"/>
      <c r="D246" s="630"/>
      <c r="E246" s="630"/>
      <c r="F246" s="556"/>
      <c r="G246" s="631"/>
      <c r="H246" s="630"/>
      <c r="I246" s="630"/>
      <c r="J246" s="630"/>
      <c r="K246" s="630"/>
      <c r="L246" s="630"/>
      <c r="M246" s="630"/>
      <c r="N246" s="630"/>
      <c r="O246" s="630"/>
      <c r="P246" s="630"/>
      <c r="Q246" s="630"/>
      <c r="R246" s="598">
        <f t="shared" si="1"/>
        <v>1</v>
      </c>
      <c r="S246" s="631">
        <f t="shared" si="2"/>
        <v>1.7035775127768313E-4</v>
      </c>
      <c r="T246" s="599">
        <f t="shared" si="3"/>
        <v>155</v>
      </c>
      <c r="U246" s="631">
        <f t="shared" si="4"/>
        <v>1.9321744441882062E-4</v>
      </c>
      <c r="V246" s="621"/>
      <c r="W246" s="624"/>
      <c r="X246" s="543"/>
    </row>
    <row r="247" spans="1:25" s="544" customFormat="1" x14ac:dyDescent="0.3">
      <c r="A247" s="555"/>
      <c r="B247" s="598" t="s">
        <v>158</v>
      </c>
      <c r="C247" s="630"/>
      <c r="D247" s="630"/>
      <c r="E247" s="630"/>
      <c r="F247" s="556"/>
      <c r="G247" s="631"/>
      <c r="H247" s="630"/>
      <c r="I247" s="630"/>
      <c r="J247" s="630"/>
      <c r="K247" s="630"/>
      <c r="L247" s="630"/>
      <c r="M247" s="630"/>
      <c r="N247" s="630"/>
      <c r="O247" s="630"/>
      <c r="P247" s="630"/>
      <c r="Q247" s="630"/>
      <c r="R247" s="598">
        <f t="shared" si="1"/>
        <v>1</v>
      </c>
      <c r="S247" s="631">
        <f t="shared" si="2"/>
        <v>1.7035775127768313E-4</v>
      </c>
      <c r="T247" s="599">
        <f t="shared" si="3"/>
        <v>125</v>
      </c>
      <c r="U247" s="631">
        <f t="shared" si="4"/>
        <v>1.5582051969259729E-4</v>
      </c>
      <c r="V247" s="621"/>
      <c r="W247" s="624"/>
      <c r="X247" s="543"/>
      <c r="Y247" s="604"/>
    </row>
    <row r="248" spans="1:25" s="544" customFormat="1" x14ac:dyDescent="0.3">
      <c r="A248" s="555"/>
      <c r="B248" s="598" t="s">
        <v>159</v>
      </c>
      <c r="C248" s="630"/>
      <c r="D248" s="630"/>
      <c r="E248" s="630"/>
      <c r="F248" s="556"/>
      <c r="G248" s="631"/>
      <c r="H248" s="630"/>
      <c r="I248" s="630"/>
      <c r="J248" s="630"/>
      <c r="K248" s="630"/>
      <c r="L248" s="630"/>
      <c r="M248" s="630"/>
      <c r="N248" s="630"/>
      <c r="O248" s="630"/>
      <c r="P248" s="630"/>
      <c r="Q248" s="630"/>
      <c r="R248" s="598">
        <f t="shared" si="1"/>
        <v>4</v>
      </c>
      <c r="S248" s="631">
        <f t="shared" si="2"/>
        <v>6.814310051107325E-4</v>
      </c>
      <c r="T248" s="599">
        <f t="shared" si="3"/>
        <v>441</v>
      </c>
      <c r="U248" s="631">
        <f t="shared" si="4"/>
        <v>5.497347934754832E-4</v>
      </c>
      <c r="V248" s="621"/>
      <c r="W248" s="624"/>
      <c r="X248" s="543"/>
    </row>
    <row r="249" spans="1:25" s="544" customFormat="1" x14ac:dyDescent="0.3">
      <c r="A249" s="555"/>
      <c r="B249" s="598" t="s">
        <v>160</v>
      </c>
      <c r="C249" s="630"/>
      <c r="D249" s="630"/>
      <c r="E249" s="630"/>
      <c r="F249" s="556"/>
      <c r="G249" s="631"/>
      <c r="H249" s="630"/>
      <c r="I249" s="630"/>
      <c r="J249" s="630"/>
      <c r="K249" s="630"/>
      <c r="L249" s="630"/>
      <c r="M249" s="630"/>
      <c r="N249" s="630"/>
      <c r="O249" s="630"/>
      <c r="P249" s="630"/>
      <c r="Q249" s="630"/>
      <c r="R249" s="600">
        <f t="shared" si="1"/>
        <v>1</v>
      </c>
      <c r="S249" s="628">
        <f t="shared" si="2"/>
        <v>1.7035775127768313E-4</v>
      </c>
      <c r="T249" s="601">
        <f t="shared" si="3"/>
        <v>217</v>
      </c>
      <c r="U249" s="628">
        <f t="shared" si="4"/>
        <v>2.7050442218634889E-4</v>
      </c>
      <c r="V249" s="621"/>
      <c r="W249" s="624"/>
      <c r="X249" s="543"/>
      <c r="Y249" s="604"/>
    </row>
    <row r="250" spans="1:25" s="544" customFormat="1" x14ac:dyDescent="0.3">
      <c r="A250" s="555"/>
      <c r="B250" s="598"/>
      <c r="C250" s="630"/>
      <c r="D250" s="630"/>
      <c r="E250" s="630"/>
      <c r="F250" s="556"/>
      <c r="G250" s="631"/>
      <c r="H250" s="630"/>
      <c r="I250" s="630"/>
      <c r="J250" s="630"/>
      <c r="K250" s="630"/>
      <c r="L250" s="630"/>
      <c r="M250" s="630"/>
      <c r="N250" s="630"/>
      <c r="O250" s="630"/>
      <c r="P250" s="630"/>
      <c r="Q250" s="630"/>
      <c r="R250" s="598"/>
      <c r="S250" s="631"/>
      <c r="T250" s="599"/>
      <c r="U250" s="631"/>
      <c r="V250" s="621"/>
      <c r="W250" s="624"/>
      <c r="X250" s="543"/>
    </row>
    <row r="251" spans="1:25" s="544" customFormat="1" x14ac:dyDescent="0.3">
      <c r="A251" s="555"/>
      <c r="B251" s="556"/>
      <c r="C251" s="556"/>
      <c r="D251" s="556"/>
      <c r="E251" s="556"/>
      <c r="F251" s="556"/>
      <c r="G251" s="556"/>
      <c r="H251" s="632"/>
      <c r="I251" s="632"/>
      <c r="J251" s="632"/>
      <c r="K251" s="632"/>
      <c r="L251" s="632"/>
      <c r="M251" s="632"/>
      <c r="N251" s="632"/>
      <c r="O251" s="632"/>
      <c r="P251" s="632"/>
      <c r="Q251" s="632"/>
      <c r="R251" s="598">
        <f>SUM(R242:R250)</f>
        <v>5870</v>
      </c>
      <c r="S251" s="631">
        <f>SUM(S242:S250)</f>
        <v>1.0000000000000002</v>
      </c>
      <c r="T251" s="599">
        <f>SUM(T242:T250)</f>
        <v>802205</v>
      </c>
      <c r="U251" s="631">
        <f>SUM(U242:U250)</f>
        <v>1</v>
      </c>
      <c r="V251" s="556"/>
      <c r="W251" s="558"/>
      <c r="X251" s="543"/>
    </row>
    <row r="252" spans="1:25" x14ac:dyDescent="0.3">
      <c r="A252" s="417"/>
      <c r="B252" s="441"/>
      <c r="C252" s="441"/>
      <c r="D252" s="441"/>
      <c r="E252" s="441"/>
      <c r="F252" s="441"/>
      <c r="G252" s="441"/>
      <c r="H252" s="485"/>
      <c r="I252" s="485"/>
      <c r="J252" s="485"/>
      <c r="K252" s="485"/>
      <c r="L252" s="485"/>
      <c r="M252" s="485"/>
      <c r="N252" s="485"/>
      <c r="O252" s="485"/>
      <c r="P252" s="485"/>
      <c r="Q252" s="485"/>
      <c r="R252" s="442"/>
      <c r="S252" s="486"/>
      <c r="T252" s="487"/>
      <c r="U252" s="486"/>
      <c r="V252" s="441"/>
      <c r="W252" s="441"/>
      <c r="X252" s="415"/>
    </row>
    <row r="253" spans="1:25" x14ac:dyDescent="0.3">
      <c r="A253" s="515"/>
      <c r="B253" s="523" t="s">
        <v>162</v>
      </c>
      <c r="C253" s="524"/>
      <c r="D253" s="524"/>
      <c r="E253" s="524"/>
      <c r="F253" s="534"/>
      <c r="G253" s="524"/>
      <c r="H253" s="524"/>
      <c r="I253" s="524"/>
      <c r="J253" s="524"/>
      <c r="K253" s="524"/>
      <c r="L253" s="524"/>
      <c r="M253" s="524"/>
      <c r="N253" s="524"/>
      <c r="O253" s="524"/>
      <c r="P253" s="524"/>
      <c r="Q253" s="524"/>
      <c r="R253" s="534" t="s">
        <v>102</v>
      </c>
      <c r="S253" s="524" t="s">
        <v>103</v>
      </c>
      <c r="T253" s="534" t="s">
        <v>109</v>
      </c>
      <c r="U253" s="524" t="s">
        <v>103</v>
      </c>
      <c r="V253" s="517"/>
      <c r="W253" s="535"/>
      <c r="X253" s="415"/>
    </row>
    <row r="254" spans="1:25" s="544" customFormat="1" x14ac:dyDescent="0.3">
      <c r="A254" s="540"/>
      <c r="B254" s="600" t="s">
        <v>88</v>
      </c>
      <c r="C254" s="627"/>
      <c r="D254" s="627"/>
      <c r="E254" s="627"/>
      <c r="F254" s="588"/>
      <c r="G254" s="627"/>
      <c r="H254" s="627"/>
      <c r="I254" s="627"/>
      <c r="J254" s="627"/>
      <c r="K254" s="627"/>
      <c r="L254" s="627"/>
      <c r="M254" s="627"/>
      <c r="N254" s="627"/>
      <c r="O254" s="627"/>
      <c r="P254" s="627"/>
      <c r="Q254" s="627"/>
      <c r="R254" s="600">
        <v>5745</v>
      </c>
      <c r="S254" s="628">
        <f t="shared" ref="S254:S261" si="5">R254/$R$263</f>
        <v>0.99808895066018066</v>
      </c>
      <c r="T254" s="601">
        <v>784259</v>
      </c>
      <c r="U254" s="628">
        <f t="shared" ref="U254:U261" si="6">T254/$T$263</f>
        <v>0.99787004744679253</v>
      </c>
      <c r="V254" s="616"/>
      <c r="W254" s="629"/>
      <c r="X254" s="543"/>
    </row>
    <row r="255" spans="1:25" s="544" customFormat="1" x14ac:dyDescent="0.3">
      <c r="A255" s="555"/>
      <c r="B255" s="598" t="s">
        <v>89</v>
      </c>
      <c r="C255" s="630"/>
      <c r="D255" s="630"/>
      <c r="E255" s="630"/>
      <c r="F255" s="556"/>
      <c r="G255" s="631"/>
      <c r="H255" s="630"/>
      <c r="I255" s="630"/>
      <c r="J255" s="630"/>
      <c r="K255" s="630"/>
      <c r="L255" s="630"/>
      <c r="M255" s="630"/>
      <c r="N255" s="630"/>
      <c r="O255" s="630"/>
      <c r="P255" s="630"/>
      <c r="Q255" s="630"/>
      <c r="R255" s="598">
        <v>9</v>
      </c>
      <c r="S255" s="631">
        <f t="shared" si="5"/>
        <v>1.5635858234885338E-3</v>
      </c>
      <c r="T255" s="599">
        <v>1503</v>
      </c>
      <c r="U255" s="631">
        <f t="shared" si="6"/>
        <v>1.9123767547615381E-3</v>
      </c>
      <c r="V255" s="621"/>
      <c r="W255" s="624"/>
      <c r="X255" s="543"/>
      <c r="Y255" s="604"/>
    </row>
    <row r="256" spans="1:25" s="544" customFormat="1" x14ac:dyDescent="0.3">
      <c r="A256" s="555"/>
      <c r="B256" s="598" t="s">
        <v>90</v>
      </c>
      <c r="C256" s="630"/>
      <c r="D256" s="630"/>
      <c r="E256" s="630"/>
      <c r="F256" s="556"/>
      <c r="G256" s="631"/>
      <c r="H256" s="630"/>
      <c r="I256" s="630"/>
      <c r="J256" s="630"/>
      <c r="K256" s="630"/>
      <c r="L256" s="630"/>
      <c r="M256" s="630"/>
      <c r="N256" s="630"/>
      <c r="O256" s="630"/>
      <c r="P256" s="630"/>
      <c r="Q256" s="630"/>
      <c r="R256" s="598">
        <v>1</v>
      </c>
      <c r="S256" s="631">
        <f t="shared" si="5"/>
        <v>1.7373175816539263E-4</v>
      </c>
      <c r="T256" s="599">
        <v>94</v>
      </c>
      <c r="U256" s="631">
        <f t="shared" si="6"/>
        <v>1.1960307049074158E-4</v>
      </c>
      <c r="V256" s="621"/>
      <c r="W256" s="624"/>
      <c r="X256" s="543"/>
    </row>
    <row r="257" spans="1:25" s="544" customFormat="1" x14ac:dyDescent="0.3">
      <c r="A257" s="555"/>
      <c r="B257" s="598" t="s">
        <v>156</v>
      </c>
      <c r="C257" s="630"/>
      <c r="D257" s="630"/>
      <c r="E257" s="630"/>
      <c r="F257" s="556"/>
      <c r="G257" s="631"/>
      <c r="H257" s="630"/>
      <c r="I257" s="630"/>
      <c r="J257" s="630"/>
      <c r="K257" s="630"/>
      <c r="L257" s="630"/>
      <c r="M257" s="630"/>
      <c r="N257" s="630"/>
      <c r="O257" s="630"/>
      <c r="P257" s="630"/>
      <c r="Q257" s="630"/>
      <c r="R257" s="598">
        <v>0</v>
      </c>
      <c r="S257" s="631">
        <f t="shared" si="5"/>
        <v>0</v>
      </c>
      <c r="T257" s="599">
        <v>0</v>
      </c>
      <c r="U257" s="631">
        <f t="shared" si="6"/>
        <v>0</v>
      </c>
      <c r="V257" s="621"/>
      <c r="W257" s="624"/>
      <c r="X257" s="543"/>
      <c r="Y257" s="604"/>
    </row>
    <row r="258" spans="1:25" s="544" customFormat="1" x14ac:dyDescent="0.3">
      <c r="A258" s="555"/>
      <c r="B258" s="598" t="s">
        <v>157</v>
      </c>
      <c r="C258" s="630"/>
      <c r="D258" s="630"/>
      <c r="E258" s="630"/>
      <c r="F258" s="556"/>
      <c r="G258" s="631"/>
      <c r="H258" s="630"/>
      <c r="I258" s="630"/>
      <c r="J258" s="630"/>
      <c r="K258" s="630"/>
      <c r="L258" s="630"/>
      <c r="M258" s="630"/>
      <c r="N258" s="630"/>
      <c r="O258" s="630"/>
      <c r="P258" s="630"/>
      <c r="Q258" s="630"/>
      <c r="R258" s="598">
        <v>0</v>
      </c>
      <c r="S258" s="631">
        <f t="shared" si="5"/>
        <v>0</v>
      </c>
      <c r="T258" s="599">
        <v>0</v>
      </c>
      <c r="U258" s="631">
        <f t="shared" si="6"/>
        <v>0</v>
      </c>
      <c r="V258" s="621"/>
      <c r="W258" s="624"/>
      <c r="X258" s="543"/>
    </row>
    <row r="259" spans="1:25" s="544" customFormat="1" x14ac:dyDescent="0.3">
      <c r="A259" s="555"/>
      <c r="B259" s="598" t="s">
        <v>158</v>
      </c>
      <c r="C259" s="630"/>
      <c r="D259" s="630"/>
      <c r="E259" s="630"/>
      <c r="F259" s="556"/>
      <c r="G259" s="631"/>
      <c r="H259" s="630"/>
      <c r="I259" s="630"/>
      <c r="J259" s="630"/>
      <c r="K259" s="630"/>
      <c r="L259" s="630"/>
      <c r="M259" s="630"/>
      <c r="N259" s="630"/>
      <c r="O259" s="630"/>
      <c r="P259" s="630"/>
      <c r="Q259" s="630"/>
      <c r="R259" s="598">
        <v>0</v>
      </c>
      <c r="S259" s="631">
        <f t="shared" si="5"/>
        <v>0</v>
      </c>
      <c r="T259" s="599">
        <v>0</v>
      </c>
      <c r="U259" s="631">
        <f t="shared" si="6"/>
        <v>0</v>
      </c>
      <c r="V259" s="621"/>
      <c r="W259" s="624"/>
      <c r="X259" s="543"/>
      <c r="Y259" s="604"/>
    </row>
    <row r="260" spans="1:25" s="544" customFormat="1" x14ac:dyDescent="0.3">
      <c r="A260" s="555"/>
      <c r="B260" s="598" t="s">
        <v>159</v>
      </c>
      <c r="C260" s="630"/>
      <c r="D260" s="630"/>
      <c r="E260" s="630"/>
      <c r="F260" s="556"/>
      <c r="G260" s="631"/>
      <c r="H260" s="630"/>
      <c r="I260" s="630"/>
      <c r="J260" s="630"/>
      <c r="K260" s="630"/>
      <c r="L260" s="630"/>
      <c r="M260" s="630"/>
      <c r="N260" s="630"/>
      <c r="O260" s="630"/>
      <c r="P260" s="630"/>
      <c r="Q260" s="630"/>
      <c r="R260" s="598">
        <v>1</v>
      </c>
      <c r="S260" s="631">
        <f t="shared" si="5"/>
        <v>1.7373175816539263E-4</v>
      </c>
      <c r="T260" s="599">
        <v>77</v>
      </c>
      <c r="U260" s="631">
        <f t="shared" si="6"/>
        <v>9.7972727955181936E-5</v>
      </c>
      <c r="V260" s="621"/>
      <c r="W260" s="624"/>
      <c r="X260" s="543"/>
    </row>
    <row r="261" spans="1:25" s="544" customFormat="1" x14ac:dyDescent="0.3">
      <c r="A261" s="555"/>
      <c r="B261" s="598" t="s">
        <v>160</v>
      </c>
      <c r="C261" s="630"/>
      <c r="D261" s="630"/>
      <c r="E261" s="630"/>
      <c r="F261" s="556"/>
      <c r="G261" s="631"/>
      <c r="H261" s="630"/>
      <c r="I261" s="630"/>
      <c r="J261" s="630"/>
      <c r="K261" s="630"/>
      <c r="L261" s="630"/>
      <c r="M261" s="630"/>
      <c r="N261" s="630"/>
      <c r="O261" s="630"/>
      <c r="P261" s="630"/>
      <c r="Q261" s="630"/>
      <c r="R261" s="598">
        <v>0</v>
      </c>
      <c r="S261" s="631">
        <f t="shared" si="5"/>
        <v>0</v>
      </c>
      <c r="T261" s="599">
        <v>0</v>
      </c>
      <c r="U261" s="631">
        <f t="shared" si="6"/>
        <v>0</v>
      </c>
      <c r="V261" s="621"/>
      <c r="W261" s="624"/>
      <c r="X261" s="543"/>
      <c r="Y261" s="604"/>
    </row>
    <row r="262" spans="1:25" s="544" customFormat="1" x14ac:dyDescent="0.3">
      <c r="A262" s="555"/>
      <c r="B262" s="598"/>
      <c r="C262" s="630"/>
      <c r="D262" s="630"/>
      <c r="E262" s="630"/>
      <c r="F262" s="556"/>
      <c r="G262" s="631"/>
      <c r="H262" s="630"/>
      <c r="I262" s="630"/>
      <c r="J262" s="630"/>
      <c r="K262" s="630"/>
      <c r="L262" s="630"/>
      <c r="M262" s="630"/>
      <c r="N262" s="630"/>
      <c r="O262" s="630"/>
      <c r="P262" s="630"/>
      <c r="Q262" s="630"/>
      <c r="R262" s="598"/>
      <c r="S262" s="631"/>
      <c r="T262" s="599"/>
      <c r="U262" s="631"/>
      <c r="V262" s="621"/>
      <c r="W262" s="624"/>
      <c r="X262" s="543"/>
    </row>
    <row r="263" spans="1:25" s="544" customFormat="1" x14ac:dyDescent="0.3">
      <c r="A263" s="555"/>
      <c r="B263" s="556"/>
      <c r="C263" s="556"/>
      <c r="D263" s="556"/>
      <c r="E263" s="556"/>
      <c r="F263" s="556"/>
      <c r="G263" s="556"/>
      <c r="H263" s="632"/>
      <c r="I263" s="632"/>
      <c r="J263" s="632"/>
      <c r="K263" s="632"/>
      <c r="L263" s="632"/>
      <c r="M263" s="632"/>
      <c r="N263" s="632"/>
      <c r="O263" s="632"/>
      <c r="P263" s="632"/>
      <c r="Q263" s="632"/>
      <c r="R263" s="598">
        <f>SUM(R254:R262)</f>
        <v>5756</v>
      </c>
      <c r="S263" s="631">
        <f>SUM(S254:S262)</f>
        <v>1</v>
      </c>
      <c r="T263" s="599">
        <f>SUM(T254:T262)</f>
        <v>785933</v>
      </c>
      <c r="U263" s="631">
        <f>SUM(U254:U262)</f>
        <v>1</v>
      </c>
      <c r="V263" s="556"/>
      <c r="W263" s="558"/>
      <c r="X263" s="543"/>
    </row>
    <row r="264" spans="1:25" x14ac:dyDescent="0.3">
      <c r="A264" s="417"/>
      <c r="B264" s="441"/>
      <c r="C264" s="441"/>
      <c r="D264" s="441"/>
      <c r="E264" s="441"/>
      <c r="F264" s="441"/>
      <c r="G264" s="441"/>
      <c r="H264" s="485"/>
      <c r="I264" s="485"/>
      <c r="J264" s="485"/>
      <c r="K264" s="485"/>
      <c r="L264" s="485"/>
      <c r="M264" s="485"/>
      <c r="N264" s="485"/>
      <c r="O264" s="485"/>
      <c r="P264" s="485"/>
      <c r="Q264" s="485"/>
      <c r="R264" s="442"/>
      <c r="S264" s="486"/>
      <c r="T264" s="487"/>
      <c r="U264" s="486"/>
      <c r="V264" s="441"/>
      <c r="W264" s="441"/>
      <c r="X264" s="415"/>
    </row>
    <row r="265" spans="1:25" x14ac:dyDescent="0.3">
      <c r="A265" s="515"/>
      <c r="B265" s="523" t="s">
        <v>275</v>
      </c>
      <c r="C265" s="524"/>
      <c r="D265" s="524"/>
      <c r="E265" s="524"/>
      <c r="F265" s="534"/>
      <c r="G265" s="524"/>
      <c r="H265" s="524"/>
      <c r="I265" s="524"/>
      <c r="J265" s="524"/>
      <c r="K265" s="524"/>
      <c r="L265" s="524"/>
      <c r="M265" s="524"/>
      <c r="N265" s="524"/>
      <c r="O265" s="524"/>
      <c r="P265" s="524"/>
      <c r="Q265" s="524"/>
      <c r="R265" s="534" t="s">
        <v>102</v>
      </c>
      <c r="S265" s="524" t="s">
        <v>103</v>
      </c>
      <c r="T265" s="534" t="s">
        <v>109</v>
      </c>
      <c r="U265" s="524" t="s">
        <v>103</v>
      </c>
      <c r="V265" s="517"/>
      <c r="W265" s="520"/>
      <c r="X265" s="415"/>
    </row>
    <row r="266" spans="1:25" s="544" customFormat="1" x14ac:dyDescent="0.3">
      <c r="A266" s="540"/>
      <c r="B266" s="600" t="s">
        <v>88</v>
      </c>
      <c r="C266" s="627"/>
      <c r="D266" s="627"/>
      <c r="E266" s="627"/>
      <c r="F266" s="588"/>
      <c r="G266" s="627"/>
      <c r="H266" s="627"/>
      <c r="I266" s="627"/>
      <c r="J266" s="627"/>
      <c r="K266" s="627"/>
      <c r="L266" s="627"/>
      <c r="M266" s="627"/>
      <c r="N266" s="627"/>
      <c r="O266" s="627"/>
      <c r="P266" s="627"/>
      <c r="Q266" s="627"/>
      <c r="R266" s="600">
        <v>106</v>
      </c>
      <c r="S266" s="628">
        <f t="shared" ref="S266:S273" si="7">R266/$R$275</f>
        <v>0.92982456140350878</v>
      </c>
      <c r="T266" s="601">
        <v>15136</v>
      </c>
      <c r="U266" s="628">
        <f t="shared" ref="U266:U273" si="8">T266/$T$275</f>
        <v>0.9301868239921337</v>
      </c>
      <c r="V266" s="588"/>
      <c r="W266" s="588"/>
      <c r="X266" s="543"/>
    </row>
    <row r="267" spans="1:25" s="544" customFormat="1" x14ac:dyDescent="0.3">
      <c r="A267" s="555"/>
      <c r="B267" s="598" t="s">
        <v>89</v>
      </c>
      <c r="C267" s="630"/>
      <c r="D267" s="630"/>
      <c r="E267" s="630"/>
      <c r="F267" s="556"/>
      <c r="G267" s="631"/>
      <c r="H267" s="630"/>
      <c r="I267" s="630"/>
      <c r="J267" s="630"/>
      <c r="K267" s="630"/>
      <c r="L267" s="630"/>
      <c r="M267" s="630"/>
      <c r="N267" s="630"/>
      <c r="O267" s="630"/>
      <c r="P267" s="630"/>
      <c r="Q267" s="630"/>
      <c r="R267" s="598">
        <v>2</v>
      </c>
      <c r="S267" s="631">
        <f t="shared" si="7"/>
        <v>1.7543859649122806E-2</v>
      </c>
      <c r="T267" s="599">
        <v>275</v>
      </c>
      <c r="U267" s="631">
        <f t="shared" si="8"/>
        <v>1.6900196656833826E-2</v>
      </c>
      <c r="V267" s="556"/>
      <c r="W267" s="558"/>
      <c r="X267" s="543"/>
    </row>
    <row r="268" spans="1:25" s="544" customFormat="1" x14ac:dyDescent="0.3">
      <c r="A268" s="555"/>
      <c r="B268" s="598" t="s">
        <v>90</v>
      </c>
      <c r="C268" s="630"/>
      <c r="D268" s="630"/>
      <c r="E268" s="630"/>
      <c r="F268" s="556"/>
      <c r="G268" s="631"/>
      <c r="H268" s="630"/>
      <c r="I268" s="630"/>
      <c r="J268" s="630"/>
      <c r="K268" s="630"/>
      <c r="L268" s="630"/>
      <c r="M268" s="630"/>
      <c r="N268" s="630"/>
      <c r="O268" s="630"/>
      <c r="P268" s="630"/>
      <c r="Q268" s="630"/>
      <c r="R268" s="598">
        <v>0</v>
      </c>
      <c r="S268" s="631">
        <f t="shared" si="7"/>
        <v>0</v>
      </c>
      <c r="T268" s="599">
        <v>0</v>
      </c>
      <c r="U268" s="631">
        <f t="shared" si="8"/>
        <v>0</v>
      </c>
      <c r="V268" s="556"/>
      <c r="W268" s="558"/>
      <c r="X268" s="543"/>
    </row>
    <row r="269" spans="1:25" s="544" customFormat="1" x14ac:dyDescent="0.3">
      <c r="A269" s="555"/>
      <c r="B269" s="598" t="s">
        <v>156</v>
      </c>
      <c r="C269" s="630"/>
      <c r="D269" s="630"/>
      <c r="E269" s="630"/>
      <c r="F269" s="556"/>
      <c r="G269" s="631"/>
      <c r="H269" s="630"/>
      <c r="I269" s="630"/>
      <c r="J269" s="630"/>
      <c r="K269" s="630"/>
      <c r="L269" s="630"/>
      <c r="M269" s="630"/>
      <c r="N269" s="630"/>
      <c r="O269" s="630"/>
      <c r="P269" s="630"/>
      <c r="Q269" s="630"/>
      <c r="R269" s="598">
        <v>0</v>
      </c>
      <c r="S269" s="631">
        <f t="shared" si="7"/>
        <v>0</v>
      </c>
      <c r="T269" s="599">
        <v>0</v>
      </c>
      <c r="U269" s="631">
        <f t="shared" si="8"/>
        <v>0</v>
      </c>
      <c r="V269" s="556"/>
      <c r="W269" s="558"/>
      <c r="X269" s="543"/>
    </row>
    <row r="270" spans="1:25" s="544" customFormat="1" x14ac:dyDescent="0.3">
      <c r="A270" s="555"/>
      <c r="B270" s="598" t="s">
        <v>157</v>
      </c>
      <c r="C270" s="630"/>
      <c r="D270" s="630"/>
      <c r="E270" s="630"/>
      <c r="F270" s="556"/>
      <c r="G270" s="631"/>
      <c r="H270" s="630"/>
      <c r="I270" s="630"/>
      <c r="J270" s="630"/>
      <c r="K270" s="630"/>
      <c r="L270" s="630"/>
      <c r="M270" s="630"/>
      <c r="N270" s="630"/>
      <c r="O270" s="630"/>
      <c r="P270" s="630"/>
      <c r="Q270" s="630"/>
      <c r="R270" s="598">
        <v>1</v>
      </c>
      <c r="S270" s="631">
        <f t="shared" si="7"/>
        <v>8.771929824561403E-3</v>
      </c>
      <c r="T270" s="599">
        <v>155</v>
      </c>
      <c r="U270" s="631">
        <f t="shared" si="8"/>
        <v>9.5255653883972464E-3</v>
      </c>
      <c r="V270" s="556"/>
      <c r="W270" s="558"/>
      <c r="X270" s="543"/>
    </row>
    <row r="271" spans="1:25" s="544" customFormat="1" x14ac:dyDescent="0.3">
      <c r="A271" s="555"/>
      <c r="B271" s="598" t="s">
        <v>158</v>
      </c>
      <c r="C271" s="630"/>
      <c r="D271" s="630"/>
      <c r="E271" s="630"/>
      <c r="F271" s="556"/>
      <c r="G271" s="631"/>
      <c r="H271" s="630"/>
      <c r="I271" s="630"/>
      <c r="J271" s="630"/>
      <c r="K271" s="630"/>
      <c r="L271" s="630"/>
      <c r="M271" s="630"/>
      <c r="N271" s="630"/>
      <c r="O271" s="630"/>
      <c r="P271" s="630"/>
      <c r="Q271" s="630"/>
      <c r="R271" s="598">
        <v>1</v>
      </c>
      <c r="S271" s="631">
        <f t="shared" si="7"/>
        <v>8.771929824561403E-3</v>
      </c>
      <c r="T271" s="599">
        <v>125</v>
      </c>
      <c r="U271" s="631">
        <f t="shared" si="8"/>
        <v>7.6819075712881019E-3</v>
      </c>
      <c r="V271" s="556"/>
      <c r="W271" s="558"/>
      <c r="X271" s="543"/>
    </row>
    <row r="272" spans="1:25" s="544" customFormat="1" x14ac:dyDescent="0.3">
      <c r="A272" s="555"/>
      <c r="B272" s="598" t="s">
        <v>159</v>
      </c>
      <c r="C272" s="630"/>
      <c r="D272" s="630"/>
      <c r="E272" s="630"/>
      <c r="F272" s="556"/>
      <c r="G272" s="631"/>
      <c r="H272" s="630"/>
      <c r="I272" s="630"/>
      <c r="J272" s="630"/>
      <c r="K272" s="630"/>
      <c r="L272" s="630"/>
      <c r="M272" s="630"/>
      <c r="N272" s="630"/>
      <c r="O272" s="630"/>
      <c r="P272" s="630"/>
      <c r="Q272" s="630"/>
      <c r="R272" s="598">
        <v>3</v>
      </c>
      <c r="S272" s="631">
        <f t="shared" si="7"/>
        <v>2.6315789473684209E-2</v>
      </c>
      <c r="T272" s="599">
        <v>364</v>
      </c>
      <c r="U272" s="631">
        <f t="shared" si="8"/>
        <v>2.2369714847590955E-2</v>
      </c>
      <c r="V272" s="556"/>
      <c r="W272" s="558"/>
      <c r="X272" s="543"/>
    </row>
    <row r="273" spans="1:24" s="544" customFormat="1" x14ac:dyDescent="0.3">
      <c r="A273" s="555"/>
      <c r="B273" s="598" t="s">
        <v>160</v>
      </c>
      <c r="C273" s="630"/>
      <c r="D273" s="630"/>
      <c r="E273" s="630"/>
      <c r="F273" s="556"/>
      <c r="G273" s="631"/>
      <c r="H273" s="630"/>
      <c r="I273" s="630"/>
      <c r="J273" s="630"/>
      <c r="K273" s="630"/>
      <c r="L273" s="630"/>
      <c r="M273" s="630"/>
      <c r="N273" s="630"/>
      <c r="O273" s="630"/>
      <c r="P273" s="630"/>
      <c r="Q273" s="630"/>
      <c r="R273" s="598">
        <v>1</v>
      </c>
      <c r="S273" s="631">
        <f t="shared" si="7"/>
        <v>8.771929824561403E-3</v>
      </c>
      <c r="T273" s="599">
        <v>217</v>
      </c>
      <c r="U273" s="631">
        <f t="shared" si="8"/>
        <v>1.3335791543756146E-2</v>
      </c>
      <c r="V273" s="556"/>
      <c r="W273" s="558"/>
      <c r="X273" s="543"/>
    </row>
    <row r="274" spans="1:24" s="544" customFormat="1" x14ac:dyDescent="0.3">
      <c r="A274" s="555"/>
      <c r="B274" s="598"/>
      <c r="C274" s="630"/>
      <c r="D274" s="630"/>
      <c r="E274" s="630"/>
      <c r="F274" s="556"/>
      <c r="G274" s="631"/>
      <c r="H274" s="630"/>
      <c r="I274" s="630"/>
      <c r="J274" s="630"/>
      <c r="K274" s="630"/>
      <c r="L274" s="630"/>
      <c r="M274" s="630"/>
      <c r="N274" s="630"/>
      <c r="O274" s="630"/>
      <c r="P274" s="630"/>
      <c r="Q274" s="630"/>
      <c r="R274" s="598"/>
      <c r="S274" s="631"/>
      <c r="T274" s="599"/>
      <c r="U274" s="631"/>
      <c r="V274" s="556"/>
      <c r="W274" s="558"/>
      <c r="X274" s="543"/>
    </row>
    <row r="275" spans="1:24" s="544" customFormat="1" x14ac:dyDescent="0.3">
      <c r="A275" s="555"/>
      <c r="B275" s="556"/>
      <c r="C275" s="556"/>
      <c r="D275" s="556"/>
      <c r="E275" s="556"/>
      <c r="F275" s="556"/>
      <c r="G275" s="556"/>
      <c r="H275" s="632"/>
      <c r="I275" s="632"/>
      <c r="J275" s="632"/>
      <c r="K275" s="632"/>
      <c r="L275" s="632"/>
      <c r="M275" s="632"/>
      <c r="N275" s="632"/>
      <c r="O275" s="632"/>
      <c r="P275" s="632"/>
      <c r="Q275" s="632"/>
      <c r="R275" s="598">
        <f>SUM(R266:R274)</f>
        <v>114</v>
      </c>
      <c r="S275" s="631">
        <f>SUM(S266:S274)</f>
        <v>1</v>
      </c>
      <c r="T275" s="599">
        <f>SUM(T266:T274)</f>
        <v>16272</v>
      </c>
      <c r="U275" s="631">
        <f>SUM(U266:U274)</f>
        <v>1</v>
      </c>
      <c r="V275" s="556"/>
      <c r="W275" s="558"/>
      <c r="X275" s="543"/>
    </row>
    <row r="276" spans="1:24" x14ac:dyDescent="0.3">
      <c r="A276" s="417"/>
      <c r="B276" s="437"/>
      <c r="C276" s="437"/>
      <c r="D276" s="437"/>
      <c r="E276" s="437"/>
      <c r="F276" s="437"/>
      <c r="G276" s="437"/>
      <c r="H276" s="488"/>
      <c r="I276" s="488"/>
      <c r="J276" s="488"/>
      <c r="K276" s="488"/>
      <c r="L276" s="488"/>
      <c r="M276" s="488"/>
      <c r="N276" s="488"/>
      <c r="O276" s="488"/>
      <c r="P276" s="488"/>
      <c r="Q276" s="488"/>
      <c r="R276" s="447"/>
      <c r="S276" s="483"/>
      <c r="T276" s="484"/>
      <c r="U276" s="483"/>
      <c r="V276" s="437"/>
      <c r="W276" s="437"/>
      <c r="X276" s="415"/>
    </row>
    <row r="277" spans="1:24" x14ac:dyDescent="0.3">
      <c r="A277" s="515"/>
      <c r="B277" s="523" t="s">
        <v>163</v>
      </c>
      <c r="C277" s="517"/>
      <c r="D277" s="517"/>
      <c r="E277" s="517"/>
      <c r="F277" s="517"/>
      <c r="G277" s="517"/>
      <c r="H277" s="536"/>
      <c r="I277" s="536"/>
      <c r="J277" s="536"/>
      <c r="K277" s="536"/>
      <c r="L277" s="536"/>
      <c r="M277" s="536"/>
      <c r="N277" s="536"/>
      <c r="O277" s="536"/>
      <c r="P277" s="536"/>
      <c r="Q277" s="536"/>
      <c r="R277" s="534" t="s">
        <v>102</v>
      </c>
      <c r="S277" s="524" t="s">
        <v>103</v>
      </c>
      <c r="T277" s="534" t="s">
        <v>109</v>
      </c>
      <c r="U277" s="524" t="s">
        <v>103</v>
      </c>
      <c r="V277" s="517"/>
      <c r="W277" s="520"/>
      <c r="X277" s="415"/>
    </row>
    <row r="278" spans="1:24" s="544" customFormat="1" x14ac:dyDescent="0.3">
      <c r="A278" s="540"/>
      <c r="B278" s="600" t="s">
        <v>88</v>
      </c>
      <c r="C278" s="588"/>
      <c r="D278" s="588"/>
      <c r="E278" s="588"/>
      <c r="F278" s="588"/>
      <c r="G278" s="588"/>
      <c r="H278" s="633"/>
      <c r="I278" s="633"/>
      <c r="J278" s="633"/>
      <c r="K278" s="633"/>
      <c r="L278" s="633"/>
      <c r="M278" s="633"/>
      <c r="N278" s="633"/>
      <c r="O278" s="633"/>
      <c r="P278" s="633"/>
      <c r="Q278" s="633"/>
      <c r="R278" s="600">
        <v>0</v>
      </c>
      <c r="S278" s="628">
        <v>0</v>
      </c>
      <c r="T278" s="601">
        <v>0</v>
      </c>
      <c r="U278" s="628">
        <v>0</v>
      </c>
      <c r="V278" s="588"/>
      <c r="W278" s="588"/>
      <c r="X278" s="543"/>
    </row>
    <row r="279" spans="1:24" s="544" customFormat="1" x14ac:dyDescent="0.3">
      <c r="A279" s="555"/>
      <c r="B279" s="598" t="s">
        <v>89</v>
      </c>
      <c r="C279" s="556"/>
      <c r="D279" s="556"/>
      <c r="E279" s="556"/>
      <c r="F279" s="556"/>
      <c r="G279" s="556"/>
      <c r="H279" s="632"/>
      <c r="I279" s="632"/>
      <c r="J279" s="632"/>
      <c r="K279" s="632"/>
      <c r="L279" s="632"/>
      <c r="M279" s="632"/>
      <c r="N279" s="632"/>
      <c r="O279" s="632"/>
      <c r="P279" s="632"/>
      <c r="Q279" s="632"/>
      <c r="R279" s="598">
        <v>0</v>
      </c>
      <c r="S279" s="631">
        <v>0</v>
      </c>
      <c r="T279" s="599">
        <v>0</v>
      </c>
      <c r="U279" s="631">
        <v>0</v>
      </c>
      <c r="V279" s="556"/>
      <c r="W279" s="558"/>
      <c r="X279" s="543"/>
    </row>
    <row r="280" spans="1:24" s="544" customFormat="1" x14ac:dyDescent="0.3">
      <c r="A280" s="555"/>
      <c r="B280" s="598" t="s">
        <v>90</v>
      </c>
      <c r="C280" s="556"/>
      <c r="D280" s="556"/>
      <c r="E280" s="556"/>
      <c r="F280" s="556"/>
      <c r="G280" s="556"/>
      <c r="H280" s="632"/>
      <c r="I280" s="632"/>
      <c r="J280" s="632"/>
      <c r="K280" s="632"/>
      <c r="L280" s="632"/>
      <c r="M280" s="632"/>
      <c r="N280" s="632"/>
      <c r="O280" s="632"/>
      <c r="P280" s="632"/>
      <c r="Q280" s="632"/>
      <c r="R280" s="598">
        <v>0</v>
      </c>
      <c r="S280" s="631">
        <v>0</v>
      </c>
      <c r="T280" s="599">
        <v>0</v>
      </c>
      <c r="U280" s="631">
        <v>0</v>
      </c>
      <c r="V280" s="556"/>
      <c r="W280" s="558"/>
      <c r="X280" s="543"/>
    </row>
    <row r="281" spans="1:24" s="544" customFormat="1" x14ac:dyDescent="0.3">
      <c r="A281" s="555"/>
      <c r="B281" s="598" t="s">
        <v>156</v>
      </c>
      <c r="C281" s="556"/>
      <c r="D281" s="556"/>
      <c r="E281" s="556"/>
      <c r="F281" s="556"/>
      <c r="G281" s="556"/>
      <c r="H281" s="632"/>
      <c r="I281" s="632"/>
      <c r="J281" s="632"/>
      <c r="K281" s="632"/>
      <c r="L281" s="632"/>
      <c r="M281" s="632"/>
      <c r="N281" s="632"/>
      <c r="O281" s="632"/>
      <c r="P281" s="632"/>
      <c r="Q281" s="632"/>
      <c r="R281" s="598">
        <v>0</v>
      </c>
      <c r="S281" s="631">
        <v>0</v>
      </c>
      <c r="T281" s="599">
        <v>0</v>
      </c>
      <c r="U281" s="631">
        <v>0</v>
      </c>
      <c r="V281" s="556"/>
      <c r="W281" s="558"/>
      <c r="X281" s="543"/>
    </row>
    <row r="282" spans="1:24" s="544" customFormat="1" x14ac:dyDescent="0.3">
      <c r="A282" s="555"/>
      <c r="B282" s="598" t="s">
        <v>157</v>
      </c>
      <c r="C282" s="556"/>
      <c r="D282" s="556"/>
      <c r="E282" s="556"/>
      <c r="F282" s="556"/>
      <c r="G282" s="556"/>
      <c r="H282" s="632"/>
      <c r="I282" s="632"/>
      <c r="J282" s="632"/>
      <c r="K282" s="632"/>
      <c r="L282" s="632"/>
      <c r="M282" s="632"/>
      <c r="N282" s="632"/>
      <c r="O282" s="632"/>
      <c r="P282" s="632"/>
      <c r="Q282" s="632"/>
      <c r="R282" s="598">
        <v>0</v>
      </c>
      <c r="S282" s="631">
        <v>0</v>
      </c>
      <c r="T282" s="599">
        <v>0</v>
      </c>
      <c r="U282" s="631">
        <v>0</v>
      </c>
      <c r="V282" s="556"/>
      <c r="W282" s="558"/>
      <c r="X282" s="543"/>
    </row>
    <row r="283" spans="1:24" s="544" customFormat="1" x14ac:dyDescent="0.3">
      <c r="A283" s="555"/>
      <c r="B283" s="598" t="s">
        <v>158</v>
      </c>
      <c r="C283" s="556"/>
      <c r="D283" s="556"/>
      <c r="E283" s="556"/>
      <c r="F283" s="556"/>
      <c r="G283" s="556"/>
      <c r="H283" s="632"/>
      <c r="I283" s="632"/>
      <c r="J283" s="632"/>
      <c r="K283" s="632"/>
      <c r="L283" s="632"/>
      <c r="M283" s="632"/>
      <c r="N283" s="632"/>
      <c r="O283" s="632"/>
      <c r="P283" s="632"/>
      <c r="Q283" s="632"/>
      <c r="R283" s="598">
        <v>0</v>
      </c>
      <c r="S283" s="631">
        <v>0</v>
      </c>
      <c r="T283" s="599">
        <v>0</v>
      </c>
      <c r="U283" s="631">
        <v>0</v>
      </c>
      <c r="V283" s="556"/>
      <c r="W283" s="558"/>
      <c r="X283" s="543"/>
    </row>
    <row r="284" spans="1:24" s="544" customFormat="1" x14ac:dyDescent="0.3">
      <c r="A284" s="555"/>
      <c r="B284" s="598" t="s">
        <v>159</v>
      </c>
      <c r="C284" s="556"/>
      <c r="D284" s="556"/>
      <c r="E284" s="556"/>
      <c r="F284" s="556"/>
      <c r="G284" s="556"/>
      <c r="H284" s="632"/>
      <c r="I284" s="632"/>
      <c r="J284" s="632"/>
      <c r="K284" s="632"/>
      <c r="L284" s="632"/>
      <c r="M284" s="632"/>
      <c r="N284" s="632"/>
      <c r="O284" s="632"/>
      <c r="P284" s="632"/>
      <c r="Q284" s="632"/>
      <c r="R284" s="598">
        <v>0</v>
      </c>
      <c r="S284" s="631">
        <v>0</v>
      </c>
      <c r="T284" s="599">
        <v>0</v>
      </c>
      <c r="U284" s="631">
        <v>0</v>
      </c>
      <c r="V284" s="556"/>
      <c r="W284" s="558"/>
      <c r="X284" s="543"/>
    </row>
    <row r="285" spans="1:24" s="544" customFormat="1" x14ac:dyDescent="0.3">
      <c r="A285" s="555"/>
      <c r="B285" s="598" t="s">
        <v>160</v>
      </c>
      <c r="C285" s="556"/>
      <c r="D285" s="556"/>
      <c r="E285" s="556"/>
      <c r="F285" s="556"/>
      <c r="G285" s="556"/>
      <c r="H285" s="632"/>
      <c r="I285" s="632"/>
      <c r="J285" s="632"/>
      <c r="K285" s="632"/>
      <c r="L285" s="632"/>
      <c r="M285" s="632"/>
      <c r="N285" s="632"/>
      <c r="O285" s="632"/>
      <c r="P285" s="632"/>
      <c r="Q285" s="632"/>
      <c r="R285" s="598">
        <v>0</v>
      </c>
      <c r="S285" s="631">
        <v>0</v>
      </c>
      <c r="T285" s="599">
        <v>0</v>
      </c>
      <c r="U285" s="631">
        <v>0</v>
      </c>
      <c r="V285" s="556"/>
      <c r="W285" s="558"/>
      <c r="X285" s="543"/>
    </row>
    <row r="286" spans="1:24" s="544" customFormat="1" x14ac:dyDescent="0.3">
      <c r="A286" s="555"/>
      <c r="B286" s="598"/>
      <c r="C286" s="556"/>
      <c r="D286" s="556"/>
      <c r="E286" s="556"/>
      <c r="F286" s="556"/>
      <c r="G286" s="556"/>
      <c r="H286" s="632"/>
      <c r="I286" s="632"/>
      <c r="J286" s="632"/>
      <c r="K286" s="632"/>
      <c r="L286" s="632"/>
      <c r="M286" s="632"/>
      <c r="N286" s="632"/>
      <c r="O286" s="632"/>
      <c r="P286" s="632"/>
      <c r="Q286" s="632"/>
      <c r="R286" s="598"/>
      <c r="S286" s="631"/>
      <c r="T286" s="599"/>
      <c r="U286" s="631"/>
      <c r="V286" s="556"/>
      <c r="W286" s="558"/>
      <c r="X286" s="543"/>
    </row>
    <row r="287" spans="1:24" s="544" customFormat="1" x14ac:dyDescent="0.3">
      <c r="A287" s="555"/>
      <c r="B287" s="556" t="s">
        <v>114</v>
      </c>
      <c r="C287" s="556"/>
      <c r="D287" s="556"/>
      <c r="E287" s="556"/>
      <c r="F287" s="556"/>
      <c r="G287" s="556"/>
      <c r="H287" s="632"/>
      <c r="I287" s="632"/>
      <c r="J287" s="632"/>
      <c r="K287" s="632"/>
      <c r="L287" s="632"/>
      <c r="M287" s="632"/>
      <c r="N287" s="632"/>
      <c r="O287" s="632"/>
      <c r="P287" s="632"/>
      <c r="Q287" s="632"/>
      <c r="R287" s="598">
        <f>SUM(R278:R285)</f>
        <v>0</v>
      </c>
      <c r="S287" s="631">
        <f>SUM(S278:S286)</f>
        <v>0</v>
      </c>
      <c r="T287" s="599">
        <f>SUM(T278:T285)</f>
        <v>0</v>
      </c>
      <c r="U287" s="631">
        <f>SUM(U278:U286)</f>
        <v>0</v>
      </c>
      <c r="V287" s="556"/>
      <c r="W287" s="558"/>
      <c r="X287" s="543"/>
    </row>
    <row r="288" spans="1:24" s="544" customFormat="1" x14ac:dyDescent="0.3">
      <c r="A288" s="555"/>
      <c r="B288" s="556"/>
      <c r="C288" s="556"/>
      <c r="D288" s="556"/>
      <c r="E288" s="556"/>
      <c r="F288" s="556"/>
      <c r="G288" s="556"/>
      <c r="H288" s="632"/>
      <c r="I288" s="632"/>
      <c r="J288" s="632"/>
      <c r="K288" s="632"/>
      <c r="L288" s="632"/>
      <c r="M288" s="632"/>
      <c r="N288" s="632"/>
      <c r="O288" s="632"/>
      <c r="P288" s="632"/>
      <c r="Q288" s="632"/>
      <c r="R288" s="598"/>
      <c r="S288" s="631"/>
      <c r="T288" s="599"/>
      <c r="U288" s="631"/>
      <c r="V288" s="556"/>
      <c r="W288" s="558"/>
      <c r="X288" s="543"/>
    </row>
    <row r="289" spans="1:24" s="544" customFormat="1" x14ac:dyDescent="0.3">
      <c r="A289" s="555"/>
      <c r="B289" s="561" t="s">
        <v>164</v>
      </c>
      <c r="C289" s="556"/>
      <c r="D289" s="556"/>
      <c r="E289" s="556"/>
      <c r="F289" s="556"/>
      <c r="G289" s="556"/>
      <c r="H289" s="632"/>
      <c r="I289" s="632"/>
      <c r="J289" s="632"/>
      <c r="K289" s="632"/>
      <c r="L289" s="632"/>
      <c r="M289" s="632"/>
      <c r="N289" s="632"/>
      <c r="O289" s="632"/>
      <c r="P289" s="632"/>
      <c r="Q289" s="632"/>
      <c r="R289" s="634">
        <f>R287+R275+R263</f>
        <v>5870</v>
      </c>
      <c r="S289" s="631"/>
      <c r="T289" s="635">
        <f>+T287+T275+T263</f>
        <v>802205</v>
      </c>
      <c r="U289" s="631"/>
      <c r="V289" s="556"/>
      <c r="W289" s="558"/>
      <c r="X289" s="543"/>
    </row>
    <row r="290" spans="1:24" s="544" customFormat="1" x14ac:dyDescent="0.3">
      <c r="A290" s="540"/>
      <c r="B290" s="588"/>
      <c r="C290" s="588"/>
      <c r="D290" s="588"/>
      <c r="E290" s="588"/>
      <c r="F290" s="588"/>
      <c r="G290" s="588"/>
      <c r="H290" s="633"/>
      <c r="I290" s="633"/>
      <c r="J290" s="633"/>
      <c r="K290" s="633"/>
      <c r="L290" s="633"/>
      <c r="M290" s="633"/>
      <c r="N290" s="633"/>
      <c r="O290" s="633"/>
      <c r="P290" s="633"/>
      <c r="Q290" s="633"/>
      <c r="R290" s="633"/>
      <c r="S290" s="633"/>
      <c r="T290" s="601"/>
      <c r="U290" s="633"/>
      <c r="V290" s="588"/>
      <c r="W290" s="588"/>
      <c r="X290" s="543"/>
    </row>
    <row r="291" spans="1:24" s="544" customFormat="1" x14ac:dyDescent="0.3">
      <c r="A291" s="540"/>
      <c r="B291" s="541"/>
      <c r="C291" s="541"/>
      <c r="D291" s="541"/>
      <c r="E291" s="541"/>
      <c r="F291" s="541"/>
      <c r="G291" s="541"/>
      <c r="H291" s="636"/>
      <c r="I291" s="636"/>
      <c r="J291" s="636"/>
      <c r="K291" s="636"/>
      <c r="L291" s="636"/>
      <c r="M291" s="636"/>
      <c r="N291" s="636"/>
      <c r="O291" s="636"/>
      <c r="P291" s="636"/>
      <c r="Q291" s="636"/>
      <c r="R291" s="636"/>
      <c r="S291" s="636"/>
      <c r="T291" s="637"/>
      <c r="U291" s="636"/>
      <c r="V291" s="541"/>
      <c r="W291" s="541"/>
      <c r="X291" s="543"/>
    </row>
    <row r="292" spans="1:24" s="544" customFormat="1" x14ac:dyDescent="0.3">
      <c r="A292" s="540"/>
      <c r="B292" s="539" t="s">
        <v>91</v>
      </c>
      <c r="C292" s="541"/>
      <c r="D292" s="541"/>
      <c r="E292" s="541"/>
      <c r="F292" s="547" t="s">
        <v>97</v>
      </c>
      <c r="G292" s="541"/>
      <c r="H292" s="539" t="s">
        <v>99</v>
      </c>
      <c r="I292" s="539"/>
      <c r="J292" s="539"/>
      <c r="K292" s="541"/>
      <c r="L292" s="541"/>
      <c r="M292" s="541"/>
      <c r="N292" s="541"/>
      <c r="O292" s="541"/>
      <c r="P292" s="541"/>
      <c r="Q292" s="541"/>
      <c r="R292" s="541"/>
      <c r="S292" s="541"/>
      <c r="T292" s="541"/>
      <c r="U292" s="541"/>
      <c r="V292" s="541"/>
      <c r="W292" s="541"/>
      <c r="X292" s="543"/>
    </row>
    <row r="293" spans="1:24" s="544" customFormat="1" x14ac:dyDescent="0.3">
      <c r="A293" s="540"/>
      <c r="B293" s="539" t="s">
        <v>339</v>
      </c>
      <c r="C293" s="539"/>
      <c r="D293" s="539"/>
      <c r="E293" s="539"/>
      <c r="F293" s="638" t="s">
        <v>278</v>
      </c>
      <c r="G293" s="539"/>
      <c r="H293" s="639" t="s">
        <v>372</v>
      </c>
      <c r="I293" s="541"/>
      <c r="J293" s="539"/>
      <c r="K293" s="541"/>
      <c r="L293" s="541"/>
      <c r="M293" s="541"/>
      <c r="N293" s="541"/>
      <c r="O293" s="541"/>
      <c r="P293" s="541"/>
      <c r="Q293" s="541"/>
      <c r="R293" s="541"/>
      <c r="S293" s="541"/>
      <c r="T293" s="541"/>
      <c r="U293" s="541"/>
      <c r="V293" s="541"/>
      <c r="W293" s="541"/>
      <c r="X293" s="543"/>
    </row>
    <row r="294" spans="1:24" s="544" customFormat="1" x14ac:dyDescent="0.3">
      <c r="A294" s="540"/>
      <c r="B294" s="539" t="s">
        <v>340</v>
      </c>
      <c r="C294" s="539"/>
      <c r="D294" s="539"/>
      <c r="E294" s="539"/>
      <c r="F294" s="638" t="s">
        <v>147</v>
      </c>
      <c r="G294" s="539"/>
      <c r="H294" s="639" t="s">
        <v>373</v>
      </c>
      <c r="I294" s="539"/>
      <c r="J294" s="539"/>
      <c r="K294" s="541"/>
      <c r="L294" s="541"/>
      <c r="M294" s="541"/>
      <c r="N294" s="541"/>
      <c r="O294" s="541"/>
      <c r="P294" s="541"/>
      <c r="Q294" s="541"/>
      <c r="R294" s="541"/>
      <c r="S294" s="541"/>
      <c r="T294" s="541"/>
      <c r="U294" s="541"/>
      <c r="V294" s="541"/>
      <c r="W294" s="541"/>
      <c r="X294" s="543"/>
    </row>
    <row r="295" spans="1:24" s="544" customFormat="1" x14ac:dyDescent="0.3">
      <c r="A295" s="540"/>
      <c r="B295" s="539"/>
      <c r="C295" s="539"/>
      <c r="D295" s="539"/>
      <c r="E295" s="539"/>
      <c r="F295" s="638"/>
      <c r="G295" s="539"/>
      <c r="H295" s="539"/>
      <c r="I295" s="539"/>
      <c r="J295" s="539"/>
      <c r="K295" s="541"/>
      <c r="L295" s="541"/>
      <c r="M295" s="541"/>
      <c r="N295" s="541"/>
      <c r="O295" s="541"/>
      <c r="P295" s="541"/>
      <c r="Q295" s="541"/>
      <c r="R295" s="541"/>
      <c r="S295" s="541"/>
      <c r="T295" s="541"/>
      <c r="U295" s="541"/>
      <c r="V295" s="541"/>
      <c r="W295" s="541"/>
      <c r="X295" s="543"/>
    </row>
    <row r="296" spans="1:24" s="544" customFormat="1" x14ac:dyDescent="0.3">
      <c r="A296" s="540"/>
      <c r="B296" s="588" t="s">
        <v>368</v>
      </c>
      <c r="C296" s="539"/>
      <c r="D296" s="539"/>
      <c r="E296" s="539"/>
      <c r="F296" s="638"/>
      <c r="G296" s="539"/>
      <c r="H296" s="539"/>
      <c r="I296" s="539"/>
      <c r="J296" s="539"/>
      <c r="K296" s="541"/>
      <c r="L296" s="541"/>
      <c r="M296" s="541"/>
      <c r="N296" s="541"/>
      <c r="O296" s="541"/>
      <c r="P296" s="541"/>
      <c r="Q296" s="541"/>
      <c r="R296" s="541"/>
      <c r="S296" s="541"/>
      <c r="T296" s="541"/>
      <c r="U296" s="541"/>
      <c r="V296" s="541"/>
      <c r="W296" s="541"/>
      <c r="X296" s="543"/>
    </row>
    <row r="297" spans="1:24" s="544" customFormat="1" x14ac:dyDescent="0.3">
      <c r="A297" s="540"/>
      <c r="B297" s="588" t="s">
        <v>374</v>
      </c>
      <c r="C297" s="539"/>
      <c r="D297" s="539"/>
      <c r="E297" s="539"/>
      <c r="F297" s="638"/>
      <c r="G297" s="539"/>
      <c r="H297" s="539"/>
      <c r="I297" s="539"/>
      <c r="J297" s="539"/>
      <c r="K297" s="541"/>
      <c r="L297" s="541"/>
      <c r="M297" s="541"/>
      <c r="N297" s="541"/>
      <c r="O297" s="541"/>
      <c r="P297" s="541"/>
      <c r="Q297" s="541"/>
      <c r="R297" s="541"/>
      <c r="S297" s="541"/>
      <c r="T297" s="541"/>
      <c r="U297" s="541"/>
      <c r="V297" s="541"/>
      <c r="W297" s="541"/>
      <c r="X297" s="543"/>
    </row>
    <row r="298" spans="1:24" s="544" customFormat="1" x14ac:dyDescent="0.3">
      <c r="A298" s="540"/>
      <c r="B298" s="588" t="s">
        <v>365</v>
      </c>
      <c r="C298" s="539"/>
      <c r="D298" s="539"/>
      <c r="E298" s="539"/>
      <c r="F298" s="638"/>
      <c r="G298" s="539"/>
      <c r="H298" s="539"/>
      <c r="I298" s="539"/>
      <c r="J298" s="539"/>
      <c r="K298" s="541"/>
      <c r="L298" s="541"/>
      <c r="M298" s="541"/>
      <c r="N298" s="541"/>
      <c r="O298" s="541"/>
      <c r="P298" s="541"/>
      <c r="Q298" s="541"/>
      <c r="R298" s="541"/>
      <c r="S298" s="541"/>
      <c r="T298" s="541"/>
      <c r="U298" s="541"/>
      <c r="V298" s="541"/>
      <c r="W298" s="541"/>
      <c r="X298" s="543"/>
    </row>
    <row r="299" spans="1:24" s="544" customFormat="1" x14ac:dyDescent="0.3">
      <c r="A299" s="540"/>
      <c r="B299" s="588" t="s">
        <v>366</v>
      </c>
      <c r="C299" s="539"/>
      <c r="D299" s="539"/>
      <c r="E299" s="539"/>
      <c r="F299" s="638"/>
      <c r="G299" s="539"/>
      <c r="H299" s="539"/>
      <c r="I299" s="539"/>
      <c r="J299" s="539"/>
      <c r="K299" s="541"/>
      <c r="L299" s="541"/>
      <c r="M299" s="541"/>
      <c r="N299" s="541"/>
      <c r="O299" s="541"/>
      <c r="P299" s="541"/>
      <c r="Q299" s="541"/>
      <c r="R299" s="541"/>
      <c r="S299" s="541"/>
      <c r="T299" s="541"/>
      <c r="U299" s="541"/>
      <c r="V299" s="541"/>
      <c r="W299" s="541"/>
      <c r="X299" s="543"/>
    </row>
    <row r="300" spans="1:24" x14ac:dyDescent="0.3">
      <c r="A300" s="417"/>
      <c r="B300" s="426"/>
      <c r="C300" s="426"/>
      <c r="D300" s="426"/>
      <c r="E300" s="426"/>
      <c r="F300" s="489"/>
      <c r="G300" s="426"/>
      <c r="H300" s="426"/>
      <c r="I300" s="426"/>
      <c r="J300" s="426"/>
      <c r="K300" s="427"/>
      <c r="L300" s="427"/>
      <c r="M300" s="427"/>
      <c r="N300" s="427"/>
      <c r="O300" s="427"/>
      <c r="P300" s="427"/>
      <c r="Q300" s="427"/>
      <c r="R300" s="427"/>
      <c r="S300" s="427"/>
      <c r="T300" s="427"/>
      <c r="U300" s="427"/>
      <c r="V300" s="427"/>
      <c r="W300" s="427"/>
      <c r="X300" s="415"/>
    </row>
    <row r="301" spans="1:24" ht="18" x14ac:dyDescent="0.35">
      <c r="A301" s="417"/>
      <c r="B301" s="514" t="s">
        <v>369</v>
      </c>
      <c r="C301" s="426"/>
      <c r="D301" s="426"/>
      <c r="E301" s="426"/>
      <c r="F301" s="426"/>
      <c r="G301" s="426"/>
      <c r="H301" s="427"/>
      <c r="I301" s="427"/>
      <c r="J301" s="427"/>
      <c r="K301" s="427"/>
      <c r="L301" s="419"/>
      <c r="M301" s="419"/>
      <c r="N301" s="490"/>
      <c r="O301" s="419"/>
      <c r="P301" s="412" t="s">
        <v>371</v>
      </c>
      <c r="Q301" s="427"/>
      <c r="R301" s="427"/>
      <c r="S301" s="427"/>
      <c r="T301" s="427"/>
      <c r="U301" s="427"/>
      <c r="V301" s="427"/>
      <c r="W301" s="427"/>
      <c r="X301" s="415"/>
    </row>
    <row r="302" spans="1:24" x14ac:dyDescent="0.3">
      <c r="A302" s="417"/>
      <c r="B302" s="426"/>
      <c r="C302" s="426"/>
      <c r="D302" s="426"/>
      <c r="E302" s="426"/>
      <c r="F302" s="426"/>
      <c r="G302" s="426"/>
      <c r="H302" s="427"/>
      <c r="I302" s="427"/>
      <c r="J302" s="427"/>
      <c r="K302" s="427"/>
      <c r="L302" s="427"/>
      <c r="M302" s="427"/>
      <c r="N302" s="427"/>
      <c r="O302" s="427"/>
      <c r="P302" s="427"/>
      <c r="Q302" s="427"/>
      <c r="R302" s="427"/>
      <c r="S302" s="427"/>
      <c r="T302" s="427"/>
      <c r="U302" s="427"/>
      <c r="V302" s="427"/>
      <c r="W302" s="427"/>
      <c r="X302" s="415"/>
    </row>
    <row r="303" spans="1:24" ht="18.600000000000001" thickBot="1" x14ac:dyDescent="0.4">
      <c r="A303" s="417"/>
      <c r="B303" s="640" t="str">
        <f>B203</f>
        <v>PM14 INVESTOR REPORT QUARTER ENDING NOVEMBER 2018</v>
      </c>
      <c r="C303" s="426"/>
      <c r="D303" s="426"/>
      <c r="E303" s="426"/>
      <c r="F303" s="426"/>
      <c r="G303" s="426"/>
      <c r="H303" s="427"/>
      <c r="I303" s="427"/>
      <c r="J303" s="427"/>
      <c r="K303" s="427"/>
      <c r="L303" s="427"/>
      <c r="M303" s="427"/>
      <c r="N303" s="427"/>
      <c r="O303" s="427"/>
      <c r="P303" s="427"/>
      <c r="Q303" s="427"/>
      <c r="R303" s="427"/>
      <c r="S303" s="427"/>
      <c r="T303" s="427"/>
      <c r="U303" s="427"/>
      <c r="V303" s="427"/>
      <c r="W303" s="427"/>
      <c r="X303" s="415"/>
    </row>
    <row r="304" spans="1:24" x14ac:dyDescent="0.3">
      <c r="A304" s="491"/>
      <c r="B304" s="491"/>
      <c r="C304" s="491"/>
      <c r="D304" s="491"/>
      <c r="E304" s="491"/>
      <c r="F304" s="491"/>
      <c r="G304" s="491"/>
      <c r="H304" s="491"/>
      <c r="I304" s="491"/>
      <c r="J304" s="491"/>
      <c r="K304" s="491"/>
      <c r="L304" s="491"/>
      <c r="M304" s="491"/>
      <c r="N304" s="491"/>
      <c r="O304" s="491"/>
      <c r="P304" s="491"/>
      <c r="Q304" s="491"/>
      <c r="R304" s="491"/>
      <c r="S304" s="491"/>
      <c r="T304" s="491"/>
      <c r="U304" s="491"/>
      <c r="V304" s="491"/>
      <c r="W304" s="491"/>
    </row>
  </sheetData>
  <hyperlinks>
    <hyperlink ref="I9" r:id="rId1" xr:uid="{00000000-0004-0000-2D00-000000000000}"/>
    <hyperlink ref="P239" r:id="rId2" xr:uid="{00000000-0004-0000-2D00-000001000000}"/>
    <hyperlink ref="P301" r:id="rId3" xr:uid="{00000000-0004-0000-2D00-000002000000}"/>
  </hyperlinks>
  <printOptions horizontalCentered="1" verticalCentered="1"/>
  <pageMargins left="0.19685039370078741" right="0.19685039370078741" top="0.27559055118110237" bottom="0.27559055118110237" header="0" footer="0"/>
  <pageSetup scale="37" orientation="landscape" r:id="rId4"/>
  <headerFooter alignWithMargins="0"/>
  <rowBreaks count="3" manualBreakCount="3">
    <brk id="63" max="23" man="1"/>
    <brk id="137" max="14" man="1"/>
    <brk id="203" max="14" man="1"/>
  </rowBreaks>
  <drawing r:id="rId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1"/>
  </sheetPr>
  <dimension ref="A1:IV304"/>
  <sheetViews>
    <sheetView showGridLines="0" showOutlineSymbols="0" zoomScale="70" zoomScaleNormal="70" workbookViewId="0"/>
  </sheetViews>
  <sheetFormatPr defaultColWidth="9.81640625" defaultRowHeight="15.6" x14ac:dyDescent="0.3"/>
  <cols>
    <col min="1" max="1" width="4" style="416" customWidth="1"/>
    <col min="2" max="2" width="71.08984375" style="416" customWidth="1"/>
    <col min="3" max="3" width="2.08984375" style="416" customWidth="1"/>
    <col min="4" max="4" width="19.1796875" style="416" customWidth="1"/>
    <col min="5" max="5" width="2.08984375" style="416" customWidth="1"/>
    <col min="6" max="6" width="25.08984375" style="416" customWidth="1"/>
    <col min="7" max="7" width="2.08984375" style="416" customWidth="1"/>
    <col min="8" max="8" width="16.08984375" style="416" customWidth="1"/>
    <col min="9" max="9" width="2.81640625" style="416" customWidth="1"/>
    <col min="10" max="10" width="16.08984375" style="416" customWidth="1"/>
    <col min="11" max="11" width="2.08984375" style="416" customWidth="1"/>
    <col min="12" max="12" width="17.81640625" style="416" customWidth="1"/>
    <col min="13" max="13" width="2.1796875" style="416" customWidth="1"/>
    <col min="14" max="14" width="14.81640625" style="416" customWidth="1"/>
    <col min="15" max="15" width="2.1796875" style="416" customWidth="1"/>
    <col min="16" max="16" width="15.54296875" style="416" customWidth="1"/>
    <col min="17" max="17" width="2.08984375" style="416" customWidth="1"/>
    <col min="18" max="18" width="15.54296875" style="416" customWidth="1"/>
    <col min="19" max="20" width="12.81640625" style="416" customWidth="1"/>
    <col min="21" max="21" width="7.81640625" style="416" customWidth="1"/>
    <col min="22" max="22" width="14.81640625" style="416" customWidth="1"/>
    <col min="23" max="23" width="11.81640625" style="416" customWidth="1"/>
    <col min="24" max="16384" width="9.81640625" style="416"/>
  </cols>
  <sheetData>
    <row r="1" spans="1:24" ht="21" x14ac:dyDescent="0.4">
      <c r="A1" s="413"/>
      <c r="B1" s="537" t="s">
        <v>244</v>
      </c>
      <c r="C1" s="414"/>
      <c r="D1" s="414"/>
      <c r="E1" s="414"/>
      <c r="F1" s="414"/>
      <c r="G1" s="414"/>
      <c r="H1" s="414"/>
      <c r="I1" s="414"/>
      <c r="J1" s="414"/>
      <c r="K1" s="414"/>
      <c r="L1" s="414"/>
      <c r="M1" s="414"/>
      <c r="N1" s="414"/>
      <c r="O1" s="414"/>
      <c r="P1" s="414"/>
      <c r="Q1" s="414"/>
      <c r="R1" s="414"/>
      <c r="S1" s="414"/>
      <c r="T1" s="414"/>
      <c r="U1" s="414"/>
      <c r="V1" s="414"/>
      <c r="W1" s="414"/>
      <c r="X1" s="415"/>
    </row>
    <row r="2" spans="1:24" x14ac:dyDescent="0.3">
      <c r="A2" s="417"/>
      <c r="B2" s="418"/>
      <c r="C2" s="419"/>
      <c r="D2" s="419"/>
      <c r="E2" s="419"/>
      <c r="F2" s="419"/>
      <c r="G2" s="419"/>
      <c r="H2" s="419"/>
      <c r="I2" s="419"/>
      <c r="J2" s="419"/>
      <c r="K2" s="419"/>
      <c r="L2" s="419"/>
      <c r="M2" s="419"/>
      <c r="N2" s="419"/>
      <c r="O2" s="419"/>
      <c r="P2" s="419"/>
      <c r="Q2" s="419"/>
      <c r="R2" s="419"/>
      <c r="S2" s="419"/>
      <c r="T2" s="419"/>
      <c r="U2" s="419"/>
      <c r="V2" s="419"/>
      <c r="W2" s="419"/>
      <c r="X2" s="415"/>
    </row>
    <row r="3" spans="1:24" x14ac:dyDescent="0.3">
      <c r="A3" s="420"/>
      <c r="B3" s="421" t="s">
        <v>245</v>
      </c>
      <c r="C3" s="419"/>
      <c r="D3" s="419"/>
      <c r="E3" s="419"/>
      <c r="F3" s="419"/>
      <c r="G3" s="419"/>
      <c r="H3" s="419"/>
      <c r="I3" s="419"/>
      <c r="J3" s="419"/>
      <c r="K3" s="419"/>
      <c r="L3" s="419"/>
      <c r="M3" s="419"/>
      <c r="N3" s="419"/>
      <c r="O3" s="419"/>
      <c r="P3" s="419"/>
      <c r="Q3" s="419"/>
      <c r="R3" s="419"/>
      <c r="S3" s="419"/>
      <c r="T3" s="419"/>
      <c r="U3" s="419"/>
      <c r="V3" s="419"/>
      <c r="W3" s="419"/>
      <c r="X3" s="415"/>
    </row>
    <row r="4" spans="1:24" x14ac:dyDescent="0.3">
      <c r="A4" s="417"/>
      <c r="B4" s="418"/>
      <c r="C4" s="419"/>
      <c r="D4" s="419"/>
      <c r="E4" s="419"/>
      <c r="F4" s="419"/>
      <c r="G4" s="419"/>
      <c r="H4" s="419"/>
      <c r="I4" s="419"/>
      <c r="J4" s="419"/>
      <c r="K4" s="419"/>
      <c r="L4" s="419"/>
      <c r="M4" s="419"/>
      <c r="N4" s="419"/>
      <c r="O4" s="419"/>
      <c r="P4" s="419"/>
      <c r="Q4" s="419"/>
      <c r="R4" s="419"/>
      <c r="S4" s="419"/>
      <c r="T4" s="419"/>
      <c r="U4" s="419"/>
      <c r="V4" s="419"/>
      <c r="W4" s="419"/>
      <c r="X4" s="415"/>
    </row>
    <row r="5" spans="1:24" x14ac:dyDescent="0.3">
      <c r="A5" s="417"/>
      <c r="B5" s="538" t="s">
        <v>137</v>
      </c>
      <c r="C5" s="419"/>
      <c r="D5" s="419"/>
      <c r="E5" s="419"/>
      <c r="F5" s="419"/>
      <c r="G5" s="419"/>
      <c r="H5" s="419"/>
      <c r="I5" s="419"/>
      <c r="J5" s="419"/>
      <c r="K5" s="419"/>
      <c r="L5" s="419"/>
      <c r="M5" s="419"/>
      <c r="N5" s="419"/>
      <c r="O5" s="419"/>
      <c r="P5" s="419"/>
      <c r="Q5" s="419"/>
      <c r="R5" s="419"/>
      <c r="S5" s="419"/>
      <c r="T5" s="419"/>
      <c r="U5" s="419"/>
      <c r="V5" s="419"/>
      <c r="W5" s="419"/>
      <c r="X5" s="415"/>
    </row>
    <row r="6" spans="1:24" x14ac:dyDescent="0.3">
      <c r="A6" s="417"/>
      <c r="B6" s="538" t="s">
        <v>139</v>
      </c>
      <c r="C6" s="419"/>
      <c r="D6" s="419"/>
      <c r="E6" s="419"/>
      <c r="F6" s="419"/>
      <c r="G6" s="419"/>
      <c r="H6" s="419"/>
      <c r="I6" s="419"/>
      <c r="J6" s="419"/>
      <c r="K6" s="419"/>
      <c r="L6" s="419"/>
      <c r="M6" s="419"/>
      <c r="N6" s="419"/>
      <c r="O6" s="419"/>
      <c r="P6" s="419"/>
      <c r="Q6" s="419"/>
      <c r="R6" s="419"/>
      <c r="S6" s="419"/>
      <c r="T6" s="419"/>
      <c r="U6" s="419"/>
      <c r="V6" s="419"/>
      <c r="W6" s="419"/>
      <c r="X6" s="415"/>
    </row>
    <row r="7" spans="1:24" x14ac:dyDescent="0.3">
      <c r="A7" s="417"/>
      <c r="B7" s="538" t="s">
        <v>138</v>
      </c>
      <c r="C7" s="419"/>
      <c r="D7" s="419"/>
      <c r="E7" s="419"/>
      <c r="F7" s="419"/>
      <c r="G7" s="419"/>
      <c r="H7" s="419"/>
      <c r="I7" s="419"/>
      <c r="J7" s="419"/>
      <c r="K7" s="419"/>
      <c r="L7" s="419"/>
      <c r="M7" s="419"/>
      <c r="N7" s="419"/>
      <c r="O7" s="419"/>
      <c r="P7" s="419"/>
      <c r="Q7" s="419"/>
      <c r="R7" s="419"/>
      <c r="S7" s="419"/>
      <c r="T7" s="419"/>
      <c r="U7" s="419"/>
      <c r="V7" s="419"/>
      <c r="W7" s="419"/>
      <c r="X7" s="415"/>
    </row>
    <row r="8" spans="1:24" x14ac:dyDescent="0.3">
      <c r="A8" s="417"/>
      <c r="B8" s="422"/>
      <c r="C8" s="419"/>
      <c r="D8" s="419"/>
      <c r="E8" s="419"/>
      <c r="F8" s="419"/>
      <c r="G8" s="419"/>
      <c r="H8" s="419"/>
      <c r="I8" s="419"/>
      <c r="J8" s="419"/>
      <c r="K8" s="419"/>
      <c r="L8" s="419"/>
      <c r="M8" s="419"/>
      <c r="N8" s="419"/>
      <c r="O8" s="419"/>
      <c r="P8" s="419"/>
      <c r="Q8" s="419"/>
      <c r="R8" s="419"/>
      <c r="S8" s="419"/>
      <c r="T8" s="419"/>
      <c r="U8" s="419"/>
      <c r="V8" s="419"/>
      <c r="W8" s="419"/>
      <c r="X8" s="415"/>
    </row>
    <row r="9" spans="1:24" ht="18" x14ac:dyDescent="0.35">
      <c r="A9" s="417"/>
      <c r="B9" s="423" t="s">
        <v>166</v>
      </c>
      <c r="C9" s="419"/>
      <c r="D9" s="419"/>
      <c r="E9" s="419"/>
      <c r="F9" s="419"/>
      <c r="G9" s="419"/>
      <c r="H9" s="419"/>
      <c r="I9" s="412" t="s">
        <v>371</v>
      </c>
      <c r="J9" s="419"/>
      <c r="K9" s="419"/>
      <c r="L9" s="424"/>
      <c r="M9" s="419"/>
      <c r="N9" s="424"/>
      <c r="O9" s="419"/>
      <c r="P9" s="419"/>
      <c r="Q9" s="419"/>
      <c r="R9" s="419"/>
      <c r="S9" s="419"/>
      <c r="T9" s="419"/>
      <c r="U9" s="419"/>
      <c r="V9" s="419"/>
      <c r="W9" s="419"/>
      <c r="X9" s="415"/>
    </row>
    <row r="10" spans="1:24" x14ac:dyDescent="0.3">
      <c r="A10" s="417"/>
      <c r="B10" s="422"/>
      <c r="C10" s="425"/>
      <c r="D10" s="425"/>
      <c r="E10" s="425"/>
      <c r="F10" s="419"/>
      <c r="G10" s="419"/>
      <c r="H10" s="419"/>
      <c r="I10" s="419"/>
      <c r="J10" s="419"/>
      <c r="K10" s="419"/>
      <c r="L10" s="419"/>
      <c r="M10" s="419"/>
      <c r="N10" s="419"/>
      <c r="O10" s="419"/>
      <c r="P10" s="419"/>
      <c r="Q10" s="419"/>
      <c r="R10" s="419"/>
      <c r="S10" s="419"/>
      <c r="T10" s="419"/>
      <c r="U10" s="419"/>
      <c r="V10" s="419"/>
      <c r="W10" s="419"/>
      <c r="X10" s="415"/>
    </row>
    <row r="11" spans="1:24" x14ac:dyDescent="0.3">
      <c r="A11" s="417"/>
      <c r="B11" s="539" t="s">
        <v>0</v>
      </c>
      <c r="C11" s="419"/>
      <c r="D11" s="419"/>
      <c r="E11" s="419"/>
      <c r="F11" s="419"/>
      <c r="G11" s="419"/>
      <c r="H11" s="419"/>
      <c r="I11" s="419"/>
      <c r="J11" s="419"/>
      <c r="K11" s="419"/>
      <c r="L11" s="419"/>
      <c r="M11" s="419"/>
      <c r="N11" s="419"/>
      <c r="O11" s="419"/>
      <c r="P11" s="419"/>
      <c r="Q11" s="419"/>
      <c r="R11" s="419"/>
      <c r="S11" s="419"/>
      <c r="T11" s="419"/>
      <c r="U11" s="419"/>
      <c r="V11" s="419"/>
      <c r="W11" s="419"/>
      <c r="X11" s="415"/>
    </row>
    <row r="12" spans="1:24" ht="16.2" thickBot="1" x14ac:dyDescent="0.35">
      <c r="A12" s="417"/>
      <c r="B12" s="425"/>
      <c r="C12" s="419"/>
      <c r="D12" s="419"/>
      <c r="E12" s="419"/>
      <c r="F12" s="419"/>
      <c r="G12" s="419"/>
      <c r="H12" s="419"/>
      <c r="I12" s="419"/>
      <c r="J12" s="419"/>
      <c r="K12" s="419"/>
      <c r="L12" s="419"/>
      <c r="M12" s="419"/>
      <c r="N12" s="419"/>
      <c r="O12" s="419"/>
      <c r="P12" s="419"/>
      <c r="Q12" s="419"/>
      <c r="R12" s="419"/>
      <c r="S12" s="419"/>
      <c r="T12" s="419"/>
      <c r="U12" s="419"/>
      <c r="V12" s="419"/>
      <c r="W12" s="419"/>
      <c r="X12" s="415"/>
    </row>
    <row r="13" spans="1:24" x14ac:dyDescent="0.3">
      <c r="A13" s="413"/>
      <c r="B13" s="414"/>
      <c r="C13" s="414"/>
      <c r="D13" s="414"/>
      <c r="E13" s="414"/>
      <c r="F13" s="414"/>
      <c r="G13" s="414"/>
      <c r="H13" s="414"/>
      <c r="I13" s="414"/>
      <c r="J13" s="414"/>
      <c r="K13" s="414"/>
      <c r="L13" s="414"/>
      <c r="M13" s="414"/>
      <c r="N13" s="414"/>
      <c r="O13" s="414"/>
      <c r="P13" s="414"/>
      <c r="Q13" s="414"/>
      <c r="R13" s="414"/>
      <c r="S13" s="414"/>
      <c r="T13" s="414"/>
      <c r="U13" s="414"/>
      <c r="V13" s="414"/>
      <c r="W13" s="414"/>
      <c r="X13" s="415"/>
    </row>
    <row r="14" spans="1:24" s="544" customFormat="1" x14ac:dyDescent="0.3">
      <c r="A14" s="540"/>
      <c r="B14" s="539" t="s">
        <v>1</v>
      </c>
      <c r="C14" s="541"/>
      <c r="D14" s="541"/>
      <c r="E14" s="541"/>
      <c r="F14" s="541"/>
      <c r="G14" s="541"/>
      <c r="H14" s="541"/>
      <c r="I14" s="541"/>
      <c r="J14" s="541"/>
      <c r="K14" s="541"/>
      <c r="L14" s="541"/>
      <c r="M14" s="541"/>
      <c r="N14" s="541"/>
      <c r="O14" s="541"/>
      <c r="P14" s="541"/>
      <c r="Q14" s="541"/>
      <c r="R14" s="541"/>
      <c r="S14" s="541"/>
      <c r="T14" s="541"/>
      <c r="U14" s="541"/>
      <c r="V14" s="542" t="s">
        <v>246</v>
      </c>
      <c r="W14" s="541"/>
      <c r="X14" s="543"/>
    </row>
    <row r="15" spans="1:24" s="544" customFormat="1" x14ac:dyDescent="0.3">
      <c r="A15" s="540"/>
      <c r="B15" s="539" t="s">
        <v>2</v>
      </c>
      <c r="C15" s="541"/>
      <c r="D15" s="541"/>
      <c r="E15" s="541"/>
      <c r="F15" s="541"/>
      <c r="G15" s="541"/>
      <c r="H15" s="545"/>
      <c r="I15" s="545"/>
      <c r="J15" s="545"/>
      <c r="K15" s="545"/>
      <c r="L15" s="545"/>
      <c r="M15" s="545"/>
      <c r="N15" s="545"/>
      <c r="O15" s="545"/>
      <c r="P15" s="545"/>
      <c r="Q15" s="545"/>
      <c r="R15" s="545" t="s">
        <v>104</v>
      </c>
      <c r="S15" s="546">
        <v>0.38300000000000001</v>
      </c>
      <c r="T15" s="547" t="s">
        <v>140</v>
      </c>
      <c r="U15" s="546">
        <v>0.61699999999999999</v>
      </c>
      <c r="V15" s="542"/>
      <c r="W15" s="541"/>
      <c r="X15" s="543"/>
    </row>
    <row r="16" spans="1:24" s="544" customFormat="1" x14ac:dyDescent="0.3">
      <c r="A16" s="540"/>
      <c r="B16" s="539" t="s">
        <v>3</v>
      </c>
      <c r="C16" s="541"/>
      <c r="D16" s="541"/>
      <c r="E16" s="541"/>
      <c r="F16" s="541"/>
      <c r="G16" s="541"/>
      <c r="H16" s="545"/>
      <c r="I16" s="545"/>
      <c r="J16" s="545"/>
      <c r="K16" s="545"/>
      <c r="L16" s="545"/>
      <c r="M16" s="545"/>
      <c r="N16" s="545"/>
      <c r="O16" s="545"/>
      <c r="P16" s="545"/>
      <c r="Q16" s="545"/>
      <c r="R16" s="545" t="s">
        <v>104</v>
      </c>
      <c r="S16" s="546">
        <v>0.50260000000000005</v>
      </c>
      <c r="T16" s="547" t="s">
        <v>140</v>
      </c>
      <c r="U16" s="546">
        <v>0.49740000000000001</v>
      </c>
      <c r="V16" s="542"/>
      <c r="W16" s="541"/>
      <c r="X16" s="543"/>
    </row>
    <row r="17" spans="1:24" s="544" customFormat="1" x14ac:dyDescent="0.3">
      <c r="A17" s="540"/>
      <c r="B17" s="539" t="s">
        <v>4</v>
      </c>
      <c r="C17" s="541"/>
      <c r="D17" s="541"/>
      <c r="E17" s="541"/>
      <c r="F17" s="541"/>
      <c r="G17" s="541"/>
      <c r="H17" s="541"/>
      <c r="I17" s="541"/>
      <c r="J17" s="541"/>
      <c r="K17" s="541"/>
      <c r="L17" s="541"/>
      <c r="M17" s="541"/>
      <c r="N17" s="541"/>
      <c r="O17" s="541"/>
      <c r="P17" s="541"/>
      <c r="Q17" s="541"/>
      <c r="R17" s="541"/>
      <c r="S17" s="541"/>
      <c r="T17" s="541"/>
      <c r="U17" s="541"/>
      <c r="V17" s="548">
        <v>39163</v>
      </c>
      <c r="W17" s="541"/>
      <c r="X17" s="543"/>
    </row>
    <row r="18" spans="1:24" s="544" customFormat="1" x14ac:dyDescent="0.3">
      <c r="A18" s="540"/>
      <c r="B18" s="539" t="s">
        <v>5</v>
      </c>
      <c r="C18" s="541"/>
      <c r="D18" s="541"/>
      <c r="E18" s="541"/>
      <c r="F18" s="541"/>
      <c r="G18" s="541"/>
      <c r="H18" s="541"/>
      <c r="I18" s="541"/>
      <c r="J18" s="541"/>
      <c r="K18" s="541"/>
      <c r="L18" s="541"/>
      <c r="M18" s="541"/>
      <c r="N18" s="541"/>
      <c r="O18" s="541"/>
      <c r="P18" s="541"/>
      <c r="Q18" s="541"/>
      <c r="R18" s="541"/>
      <c r="S18" s="541"/>
      <c r="T18" s="541"/>
      <c r="U18" s="541"/>
      <c r="V18" s="548">
        <v>43542</v>
      </c>
      <c r="W18" s="541"/>
      <c r="X18" s="543"/>
    </row>
    <row r="19" spans="1:24" s="544" customFormat="1" x14ac:dyDescent="0.3">
      <c r="A19" s="540"/>
      <c r="B19" s="541"/>
      <c r="C19" s="541"/>
      <c r="D19" s="541"/>
      <c r="E19" s="541"/>
      <c r="F19" s="541"/>
      <c r="G19" s="541"/>
      <c r="H19" s="541"/>
      <c r="I19" s="541"/>
      <c r="J19" s="541"/>
      <c r="K19" s="541"/>
      <c r="L19" s="541"/>
      <c r="M19" s="541"/>
      <c r="N19" s="541"/>
      <c r="O19" s="541"/>
      <c r="P19" s="541"/>
      <c r="Q19" s="541"/>
      <c r="R19" s="541"/>
      <c r="S19" s="541"/>
      <c r="T19" s="541"/>
      <c r="U19" s="541"/>
      <c r="V19" s="549"/>
      <c r="W19" s="541"/>
      <c r="X19" s="543"/>
    </row>
    <row r="20" spans="1:24" s="544" customFormat="1" x14ac:dyDescent="0.3">
      <c r="A20" s="540"/>
      <c r="B20" s="550" t="s">
        <v>6</v>
      </c>
      <c r="C20" s="541"/>
      <c r="D20" s="541"/>
      <c r="E20" s="541"/>
      <c r="F20" s="541"/>
      <c r="G20" s="541"/>
      <c r="H20" s="541"/>
      <c r="I20" s="541"/>
      <c r="J20" s="541"/>
      <c r="K20" s="541"/>
      <c r="L20" s="541"/>
      <c r="M20" s="541"/>
      <c r="N20" s="541"/>
      <c r="O20" s="541"/>
      <c r="P20" s="541"/>
      <c r="Q20" s="541"/>
      <c r="R20" s="541"/>
      <c r="S20" s="541"/>
      <c r="T20" s="549" t="s">
        <v>105</v>
      </c>
      <c r="U20" s="541"/>
      <c r="V20" s="541"/>
      <c r="W20" s="541"/>
      <c r="X20" s="543"/>
    </row>
    <row r="21" spans="1:24" x14ac:dyDescent="0.3">
      <c r="A21" s="417"/>
      <c r="B21" s="419"/>
      <c r="C21" s="419"/>
      <c r="D21" s="419"/>
      <c r="E21" s="419"/>
      <c r="F21" s="419"/>
      <c r="G21" s="419"/>
      <c r="H21" s="419"/>
      <c r="I21" s="419"/>
      <c r="J21" s="419"/>
      <c r="K21" s="419"/>
      <c r="L21" s="419"/>
      <c r="M21" s="419"/>
      <c r="N21" s="419"/>
      <c r="O21" s="419"/>
      <c r="P21" s="419"/>
      <c r="Q21" s="419"/>
      <c r="R21" s="419"/>
      <c r="S21" s="419"/>
      <c r="T21" s="419"/>
      <c r="U21" s="419"/>
      <c r="V21" s="430"/>
      <c r="W21" s="419"/>
      <c r="X21" s="415"/>
    </row>
    <row r="22" spans="1:24" x14ac:dyDescent="0.3">
      <c r="A22" s="515"/>
      <c r="B22" s="517"/>
      <c r="C22" s="518"/>
      <c r="D22" s="518" t="s">
        <v>177</v>
      </c>
      <c r="E22" s="518"/>
      <c r="F22" s="518" t="s">
        <v>178</v>
      </c>
      <c r="G22" s="518"/>
      <c r="H22" s="518" t="s">
        <v>179</v>
      </c>
      <c r="I22" s="518"/>
      <c r="J22" s="518" t="s">
        <v>220</v>
      </c>
      <c r="K22" s="518"/>
      <c r="L22" s="518" t="s">
        <v>180</v>
      </c>
      <c r="M22" s="518"/>
      <c r="N22" s="518" t="s">
        <v>181</v>
      </c>
      <c r="O22" s="518"/>
      <c r="P22" s="518" t="s">
        <v>221</v>
      </c>
      <c r="Q22" s="518"/>
      <c r="R22" s="518" t="s">
        <v>182</v>
      </c>
      <c r="S22" s="519"/>
      <c r="T22" s="519"/>
      <c r="U22" s="517"/>
      <c r="V22" s="517"/>
      <c r="W22" s="520"/>
      <c r="X22" s="415"/>
    </row>
    <row r="23" spans="1:24" s="544" customFormat="1" x14ac:dyDescent="0.3">
      <c r="A23" s="551"/>
      <c r="B23" s="552" t="s">
        <v>7</v>
      </c>
      <c r="C23" s="553"/>
      <c r="D23" s="553" t="s">
        <v>213</v>
      </c>
      <c r="E23" s="553"/>
      <c r="F23" s="553" t="s">
        <v>141</v>
      </c>
      <c r="G23" s="553"/>
      <c r="H23" s="553" t="s">
        <v>141</v>
      </c>
      <c r="I23" s="553"/>
      <c r="J23" s="553" t="s">
        <v>141</v>
      </c>
      <c r="K23" s="553"/>
      <c r="L23" s="553" t="s">
        <v>183</v>
      </c>
      <c r="M23" s="553"/>
      <c r="N23" s="553" t="s">
        <v>183</v>
      </c>
      <c r="O23" s="553"/>
      <c r="P23" s="553" t="s">
        <v>142</v>
      </c>
      <c r="Q23" s="553"/>
      <c r="R23" s="553" t="s">
        <v>142</v>
      </c>
      <c r="S23" s="553"/>
      <c r="T23" s="553"/>
      <c r="U23" s="552"/>
      <c r="V23" s="552"/>
      <c r="W23" s="554"/>
      <c r="X23" s="543"/>
    </row>
    <row r="24" spans="1:24" s="544" customFormat="1" x14ac:dyDescent="0.3">
      <c r="A24" s="555"/>
      <c r="B24" s="556" t="s">
        <v>8</v>
      </c>
      <c r="C24" s="557"/>
      <c r="D24" s="557" t="s">
        <v>214</v>
      </c>
      <c r="E24" s="557"/>
      <c r="F24" s="557" t="s">
        <v>143</v>
      </c>
      <c r="G24" s="557"/>
      <c r="H24" s="557" t="s">
        <v>143</v>
      </c>
      <c r="I24" s="557"/>
      <c r="J24" s="557" t="s">
        <v>143</v>
      </c>
      <c r="K24" s="557"/>
      <c r="L24" s="557" t="s">
        <v>165</v>
      </c>
      <c r="M24" s="557"/>
      <c r="N24" s="557" t="s">
        <v>165</v>
      </c>
      <c r="O24" s="557"/>
      <c r="P24" s="557" t="s">
        <v>144</v>
      </c>
      <c r="Q24" s="557"/>
      <c r="R24" s="557" t="s">
        <v>144</v>
      </c>
      <c r="S24" s="557"/>
      <c r="T24" s="557"/>
      <c r="U24" s="556"/>
      <c r="V24" s="556"/>
      <c r="W24" s="558"/>
      <c r="X24" s="543"/>
    </row>
    <row r="25" spans="1:24" s="544" customFormat="1" x14ac:dyDescent="0.3">
      <c r="A25" s="559"/>
      <c r="B25" s="556" t="s">
        <v>190</v>
      </c>
      <c r="C25" s="560"/>
      <c r="D25" s="557" t="s">
        <v>215</v>
      </c>
      <c r="E25" s="557"/>
      <c r="F25" s="557" t="s">
        <v>143</v>
      </c>
      <c r="G25" s="557"/>
      <c r="H25" s="557" t="s">
        <v>143</v>
      </c>
      <c r="I25" s="557"/>
      <c r="J25" s="557" t="s">
        <v>143</v>
      </c>
      <c r="K25" s="557"/>
      <c r="L25" s="557" t="s">
        <v>293</v>
      </c>
      <c r="M25" s="557"/>
      <c r="N25" s="557" t="s">
        <v>293</v>
      </c>
      <c r="O25" s="557"/>
      <c r="P25" s="557" t="s">
        <v>144</v>
      </c>
      <c r="Q25" s="557"/>
      <c r="R25" s="557" t="s">
        <v>144</v>
      </c>
      <c r="S25" s="560"/>
      <c r="T25" s="557"/>
      <c r="U25" s="556"/>
      <c r="V25" s="556"/>
      <c r="W25" s="558"/>
      <c r="X25" s="543"/>
    </row>
    <row r="26" spans="1:24" s="544" customFormat="1" x14ac:dyDescent="0.3">
      <c r="A26" s="559"/>
      <c r="B26" s="561" t="s">
        <v>9</v>
      </c>
      <c r="C26" s="560"/>
      <c r="D26" s="560" t="s">
        <v>333</v>
      </c>
      <c r="E26" s="560"/>
      <c r="F26" s="560" t="s">
        <v>333</v>
      </c>
      <c r="G26" s="560"/>
      <c r="H26" s="560" t="s">
        <v>333</v>
      </c>
      <c r="I26" s="560"/>
      <c r="J26" s="560" t="s">
        <v>333</v>
      </c>
      <c r="K26" s="560"/>
      <c r="L26" s="560" t="s">
        <v>333</v>
      </c>
      <c r="M26" s="560"/>
      <c r="N26" s="560" t="s">
        <v>333</v>
      </c>
      <c r="O26" s="560"/>
      <c r="P26" s="560" t="s">
        <v>334</v>
      </c>
      <c r="Q26" s="560"/>
      <c r="R26" s="560" t="s">
        <v>334</v>
      </c>
      <c r="S26" s="560"/>
      <c r="T26" s="557"/>
      <c r="U26" s="556"/>
      <c r="V26" s="556"/>
      <c r="W26" s="558"/>
      <c r="X26" s="543"/>
    </row>
    <row r="27" spans="1:24" s="544" customFormat="1" x14ac:dyDescent="0.3">
      <c r="A27" s="555"/>
      <c r="B27" s="561" t="s">
        <v>191</v>
      </c>
      <c r="C27" s="557"/>
      <c r="D27" s="560" t="s">
        <v>143</v>
      </c>
      <c r="E27" s="560"/>
      <c r="F27" s="560" t="s">
        <v>143</v>
      </c>
      <c r="G27" s="560"/>
      <c r="H27" s="560" t="s">
        <v>143</v>
      </c>
      <c r="I27" s="560"/>
      <c r="J27" s="560" t="s">
        <v>143</v>
      </c>
      <c r="K27" s="560"/>
      <c r="L27" s="560" t="s">
        <v>293</v>
      </c>
      <c r="M27" s="560"/>
      <c r="N27" s="560" t="s">
        <v>293</v>
      </c>
      <c r="O27" s="560"/>
      <c r="P27" s="560" t="s">
        <v>144</v>
      </c>
      <c r="Q27" s="560"/>
      <c r="R27" s="560" t="s">
        <v>144</v>
      </c>
      <c r="S27" s="557"/>
      <c r="T27" s="562"/>
      <c r="U27" s="556"/>
      <c r="V27" s="556"/>
      <c r="W27" s="558"/>
      <c r="X27" s="543"/>
    </row>
    <row r="28" spans="1:24" s="544" customFormat="1" x14ac:dyDescent="0.3">
      <c r="A28" s="555"/>
      <c r="B28" s="561" t="s">
        <v>192</v>
      </c>
      <c r="C28" s="557"/>
      <c r="D28" s="560" t="s">
        <v>143</v>
      </c>
      <c r="E28" s="560"/>
      <c r="F28" s="560" t="s">
        <v>143</v>
      </c>
      <c r="G28" s="560"/>
      <c r="H28" s="560" t="s">
        <v>143</v>
      </c>
      <c r="I28" s="560"/>
      <c r="J28" s="560" t="s">
        <v>143</v>
      </c>
      <c r="K28" s="560"/>
      <c r="L28" s="560" t="s">
        <v>143</v>
      </c>
      <c r="M28" s="560"/>
      <c r="N28" s="560" t="s">
        <v>143</v>
      </c>
      <c r="O28" s="560"/>
      <c r="P28" s="560" t="s">
        <v>144</v>
      </c>
      <c r="Q28" s="560"/>
      <c r="R28" s="560" t="s">
        <v>144</v>
      </c>
      <c r="S28" s="557"/>
      <c r="T28" s="562"/>
      <c r="U28" s="556"/>
      <c r="V28" s="556"/>
      <c r="W28" s="558"/>
      <c r="X28" s="543"/>
    </row>
    <row r="29" spans="1:24" s="544" customFormat="1" x14ac:dyDescent="0.3">
      <c r="A29" s="555"/>
      <c r="B29" s="556" t="s">
        <v>10</v>
      </c>
      <c r="C29" s="563"/>
      <c r="D29" s="557" t="s">
        <v>249</v>
      </c>
      <c r="E29" s="557"/>
      <c r="F29" s="562" t="s">
        <v>250</v>
      </c>
      <c r="G29" s="557"/>
      <c r="H29" s="557" t="s">
        <v>251</v>
      </c>
      <c r="I29" s="557"/>
      <c r="J29" s="557" t="s">
        <v>253</v>
      </c>
      <c r="K29" s="557"/>
      <c r="L29" s="557" t="s">
        <v>254</v>
      </c>
      <c r="M29" s="557"/>
      <c r="N29" s="557" t="s">
        <v>255</v>
      </c>
      <c r="O29" s="557"/>
      <c r="P29" s="557" t="s">
        <v>256</v>
      </c>
      <c r="Q29" s="557"/>
      <c r="R29" s="557" t="s">
        <v>257</v>
      </c>
      <c r="S29" s="564"/>
      <c r="T29" s="564"/>
      <c r="U29" s="563"/>
      <c r="V29" s="564"/>
      <c r="W29" s="565"/>
      <c r="X29" s="543"/>
    </row>
    <row r="30" spans="1:24" s="544" customFormat="1" x14ac:dyDescent="0.3">
      <c r="A30" s="555"/>
      <c r="B30" s="556" t="s">
        <v>10</v>
      </c>
      <c r="C30" s="563"/>
      <c r="D30" s="557" t="s">
        <v>248</v>
      </c>
      <c r="E30" s="557"/>
      <c r="F30" s="562" t="s">
        <v>118</v>
      </c>
      <c r="G30" s="557"/>
      <c r="H30" s="557" t="s">
        <v>118</v>
      </c>
      <c r="I30" s="557"/>
      <c r="J30" s="557" t="s">
        <v>252</v>
      </c>
      <c r="K30" s="557"/>
      <c r="L30" s="557" t="s">
        <v>118</v>
      </c>
      <c r="M30" s="557"/>
      <c r="N30" s="557" t="s">
        <v>118</v>
      </c>
      <c r="O30" s="557"/>
      <c r="P30" s="557" t="s">
        <v>118</v>
      </c>
      <c r="Q30" s="557"/>
      <c r="R30" s="557" t="s">
        <v>118</v>
      </c>
      <c r="S30" s="564"/>
      <c r="T30" s="564"/>
      <c r="U30" s="563"/>
      <c r="V30" s="564"/>
      <c r="W30" s="565"/>
      <c r="X30" s="543"/>
    </row>
    <row r="31" spans="1:24" s="544" customFormat="1" x14ac:dyDescent="0.3">
      <c r="A31" s="559"/>
      <c r="B31" s="556" t="s">
        <v>133</v>
      </c>
      <c r="C31" s="566"/>
      <c r="D31" s="567">
        <v>1500000</v>
      </c>
      <c r="E31" s="563"/>
      <c r="F31" s="564">
        <v>125000</v>
      </c>
      <c r="G31" s="564"/>
      <c r="H31" s="568">
        <v>246000</v>
      </c>
      <c r="I31" s="568"/>
      <c r="J31" s="567">
        <v>400000</v>
      </c>
      <c r="K31" s="564"/>
      <c r="L31" s="564">
        <v>51900</v>
      </c>
      <c r="M31" s="564"/>
      <c r="N31" s="568">
        <v>88800</v>
      </c>
      <c r="O31" s="564"/>
      <c r="P31" s="564">
        <v>20000</v>
      </c>
      <c r="Q31" s="564"/>
      <c r="R31" s="568">
        <v>135500</v>
      </c>
      <c r="S31" s="569"/>
      <c r="T31" s="569"/>
      <c r="U31" s="566"/>
      <c r="V31" s="569"/>
      <c r="W31" s="565"/>
      <c r="X31" s="543"/>
    </row>
    <row r="32" spans="1:24" s="544" customFormat="1" x14ac:dyDescent="0.3">
      <c r="A32" s="555"/>
      <c r="B32" s="556" t="s">
        <v>132</v>
      </c>
      <c r="C32" s="563"/>
      <c r="D32" s="570">
        <f>D34*D38</f>
        <v>350790.4788024</v>
      </c>
      <c r="E32" s="563"/>
      <c r="F32" s="564">
        <f>F31*F38</f>
        <v>56565.200000000004</v>
      </c>
      <c r="G32" s="564"/>
      <c r="H32" s="568">
        <f>H31*H38</f>
        <v>111320.31360000001</v>
      </c>
      <c r="I32" s="568"/>
      <c r="J32" s="567">
        <f>J31*J38</f>
        <v>181007.84</v>
      </c>
      <c r="K32" s="564"/>
      <c r="L32" s="564">
        <f>+L31</f>
        <v>51900</v>
      </c>
      <c r="M32" s="564"/>
      <c r="N32" s="568">
        <f>+N31</f>
        <v>88800</v>
      </c>
      <c r="O32" s="564"/>
      <c r="P32" s="564">
        <f>+P31</f>
        <v>20000</v>
      </c>
      <c r="Q32" s="564"/>
      <c r="R32" s="568">
        <f>+R31</f>
        <v>135500</v>
      </c>
      <c r="S32" s="564"/>
      <c r="T32" s="564"/>
      <c r="U32" s="563"/>
      <c r="V32" s="564"/>
      <c r="W32" s="565"/>
      <c r="X32" s="543"/>
    </row>
    <row r="33" spans="1:24" s="544" customFormat="1" x14ac:dyDescent="0.3">
      <c r="A33" s="555"/>
      <c r="B33" s="561" t="s">
        <v>134</v>
      </c>
      <c r="C33" s="563"/>
      <c r="D33" s="571">
        <f>D34*D37</f>
        <v>340823.49946680001</v>
      </c>
      <c r="E33" s="566"/>
      <c r="F33" s="569">
        <f>F37*F31</f>
        <v>54958.025000000001</v>
      </c>
      <c r="G33" s="569"/>
      <c r="H33" s="572">
        <f>H31*H37</f>
        <v>108157.39320000001</v>
      </c>
      <c r="I33" s="572"/>
      <c r="J33" s="573">
        <f>J37*J31</f>
        <v>175864.88</v>
      </c>
      <c r="K33" s="569"/>
      <c r="L33" s="569">
        <f>L31*L37</f>
        <v>51900</v>
      </c>
      <c r="M33" s="569"/>
      <c r="N33" s="572">
        <f>N31*N37</f>
        <v>88800</v>
      </c>
      <c r="O33" s="569"/>
      <c r="P33" s="569">
        <f>P31*P37</f>
        <v>20000</v>
      </c>
      <c r="Q33" s="569"/>
      <c r="R33" s="572">
        <f>R31*R37</f>
        <v>135500</v>
      </c>
      <c r="S33" s="564"/>
      <c r="T33" s="564"/>
      <c r="U33" s="563"/>
      <c r="V33" s="564"/>
      <c r="W33" s="565"/>
      <c r="X33" s="543"/>
    </row>
    <row r="34" spans="1:24" s="544" customFormat="1" x14ac:dyDescent="0.3">
      <c r="A34" s="559"/>
      <c r="B34" s="556" t="s">
        <v>296</v>
      </c>
      <c r="C34" s="566"/>
      <c r="D34" s="564">
        <v>775194</v>
      </c>
      <c r="E34" s="563"/>
      <c r="F34" s="564">
        <v>125000</v>
      </c>
      <c r="G34" s="564"/>
      <c r="H34" s="564">
        <v>168148</v>
      </c>
      <c r="I34" s="564"/>
      <c r="J34" s="564">
        <v>206718</v>
      </c>
      <c r="K34" s="564"/>
      <c r="L34" s="564">
        <v>51900</v>
      </c>
      <c r="M34" s="564"/>
      <c r="N34" s="564">
        <v>60697</v>
      </c>
      <c r="O34" s="564"/>
      <c r="P34" s="564">
        <v>20000</v>
      </c>
      <c r="Q34" s="564"/>
      <c r="R34" s="564">
        <v>92618</v>
      </c>
      <c r="S34" s="569"/>
      <c r="T34" s="569"/>
      <c r="U34" s="566"/>
      <c r="V34" s="564">
        <f>SUM(C34:R34)</f>
        <v>1500275</v>
      </c>
      <c r="W34" s="565"/>
      <c r="X34" s="543"/>
    </row>
    <row r="35" spans="1:24" s="544" customFormat="1" x14ac:dyDescent="0.3">
      <c r="A35" s="559"/>
      <c r="B35" s="556" t="s">
        <v>297</v>
      </c>
      <c r="C35" s="566"/>
      <c r="D35" s="564">
        <f>D34*D38</f>
        <v>350790.4788024</v>
      </c>
      <c r="E35" s="563"/>
      <c r="F35" s="564">
        <f>F34*F38</f>
        <v>56565.200000000004</v>
      </c>
      <c r="G35" s="564"/>
      <c r="H35" s="564">
        <f>H34*H38</f>
        <v>76090.601996800004</v>
      </c>
      <c r="I35" s="564"/>
      <c r="J35" s="564">
        <f>J34*J38</f>
        <v>93543.946672800012</v>
      </c>
      <c r="K35" s="564"/>
      <c r="L35" s="564">
        <f>+L34</f>
        <v>51900</v>
      </c>
      <c r="M35" s="564"/>
      <c r="N35" s="564">
        <f>+N34</f>
        <v>60697</v>
      </c>
      <c r="O35" s="564"/>
      <c r="P35" s="564">
        <f>+P34</f>
        <v>20000</v>
      </c>
      <c r="Q35" s="564"/>
      <c r="R35" s="564">
        <f>+R34</f>
        <v>92618</v>
      </c>
      <c r="S35" s="564"/>
      <c r="T35" s="564"/>
      <c r="U35" s="563"/>
      <c r="V35" s="564">
        <f>SUM(C35:R35)</f>
        <v>802205.22747200006</v>
      </c>
      <c r="W35" s="565"/>
      <c r="X35" s="543"/>
    </row>
    <row r="36" spans="1:24" s="544" customFormat="1" x14ac:dyDescent="0.3">
      <c r="A36" s="559"/>
      <c r="B36" s="561" t="s">
        <v>298</v>
      </c>
      <c r="C36" s="566"/>
      <c r="D36" s="569">
        <f>D34*D37</f>
        <v>340823.49946680001</v>
      </c>
      <c r="E36" s="566"/>
      <c r="F36" s="569">
        <f>F34*F37</f>
        <v>54958.025000000001</v>
      </c>
      <c r="G36" s="569"/>
      <c r="H36" s="569">
        <f>H34*H37</f>
        <v>73928.655901599996</v>
      </c>
      <c r="I36" s="569"/>
      <c r="J36" s="569">
        <f>J34*J37</f>
        <v>90886.090659599999</v>
      </c>
      <c r="K36" s="569"/>
      <c r="L36" s="569">
        <f>L34*L37</f>
        <v>51900</v>
      </c>
      <c r="M36" s="569"/>
      <c r="N36" s="569">
        <f>N34*N37</f>
        <v>60697</v>
      </c>
      <c r="O36" s="569"/>
      <c r="P36" s="569">
        <f>P34*P37</f>
        <v>20000</v>
      </c>
      <c r="Q36" s="569"/>
      <c r="R36" s="569">
        <f>R34*R37</f>
        <v>92618</v>
      </c>
      <c r="S36" s="574"/>
      <c r="T36" s="574"/>
      <c r="U36" s="563"/>
      <c r="V36" s="569">
        <f>SUM(C36:R36)</f>
        <v>785811.27102800005</v>
      </c>
      <c r="W36" s="565"/>
      <c r="X36" s="543"/>
    </row>
    <row r="37" spans="1:24" s="499" customFormat="1" x14ac:dyDescent="0.3">
      <c r="A37" s="492"/>
      <c r="B37" s="493" t="s">
        <v>130</v>
      </c>
      <c r="C37" s="494"/>
      <c r="D37" s="495">
        <v>0.4396622</v>
      </c>
      <c r="E37" s="495"/>
      <c r="F37" s="495">
        <v>0.43966420000000001</v>
      </c>
      <c r="G37" s="495"/>
      <c r="H37" s="495">
        <v>0.43966420000000001</v>
      </c>
      <c r="I37" s="495"/>
      <c r="J37" s="495">
        <v>0.4396622</v>
      </c>
      <c r="K37" s="495"/>
      <c r="L37" s="495">
        <v>1</v>
      </c>
      <c r="M37" s="495"/>
      <c r="N37" s="495">
        <v>1</v>
      </c>
      <c r="O37" s="495"/>
      <c r="P37" s="495">
        <v>1</v>
      </c>
      <c r="Q37" s="495"/>
      <c r="R37" s="495">
        <v>1</v>
      </c>
      <c r="S37" s="496"/>
      <c r="T37" s="496"/>
      <c r="U37" s="494"/>
      <c r="V37" s="494"/>
      <c r="W37" s="497"/>
      <c r="X37" s="498"/>
    </row>
    <row r="38" spans="1:24" s="499" customFormat="1" x14ac:dyDescent="0.3">
      <c r="A38" s="492"/>
      <c r="B38" s="493" t="s">
        <v>131</v>
      </c>
      <c r="C38" s="494"/>
      <c r="D38" s="495">
        <v>0.45251960000000002</v>
      </c>
      <c r="E38" s="495"/>
      <c r="F38" s="495">
        <v>0.45252160000000002</v>
      </c>
      <c r="G38" s="495"/>
      <c r="H38" s="495">
        <v>0.45252160000000002</v>
      </c>
      <c r="I38" s="495"/>
      <c r="J38" s="495">
        <v>0.45251960000000002</v>
      </c>
      <c r="K38" s="495"/>
      <c r="L38" s="495">
        <v>1</v>
      </c>
      <c r="M38" s="495"/>
      <c r="N38" s="495">
        <v>1</v>
      </c>
      <c r="O38" s="495"/>
      <c r="P38" s="495">
        <v>1</v>
      </c>
      <c r="Q38" s="495"/>
      <c r="R38" s="495">
        <v>1</v>
      </c>
      <c r="S38" s="500"/>
      <c r="T38" s="501"/>
      <c r="U38" s="494"/>
      <c r="V38" s="500"/>
      <c r="W38" s="497"/>
      <c r="X38" s="498"/>
    </row>
    <row r="39" spans="1:24" s="544" customFormat="1" x14ac:dyDescent="0.3">
      <c r="A39" s="555"/>
      <c r="B39" s="556" t="s">
        <v>11</v>
      </c>
      <c r="C39" s="556"/>
      <c r="D39" s="562" t="s">
        <v>321</v>
      </c>
      <c r="E39" s="556"/>
      <c r="F39" s="562" t="s">
        <v>231</v>
      </c>
      <c r="G39" s="562"/>
      <c r="H39" s="562" t="s">
        <v>231</v>
      </c>
      <c r="I39" s="562"/>
      <c r="J39" s="562" t="s">
        <v>231</v>
      </c>
      <c r="K39" s="562"/>
      <c r="L39" s="562" t="s">
        <v>265</v>
      </c>
      <c r="M39" s="562"/>
      <c r="N39" s="562" t="s">
        <v>265</v>
      </c>
      <c r="O39" s="562"/>
      <c r="P39" s="562" t="s">
        <v>266</v>
      </c>
      <c r="Q39" s="562"/>
      <c r="R39" s="562" t="s">
        <v>266</v>
      </c>
      <c r="S39" s="575"/>
      <c r="T39" s="576"/>
      <c r="U39" s="556"/>
      <c r="V39" s="556"/>
      <c r="W39" s="558"/>
      <c r="X39" s="543"/>
    </row>
    <row r="40" spans="1:24" s="544" customFormat="1" x14ac:dyDescent="0.3">
      <c r="A40" s="555"/>
      <c r="B40" s="556" t="s">
        <v>12</v>
      </c>
      <c r="C40" s="556"/>
      <c r="D40" s="576">
        <v>1.10638E-2</v>
      </c>
      <c r="E40" s="556"/>
      <c r="F40" s="576">
        <v>1.10638E-2</v>
      </c>
      <c r="G40" s="575"/>
      <c r="H40" s="576">
        <v>0</v>
      </c>
      <c r="I40" s="576"/>
      <c r="J40" s="576">
        <v>2.9881899999999999E-2</v>
      </c>
      <c r="K40" s="575"/>
      <c r="L40" s="576">
        <v>1.2663799999999999E-2</v>
      </c>
      <c r="M40" s="575"/>
      <c r="N40" s="576">
        <v>4.8999999999999998E-4</v>
      </c>
      <c r="O40" s="575"/>
      <c r="P40" s="576">
        <v>1.6663799999999999E-2</v>
      </c>
      <c r="Q40" s="575"/>
      <c r="R40" s="576">
        <v>4.4900000000000001E-3</v>
      </c>
      <c r="S40" s="575"/>
      <c r="T40" s="576"/>
      <c r="U40" s="556"/>
      <c r="V40" s="562"/>
      <c r="W40" s="558"/>
      <c r="X40" s="543"/>
    </row>
    <row r="41" spans="1:24" s="544" customFormat="1" x14ac:dyDescent="0.3">
      <c r="A41" s="555"/>
      <c r="B41" s="556" t="s">
        <v>13</v>
      </c>
      <c r="C41" s="556"/>
      <c r="D41" s="576">
        <v>9.9731000000000004E-3</v>
      </c>
      <c r="E41" s="556"/>
      <c r="F41" s="576">
        <v>9.9731000000000004E-3</v>
      </c>
      <c r="G41" s="575"/>
      <c r="H41" s="576">
        <v>0</v>
      </c>
      <c r="I41" s="576"/>
      <c r="J41" s="576">
        <v>2.5341300000000001E-2</v>
      </c>
      <c r="K41" s="575"/>
      <c r="L41" s="576">
        <v>1.1573099999999999E-2</v>
      </c>
      <c r="M41" s="575"/>
      <c r="N41" s="576">
        <v>4.0999999999999999E-4</v>
      </c>
      <c r="O41" s="575"/>
      <c r="P41" s="576">
        <v>1.5573099999999999E-2</v>
      </c>
      <c r="Q41" s="575"/>
      <c r="R41" s="576">
        <v>4.4099999999999999E-3</v>
      </c>
      <c r="S41" s="575"/>
      <c r="T41" s="576"/>
      <c r="U41" s="556"/>
      <c r="V41" s="575" t="s">
        <v>193</v>
      </c>
      <c r="W41" s="558"/>
      <c r="X41" s="543"/>
    </row>
    <row r="42" spans="1:24" s="544" customFormat="1" x14ac:dyDescent="0.3">
      <c r="A42" s="555"/>
      <c r="B42" s="556" t="s">
        <v>299</v>
      </c>
      <c r="C42" s="556"/>
      <c r="D42" s="562" t="s">
        <v>321</v>
      </c>
      <c r="E42" s="556"/>
      <c r="F42" s="562" t="s">
        <v>231</v>
      </c>
      <c r="G42" s="562"/>
      <c r="H42" s="562" t="s">
        <v>323</v>
      </c>
      <c r="I42" s="562"/>
      <c r="J42" s="562" t="s">
        <v>324</v>
      </c>
      <c r="K42" s="562"/>
      <c r="L42" s="562" t="s">
        <v>265</v>
      </c>
      <c r="M42" s="562"/>
      <c r="N42" s="562" t="s">
        <v>234</v>
      </c>
      <c r="O42" s="562"/>
      <c r="P42" s="562" t="s">
        <v>266</v>
      </c>
      <c r="Q42" s="562"/>
      <c r="R42" s="562" t="s">
        <v>264</v>
      </c>
      <c r="S42" s="575"/>
      <c r="T42" s="576"/>
      <c r="U42" s="556"/>
      <c r="V42" s="556"/>
      <c r="W42" s="558"/>
      <c r="X42" s="543"/>
    </row>
    <row r="43" spans="1:24" s="544" customFormat="1" x14ac:dyDescent="0.3">
      <c r="A43" s="555"/>
      <c r="B43" s="556" t="s">
        <v>300</v>
      </c>
      <c r="C43" s="577"/>
      <c r="D43" s="576">
        <f>D40</f>
        <v>1.10638E-2</v>
      </c>
      <c r="E43" s="576"/>
      <c r="F43" s="576">
        <f>+F40</f>
        <v>1.10638E-2</v>
      </c>
      <c r="G43" s="576"/>
      <c r="H43" s="576">
        <v>1.1343799999999999E-2</v>
      </c>
      <c r="I43" s="576"/>
      <c r="J43" s="576">
        <v>1.17898E-2</v>
      </c>
      <c r="K43" s="576"/>
      <c r="L43" s="576">
        <f>+L40</f>
        <v>1.2663799999999999E-2</v>
      </c>
      <c r="M43" s="576"/>
      <c r="N43" s="576">
        <v>1.32558E-2</v>
      </c>
      <c r="O43" s="576"/>
      <c r="P43" s="576">
        <f>+P40</f>
        <v>1.6663799999999999E-2</v>
      </c>
      <c r="Q43" s="575"/>
      <c r="R43" s="576">
        <v>1.77298E-2</v>
      </c>
      <c r="S43" s="562"/>
      <c r="T43" s="562"/>
      <c r="U43" s="556"/>
      <c r="V43" s="575">
        <f>SUMPRODUCT(D43:R43,D35:R35)/V35</f>
        <v>1.235361668332456E-2</v>
      </c>
      <c r="W43" s="558"/>
      <c r="X43" s="543"/>
    </row>
    <row r="44" spans="1:24" s="544" customFormat="1" x14ac:dyDescent="0.3">
      <c r="A44" s="555"/>
      <c r="B44" s="556" t="s">
        <v>301</v>
      </c>
      <c r="C44" s="577"/>
      <c r="D44" s="576">
        <f>D41</f>
        <v>9.9731000000000004E-3</v>
      </c>
      <c r="E44" s="576"/>
      <c r="F44" s="576">
        <f>+F41</f>
        <v>9.9731000000000004E-3</v>
      </c>
      <c r="G44" s="576"/>
      <c r="H44" s="576">
        <v>1.0253099999999999E-2</v>
      </c>
      <c r="I44" s="576"/>
      <c r="J44" s="576">
        <v>1.06991E-2</v>
      </c>
      <c r="K44" s="576"/>
      <c r="L44" s="576">
        <f>+L41</f>
        <v>1.1573099999999999E-2</v>
      </c>
      <c r="M44" s="576"/>
      <c r="N44" s="576">
        <v>1.21651E-2</v>
      </c>
      <c r="O44" s="576"/>
      <c r="P44" s="576">
        <f>+P41</f>
        <v>1.5573099999999999E-2</v>
      </c>
      <c r="Q44" s="575"/>
      <c r="R44" s="576">
        <v>1.66391E-2</v>
      </c>
      <c r="S44" s="562"/>
      <c r="T44" s="562"/>
      <c r="U44" s="556"/>
      <c r="V44" s="556"/>
      <c r="W44" s="558"/>
      <c r="X44" s="543"/>
    </row>
    <row r="45" spans="1:24" s="544" customFormat="1" x14ac:dyDescent="0.3">
      <c r="A45" s="555"/>
      <c r="B45" s="556" t="s">
        <v>14</v>
      </c>
      <c r="C45" s="556"/>
      <c r="D45" s="577">
        <v>40617</v>
      </c>
      <c r="E45" s="577"/>
      <c r="F45" s="577">
        <v>40617</v>
      </c>
      <c r="G45" s="577"/>
      <c r="H45" s="577">
        <v>40617</v>
      </c>
      <c r="I45" s="577"/>
      <c r="J45" s="577">
        <v>40617</v>
      </c>
      <c r="K45" s="577"/>
      <c r="L45" s="577">
        <v>40617</v>
      </c>
      <c r="M45" s="577"/>
      <c r="N45" s="577">
        <v>40617</v>
      </c>
      <c r="O45" s="577"/>
      <c r="P45" s="577">
        <v>40617</v>
      </c>
      <c r="Q45" s="577"/>
      <c r="R45" s="577">
        <v>40617</v>
      </c>
      <c r="S45" s="562"/>
      <c r="T45" s="562"/>
      <c r="U45" s="556"/>
      <c r="V45" s="556"/>
      <c r="W45" s="558"/>
      <c r="X45" s="543"/>
    </row>
    <row r="46" spans="1:24" s="544" customFormat="1" x14ac:dyDescent="0.3">
      <c r="A46" s="555"/>
      <c r="B46" s="556" t="s">
        <v>15</v>
      </c>
      <c r="C46" s="556"/>
      <c r="D46" s="577">
        <v>40983</v>
      </c>
      <c r="E46" s="577"/>
      <c r="F46" s="577">
        <v>40983</v>
      </c>
      <c r="G46" s="577"/>
      <c r="H46" s="577">
        <v>40983</v>
      </c>
      <c r="I46" s="577"/>
      <c r="J46" s="577">
        <v>40983</v>
      </c>
      <c r="K46" s="562"/>
      <c r="L46" s="577">
        <v>40983</v>
      </c>
      <c r="M46" s="562"/>
      <c r="N46" s="577">
        <v>40983</v>
      </c>
      <c r="O46" s="562"/>
      <c r="P46" s="577">
        <v>40983</v>
      </c>
      <c r="Q46" s="562"/>
      <c r="R46" s="577">
        <v>40983</v>
      </c>
      <c r="S46" s="562"/>
      <c r="T46" s="562"/>
      <c r="U46" s="556"/>
      <c r="V46" s="556"/>
      <c r="W46" s="558"/>
      <c r="X46" s="543"/>
    </row>
    <row r="47" spans="1:24" s="544" customFormat="1" x14ac:dyDescent="0.3">
      <c r="A47" s="555"/>
      <c r="B47" s="556" t="s">
        <v>119</v>
      </c>
      <c r="C47" s="556"/>
      <c r="D47" s="562" t="s">
        <v>231</v>
      </c>
      <c r="E47" s="556"/>
      <c r="F47" s="562" t="s">
        <v>231</v>
      </c>
      <c r="G47" s="562"/>
      <c r="H47" s="562" t="s">
        <v>231</v>
      </c>
      <c r="I47" s="562"/>
      <c r="J47" s="562" t="s">
        <v>231</v>
      </c>
      <c r="K47" s="562"/>
      <c r="L47" s="562" t="s">
        <v>265</v>
      </c>
      <c r="M47" s="562"/>
      <c r="N47" s="562" t="s">
        <v>265</v>
      </c>
      <c r="O47" s="562"/>
      <c r="P47" s="562" t="s">
        <v>266</v>
      </c>
      <c r="Q47" s="562"/>
      <c r="R47" s="562" t="s">
        <v>266</v>
      </c>
      <c r="S47" s="578"/>
      <c r="T47" s="578"/>
      <c r="U47" s="578"/>
      <c r="V47" s="578"/>
      <c r="W47" s="558"/>
      <c r="X47" s="543"/>
    </row>
    <row r="48" spans="1:24" s="544" customFormat="1" x14ac:dyDescent="0.3">
      <c r="A48" s="555"/>
      <c r="B48" s="556" t="s">
        <v>302</v>
      </c>
      <c r="C48" s="556"/>
      <c r="D48" s="562" t="s">
        <v>325</v>
      </c>
      <c r="E48" s="556"/>
      <c r="F48" s="562" t="s">
        <v>231</v>
      </c>
      <c r="G48" s="562"/>
      <c r="H48" s="562" t="s">
        <v>262</v>
      </c>
      <c r="I48" s="562"/>
      <c r="J48" s="562" t="s">
        <v>263</v>
      </c>
      <c r="K48" s="562"/>
      <c r="L48" s="562" t="s">
        <v>265</v>
      </c>
      <c r="M48" s="562"/>
      <c r="N48" s="562" t="s">
        <v>234</v>
      </c>
      <c r="O48" s="562"/>
      <c r="P48" s="562" t="s">
        <v>266</v>
      </c>
      <c r="Q48" s="562"/>
      <c r="R48" s="562" t="s">
        <v>264</v>
      </c>
      <c r="S48" s="556"/>
      <c r="T48" s="556"/>
      <c r="U48" s="556"/>
      <c r="V48" s="575"/>
      <c r="W48" s="558"/>
      <c r="X48" s="543"/>
    </row>
    <row r="49" spans="1:25" s="544" customFormat="1" x14ac:dyDescent="0.3">
      <c r="A49" s="555"/>
      <c r="B49" s="556"/>
      <c r="C49" s="556"/>
      <c r="D49" s="562"/>
      <c r="E49" s="556"/>
      <c r="F49" s="562"/>
      <c r="G49" s="562"/>
      <c r="H49" s="562"/>
      <c r="I49" s="562"/>
      <c r="J49" s="562"/>
      <c r="K49" s="562"/>
      <c r="L49" s="562"/>
      <c r="M49" s="562"/>
      <c r="N49" s="562"/>
      <c r="O49" s="562"/>
      <c r="P49" s="562"/>
      <c r="Q49" s="562"/>
      <c r="R49" s="562"/>
      <c r="S49" s="556"/>
      <c r="T49" s="556"/>
      <c r="U49" s="556"/>
      <c r="V49" s="575" t="s">
        <v>193</v>
      </c>
      <c r="W49" s="558"/>
      <c r="X49" s="543"/>
    </row>
    <row r="50" spans="1:25" s="544" customFormat="1" x14ac:dyDescent="0.3">
      <c r="A50" s="555"/>
      <c r="B50" s="556" t="s">
        <v>169</v>
      </c>
      <c r="C50" s="556"/>
      <c r="D50" s="562"/>
      <c r="E50" s="556"/>
      <c r="F50" s="562"/>
      <c r="G50" s="562"/>
      <c r="H50" s="562"/>
      <c r="I50" s="562"/>
      <c r="J50" s="562"/>
      <c r="K50" s="562"/>
      <c r="L50" s="562"/>
      <c r="M50" s="562"/>
      <c r="N50" s="562"/>
      <c r="O50" s="562"/>
      <c r="P50" s="562"/>
      <c r="Q50" s="562"/>
      <c r="R50" s="562"/>
      <c r="S50" s="556"/>
      <c r="T50" s="556"/>
      <c r="U50" s="556"/>
      <c r="V50" s="575">
        <f>SUM(L34:R34)/SUM(D34:J34)</f>
        <v>0.17663090364375009</v>
      </c>
      <c r="W50" s="558"/>
      <c r="X50" s="543"/>
    </row>
    <row r="51" spans="1:25" s="544" customFormat="1" x14ac:dyDescent="0.3">
      <c r="A51" s="555"/>
      <c r="B51" s="556" t="s">
        <v>170</v>
      </c>
      <c r="C51" s="556"/>
      <c r="D51" s="556"/>
      <c r="E51" s="556"/>
      <c r="F51" s="579"/>
      <c r="G51" s="556"/>
      <c r="H51" s="556"/>
      <c r="I51" s="556"/>
      <c r="J51" s="556"/>
      <c r="K51" s="556"/>
      <c r="L51" s="556"/>
      <c r="M51" s="556"/>
      <c r="N51" s="556"/>
      <c r="O51" s="556"/>
      <c r="P51" s="556"/>
      <c r="Q51" s="556"/>
      <c r="R51" s="556"/>
      <c r="S51" s="556"/>
      <c r="T51" s="556"/>
      <c r="U51" s="556"/>
      <c r="V51" s="575">
        <f>SUM(L36:R36)/SUM(D36:J36)</f>
        <v>0.40174188027867064</v>
      </c>
      <c r="W51" s="558"/>
      <c r="X51" s="543"/>
    </row>
    <row r="52" spans="1:25" s="544" customFormat="1" x14ac:dyDescent="0.3">
      <c r="A52" s="555"/>
      <c r="B52" s="556" t="s">
        <v>171</v>
      </c>
      <c r="C52" s="556"/>
      <c r="D52" s="556"/>
      <c r="E52" s="556"/>
      <c r="F52" s="556"/>
      <c r="G52" s="556"/>
      <c r="H52" s="556"/>
      <c r="I52" s="556"/>
      <c r="J52" s="556"/>
      <c r="K52" s="556"/>
      <c r="L52" s="556"/>
      <c r="M52" s="556"/>
      <c r="N52" s="556"/>
      <c r="O52" s="556"/>
      <c r="P52" s="556"/>
      <c r="Q52" s="556"/>
      <c r="R52" s="556"/>
      <c r="S52" s="556"/>
      <c r="T52" s="562"/>
      <c r="U52" s="562"/>
      <c r="V52" s="564" t="s">
        <v>276</v>
      </c>
      <c r="W52" s="558"/>
      <c r="X52" s="543"/>
    </row>
    <row r="53" spans="1:25" s="544" customFormat="1" x14ac:dyDescent="0.3">
      <c r="A53" s="555"/>
      <c r="B53" s="556"/>
      <c r="C53" s="556"/>
      <c r="D53" s="556"/>
      <c r="E53" s="556"/>
      <c r="F53" s="556"/>
      <c r="G53" s="556"/>
      <c r="H53" s="556"/>
      <c r="I53" s="556"/>
      <c r="J53" s="556"/>
      <c r="K53" s="556"/>
      <c r="L53" s="556"/>
      <c r="M53" s="556"/>
      <c r="N53" s="556"/>
      <c r="O53" s="556"/>
      <c r="P53" s="556"/>
      <c r="Q53" s="556"/>
      <c r="R53" s="556"/>
      <c r="S53" s="556"/>
      <c r="T53" s="556"/>
      <c r="U53" s="556"/>
      <c r="V53" s="580"/>
      <c r="W53" s="558"/>
      <c r="X53" s="543"/>
    </row>
    <row r="54" spans="1:25" s="544" customFormat="1" x14ac:dyDescent="0.3">
      <c r="A54" s="555"/>
      <c r="B54" s="556" t="s">
        <v>361</v>
      </c>
      <c r="C54" s="556"/>
      <c r="D54" s="556"/>
      <c r="E54" s="556"/>
      <c r="F54" s="556"/>
      <c r="G54" s="556"/>
      <c r="H54" s="556"/>
      <c r="I54" s="556"/>
      <c r="J54" s="556"/>
      <c r="K54" s="556"/>
      <c r="L54" s="556"/>
      <c r="M54" s="556"/>
      <c r="N54" s="556"/>
      <c r="O54" s="556"/>
      <c r="P54" s="556"/>
      <c r="Q54" s="556"/>
      <c r="R54" s="556"/>
      <c r="S54" s="556"/>
      <c r="T54" s="562"/>
      <c r="U54" s="562"/>
      <c r="V54" s="581" t="s">
        <v>111</v>
      </c>
      <c r="W54" s="558"/>
      <c r="X54" s="543"/>
    </row>
    <row r="55" spans="1:25" s="544" customFormat="1" x14ac:dyDescent="0.3">
      <c r="A55" s="555"/>
      <c r="B55" s="561" t="s">
        <v>201</v>
      </c>
      <c r="C55" s="561"/>
      <c r="D55" s="561"/>
      <c r="E55" s="561"/>
      <c r="F55" s="561"/>
      <c r="G55" s="561"/>
      <c r="H55" s="561"/>
      <c r="I55" s="561"/>
      <c r="J55" s="561"/>
      <c r="K55" s="561"/>
      <c r="L55" s="561"/>
      <c r="M55" s="561"/>
      <c r="N55" s="561"/>
      <c r="O55" s="561"/>
      <c r="P55" s="561"/>
      <c r="Q55" s="561"/>
      <c r="R55" s="561"/>
      <c r="S55" s="561"/>
      <c r="T55" s="582"/>
      <c r="U55" s="582"/>
      <c r="V55" s="583">
        <v>43539</v>
      </c>
      <c r="W55" s="558"/>
      <c r="X55" s="543"/>
    </row>
    <row r="56" spans="1:25" s="544" customFormat="1" x14ac:dyDescent="0.3">
      <c r="A56" s="555"/>
      <c r="B56" s="556" t="s">
        <v>121</v>
      </c>
      <c r="C56" s="556"/>
      <c r="D56" s="556"/>
      <c r="E56" s="556"/>
      <c r="F56" s="556"/>
      <c r="G56" s="556"/>
      <c r="H56" s="584"/>
      <c r="I56" s="584"/>
      <c r="J56" s="584"/>
      <c r="K56" s="584"/>
      <c r="L56" s="584"/>
      <c r="M56" s="584"/>
      <c r="N56" s="584"/>
      <c r="O56" s="584"/>
      <c r="P56" s="584"/>
      <c r="Q56" s="584"/>
      <c r="R56" s="556">
        <f>+V56-T56+1</f>
        <v>91</v>
      </c>
      <c r="S56" s="584"/>
      <c r="T56" s="585">
        <v>43360</v>
      </c>
      <c r="U56" s="586"/>
      <c r="V56" s="585">
        <v>43450</v>
      </c>
      <c r="W56" s="558"/>
      <c r="X56" s="543"/>
    </row>
    <row r="57" spans="1:25" s="544" customFormat="1" x14ac:dyDescent="0.3">
      <c r="A57" s="555"/>
      <c r="B57" s="556" t="s">
        <v>122</v>
      </c>
      <c r="C57" s="556"/>
      <c r="D57" s="556"/>
      <c r="E57" s="556"/>
      <c r="F57" s="556"/>
      <c r="G57" s="556"/>
      <c r="H57" s="556"/>
      <c r="I57" s="556"/>
      <c r="J57" s="556"/>
      <c r="K57" s="556"/>
      <c r="L57" s="556"/>
      <c r="M57" s="556"/>
      <c r="N57" s="556"/>
      <c r="O57" s="556"/>
      <c r="P57" s="556"/>
      <c r="Q57" s="556"/>
      <c r="R57" s="556">
        <f>+V57-T57+1</f>
        <v>88</v>
      </c>
      <c r="S57" s="556"/>
      <c r="T57" s="585">
        <v>43451</v>
      </c>
      <c r="U57" s="586"/>
      <c r="V57" s="585">
        <v>43538</v>
      </c>
      <c r="W57" s="558"/>
      <c r="X57" s="543"/>
    </row>
    <row r="58" spans="1:25" s="544" customFormat="1" x14ac:dyDescent="0.3">
      <c r="A58" s="555"/>
      <c r="B58" s="556" t="s">
        <v>360</v>
      </c>
      <c r="C58" s="556"/>
      <c r="D58" s="556"/>
      <c r="E58" s="556"/>
      <c r="F58" s="556"/>
      <c r="G58" s="556"/>
      <c r="H58" s="556"/>
      <c r="I58" s="556"/>
      <c r="J58" s="556"/>
      <c r="K58" s="556"/>
      <c r="L58" s="556"/>
      <c r="M58" s="556"/>
      <c r="N58" s="556"/>
      <c r="O58" s="556"/>
      <c r="P58" s="556"/>
      <c r="Q58" s="556"/>
      <c r="R58" s="556"/>
      <c r="S58" s="556"/>
      <c r="T58" s="585"/>
      <c r="U58" s="586"/>
      <c r="V58" s="585" t="s">
        <v>120</v>
      </c>
      <c r="W58" s="558"/>
      <c r="X58" s="543"/>
    </row>
    <row r="59" spans="1:25" s="544" customFormat="1" x14ac:dyDescent="0.3">
      <c r="A59" s="555"/>
      <c r="B59" s="556" t="s">
        <v>359</v>
      </c>
      <c r="C59" s="556"/>
      <c r="D59" s="556"/>
      <c r="E59" s="556"/>
      <c r="F59" s="556"/>
      <c r="G59" s="556"/>
      <c r="H59" s="556"/>
      <c r="I59" s="556"/>
      <c r="J59" s="556"/>
      <c r="K59" s="556"/>
      <c r="L59" s="556"/>
      <c r="M59" s="556"/>
      <c r="N59" s="556"/>
      <c r="O59" s="556"/>
      <c r="P59" s="556"/>
      <c r="Q59" s="556"/>
      <c r="R59" s="556"/>
      <c r="S59" s="556"/>
      <c r="T59" s="585"/>
      <c r="U59" s="586"/>
      <c r="V59" s="585" t="s">
        <v>154</v>
      </c>
      <c r="W59" s="558"/>
      <c r="X59" s="543"/>
      <c r="Y59" s="587"/>
    </row>
    <row r="60" spans="1:25" s="544" customFormat="1" x14ac:dyDescent="0.3">
      <c r="A60" s="555"/>
      <c r="B60" s="556" t="s">
        <v>16</v>
      </c>
      <c r="C60" s="556"/>
      <c r="D60" s="556"/>
      <c r="E60" s="556"/>
      <c r="F60" s="556"/>
      <c r="G60" s="556"/>
      <c r="H60" s="556"/>
      <c r="I60" s="556"/>
      <c r="J60" s="556"/>
      <c r="K60" s="556"/>
      <c r="L60" s="556"/>
      <c r="M60" s="556"/>
      <c r="N60" s="556"/>
      <c r="O60" s="556"/>
      <c r="P60" s="556"/>
      <c r="Q60" s="556"/>
      <c r="R60" s="556"/>
      <c r="S60" s="556"/>
      <c r="T60" s="585"/>
      <c r="U60" s="586"/>
      <c r="V60" s="585">
        <v>43525</v>
      </c>
      <c r="W60" s="558"/>
      <c r="X60" s="543"/>
    </row>
    <row r="61" spans="1:25" s="544" customFormat="1" x14ac:dyDescent="0.3">
      <c r="A61" s="540"/>
      <c r="B61" s="588"/>
      <c r="C61" s="588"/>
      <c r="D61" s="588"/>
      <c r="E61" s="588"/>
      <c r="F61" s="588"/>
      <c r="G61" s="588"/>
      <c r="H61" s="588"/>
      <c r="I61" s="588"/>
      <c r="J61" s="588"/>
      <c r="K61" s="588"/>
      <c r="L61" s="588"/>
      <c r="M61" s="588"/>
      <c r="N61" s="588"/>
      <c r="O61" s="588"/>
      <c r="P61" s="588"/>
      <c r="Q61" s="588"/>
      <c r="R61" s="588"/>
      <c r="S61" s="588"/>
      <c r="T61" s="589"/>
      <c r="U61" s="590"/>
      <c r="V61" s="589"/>
      <c r="W61" s="588"/>
      <c r="X61" s="543"/>
    </row>
    <row r="62" spans="1:25" s="544" customFormat="1" x14ac:dyDescent="0.3">
      <c r="A62" s="540"/>
      <c r="B62" s="541"/>
      <c r="C62" s="541"/>
      <c r="D62" s="541"/>
      <c r="E62" s="541"/>
      <c r="F62" s="541"/>
      <c r="G62" s="541"/>
      <c r="H62" s="541"/>
      <c r="I62" s="541"/>
      <c r="J62" s="541"/>
      <c r="K62" s="541"/>
      <c r="L62" s="541"/>
      <c r="M62" s="541"/>
      <c r="N62" s="541"/>
      <c r="O62" s="541"/>
      <c r="P62" s="541"/>
      <c r="Q62" s="541"/>
      <c r="R62" s="541"/>
      <c r="S62" s="541"/>
      <c r="T62" s="591"/>
      <c r="U62" s="592"/>
      <c r="V62" s="591"/>
      <c r="W62" s="541"/>
      <c r="X62" s="543"/>
    </row>
    <row r="63" spans="1:25" s="544" customFormat="1" ht="18.600000000000001" thickBot="1" x14ac:dyDescent="0.4">
      <c r="A63" s="593"/>
      <c r="B63" s="594" t="s">
        <v>380</v>
      </c>
      <c r="C63" s="595"/>
      <c r="D63" s="595"/>
      <c r="E63" s="595"/>
      <c r="F63" s="595"/>
      <c r="G63" s="595"/>
      <c r="H63" s="595"/>
      <c r="I63" s="595"/>
      <c r="J63" s="595"/>
      <c r="K63" s="595"/>
      <c r="L63" s="595"/>
      <c r="M63" s="595"/>
      <c r="N63" s="595"/>
      <c r="O63" s="595"/>
      <c r="P63" s="595"/>
      <c r="Q63" s="595"/>
      <c r="R63" s="595"/>
      <c r="S63" s="595"/>
      <c r="T63" s="595"/>
      <c r="U63" s="595"/>
      <c r="V63" s="596"/>
      <c r="W63" s="597"/>
      <c r="X63" s="543"/>
    </row>
    <row r="64" spans="1:25" x14ac:dyDescent="0.3">
      <c r="A64" s="515"/>
      <c r="B64" s="521" t="s">
        <v>17</v>
      </c>
      <c r="C64" s="516"/>
      <c r="D64" s="516"/>
      <c r="E64" s="516"/>
      <c r="F64" s="516"/>
      <c r="G64" s="516"/>
      <c r="H64" s="516"/>
      <c r="I64" s="516"/>
      <c r="J64" s="516"/>
      <c r="K64" s="516"/>
      <c r="L64" s="516"/>
      <c r="M64" s="516"/>
      <c r="N64" s="516"/>
      <c r="O64" s="516"/>
      <c r="P64" s="516"/>
      <c r="Q64" s="516"/>
      <c r="R64" s="516"/>
      <c r="S64" s="516"/>
      <c r="T64" s="516"/>
      <c r="U64" s="516"/>
      <c r="V64" s="522"/>
      <c r="W64" s="516"/>
      <c r="X64" s="415"/>
    </row>
    <row r="65" spans="1:24" x14ac:dyDescent="0.3">
      <c r="A65" s="417"/>
      <c r="B65" s="425"/>
      <c r="C65" s="419"/>
      <c r="D65" s="419"/>
      <c r="E65" s="419"/>
      <c r="F65" s="419"/>
      <c r="G65" s="419"/>
      <c r="H65" s="419"/>
      <c r="I65" s="419"/>
      <c r="J65" s="419"/>
      <c r="K65" s="419"/>
      <c r="L65" s="419"/>
      <c r="M65" s="419"/>
      <c r="N65" s="419"/>
      <c r="O65" s="419"/>
      <c r="P65" s="419"/>
      <c r="Q65" s="419"/>
      <c r="R65" s="419"/>
      <c r="S65" s="419"/>
      <c r="T65" s="419"/>
      <c r="U65" s="419"/>
      <c r="V65" s="439"/>
      <c r="W65" s="419"/>
      <c r="X65" s="415"/>
    </row>
    <row r="66" spans="1:24" s="499" customFormat="1" ht="46.8" x14ac:dyDescent="0.3">
      <c r="A66" s="502"/>
      <c r="B66" s="503" t="s">
        <v>18</v>
      </c>
      <c r="C66" s="504"/>
      <c r="D66" s="504"/>
      <c r="E66" s="504"/>
      <c r="F66" s="504"/>
      <c r="G66" s="504"/>
      <c r="H66" s="504"/>
      <c r="I66" s="504"/>
      <c r="J66" s="504"/>
      <c r="K66" s="504"/>
      <c r="L66" s="504" t="s">
        <v>94</v>
      </c>
      <c r="M66" s="504"/>
      <c r="N66" s="504" t="s">
        <v>96</v>
      </c>
      <c r="O66" s="504"/>
      <c r="P66" s="504" t="s">
        <v>98</v>
      </c>
      <c r="Q66" s="504"/>
      <c r="R66" s="504" t="s">
        <v>100</v>
      </c>
      <c r="S66" s="504"/>
      <c r="T66" s="504" t="s">
        <v>106</v>
      </c>
      <c r="U66" s="504"/>
      <c r="V66" s="505" t="s">
        <v>112</v>
      </c>
      <c r="W66" s="506"/>
      <c r="X66" s="498"/>
    </row>
    <row r="67" spans="1:24" s="544" customFormat="1" x14ac:dyDescent="0.3">
      <c r="A67" s="555"/>
      <c r="B67" s="556" t="s">
        <v>19</v>
      </c>
      <c r="C67" s="598"/>
      <c r="D67" s="598"/>
      <c r="E67" s="598"/>
      <c r="F67" s="598"/>
      <c r="G67" s="598"/>
      <c r="H67" s="598"/>
      <c r="I67" s="598"/>
      <c r="J67" s="598"/>
      <c r="K67" s="598"/>
      <c r="L67" s="598">
        <v>1158015</v>
      </c>
      <c r="M67" s="598"/>
      <c r="N67" s="599">
        <v>802205</v>
      </c>
      <c r="O67" s="598"/>
      <c r="P67" s="598">
        <f>16394</f>
        <v>16394</v>
      </c>
      <c r="Q67" s="598"/>
      <c r="R67" s="598">
        <v>0</v>
      </c>
      <c r="S67" s="598"/>
      <c r="T67" s="598">
        <v>0</v>
      </c>
      <c r="U67" s="598"/>
      <c r="V67" s="599">
        <f>+N67-P67+R67-T67</f>
        <v>785811</v>
      </c>
      <c r="W67" s="558"/>
      <c r="X67" s="543"/>
    </row>
    <row r="68" spans="1:24" s="544" customFormat="1" x14ac:dyDescent="0.3">
      <c r="A68" s="555"/>
      <c r="B68" s="556" t="s">
        <v>20</v>
      </c>
      <c r="C68" s="598"/>
      <c r="D68" s="598"/>
      <c r="E68" s="598"/>
      <c r="F68" s="598"/>
      <c r="G68" s="598"/>
      <c r="H68" s="598"/>
      <c r="I68" s="598"/>
      <c r="J68" s="598"/>
      <c r="K68" s="598"/>
      <c r="L68" s="598">
        <v>15</v>
      </c>
      <c r="M68" s="598"/>
      <c r="N68" s="599">
        <v>0</v>
      </c>
      <c r="O68" s="598"/>
      <c r="P68" s="598">
        <v>0</v>
      </c>
      <c r="Q68" s="598"/>
      <c r="R68" s="598">
        <v>0</v>
      </c>
      <c r="S68" s="598"/>
      <c r="T68" s="598">
        <v>0</v>
      </c>
      <c r="U68" s="598"/>
      <c r="V68" s="599">
        <v>0</v>
      </c>
      <c r="W68" s="558"/>
      <c r="X68" s="543"/>
    </row>
    <row r="69" spans="1:24" s="544" customFormat="1" x14ac:dyDescent="0.3">
      <c r="A69" s="555"/>
      <c r="B69" s="556"/>
      <c r="C69" s="598"/>
      <c r="D69" s="598"/>
      <c r="E69" s="598"/>
      <c r="F69" s="598"/>
      <c r="G69" s="598"/>
      <c r="H69" s="598"/>
      <c r="I69" s="598"/>
      <c r="J69" s="598"/>
      <c r="K69" s="598"/>
      <c r="L69" s="598"/>
      <c r="M69" s="598"/>
      <c r="N69" s="599"/>
      <c r="O69" s="598"/>
      <c r="P69" s="598"/>
      <c r="Q69" s="598"/>
      <c r="R69" s="598"/>
      <c r="S69" s="598"/>
      <c r="T69" s="598"/>
      <c r="U69" s="598"/>
      <c r="V69" s="599"/>
      <c r="W69" s="558"/>
      <c r="X69" s="543"/>
    </row>
    <row r="70" spans="1:24" s="544" customFormat="1" x14ac:dyDescent="0.3">
      <c r="A70" s="555"/>
      <c r="B70" s="556" t="s">
        <v>21</v>
      </c>
      <c r="C70" s="598"/>
      <c r="D70" s="598"/>
      <c r="E70" s="598"/>
      <c r="F70" s="598"/>
      <c r="G70" s="598"/>
      <c r="H70" s="598"/>
      <c r="I70" s="598"/>
      <c r="J70" s="598"/>
      <c r="K70" s="598"/>
      <c r="L70" s="598">
        <f>SUM(L67:L69)</f>
        <v>1158030</v>
      </c>
      <c r="M70" s="598"/>
      <c r="N70" s="598">
        <f>N67+N68</f>
        <v>802205</v>
      </c>
      <c r="O70" s="598"/>
      <c r="P70" s="598">
        <f>SUM(P67:P69)</f>
        <v>16394</v>
      </c>
      <c r="Q70" s="598"/>
      <c r="R70" s="598">
        <f>SUM(R67:R69)</f>
        <v>0</v>
      </c>
      <c r="S70" s="598"/>
      <c r="T70" s="598">
        <f>SUM(T67:T69)</f>
        <v>0</v>
      </c>
      <c r="U70" s="598"/>
      <c r="V70" s="598">
        <f>SUM(V67:V69)</f>
        <v>785811</v>
      </c>
      <c r="W70" s="558"/>
      <c r="X70" s="543"/>
    </row>
    <row r="71" spans="1:24" x14ac:dyDescent="0.3">
      <c r="A71" s="417"/>
      <c r="B71" s="441"/>
      <c r="C71" s="442"/>
      <c r="D71" s="442"/>
      <c r="E71" s="442"/>
      <c r="F71" s="442"/>
      <c r="G71" s="442"/>
      <c r="H71" s="442"/>
      <c r="I71" s="442"/>
      <c r="J71" s="442"/>
      <c r="K71" s="442"/>
      <c r="L71" s="442"/>
      <c r="M71" s="442"/>
      <c r="N71" s="442"/>
      <c r="O71" s="442"/>
      <c r="P71" s="442"/>
      <c r="Q71" s="442"/>
      <c r="R71" s="442"/>
      <c r="S71" s="442"/>
      <c r="T71" s="442"/>
      <c r="U71" s="442"/>
      <c r="V71" s="443"/>
      <c r="W71" s="441"/>
      <c r="X71" s="415"/>
    </row>
    <row r="72" spans="1:24" x14ac:dyDescent="0.3">
      <c r="A72" s="417"/>
      <c r="B72" s="421" t="s">
        <v>22</v>
      </c>
      <c r="C72" s="444"/>
      <c r="D72" s="444"/>
      <c r="E72" s="444"/>
      <c r="F72" s="444"/>
      <c r="G72" s="444"/>
      <c r="H72" s="444"/>
      <c r="I72" s="444"/>
      <c r="J72" s="444"/>
      <c r="K72" s="444"/>
      <c r="L72" s="444"/>
      <c r="M72" s="444"/>
      <c r="N72" s="444"/>
      <c r="O72" s="444"/>
      <c r="P72" s="444"/>
      <c r="Q72" s="444"/>
      <c r="R72" s="444"/>
      <c r="S72" s="444"/>
      <c r="T72" s="444"/>
      <c r="U72" s="444"/>
      <c r="V72" s="445"/>
      <c r="W72" s="419"/>
      <c r="X72" s="415"/>
    </row>
    <row r="73" spans="1:24" x14ac:dyDescent="0.3">
      <c r="A73" s="417"/>
      <c r="B73" s="419"/>
      <c r="C73" s="444"/>
      <c r="D73" s="444"/>
      <c r="E73" s="444"/>
      <c r="F73" s="444"/>
      <c r="G73" s="444"/>
      <c r="H73" s="444"/>
      <c r="I73" s="444"/>
      <c r="J73" s="444"/>
      <c r="K73" s="444"/>
      <c r="L73" s="444"/>
      <c r="M73" s="444"/>
      <c r="N73" s="444"/>
      <c r="O73" s="444"/>
      <c r="P73" s="444"/>
      <c r="Q73" s="444"/>
      <c r="R73" s="444"/>
      <c r="S73" s="444"/>
      <c r="T73" s="444"/>
      <c r="U73" s="444"/>
      <c r="V73" s="445"/>
      <c r="W73" s="419"/>
      <c r="X73" s="415"/>
    </row>
    <row r="74" spans="1:24" s="544" customFormat="1" x14ac:dyDescent="0.3">
      <c r="A74" s="555"/>
      <c r="B74" s="556" t="s">
        <v>19</v>
      </c>
      <c r="C74" s="598"/>
      <c r="D74" s="598"/>
      <c r="E74" s="598"/>
      <c r="F74" s="598"/>
      <c r="G74" s="598"/>
      <c r="H74" s="598"/>
      <c r="I74" s="598"/>
      <c r="J74" s="598"/>
      <c r="K74" s="598"/>
      <c r="L74" s="598"/>
      <c r="M74" s="598"/>
      <c r="N74" s="598"/>
      <c r="O74" s="598"/>
      <c r="P74" s="598"/>
      <c r="Q74" s="598"/>
      <c r="R74" s="598"/>
      <c r="S74" s="598"/>
      <c r="T74" s="598"/>
      <c r="U74" s="598"/>
      <c r="V74" s="598"/>
      <c r="W74" s="558"/>
      <c r="X74" s="543"/>
    </row>
    <row r="75" spans="1:24" s="544" customFormat="1" x14ac:dyDescent="0.3">
      <c r="A75" s="555"/>
      <c r="B75" s="556" t="s">
        <v>20</v>
      </c>
      <c r="C75" s="598"/>
      <c r="D75" s="598"/>
      <c r="E75" s="598"/>
      <c r="F75" s="598"/>
      <c r="G75" s="598"/>
      <c r="H75" s="598"/>
      <c r="I75" s="598"/>
      <c r="J75" s="598"/>
      <c r="K75" s="598"/>
      <c r="L75" s="598"/>
      <c r="M75" s="598"/>
      <c r="N75" s="598"/>
      <c r="O75" s="598"/>
      <c r="P75" s="598"/>
      <c r="Q75" s="598"/>
      <c r="R75" s="598"/>
      <c r="S75" s="598"/>
      <c r="T75" s="598"/>
      <c r="U75" s="598"/>
      <c r="V75" s="598"/>
      <c r="W75" s="558"/>
      <c r="X75" s="543"/>
    </row>
    <row r="76" spans="1:24" s="544" customFormat="1" x14ac:dyDescent="0.3">
      <c r="A76" s="555"/>
      <c r="B76" s="556"/>
      <c r="C76" s="598"/>
      <c r="D76" s="598"/>
      <c r="E76" s="598"/>
      <c r="F76" s="598"/>
      <c r="G76" s="598"/>
      <c r="H76" s="598"/>
      <c r="I76" s="598"/>
      <c r="J76" s="598"/>
      <c r="K76" s="598"/>
      <c r="L76" s="598"/>
      <c r="M76" s="598"/>
      <c r="N76" s="598"/>
      <c r="O76" s="598"/>
      <c r="P76" s="598"/>
      <c r="Q76" s="598"/>
      <c r="R76" s="598"/>
      <c r="S76" s="598"/>
      <c r="T76" s="598"/>
      <c r="U76" s="598"/>
      <c r="V76" s="598"/>
      <c r="W76" s="558"/>
      <c r="X76" s="543"/>
    </row>
    <row r="77" spans="1:24" s="544" customFormat="1" x14ac:dyDescent="0.3">
      <c r="A77" s="555"/>
      <c r="B77" s="556" t="s">
        <v>21</v>
      </c>
      <c r="C77" s="598"/>
      <c r="D77" s="598"/>
      <c r="E77" s="598"/>
      <c r="F77" s="598"/>
      <c r="G77" s="598"/>
      <c r="H77" s="598"/>
      <c r="I77" s="598"/>
      <c r="J77" s="598"/>
      <c r="K77" s="598"/>
      <c r="L77" s="598"/>
      <c r="M77" s="598"/>
      <c r="N77" s="598"/>
      <c r="O77" s="598"/>
      <c r="P77" s="598"/>
      <c r="Q77" s="598"/>
      <c r="R77" s="598"/>
      <c r="S77" s="598"/>
      <c r="T77" s="598"/>
      <c r="U77" s="598"/>
      <c r="V77" s="598"/>
      <c r="W77" s="558"/>
      <c r="X77" s="543"/>
    </row>
    <row r="78" spans="1:24" s="544" customFormat="1" x14ac:dyDescent="0.3">
      <c r="A78" s="555"/>
      <c r="B78" s="556"/>
      <c r="C78" s="598"/>
      <c r="D78" s="598"/>
      <c r="E78" s="598"/>
      <c r="F78" s="598"/>
      <c r="G78" s="598"/>
      <c r="H78" s="598"/>
      <c r="I78" s="598"/>
      <c r="J78" s="598"/>
      <c r="K78" s="598"/>
      <c r="L78" s="598"/>
      <c r="M78" s="598"/>
      <c r="N78" s="598"/>
      <c r="O78" s="598"/>
      <c r="P78" s="598"/>
      <c r="Q78" s="598"/>
      <c r="R78" s="598"/>
      <c r="S78" s="598"/>
      <c r="T78" s="598"/>
      <c r="U78" s="598"/>
      <c r="V78" s="598"/>
      <c r="W78" s="558"/>
      <c r="X78" s="543"/>
    </row>
    <row r="79" spans="1:24" s="544" customFormat="1" x14ac:dyDescent="0.3">
      <c r="A79" s="555"/>
      <c r="B79" s="556" t="s">
        <v>23</v>
      </c>
      <c r="C79" s="598"/>
      <c r="D79" s="598"/>
      <c r="E79" s="598"/>
      <c r="F79" s="598"/>
      <c r="G79" s="598"/>
      <c r="H79" s="598"/>
      <c r="I79" s="598"/>
      <c r="J79" s="598"/>
      <c r="K79" s="598"/>
      <c r="L79" s="598">
        <v>0</v>
      </c>
      <c r="M79" s="598"/>
      <c r="N79" s="598">
        <v>0</v>
      </c>
      <c r="O79" s="598"/>
      <c r="P79" s="598"/>
      <c r="Q79" s="598"/>
      <c r="R79" s="598"/>
      <c r="S79" s="598"/>
      <c r="T79" s="598"/>
      <c r="U79" s="598"/>
      <c r="V79" s="599">
        <v>0</v>
      </c>
      <c r="W79" s="558"/>
      <c r="X79" s="543"/>
    </row>
    <row r="80" spans="1:24" s="544" customFormat="1" x14ac:dyDescent="0.3">
      <c r="A80" s="555"/>
      <c r="B80" s="556" t="s">
        <v>117</v>
      </c>
      <c r="C80" s="598"/>
      <c r="D80" s="598"/>
      <c r="E80" s="598"/>
      <c r="F80" s="598"/>
      <c r="G80" s="598"/>
      <c r="H80" s="598"/>
      <c r="I80" s="598"/>
      <c r="J80" s="598"/>
      <c r="K80" s="598"/>
      <c r="L80" s="598">
        <v>342245</v>
      </c>
      <c r="M80" s="598"/>
      <c r="N80" s="598">
        <v>0</v>
      </c>
      <c r="O80" s="598"/>
      <c r="P80" s="598">
        <v>0</v>
      </c>
      <c r="Q80" s="598"/>
      <c r="R80" s="598"/>
      <c r="S80" s="598"/>
      <c r="T80" s="598"/>
      <c r="U80" s="598"/>
      <c r="V80" s="598">
        <f>SUM(N80:R80)</f>
        <v>0</v>
      </c>
      <c r="W80" s="558"/>
      <c r="X80" s="543"/>
    </row>
    <row r="81" spans="1:24" s="544" customFormat="1" x14ac:dyDescent="0.3">
      <c r="A81" s="555"/>
      <c r="B81" s="556" t="s">
        <v>146</v>
      </c>
      <c r="C81" s="598"/>
      <c r="D81" s="598"/>
      <c r="E81" s="598"/>
      <c r="F81" s="598"/>
      <c r="G81" s="598"/>
      <c r="H81" s="598"/>
      <c r="I81" s="598"/>
      <c r="J81" s="598"/>
      <c r="K81" s="598"/>
      <c r="L81" s="598">
        <v>0</v>
      </c>
      <c r="M81" s="598"/>
      <c r="N81" s="598">
        <v>0</v>
      </c>
      <c r="O81" s="598"/>
      <c r="P81" s="598">
        <v>0</v>
      </c>
      <c r="Q81" s="598"/>
      <c r="R81" s="598"/>
      <c r="S81" s="598"/>
      <c r="T81" s="598"/>
      <c r="U81" s="598"/>
      <c r="V81" s="598">
        <f>+N81+P81</f>
        <v>0</v>
      </c>
      <c r="W81" s="558"/>
      <c r="X81" s="543"/>
    </row>
    <row r="82" spans="1:24" s="544" customFormat="1" x14ac:dyDescent="0.3">
      <c r="A82" s="555"/>
      <c r="B82" s="556" t="s">
        <v>25</v>
      </c>
      <c r="C82" s="598"/>
      <c r="D82" s="598"/>
      <c r="E82" s="598"/>
      <c r="F82" s="598"/>
      <c r="G82" s="598"/>
      <c r="H82" s="598"/>
      <c r="I82" s="598"/>
      <c r="J82" s="598"/>
      <c r="K82" s="598"/>
      <c r="L82" s="598">
        <v>0</v>
      </c>
      <c r="M82" s="598"/>
      <c r="N82" s="598">
        <v>0</v>
      </c>
      <c r="O82" s="598"/>
      <c r="P82" s="598"/>
      <c r="Q82" s="598"/>
      <c r="R82" s="598"/>
      <c r="S82" s="598"/>
      <c r="T82" s="598"/>
      <c r="U82" s="598"/>
      <c r="V82" s="598">
        <v>0</v>
      </c>
      <c r="W82" s="558"/>
      <c r="X82" s="543"/>
    </row>
    <row r="83" spans="1:24" s="544" customFormat="1" x14ac:dyDescent="0.3">
      <c r="A83" s="555"/>
      <c r="B83" s="556" t="s">
        <v>26</v>
      </c>
      <c r="C83" s="598"/>
      <c r="D83" s="598"/>
      <c r="E83" s="598"/>
      <c r="F83" s="598"/>
      <c r="G83" s="598"/>
      <c r="H83" s="598"/>
      <c r="I83" s="598"/>
      <c r="J83" s="598"/>
      <c r="K83" s="598"/>
      <c r="L83" s="598">
        <f>SUM(L70:L82)</f>
        <v>1500275</v>
      </c>
      <c r="M83" s="598"/>
      <c r="N83" s="598">
        <f>SUM(N70:N82)</f>
        <v>802205</v>
      </c>
      <c r="O83" s="598"/>
      <c r="P83" s="598"/>
      <c r="Q83" s="598"/>
      <c r="R83" s="598"/>
      <c r="S83" s="598"/>
      <c r="T83" s="598"/>
      <c r="U83" s="598"/>
      <c r="V83" s="598">
        <f>SUM(V70:V82)</f>
        <v>785811</v>
      </c>
      <c r="W83" s="558"/>
      <c r="X83" s="543"/>
    </row>
    <row r="84" spans="1:24" x14ac:dyDescent="0.3">
      <c r="A84" s="446"/>
      <c r="B84" s="437"/>
      <c r="C84" s="447"/>
      <c r="D84" s="447"/>
      <c r="E84" s="447"/>
      <c r="F84" s="447"/>
      <c r="G84" s="447"/>
      <c r="H84" s="447"/>
      <c r="I84" s="447"/>
      <c r="J84" s="447"/>
      <c r="K84" s="447"/>
      <c r="L84" s="447"/>
      <c r="M84" s="447"/>
      <c r="N84" s="447"/>
      <c r="O84" s="447"/>
      <c r="P84" s="447"/>
      <c r="Q84" s="447"/>
      <c r="R84" s="447"/>
      <c r="S84" s="447"/>
      <c r="T84" s="447"/>
      <c r="U84" s="447"/>
      <c r="V84" s="447"/>
      <c r="W84" s="437"/>
      <c r="X84" s="415"/>
    </row>
    <row r="85" spans="1:24" x14ac:dyDescent="0.3">
      <c r="A85" s="446"/>
      <c r="B85" s="427"/>
      <c r="C85" s="427"/>
      <c r="D85" s="427"/>
      <c r="E85" s="427"/>
      <c r="F85" s="427"/>
      <c r="G85" s="427"/>
      <c r="H85" s="427"/>
      <c r="I85" s="427"/>
      <c r="J85" s="427"/>
      <c r="K85" s="427"/>
      <c r="L85" s="427"/>
      <c r="M85" s="427"/>
      <c r="N85" s="427"/>
      <c r="O85" s="427"/>
      <c r="P85" s="427"/>
      <c r="Q85" s="427"/>
      <c r="R85" s="427"/>
      <c r="S85" s="427"/>
      <c r="T85" s="427"/>
      <c r="U85" s="427"/>
      <c r="V85" s="427"/>
      <c r="W85" s="427"/>
      <c r="X85" s="415"/>
    </row>
    <row r="86" spans="1:24" x14ac:dyDescent="0.3">
      <c r="A86" s="515"/>
      <c r="B86" s="523" t="s">
        <v>27</v>
      </c>
      <c r="C86" s="523"/>
      <c r="D86" s="523"/>
      <c r="E86" s="523"/>
      <c r="F86" s="523"/>
      <c r="G86" s="523"/>
      <c r="H86" s="524"/>
      <c r="I86" s="524"/>
      <c r="J86" s="524"/>
      <c r="K86" s="524"/>
      <c r="L86" s="525" t="s">
        <v>95</v>
      </c>
      <c r="M86" s="524"/>
      <c r="N86" s="526">
        <f>+T204</f>
        <v>43524</v>
      </c>
      <c r="O86" s="524"/>
      <c r="P86" s="524"/>
      <c r="Q86" s="524"/>
      <c r="R86" s="524"/>
      <c r="S86" s="524"/>
      <c r="T86" s="524" t="s">
        <v>107</v>
      </c>
      <c r="U86" s="524"/>
      <c r="V86" s="524" t="s">
        <v>113</v>
      </c>
      <c r="W86" s="520"/>
      <c r="X86" s="415"/>
    </row>
    <row r="87" spans="1:24" s="544" customFormat="1" x14ac:dyDescent="0.3">
      <c r="A87" s="540"/>
      <c r="B87" s="588" t="s">
        <v>28</v>
      </c>
      <c r="C87" s="588"/>
      <c r="D87" s="588"/>
      <c r="E87" s="588"/>
      <c r="F87" s="588"/>
      <c r="G87" s="588"/>
      <c r="H87" s="588"/>
      <c r="I87" s="588"/>
      <c r="J87" s="588"/>
      <c r="K87" s="588"/>
      <c r="L87" s="588"/>
      <c r="M87" s="588"/>
      <c r="N87" s="588"/>
      <c r="O87" s="588"/>
      <c r="P87" s="588"/>
      <c r="Q87" s="588"/>
      <c r="R87" s="588"/>
      <c r="S87" s="588"/>
      <c r="T87" s="600">
        <v>0</v>
      </c>
      <c r="U87" s="588"/>
      <c r="V87" s="601">
        <v>0</v>
      </c>
      <c r="W87" s="588"/>
      <c r="X87" s="543"/>
    </row>
    <row r="88" spans="1:24" s="544" customFormat="1" x14ac:dyDescent="0.3">
      <c r="A88" s="555"/>
      <c r="B88" s="556" t="s">
        <v>29</v>
      </c>
      <c r="C88" s="556"/>
      <c r="D88" s="556"/>
      <c r="E88" s="556"/>
      <c r="F88" s="556"/>
      <c r="G88" s="556"/>
      <c r="H88" s="578"/>
      <c r="I88" s="578"/>
      <c r="J88" s="578"/>
      <c r="K88" s="602"/>
      <c r="L88" s="578"/>
      <c r="M88" s="556"/>
      <c r="N88" s="603"/>
      <c r="O88" s="556"/>
      <c r="P88" s="556"/>
      <c r="Q88" s="556"/>
      <c r="R88" s="556"/>
      <c r="S88" s="556"/>
      <c r="T88" s="598">
        <f>16394-499</f>
        <v>15895</v>
      </c>
      <c r="U88" s="556"/>
      <c r="V88" s="599"/>
      <c r="W88" s="558"/>
      <c r="X88" s="543"/>
    </row>
    <row r="89" spans="1:24" s="544" customFormat="1" x14ac:dyDescent="0.3">
      <c r="A89" s="555"/>
      <c r="B89" s="556" t="s">
        <v>216</v>
      </c>
      <c r="C89" s="556"/>
      <c r="D89" s="556"/>
      <c r="E89" s="556"/>
      <c r="F89" s="556"/>
      <c r="G89" s="556"/>
      <c r="H89" s="578"/>
      <c r="I89" s="578"/>
      <c r="J89" s="578"/>
      <c r="K89" s="602"/>
      <c r="L89" s="578"/>
      <c r="M89" s="556"/>
      <c r="N89" s="603"/>
      <c r="O89" s="556"/>
      <c r="P89" s="556"/>
      <c r="Q89" s="556"/>
      <c r="R89" s="556"/>
      <c r="S89" s="556"/>
      <c r="T89" s="598"/>
      <c r="U89" s="556"/>
      <c r="V89" s="599">
        <f>3109+3612-509-815</f>
        <v>5397</v>
      </c>
      <c r="W89" s="558"/>
      <c r="X89" s="543"/>
    </row>
    <row r="90" spans="1:24" s="544" customFormat="1" x14ac:dyDescent="0.3">
      <c r="A90" s="555"/>
      <c r="B90" s="556" t="s">
        <v>211</v>
      </c>
      <c r="C90" s="556"/>
      <c r="D90" s="556"/>
      <c r="E90" s="556"/>
      <c r="F90" s="556"/>
      <c r="G90" s="556"/>
      <c r="H90" s="578"/>
      <c r="I90" s="578"/>
      <c r="J90" s="578"/>
      <c r="K90" s="602"/>
      <c r="L90" s="578"/>
      <c r="M90" s="556"/>
      <c r="N90" s="603"/>
      <c r="O90" s="556"/>
      <c r="P90" s="556"/>
      <c r="Q90" s="556"/>
      <c r="R90" s="556"/>
      <c r="S90" s="556"/>
      <c r="T90" s="598"/>
      <c r="U90" s="556"/>
      <c r="V90" s="599">
        <f>341+69</f>
        <v>410</v>
      </c>
      <c r="W90" s="558"/>
      <c r="X90" s="543"/>
    </row>
    <row r="91" spans="1:24" s="544" customFormat="1" x14ac:dyDescent="0.3">
      <c r="A91" s="555"/>
      <c r="B91" s="556" t="s">
        <v>212</v>
      </c>
      <c r="C91" s="556"/>
      <c r="D91" s="556"/>
      <c r="E91" s="556"/>
      <c r="F91" s="556"/>
      <c r="G91" s="556"/>
      <c r="H91" s="578"/>
      <c r="I91" s="578"/>
      <c r="J91" s="578"/>
      <c r="K91" s="602"/>
      <c r="L91" s="578"/>
      <c r="M91" s="556"/>
      <c r="N91" s="603"/>
      <c r="O91" s="556"/>
      <c r="P91" s="556"/>
      <c r="Q91" s="556"/>
      <c r="R91" s="556"/>
      <c r="S91" s="556"/>
      <c r="T91" s="598"/>
      <c r="U91" s="556"/>
      <c r="V91" s="599">
        <v>78</v>
      </c>
      <c r="W91" s="558"/>
      <c r="X91" s="543"/>
    </row>
    <row r="92" spans="1:24" s="544" customFormat="1" x14ac:dyDescent="0.3">
      <c r="A92" s="555"/>
      <c r="B92" s="556" t="s">
        <v>272</v>
      </c>
      <c r="C92" s="556"/>
      <c r="D92" s="556"/>
      <c r="E92" s="556"/>
      <c r="F92" s="556"/>
      <c r="G92" s="556"/>
      <c r="H92" s="578"/>
      <c r="I92" s="578"/>
      <c r="J92" s="578"/>
      <c r="K92" s="602"/>
      <c r="L92" s="578"/>
      <c r="M92" s="556"/>
      <c r="N92" s="603"/>
      <c r="O92" s="556"/>
      <c r="P92" s="556"/>
      <c r="Q92" s="556"/>
      <c r="R92" s="556"/>
      <c r="S92" s="556"/>
      <c r="T92" s="598"/>
      <c r="U92" s="556"/>
      <c r="V92" s="599">
        <v>0</v>
      </c>
      <c r="W92" s="558"/>
      <c r="X92" s="543"/>
    </row>
    <row r="93" spans="1:24" s="544" customFormat="1" x14ac:dyDescent="0.3">
      <c r="A93" s="555"/>
      <c r="B93" s="556" t="s">
        <v>274</v>
      </c>
      <c r="C93" s="556"/>
      <c r="D93" s="556"/>
      <c r="E93" s="556"/>
      <c r="F93" s="556"/>
      <c r="G93" s="556"/>
      <c r="H93" s="578"/>
      <c r="I93" s="578"/>
      <c r="J93" s="578"/>
      <c r="K93" s="602"/>
      <c r="L93" s="578"/>
      <c r="M93" s="556"/>
      <c r="N93" s="603"/>
      <c r="O93" s="556"/>
      <c r="P93" s="556"/>
      <c r="Q93" s="556"/>
      <c r="R93" s="556"/>
      <c r="S93" s="556"/>
      <c r="T93" s="598"/>
      <c r="U93" s="556"/>
      <c r="V93" s="599">
        <v>0</v>
      </c>
      <c r="W93" s="558"/>
      <c r="X93" s="543"/>
    </row>
    <row r="94" spans="1:24" s="544" customFormat="1" x14ac:dyDescent="0.3">
      <c r="A94" s="555"/>
      <c r="B94" s="556" t="s">
        <v>135</v>
      </c>
      <c r="C94" s="556"/>
      <c r="D94" s="556"/>
      <c r="E94" s="556"/>
      <c r="F94" s="556"/>
      <c r="G94" s="556"/>
      <c r="H94" s="556"/>
      <c r="I94" s="556"/>
      <c r="J94" s="556"/>
      <c r="K94" s="556"/>
      <c r="L94" s="556"/>
      <c r="M94" s="556"/>
      <c r="N94" s="556"/>
      <c r="O94" s="556"/>
      <c r="P94" s="556"/>
      <c r="Q94" s="556"/>
      <c r="R94" s="556"/>
      <c r="S94" s="556"/>
      <c r="T94" s="598"/>
      <c r="U94" s="556"/>
      <c r="V94" s="599">
        <v>0</v>
      </c>
      <c r="W94" s="558"/>
      <c r="X94" s="543"/>
    </row>
    <row r="95" spans="1:24" s="544" customFormat="1" x14ac:dyDescent="0.3">
      <c r="A95" s="555"/>
      <c r="B95" s="556" t="s">
        <v>268</v>
      </c>
      <c r="C95" s="556"/>
      <c r="D95" s="556"/>
      <c r="E95" s="556"/>
      <c r="F95" s="556"/>
      <c r="G95" s="556"/>
      <c r="H95" s="556"/>
      <c r="I95" s="556"/>
      <c r="J95" s="556"/>
      <c r="K95" s="556"/>
      <c r="L95" s="556"/>
      <c r="M95" s="556"/>
      <c r="N95" s="556"/>
      <c r="O95" s="556"/>
      <c r="P95" s="556"/>
      <c r="Q95" s="556"/>
      <c r="R95" s="556"/>
      <c r="S95" s="556"/>
      <c r="T95" s="598"/>
      <c r="U95" s="556"/>
      <c r="V95" s="599">
        <v>0</v>
      </c>
      <c r="W95" s="558"/>
      <c r="X95" s="543"/>
    </row>
    <row r="96" spans="1:24" s="544" customFormat="1" x14ac:dyDescent="0.3">
      <c r="A96" s="555"/>
      <c r="B96" s="556" t="s">
        <v>30</v>
      </c>
      <c r="C96" s="556"/>
      <c r="D96" s="556"/>
      <c r="E96" s="556"/>
      <c r="F96" s="556"/>
      <c r="G96" s="556"/>
      <c r="H96" s="556"/>
      <c r="I96" s="556"/>
      <c r="J96" s="556"/>
      <c r="K96" s="556"/>
      <c r="L96" s="556"/>
      <c r="M96" s="556"/>
      <c r="N96" s="556"/>
      <c r="O96" s="556"/>
      <c r="P96" s="556"/>
      <c r="Q96" s="556"/>
      <c r="R96" s="556"/>
      <c r="S96" s="556"/>
      <c r="T96" s="598">
        <f>SUM(T87:T95)</f>
        <v>15895</v>
      </c>
      <c r="U96" s="556"/>
      <c r="V96" s="598">
        <f>SUM(V87:V95)</f>
        <v>5885</v>
      </c>
      <c r="W96" s="558"/>
      <c r="X96" s="543"/>
    </row>
    <row r="97" spans="1:25" s="544" customFormat="1" x14ac:dyDescent="0.3">
      <c r="A97" s="555"/>
      <c r="B97" s="556" t="s">
        <v>161</v>
      </c>
      <c r="C97" s="556"/>
      <c r="D97" s="556"/>
      <c r="E97" s="556"/>
      <c r="F97" s="556"/>
      <c r="G97" s="556"/>
      <c r="H97" s="556"/>
      <c r="I97" s="556"/>
      <c r="J97" s="556"/>
      <c r="K97" s="556"/>
      <c r="L97" s="556"/>
      <c r="M97" s="556"/>
      <c r="N97" s="556"/>
      <c r="O97" s="556"/>
      <c r="P97" s="556"/>
      <c r="Q97" s="556"/>
      <c r="R97" s="556"/>
      <c r="S97" s="556"/>
      <c r="T97" s="598">
        <f>-V97</f>
        <v>0</v>
      </c>
      <c r="U97" s="556"/>
      <c r="V97" s="598">
        <v>0</v>
      </c>
      <c r="W97" s="558"/>
      <c r="X97" s="543"/>
    </row>
    <row r="98" spans="1:25" s="544" customFormat="1" x14ac:dyDescent="0.3">
      <c r="A98" s="555"/>
      <c r="B98" s="556" t="s">
        <v>31</v>
      </c>
      <c r="C98" s="556"/>
      <c r="D98" s="556"/>
      <c r="E98" s="556"/>
      <c r="F98" s="556"/>
      <c r="G98" s="556"/>
      <c r="H98" s="556"/>
      <c r="I98" s="556"/>
      <c r="J98" s="556"/>
      <c r="K98" s="556"/>
      <c r="L98" s="556"/>
      <c r="M98" s="556"/>
      <c r="N98" s="556"/>
      <c r="O98" s="556"/>
      <c r="P98" s="556"/>
      <c r="Q98" s="556"/>
      <c r="R98" s="556"/>
      <c r="S98" s="556"/>
      <c r="T98" s="598">
        <f>-V98</f>
        <v>0</v>
      </c>
      <c r="U98" s="556"/>
      <c r="V98" s="599">
        <v>0</v>
      </c>
      <c r="W98" s="558"/>
      <c r="X98" s="543"/>
    </row>
    <row r="99" spans="1:25" s="544" customFormat="1" x14ac:dyDescent="0.3">
      <c r="A99" s="555"/>
      <c r="B99" s="556" t="s">
        <v>283</v>
      </c>
      <c r="C99" s="556"/>
      <c r="D99" s="556"/>
      <c r="E99" s="556"/>
      <c r="F99" s="556"/>
      <c r="G99" s="556"/>
      <c r="H99" s="556"/>
      <c r="I99" s="556"/>
      <c r="J99" s="556"/>
      <c r="K99" s="556"/>
      <c r="L99" s="556"/>
      <c r="M99" s="556"/>
      <c r="N99" s="556"/>
      <c r="O99" s="556"/>
      <c r="P99" s="556"/>
      <c r="Q99" s="556"/>
      <c r="R99" s="556"/>
      <c r="S99" s="556"/>
      <c r="T99" s="598"/>
      <c r="U99" s="556"/>
      <c r="V99" s="599">
        <v>277</v>
      </c>
      <c r="W99" s="558"/>
      <c r="X99" s="543"/>
    </row>
    <row r="100" spans="1:25" s="544" customFormat="1" x14ac:dyDescent="0.3">
      <c r="A100" s="555"/>
      <c r="B100" s="556" t="s">
        <v>32</v>
      </c>
      <c r="C100" s="556"/>
      <c r="D100" s="556"/>
      <c r="E100" s="556"/>
      <c r="F100" s="556"/>
      <c r="G100" s="556"/>
      <c r="H100" s="556"/>
      <c r="I100" s="556"/>
      <c r="J100" s="556"/>
      <c r="K100" s="556"/>
      <c r="L100" s="556"/>
      <c r="M100" s="556"/>
      <c r="N100" s="556"/>
      <c r="O100" s="556"/>
      <c r="P100" s="556"/>
      <c r="Q100" s="556"/>
      <c r="R100" s="556"/>
      <c r="S100" s="556"/>
      <c r="T100" s="598">
        <f>T96+T98+T97</f>
        <v>15895</v>
      </c>
      <c r="U100" s="556"/>
      <c r="V100" s="598">
        <f>V96+V98+V97+V99</f>
        <v>6162</v>
      </c>
      <c r="W100" s="558"/>
      <c r="X100" s="543"/>
    </row>
    <row r="101" spans="1:25" x14ac:dyDescent="0.3">
      <c r="A101" s="431"/>
      <c r="B101" s="507" t="s">
        <v>33</v>
      </c>
      <c r="C101" s="434"/>
      <c r="D101" s="434"/>
      <c r="E101" s="434"/>
      <c r="F101" s="434"/>
      <c r="G101" s="434"/>
      <c r="H101" s="434"/>
      <c r="I101" s="434"/>
      <c r="J101" s="434"/>
      <c r="K101" s="434"/>
      <c r="L101" s="434"/>
      <c r="M101" s="434"/>
      <c r="N101" s="434"/>
      <c r="O101" s="434"/>
      <c r="P101" s="434"/>
      <c r="Q101" s="434"/>
      <c r="R101" s="434"/>
      <c r="S101" s="434"/>
      <c r="T101" s="448"/>
      <c r="U101" s="434"/>
      <c r="V101" s="449"/>
      <c r="W101" s="436"/>
      <c r="X101" s="415"/>
    </row>
    <row r="102" spans="1:25" s="544" customFormat="1" x14ac:dyDescent="0.3">
      <c r="A102" s="555">
        <v>1</v>
      </c>
      <c r="B102" s="556" t="s">
        <v>34</v>
      </c>
      <c r="C102" s="556"/>
      <c r="D102" s="556"/>
      <c r="E102" s="556"/>
      <c r="F102" s="556"/>
      <c r="G102" s="556"/>
      <c r="H102" s="556"/>
      <c r="I102" s="556"/>
      <c r="J102" s="556"/>
      <c r="K102" s="556"/>
      <c r="L102" s="556"/>
      <c r="M102" s="556"/>
      <c r="N102" s="556"/>
      <c r="O102" s="556"/>
      <c r="P102" s="556"/>
      <c r="Q102" s="556"/>
      <c r="R102" s="556"/>
      <c r="S102" s="556"/>
      <c r="T102" s="556"/>
      <c r="U102" s="556"/>
      <c r="V102" s="599">
        <v>0</v>
      </c>
      <c r="W102" s="558"/>
      <c r="X102" s="543"/>
    </row>
    <row r="103" spans="1:25" s="544" customFormat="1" x14ac:dyDescent="0.3">
      <c r="A103" s="555">
        <f>+A102+1</f>
        <v>2</v>
      </c>
      <c r="B103" s="556" t="s">
        <v>330</v>
      </c>
      <c r="C103" s="556"/>
      <c r="D103" s="556"/>
      <c r="E103" s="556"/>
      <c r="F103" s="556"/>
      <c r="G103" s="556"/>
      <c r="H103" s="556"/>
      <c r="I103" s="556"/>
      <c r="J103" s="556"/>
      <c r="K103" s="556"/>
      <c r="L103" s="556"/>
      <c r="M103" s="556"/>
      <c r="N103" s="556"/>
      <c r="O103" s="556"/>
      <c r="P103" s="556"/>
      <c r="Q103" s="556"/>
      <c r="R103" s="556"/>
      <c r="S103" s="556"/>
      <c r="T103" s="556"/>
      <c r="U103" s="556"/>
      <c r="V103" s="599">
        <v>-2</v>
      </c>
      <c r="W103" s="558"/>
      <c r="X103" s="543"/>
    </row>
    <row r="104" spans="1:25" s="544" customFormat="1" x14ac:dyDescent="0.3">
      <c r="A104" s="555">
        <f>+A103+1</f>
        <v>3</v>
      </c>
      <c r="B104" s="556" t="s">
        <v>331</v>
      </c>
      <c r="C104" s="556"/>
      <c r="D104" s="556"/>
      <c r="E104" s="556"/>
      <c r="F104" s="556"/>
      <c r="G104" s="556"/>
      <c r="H104" s="556"/>
      <c r="I104" s="556"/>
      <c r="J104" s="556"/>
      <c r="K104" s="556"/>
      <c r="L104" s="556"/>
      <c r="M104" s="556"/>
      <c r="N104" s="556"/>
      <c r="O104" s="556"/>
      <c r="P104" s="556"/>
      <c r="Q104" s="556"/>
      <c r="R104" s="556"/>
      <c r="S104" s="556"/>
      <c r="T104" s="556"/>
      <c r="U104" s="556"/>
      <c r="V104" s="599">
        <f>-100-143-11</f>
        <v>-254</v>
      </c>
      <c r="W104" s="558"/>
      <c r="X104" s="543"/>
    </row>
    <row r="105" spans="1:25" s="544" customFormat="1" x14ac:dyDescent="0.3">
      <c r="A105" s="555" t="s">
        <v>127</v>
      </c>
      <c r="B105" s="556" t="s">
        <v>116</v>
      </c>
      <c r="C105" s="556"/>
      <c r="D105" s="556"/>
      <c r="E105" s="556"/>
      <c r="F105" s="556"/>
      <c r="G105" s="556"/>
      <c r="H105" s="556"/>
      <c r="I105" s="556"/>
      <c r="J105" s="556"/>
      <c r="K105" s="556"/>
      <c r="L105" s="556"/>
      <c r="M105" s="556"/>
      <c r="N105" s="556"/>
      <c r="O105" s="556"/>
      <c r="P105" s="556"/>
      <c r="Q105" s="556"/>
      <c r="R105" s="556"/>
      <c r="S105" s="556"/>
      <c r="T105" s="556"/>
      <c r="U105" s="556"/>
      <c r="V105" s="599">
        <v>0</v>
      </c>
      <c r="W105" s="558"/>
      <c r="X105" s="543"/>
    </row>
    <row r="106" spans="1:25" s="544" customFormat="1" x14ac:dyDescent="0.3">
      <c r="A106" s="555" t="s">
        <v>128</v>
      </c>
      <c r="B106" s="556" t="s">
        <v>363</v>
      </c>
      <c r="C106" s="556"/>
      <c r="D106" s="556"/>
      <c r="E106" s="556"/>
      <c r="F106" s="556"/>
      <c r="G106" s="556"/>
      <c r="H106" s="556"/>
      <c r="I106" s="556"/>
      <c r="J106" s="556"/>
      <c r="K106" s="556"/>
      <c r="L106" s="556"/>
      <c r="M106" s="556"/>
      <c r="N106" s="556"/>
      <c r="O106" s="556"/>
      <c r="P106" s="556"/>
      <c r="Q106" s="556"/>
      <c r="R106" s="556"/>
      <c r="S106" s="556"/>
      <c r="T106" s="556"/>
      <c r="U106" s="556"/>
      <c r="V106" s="599">
        <f>-936-151</f>
        <v>-1087</v>
      </c>
      <c r="W106" s="558"/>
      <c r="X106" s="543"/>
      <c r="Y106" s="604"/>
    </row>
    <row r="107" spans="1:25" s="544" customFormat="1" x14ac:dyDescent="0.3">
      <c r="A107" s="555" t="s">
        <v>150</v>
      </c>
      <c r="B107" s="556" t="s">
        <v>364</v>
      </c>
      <c r="C107" s="556"/>
      <c r="D107" s="556"/>
      <c r="E107" s="556"/>
      <c r="F107" s="556"/>
      <c r="G107" s="556"/>
      <c r="H107" s="556"/>
      <c r="I107" s="556"/>
      <c r="J107" s="556"/>
      <c r="K107" s="556"/>
      <c r="L107" s="556"/>
      <c r="M107" s="556"/>
      <c r="N107" s="556"/>
      <c r="O107" s="556"/>
      <c r="P107" s="556"/>
      <c r="Q107" s="556"/>
      <c r="R107" s="556"/>
      <c r="S107" s="556"/>
      <c r="T107" s="556"/>
      <c r="U107" s="556"/>
      <c r="V107" s="599">
        <f>-208-266</f>
        <v>-474</v>
      </c>
      <c r="W107" s="558"/>
      <c r="X107" s="543"/>
      <c r="Y107" s="604"/>
    </row>
    <row r="108" spans="1:25" s="544" customFormat="1" x14ac:dyDescent="0.3">
      <c r="A108" s="555" t="s">
        <v>236</v>
      </c>
      <c r="B108" s="556" t="s">
        <v>238</v>
      </c>
      <c r="C108" s="556"/>
      <c r="D108" s="556"/>
      <c r="E108" s="556"/>
      <c r="F108" s="556"/>
      <c r="G108" s="556"/>
      <c r="H108" s="556"/>
      <c r="I108" s="556"/>
      <c r="J108" s="556"/>
      <c r="K108" s="556"/>
      <c r="L108" s="556"/>
      <c r="M108" s="556"/>
      <c r="N108" s="556"/>
      <c r="O108" s="556"/>
      <c r="P108" s="556"/>
      <c r="Q108" s="556"/>
      <c r="R108" s="556"/>
      <c r="S108" s="556"/>
      <c r="T108" s="556"/>
      <c r="U108" s="556"/>
      <c r="V108" s="599">
        <v>0</v>
      </c>
      <c r="W108" s="558"/>
      <c r="X108" s="543"/>
    </row>
    <row r="109" spans="1:25" s="544" customFormat="1" x14ac:dyDescent="0.3">
      <c r="A109" s="555" t="s">
        <v>205</v>
      </c>
      <c r="B109" s="556" t="s">
        <v>185</v>
      </c>
      <c r="C109" s="556"/>
      <c r="D109" s="556"/>
      <c r="E109" s="556"/>
      <c r="F109" s="556"/>
      <c r="G109" s="556"/>
      <c r="H109" s="556"/>
      <c r="I109" s="556"/>
      <c r="J109" s="556"/>
      <c r="K109" s="556"/>
      <c r="L109" s="556"/>
      <c r="M109" s="556"/>
      <c r="N109" s="556"/>
      <c r="O109" s="556"/>
      <c r="P109" s="556"/>
      <c r="Q109" s="556"/>
      <c r="R109" s="556"/>
      <c r="S109" s="556"/>
      <c r="T109" s="556"/>
      <c r="U109" s="556"/>
      <c r="V109" s="599">
        <v>-194</v>
      </c>
      <c r="W109" s="558"/>
      <c r="X109" s="543"/>
      <c r="Y109" s="604"/>
    </row>
    <row r="110" spans="1:25" s="544" customFormat="1" x14ac:dyDescent="0.3">
      <c r="A110" s="555" t="s">
        <v>206</v>
      </c>
      <c r="B110" s="556" t="s">
        <v>186</v>
      </c>
      <c r="C110" s="556"/>
      <c r="D110" s="556"/>
      <c r="E110" s="556"/>
      <c r="F110" s="556"/>
      <c r="G110" s="556"/>
      <c r="H110" s="556"/>
      <c r="I110" s="556"/>
      <c r="J110" s="556"/>
      <c r="K110" s="556"/>
      <c r="L110" s="556"/>
      <c r="M110" s="556"/>
      <c r="N110" s="556"/>
      <c r="O110" s="556"/>
      <c r="P110" s="556"/>
      <c r="Q110" s="556"/>
      <c r="R110" s="556"/>
      <c r="S110" s="556"/>
      <c r="T110" s="556"/>
      <c r="U110" s="556"/>
      <c r="V110" s="599">
        <v>-158</v>
      </c>
      <c r="W110" s="558"/>
      <c r="X110" s="605"/>
      <c r="Y110" s="604"/>
    </row>
    <row r="111" spans="1:25" s="544" customFormat="1" x14ac:dyDescent="0.3">
      <c r="A111" s="555" t="s">
        <v>207</v>
      </c>
      <c r="B111" s="556" t="s">
        <v>196</v>
      </c>
      <c r="C111" s="556"/>
      <c r="D111" s="556"/>
      <c r="E111" s="556"/>
      <c r="F111" s="556"/>
      <c r="G111" s="556"/>
      <c r="H111" s="556"/>
      <c r="I111" s="556"/>
      <c r="J111" s="556"/>
      <c r="K111" s="556"/>
      <c r="L111" s="556"/>
      <c r="M111" s="556"/>
      <c r="N111" s="556"/>
      <c r="O111" s="556"/>
      <c r="P111" s="556"/>
      <c r="Q111" s="556"/>
      <c r="R111" s="556"/>
      <c r="S111" s="556"/>
      <c r="T111" s="556"/>
      <c r="U111" s="556"/>
      <c r="V111" s="599">
        <v>-396</v>
      </c>
      <c r="W111" s="558"/>
      <c r="X111" s="543"/>
      <c r="Y111" s="604"/>
    </row>
    <row r="112" spans="1:25" s="544" customFormat="1" x14ac:dyDescent="0.3">
      <c r="A112" s="555" t="s">
        <v>224</v>
      </c>
      <c r="B112" s="556" t="s">
        <v>223</v>
      </c>
      <c r="C112" s="556"/>
      <c r="D112" s="556"/>
      <c r="E112" s="556"/>
      <c r="F112" s="556"/>
      <c r="G112" s="556"/>
      <c r="H112" s="556"/>
      <c r="I112" s="556"/>
      <c r="J112" s="556"/>
      <c r="K112" s="556"/>
      <c r="L112" s="556"/>
      <c r="M112" s="556"/>
      <c r="N112" s="556"/>
      <c r="O112" s="556"/>
      <c r="P112" s="556"/>
      <c r="Q112" s="556"/>
      <c r="R112" s="556"/>
      <c r="S112" s="556"/>
      <c r="T112" s="556"/>
      <c r="U112" s="556"/>
      <c r="V112" s="599">
        <v>-80</v>
      </c>
      <c r="W112" s="558"/>
      <c r="X112" s="543"/>
      <c r="Y112" s="604"/>
    </row>
    <row r="113" spans="1:24" s="544" customFormat="1" x14ac:dyDescent="0.3">
      <c r="A113" s="555">
        <v>7</v>
      </c>
      <c r="B113" s="556" t="s">
        <v>35</v>
      </c>
      <c r="C113" s="556"/>
      <c r="D113" s="556"/>
      <c r="E113" s="556"/>
      <c r="F113" s="556"/>
      <c r="G113" s="556"/>
      <c r="H113" s="556"/>
      <c r="I113" s="556"/>
      <c r="J113" s="556"/>
      <c r="K113" s="556"/>
      <c r="L113" s="556"/>
      <c r="M113" s="556"/>
      <c r="N113" s="556"/>
      <c r="O113" s="556"/>
      <c r="P113" s="556"/>
      <c r="Q113" s="556"/>
      <c r="R113" s="556"/>
      <c r="S113" s="556"/>
      <c r="T113" s="556"/>
      <c r="U113" s="556"/>
      <c r="V113" s="599">
        <v>-35</v>
      </c>
      <c r="W113" s="558"/>
      <c r="X113" s="543"/>
    </row>
    <row r="114" spans="1:24" s="544" customFormat="1" x14ac:dyDescent="0.3">
      <c r="A114" s="555">
        <f t="shared" ref="A114:A120" si="0">+A113+1</f>
        <v>8</v>
      </c>
      <c r="B114" s="556" t="s">
        <v>45</v>
      </c>
      <c r="C114" s="556"/>
      <c r="D114" s="556"/>
      <c r="E114" s="556"/>
      <c r="F114" s="556"/>
      <c r="G114" s="556"/>
      <c r="H114" s="556"/>
      <c r="I114" s="556"/>
      <c r="J114" s="556"/>
      <c r="K114" s="556"/>
      <c r="L114" s="556"/>
      <c r="M114" s="556"/>
      <c r="N114" s="556"/>
      <c r="O114" s="556"/>
      <c r="P114" s="556"/>
      <c r="Q114" s="556"/>
      <c r="R114" s="556"/>
      <c r="S114" s="556"/>
      <c r="T114" s="598">
        <f>-V114</f>
        <v>499</v>
      </c>
      <c r="U114" s="556"/>
      <c r="V114" s="599">
        <v>-499</v>
      </c>
      <c r="W114" s="558"/>
      <c r="X114" s="543"/>
    </row>
    <row r="115" spans="1:24" s="544" customFormat="1" x14ac:dyDescent="0.3">
      <c r="A115" s="555">
        <f t="shared" si="0"/>
        <v>9</v>
      </c>
      <c r="B115" s="556" t="s">
        <v>125</v>
      </c>
      <c r="C115" s="556"/>
      <c r="D115" s="556"/>
      <c r="E115" s="556"/>
      <c r="F115" s="556"/>
      <c r="G115" s="556"/>
      <c r="H115" s="556"/>
      <c r="I115" s="556"/>
      <c r="J115" s="556"/>
      <c r="K115" s="556"/>
      <c r="L115" s="556"/>
      <c r="M115" s="556"/>
      <c r="N115" s="556"/>
      <c r="O115" s="556"/>
      <c r="P115" s="556"/>
      <c r="Q115" s="556"/>
      <c r="R115" s="556"/>
      <c r="S115" s="556"/>
      <c r="T115" s="556"/>
      <c r="U115" s="556"/>
      <c r="V115" s="599">
        <v>0</v>
      </c>
      <c r="W115" s="558"/>
      <c r="X115" s="543"/>
    </row>
    <row r="116" spans="1:24" s="544" customFormat="1" x14ac:dyDescent="0.3">
      <c r="A116" s="555">
        <f t="shared" si="0"/>
        <v>10</v>
      </c>
      <c r="B116" s="556" t="s">
        <v>240</v>
      </c>
      <c r="C116" s="556"/>
      <c r="D116" s="556"/>
      <c r="E116" s="556"/>
      <c r="F116" s="556"/>
      <c r="G116" s="556"/>
      <c r="H116" s="556"/>
      <c r="I116" s="556"/>
      <c r="J116" s="556"/>
      <c r="K116" s="556"/>
      <c r="L116" s="556"/>
      <c r="M116" s="556"/>
      <c r="N116" s="556"/>
      <c r="O116" s="556"/>
      <c r="P116" s="556"/>
      <c r="Q116" s="556"/>
      <c r="R116" s="556"/>
      <c r="S116" s="556"/>
      <c r="T116" s="556"/>
      <c r="U116" s="556"/>
      <c r="V116" s="599">
        <v>0</v>
      </c>
      <c r="W116" s="558"/>
      <c r="X116" s="543"/>
    </row>
    <row r="117" spans="1:24" s="544" customFormat="1" x14ac:dyDescent="0.3">
      <c r="A117" s="555">
        <f t="shared" si="0"/>
        <v>11</v>
      </c>
      <c r="B117" s="556" t="s">
        <v>36</v>
      </c>
      <c r="C117" s="556"/>
      <c r="D117" s="556"/>
      <c r="E117" s="556"/>
      <c r="F117" s="556"/>
      <c r="G117" s="556"/>
      <c r="H117" s="556"/>
      <c r="I117" s="556"/>
      <c r="J117" s="556"/>
      <c r="K117" s="556"/>
      <c r="L117" s="556"/>
      <c r="M117" s="556"/>
      <c r="N117" s="556"/>
      <c r="O117" s="556"/>
      <c r="P117" s="556"/>
      <c r="Q117" s="556"/>
      <c r="R117" s="556"/>
      <c r="S117" s="556"/>
      <c r="T117" s="556"/>
      <c r="U117" s="556"/>
      <c r="V117" s="599">
        <v>0</v>
      </c>
      <c r="W117" s="558"/>
      <c r="X117" s="543"/>
    </row>
    <row r="118" spans="1:24" s="544" customFormat="1" x14ac:dyDescent="0.3">
      <c r="A118" s="555">
        <f t="shared" si="0"/>
        <v>12</v>
      </c>
      <c r="B118" s="556" t="s">
        <v>239</v>
      </c>
      <c r="C118" s="556"/>
      <c r="D118" s="556"/>
      <c r="E118" s="556"/>
      <c r="F118" s="556"/>
      <c r="G118" s="556"/>
      <c r="H118" s="556"/>
      <c r="I118" s="556"/>
      <c r="J118" s="556"/>
      <c r="K118" s="556"/>
      <c r="L118" s="556"/>
      <c r="M118" s="556"/>
      <c r="N118" s="556"/>
      <c r="O118" s="556"/>
      <c r="P118" s="556"/>
      <c r="Q118" s="556"/>
      <c r="R118" s="556"/>
      <c r="S118" s="556"/>
      <c r="T118" s="556"/>
      <c r="U118" s="556"/>
      <c r="V118" s="599">
        <v>0</v>
      </c>
      <c r="W118" s="558"/>
      <c r="X118" s="543"/>
    </row>
    <row r="119" spans="1:24" s="544" customFormat="1" x14ac:dyDescent="0.3">
      <c r="A119" s="555">
        <f t="shared" si="0"/>
        <v>13</v>
      </c>
      <c r="B119" s="556" t="s">
        <v>149</v>
      </c>
      <c r="C119" s="556"/>
      <c r="D119" s="556"/>
      <c r="E119" s="556"/>
      <c r="F119" s="556"/>
      <c r="G119" s="556"/>
      <c r="H119" s="556"/>
      <c r="I119" s="556"/>
      <c r="J119" s="556"/>
      <c r="K119" s="556"/>
      <c r="L119" s="556"/>
      <c r="M119" s="556"/>
      <c r="N119" s="556"/>
      <c r="O119" s="556"/>
      <c r="P119" s="556"/>
      <c r="Q119" s="556"/>
      <c r="R119" s="556"/>
      <c r="S119" s="556"/>
      <c r="T119" s="556"/>
      <c r="U119" s="556"/>
      <c r="V119" s="599">
        <v>-501</v>
      </c>
      <c r="W119" s="558"/>
      <c r="X119" s="543"/>
    </row>
    <row r="120" spans="1:24" s="544" customFormat="1" x14ac:dyDescent="0.3">
      <c r="A120" s="555">
        <f t="shared" si="0"/>
        <v>14</v>
      </c>
      <c r="B120" s="556" t="s">
        <v>126</v>
      </c>
      <c r="C120" s="556"/>
      <c r="D120" s="556"/>
      <c r="E120" s="556"/>
      <c r="F120" s="556"/>
      <c r="G120" s="556"/>
      <c r="H120" s="556"/>
      <c r="I120" s="556"/>
      <c r="J120" s="556"/>
      <c r="K120" s="556"/>
      <c r="L120" s="556"/>
      <c r="M120" s="556"/>
      <c r="N120" s="556"/>
      <c r="O120" s="556"/>
      <c r="P120" s="556"/>
      <c r="Q120" s="556"/>
      <c r="R120" s="556"/>
      <c r="S120" s="556"/>
      <c r="T120" s="556"/>
      <c r="U120" s="556"/>
      <c r="V120" s="599">
        <f>-V100-SUM(V102:V119)</f>
        <v>-2482</v>
      </c>
      <c r="W120" s="558"/>
      <c r="X120" s="543"/>
    </row>
    <row r="121" spans="1:24" x14ac:dyDescent="0.3">
      <c r="A121" s="431"/>
      <c r="B121" s="507" t="s">
        <v>37</v>
      </c>
      <c r="C121" s="434"/>
      <c r="D121" s="434"/>
      <c r="E121" s="434"/>
      <c r="F121" s="434"/>
      <c r="G121" s="434"/>
      <c r="H121" s="434"/>
      <c r="I121" s="434"/>
      <c r="J121" s="434"/>
      <c r="K121" s="434"/>
      <c r="L121" s="434"/>
      <c r="M121" s="434"/>
      <c r="N121" s="434"/>
      <c r="O121" s="434"/>
      <c r="P121" s="434"/>
      <c r="Q121" s="434"/>
      <c r="R121" s="434"/>
      <c r="S121" s="434"/>
      <c r="T121" s="434"/>
      <c r="U121" s="434"/>
      <c r="V121" s="450"/>
      <c r="W121" s="436"/>
      <c r="X121" s="415"/>
    </row>
    <row r="122" spans="1:24" s="544" customFormat="1" x14ac:dyDescent="0.3">
      <c r="A122" s="555"/>
      <c r="B122" s="556" t="s">
        <v>173</v>
      </c>
      <c r="C122" s="556"/>
      <c r="D122" s="556"/>
      <c r="E122" s="556"/>
      <c r="F122" s="556"/>
      <c r="G122" s="556"/>
      <c r="H122" s="556"/>
      <c r="I122" s="556"/>
      <c r="J122" s="556"/>
      <c r="K122" s="556"/>
      <c r="L122" s="556"/>
      <c r="M122" s="556"/>
      <c r="N122" s="556"/>
      <c r="O122" s="556"/>
      <c r="P122" s="556"/>
      <c r="Q122" s="556"/>
      <c r="R122" s="556"/>
      <c r="S122" s="556"/>
      <c r="T122" s="598">
        <f>-T188</f>
        <v>0</v>
      </c>
      <c r="U122" s="598"/>
      <c r="V122" s="599"/>
      <c r="W122" s="558"/>
      <c r="X122" s="543"/>
    </row>
    <row r="123" spans="1:24" s="544" customFormat="1" x14ac:dyDescent="0.3">
      <c r="A123" s="555"/>
      <c r="B123" s="556" t="s">
        <v>174</v>
      </c>
      <c r="C123" s="556"/>
      <c r="D123" s="556"/>
      <c r="E123" s="556"/>
      <c r="F123" s="556"/>
      <c r="G123" s="556"/>
      <c r="H123" s="556"/>
      <c r="I123" s="556"/>
      <c r="J123" s="556"/>
      <c r="K123" s="556"/>
      <c r="L123" s="556"/>
      <c r="M123" s="556"/>
      <c r="N123" s="556"/>
      <c r="O123" s="556"/>
      <c r="P123" s="556"/>
      <c r="Q123" s="556"/>
      <c r="R123" s="556"/>
      <c r="S123" s="556"/>
      <c r="T123" s="598">
        <v>0</v>
      </c>
      <c r="U123" s="598"/>
      <c r="V123" s="599"/>
      <c r="W123" s="558"/>
      <c r="X123" s="543"/>
    </row>
    <row r="124" spans="1:24" s="544" customFormat="1" x14ac:dyDescent="0.3">
      <c r="A124" s="555"/>
      <c r="B124" s="556" t="s">
        <v>38</v>
      </c>
      <c r="C124" s="556"/>
      <c r="D124" s="556"/>
      <c r="E124" s="556"/>
      <c r="F124" s="556"/>
      <c r="G124" s="556"/>
      <c r="H124" s="556"/>
      <c r="I124" s="556"/>
      <c r="J124" s="556"/>
      <c r="K124" s="556"/>
      <c r="L124" s="556"/>
      <c r="M124" s="556"/>
      <c r="N124" s="556"/>
      <c r="O124" s="556"/>
      <c r="P124" s="556"/>
      <c r="Q124" s="556"/>
      <c r="R124" s="556"/>
      <c r="S124" s="556"/>
      <c r="T124" s="598">
        <f>-S188</f>
        <v>0</v>
      </c>
      <c r="U124" s="598"/>
      <c r="V124" s="599"/>
      <c r="W124" s="558"/>
      <c r="X124" s="543"/>
    </row>
    <row r="125" spans="1:24" s="544" customFormat="1" x14ac:dyDescent="0.3">
      <c r="A125" s="555"/>
      <c r="B125" s="556" t="s">
        <v>388</v>
      </c>
      <c r="C125" s="556"/>
      <c r="D125" s="556"/>
      <c r="E125" s="556"/>
      <c r="F125" s="556"/>
      <c r="G125" s="556"/>
      <c r="H125" s="556"/>
      <c r="I125" s="556"/>
      <c r="J125" s="556"/>
      <c r="K125" s="556"/>
      <c r="L125" s="556"/>
      <c r="M125" s="556"/>
      <c r="N125" s="556"/>
      <c r="O125" s="556"/>
      <c r="P125" s="556"/>
      <c r="Q125" s="556"/>
      <c r="R125" s="556"/>
      <c r="S125" s="556"/>
      <c r="T125" s="598">
        <v>-9967</v>
      </c>
      <c r="U125" s="598"/>
      <c r="V125" s="599"/>
      <c r="W125" s="558"/>
      <c r="X125" s="543"/>
    </row>
    <row r="126" spans="1:24" s="544" customFormat="1" x14ac:dyDescent="0.3">
      <c r="A126" s="555"/>
      <c r="B126" s="556" t="s">
        <v>195</v>
      </c>
      <c r="C126" s="556"/>
      <c r="D126" s="556"/>
      <c r="E126" s="556"/>
      <c r="F126" s="556"/>
      <c r="G126" s="556"/>
      <c r="H126" s="556"/>
      <c r="I126" s="556"/>
      <c r="J126" s="556"/>
      <c r="K126" s="556"/>
      <c r="L126" s="556"/>
      <c r="M126" s="556"/>
      <c r="N126" s="556"/>
      <c r="O126" s="556"/>
      <c r="P126" s="556"/>
      <c r="Q126" s="556"/>
      <c r="R126" s="556"/>
      <c r="S126" s="556"/>
      <c r="T126" s="598">
        <v>-1607</v>
      </c>
      <c r="U126" s="598"/>
      <c r="V126" s="599"/>
      <c r="W126" s="558"/>
      <c r="X126" s="543"/>
    </row>
    <row r="127" spans="1:24" s="544" customFormat="1" x14ac:dyDescent="0.3">
      <c r="A127" s="555"/>
      <c r="B127" s="556" t="s">
        <v>194</v>
      </c>
      <c r="C127" s="556"/>
      <c r="D127" s="556"/>
      <c r="E127" s="556"/>
      <c r="F127" s="556"/>
      <c r="G127" s="556"/>
      <c r="H127" s="556"/>
      <c r="I127" s="556"/>
      <c r="J127" s="556"/>
      <c r="K127" s="556"/>
      <c r="L127" s="556"/>
      <c r="M127" s="556"/>
      <c r="N127" s="556"/>
      <c r="O127" s="556"/>
      <c r="P127" s="556"/>
      <c r="Q127" s="556"/>
      <c r="R127" s="556"/>
      <c r="S127" s="556"/>
      <c r="T127" s="598">
        <v>-2162</v>
      </c>
      <c r="U127" s="598"/>
      <c r="V127" s="599"/>
      <c r="W127" s="558"/>
      <c r="X127" s="543"/>
    </row>
    <row r="128" spans="1:24" s="544" customFormat="1" x14ac:dyDescent="0.3">
      <c r="A128" s="555"/>
      <c r="B128" s="556" t="s">
        <v>226</v>
      </c>
      <c r="C128" s="556"/>
      <c r="D128" s="556"/>
      <c r="E128" s="556"/>
      <c r="F128" s="556"/>
      <c r="G128" s="556"/>
      <c r="H128" s="556"/>
      <c r="I128" s="556"/>
      <c r="J128" s="556"/>
      <c r="K128" s="556"/>
      <c r="L128" s="556"/>
      <c r="M128" s="556"/>
      <c r="N128" s="556"/>
      <c r="O128" s="556"/>
      <c r="P128" s="556"/>
      <c r="Q128" s="556"/>
      <c r="R128" s="556"/>
      <c r="S128" s="556"/>
      <c r="T128" s="598">
        <v>-2658</v>
      </c>
      <c r="U128" s="598"/>
      <c r="V128" s="599"/>
      <c r="W128" s="558"/>
      <c r="X128" s="543"/>
    </row>
    <row r="129" spans="1:24" s="544" customFormat="1" x14ac:dyDescent="0.3">
      <c r="A129" s="555"/>
      <c r="B129" s="556" t="s">
        <v>189</v>
      </c>
      <c r="C129" s="556"/>
      <c r="D129" s="556"/>
      <c r="E129" s="556"/>
      <c r="F129" s="556"/>
      <c r="G129" s="556"/>
      <c r="H129" s="556"/>
      <c r="I129" s="556"/>
      <c r="J129" s="556"/>
      <c r="K129" s="556"/>
      <c r="L129" s="556"/>
      <c r="M129" s="556"/>
      <c r="N129" s="556"/>
      <c r="O129" s="556"/>
      <c r="P129" s="556"/>
      <c r="Q129" s="556"/>
      <c r="R129" s="556"/>
      <c r="S129" s="556"/>
      <c r="T129" s="598">
        <v>0</v>
      </c>
      <c r="U129" s="598"/>
      <c r="V129" s="599"/>
      <c r="W129" s="558"/>
      <c r="X129" s="543"/>
    </row>
    <row r="130" spans="1:24" s="544" customFormat="1" x14ac:dyDescent="0.3">
      <c r="A130" s="555"/>
      <c r="B130" s="556" t="s">
        <v>188</v>
      </c>
      <c r="C130" s="556"/>
      <c r="D130" s="556"/>
      <c r="E130" s="556"/>
      <c r="F130" s="556"/>
      <c r="G130" s="556"/>
      <c r="H130" s="556"/>
      <c r="I130" s="556"/>
      <c r="J130" s="556"/>
      <c r="K130" s="556"/>
      <c r="L130" s="556"/>
      <c r="M130" s="556"/>
      <c r="N130" s="556"/>
      <c r="O130" s="556"/>
      <c r="P130" s="556"/>
      <c r="Q130" s="556"/>
      <c r="R130" s="556"/>
      <c r="S130" s="556"/>
      <c r="T130" s="598">
        <v>0</v>
      </c>
      <c r="U130" s="598"/>
      <c r="V130" s="599"/>
      <c r="W130" s="558"/>
      <c r="X130" s="543"/>
    </row>
    <row r="131" spans="1:24" s="544" customFormat="1" x14ac:dyDescent="0.3">
      <c r="A131" s="555"/>
      <c r="B131" s="556" t="s">
        <v>227</v>
      </c>
      <c r="C131" s="556"/>
      <c r="D131" s="556"/>
      <c r="E131" s="556"/>
      <c r="F131" s="556"/>
      <c r="G131" s="556"/>
      <c r="H131" s="556"/>
      <c r="I131" s="556"/>
      <c r="J131" s="556"/>
      <c r="K131" s="556"/>
      <c r="L131" s="556"/>
      <c r="M131" s="556"/>
      <c r="N131" s="556"/>
      <c r="O131" s="556"/>
      <c r="P131" s="556"/>
      <c r="Q131" s="556"/>
      <c r="R131" s="556"/>
      <c r="S131" s="556"/>
      <c r="T131" s="598">
        <v>0</v>
      </c>
      <c r="U131" s="598"/>
      <c r="V131" s="599"/>
      <c r="W131" s="558"/>
      <c r="X131" s="543"/>
    </row>
    <row r="132" spans="1:24" s="544" customFormat="1" x14ac:dyDescent="0.3">
      <c r="A132" s="555"/>
      <c r="B132" s="556" t="s">
        <v>187</v>
      </c>
      <c r="C132" s="556"/>
      <c r="D132" s="556"/>
      <c r="E132" s="556"/>
      <c r="F132" s="556"/>
      <c r="G132" s="556"/>
      <c r="H132" s="556"/>
      <c r="I132" s="556"/>
      <c r="J132" s="556"/>
      <c r="K132" s="556"/>
      <c r="L132" s="556"/>
      <c r="M132" s="556"/>
      <c r="N132" s="556"/>
      <c r="O132" s="556"/>
      <c r="P132" s="556"/>
      <c r="Q132" s="556"/>
      <c r="R132" s="556"/>
      <c r="S132" s="556"/>
      <c r="T132" s="598">
        <v>0</v>
      </c>
      <c r="U132" s="598"/>
      <c r="V132" s="599"/>
      <c r="W132" s="558"/>
      <c r="X132" s="543"/>
    </row>
    <row r="133" spans="1:24" s="544" customFormat="1" x14ac:dyDescent="0.3">
      <c r="A133" s="555"/>
      <c r="B133" s="556" t="s">
        <v>39</v>
      </c>
      <c r="C133" s="556"/>
      <c r="D133" s="556"/>
      <c r="E133" s="556"/>
      <c r="F133" s="556"/>
      <c r="G133" s="556"/>
      <c r="H133" s="556"/>
      <c r="I133" s="556"/>
      <c r="J133" s="556"/>
      <c r="K133" s="556"/>
      <c r="L133" s="556"/>
      <c r="M133" s="556"/>
      <c r="N133" s="556"/>
      <c r="O133" s="556"/>
      <c r="P133" s="556"/>
      <c r="Q133" s="556"/>
      <c r="R133" s="556"/>
      <c r="S133" s="556"/>
      <c r="T133" s="598">
        <f>SUM(T122:T132)</f>
        <v>-16394</v>
      </c>
      <c r="U133" s="598"/>
      <c r="V133" s="598">
        <f>SUM(V101:V130)</f>
        <v>-6162</v>
      </c>
      <c r="W133" s="558"/>
      <c r="X133" s="543"/>
    </row>
    <row r="134" spans="1:24" s="544" customFormat="1" x14ac:dyDescent="0.3">
      <c r="A134" s="555"/>
      <c r="B134" s="556" t="s">
        <v>40</v>
      </c>
      <c r="C134" s="556"/>
      <c r="D134" s="556"/>
      <c r="E134" s="556"/>
      <c r="F134" s="556"/>
      <c r="G134" s="556"/>
      <c r="H134" s="556"/>
      <c r="I134" s="556"/>
      <c r="J134" s="556"/>
      <c r="K134" s="556"/>
      <c r="L134" s="556"/>
      <c r="M134" s="556"/>
      <c r="N134" s="556"/>
      <c r="O134" s="556"/>
      <c r="P134" s="556"/>
      <c r="Q134" s="556"/>
      <c r="R134" s="556"/>
      <c r="S134" s="556"/>
      <c r="T134" s="598">
        <f>T100+T133+T114</f>
        <v>0</v>
      </c>
      <c r="U134" s="598"/>
      <c r="V134" s="598">
        <f>V100+V133</f>
        <v>0</v>
      </c>
      <c r="W134" s="558"/>
      <c r="X134" s="543"/>
    </row>
    <row r="135" spans="1:24" s="544" customFormat="1" x14ac:dyDescent="0.3">
      <c r="A135" s="540"/>
      <c r="B135" s="588"/>
      <c r="C135" s="588"/>
      <c r="D135" s="588"/>
      <c r="E135" s="588"/>
      <c r="F135" s="588"/>
      <c r="G135" s="588"/>
      <c r="H135" s="588"/>
      <c r="I135" s="588"/>
      <c r="J135" s="588"/>
      <c r="K135" s="588"/>
      <c r="L135" s="588"/>
      <c r="M135" s="588"/>
      <c r="N135" s="588"/>
      <c r="O135" s="588"/>
      <c r="P135" s="588"/>
      <c r="Q135" s="588"/>
      <c r="R135" s="588"/>
      <c r="S135" s="588"/>
      <c r="T135" s="600"/>
      <c r="U135" s="600"/>
      <c r="V135" s="600"/>
      <c r="W135" s="588"/>
      <c r="X135" s="543"/>
    </row>
    <row r="136" spans="1:24" s="544" customFormat="1" x14ac:dyDescent="0.3">
      <c r="A136" s="540"/>
      <c r="B136" s="541"/>
      <c r="C136" s="541"/>
      <c r="D136" s="541"/>
      <c r="E136" s="541"/>
      <c r="F136" s="541"/>
      <c r="G136" s="541"/>
      <c r="H136" s="541"/>
      <c r="I136" s="541"/>
      <c r="J136" s="541"/>
      <c r="K136" s="541"/>
      <c r="L136" s="541"/>
      <c r="M136" s="541"/>
      <c r="N136" s="541"/>
      <c r="O136" s="541"/>
      <c r="P136" s="541"/>
      <c r="Q136" s="541"/>
      <c r="R136" s="541"/>
      <c r="S136" s="541"/>
      <c r="T136" s="541"/>
      <c r="U136" s="541"/>
      <c r="V136" s="606"/>
      <c r="W136" s="541"/>
      <c r="X136" s="543"/>
    </row>
    <row r="137" spans="1:24" s="544" customFormat="1" ht="18.600000000000001" thickBot="1" x14ac:dyDescent="0.4">
      <c r="A137" s="593"/>
      <c r="B137" s="594" t="str">
        <f>B63</f>
        <v>PM14 INVESTOR REPORT QUARTER ENDING FEBRUARY 2019</v>
      </c>
      <c r="C137" s="595"/>
      <c r="D137" s="595"/>
      <c r="E137" s="595"/>
      <c r="F137" s="595"/>
      <c r="G137" s="595"/>
      <c r="H137" s="595"/>
      <c r="I137" s="595"/>
      <c r="J137" s="595"/>
      <c r="K137" s="595"/>
      <c r="L137" s="595"/>
      <c r="M137" s="595"/>
      <c r="N137" s="595"/>
      <c r="O137" s="595"/>
      <c r="P137" s="595"/>
      <c r="Q137" s="595"/>
      <c r="R137" s="595"/>
      <c r="S137" s="595"/>
      <c r="T137" s="595"/>
      <c r="U137" s="595"/>
      <c r="V137" s="607"/>
      <c r="W137" s="597"/>
      <c r="X137" s="543"/>
    </row>
    <row r="138" spans="1:24" x14ac:dyDescent="0.3">
      <c r="A138" s="527"/>
      <c r="B138" s="528" t="s">
        <v>41</v>
      </c>
      <c r="C138" s="529"/>
      <c r="D138" s="529"/>
      <c r="E138" s="529"/>
      <c r="F138" s="529"/>
      <c r="G138" s="529"/>
      <c r="H138" s="529"/>
      <c r="I138" s="529"/>
      <c r="J138" s="529"/>
      <c r="K138" s="529"/>
      <c r="L138" s="529"/>
      <c r="M138" s="529"/>
      <c r="N138" s="529"/>
      <c r="O138" s="529"/>
      <c r="P138" s="529"/>
      <c r="Q138" s="529"/>
      <c r="R138" s="529"/>
      <c r="S138" s="529"/>
      <c r="T138" s="529"/>
      <c r="U138" s="529"/>
      <c r="V138" s="530"/>
      <c r="W138" s="529"/>
      <c r="X138" s="415"/>
    </row>
    <row r="139" spans="1:24" x14ac:dyDescent="0.3">
      <c r="A139" s="417"/>
      <c r="B139" s="451"/>
      <c r="C139" s="419"/>
      <c r="D139" s="419"/>
      <c r="E139" s="419"/>
      <c r="F139" s="419"/>
      <c r="G139" s="419"/>
      <c r="H139" s="419"/>
      <c r="I139" s="419"/>
      <c r="J139" s="419"/>
      <c r="K139" s="419"/>
      <c r="L139" s="419"/>
      <c r="M139" s="419"/>
      <c r="N139" s="419"/>
      <c r="O139" s="419"/>
      <c r="P139" s="419"/>
      <c r="Q139" s="419"/>
      <c r="R139" s="419"/>
      <c r="S139" s="419"/>
      <c r="T139" s="419"/>
      <c r="U139" s="419"/>
      <c r="V139" s="439"/>
      <c r="W139" s="419"/>
      <c r="X139" s="415"/>
    </row>
    <row r="140" spans="1:24" x14ac:dyDescent="0.3">
      <c r="A140" s="417"/>
      <c r="B140" s="508" t="s">
        <v>42</v>
      </c>
      <c r="C140" s="419"/>
      <c r="D140" s="419"/>
      <c r="E140" s="419"/>
      <c r="F140" s="419"/>
      <c r="G140" s="419"/>
      <c r="H140" s="419"/>
      <c r="I140" s="419"/>
      <c r="J140" s="419"/>
      <c r="K140" s="419"/>
      <c r="L140" s="419"/>
      <c r="M140" s="419"/>
      <c r="N140" s="419"/>
      <c r="O140" s="419"/>
      <c r="P140" s="419"/>
      <c r="Q140" s="419"/>
      <c r="R140" s="419"/>
      <c r="S140" s="419"/>
      <c r="T140" s="419"/>
      <c r="U140" s="419"/>
      <c r="V140" s="439"/>
      <c r="W140" s="419"/>
      <c r="X140" s="415"/>
    </row>
    <row r="141" spans="1:24" s="544" customFormat="1" x14ac:dyDescent="0.3">
      <c r="A141" s="555"/>
      <c r="B141" s="556" t="s">
        <v>43</v>
      </c>
      <c r="C141" s="556"/>
      <c r="D141" s="556"/>
      <c r="E141" s="556"/>
      <c r="F141" s="556"/>
      <c r="G141" s="556"/>
      <c r="H141" s="556"/>
      <c r="I141" s="556"/>
      <c r="J141" s="556"/>
      <c r="K141" s="556"/>
      <c r="L141" s="556"/>
      <c r="M141" s="556"/>
      <c r="N141" s="556"/>
      <c r="O141" s="556"/>
      <c r="P141" s="556"/>
      <c r="Q141" s="556"/>
      <c r="R141" s="556"/>
      <c r="S141" s="556"/>
      <c r="T141" s="556"/>
      <c r="U141" s="556"/>
      <c r="V141" s="599">
        <f>+V34*0.019</f>
        <v>28505.224999999999</v>
      </c>
      <c r="W141" s="558"/>
      <c r="X141" s="543"/>
    </row>
    <row r="142" spans="1:24" s="544" customFormat="1" x14ac:dyDescent="0.3">
      <c r="A142" s="555"/>
      <c r="B142" s="556" t="s">
        <v>44</v>
      </c>
      <c r="C142" s="556"/>
      <c r="D142" s="556"/>
      <c r="E142" s="556"/>
      <c r="F142" s="556"/>
      <c r="G142" s="556"/>
      <c r="H142" s="556"/>
      <c r="I142" s="556"/>
      <c r="J142" s="556"/>
      <c r="K142" s="556"/>
      <c r="L142" s="556"/>
      <c r="M142" s="556"/>
      <c r="N142" s="556"/>
      <c r="O142" s="556"/>
      <c r="P142" s="556"/>
      <c r="Q142" s="556"/>
      <c r="R142" s="556"/>
      <c r="S142" s="556"/>
      <c r="T142" s="556"/>
      <c r="U142" s="556"/>
      <c r="V142" s="599">
        <v>28505</v>
      </c>
      <c r="W142" s="558"/>
      <c r="X142" s="543"/>
    </row>
    <row r="143" spans="1:24" s="544" customFormat="1" x14ac:dyDescent="0.3">
      <c r="A143" s="555"/>
      <c r="B143" s="556" t="s">
        <v>136</v>
      </c>
      <c r="C143" s="556"/>
      <c r="D143" s="556"/>
      <c r="E143" s="556"/>
      <c r="F143" s="556"/>
      <c r="G143" s="556"/>
      <c r="H143" s="556"/>
      <c r="I143" s="556"/>
      <c r="J143" s="556"/>
      <c r="K143" s="556"/>
      <c r="L143" s="556"/>
      <c r="M143" s="556"/>
      <c r="N143" s="556"/>
      <c r="O143" s="556"/>
      <c r="P143" s="556"/>
      <c r="Q143" s="556"/>
      <c r="R143" s="556"/>
      <c r="S143" s="556"/>
      <c r="T143" s="556"/>
      <c r="U143" s="556"/>
      <c r="V143" s="599"/>
      <c r="W143" s="558"/>
      <c r="X143" s="543"/>
    </row>
    <row r="144" spans="1:24" s="544" customFormat="1" x14ac:dyDescent="0.3">
      <c r="A144" s="555"/>
      <c r="B144" s="556" t="s">
        <v>123</v>
      </c>
      <c r="C144" s="556"/>
      <c r="D144" s="556"/>
      <c r="E144" s="556"/>
      <c r="F144" s="556"/>
      <c r="G144" s="556"/>
      <c r="H144" s="556"/>
      <c r="I144" s="556"/>
      <c r="J144" s="556"/>
      <c r="K144" s="556"/>
      <c r="L144" s="556"/>
      <c r="M144" s="556"/>
      <c r="N144" s="556"/>
      <c r="O144" s="556"/>
      <c r="P144" s="556"/>
      <c r="Q144" s="556"/>
      <c r="R144" s="556"/>
      <c r="S144" s="556"/>
      <c r="T144" s="556"/>
      <c r="U144" s="556"/>
      <c r="V144" s="599">
        <v>0</v>
      </c>
      <c r="W144" s="558"/>
      <c r="X144" s="543"/>
    </row>
    <row r="145" spans="1:25" s="544" customFormat="1" x14ac:dyDescent="0.3">
      <c r="A145" s="555"/>
      <c r="B145" s="556" t="s">
        <v>124</v>
      </c>
      <c r="C145" s="556"/>
      <c r="D145" s="556"/>
      <c r="E145" s="556"/>
      <c r="F145" s="556"/>
      <c r="G145" s="556"/>
      <c r="H145" s="556"/>
      <c r="I145" s="556"/>
      <c r="J145" s="556"/>
      <c r="K145" s="556"/>
      <c r="L145" s="556"/>
      <c r="M145" s="556"/>
      <c r="N145" s="556"/>
      <c r="O145" s="556"/>
      <c r="P145" s="556"/>
      <c r="Q145" s="556"/>
      <c r="R145" s="556"/>
      <c r="S145" s="556"/>
      <c r="T145" s="556"/>
      <c r="U145" s="556"/>
      <c r="V145" s="599">
        <v>0</v>
      </c>
      <c r="W145" s="558"/>
      <c r="X145" s="543"/>
    </row>
    <row r="146" spans="1:25" s="544" customFormat="1" x14ac:dyDescent="0.3">
      <c r="A146" s="555"/>
      <c r="B146" s="556" t="s">
        <v>175</v>
      </c>
      <c r="C146" s="556"/>
      <c r="D146" s="556"/>
      <c r="E146" s="556"/>
      <c r="F146" s="556"/>
      <c r="G146" s="556"/>
      <c r="H146" s="556"/>
      <c r="I146" s="556"/>
      <c r="J146" s="556"/>
      <c r="K146" s="556"/>
      <c r="L146" s="556"/>
      <c r="M146" s="556"/>
      <c r="N146" s="556"/>
      <c r="O146" s="556"/>
      <c r="P146" s="556"/>
      <c r="Q146" s="556"/>
      <c r="R146" s="556"/>
      <c r="S146" s="556"/>
      <c r="T146" s="556"/>
      <c r="U146" s="556"/>
      <c r="V146" s="599">
        <v>0</v>
      </c>
      <c r="W146" s="558"/>
      <c r="X146" s="543"/>
    </row>
    <row r="147" spans="1:25" s="544" customFormat="1" x14ac:dyDescent="0.3">
      <c r="A147" s="555"/>
      <c r="B147" s="556" t="s">
        <v>45</v>
      </c>
      <c r="C147" s="556"/>
      <c r="D147" s="556"/>
      <c r="E147" s="556"/>
      <c r="F147" s="556"/>
      <c r="G147" s="556"/>
      <c r="H147" s="556"/>
      <c r="I147" s="556"/>
      <c r="J147" s="556"/>
      <c r="K147" s="556"/>
      <c r="L147" s="556"/>
      <c r="M147" s="556"/>
      <c r="N147" s="556"/>
      <c r="O147" s="556"/>
      <c r="P147" s="556"/>
      <c r="Q147" s="556"/>
      <c r="R147" s="556"/>
      <c r="S147" s="556"/>
      <c r="T147" s="556"/>
      <c r="U147" s="556"/>
      <c r="V147" s="599">
        <v>0</v>
      </c>
      <c r="W147" s="558"/>
      <c r="X147" s="543"/>
    </row>
    <row r="148" spans="1:25" s="544" customFormat="1" x14ac:dyDescent="0.3">
      <c r="A148" s="555"/>
      <c r="B148" s="556" t="s">
        <v>129</v>
      </c>
      <c r="C148" s="556"/>
      <c r="D148" s="556"/>
      <c r="E148" s="556"/>
      <c r="F148" s="556"/>
      <c r="G148" s="556"/>
      <c r="H148" s="556"/>
      <c r="I148" s="556"/>
      <c r="J148" s="556"/>
      <c r="K148" s="556"/>
      <c r="L148" s="556"/>
      <c r="M148" s="556"/>
      <c r="N148" s="556"/>
      <c r="O148" s="556"/>
      <c r="P148" s="556"/>
      <c r="Q148" s="556"/>
      <c r="R148" s="556"/>
      <c r="S148" s="556"/>
      <c r="T148" s="556"/>
      <c r="U148" s="556"/>
      <c r="V148" s="599">
        <v>0</v>
      </c>
      <c r="W148" s="558"/>
      <c r="X148" s="543"/>
    </row>
    <row r="149" spans="1:25" s="544" customFormat="1" x14ac:dyDescent="0.3">
      <c r="A149" s="555"/>
      <c r="B149" s="556" t="s">
        <v>267</v>
      </c>
      <c r="C149" s="556"/>
      <c r="D149" s="556"/>
      <c r="E149" s="556"/>
      <c r="F149" s="556"/>
      <c r="G149" s="556"/>
      <c r="H149" s="556"/>
      <c r="I149" s="556"/>
      <c r="J149" s="556"/>
      <c r="K149" s="556"/>
      <c r="L149" s="556"/>
      <c r="M149" s="556"/>
      <c r="N149" s="556"/>
      <c r="O149" s="556"/>
      <c r="P149" s="556"/>
      <c r="Q149" s="556"/>
      <c r="R149" s="556"/>
      <c r="S149" s="556"/>
      <c r="T149" s="556"/>
      <c r="U149" s="556"/>
      <c r="V149" s="599">
        <v>0</v>
      </c>
      <c r="W149" s="558"/>
      <c r="X149" s="543"/>
      <c r="Y149" s="604"/>
    </row>
    <row r="150" spans="1:25" s="544" customFormat="1" x14ac:dyDescent="0.3">
      <c r="A150" s="555"/>
      <c r="B150" s="556" t="s">
        <v>46</v>
      </c>
      <c r="C150" s="556"/>
      <c r="D150" s="556"/>
      <c r="E150" s="556"/>
      <c r="F150" s="556"/>
      <c r="G150" s="556"/>
      <c r="H150" s="556"/>
      <c r="I150" s="556"/>
      <c r="J150" s="556"/>
      <c r="K150" s="556"/>
      <c r="L150" s="556"/>
      <c r="M150" s="556"/>
      <c r="N150" s="556"/>
      <c r="O150" s="556"/>
      <c r="P150" s="556"/>
      <c r="Q150" s="556"/>
      <c r="R150" s="556"/>
      <c r="S150" s="556"/>
      <c r="T150" s="556"/>
      <c r="U150" s="556"/>
      <c r="V150" s="599">
        <f>SUM(V142:V149)</f>
        <v>28505</v>
      </c>
      <c r="W150" s="558"/>
      <c r="X150" s="543"/>
    </row>
    <row r="151" spans="1:25" x14ac:dyDescent="0.3">
      <c r="A151" s="431"/>
      <c r="B151" s="434"/>
      <c r="C151" s="434"/>
      <c r="D151" s="434"/>
      <c r="E151" s="434"/>
      <c r="F151" s="434"/>
      <c r="G151" s="434"/>
      <c r="H151" s="434"/>
      <c r="I151" s="434"/>
      <c r="J151" s="434"/>
      <c r="K151" s="434"/>
      <c r="L151" s="434"/>
      <c r="M151" s="434"/>
      <c r="N151" s="434"/>
      <c r="O151" s="434"/>
      <c r="P151" s="434"/>
      <c r="Q151" s="434"/>
      <c r="R151" s="434"/>
      <c r="S151" s="434"/>
      <c r="T151" s="434"/>
      <c r="U151" s="434"/>
      <c r="V151" s="449"/>
      <c r="W151" s="436"/>
      <c r="X151" s="415"/>
    </row>
    <row r="152" spans="1:25" x14ac:dyDescent="0.3">
      <c r="A152" s="431"/>
      <c r="B152" s="507" t="s">
        <v>237</v>
      </c>
      <c r="C152" s="434"/>
      <c r="D152" s="434"/>
      <c r="E152" s="434"/>
      <c r="F152" s="434"/>
      <c r="G152" s="434"/>
      <c r="H152" s="434"/>
      <c r="I152" s="434"/>
      <c r="J152" s="434"/>
      <c r="K152" s="434"/>
      <c r="L152" s="434"/>
      <c r="M152" s="434"/>
      <c r="N152" s="434"/>
      <c r="O152" s="434"/>
      <c r="P152" s="434"/>
      <c r="Q152" s="434"/>
      <c r="R152" s="434"/>
      <c r="S152" s="434"/>
      <c r="T152" s="434"/>
      <c r="U152" s="434"/>
      <c r="V152" s="449"/>
      <c r="W152" s="436"/>
      <c r="X152" s="415"/>
    </row>
    <row r="153" spans="1:25" s="544" customFormat="1" x14ac:dyDescent="0.3">
      <c r="A153" s="555"/>
      <c r="B153" s="556" t="s">
        <v>155</v>
      </c>
      <c r="C153" s="556"/>
      <c r="D153" s="556"/>
      <c r="E153" s="556"/>
      <c r="F153" s="556"/>
      <c r="G153" s="556"/>
      <c r="H153" s="556"/>
      <c r="I153" s="556"/>
      <c r="J153" s="556"/>
      <c r="K153" s="556"/>
      <c r="L153" s="556"/>
      <c r="M153" s="556"/>
      <c r="N153" s="556"/>
      <c r="O153" s="556"/>
      <c r="P153" s="556"/>
      <c r="Q153" s="556"/>
      <c r="R153" s="556"/>
      <c r="S153" s="556"/>
      <c r="T153" s="556"/>
      <c r="U153" s="556"/>
      <c r="V153" s="599">
        <v>7500</v>
      </c>
      <c r="W153" s="558"/>
      <c r="X153" s="543"/>
    </row>
    <row r="154" spans="1:25" s="544" customFormat="1" x14ac:dyDescent="0.3">
      <c r="A154" s="555"/>
      <c r="B154" s="556" t="s">
        <v>172</v>
      </c>
      <c r="C154" s="556"/>
      <c r="D154" s="556"/>
      <c r="E154" s="556"/>
      <c r="F154" s="556"/>
      <c r="G154" s="556"/>
      <c r="H154" s="556"/>
      <c r="I154" s="556"/>
      <c r="J154" s="556"/>
      <c r="K154" s="556"/>
      <c r="L154" s="556"/>
      <c r="M154" s="556"/>
      <c r="N154" s="556"/>
      <c r="O154" s="556"/>
      <c r="P154" s="556"/>
      <c r="Q154" s="556"/>
      <c r="R154" s="556"/>
      <c r="S154" s="556"/>
      <c r="T154" s="556"/>
      <c r="U154" s="556"/>
      <c r="V154" s="599">
        <v>0</v>
      </c>
      <c r="W154" s="558"/>
      <c r="X154" s="543"/>
    </row>
    <row r="155" spans="1:25" s="544" customFormat="1" x14ac:dyDescent="0.3">
      <c r="A155" s="555"/>
      <c r="B155" s="556" t="s">
        <v>344</v>
      </c>
      <c r="C155" s="556"/>
      <c r="D155" s="556"/>
      <c r="E155" s="556"/>
      <c r="F155" s="556"/>
      <c r="G155" s="556"/>
      <c r="H155" s="556"/>
      <c r="I155" s="556"/>
      <c r="J155" s="556"/>
      <c r="K155" s="556"/>
      <c r="L155" s="556"/>
      <c r="M155" s="556"/>
      <c r="N155" s="556"/>
      <c r="O155" s="556"/>
      <c r="P155" s="556"/>
      <c r="Q155" s="556"/>
      <c r="R155" s="556"/>
      <c r="S155" s="556"/>
      <c r="T155" s="556"/>
      <c r="U155" s="556"/>
      <c r="V155" s="599">
        <v>0</v>
      </c>
      <c r="W155" s="558"/>
      <c r="X155" s="543"/>
    </row>
    <row r="156" spans="1:25" x14ac:dyDescent="0.3">
      <c r="A156" s="431"/>
      <c r="B156" s="432"/>
      <c r="C156" s="432"/>
      <c r="D156" s="432"/>
      <c r="E156" s="432"/>
      <c r="F156" s="432"/>
      <c r="G156" s="432"/>
      <c r="H156" s="432"/>
      <c r="I156" s="432"/>
      <c r="J156" s="432"/>
      <c r="K156" s="432"/>
      <c r="L156" s="432"/>
      <c r="M156" s="432"/>
      <c r="N156" s="432"/>
      <c r="O156" s="432"/>
      <c r="P156" s="432"/>
      <c r="Q156" s="432"/>
      <c r="R156" s="432"/>
      <c r="S156" s="432"/>
      <c r="T156" s="432"/>
      <c r="U156" s="432"/>
      <c r="V156" s="440"/>
      <c r="W156" s="433"/>
      <c r="X156" s="415"/>
    </row>
    <row r="157" spans="1:25" x14ac:dyDescent="0.3">
      <c r="A157" s="417"/>
      <c r="B157" s="441"/>
      <c r="C157" s="441"/>
      <c r="D157" s="441"/>
      <c r="E157" s="441"/>
      <c r="F157" s="441"/>
      <c r="G157" s="441"/>
      <c r="H157" s="441"/>
      <c r="I157" s="441"/>
      <c r="J157" s="441"/>
      <c r="K157" s="441"/>
      <c r="L157" s="441"/>
      <c r="M157" s="441"/>
      <c r="N157" s="441"/>
      <c r="O157" s="441"/>
      <c r="P157" s="441"/>
      <c r="Q157" s="441"/>
      <c r="R157" s="441"/>
      <c r="S157" s="441"/>
      <c r="T157" s="441"/>
      <c r="U157" s="441"/>
      <c r="V157" s="452"/>
      <c r="W157" s="441"/>
      <c r="X157" s="415"/>
    </row>
    <row r="158" spans="1:25" x14ac:dyDescent="0.3">
      <c r="A158" s="417"/>
      <c r="B158" s="508" t="s">
        <v>24</v>
      </c>
      <c r="C158" s="419"/>
      <c r="D158" s="419"/>
      <c r="E158" s="419"/>
      <c r="F158" s="419"/>
      <c r="G158" s="419"/>
      <c r="H158" s="419"/>
      <c r="I158" s="419"/>
      <c r="J158" s="419"/>
      <c r="K158" s="419"/>
      <c r="L158" s="419"/>
      <c r="M158" s="419"/>
      <c r="N158" s="419"/>
      <c r="O158" s="419"/>
      <c r="P158" s="419"/>
      <c r="Q158" s="419"/>
      <c r="R158" s="419"/>
      <c r="S158" s="419"/>
      <c r="T158" s="419"/>
      <c r="U158" s="419"/>
      <c r="V158" s="439"/>
      <c r="W158" s="419"/>
      <c r="X158" s="415"/>
    </row>
    <row r="159" spans="1:25" s="544" customFormat="1" x14ac:dyDescent="0.3">
      <c r="A159" s="555"/>
      <c r="B159" s="556" t="s">
        <v>47</v>
      </c>
      <c r="C159" s="556"/>
      <c r="D159" s="556"/>
      <c r="E159" s="556"/>
      <c r="F159" s="556"/>
      <c r="G159" s="556"/>
      <c r="H159" s="556"/>
      <c r="I159" s="556"/>
      <c r="J159" s="556"/>
      <c r="K159" s="556"/>
      <c r="L159" s="556"/>
      <c r="M159" s="556"/>
      <c r="N159" s="556"/>
      <c r="O159" s="556"/>
      <c r="P159" s="556"/>
      <c r="Q159" s="556"/>
      <c r="R159" s="556"/>
      <c r="S159" s="556"/>
      <c r="T159" s="556"/>
      <c r="U159" s="556"/>
      <c r="V159" s="608" t="s">
        <v>118</v>
      </c>
      <c r="W159" s="558"/>
      <c r="X159" s="543"/>
    </row>
    <row r="160" spans="1:25" s="544" customFormat="1" x14ac:dyDescent="0.3">
      <c r="A160" s="555"/>
      <c r="B160" s="556" t="s">
        <v>48</v>
      </c>
      <c r="C160" s="556"/>
      <c r="D160" s="556"/>
      <c r="E160" s="556"/>
      <c r="F160" s="556"/>
      <c r="G160" s="556"/>
      <c r="H160" s="556"/>
      <c r="I160" s="556"/>
      <c r="J160" s="556"/>
      <c r="K160" s="556"/>
      <c r="L160" s="556"/>
      <c r="M160" s="556"/>
      <c r="N160" s="556"/>
      <c r="O160" s="556"/>
      <c r="P160" s="556"/>
      <c r="Q160" s="556"/>
      <c r="R160" s="556"/>
      <c r="S160" s="556"/>
      <c r="T160" s="556"/>
      <c r="U160" s="556"/>
      <c r="V160" s="608" t="s">
        <v>118</v>
      </c>
      <c r="W160" s="558"/>
      <c r="X160" s="543"/>
    </row>
    <row r="161" spans="1:256" s="544" customFormat="1" x14ac:dyDescent="0.3">
      <c r="A161" s="555"/>
      <c r="B161" s="556" t="s">
        <v>49</v>
      </c>
      <c r="C161" s="556"/>
      <c r="D161" s="556"/>
      <c r="E161" s="556"/>
      <c r="F161" s="556"/>
      <c r="G161" s="556"/>
      <c r="H161" s="556"/>
      <c r="I161" s="556"/>
      <c r="J161" s="556"/>
      <c r="K161" s="556"/>
      <c r="L161" s="556"/>
      <c r="M161" s="556"/>
      <c r="N161" s="556"/>
      <c r="O161" s="556"/>
      <c r="P161" s="556"/>
      <c r="Q161" s="556"/>
      <c r="R161" s="556"/>
      <c r="S161" s="556"/>
      <c r="T161" s="556"/>
      <c r="U161" s="556"/>
      <c r="V161" s="608" t="s">
        <v>118</v>
      </c>
      <c r="W161" s="558"/>
      <c r="X161" s="543"/>
    </row>
    <row r="162" spans="1:256" s="544" customFormat="1" x14ac:dyDescent="0.3">
      <c r="A162" s="555"/>
      <c r="B162" s="556" t="s">
        <v>50</v>
      </c>
      <c r="C162" s="556"/>
      <c r="D162" s="556"/>
      <c r="E162" s="556"/>
      <c r="F162" s="556"/>
      <c r="G162" s="556"/>
      <c r="H162" s="556"/>
      <c r="I162" s="556"/>
      <c r="J162" s="556"/>
      <c r="K162" s="556"/>
      <c r="L162" s="556"/>
      <c r="M162" s="556"/>
      <c r="N162" s="556"/>
      <c r="O162" s="556"/>
      <c r="P162" s="556"/>
      <c r="Q162" s="556"/>
      <c r="R162" s="556"/>
      <c r="S162" s="556"/>
      <c r="T162" s="556"/>
      <c r="U162" s="556"/>
      <c r="V162" s="608" t="s">
        <v>118</v>
      </c>
      <c r="W162" s="558"/>
      <c r="X162" s="543"/>
    </row>
    <row r="163" spans="1:256" x14ac:dyDescent="0.3">
      <c r="A163" s="417"/>
      <c r="B163" s="441"/>
      <c r="C163" s="441"/>
      <c r="D163" s="441"/>
      <c r="E163" s="441"/>
      <c r="F163" s="441"/>
      <c r="G163" s="441"/>
      <c r="H163" s="441"/>
      <c r="I163" s="441"/>
      <c r="J163" s="441"/>
      <c r="K163" s="441"/>
      <c r="L163" s="441"/>
      <c r="M163" s="441"/>
      <c r="N163" s="441"/>
      <c r="O163" s="441"/>
      <c r="P163" s="441"/>
      <c r="Q163" s="441"/>
      <c r="R163" s="441"/>
      <c r="S163" s="441"/>
      <c r="T163" s="441"/>
      <c r="U163" s="441"/>
      <c r="V163" s="452"/>
      <c r="W163" s="441"/>
      <c r="X163" s="415"/>
    </row>
    <row r="164" spans="1:256" x14ac:dyDescent="0.3">
      <c r="A164" s="417"/>
      <c r="B164" s="508" t="s">
        <v>51</v>
      </c>
      <c r="C164" s="419"/>
      <c r="D164" s="419"/>
      <c r="E164" s="419"/>
      <c r="F164" s="419"/>
      <c r="G164" s="419"/>
      <c r="H164" s="419"/>
      <c r="I164" s="419"/>
      <c r="J164" s="419"/>
      <c r="K164" s="419"/>
      <c r="L164" s="419"/>
      <c r="M164" s="419"/>
      <c r="N164" s="419"/>
      <c r="O164" s="419"/>
      <c r="P164" s="419"/>
      <c r="Q164" s="419"/>
      <c r="R164" s="419"/>
      <c r="S164" s="419"/>
      <c r="T164" s="419"/>
      <c r="U164" s="419"/>
      <c r="V164" s="453"/>
      <c r="W164" s="419"/>
      <c r="X164" s="415"/>
    </row>
    <row r="165" spans="1:256" s="544" customFormat="1" x14ac:dyDescent="0.3">
      <c r="A165" s="555"/>
      <c r="B165" s="556" t="s">
        <v>52</v>
      </c>
      <c r="C165" s="556"/>
      <c r="D165" s="556"/>
      <c r="E165" s="556"/>
      <c r="F165" s="556"/>
      <c r="G165" s="556"/>
      <c r="H165" s="556"/>
      <c r="I165" s="556"/>
      <c r="J165" s="556"/>
      <c r="K165" s="556"/>
      <c r="L165" s="556"/>
      <c r="M165" s="556"/>
      <c r="N165" s="556"/>
      <c r="O165" s="556"/>
      <c r="P165" s="556"/>
      <c r="Q165" s="556"/>
      <c r="R165" s="556"/>
      <c r="S165" s="556"/>
      <c r="T165" s="556"/>
      <c r="U165" s="556"/>
      <c r="V165" s="599">
        <v>0</v>
      </c>
      <c r="W165" s="558"/>
      <c r="X165" s="543"/>
    </row>
    <row r="166" spans="1:256" s="544" customFormat="1" x14ac:dyDescent="0.3">
      <c r="A166" s="555"/>
      <c r="B166" s="556" t="s">
        <v>53</v>
      </c>
      <c r="C166" s="556"/>
      <c r="D166" s="556"/>
      <c r="E166" s="556"/>
      <c r="F166" s="556"/>
      <c r="G166" s="556"/>
      <c r="H166" s="556"/>
      <c r="I166" s="556"/>
      <c r="J166" s="556"/>
      <c r="K166" s="556"/>
      <c r="L166" s="556"/>
      <c r="M166" s="556"/>
      <c r="N166" s="556"/>
      <c r="O166" s="556"/>
      <c r="P166" s="556"/>
      <c r="Q166" s="556"/>
      <c r="R166" s="556"/>
      <c r="S166" s="556"/>
      <c r="T166" s="556"/>
      <c r="U166" s="556"/>
      <c r="V166" s="599">
        <v>499</v>
      </c>
      <c r="W166" s="558"/>
      <c r="X166" s="543"/>
    </row>
    <row r="167" spans="1:256" s="544" customFormat="1" x14ac:dyDescent="0.3">
      <c r="A167" s="555"/>
      <c r="B167" s="556" t="s">
        <v>54</v>
      </c>
      <c r="C167" s="556"/>
      <c r="D167" s="556"/>
      <c r="E167" s="556"/>
      <c r="F167" s="556"/>
      <c r="G167" s="556"/>
      <c r="H167" s="556"/>
      <c r="I167" s="556"/>
      <c r="J167" s="556"/>
      <c r="K167" s="556"/>
      <c r="L167" s="556"/>
      <c r="M167" s="556"/>
      <c r="N167" s="556"/>
      <c r="O167" s="556"/>
      <c r="P167" s="556"/>
      <c r="Q167" s="556"/>
      <c r="R167" s="556"/>
      <c r="S167" s="556"/>
      <c r="T167" s="556"/>
      <c r="U167" s="556"/>
      <c r="V167" s="599">
        <f>V166+V165</f>
        <v>499</v>
      </c>
      <c r="W167" s="558"/>
      <c r="X167" s="543"/>
    </row>
    <row r="168" spans="1:256" s="544" customFormat="1" x14ac:dyDescent="0.3">
      <c r="A168" s="555"/>
      <c r="B168" s="556" t="s">
        <v>315</v>
      </c>
      <c r="C168" s="556"/>
      <c r="D168" s="556"/>
      <c r="E168" s="556"/>
      <c r="F168" s="556"/>
      <c r="G168" s="556"/>
      <c r="H168" s="556"/>
      <c r="I168" s="556"/>
      <c r="J168" s="556"/>
      <c r="K168" s="556"/>
      <c r="L168" s="556"/>
      <c r="M168" s="556"/>
      <c r="N168" s="556"/>
      <c r="O168" s="556"/>
      <c r="P168" s="556"/>
      <c r="Q168" s="556"/>
      <c r="R168" s="556"/>
      <c r="S168" s="556"/>
      <c r="T168" s="556"/>
      <c r="U168" s="556"/>
      <c r="V168" s="599">
        <f>V114</f>
        <v>-499</v>
      </c>
      <c r="W168" s="558"/>
      <c r="X168" s="543"/>
    </row>
    <row r="169" spans="1:256" s="544" customFormat="1" x14ac:dyDescent="0.3">
      <c r="A169" s="555"/>
      <c r="B169" s="556" t="s">
        <v>55</v>
      </c>
      <c r="C169" s="556"/>
      <c r="D169" s="556"/>
      <c r="E169" s="556"/>
      <c r="F169" s="556"/>
      <c r="G169" s="556"/>
      <c r="H169" s="556"/>
      <c r="I169" s="556"/>
      <c r="J169" s="556"/>
      <c r="K169" s="556"/>
      <c r="L169" s="556"/>
      <c r="M169" s="556"/>
      <c r="N169" s="556"/>
      <c r="O169" s="556"/>
      <c r="P169" s="556"/>
      <c r="Q169" s="556"/>
      <c r="R169" s="556"/>
      <c r="S169" s="556"/>
      <c r="T169" s="556"/>
      <c r="U169" s="556"/>
      <c r="V169" s="599">
        <f>V167+V168</f>
        <v>0</v>
      </c>
      <c r="W169" s="558"/>
      <c r="X169" s="543"/>
    </row>
    <row r="170" spans="1:256" s="544" customFormat="1" x14ac:dyDescent="0.3">
      <c r="A170" s="555"/>
      <c r="B170" s="556" t="s">
        <v>283</v>
      </c>
      <c r="C170" s="556"/>
      <c r="D170" s="556"/>
      <c r="E170" s="556"/>
      <c r="F170" s="556"/>
      <c r="G170" s="556"/>
      <c r="H170" s="556"/>
      <c r="I170" s="556"/>
      <c r="J170" s="556"/>
      <c r="K170" s="556"/>
      <c r="L170" s="556"/>
      <c r="M170" s="556"/>
      <c r="N170" s="556"/>
      <c r="O170" s="556"/>
      <c r="P170" s="556"/>
      <c r="Q170" s="556"/>
      <c r="R170" s="556"/>
      <c r="S170" s="556"/>
      <c r="T170" s="556"/>
      <c r="U170" s="556"/>
      <c r="V170" s="599">
        <v>0</v>
      </c>
      <c r="W170" s="558"/>
      <c r="X170" s="543"/>
    </row>
    <row r="171" spans="1:256" ht="16.2" thickBot="1" x14ac:dyDescent="0.35">
      <c r="A171" s="417"/>
      <c r="B171" s="437"/>
      <c r="C171" s="437"/>
      <c r="D171" s="437"/>
      <c r="E171" s="437"/>
      <c r="F171" s="437"/>
      <c r="G171" s="437"/>
      <c r="H171" s="437"/>
      <c r="I171" s="437"/>
      <c r="J171" s="437"/>
      <c r="K171" s="437"/>
      <c r="L171" s="437"/>
      <c r="M171" s="437"/>
      <c r="N171" s="437"/>
      <c r="O171" s="437"/>
      <c r="P171" s="437"/>
      <c r="Q171" s="437"/>
      <c r="R171" s="437"/>
      <c r="S171" s="437"/>
      <c r="T171" s="437"/>
      <c r="U171" s="437"/>
      <c r="V171" s="454"/>
      <c r="W171" s="437"/>
      <c r="X171" s="415"/>
    </row>
    <row r="172" spans="1:256" x14ac:dyDescent="0.3">
      <c r="A172" s="413"/>
      <c r="B172" s="455"/>
      <c r="C172" s="455"/>
      <c r="D172" s="455"/>
      <c r="E172" s="455"/>
      <c r="F172" s="455"/>
      <c r="G172" s="455"/>
      <c r="H172" s="455"/>
      <c r="I172" s="455"/>
      <c r="J172" s="455"/>
      <c r="K172" s="455"/>
      <c r="L172" s="455"/>
      <c r="M172" s="455"/>
      <c r="N172" s="455"/>
      <c r="O172" s="455"/>
      <c r="P172" s="455"/>
      <c r="Q172" s="455"/>
      <c r="R172" s="455"/>
      <c r="S172" s="455"/>
      <c r="T172" s="455"/>
      <c r="U172" s="455"/>
      <c r="V172" s="456"/>
      <c r="W172" s="455"/>
      <c r="X172" s="415"/>
    </row>
    <row r="173" spans="1:256" s="458" customFormat="1" x14ac:dyDescent="0.3">
      <c r="A173" s="417"/>
      <c r="B173" s="508" t="s">
        <v>269</v>
      </c>
      <c r="C173" s="441"/>
      <c r="D173" s="441"/>
      <c r="E173" s="441"/>
      <c r="F173" s="441"/>
      <c r="G173" s="441"/>
      <c r="H173" s="441"/>
      <c r="I173" s="441"/>
      <c r="J173" s="441"/>
      <c r="K173" s="441"/>
      <c r="L173" s="441"/>
      <c r="M173" s="441"/>
      <c r="N173" s="441"/>
      <c r="O173" s="441"/>
      <c r="P173" s="441"/>
      <c r="Q173" s="441"/>
      <c r="R173" s="441"/>
      <c r="S173" s="441"/>
      <c r="T173" s="441"/>
      <c r="U173" s="441"/>
      <c r="V173" s="457"/>
      <c r="W173" s="441"/>
      <c r="X173" s="415"/>
      <c r="Y173" s="416"/>
      <c r="Z173" s="416"/>
      <c r="AA173" s="416"/>
      <c r="AB173" s="416"/>
      <c r="AC173" s="416"/>
      <c r="AD173" s="416"/>
      <c r="AE173" s="416"/>
      <c r="AF173" s="416"/>
      <c r="AG173" s="416"/>
      <c r="AH173" s="416"/>
      <c r="AI173" s="416"/>
      <c r="AJ173" s="416"/>
      <c r="AK173" s="416"/>
      <c r="AL173" s="416"/>
      <c r="AM173" s="416"/>
      <c r="AN173" s="416"/>
      <c r="AO173" s="416"/>
      <c r="AP173" s="416"/>
      <c r="AQ173" s="416"/>
      <c r="AR173" s="416"/>
      <c r="AS173" s="416"/>
      <c r="AT173" s="416"/>
      <c r="AU173" s="416"/>
      <c r="AV173" s="416"/>
      <c r="AW173" s="416"/>
      <c r="AX173" s="416"/>
      <c r="AY173" s="416"/>
      <c r="AZ173" s="416"/>
      <c r="BA173" s="416"/>
      <c r="BB173" s="416"/>
      <c r="BC173" s="416"/>
      <c r="BD173" s="416"/>
      <c r="BE173" s="416"/>
      <c r="BF173" s="416"/>
      <c r="BG173" s="416"/>
      <c r="BH173" s="416"/>
      <c r="BI173" s="416"/>
      <c r="BJ173" s="416"/>
      <c r="BK173" s="416"/>
      <c r="BL173" s="416"/>
      <c r="BM173" s="416"/>
      <c r="BN173" s="416"/>
      <c r="BO173" s="416"/>
      <c r="BP173" s="416"/>
      <c r="BQ173" s="416"/>
      <c r="BR173" s="416"/>
      <c r="BS173" s="416"/>
      <c r="BT173" s="416"/>
      <c r="BU173" s="416"/>
      <c r="BV173" s="416"/>
      <c r="BW173" s="416"/>
      <c r="BX173" s="416"/>
      <c r="BY173" s="416"/>
      <c r="BZ173" s="416"/>
      <c r="CA173" s="416"/>
      <c r="CB173" s="416"/>
      <c r="CC173" s="416"/>
      <c r="CD173" s="416"/>
      <c r="CE173" s="416"/>
      <c r="CF173" s="416"/>
      <c r="CG173" s="416"/>
      <c r="CH173" s="416"/>
      <c r="CI173" s="416"/>
      <c r="CJ173" s="416"/>
      <c r="CK173" s="416"/>
      <c r="CL173" s="416"/>
      <c r="CM173" s="416"/>
      <c r="CN173" s="416"/>
      <c r="CO173" s="416"/>
      <c r="CP173" s="416"/>
      <c r="CQ173" s="416"/>
      <c r="CR173" s="416"/>
      <c r="CS173" s="416"/>
      <c r="CT173" s="416"/>
      <c r="CU173" s="416"/>
      <c r="CV173" s="416"/>
      <c r="CW173" s="416"/>
      <c r="CX173" s="416"/>
      <c r="CY173" s="416"/>
      <c r="CZ173" s="416"/>
      <c r="DA173" s="416"/>
      <c r="DB173" s="416"/>
      <c r="DC173" s="416"/>
      <c r="DD173" s="416"/>
      <c r="DE173" s="416"/>
      <c r="DF173" s="416"/>
      <c r="DG173" s="416"/>
      <c r="DH173" s="416"/>
      <c r="DI173" s="416"/>
      <c r="DJ173" s="416"/>
      <c r="DK173" s="416"/>
      <c r="DL173" s="416"/>
      <c r="DM173" s="416"/>
      <c r="DN173" s="416"/>
      <c r="DO173" s="416"/>
      <c r="DP173" s="416"/>
      <c r="DQ173" s="416"/>
      <c r="DR173" s="416"/>
      <c r="DS173" s="416"/>
      <c r="DT173" s="416"/>
      <c r="DU173" s="416"/>
      <c r="DV173" s="416"/>
      <c r="DW173" s="416"/>
      <c r="DX173" s="416"/>
      <c r="DY173" s="416"/>
      <c r="DZ173" s="416"/>
      <c r="EA173" s="416"/>
      <c r="EB173" s="416"/>
      <c r="EC173" s="416"/>
      <c r="ED173" s="416"/>
      <c r="EE173" s="416"/>
      <c r="EF173" s="416"/>
      <c r="EG173" s="416"/>
      <c r="EH173" s="416"/>
      <c r="EI173" s="416"/>
      <c r="EJ173" s="416"/>
      <c r="EK173" s="416"/>
      <c r="EL173" s="416"/>
      <c r="EM173" s="416"/>
      <c r="EN173" s="416"/>
      <c r="EO173" s="416"/>
      <c r="EP173" s="416"/>
      <c r="EQ173" s="416"/>
      <c r="ER173" s="416"/>
      <c r="ES173" s="416"/>
      <c r="ET173" s="416"/>
      <c r="EU173" s="416"/>
      <c r="EV173" s="416"/>
      <c r="EW173" s="416"/>
      <c r="EX173" s="416"/>
      <c r="EY173" s="416"/>
      <c r="EZ173" s="416"/>
      <c r="FA173" s="416"/>
      <c r="FB173" s="416"/>
      <c r="FC173" s="416"/>
      <c r="FD173" s="416"/>
      <c r="FE173" s="416"/>
      <c r="FF173" s="416"/>
      <c r="FG173" s="416"/>
      <c r="FH173" s="416"/>
      <c r="FI173" s="416"/>
      <c r="FJ173" s="416"/>
      <c r="FK173" s="416"/>
      <c r="FL173" s="416"/>
      <c r="FM173" s="416"/>
      <c r="FN173" s="416"/>
      <c r="FO173" s="416"/>
      <c r="FP173" s="416"/>
      <c r="FQ173" s="416"/>
      <c r="FR173" s="416"/>
      <c r="FS173" s="416"/>
      <c r="FT173" s="416"/>
      <c r="FU173" s="416"/>
      <c r="FV173" s="416"/>
      <c r="FW173" s="416"/>
      <c r="FX173" s="416"/>
      <c r="FY173" s="416"/>
      <c r="FZ173" s="416"/>
      <c r="GA173" s="416"/>
      <c r="GB173" s="416"/>
      <c r="GC173" s="416"/>
      <c r="GD173" s="416"/>
      <c r="GE173" s="416"/>
      <c r="GF173" s="416"/>
      <c r="GG173" s="416"/>
      <c r="GH173" s="416"/>
      <c r="GI173" s="416"/>
      <c r="GJ173" s="416"/>
      <c r="GK173" s="416"/>
      <c r="GL173" s="416"/>
      <c r="GM173" s="416"/>
      <c r="GN173" s="416"/>
      <c r="GO173" s="416"/>
      <c r="GP173" s="416"/>
      <c r="GQ173" s="416"/>
      <c r="GR173" s="416"/>
      <c r="GS173" s="416"/>
      <c r="GT173" s="416"/>
      <c r="GU173" s="416"/>
      <c r="GV173" s="416"/>
      <c r="GW173" s="416"/>
      <c r="GX173" s="416"/>
      <c r="GY173" s="416"/>
      <c r="GZ173" s="416"/>
      <c r="HA173" s="416"/>
      <c r="HB173" s="416"/>
      <c r="HC173" s="416"/>
      <c r="HD173" s="416"/>
      <c r="HE173" s="416"/>
      <c r="HF173" s="416"/>
      <c r="HG173" s="416"/>
      <c r="HH173" s="416"/>
      <c r="HI173" s="416"/>
      <c r="HJ173" s="416"/>
      <c r="HK173" s="416"/>
      <c r="HL173" s="416"/>
      <c r="HM173" s="416"/>
      <c r="HN173" s="416"/>
      <c r="HO173" s="416"/>
      <c r="HP173" s="416"/>
      <c r="HQ173" s="416"/>
      <c r="HR173" s="416"/>
      <c r="HS173" s="416"/>
      <c r="HT173" s="416"/>
      <c r="HU173" s="416"/>
      <c r="HV173" s="416"/>
      <c r="HW173" s="416"/>
      <c r="HX173" s="416"/>
      <c r="HY173" s="416"/>
      <c r="HZ173" s="416"/>
      <c r="IA173" s="416"/>
      <c r="IB173" s="416"/>
      <c r="IC173" s="416"/>
      <c r="ID173" s="416"/>
      <c r="IE173" s="416"/>
      <c r="IF173" s="416"/>
      <c r="IG173" s="416"/>
      <c r="IH173" s="416"/>
      <c r="II173" s="416"/>
      <c r="IJ173" s="416"/>
      <c r="IK173" s="416"/>
      <c r="IL173" s="416"/>
      <c r="IM173" s="416"/>
      <c r="IN173" s="416"/>
      <c r="IO173" s="416"/>
      <c r="IP173" s="416"/>
      <c r="IQ173" s="416"/>
      <c r="IR173" s="416"/>
      <c r="IS173" s="416"/>
      <c r="IT173" s="416"/>
      <c r="IU173" s="416"/>
      <c r="IV173" s="416"/>
    </row>
    <row r="174" spans="1:256" s="609" customFormat="1" x14ac:dyDescent="0.3">
      <c r="A174" s="555"/>
      <c r="B174" s="556" t="s">
        <v>270</v>
      </c>
      <c r="C174" s="556"/>
      <c r="D174" s="556"/>
      <c r="E174" s="556"/>
      <c r="F174" s="556"/>
      <c r="G174" s="556"/>
      <c r="H174" s="556"/>
      <c r="I174" s="556"/>
      <c r="J174" s="556"/>
      <c r="K174" s="556"/>
      <c r="L174" s="556"/>
      <c r="M174" s="556"/>
      <c r="N174" s="556"/>
      <c r="O174" s="556"/>
      <c r="P174" s="556"/>
      <c r="Q174" s="556"/>
      <c r="R174" s="556"/>
      <c r="S174" s="556"/>
      <c r="T174" s="556"/>
      <c r="U174" s="556"/>
      <c r="V174" s="599">
        <f>+'Aug 08'!V177</f>
        <v>0</v>
      </c>
      <c r="W174" s="558"/>
      <c r="X174" s="543"/>
      <c r="Y174" s="544"/>
      <c r="Z174" s="544"/>
      <c r="AA174" s="544"/>
      <c r="AB174" s="544"/>
      <c r="AC174" s="544"/>
      <c r="AD174" s="544"/>
      <c r="AE174" s="544"/>
      <c r="AF174" s="544"/>
      <c r="AG174" s="544"/>
      <c r="AH174" s="544"/>
      <c r="AI174" s="544"/>
      <c r="AJ174" s="544"/>
      <c r="AK174" s="544"/>
      <c r="AL174" s="544"/>
      <c r="AM174" s="544"/>
      <c r="AN174" s="544"/>
      <c r="AO174" s="544"/>
      <c r="AP174" s="544"/>
      <c r="AQ174" s="544"/>
      <c r="AR174" s="544"/>
      <c r="AS174" s="544"/>
      <c r="AT174" s="544"/>
      <c r="AU174" s="544"/>
      <c r="AV174" s="544"/>
      <c r="AW174" s="544"/>
      <c r="AX174" s="544"/>
      <c r="AY174" s="544"/>
      <c r="AZ174" s="544"/>
      <c r="BA174" s="544"/>
      <c r="BB174" s="544"/>
      <c r="BC174" s="544"/>
      <c r="BD174" s="544"/>
      <c r="BE174" s="544"/>
      <c r="BF174" s="544"/>
      <c r="BG174" s="544"/>
      <c r="BH174" s="544"/>
      <c r="BI174" s="544"/>
      <c r="BJ174" s="544"/>
      <c r="BK174" s="544"/>
      <c r="BL174" s="544"/>
      <c r="BM174" s="544"/>
      <c r="BN174" s="544"/>
      <c r="BO174" s="544"/>
      <c r="BP174" s="544"/>
      <c r="BQ174" s="544"/>
      <c r="BR174" s="544"/>
      <c r="BS174" s="544"/>
      <c r="BT174" s="544"/>
      <c r="BU174" s="544"/>
      <c r="BV174" s="544"/>
      <c r="BW174" s="544"/>
      <c r="BX174" s="544"/>
      <c r="BY174" s="544"/>
      <c r="BZ174" s="544"/>
      <c r="CA174" s="544"/>
      <c r="CB174" s="544"/>
      <c r="CC174" s="544"/>
      <c r="CD174" s="544"/>
      <c r="CE174" s="544"/>
      <c r="CF174" s="544"/>
      <c r="CG174" s="544"/>
      <c r="CH174" s="544"/>
      <c r="CI174" s="544"/>
      <c r="CJ174" s="544"/>
      <c r="CK174" s="544"/>
      <c r="CL174" s="544"/>
      <c r="CM174" s="544"/>
      <c r="CN174" s="544"/>
      <c r="CO174" s="544"/>
      <c r="CP174" s="544"/>
      <c r="CQ174" s="544"/>
      <c r="CR174" s="544"/>
      <c r="CS174" s="544"/>
      <c r="CT174" s="544"/>
      <c r="CU174" s="544"/>
      <c r="CV174" s="544"/>
      <c r="CW174" s="544"/>
      <c r="CX174" s="544"/>
      <c r="CY174" s="544"/>
      <c r="CZ174" s="544"/>
      <c r="DA174" s="544"/>
      <c r="DB174" s="544"/>
      <c r="DC174" s="544"/>
      <c r="DD174" s="544"/>
      <c r="DE174" s="544"/>
      <c r="DF174" s="544"/>
      <c r="DG174" s="544"/>
      <c r="DH174" s="544"/>
      <c r="DI174" s="544"/>
      <c r="DJ174" s="544"/>
      <c r="DK174" s="544"/>
      <c r="DL174" s="544"/>
      <c r="DM174" s="544"/>
      <c r="DN174" s="544"/>
      <c r="DO174" s="544"/>
      <c r="DP174" s="544"/>
      <c r="DQ174" s="544"/>
      <c r="DR174" s="544"/>
      <c r="DS174" s="544"/>
      <c r="DT174" s="544"/>
      <c r="DU174" s="544"/>
      <c r="DV174" s="544"/>
      <c r="DW174" s="544"/>
      <c r="DX174" s="544"/>
      <c r="DY174" s="544"/>
      <c r="DZ174" s="544"/>
      <c r="EA174" s="544"/>
      <c r="EB174" s="544"/>
      <c r="EC174" s="544"/>
      <c r="ED174" s="544"/>
      <c r="EE174" s="544"/>
      <c r="EF174" s="544"/>
      <c r="EG174" s="544"/>
      <c r="EH174" s="544"/>
      <c r="EI174" s="544"/>
      <c r="EJ174" s="544"/>
      <c r="EK174" s="544"/>
      <c r="EL174" s="544"/>
      <c r="EM174" s="544"/>
      <c r="EN174" s="544"/>
      <c r="EO174" s="544"/>
      <c r="EP174" s="544"/>
      <c r="EQ174" s="544"/>
      <c r="ER174" s="544"/>
      <c r="ES174" s="544"/>
      <c r="ET174" s="544"/>
      <c r="EU174" s="544"/>
      <c r="EV174" s="544"/>
      <c r="EW174" s="544"/>
      <c r="EX174" s="544"/>
      <c r="EY174" s="544"/>
      <c r="EZ174" s="544"/>
      <c r="FA174" s="544"/>
      <c r="FB174" s="544"/>
      <c r="FC174" s="544"/>
      <c r="FD174" s="544"/>
      <c r="FE174" s="544"/>
      <c r="FF174" s="544"/>
      <c r="FG174" s="544"/>
      <c r="FH174" s="544"/>
      <c r="FI174" s="544"/>
      <c r="FJ174" s="544"/>
      <c r="FK174" s="544"/>
      <c r="FL174" s="544"/>
      <c r="FM174" s="544"/>
      <c r="FN174" s="544"/>
      <c r="FO174" s="544"/>
      <c r="FP174" s="544"/>
      <c r="FQ174" s="544"/>
      <c r="FR174" s="544"/>
      <c r="FS174" s="544"/>
      <c r="FT174" s="544"/>
      <c r="FU174" s="544"/>
      <c r="FV174" s="544"/>
      <c r="FW174" s="544"/>
      <c r="FX174" s="544"/>
      <c r="FY174" s="544"/>
      <c r="FZ174" s="544"/>
      <c r="GA174" s="544"/>
      <c r="GB174" s="544"/>
      <c r="GC174" s="544"/>
      <c r="GD174" s="544"/>
      <c r="GE174" s="544"/>
      <c r="GF174" s="544"/>
      <c r="GG174" s="544"/>
      <c r="GH174" s="544"/>
      <c r="GI174" s="544"/>
      <c r="GJ174" s="544"/>
      <c r="GK174" s="544"/>
      <c r="GL174" s="544"/>
      <c r="GM174" s="544"/>
      <c r="GN174" s="544"/>
      <c r="GO174" s="544"/>
      <c r="GP174" s="544"/>
      <c r="GQ174" s="544"/>
      <c r="GR174" s="544"/>
      <c r="GS174" s="544"/>
      <c r="GT174" s="544"/>
      <c r="GU174" s="544"/>
      <c r="GV174" s="544"/>
      <c r="GW174" s="544"/>
      <c r="GX174" s="544"/>
      <c r="GY174" s="544"/>
      <c r="GZ174" s="544"/>
      <c r="HA174" s="544"/>
      <c r="HB174" s="544"/>
      <c r="HC174" s="544"/>
      <c r="HD174" s="544"/>
      <c r="HE174" s="544"/>
      <c r="HF174" s="544"/>
      <c r="HG174" s="544"/>
      <c r="HH174" s="544"/>
      <c r="HI174" s="544"/>
      <c r="HJ174" s="544"/>
      <c r="HK174" s="544"/>
      <c r="HL174" s="544"/>
      <c r="HM174" s="544"/>
      <c r="HN174" s="544"/>
      <c r="HO174" s="544"/>
      <c r="HP174" s="544"/>
      <c r="HQ174" s="544"/>
      <c r="HR174" s="544"/>
      <c r="HS174" s="544"/>
      <c r="HT174" s="544"/>
      <c r="HU174" s="544"/>
      <c r="HV174" s="544"/>
      <c r="HW174" s="544"/>
      <c r="HX174" s="544"/>
      <c r="HY174" s="544"/>
      <c r="HZ174" s="544"/>
      <c r="IA174" s="544"/>
      <c r="IB174" s="544"/>
      <c r="IC174" s="544"/>
      <c r="ID174" s="544"/>
      <c r="IE174" s="544"/>
      <c r="IF174" s="544"/>
      <c r="IG174" s="544"/>
      <c r="IH174" s="544"/>
      <c r="II174" s="544"/>
      <c r="IJ174" s="544"/>
      <c r="IK174" s="544"/>
      <c r="IL174" s="544"/>
      <c r="IM174" s="544"/>
      <c r="IN174" s="544"/>
      <c r="IO174" s="544"/>
      <c r="IP174" s="544"/>
      <c r="IQ174" s="544"/>
      <c r="IR174" s="544"/>
      <c r="IS174" s="544"/>
      <c r="IT174" s="544"/>
      <c r="IU174" s="544"/>
      <c r="IV174" s="544"/>
    </row>
    <row r="175" spans="1:256" s="609" customFormat="1" x14ac:dyDescent="0.3">
      <c r="A175" s="555"/>
      <c r="B175" s="556" t="s">
        <v>273</v>
      </c>
      <c r="C175" s="556"/>
      <c r="D175" s="556"/>
      <c r="E175" s="556"/>
      <c r="F175" s="556"/>
      <c r="G175" s="556"/>
      <c r="H175" s="556"/>
      <c r="I175" s="556"/>
      <c r="J175" s="556"/>
      <c r="K175" s="556"/>
      <c r="L175" s="556"/>
      <c r="M175" s="556"/>
      <c r="N175" s="556"/>
      <c r="O175" s="556"/>
      <c r="P175" s="556"/>
      <c r="Q175" s="556"/>
      <c r="R175" s="556"/>
      <c r="S175" s="556"/>
      <c r="T175" s="556"/>
      <c r="U175" s="556"/>
      <c r="V175" s="599">
        <f>+V93</f>
        <v>0</v>
      </c>
      <c r="W175" s="558"/>
      <c r="X175" s="543"/>
      <c r="Y175" s="544"/>
      <c r="Z175" s="544"/>
      <c r="AA175" s="544"/>
      <c r="AB175" s="544"/>
      <c r="AC175" s="544"/>
      <c r="AD175" s="544"/>
      <c r="AE175" s="544"/>
      <c r="AF175" s="544"/>
      <c r="AG175" s="544"/>
      <c r="AH175" s="544"/>
      <c r="AI175" s="544"/>
      <c r="AJ175" s="544"/>
      <c r="AK175" s="544"/>
      <c r="AL175" s="544"/>
      <c r="AM175" s="544"/>
      <c r="AN175" s="544"/>
      <c r="AO175" s="544"/>
      <c r="AP175" s="544"/>
      <c r="AQ175" s="544"/>
      <c r="AR175" s="544"/>
      <c r="AS175" s="544"/>
      <c r="AT175" s="544"/>
      <c r="AU175" s="544"/>
      <c r="AV175" s="544"/>
      <c r="AW175" s="544"/>
      <c r="AX175" s="544"/>
      <c r="AY175" s="544"/>
      <c r="AZ175" s="544"/>
      <c r="BA175" s="544"/>
      <c r="BB175" s="544"/>
      <c r="BC175" s="544"/>
      <c r="BD175" s="544"/>
      <c r="BE175" s="544"/>
      <c r="BF175" s="544"/>
      <c r="BG175" s="544"/>
      <c r="BH175" s="544"/>
      <c r="BI175" s="544"/>
      <c r="BJ175" s="544"/>
      <c r="BK175" s="544"/>
      <c r="BL175" s="544"/>
      <c r="BM175" s="544"/>
      <c r="BN175" s="544"/>
      <c r="BO175" s="544"/>
      <c r="BP175" s="544"/>
      <c r="BQ175" s="544"/>
      <c r="BR175" s="544"/>
      <c r="BS175" s="544"/>
      <c r="BT175" s="544"/>
      <c r="BU175" s="544"/>
      <c r="BV175" s="544"/>
      <c r="BW175" s="544"/>
      <c r="BX175" s="544"/>
      <c r="BY175" s="544"/>
      <c r="BZ175" s="544"/>
      <c r="CA175" s="544"/>
      <c r="CB175" s="544"/>
      <c r="CC175" s="544"/>
      <c r="CD175" s="544"/>
      <c r="CE175" s="544"/>
      <c r="CF175" s="544"/>
      <c r="CG175" s="544"/>
      <c r="CH175" s="544"/>
      <c r="CI175" s="544"/>
      <c r="CJ175" s="544"/>
      <c r="CK175" s="544"/>
      <c r="CL175" s="544"/>
      <c r="CM175" s="544"/>
      <c r="CN175" s="544"/>
      <c r="CO175" s="544"/>
      <c r="CP175" s="544"/>
      <c r="CQ175" s="544"/>
      <c r="CR175" s="544"/>
      <c r="CS175" s="544"/>
      <c r="CT175" s="544"/>
      <c r="CU175" s="544"/>
      <c r="CV175" s="544"/>
      <c r="CW175" s="544"/>
      <c r="CX175" s="544"/>
      <c r="CY175" s="544"/>
      <c r="CZ175" s="544"/>
      <c r="DA175" s="544"/>
      <c r="DB175" s="544"/>
      <c r="DC175" s="544"/>
      <c r="DD175" s="544"/>
      <c r="DE175" s="544"/>
      <c r="DF175" s="544"/>
      <c r="DG175" s="544"/>
      <c r="DH175" s="544"/>
      <c r="DI175" s="544"/>
      <c r="DJ175" s="544"/>
      <c r="DK175" s="544"/>
      <c r="DL175" s="544"/>
      <c r="DM175" s="544"/>
      <c r="DN175" s="544"/>
      <c r="DO175" s="544"/>
      <c r="DP175" s="544"/>
      <c r="DQ175" s="544"/>
      <c r="DR175" s="544"/>
      <c r="DS175" s="544"/>
      <c r="DT175" s="544"/>
      <c r="DU175" s="544"/>
      <c r="DV175" s="544"/>
      <c r="DW175" s="544"/>
      <c r="DX175" s="544"/>
      <c r="DY175" s="544"/>
      <c r="DZ175" s="544"/>
      <c r="EA175" s="544"/>
      <c r="EB175" s="544"/>
      <c r="EC175" s="544"/>
      <c r="ED175" s="544"/>
      <c r="EE175" s="544"/>
      <c r="EF175" s="544"/>
      <c r="EG175" s="544"/>
      <c r="EH175" s="544"/>
      <c r="EI175" s="544"/>
      <c r="EJ175" s="544"/>
      <c r="EK175" s="544"/>
      <c r="EL175" s="544"/>
      <c r="EM175" s="544"/>
      <c r="EN175" s="544"/>
      <c r="EO175" s="544"/>
      <c r="EP175" s="544"/>
      <c r="EQ175" s="544"/>
      <c r="ER175" s="544"/>
      <c r="ES175" s="544"/>
      <c r="ET175" s="544"/>
      <c r="EU175" s="544"/>
      <c r="EV175" s="544"/>
      <c r="EW175" s="544"/>
      <c r="EX175" s="544"/>
      <c r="EY175" s="544"/>
      <c r="EZ175" s="544"/>
      <c r="FA175" s="544"/>
      <c r="FB175" s="544"/>
      <c r="FC175" s="544"/>
      <c r="FD175" s="544"/>
      <c r="FE175" s="544"/>
      <c r="FF175" s="544"/>
      <c r="FG175" s="544"/>
      <c r="FH175" s="544"/>
      <c r="FI175" s="544"/>
      <c r="FJ175" s="544"/>
      <c r="FK175" s="544"/>
      <c r="FL175" s="544"/>
      <c r="FM175" s="544"/>
      <c r="FN175" s="544"/>
      <c r="FO175" s="544"/>
      <c r="FP175" s="544"/>
      <c r="FQ175" s="544"/>
      <c r="FR175" s="544"/>
      <c r="FS175" s="544"/>
      <c r="FT175" s="544"/>
      <c r="FU175" s="544"/>
      <c r="FV175" s="544"/>
      <c r="FW175" s="544"/>
      <c r="FX175" s="544"/>
      <c r="FY175" s="544"/>
      <c r="FZ175" s="544"/>
      <c r="GA175" s="544"/>
      <c r="GB175" s="544"/>
      <c r="GC175" s="544"/>
      <c r="GD175" s="544"/>
      <c r="GE175" s="544"/>
      <c r="GF175" s="544"/>
      <c r="GG175" s="544"/>
      <c r="GH175" s="544"/>
      <c r="GI175" s="544"/>
      <c r="GJ175" s="544"/>
      <c r="GK175" s="544"/>
      <c r="GL175" s="544"/>
      <c r="GM175" s="544"/>
      <c r="GN175" s="544"/>
      <c r="GO175" s="544"/>
      <c r="GP175" s="544"/>
      <c r="GQ175" s="544"/>
      <c r="GR175" s="544"/>
      <c r="GS175" s="544"/>
      <c r="GT175" s="544"/>
      <c r="GU175" s="544"/>
      <c r="GV175" s="544"/>
      <c r="GW175" s="544"/>
      <c r="GX175" s="544"/>
      <c r="GY175" s="544"/>
      <c r="GZ175" s="544"/>
      <c r="HA175" s="544"/>
      <c r="HB175" s="544"/>
      <c r="HC175" s="544"/>
      <c r="HD175" s="544"/>
      <c r="HE175" s="544"/>
      <c r="HF175" s="544"/>
      <c r="HG175" s="544"/>
      <c r="HH175" s="544"/>
      <c r="HI175" s="544"/>
      <c r="HJ175" s="544"/>
      <c r="HK175" s="544"/>
      <c r="HL175" s="544"/>
      <c r="HM175" s="544"/>
      <c r="HN175" s="544"/>
      <c r="HO175" s="544"/>
      <c r="HP175" s="544"/>
      <c r="HQ175" s="544"/>
      <c r="HR175" s="544"/>
      <c r="HS175" s="544"/>
      <c r="HT175" s="544"/>
      <c r="HU175" s="544"/>
      <c r="HV175" s="544"/>
      <c r="HW175" s="544"/>
      <c r="HX175" s="544"/>
      <c r="HY175" s="544"/>
      <c r="HZ175" s="544"/>
      <c r="IA175" s="544"/>
      <c r="IB175" s="544"/>
      <c r="IC175" s="544"/>
      <c r="ID175" s="544"/>
      <c r="IE175" s="544"/>
      <c r="IF175" s="544"/>
      <c r="IG175" s="544"/>
      <c r="IH175" s="544"/>
      <c r="II175" s="544"/>
      <c r="IJ175" s="544"/>
      <c r="IK175" s="544"/>
      <c r="IL175" s="544"/>
      <c r="IM175" s="544"/>
      <c r="IN175" s="544"/>
      <c r="IO175" s="544"/>
      <c r="IP175" s="544"/>
      <c r="IQ175" s="544"/>
      <c r="IR175" s="544"/>
      <c r="IS175" s="544"/>
      <c r="IT175" s="544"/>
      <c r="IU175" s="544"/>
      <c r="IV175" s="544"/>
    </row>
    <row r="176" spans="1:256" s="609" customFormat="1" x14ac:dyDescent="0.3">
      <c r="A176" s="555"/>
      <c r="B176" s="556" t="s">
        <v>271</v>
      </c>
      <c r="C176" s="556"/>
      <c r="D176" s="556"/>
      <c r="E176" s="556"/>
      <c r="F176" s="556"/>
      <c r="G176" s="556"/>
      <c r="H176" s="556"/>
      <c r="I176" s="556"/>
      <c r="J176" s="556"/>
      <c r="K176" s="556"/>
      <c r="L176" s="556"/>
      <c r="M176" s="556"/>
      <c r="N176" s="556"/>
      <c r="O176" s="556"/>
      <c r="P176" s="556"/>
      <c r="Q176" s="556"/>
      <c r="R176" s="556"/>
      <c r="S176" s="556"/>
      <c r="T176" s="556"/>
      <c r="U176" s="556"/>
      <c r="V176" s="599">
        <f>+V174-V175</f>
        <v>0</v>
      </c>
      <c r="W176" s="558"/>
      <c r="X176" s="543"/>
      <c r="Y176" s="544"/>
      <c r="Z176" s="544"/>
      <c r="AA176" s="544"/>
      <c r="AB176" s="544"/>
      <c r="AC176" s="544"/>
      <c r="AD176" s="544"/>
      <c r="AE176" s="544"/>
      <c r="AF176" s="544"/>
      <c r="AG176" s="544"/>
      <c r="AH176" s="544"/>
      <c r="AI176" s="544"/>
      <c r="AJ176" s="544"/>
      <c r="AK176" s="544"/>
      <c r="AL176" s="544"/>
      <c r="AM176" s="544"/>
      <c r="AN176" s="544"/>
      <c r="AO176" s="544"/>
      <c r="AP176" s="544"/>
      <c r="AQ176" s="544"/>
      <c r="AR176" s="544"/>
      <c r="AS176" s="544"/>
      <c r="AT176" s="544"/>
      <c r="AU176" s="544"/>
      <c r="AV176" s="544"/>
      <c r="AW176" s="544"/>
      <c r="AX176" s="544"/>
      <c r="AY176" s="544"/>
      <c r="AZ176" s="544"/>
      <c r="BA176" s="544"/>
      <c r="BB176" s="544"/>
      <c r="BC176" s="544"/>
      <c r="BD176" s="544"/>
      <c r="BE176" s="544"/>
      <c r="BF176" s="544"/>
      <c r="BG176" s="544"/>
      <c r="BH176" s="544"/>
      <c r="BI176" s="544"/>
      <c r="BJ176" s="544"/>
      <c r="BK176" s="544"/>
      <c r="BL176" s="544"/>
      <c r="BM176" s="544"/>
      <c r="BN176" s="544"/>
      <c r="BO176" s="544"/>
      <c r="BP176" s="544"/>
      <c r="BQ176" s="544"/>
      <c r="BR176" s="544"/>
      <c r="BS176" s="544"/>
      <c r="BT176" s="544"/>
      <c r="BU176" s="544"/>
      <c r="BV176" s="544"/>
      <c r="BW176" s="544"/>
      <c r="BX176" s="544"/>
      <c r="BY176" s="544"/>
      <c r="BZ176" s="544"/>
      <c r="CA176" s="544"/>
      <c r="CB176" s="544"/>
      <c r="CC176" s="544"/>
      <c r="CD176" s="544"/>
      <c r="CE176" s="544"/>
      <c r="CF176" s="544"/>
      <c r="CG176" s="544"/>
      <c r="CH176" s="544"/>
      <c r="CI176" s="544"/>
      <c r="CJ176" s="544"/>
      <c r="CK176" s="544"/>
      <c r="CL176" s="544"/>
      <c r="CM176" s="544"/>
      <c r="CN176" s="544"/>
      <c r="CO176" s="544"/>
      <c r="CP176" s="544"/>
      <c r="CQ176" s="544"/>
      <c r="CR176" s="544"/>
      <c r="CS176" s="544"/>
      <c r="CT176" s="544"/>
      <c r="CU176" s="544"/>
      <c r="CV176" s="544"/>
      <c r="CW176" s="544"/>
      <c r="CX176" s="544"/>
      <c r="CY176" s="544"/>
      <c r="CZ176" s="544"/>
      <c r="DA176" s="544"/>
      <c r="DB176" s="544"/>
      <c r="DC176" s="544"/>
      <c r="DD176" s="544"/>
      <c r="DE176" s="544"/>
      <c r="DF176" s="544"/>
      <c r="DG176" s="544"/>
      <c r="DH176" s="544"/>
      <c r="DI176" s="544"/>
      <c r="DJ176" s="544"/>
      <c r="DK176" s="544"/>
      <c r="DL176" s="544"/>
      <c r="DM176" s="544"/>
      <c r="DN176" s="544"/>
      <c r="DO176" s="544"/>
      <c r="DP176" s="544"/>
      <c r="DQ176" s="544"/>
      <c r="DR176" s="544"/>
      <c r="DS176" s="544"/>
      <c r="DT176" s="544"/>
      <c r="DU176" s="544"/>
      <c r="DV176" s="544"/>
      <c r="DW176" s="544"/>
      <c r="DX176" s="544"/>
      <c r="DY176" s="544"/>
      <c r="DZ176" s="544"/>
      <c r="EA176" s="544"/>
      <c r="EB176" s="544"/>
      <c r="EC176" s="544"/>
      <c r="ED176" s="544"/>
      <c r="EE176" s="544"/>
      <c r="EF176" s="544"/>
      <c r="EG176" s="544"/>
      <c r="EH176" s="544"/>
      <c r="EI176" s="544"/>
      <c r="EJ176" s="544"/>
      <c r="EK176" s="544"/>
      <c r="EL176" s="544"/>
      <c r="EM176" s="544"/>
      <c r="EN176" s="544"/>
      <c r="EO176" s="544"/>
      <c r="EP176" s="544"/>
      <c r="EQ176" s="544"/>
      <c r="ER176" s="544"/>
      <c r="ES176" s="544"/>
      <c r="ET176" s="544"/>
      <c r="EU176" s="544"/>
      <c r="EV176" s="544"/>
      <c r="EW176" s="544"/>
      <c r="EX176" s="544"/>
      <c r="EY176" s="544"/>
      <c r="EZ176" s="544"/>
      <c r="FA176" s="544"/>
      <c r="FB176" s="544"/>
      <c r="FC176" s="544"/>
      <c r="FD176" s="544"/>
      <c r="FE176" s="544"/>
      <c r="FF176" s="544"/>
      <c r="FG176" s="544"/>
      <c r="FH176" s="544"/>
      <c r="FI176" s="544"/>
      <c r="FJ176" s="544"/>
      <c r="FK176" s="544"/>
      <c r="FL176" s="544"/>
      <c r="FM176" s="544"/>
      <c r="FN176" s="544"/>
      <c r="FO176" s="544"/>
      <c r="FP176" s="544"/>
      <c r="FQ176" s="544"/>
      <c r="FR176" s="544"/>
      <c r="FS176" s="544"/>
      <c r="FT176" s="544"/>
      <c r="FU176" s="544"/>
      <c r="FV176" s="544"/>
      <c r="FW176" s="544"/>
      <c r="FX176" s="544"/>
      <c r="FY176" s="544"/>
      <c r="FZ176" s="544"/>
      <c r="GA176" s="544"/>
      <c r="GB176" s="544"/>
      <c r="GC176" s="544"/>
      <c r="GD176" s="544"/>
      <c r="GE176" s="544"/>
      <c r="GF176" s="544"/>
      <c r="GG176" s="544"/>
      <c r="GH176" s="544"/>
      <c r="GI176" s="544"/>
      <c r="GJ176" s="544"/>
      <c r="GK176" s="544"/>
      <c r="GL176" s="544"/>
      <c r="GM176" s="544"/>
      <c r="GN176" s="544"/>
      <c r="GO176" s="544"/>
      <c r="GP176" s="544"/>
      <c r="GQ176" s="544"/>
      <c r="GR176" s="544"/>
      <c r="GS176" s="544"/>
      <c r="GT176" s="544"/>
      <c r="GU176" s="544"/>
      <c r="GV176" s="544"/>
      <c r="GW176" s="544"/>
      <c r="GX176" s="544"/>
      <c r="GY176" s="544"/>
      <c r="GZ176" s="544"/>
      <c r="HA176" s="544"/>
      <c r="HB176" s="544"/>
      <c r="HC176" s="544"/>
      <c r="HD176" s="544"/>
      <c r="HE176" s="544"/>
      <c r="HF176" s="544"/>
      <c r="HG176" s="544"/>
      <c r="HH176" s="544"/>
      <c r="HI176" s="544"/>
      <c r="HJ176" s="544"/>
      <c r="HK176" s="544"/>
      <c r="HL176" s="544"/>
      <c r="HM176" s="544"/>
      <c r="HN176" s="544"/>
      <c r="HO176" s="544"/>
      <c r="HP176" s="544"/>
      <c r="HQ176" s="544"/>
      <c r="HR176" s="544"/>
      <c r="HS176" s="544"/>
      <c r="HT176" s="544"/>
      <c r="HU176" s="544"/>
      <c r="HV176" s="544"/>
      <c r="HW176" s="544"/>
      <c r="HX176" s="544"/>
      <c r="HY176" s="544"/>
      <c r="HZ176" s="544"/>
      <c r="IA176" s="544"/>
      <c r="IB176" s="544"/>
      <c r="IC176" s="544"/>
      <c r="ID176" s="544"/>
      <c r="IE176" s="544"/>
      <c r="IF176" s="544"/>
      <c r="IG176" s="544"/>
      <c r="IH176" s="544"/>
      <c r="II176" s="544"/>
      <c r="IJ176" s="544"/>
      <c r="IK176" s="544"/>
      <c r="IL176" s="544"/>
      <c r="IM176" s="544"/>
      <c r="IN176" s="544"/>
      <c r="IO176" s="544"/>
      <c r="IP176" s="544"/>
      <c r="IQ176" s="544"/>
      <c r="IR176" s="544"/>
      <c r="IS176" s="544"/>
      <c r="IT176" s="544"/>
      <c r="IU176" s="544"/>
      <c r="IV176" s="544"/>
    </row>
    <row r="177" spans="1:256" s="459" customFormat="1" ht="16.2" thickBot="1" x14ac:dyDescent="0.35">
      <c r="A177" s="438"/>
      <c r="B177" s="441"/>
      <c r="C177" s="441"/>
      <c r="D177" s="441"/>
      <c r="E177" s="441"/>
      <c r="F177" s="441"/>
      <c r="G177" s="441"/>
      <c r="H177" s="441"/>
      <c r="I177" s="441"/>
      <c r="J177" s="441"/>
      <c r="K177" s="441"/>
      <c r="L177" s="441"/>
      <c r="M177" s="441"/>
      <c r="N177" s="441"/>
      <c r="O177" s="441"/>
      <c r="P177" s="441"/>
      <c r="Q177" s="441"/>
      <c r="R177" s="441"/>
      <c r="S177" s="441"/>
      <c r="T177" s="441"/>
      <c r="U177" s="441"/>
      <c r="V177" s="452"/>
      <c r="W177" s="441"/>
      <c r="X177" s="415"/>
      <c r="Y177" s="416"/>
      <c r="Z177" s="416"/>
      <c r="AA177" s="416"/>
      <c r="AB177" s="416"/>
      <c r="AC177" s="416"/>
      <c r="AD177" s="416"/>
      <c r="AE177" s="416"/>
      <c r="AF177" s="416"/>
      <c r="AG177" s="416"/>
      <c r="AH177" s="416"/>
      <c r="AI177" s="416"/>
      <c r="AJ177" s="416"/>
      <c r="AK177" s="416"/>
      <c r="AL177" s="416"/>
      <c r="AM177" s="416"/>
      <c r="AN177" s="416"/>
      <c r="AO177" s="416"/>
      <c r="AP177" s="416"/>
      <c r="AQ177" s="416"/>
      <c r="AR177" s="416"/>
      <c r="AS177" s="416"/>
      <c r="AT177" s="416"/>
      <c r="AU177" s="416"/>
      <c r="AV177" s="416"/>
      <c r="AW177" s="416"/>
      <c r="AX177" s="416"/>
      <c r="AY177" s="416"/>
      <c r="AZ177" s="416"/>
      <c r="BA177" s="416"/>
      <c r="BB177" s="416"/>
      <c r="BC177" s="416"/>
      <c r="BD177" s="416"/>
      <c r="BE177" s="416"/>
      <c r="BF177" s="416"/>
      <c r="BG177" s="416"/>
      <c r="BH177" s="416"/>
      <c r="BI177" s="416"/>
      <c r="BJ177" s="416"/>
      <c r="BK177" s="416"/>
      <c r="BL177" s="416"/>
      <c r="BM177" s="416"/>
      <c r="BN177" s="416"/>
      <c r="BO177" s="416"/>
      <c r="BP177" s="416"/>
      <c r="BQ177" s="416"/>
      <c r="BR177" s="416"/>
      <c r="BS177" s="416"/>
      <c r="BT177" s="416"/>
      <c r="BU177" s="416"/>
      <c r="BV177" s="416"/>
      <c r="BW177" s="416"/>
      <c r="BX177" s="416"/>
      <c r="BY177" s="416"/>
      <c r="BZ177" s="416"/>
      <c r="CA177" s="416"/>
      <c r="CB177" s="416"/>
      <c r="CC177" s="416"/>
      <c r="CD177" s="416"/>
      <c r="CE177" s="416"/>
      <c r="CF177" s="416"/>
      <c r="CG177" s="416"/>
      <c r="CH177" s="416"/>
      <c r="CI177" s="416"/>
      <c r="CJ177" s="416"/>
      <c r="CK177" s="416"/>
      <c r="CL177" s="416"/>
      <c r="CM177" s="416"/>
      <c r="CN177" s="416"/>
      <c r="CO177" s="416"/>
      <c r="CP177" s="416"/>
      <c r="CQ177" s="416"/>
      <c r="CR177" s="416"/>
      <c r="CS177" s="416"/>
      <c r="CT177" s="416"/>
      <c r="CU177" s="416"/>
      <c r="CV177" s="416"/>
      <c r="CW177" s="416"/>
      <c r="CX177" s="416"/>
      <c r="CY177" s="416"/>
      <c r="CZ177" s="416"/>
      <c r="DA177" s="416"/>
      <c r="DB177" s="416"/>
      <c r="DC177" s="416"/>
      <c r="DD177" s="416"/>
      <c r="DE177" s="416"/>
      <c r="DF177" s="416"/>
      <c r="DG177" s="416"/>
      <c r="DH177" s="416"/>
      <c r="DI177" s="416"/>
      <c r="DJ177" s="416"/>
      <c r="DK177" s="416"/>
      <c r="DL177" s="416"/>
      <c r="DM177" s="416"/>
      <c r="DN177" s="416"/>
      <c r="DO177" s="416"/>
      <c r="DP177" s="416"/>
      <c r="DQ177" s="416"/>
      <c r="DR177" s="416"/>
      <c r="DS177" s="416"/>
      <c r="DT177" s="416"/>
      <c r="DU177" s="416"/>
      <c r="DV177" s="416"/>
      <c r="DW177" s="416"/>
      <c r="DX177" s="416"/>
      <c r="DY177" s="416"/>
      <c r="DZ177" s="416"/>
      <c r="EA177" s="416"/>
      <c r="EB177" s="416"/>
      <c r="EC177" s="416"/>
      <c r="ED177" s="416"/>
      <c r="EE177" s="416"/>
      <c r="EF177" s="416"/>
      <c r="EG177" s="416"/>
      <c r="EH177" s="416"/>
      <c r="EI177" s="416"/>
      <c r="EJ177" s="416"/>
      <c r="EK177" s="416"/>
      <c r="EL177" s="416"/>
      <c r="EM177" s="416"/>
      <c r="EN177" s="416"/>
      <c r="EO177" s="416"/>
      <c r="EP177" s="416"/>
      <c r="EQ177" s="416"/>
      <c r="ER177" s="416"/>
      <c r="ES177" s="416"/>
      <c r="ET177" s="416"/>
      <c r="EU177" s="416"/>
      <c r="EV177" s="416"/>
      <c r="EW177" s="416"/>
      <c r="EX177" s="416"/>
      <c r="EY177" s="416"/>
      <c r="EZ177" s="416"/>
      <c r="FA177" s="416"/>
      <c r="FB177" s="416"/>
      <c r="FC177" s="416"/>
      <c r="FD177" s="416"/>
      <c r="FE177" s="416"/>
      <c r="FF177" s="416"/>
      <c r="FG177" s="416"/>
      <c r="FH177" s="416"/>
      <c r="FI177" s="416"/>
      <c r="FJ177" s="416"/>
      <c r="FK177" s="416"/>
      <c r="FL177" s="416"/>
      <c r="FM177" s="416"/>
      <c r="FN177" s="416"/>
      <c r="FO177" s="416"/>
      <c r="FP177" s="416"/>
      <c r="FQ177" s="416"/>
      <c r="FR177" s="416"/>
      <c r="FS177" s="416"/>
      <c r="FT177" s="416"/>
      <c r="FU177" s="416"/>
      <c r="FV177" s="416"/>
      <c r="FW177" s="416"/>
      <c r="FX177" s="416"/>
      <c r="FY177" s="416"/>
      <c r="FZ177" s="416"/>
      <c r="GA177" s="416"/>
      <c r="GB177" s="416"/>
      <c r="GC177" s="416"/>
      <c r="GD177" s="416"/>
      <c r="GE177" s="416"/>
      <c r="GF177" s="416"/>
      <c r="GG177" s="416"/>
      <c r="GH177" s="416"/>
      <c r="GI177" s="416"/>
      <c r="GJ177" s="416"/>
      <c r="GK177" s="416"/>
      <c r="GL177" s="416"/>
      <c r="GM177" s="416"/>
      <c r="GN177" s="416"/>
      <c r="GO177" s="416"/>
      <c r="GP177" s="416"/>
      <c r="GQ177" s="416"/>
      <c r="GR177" s="416"/>
      <c r="GS177" s="416"/>
      <c r="GT177" s="416"/>
      <c r="GU177" s="416"/>
      <c r="GV177" s="416"/>
      <c r="GW177" s="416"/>
      <c r="GX177" s="416"/>
      <c r="GY177" s="416"/>
      <c r="GZ177" s="416"/>
      <c r="HA177" s="416"/>
      <c r="HB177" s="416"/>
      <c r="HC177" s="416"/>
      <c r="HD177" s="416"/>
      <c r="HE177" s="416"/>
      <c r="HF177" s="416"/>
      <c r="HG177" s="416"/>
      <c r="HH177" s="416"/>
      <c r="HI177" s="416"/>
      <c r="HJ177" s="416"/>
      <c r="HK177" s="416"/>
      <c r="HL177" s="416"/>
      <c r="HM177" s="416"/>
      <c r="HN177" s="416"/>
      <c r="HO177" s="416"/>
      <c r="HP177" s="416"/>
      <c r="HQ177" s="416"/>
      <c r="HR177" s="416"/>
      <c r="HS177" s="416"/>
      <c r="HT177" s="416"/>
      <c r="HU177" s="416"/>
      <c r="HV177" s="416"/>
      <c r="HW177" s="416"/>
      <c r="HX177" s="416"/>
      <c r="HY177" s="416"/>
      <c r="HZ177" s="416"/>
      <c r="IA177" s="416"/>
      <c r="IB177" s="416"/>
      <c r="IC177" s="416"/>
      <c r="ID177" s="416"/>
      <c r="IE177" s="416"/>
      <c r="IF177" s="416"/>
      <c r="IG177" s="416"/>
      <c r="IH177" s="416"/>
      <c r="II177" s="416"/>
      <c r="IJ177" s="416"/>
      <c r="IK177" s="416"/>
      <c r="IL177" s="416"/>
      <c r="IM177" s="416"/>
      <c r="IN177" s="416"/>
      <c r="IO177" s="416"/>
      <c r="IP177" s="416"/>
      <c r="IQ177" s="416"/>
      <c r="IR177" s="416"/>
      <c r="IS177" s="416"/>
      <c r="IT177" s="416"/>
      <c r="IU177" s="416"/>
      <c r="IV177" s="416"/>
    </row>
    <row r="178" spans="1:256" s="461" customFormat="1" x14ac:dyDescent="0.3">
      <c r="A178" s="413"/>
      <c r="B178" s="414"/>
      <c r="C178" s="414"/>
      <c r="D178" s="414"/>
      <c r="E178" s="414"/>
      <c r="F178" s="414"/>
      <c r="G178" s="414"/>
      <c r="H178" s="414"/>
      <c r="I178" s="414"/>
      <c r="J178" s="414"/>
      <c r="K178" s="414"/>
      <c r="L178" s="414"/>
      <c r="M178" s="414"/>
      <c r="N178" s="414"/>
      <c r="O178" s="414"/>
      <c r="P178" s="414"/>
      <c r="Q178" s="414"/>
      <c r="R178" s="414"/>
      <c r="S178" s="414"/>
      <c r="T178" s="414"/>
      <c r="U178" s="414"/>
      <c r="V178" s="460"/>
      <c r="W178" s="414"/>
      <c r="X178" s="415"/>
      <c r="Y178" s="416"/>
      <c r="Z178" s="416"/>
      <c r="AA178" s="416"/>
      <c r="AB178" s="416"/>
      <c r="AC178" s="416"/>
      <c r="AD178" s="416"/>
      <c r="AE178" s="416"/>
      <c r="AF178" s="416"/>
      <c r="AG178" s="416"/>
      <c r="AH178" s="416"/>
      <c r="AI178" s="416"/>
      <c r="AJ178" s="416"/>
      <c r="AK178" s="416"/>
      <c r="AL178" s="416"/>
      <c r="AM178" s="416"/>
      <c r="AN178" s="416"/>
      <c r="AO178" s="416"/>
      <c r="AP178" s="416"/>
      <c r="AQ178" s="416"/>
      <c r="AR178" s="416"/>
      <c r="AS178" s="416"/>
      <c r="AT178" s="416"/>
      <c r="AU178" s="416"/>
      <c r="AV178" s="416"/>
      <c r="AW178" s="416"/>
      <c r="AX178" s="416"/>
      <c r="AY178" s="416"/>
      <c r="AZ178" s="416"/>
      <c r="BA178" s="416"/>
      <c r="BB178" s="416"/>
      <c r="BC178" s="416"/>
      <c r="BD178" s="416"/>
      <c r="BE178" s="416"/>
      <c r="BF178" s="416"/>
      <c r="BG178" s="416"/>
      <c r="BH178" s="416"/>
      <c r="BI178" s="416"/>
      <c r="BJ178" s="416"/>
      <c r="BK178" s="416"/>
      <c r="BL178" s="416"/>
      <c r="BM178" s="416"/>
      <c r="BN178" s="416"/>
      <c r="BO178" s="416"/>
      <c r="BP178" s="416"/>
      <c r="BQ178" s="416"/>
      <c r="BR178" s="416"/>
      <c r="BS178" s="416"/>
      <c r="BT178" s="416"/>
      <c r="BU178" s="416"/>
      <c r="BV178" s="416"/>
      <c r="BW178" s="416"/>
      <c r="BX178" s="416"/>
      <c r="BY178" s="416"/>
      <c r="BZ178" s="416"/>
      <c r="CA178" s="416"/>
      <c r="CB178" s="416"/>
      <c r="CC178" s="416"/>
      <c r="CD178" s="416"/>
      <c r="CE178" s="416"/>
      <c r="CF178" s="416"/>
      <c r="CG178" s="416"/>
      <c r="CH178" s="416"/>
      <c r="CI178" s="416"/>
      <c r="CJ178" s="416"/>
      <c r="CK178" s="416"/>
      <c r="CL178" s="416"/>
      <c r="CM178" s="416"/>
      <c r="CN178" s="416"/>
      <c r="CO178" s="416"/>
      <c r="CP178" s="416"/>
      <c r="CQ178" s="416"/>
      <c r="CR178" s="416"/>
      <c r="CS178" s="416"/>
      <c r="CT178" s="416"/>
      <c r="CU178" s="416"/>
      <c r="CV178" s="416"/>
      <c r="CW178" s="416"/>
      <c r="CX178" s="416"/>
      <c r="CY178" s="416"/>
      <c r="CZ178" s="416"/>
      <c r="DA178" s="416"/>
      <c r="DB178" s="416"/>
      <c r="DC178" s="416"/>
      <c r="DD178" s="416"/>
      <c r="DE178" s="416"/>
      <c r="DF178" s="416"/>
      <c r="DG178" s="416"/>
      <c r="DH178" s="416"/>
      <c r="DI178" s="416"/>
      <c r="DJ178" s="416"/>
      <c r="DK178" s="416"/>
      <c r="DL178" s="416"/>
      <c r="DM178" s="416"/>
      <c r="DN178" s="416"/>
      <c r="DO178" s="416"/>
      <c r="DP178" s="416"/>
      <c r="DQ178" s="416"/>
      <c r="DR178" s="416"/>
      <c r="DS178" s="416"/>
      <c r="DT178" s="416"/>
      <c r="DU178" s="416"/>
      <c r="DV178" s="416"/>
      <c r="DW178" s="416"/>
      <c r="DX178" s="416"/>
      <c r="DY178" s="416"/>
      <c r="DZ178" s="416"/>
      <c r="EA178" s="416"/>
      <c r="EB178" s="416"/>
      <c r="EC178" s="416"/>
      <c r="ED178" s="416"/>
      <c r="EE178" s="416"/>
      <c r="EF178" s="416"/>
      <c r="EG178" s="416"/>
      <c r="EH178" s="416"/>
      <c r="EI178" s="416"/>
      <c r="EJ178" s="416"/>
      <c r="EK178" s="416"/>
      <c r="EL178" s="416"/>
      <c r="EM178" s="416"/>
      <c r="EN178" s="416"/>
      <c r="EO178" s="416"/>
      <c r="EP178" s="416"/>
      <c r="EQ178" s="416"/>
      <c r="ER178" s="416"/>
      <c r="ES178" s="416"/>
      <c r="ET178" s="416"/>
      <c r="EU178" s="416"/>
      <c r="EV178" s="416"/>
      <c r="EW178" s="416"/>
      <c r="EX178" s="416"/>
      <c r="EY178" s="416"/>
      <c r="EZ178" s="416"/>
      <c r="FA178" s="416"/>
      <c r="FB178" s="416"/>
      <c r="FC178" s="416"/>
      <c r="FD178" s="416"/>
      <c r="FE178" s="416"/>
      <c r="FF178" s="416"/>
      <c r="FG178" s="416"/>
      <c r="FH178" s="416"/>
      <c r="FI178" s="416"/>
      <c r="FJ178" s="416"/>
      <c r="FK178" s="416"/>
      <c r="FL178" s="416"/>
      <c r="FM178" s="416"/>
      <c r="FN178" s="416"/>
      <c r="FO178" s="416"/>
      <c r="FP178" s="416"/>
      <c r="FQ178" s="416"/>
      <c r="FR178" s="416"/>
      <c r="FS178" s="416"/>
      <c r="FT178" s="416"/>
      <c r="FU178" s="416"/>
      <c r="FV178" s="416"/>
      <c r="FW178" s="416"/>
      <c r="FX178" s="416"/>
      <c r="FY178" s="416"/>
      <c r="FZ178" s="416"/>
      <c r="GA178" s="416"/>
      <c r="GB178" s="416"/>
      <c r="GC178" s="416"/>
      <c r="GD178" s="416"/>
      <c r="GE178" s="416"/>
      <c r="GF178" s="416"/>
      <c r="GG178" s="416"/>
      <c r="GH178" s="416"/>
      <c r="GI178" s="416"/>
      <c r="GJ178" s="416"/>
      <c r="GK178" s="416"/>
      <c r="GL178" s="416"/>
      <c r="GM178" s="416"/>
      <c r="GN178" s="416"/>
      <c r="GO178" s="416"/>
      <c r="GP178" s="416"/>
      <c r="GQ178" s="416"/>
      <c r="GR178" s="416"/>
      <c r="GS178" s="416"/>
      <c r="GT178" s="416"/>
      <c r="GU178" s="416"/>
      <c r="GV178" s="416"/>
      <c r="GW178" s="416"/>
      <c r="GX178" s="416"/>
      <c r="GY178" s="416"/>
      <c r="GZ178" s="416"/>
      <c r="HA178" s="416"/>
      <c r="HB178" s="416"/>
      <c r="HC178" s="416"/>
      <c r="HD178" s="416"/>
      <c r="HE178" s="416"/>
      <c r="HF178" s="416"/>
      <c r="HG178" s="416"/>
      <c r="HH178" s="416"/>
      <c r="HI178" s="416"/>
      <c r="HJ178" s="416"/>
      <c r="HK178" s="416"/>
      <c r="HL178" s="416"/>
      <c r="HM178" s="416"/>
      <c r="HN178" s="416"/>
      <c r="HO178" s="416"/>
      <c r="HP178" s="416"/>
      <c r="HQ178" s="416"/>
      <c r="HR178" s="416"/>
      <c r="HS178" s="416"/>
      <c r="HT178" s="416"/>
      <c r="HU178" s="416"/>
      <c r="HV178" s="416"/>
      <c r="HW178" s="416"/>
      <c r="HX178" s="416"/>
      <c r="HY178" s="416"/>
      <c r="HZ178" s="416"/>
      <c r="IA178" s="416"/>
      <c r="IB178" s="416"/>
      <c r="IC178" s="416"/>
      <c r="ID178" s="416"/>
      <c r="IE178" s="416"/>
      <c r="IF178" s="416"/>
      <c r="IG178" s="416"/>
      <c r="IH178" s="416"/>
      <c r="II178" s="416"/>
      <c r="IJ178" s="416"/>
      <c r="IK178" s="416"/>
      <c r="IL178" s="416"/>
      <c r="IM178" s="416"/>
      <c r="IN178" s="416"/>
      <c r="IO178" s="416"/>
      <c r="IP178" s="416"/>
      <c r="IQ178" s="416"/>
      <c r="IR178" s="416"/>
      <c r="IS178" s="416"/>
      <c r="IT178" s="416"/>
      <c r="IU178" s="416"/>
      <c r="IV178" s="416"/>
    </row>
    <row r="179" spans="1:256" x14ac:dyDescent="0.3">
      <c r="A179" s="417"/>
      <c r="B179" s="508" t="s">
        <v>56</v>
      </c>
      <c r="C179" s="419"/>
      <c r="D179" s="419"/>
      <c r="E179" s="419"/>
      <c r="F179" s="419"/>
      <c r="G179" s="419"/>
      <c r="H179" s="419"/>
      <c r="I179" s="419"/>
      <c r="J179" s="419"/>
      <c r="K179" s="419"/>
      <c r="L179" s="419"/>
      <c r="M179" s="419"/>
      <c r="N179" s="419"/>
      <c r="O179" s="419"/>
      <c r="P179" s="419"/>
      <c r="Q179" s="419"/>
      <c r="R179" s="419"/>
      <c r="S179" s="419"/>
      <c r="T179" s="419"/>
      <c r="U179" s="419"/>
      <c r="V179" s="439"/>
      <c r="W179" s="419"/>
      <c r="X179" s="415"/>
    </row>
    <row r="180" spans="1:256" x14ac:dyDescent="0.3">
      <c r="A180" s="417"/>
      <c r="B180" s="451"/>
      <c r="C180" s="419"/>
      <c r="D180" s="419"/>
      <c r="E180" s="419"/>
      <c r="F180" s="419"/>
      <c r="G180" s="419"/>
      <c r="H180" s="419"/>
      <c r="I180" s="419"/>
      <c r="J180" s="419"/>
      <c r="K180" s="419"/>
      <c r="L180" s="419"/>
      <c r="M180" s="419"/>
      <c r="N180" s="419"/>
      <c r="O180" s="419"/>
      <c r="P180" s="419"/>
      <c r="Q180" s="419"/>
      <c r="R180" s="419"/>
      <c r="S180" s="419"/>
      <c r="T180" s="419"/>
      <c r="U180" s="419"/>
      <c r="V180" s="439"/>
      <c r="W180" s="419"/>
      <c r="X180" s="415"/>
    </row>
    <row r="181" spans="1:256" s="544" customFormat="1" x14ac:dyDescent="0.3">
      <c r="A181" s="555"/>
      <c r="B181" s="556" t="s">
        <v>57</v>
      </c>
      <c r="C181" s="556"/>
      <c r="D181" s="556"/>
      <c r="E181" s="556"/>
      <c r="F181" s="556"/>
      <c r="G181" s="556"/>
      <c r="H181" s="556"/>
      <c r="I181" s="556"/>
      <c r="J181" s="556"/>
      <c r="K181" s="556"/>
      <c r="L181" s="556"/>
      <c r="M181" s="556"/>
      <c r="N181" s="556"/>
      <c r="O181" s="556"/>
      <c r="P181" s="556"/>
      <c r="Q181" s="556"/>
      <c r="R181" s="556"/>
      <c r="S181" s="556"/>
      <c r="T181" s="556"/>
      <c r="U181" s="556"/>
      <c r="V181" s="599">
        <f>V70</f>
        <v>785811</v>
      </c>
      <c r="W181" s="558"/>
      <c r="X181" s="543"/>
    </row>
    <row r="182" spans="1:256" s="544" customFormat="1" x14ac:dyDescent="0.3">
      <c r="A182" s="555"/>
      <c r="B182" s="556" t="s">
        <v>58</v>
      </c>
      <c r="C182" s="556"/>
      <c r="D182" s="556"/>
      <c r="E182" s="556"/>
      <c r="F182" s="556"/>
      <c r="G182" s="556"/>
      <c r="H182" s="556"/>
      <c r="I182" s="556"/>
      <c r="J182" s="556"/>
      <c r="K182" s="556"/>
      <c r="L182" s="556"/>
      <c r="M182" s="556"/>
      <c r="N182" s="556"/>
      <c r="O182" s="556"/>
      <c r="P182" s="556"/>
      <c r="Q182" s="556"/>
      <c r="R182" s="556"/>
      <c r="S182" s="556"/>
      <c r="T182" s="556"/>
      <c r="U182" s="556"/>
      <c r="V182" s="599">
        <f>V83</f>
        <v>785811</v>
      </c>
      <c r="W182" s="558"/>
      <c r="X182" s="543"/>
    </row>
    <row r="183" spans="1:256" ht="16.2" thickBot="1" x14ac:dyDescent="0.35">
      <c r="A183" s="417"/>
      <c r="B183" s="441"/>
      <c r="C183" s="441"/>
      <c r="D183" s="441"/>
      <c r="E183" s="441"/>
      <c r="F183" s="441"/>
      <c r="G183" s="441"/>
      <c r="H183" s="441"/>
      <c r="I183" s="441"/>
      <c r="J183" s="441"/>
      <c r="K183" s="441"/>
      <c r="L183" s="441"/>
      <c r="M183" s="441"/>
      <c r="N183" s="441"/>
      <c r="O183" s="441"/>
      <c r="P183" s="441"/>
      <c r="Q183" s="441"/>
      <c r="R183" s="441"/>
      <c r="S183" s="441"/>
      <c r="T183" s="441"/>
      <c r="U183" s="441"/>
      <c r="V183" s="452"/>
      <c r="W183" s="441"/>
      <c r="X183" s="415"/>
    </row>
    <row r="184" spans="1:256" x14ac:dyDescent="0.3">
      <c r="A184" s="413"/>
      <c r="B184" s="414"/>
      <c r="C184" s="414"/>
      <c r="D184" s="414"/>
      <c r="E184" s="414"/>
      <c r="F184" s="414"/>
      <c r="G184" s="414"/>
      <c r="H184" s="414"/>
      <c r="I184" s="414"/>
      <c r="J184" s="414"/>
      <c r="K184" s="414"/>
      <c r="L184" s="414"/>
      <c r="M184" s="414"/>
      <c r="N184" s="414"/>
      <c r="O184" s="414"/>
      <c r="P184" s="414"/>
      <c r="Q184" s="414"/>
      <c r="R184" s="414"/>
      <c r="S184" s="414"/>
      <c r="T184" s="414"/>
      <c r="U184" s="414"/>
      <c r="V184" s="460"/>
      <c r="W184" s="414"/>
      <c r="X184" s="415"/>
    </row>
    <row r="185" spans="1:256" s="499" customFormat="1" x14ac:dyDescent="0.3">
      <c r="A185" s="502"/>
      <c r="B185" s="508" t="s">
        <v>59</v>
      </c>
      <c r="C185" s="506"/>
      <c r="D185" s="506"/>
      <c r="E185" s="506"/>
      <c r="F185" s="506"/>
      <c r="G185" s="506"/>
      <c r="H185" s="509"/>
      <c r="I185" s="509"/>
      <c r="J185" s="509"/>
      <c r="K185" s="509"/>
      <c r="L185" s="509"/>
      <c r="M185" s="509"/>
      <c r="N185" s="509"/>
      <c r="O185" s="509"/>
      <c r="P185" s="509"/>
      <c r="Q185" s="509"/>
      <c r="R185" s="509"/>
      <c r="S185" s="509" t="s">
        <v>101</v>
      </c>
      <c r="T185" s="509" t="s">
        <v>176</v>
      </c>
      <c r="U185" s="421"/>
      <c r="V185" s="510" t="s">
        <v>114</v>
      </c>
      <c r="W185" s="421"/>
      <c r="X185" s="498"/>
    </row>
    <row r="186" spans="1:256" s="544" customFormat="1" x14ac:dyDescent="0.3">
      <c r="A186" s="555"/>
      <c r="B186" s="556" t="s">
        <v>60</v>
      </c>
      <c r="C186" s="556"/>
      <c r="D186" s="556"/>
      <c r="E186" s="556"/>
      <c r="F186" s="556"/>
      <c r="G186" s="556"/>
      <c r="H186" s="556"/>
      <c r="I186" s="556"/>
      <c r="J186" s="556"/>
      <c r="K186" s="556"/>
      <c r="L186" s="556"/>
      <c r="M186" s="556"/>
      <c r="N186" s="556"/>
      <c r="O186" s="556"/>
      <c r="P186" s="556"/>
      <c r="Q186" s="556"/>
      <c r="R186" s="556"/>
      <c r="S186" s="599">
        <f>+V34*0.16</f>
        <v>240044</v>
      </c>
      <c r="T186" s="578"/>
      <c r="U186" s="556"/>
      <c r="V186" s="599"/>
      <c r="W186" s="558"/>
      <c r="X186" s="543"/>
    </row>
    <row r="187" spans="1:256" s="544" customFormat="1" x14ac:dyDescent="0.3">
      <c r="A187" s="555"/>
      <c r="B187" s="556" t="s">
        <v>61</v>
      </c>
      <c r="C187" s="556"/>
      <c r="D187" s="556"/>
      <c r="E187" s="556"/>
      <c r="F187" s="556"/>
      <c r="G187" s="556"/>
      <c r="H187" s="556"/>
      <c r="I187" s="556"/>
      <c r="J187" s="556"/>
      <c r="K187" s="556"/>
      <c r="L187" s="556"/>
      <c r="M187" s="556"/>
      <c r="N187" s="556"/>
      <c r="O187" s="556"/>
      <c r="P187" s="556"/>
      <c r="Q187" s="556"/>
      <c r="R187" s="556"/>
      <c r="S187" s="599">
        <f>+'Nov 18'!S189</f>
        <v>33453</v>
      </c>
      <c r="T187" s="599">
        <f>+'Nov 18'!T189</f>
        <v>6019</v>
      </c>
      <c r="U187" s="556"/>
      <c r="V187" s="599">
        <f>S187+T187</f>
        <v>39472</v>
      </c>
      <c r="W187" s="558"/>
      <c r="X187" s="543"/>
    </row>
    <row r="188" spans="1:256" s="544" customFormat="1" x14ac:dyDescent="0.3">
      <c r="A188" s="555"/>
      <c r="B188" s="556" t="s">
        <v>62</v>
      </c>
      <c r="C188" s="556"/>
      <c r="D188" s="556"/>
      <c r="E188" s="556"/>
      <c r="F188" s="556"/>
      <c r="G188" s="556"/>
      <c r="H188" s="556"/>
      <c r="I188" s="556"/>
      <c r="J188" s="556"/>
      <c r="K188" s="556"/>
      <c r="L188" s="556"/>
      <c r="M188" s="556"/>
      <c r="N188" s="556"/>
      <c r="O188" s="556"/>
      <c r="P188" s="556"/>
      <c r="Q188" s="556"/>
      <c r="R188" s="556"/>
      <c r="S188" s="598">
        <v>0</v>
      </c>
      <c r="T188" s="598">
        <v>0</v>
      </c>
      <c r="U188" s="556"/>
      <c r="V188" s="599">
        <f>S188+T188</f>
        <v>0</v>
      </c>
      <c r="W188" s="558"/>
      <c r="X188" s="543"/>
    </row>
    <row r="189" spans="1:256" s="544" customFormat="1" x14ac:dyDescent="0.3">
      <c r="A189" s="555"/>
      <c r="B189" s="556" t="s">
        <v>63</v>
      </c>
      <c r="C189" s="556"/>
      <c r="D189" s="556"/>
      <c r="E189" s="556"/>
      <c r="F189" s="556"/>
      <c r="G189" s="556"/>
      <c r="H189" s="556"/>
      <c r="I189" s="556"/>
      <c r="J189" s="556"/>
      <c r="K189" s="556"/>
      <c r="L189" s="556"/>
      <c r="M189" s="556"/>
      <c r="N189" s="556"/>
      <c r="O189" s="556"/>
      <c r="P189" s="556"/>
      <c r="Q189" s="556"/>
      <c r="R189" s="556"/>
      <c r="S189" s="599">
        <f>S187+S188</f>
        <v>33453</v>
      </c>
      <c r="T189" s="599">
        <f>T188+T187</f>
        <v>6019</v>
      </c>
      <c r="U189" s="556"/>
      <c r="V189" s="599">
        <f>S189+T189</f>
        <v>39472</v>
      </c>
      <c r="W189" s="558"/>
      <c r="X189" s="543"/>
    </row>
    <row r="190" spans="1:256" s="544" customFormat="1" x14ac:dyDescent="0.3">
      <c r="A190" s="555"/>
      <c r="B190" s="556" t="s">
        <v>64</v>
      </c>
      <c r="C190" s="556"/>
      <c r="D190" s="556"/>
      <c r="E190" s="556"/>
      <c r="F190" s="556"/>
      <c r="G190" s="556"/>
      <c r="H190" s="556"/>
      <c r="I190" s="556"/>
      <c r="J190" s="556"/>
      <c r="K190" s="556"/>
      <c r="L190" s="556"/>
      <c r="M190" s="556"/>
      <c r="N190" s="556"/>
      <c r="O190" s="556"/>
      <c r="P190" s="556"/>
      <c r="Q190" s="556"/>
      <c r="R190" s="556"/>
      <c r="S190" s="599">
        <f>S186-S189-T189</f>
        <v>200572</v>
      </c>
      <c r="T190" s="578"/>
      <c r="U190" s="556"/>
      <c r="V190" s="599"/>
      <c r="W190" s="558"/>
      <c r="X190" s="543"/>
    </row>
    <row r="191" spans="1:256" ht="16.2" thickBot="1" x14ac:dyDescent="0.35">
      <c r="A191" s="417"/>
      <c r="B191" s="441"/>
      <c r="C191" s="441"/>
      <c r="D191" s="441"/>
      <c r="E191" s="441"/>
      <c r="F191" s="441"/>
      <c r="G191" s="441"/>
      <c r="H191" s="441"/>
      <c r="I191" s="441"/>
      <c r="J191" s="441"/>
      <c r="K191" s="441"/>
      <c r="L191" s="441"/>
      <c r="M191" s="441"/>
      <c r="N191" s="441"/>
      <c r="O191" s="441"/>
      <c r="P191" s="441"/>
      <c r="Q191" s="441"/>
      <c r="R191" s="441"/>
      <c r="S191" s="441"/>
      <c r="T191" s="441"/>
      <c r="U191" s="441"/>
      <c r="V191" s="452"/>
      <c r="W191" s="441"/>
      <c r="X191" s="415"/>
    </row>
    <row r="192" spans="1:256" x14ac:dyDescent="0.3">
      <c r="A192" s="413"/>
      <c r="B192" s="414"/>
      <c r="C192" s="414"/>
      <c r="D192" s="414"/>
      <c r="E192" s="414"/>
      <c r="F192" s="414"/>
      <c r="G192" s="414"/>
      <c r="H192" s="414"/>
      <c r="I192" s="414"/>
      <c r="J192" s="414"/>
      <c r="K192" s="414"/>
      <c r="L192" s="414"/>
      <c r="M192" s="414"/>
      <c r="N192" s="414"/>
      <c r="O192" s="414"/>
      <c r="P192" s="414"/>
      <c r="Q192" s="414"/>
      <c r="R192" s="414"/>
      <c r="S192" s="414"/>
      <c r="T192" s="414"/>
      <c r="U192" s="414"/>
      <c r="V192" s="460"/>
      <c r="W192" s="414"/>
      <c r="X192" s="415"/>
    </row>
    <row r="193" spans="1:24" x14ac:dyDescent="0.3">
      <c r="A193" s="417"/>
      <c r="B193" s="508" t="s">
        <v>65</v>
      </c>
      <c r="C193" s="419"/>
      <c r="D193" s="419"/>
      <c r="E193" s="419"/>
      <c r="F193" s="419"/>
      <c r="G193" s="419"/>
      <c r="H193" s="419"/>
      <c r="I193" s="419"/>
      <c r="J193" s="419"/>
      <c r="K193" s="419"/>
      <c r="L193" s="419"/>
      <c r="M193" s="419"/>
      <c r="N193" s="419"/>
      <c r="O193" s="419"/>
      <c r="P193" s="419"/>
      <c r="Q193" s="419"/>
      <c r="R193" s="419"/>
      <c r="S193" s="419"/>
      <c r="T193" s="419"/>
      <c r="U193" s="419"/>
      <c r="V193" s="462"/>
      <c r="W193" s="419"/>
      <c r="X193" s="415"/>
    </row>
    <row r="194" spans="1:24" s="544" customFormat="1" x14ac:dyDescent="0.3">
      <c r="A194" s="555"/>
      <c r="B194" s="556" t="s">
        <v>66</v>
      </c>
      <c r="C194" s="556"/>
      <c r="D194" s="556"/>
      <c r="E194" s="556"/>
      <c r="F194" s="556"/>
      <c r="G194" s="556"/>
      <c r="H194" s="556"/>
      <c r="I194" s="556"/>
      <c r="J194" s="556"/>
      <c r="K194" s="556"/>
      <c r="L194" s="556"/>
      <c r="M194" s="556"/>
      <c r="N194" s="556"/>
      <c r="O194" s="556"/>
      <c r="P194" s="556"/>
      <c r="Q194" s="556"/>
      <c r="R194" s="556"/>
      <c r="S194" s="556"/>
      <c r="T194" s="556"/>
      <c r="U194" s="556"/>
      <c r="V194" s="608">
        <f>(V100+V102+V103+V104+V105)/-(V106+V107)</f>
        <v>3.7834721332479182</v>
      </c>
      <c r="W194" s="558" t="s">
        <v>115</v>
      </c>
      <c r="X194" s="543"/>
    </row>
    <row r="195" spans="1:24" s="544" customFormat="1" x14ac:dyDescent="0.3">
      <c r="A195" s="555"/>
      <c r="B195" s="556" t="s">
        <v>67</v>
      </c>
      <c r="C195" s="556"/>
      <c r="D195" s="556"/>
      <c r="E195" s="556"/>
      <c r="F195" s="556"/>
      <c r="G195" s="556"/>
      <c r="H195" s="556"/>
      <c r="I195" s="556"/>
      <c r="J195" s="556"/>
      <c r="K195" s="556"/>
      <c r="L195" s="556"/>
      <c r="M195" s="556"/>
      <c r="N195" s="556"/>
      <c r="O195" s="556"/>
      <c r="P195" s="556"/>
      <c r="Q195" s="556"/>
      <c r="R195" s="556"/>
      <c r="S195" s="556"/>
      <c r="T195" s="556"/>
      <c r="U195" s="556"/>
      <c r="V195" s="610">
        <v>2.15</v>
      </c>
      <c r="W195" s="558" t="s">
        <v>115</v>
      </c>
      <c r="X195" s="543"/>
    </row>
    <row r="196" spans="1:24" s="544" customFormat="1" x14ac:dyDescent="0.3">
      <c r="A196" s="555"/>
      <c r="B196" s="556" t="s">
        <v>68</v>
      </c>
      <c r="C196" s="556"/>
      <c r="D196" s="556"/>
      <c r="E196" s="556"/>
      <c r="F196" s="556"/>
      <c r="G196" s="556"/>
      <c r="H196" s="556"/>
      <c r="I196" s="556"/>
      <c r="J196" s="556"/>
      <c r="K196" s="556"/>
      <c r="L196" s="556"/>
      <c r="M196" s="556"/>
      <c r="N196" s="556"/>
      <c r="O196" s="556"/>
      <c r="P196" s="556"/>
      <c r="Q196" s="556"/>
      <c r="R196" s="556"/>
      <c r="S196" s="556"/>
      <c r="T196" s="556"/>
      <c r="U196" s="556"/>
      <c r="V196" s="608">
        <f>(V100+V102+V103+V104+V105+V106+V107)/-(V109+V110)</f>
        <v>12.34375</v>
      </c>
      <c r="W196" s="558" t="s">
        <v>115</v>
      </c>
      <c r="X196" s="543"/>
    </row>
    <row r="197" spans="1:24" s="544" customFormat="1" x14ac:dyDescent="0.3">
      <c r="A197" s="555"/>
      <c r="B197" s="556" t="s">
        <v>69</v>
      </c>
      <c r="C197" s="556"/>
      <c r="D197" s="556"/>
      <c r="E197" s="556"/>
      <c r="F197" s="556"/>
      <c r="G197" s="556"/>
      <c r="H197" s="556"/>
      <c r="I197" s="556"/>
      <c r="J197" s="556"/>
      <c r="K197" s="556"/>
      <c r="L197" s="556"/>
      <c r="M197" s="556"/>
      <c r="N197" s="556"/>
      <c r="O197" s="556"/>
      <c r="P197" s="556"/>
      <c r="Q197" s="556"/>
      <c r="R197" s="556"/>
      <c r="S197" s="556"/>
      <c r="T197" s="556"/>
      <c r="U197" s="556"/>
      <c r="V197" s="610">
        <v>9.83</v>
      </c>
      <c r="W197" s="558" t="s">
        <v>115</v>
      </c>
      <c r="X197" s="543"/>
    </row>
    <row r="198" spans="1:24" s="544" customFormat="1" x14ac:dyDescent="0.3">
      <c r="A198" s="555"/>
      <c r="B198" s="556" t="s">
        <v>198</v>
      </c>
      <c r="C198" s="556"/>
      <c r="D198" s="556"/>
      <c r="E198" s="556"/>
      <c r="F198" s="556"/>
      <c r="G198" s="556"/>
      <c r="H198" s="556"/>
      <c r="I198" s="556"/>
      <c r="J198" s="556"/>
      <c r="K198" s="556"/>
      <c r="L198" s="556"/>
      <c r="M198" s="556"/>
      <c r="N198" s="556"/>
      <c r="O198" s="556"/>
      <c r="P198" s="556"/>
      <c r="Q198" s="556"/>
      <c r="R198" s="556"/>
      <c r="S198" s="556"/>
      <c r="T198" s="556"/>
      <c r="U198" s="556"/>
      <c r="V198" s="608">
        <f>(V100+V102+V103+V104+V105+V106+V107+V109+V110)/-(V111+V112)</f>
        <v>8.3886554621848735</v>
      </c>
      <c r="W198" s="558" t="s">
        <v>115</v>
      </c>
      <c r="X198" s="543"/>
    </row>
    <row r="199" spans="1:24" s="544" customFormat="1" x14ac:dyDescent="0.3">
      <c r="A199" s="555"/>
      <c r="B199" s="556" t="s">
        <v>199</v>
      </c>
      <c r="C199" s="556"/>
      <c r="D199" s="556"/>
      <c r="E199" s="556"/>
      <c r="F199" s="556"/>
      <c r="G199" s="556"/>
      <c r="H199" s="556"/>
      <c r="I199" s="556"/>
      <c r="J199" s="556"/>
      <c r="K199" s="556"/>
      <c r="L199" s="556"/>
      <c r="M199" s="556"/>
      <c r="N199" s="556"/>
      <c r="O199" s="556"/>
      <c r="P199" s="556"/>
      <c r="Q199" s="556"/>
      <c r="R199" s="556"/>
      <c r="S199" s="556"/>
      <c r="T199" s="556"/>
      <c r="U199" s="556"/>
      <c r="V199" s="610">
        <v>7.36</v>
      </c>
      <c r="W199" s="558" t="s">
        <v>115</v>
      </c>
      <c r="X199" s="543"/>
    </row>
    <row r="200" spans="1:24" s="544" customFormat="1" x14ac:dyDescent="0.3">
      <c r="A200" s="555"/>
      <c r="B200" s="556"/>
      <c r="C200" s="556"/>
      <c r="D200" s="556"/>
      <c r="E200" s="556"/>
      <c r="F200" s="556"/>
      <c r="G200" s="556"/>
      <c r="H200" s="556"/>
      <c r="I200" s="556"/>
      <c r="J200" s="556"/>
      <c r="K200" s="556"/>
      <c r="L200" s="556"/>
      <c r="M200" s="556"/>
      <c r="N200" s="556"/>
      <c r="O200" s="556"/>
      <c r="P200" s="556"/>
      <c r="Q200" s="556"/>
      <c r="R200" s="556"/>
      <c r="S200" s="556"/>
      <c r="T200" s="556"/>
      <c r="U200" s="556"/>
      <c r="V200" s="556"/>
      <c r="W200" s="558"/>
      <c r="X200" s="543"/>
    </row>
    <row r="201" spans="1:24" s="544" customFormat="1" x14ac:dyDescent="0.3">
      <c r="A201" s="540"/>
      <c r="B201" s="588"/>
      <c r="C201" s="588"/>
      <c r="D201" s="588"/>
      <c r="E201" s="588"/>
      <c r="F201" s="588"/>
      <c r="G201" s="588"/>
      <c r="H201" s="588"/>
      <c r="I201" s="588"/>
      <c r="J201" s="588"/>
      <c r="K201" s="588"/>
      <c r="L201" s="588"/>
      <c r="M201" s="588"/>
      <c r="N201" s="588"/>
      <c r="O201" s="588"/>
      <c r="P201" s="588"/>
      <c r="Q201" s="588"/>
      <c r="R201" s="588"/>
      <c r="S201" s="588"/>
      <c r="T201" s="588"/>
      <c r="U201" s="588"/>
      <c r="V201" s="588"/>
      <c r="W201" s="588"/>
      <c r="X201" s="543"/>
    </row>
    <row r="202" spans="1:24" s="544" customFormat="1" x14ac:dyDescent="0.3">
      <c r="A202" s="540"/>
      <c r="B202" s="541"/>
      <c r="C202" s="541"/>
      <c r="D202" s="541"/>
      <c r="E202" s="541"/>
      <c r="F202" s="541"/>
      <c r="G202" s="541"/>
      <c r="H202" s="541"/>
      <c r="I202" s="541"/>
      <c r="J202" s="541"/>
      <c r="K202" s="541"/>
      <c r="L202" s="541"/>
      <c r="M202" s="541"/>
      <c r="N202" s="541"/>
      <c r="O202" s="541"/>
      <c r="P202" s="541"/>
      <c r="Q202" s="541"/>
      <c r="R202" s="541"/>
      <c r="S202" s="541"/>
      <c r="T202" s="541"/>
      <c r="U202" s="541"/>
      <c r="V202" s="541"/>
      <c r="W202" s="541"/>
      <c r="X202" s="543"/>
    </row>
    <row r="203" spans="1:24" s="544" customFormat="1" ht="18.600000000000001" thickBot="1" x14ac:dyDescent="0.4">
      <c r="A203" s="593"/>
      <c r="B203" s="594" t="str">
        <f>B137</f>
        <v>PM14 INVESTOR REPORT QUARTER ENDING FEBRUARY 2019</v>
      </c>
      <c r="C203" s="595"/>
      <c r="D203" s="595"/>
      <c r="E203" s="595"/>
      <c r="F203" s="595"/>
      <c r="G203" s="595"/>
      <c r="H203" s="595"/>
      <c r="I203" s="595"/>
      <c r="J203" s="595"/>
      <c r="K203" s="595"/>
      <c r="L203" s="595"/>
      <c r="M203" s="595"/>
      <c r="N203" s="595"/>
      <c r="O203" s="595"/>
      <c r="P203" s="595"/>
      <c r="Q203" s="595"/>
      <c r="R203" s="595"/>
      <c r="S203" s="595"/>
      <c r="T203" s="595"/>
      <c r="U203" s="595"/>
      <c r="V203" s="595"/>
      <c r="W203" s="597"/>
      <c r="X203" s="543"/>
    </row>
    <row r="204" spans="1:24" x14ac:dyDescent="0.3">
      <c r="A204" s="527"/>
      <c r="B204" s="528" t="s">
        <v>70</v>
      </c>
      <c r="C204" s="531"/>
      <c r="D204" s="531"/>
      <c r="E204" s="531"/>
      <c r="F204" s="531"/>
      <c r="G204" s="532"/>
      <c r="H204" s="532"/>
      <c r="I204" s="532"/>
      <c r="J204" s="532"/>
      <c r="K204" s="532"/>
      <c r="L204" s="532"/>
      <c r="M204" s="532"/>
      <c r="N204" s="532"/>
      <c r="O204" s="532"/>
      <c r="P204" s="532"/>
      <c r="Q204" s="532"/>
      <c r="R204" s="532"/>
      <c r="S204" s="532"/>
      <c r="T204" s="532">
        <v>43524</v>
      </c>
      <c r="U204" s="529"/>
      <c r="V204" s="529"/>
      <c r="W204" s="529"/>
      <c r="X204" s="415"/>
    </row>
    <row r="205" spans="1:24" x14ac:dyDescent="0.3">
      <c r="A205" s="463"/>
      <c r="B205" s="429"/>
      <c r="C205" s="464"/>
      <c r="D205" s="464"/>
      <c r="E205" s="464"/>
      <c r="F205" s="464"/>
      <c r="G205" s="428"/>
      <c r="H205" s="428"/>
      <c r="I205" s="428"/>
      <c r="J205" s="428"/>
      <c r="K205" s="428"/>
      <c r="L205" s="428"/>
      <c r="M205" s="428"/>
      <c r="N205" s="428"/>
      <c r="O205" s="428"/>
      <c r="P205" s="428"/>
      <c r="Q205" s="428"/>
      <c r="R205" s="428"/>
      <c r="S205" s="428"/>
      <c r="T205" s="428"/>
      <c r="U205" s="427"/>
      <c r="V205" s="427"/>
      <c r="W205" s="427"/>
      <c r="X205" s="415"/>
    </row>
    <row r="206" spans="1:24" s="544" customFormat="1" x14ac:dyDescent="0.3">
      <c r="A206" s="555"/>
      <c r="B206" s="556" t="s">
        <v>71</v>
      </c>
      <c r="C206" s="611"/>
      <c r="D206" s="611"/>
      <c r="E206" s="611"/>
      <c r="F206" s="611"/>
      <c r="G206" s="582"/>
      <c r="H206" s="582"/>
      <c r="I206" s="582"/>
      <c r="J206" s="582"/>
      <c r="K206" s="582"/>
      <c r="L206" s="582"/>
      <c r="M206" s="582"/>
      <c r="N206" s="582"/>
      <c r="O206" s="582"/>
      <c r="P206" s="582"/>
      <c r="Q206" s="582"/>
      <c r="R206" s="582"/>
      <c r="S206" s="582"/>
      <c r="T206" s="575">
        <v>5.2819999999999999E-2</v>
      </c>
      <c r="U206" s="556"/>
      <c r="V206" s="556"/>
      <c r="W206" s="558"/>
      <c r="X206" s="543"/>
    </row>
    <row r="207" spans="1:24" s="544" customFormat="1" x14ac:dyDescent="0.3">
      <c r="A207" s="555"/>
      <c r="B207" s="556" t="s">
        <v>151</v>
      </c>
      <c r="C207" s="611"/>
      <c r="D207" s="611"/>
      <c r="E207" s="611"/>
      <c r="F207" s="611"/>
      <c r="G207" s="582"/>
      <c r="H207" s="582"/>
      <c r="I207" s="582"/>
      <c r="J207" s="582"/>
      <c r="K207" s="582"/>
      <c r="L207" s="582"/>
      <c r="M207" s="582"/>
      <c r="N207" s="582"/>
      <c r="O207" s="582"/>
      <c r="P207" s="582"/>
      <c r="Q207" s="582"/>
      <c r="R207" s="582"/>
      <c r="S207" s="582"/>
      <c r="T207" s="575">
        <v>5.7799999999999997E-2</v>
      </c>
      <c r="U207" s="556"/>
      <c r="V207" s="556"/>
      <c r="W207" s="558"/>
      <c r="X207" s="543"/>
    </row>
    <row r="208" spans="1:24" s="544" customFormat="1" x14ac:dyDescent="0.3">
      <c r="A208" s="555"/>
      <c r="B208" s="556" t="s">
        <v>72</v>
      </c>
      <c r="C208" s="611"/>
      <c r="D208" s="611"/>
      <c r="E208" s="611"/>
      <c r="F208" s="611"/>
      <c r="G208" s="582"/>
      <c r="H208" s="582"/>
      <c r="I208" s="582"/>
      <c r="J208" s="582"/>
      <c r="K208" s="582"/>
      <c r="L208" s="582"/>
      <c r="M208" s="582"/>
      <c r="N208" s="582"/>
      <c r="O208" s="582"/>
      <c r="P208" s="582"/>
      <c r="Q208" s="582"/>
      <c r="R208" s="582"/>
      <c r="S208" s="582"/>
      <c r="T208" s="575">
        <f>T206-T207</f>
        <v>-4.9799999999999983E-3</v>
      </c>
      <c r="U208" s="556"/>
      <c r="V208" s="556"/>
      <c r="W208" s="558"/>
      <c r="X208" s="543"/>
    </row>
    <row r="209" spans="1:24" s="544" customFormat="1" x14ac:dyDescent="0.3">
      <c r="A209" s="555"/>
      <c r="B209" s="556" t="s">
        <v>73</v>
      </c>
      <c r="C209" s="611"/>
      <c r="D209" s="611"/>
      <c r="E209" s="611"/>
      <c r="F209" s="611"/>
      <c r="G209" s="582"/>
      <c r="H209" s="582"/>
      <c r="I209" s="582"/>
      <c r="J209" s="582"/>
      <c r="K209" s="582"/>
      <c r="L209" s="582"/>
      <c r="M209" s="582"/>
      <c r="N209" s="582"/>
      <c r="O209" s="582"/>
      <c r="P209" s="582"/>
      <c r="Q209" s="582"/>
      <c r="R209" s="582"/>
      <c r="S209" s="582"/>
      <c r="T209" s="575">
        <v>2.743E-2</v>
      </c>
      <c r="U209" s="556"/>
      <c r="V209" s="556"/>
      <c r="W209" s="558"/>
      <c r="X209" s="543"/>
    </row>
    <row r="210" spans="1:24" s="544" customFormat="1" x14ac:dyDescent="0.3">
      <c r="A210" s="555"/>
      <c r="B210" s="556" t="s">
        <v>219</v>
      </c>
      <c r="C210" s="611"/>
      <c r="D210" s="611"/>
      <c r="E210" s="611"/>
      <c r="F210" s="611"/>
      <c r="G210" s="582"/>
      <c r="H210" s="582"/>
      <c r="I210" s="582"/>
      <c r="J210" s="582"/>
      <c r="K210" s="582"/>
      <c r="L210" s="582"/>
      <c r="M210" s="582"/>
      <c r="N210" s="582"/>
      <c r="O210" s="582"/>
      <c r="P210" s="582"/>
      <c r="Q210" s="582"/>
      <c r="R210" s="582"/>
      <c r="S210" s="582"/>
      <c r="T210" s="575">
        <f>V43</f>
        <v>1.235361668332456E-2</v>
      </c>
      <c r="U210" s="556"/>
      <c r="V210" s="556"/>
      <c r="W210" s="558"/>
      <c r="X210" s="543"/>
    </row>
    <row r="211" spans="1:24" s="544" customFormat="1" x14ac:dyDescent="0.3">
      <c r="A211" s="555"/>
      <c r="B211" s="556" t="s">
        <v>74</v>
      </c>
      <c r="C211" s="611"/>
      <c r="D211" s="611"/>
      <c r="E211" s="611"/>
      <c r="F211" s="611"/>
      <c r="G211" s="582"/>
      <c r="H211" s="582"/>
      <c r="I211" s="582"/>
      <c r="J211" s="582"/>
      <c r="K211" s="582"/>
      <c r="L211" s="582"/>
      <c r="M211" s="582"/>
      <c r="N211" s="582"/>
      <c r="O211" s="582"/>
      <c r="P211" s="582"/>
      <c r="Q211" s="582"/>
      <c r="R211" s="582"/>
      <c r="S211" s="582"/>
      <c r="T211" s="575">
        <f>T209-T210</f>
        <v>1.507638331667544E-2</v>
      </c>
      <c r="U211" s="556"/>
      <c r="V211" s="556"/>
      <c r="W211" s="558"/>
      <c r="X211" s="543"/>
    </row>
    <row r="212" spans="1:24" s="544" customFormat="1" x14ac:dyDescent="0.3">
      <c r="A212" s="555"/>
      <c r="B212" s="556" t="s">
        <v>242</v>
      </c>
      <c r="C212" s="611"/>
      <c r="D212" s="611"/>
      <c r="E212" s="611"/>
      <c r="F212" s="611"/>
      <c r="G212" s="582"/>
      <c r="H212" s="582"/>
      <c r="I212" s="582"/>
      <c r="J212" s="582"/>
      <c r="K212" s="582"/>
      <c r="L212" s="582"/>
      <c r="M212" s="582"/>
      <c r="N212" s="582"/>
      <c r="O212" s="582"/>
      <c r="P212" s="582"/>
      <c r="Q212" s="582"/>
      <c r="R212" s="582"/>
      <c r="S212" s="582"/>
      <c r="T212" s="575">
        <f>V100/N70</f>
        <v>7.6813283387662757E-3</v>
      </c>
      <c r="U212" s="556"/>
      <c r="V212" s="556"/>
      <c r="W212" s="558"/>
      <c r="X212" s="543"/>
    </row>
    <row r="213" spans="1:24" s="544" customFormat="1" x14ac:dyDescent="0.3">
      <c r="A213" s="555"/>
      <c r="B213" s="556" t="s">
        <v>208</v>
      </c>
      <c r="C213" s="611"/>
      <c r="D213" s="611"/>
      <c r="E213" s="611"/>
      <c r="F213" s="611"/>
      <c r="G213" s="582"/>
      <c r="H213" s="582"/>
      <c r="I213" s="582"/>
      <c r="J213" s="582"/>
      <c r="K213" s="582"/>
      <c r="L213" s="582"/>
      <c r="M213" s="582"/>
      <c r="N213" s="582"/>
      <c r="O213" s="582"/>
      <c r="P213" s="582"/>
      <c r="Q213" s="582"/>
      <c r="R213" s="582"/>
      <c r="S213" s="582"/>
      <c r="T213" s="612">
        <v>51014</v>
      </c>
      <c r="U213" s="556"/>
      <c r="V213" s="556"/>
      <c r="W213" s="558"/>
      <c r="X213" s="543"/>
    </row>
    <row r="214" spans="1:24" s="544" customFormat="1" x14ac:dyDescent="0.3">
      <c r="A214" s="555"/>
      <c r="B214" s="556" t="s">
        <v>209</v>
      </c>
      <c r="C214" s="611"/>
      <c r="D214" s="611"/>
      <c r="E214" s="611"/>
      <c r="F214" s="611"/>
      <c r="G214" s="582"/>
      <c r="H214" s="582"/>
      <c r="I214" s="582"/>
      <c r="J214" s="582"/>
      <c r="K214" s="582"/>
      <c r="L214" s="582"/>
      <c r="M214" s="582"/>
      <c r="N214" s="582"/>
      <c r="O214" s="582"/>
      <c r="P214" s="582"/>
      <c r="Q214" s="582"/>
      <c r="R214" s="582"/>
      <c r="S214" s="582"/>
      <c r="T214" s="612">
        <v>51014</v>
      </c>
      <c r="U214" s="556"/>
      <c r="V214" s="556"/>
      <c r="W214" s="558"/>
      <c r="X214" s="543"/>
    </row>
    <row r="215" spans="1:24" s="544" customFormat="1" x14ac:dyDescent="0.3">
      <c r="A215" s="555"/>
      <c r="B215" s="556" t="s">
        <v>210</v>
      </c>
      <c r="C215" s="611"/>
      <c r="D215" s="611"/>
      <c r="E215" s="611"/>
      <c r="F215" s="611"/>
      <c r="G215" s="582"/>
      <c r="H215" s="582"/>
      <c r="I215" s="582"/>
      <c r="J215" s="582"/>
      <c r="K215" s="582"/>
      <c r="L215" s="582"/>
      <c r="M215" s="582"/>
      <c r="N215" s="582"/>
      <c r="O215" s="582"/>
      <c r="P215" s="582"/>
      <c r="Q215" s="582"/>
      <c r="R215" s="582"/>
      <c r="S215" s="582"/>
      <c r="T215" s="612">
        <v>51014</v>
      </c>
      <c r="U215" s="556"/>
      <c r="V215" s="556"/>
      <c r="W215" s="558"/>
      <c r="X215" s="543"/>
    </row>
    <row r="216" spans="1:24" s="544" customFormat="1" x14ac:dyDescent="0.3">
      <c r="A216" s="555"/>
      <c r="B216" s="556" t="s">
        <v>75</v>
      </c>
      <c r="C216" s="611"/>
      <c r="D216" s="611"/>
      <c r="E216" s="611"/>
      <c r="F216" s="611"/>
      <c r="G216" s="582"/>
      <c r="H216" s="582"/>
      <c r="I216" s="582"/>
      <c r="J216" s="582"/>
      <c r="K216" s="582"/>
      <c r="L216" s="582"/>
      <c r="M216" s="582"/>
      <c r="N216" s="582"/>
      <c r="O216" s="582"/>
      <c r="P216" s="582"/>
      <c r="Q216" s="582"/>
      <c r="R216" s="582"/>
      <c r="S216" s="582"/>
      <c r="T216" s="580">
        <v>20.66</v>
      </c>
      <c r="U216" s="556" t="s">
        <v>110</v>
      </c>
      <c r="V216" s="556"/>
      <c r="W216" s="558"/>
      <c r="X216" s="543"/>
    </row>
    <row r="217" spans="1:24" s="544" customFormat="1" x14ac:dyDescent="0.3">
      <c r="A217" s="555"/>
      <c r="B217" s="556" t="s">
        <v>76</v>
      </c>
      <c r="C217" s="611"/>
      <c r="D217" s="611"/>
      <c r="E217" s="611"/>
      <c r="F217" s="611"/>
      <c r="G217" s="582"/>
      <c r="H217" s="582"/>
      <c r="I217" s="582"/>
      <c r="J217" s="582"/>
      <c r="K217" s="582"/>
      <c r="L217" s="582"/>
      <c r="M217" s="582"/>
      <c r="N217" s="582"/>
      <c r="O217" s="582"/>
      <c r="P217" s="582"/>
      <c r="Q217" s="582"/>
      <c r="R217" s="582"/>
      <c r="S217" s="582"/>
      <c r="T217" s="580">
        <v>10.18</v>
      </c>
      <c r="U217" s="556" t="s">
        <v>110</v>
      </c>
      <c r="V217" s="556"/>
      <c r="W217" s="558"/>
      <c r="X217" s="543"/>
    </row>
    <row r="218" spans="1:24" s="544" customFormat="1" x14ac:dyDescent="0.3">
      <c r="A218" s="555"/>
      <c r="B218" s="556" t="s">
        <v>77</v>
      </c>
      <c r="C218" s="611"/>
      <c r="D218" s="611"/>
      <c r="E218" s="611"/>
      <c r="F218" s="611"/>
      <c r="G218" s="582"/>
      <c r="H218" s="582"/>
      <c r="I218" s="582"/>
      <c r="J218" s="582"/>
      <c r="K218" s="582"/>
      <c r="L218" s="582"/>
      <c r="M218" s="582"/>
      <c r="N218" s="582"/>
      <c r="O218" s="582"/>
      <c r="P218" s="582"/>
      <c r="Q218" s="582"/>
      <c r="R218" s="582"/>
      <c r="S218" s="582"/>
      <c r="T218" s="575">
        <f>+P67/N67</f>
        <v>2.0436172798723517E-2</v>
      </c>
      <c r="U218" s="556"/>
      <c r="V218" s="556"/>
      <c r="W218" s="558"/>
      <c r="X218" s="543"/>
    </row>
    <row r="219" spans="1:24" s="544" customFormat="1" x14ac:dyDescent="0.3">
      <c r="A219" s="555"/>
      <c r="B219" s="556" t="s">
        <v>78</v>
      </c>
      <c r="C219" s="611"/>
      <c r="D219" s="611"/>
      <c r="E219" s="611"/>
      <c r="F219" s="611"/>
      <c r="G219" s="582"/>
      <c r="H219" s="582"/>
      <c r="I219" s="582"/>
      <c r="J219" s="582"/>
      <c r="K219" s="582"/>
      <c r="L219" s="582"/>
      <c r="M219" s="582"/>
      <c r="N219" s="582"/>
      <c r="O219" s="582"/>
      <c r="P219" s="582"/>
      <c r="Q219" s="582"/>
      <c r="R219" s="582"/>
      <c r="S219" s="582"/>
      <c r="T219" s="575">
        <v>5.5199999999999999E-2</v>
      </c>
      <c r="U219" s="556"/>
      <c r="V219" s="556"/>
      <c r="W219" s="558"/>
      <c r="X219" s="543"/>
    </row>
    <row r="220" spans="1:24" x14ac:dyDescent="0.3">
      <c r="A220" s="463"/>
      <c r="B220" s="437"/>
      <c r="C220" s="437"/>
      <c r="D220" s="437"/>
      <c r="E220" s="437"/>
      <c r="F220" s="437"/>
      <c r="G220" s="437"/>
      <c r="H220" s="437"/>
      <c r="I220" s="437"/>
      <c r="J220" s="437"/>
      <c r="K220" s="437"/>
      <c r="L220" s="437"/>
      <c r="M220" s="437"/>
      <c r="N220" s="437"/>
      <c r="O220" s="437"/>
      <c r="P220" s="437"/>
      <c r="Q220" s="437"/>
      <c r="R220" s="437"/>
      <c r="S220" s="437"/>
      <c r="T220" s="454"/>
      <c r="U220" s="437"/>
      <c r="V220" s="465"/>
      <c r="W220" s="437"/>
      <c r="X220" s="415"/>
    </row>
    <row r="221" spans="1:24" x14ac:dyDescent="0.3">
      <c r="A221" s="533"/>
      <c r="B221" s="523" t="s">
        <v>79</v>
      </c>
      <c r="C221" s="524"/>
      <c r="D221" s="524"/>
      <c r="E221" s="524"/>
      <c r="F221" s="534"/>
      <c r="G221" s="524"/>
      <c r="H221" s="524"/>
      <c r="I221" s="524"/>
      <c r="J221" s="524"/>
      <c r="K221" s="524"/>
      <c r="L221" s="524"/>
      <c r="M221" s="524"/>
      <c r="N221" s="524"/>
      <c r="O221" s="524"/>
      <c r="P221" s="524"/>
      <c r="Q221" s="524"/>
      <c r="R221" s="524"/>
      <c r="S221" s="524" t="s">
        <v>102</v>
      </c>
      <c r="T221" s="534" t="s">
        <v>108</v>
      </c>
      <c r="U221" s="517"/>
      <c r="V221" s="517"/>
      <c r="W221" s="520"/>
      <c r="X221" s="415"/>
    </row>
    <row r="222" spans="1:24" s="544" customFormat="1" x14ac:dyDescent="0.3">
      <c r="A222" s="613"/>
      <c r="B222" s="588" t="s">
        <v>80</v>
      </c>
      <c r="C222" s="600"/>
      <c r="D222" s="600"/>
      <c r="E222" s="600"/>
      <c r="F222" s="588"/>
      <c r="G222" s="588"/>
      <c r="H222" s="614"/>
      <c r="I222" s="614"/>
      <c r="J222" s="614"/>
      <c r="K222" s="614"/>
      <c r="L222" s="614"/>
      <c r="M222" s="614"/>
      <c r="N222" s="614"/>
      <c r="O222" s="614"/>
      <c r="P222" s="614"/>
      <c r="Q222" s="614"/>
      <c r="R222" s="614"/>
      <c r="S222" s="614">
        <v>3</v>
      </c>
      <c r="T222" s="615">
        <v>373</v>
      </c>
      <c r="U222" s="588"/>
      <c r="V222" s="616"/>
      <c r="W222" s="617"/>
      <c r="X222" s="543"/>
    </row>
    <row r="223" spans="1:24" s="544" customFormat="1" x14ac:dyDescent="0.3">
      <c r="A223" s="618"/>
      <c r="B223" s="556" t="s">
        <v>145</v>
      </c>
      <c r="C223" s="598"/>
      <c r="D223" s="598"/>
      <c r="E223" s="598"/>
      <c r="F223" s="556"/>
      <c r="G223" s="556"/>
      <c r="H223" s="562"/>
      <c r="I223" s="562"/>
      <c r="J223" s="562"/>
      <c r="K223" s="562"/>
      <c r="L223" s="562"/>
      <c r="M223" s="562"/>
      <c r="N223" s="562"/>
      <c r="O223" s="562"/>
      <c r="P223" s="562"/>
      <c r="Q223" s="562"/>
      <c r="R223" s="562"/>
      <c r="S223" s="619">
        <f>+R275</f>
        <v>108</v>
      </c>
      <c r="T223" s="620">
        <f>+T275</f>
        <v>15423</v>
      </c>
      <c r="U223" s="556"/>
      <c r="V223" s="621"/>
      <c r="W223" s="622"/>
      <c r="X223" s="543"/>
    </row>
    <row r="224" spans="1:24" s="544" customFormat="1" x14ac:dyDescent="0.3">
      <c r="A224" s="618"/>
      <c r="B224" s="556" t="s">
        <v>81</v>
      </c>
      <c r="C224" s="598"/>
      <c r="D224" s="598"/>
      <c r="E224" s="598"/>
      <c r="F224" s="556"/>
      <c r="G224" s="556"/>
      <c r="H224" s="562"/>
      <c r="I224" s="562"/>
      <c r="J224" s="562"/>
      <c r="K224" s="562"/>
      <c r="L224" s="562"/>
      <c r="M224" s="562"/>
      <c r="N224" s="562"/>
      <c r="O224" s="562"/>
      <c r="P224" s="562"/>
      <c r="Q224" s="562"/>
      <c r="R224" s="562"/>
      <c r="S224" s="619">
        <f>+R287</f>
        <v>0</v>
      </c>
      <c r="T224" s="620">
        <f>+T287</f>
        <v>0</v>
      </c>
      <c r="U224" s="556"/>
      <c r="V224" s="621"/>
      <c r="W224" s="622"/>
      <c r="X224" s="543"/>
    </row>
    <row r="225" spans="1:24" x14ac:dyDescent="0.3">
      <c r="A225" s="466"/>
      <c r="B225" s="493" t="s">
        <v>82</v>
      </c>
      <c r="C225" s="467"/>
      <c r="D225" s="467"/>
      <c r="E225" s="467"/>
      <c r="F225" s="434"/>
      <c r="G225" s="434"/>
      <c r="H225" s="434"/>
      <c r="I225" s="434"/>
      <c r="J225" s="434"/>
      <c r="K225" s="434"/>
      <c r="L225" s="434"/>
      <c r="M225" s="434"/>
      <c r="N225" s="434"/>
      <c r="O225" s="434"/>
      <c r="P225" s="434"/>
      <c r="Q225" s="434"/>
      <c r="R225" s="434"/>
      <c r="S225" s="434"/>
      <c r="T225" s="620">
        <v>0</v>
      </c>
      <c r="U225" s="434"/>
      <c r="V225" s="468"/>
      <c r="W225" s="469"/>
      <c r="X225" s="415"/>
    </row>
    <row r="226" spans="1:24" x14ac:dyDescent="0.3">
      <c r="A226" s="466"/>
      <c r="B226" s="493" t="s">
        <v>243</v>
      </c>
      <c r="C226" s="467"/>
      <c r="D226" s="467"/>
      <c r="E226" s="467"/>
      <c r="F226" s="434"/>
      <c r="G226" s="434"/>
      <c r="H226" s="434"/>
      <c r="I226" s="434"/>
      <c r="J226" s="434"/>
      <c r="K226" s="434"/>
      <c r="L226" s="434"/>
      <c r="M226" s="434"/>
      <c r="N226" s="434"/>
      <c r="O226" s="434"/>
      <c r="P226" s="434"/>
      <c r="Q226" s="434"/>
      <c r="R226" s="434"/>
      <c r="S226" s="434"/>
      <c r="T226" s="620">
        <f>+N80</f>
        <v>0</v>
      </c>
      <c r="U226" s="434"/>
      <c r="V226" s="468"/>
      <c r="W226" s="469"/>
      <c r="X226" s="415"/>
    </row>
    <row r="227" spans="1:24" x14ac:dyDescent="0.3">
      <c r="A227" s="470"/>
      <c r="B227" s="493" t="s">
        <v>83</v>
      </c>
      <c r="C227" s="471"/>
      <c r="D227" s="471"/>
      <c r="E227" s="471"/>
      <c r="F227" s="471"/>
      <c r="G227" s="434"/>
      <c r="H227" s="434"/>
      <c r="I227" s="434"/>
      <c r="J227" s="434"/>
      <c r="K227" s="434"/>
      <c r="L227" s="434"/>
      <c r="M227" s="434"/>
      <c r="N227" s="434"/>
      <c r="O227" s="434"/>
      <c r="P227" s="434"/>
      <c r="Q227" s="434"/>
      <c r="R227" s="434"/>
      <c r="S227" s="434"/>
      <c r="T227" s="472"/>
      <c r="U227" s="434"/>
      <c r="V227" s="468"/>
      <c r="W227" s="473"/>
      <c r="X227" s="415"/>
    </row>
    <row r="228" spans="1:24" s="544" customFormat="1" x14ac:dyDescent="0.3">
      <c r="A228" s="623"/>
      <c r="B228" s="556" t="s">
        <v>84</v>
      </c>
      <c r="C228" s="556"/>
      <c r="D228" s="556"/>
      <c r="E228" s="556"/>
      <c r="F228" s="556"/>
      <c r="G228" s="556"/>
      <c r="H228" s="556"/>
      <c r="I228" s="556"/>
      <c r="J228" s="556"/>
      <c r="K228" s="556"/>
      <c r="L228" s="556"/>
      <c r="M228" s="556"/>
      <c r="N228" s="556"/>
      <c r="O228" s="556"/>
      <c r="P228" s="556"/>
      <c r="Q228" s="556"/>
      <c r="R228" s="556"/>
      <c r="S228" s="562"/>
      <c r="T228" s="620">
        <f>V166</f>
        <v>499</v>
      </c>
      <c r="U228" s="556"/>
      <c r="V228" s="621"/>
      <c r="W228" s="624"/>
      <c r="X228" s="543"/>
    </row>
    <row r="229" spans="1:24" s="544" customFormat="1" x14ac:dyDescent="0.3">
      <c r="A229" s="618"/>
      <c r="B229" s="556" t="s">
        <v>85</v>
      </c>
      <c r="C229" s="598"/>
      <c r="D229" s="598"/>
      <c r="E229" s="598"/>
      <c r="F229" s="598"/>
      <c r="G229" s="556"/>
      <c r="H229" s="556"/>
      <c r="I229" s="556"/>
      <c r="J229" s="556"/>
      <c r="K229" s="556"/>
      <c r="L229" s="556"/>
      <c r="M229" s="556"/>
      <c r="N229" s="556"/>
      <c r="O229" s="556"/>
      <c r="P229" s="556"/>
      <c r="Q229" s="556"/>
      <c r="R229" s="556"/>
      <c r="S229" s="562"/>
      <c r="T229" s="620">
        <f>'Nov 18'!T229+T228</f>
        <v>8896</v>
      </c>
      <c r="U229" s="556"/>
      <c r="V229" s="621"/>
      <c r="W229" s="624"/>
      <c r="X229" s="543"/>
    </row>
    <row r="230" spans="1:24" x14ac:dyDescent="0.3">
      <c r="A230" s="470"/>
      <c r="B230" s="493" t="s">
        <v>295</v>
      </c>
      <c r="C230" s="471"/>
      <c r="D230" s="471"/>
      <c r="E230" s="471"/>
      <c r="F230" s="471"/>
      <c r="G230" s="434"/>
      <c r="H230" s="434"/>
      <c r="I230" s="434"/>
      <c r="J230" s="434"/>
      <c r="K230" s="434"/>
      <c r="L230" s="434"/>
      <c r="M230" s="434"/>
      <c r="N230" s="434"/>
      <c r="O230" s="434"/>
      <c r="P230" s="434"/>
      <c r="Q230" s="434"/>
      <c r="R230" s="434"/>
      <c r="S230" s="435"/>
      <c r="T230" s="472"/>
      <c r="U230" s="434"/>
      <c r="V230" s="468"/>
      <c r="W230" s="473"/>
      <c r="X230" s="415"/>
    </row>
    <row r="231" spans="1:24" s="544" customFormat="1" x14ac:dyDescent="0.3">
      <c r="A231" s="623"/>
      <c r="B231" s="556" t="s">
        <v>291</v>
      </c>
      <c r="C231" s="556"/>
      <c r="D231" s="556"/>
      <c r="E231" s="556"/>
      <c r="F231" s="556"/>
      <c r="G231" s="556"/>
      <c r="H231" s="556"/>
      <c r="I231" s="556"/>
      <c r="J231" s="556"/>
      <c r="K231" s="556"/>
      <c r="L231" s="556"/>
      <c r="M231" s="556"/>
      <c r="N231" s="556"/>
      <c r="O231" s="556"/>
      <c r="P231" s="556"/>
      <c r="Q231" s="556"/>
      <c r="R231" s="556"/>
      <c r="S231" s="562">
        <v>0</v>
      </c>
      <c r="T231" s="620">
        <v>0</v>
      </c>
      <c r="U231" s="556"/>
      <c r="V231" s="621"/>
      <c r="W231" s="624"/>
      <c r="X231" s="543"/>
    </row>
    <row r="232" spans="1:24" s="544" customFormat="1" x14ac:dyDescent="0.3">
      <c r="A232" s="618"/>
      <c r="B232" s="556" t="s">
        <v>86</v>
      </c>
      <c r="C232" s="578"/>
      <c r="D232" s="578"/>
      <c r="E232" s="578"/>
      <c r="F232" s="625"/>
      <c r="G232" s="556"/>
      <c r="H232" s="556"/>
      <c r="I232" s="556"/>
      <c r="J232" s="556"/>
      <c r="K232" s="556"/>
      <c r="L232" s="556"/>
      <c r="M232" s="556"/>
      <c r="N232" s="556"/>
      <c r="O232" s="556"/>
      <c r="P232" s="556"/>
      <c r="Q232" s="556"/>
      <c r="R232" s="556"/>
      <c r="S232" s="556"/>
      <c r="T232" s="626">
        <v>0</v>
      </c>
      <c r="U232" s="556"/>
      <c r="V232" s="621"/>
      <c r="W232" s="624"/>
      <c r="X232" s="543"/>
    </row>
    <row r="233" spans="1:24" s="544" customFormat="1" x14ac:dyDescent="0.3">
      <c r="A233" s="618"/>
      <c r="B233" s="556" t="s">
        <v>87</v>
      </c>
      <c r="C233" s="578"/>
      <c r="D233" s="578"/>
      <c r="E233" s="578"/>
      <c r="F233" s="625"/>
      <c r="G233" s="556"/>
      <c r="H233" s="556"/>
      <c r="I233" s="556"/>
      <c r="J233" s="556"/>
      <c r="K233" s="556"/>
      <c r="L233" s="556"/>
      <c r="M233" s="556"/>
      <c r="N233" s="556"/>
      <c r="O233" s="556"/>
      <c r="P233" s="556"/>
      <c r="Q233" s="556"/>
      <c r="R233" s="556"/>
      <c r="S233" s="556"/>
      <c r="T233" s="626">
        <v>0</v>
      </c>
      <c r="U233" s="556"/>
      <c r="V233" s="621"/>
      <c r="W233" s="624"/>
      <c r="X233" s="543"/>
    </row>
    <row r="234" spans="1:24" x14ac:dyDescent="0.3">
      <c r="A234" s="466"/>
      <c r="B234" s="493" t="s">
        <v>217</v>
      </c>
      <c r="C234" s="474"/>
      <c r="D234" s="474"/>
      <c r="E234" s="474"/>
      <c r="F234" s="475"/>
      <c r="G234" s="434"/>
      <c r="H234" s="434"/>
      <c r="I234" s="434"/>
      <c r="J234" s="434"/>
      <c r="K234" s="434"/>
      <c r="L234" s="434"/>
      <c r="M234" s="434"/>
      <c r="N234" s="434"/>
      <c r="O234" s="434"/>
      <c r="P234" s="434"/>
      <c r="Q234" s="434"/>
      <c r="R234" s="434"/>
      <c r="S234" s="434"/>
      <c r="T234" s="476"/>
      <c r="U234" s="434"/>
      <c r="V234" s="468"/>
      <c r="W234" s="473"/>
      <c r="X234" s="415"/>
    </row>
    <row r="235" spans="1:24" s="544" customFormat="1" x14ac:dyDescent="0.3">
      <c r="A235" s="618"/>
      <c r="B235" s="556" t="s">
        <v>291</v>
      </c>
      <c r="C235" s="578"/>
      <c r="D235" s="578"/>
      <c r="E235" s="578"/>
      <c r="F235" s="625"/>
      <c r="G235" s="556"/>
      <c r="H235" s="556"/>
      <c r="I235" s="556"/>
      <c r="J235" s="556"/>
      <c r="K235" s="556"/>
      <c r="L235" s="556"/>
      <c r="M235" s="556"/>
      <c r="N235" s="556"/>
      <c r="O235" s="556"/>
      <c r="P235" s="556"/>
      <c r="Q235" s="556"/>
      <c r="R235" s="556"/>
      <c r="S235" s="562">
        <v>7</v>
      </c>
      <c r="T235" s="620">
        <v>896</v>
      </c>
      <c r="U235" s="556"/>
      <c r="V235" s="621"/>
      <c r="W235" s="624"/>
      <c r="X235" s="543"/>
    </row>
    <row r="236" spans="1:24" s="544" customFormat="1" x14ac:dyDescent="0.3">
      <c r="A236" s="618"/>
      <c r="B236" s="556" t="s">
        <v>218</v>
      </c>
      <c r="C236" s="578"/>
      <c r="D236" s="578"/>
      <c r="E236" s="578"/>
      <c r="F236" s="625"/>
      <c r="G236" s="556"/>
      <c r="H236" s="556"/>
      <c r="I236" s="556"/>
      <c r="J236" s="556"/>
      <c r="K236" s="556"/>
      <c r="L236" s="556"/>
      <c r="M236" s="556"/>
      <c r="N236" s="556"/>
      <c r="O236" s="556"/>
      <c r="P236" s="556"/>
      <c r="Q236" s="556"/>
      <c r="R236" s="556"/>
      <c r="S236" s="556"/>
      <c r="T236" s="626">
        <v>3.92</v>
      </c>
      <c r="U236" s="556"/>
      <c r="V236" s="621"/>
      <c r="W236" s="624"/>
      <c r="X236" s="543"/>
    </row>
    <row r="237" spans="1:24" x14ac:dyDescent="0.3">
      <c r="A237" s="466"/>
      <c r="B237" s="471"/>
      <c r="C237" s="474"/>
      <c r="D237" s="474"/>
      <c r="E237" s="474"/>
      <c r="F237" s="475"/>
      <c r="G237" s="434"/>
      <c r="H237" s="434"/>
      <c r="I237" s="434"/>
      <c r="J237" s="434"/>
      <c r="K237" s="434"/>
      <c r="L237" s="434"/>
      <c r="M237" s="434"/>
      <c r="N237" s="434"/>
      <c r="O237" s="434"/>
      <c r="P237" s="434"/>
      <c r="Q237" s="434"/>
      <c r="R237" s="434"/>
      <c r="S237" s="434"/>
      <c r="T237" s="476"/>
      <c r="U237" s="434"/>
      <c r="V237" s="468"/>
      <c r="W237" s="473"/>
      <c r="X237" s="415"/>
    </row>
    <row r="238" spans="1:24" x14ac:dyDescent="0.3">
      <c r="A238" s="466"/>
      <c r="B238" s="471"/>
      <c r="C238" s="474"/>
      <c r="D238" s="474"/>
      <c r="E238" s="474"/>
      <c r="F238" s="475"/>
      <c r="G238" s="434"/>
      <c r="H238" s="434"/>
      <c r="I238" s="434"/>
      <c r="J238" s="434"/>
      <c r="K238" s="434"/>
      <c r="L238" s="434"/>
      <c r="M238" s="434"/>
      <c r="N238" s="434"/>
      <c r="O238" s="434"/>
      <c r="P238" s="434"/>
      <c r="Q238" s="434"/>
      <c r="R238" s="434"/>
      <c r="S238" s="434"/>
      <c r="T238" s="476"/>
      <c r="U238" s="434"/>
      <c r="V238" s="468"/>
      <c r="W238" s="473"/>
      <c r="X238" s="415"/>
    </row>
    <row r="239" spans="1:24" ht="18" x14ac:dyDescent="0.35">
      <c r="A239" s="466"/>
      <c r="B239" s="512" t="s">
        <v>168</v>
      </c>
      <c r="C239" s="474"/>
      <c r="D239" s="474"/>
      <c r="E239" s="474"/>
      <c r="F239" s="475"/>
      <c r="G239" s="434"/>
      <c r="H239" s="434"/>
      <c r="I239" s="434"/>
      <c r="J239" s="434"/>
      <c r="K239" s="434"/>
      <c r="L239" s="434"/>
      <c r="M239" s="434"/>
      <c r="N239" s="434"/>
      <c r="O239" s="434"/>
      <c r="P239" s="513" t="s">
        <v>371</v>
      </c>
      <c r="Q239" s="434"/>
      <c r="R239" s="434"/>
      <c r="S239" s="434"/>
      <c r="T239" s="476"/>
      <c r="U239" s="434"/>
      <c r="V239" s="468"/>
      <c r="W239" s="473"/>
      <c r="X239" s="415"/>
    </row>
    <row r="240" spans="1:24" x14ac:dyDescent="0.3">
      <c r="A240" s="477"/>
      <c r="B240" s="511"/>
      <c r="C240" s="478"/>
      <c r="D240" s="478"/>
      <c r="E240" s="478"/>
      <c r="F240" s="479"/>
      <c r="G240" s="441"/>
      <c r="H240" s="441"/>
      <c r="I240" s="441"/>
      <c r="J240" s="441"/>
      <c r="K240" s="441"/>
      <c r="L240" s="441"/>
      <c r="M240" s="441"/>
      <c r="N240" s="441"/>
      <c r="O240" s="441"/>
      <c r="P240" s="441"/>
      <c r="Q240" s="441"/>
      <c r="R240" s="441"/>
      <c r="S240" s="441"/>
      <c r="T240" s="480"/>
      <c r="U240" s="441"/>
      <c r="V240" s="481"/>
      <c r="W240" s="482"/>
      <c r="X240" s="415"/>
    </row>
    <row r="241" spans="1:25" x14ac:dyDescent="0.3">
      <c r="A241" s="515"/>
      <c r="B241" s="523" t="s">
        <v>308</v>
      </c>
      <c r="C241" s="524"/>
      <c r="D241" s="524"/>
      <c r="E241" s="524"/>
      <c r="F241" s="534"/>
      <c r="G241" s="524"/>
      <c r="H241" s="524"/>
      <c r="I241" s="524"/>
      <c r="J241" s="524"/>
      <c r="K241" s="524"/>
      <c r="L241" s="524"/>
      <c r="M241" s="524"/>
      <c r="N241" s="524"/>
      <c r="O241" s="524"/>
      <c r="P241" s="524"/>
      <c r="Q241" s="524"/>
      <c r="R241" s="534" t="s">
        <v>102</v>
      </c>
      <c r="S241" s="524" t="s">
        <v>103</v>
      </c>
      <c r="T241" s="534" t="s">
        <v>109</v>
      </c>
      <c r="U241" s="524" t="s">
        <v>103</v>
      </c>
      <c r="V241" s="517"/>
      <c r="W241" s="535"/>
      <c r="X241" s="415"/>
    </row>
    <row r="242" spans="1:25" s="544" customFormat="1" x14ac:dyDescent="0.3">
      <c r="A242" s="540"/>
      <c r="B242" s="600" t="s">
        <v>88</v>
      </c>
      <c r="C242" s="627"/>
      <c r="D242" s="627"/>
      <c r="E242" s="627"/>
      <c r="F242" s="588"/>
      <c r="G242" s="627"/>
      <c r="H242" s="627"/>
      <c r="I242" s="627"/>
      <c r="J242" s="627"/>
      <c r="K242" s="627"/>
      <c r="L242" s="627"/>
      <c r="M242" s="627"/>
      <c r="N242" s="627"/>
      <c r="O242" s="627"/>
      <c r="P242" s="627"/>
      <c r="Q242" s="627"/>
      <c r="R242" s="600">
        <f t="shared" ref="R242:R249" si="1">+R254+R266+R278</f>
        <v>5734</v>
      </c>
      <c r="S242" s="628">
        <f t="shared" ref="S242:S249" si="2">R242/$R$251</f>
        <v>0.99445022545959072</v>
      </c>
      <c r="T242" s="601">
        <f t="shared" ref="T242:T249" si="3">+T254+T266+T278</f>
        <v>782156</v>
      </c>
      <c r="U242" s="628">
        <f t="shared" ref="U242:U249" si="4">T242/$T$251</f>
        <v>0.99534875434423797</v>
      </c>
      <c r="V242" s="616"/>
      <c r="W242" s="629"/>
      <c r="X242" s="543"/>
    </row>
    <row r="243" spans="1:25" s="544" customFormat="1" x14ac:dyDescent="0.3">
      <c r="A243" s="555"/>
      <c r="B243" s="598" t="s">
        <v>89</v>
      </c>
      <c r="C243" s="630"/>
      <c r="D243" s="630"/>
      <c r="E243" s="630"/>
      <c r="F243" s="556"/>
      <c r="G243" s="631"/>
      <c r="H243" s="630"/>
      <c r="I243" s="630"/>
      <c r="J243" s="630"/>
      <c r="K243" s="630"/>
      <c r="L243" s="630"/>
      <c r="M243" s="630"/>
      <c r="N243" s="630"/>
      <c r="O243" s="630"/>
      <c r="P243" s="630"/>
      <c r="Q243" s="630"/>
      <c r="R243" s="598">
        <f t="shared" si="1"/>
        <v>14</v>
      </c>
      <c r="S243" s="631">
        <f t="shared" si="2"/>
        <v>2.428026361429067E-3</v>
      </c>
      <c r="T243" s="599">
        <f t="shared" si="3"/>
        <v>1667</v>
      </c>
      <c r="U243" s="631">
        <f t="shared" si="4"/>
        <v>2.1213752416293485E-3</v>
      </c>
      <c r="V243" s="621"/>
      <c r="W243" s="624"/>
      <c r="X243" s="543"/>
      <c r="Y243" s="604"/>
    </row>
    <row r="244" spans="1:25" s="544" customFormat="1" x14ac:dyDescent="0.3">
      <c r="A244" s="555"/>
      <c r="B244" s="598" t="s">
        <v>90</v>
      </c>
      <c r="C244" s="630"/>
      <c r="D244" s="630"/>
      <c r="E244" s="630"/>
      <c r="F244" s="556"/>
      <c r="G244" s="631"/>
      <c r="H244" s="630"/>
      <c r="I244" s="630"/>
      <c r="J244" s="630"/>
      <c r="K244" s="630"/>
      <c r="L244" s="630"/>
      <c r="M244" s="630"/>
      <c r="N244" s="630"/>
      <c r="O244" s="630"/>
      <c r="P244" s="630"/>
      <c r="Q244" s="630"/>
      <c r="R244" s="598">
        <f t="shared" si="1"/>
        <v>5</v>
      </c>
      <c r="S244" s="631">
        <f t="shared" si="2"/>
        <v>8.6715227193895252E-4</v>
      </c>
      <c r="T244" s="599">
        <f t="shared" si="3"/>
        <v>497</v>
      </c>
      <c r="U244" s="631">
        <f t="shared" si="4"/>
        <v>6.3246760353316512E-4</v>
      </c>
      <c r="V244" s="621"/>
      <c r="W244" s="624"/>
      <c r="X244" s="543"/>
    </row>
    <row r="245" spans="1:25" s="544" customFormat="1" x14ac:dyDescent="0.3">
      <c r="A245" s="555"/>
      <c r="B245" s="598" t="s">
        <v>156</v>
      </c>
      <c r="C245" s="630"/>
      <c r="D245" s="630"/>
      <c r="E245" s="630"/>
      <c r="F245" s="556"/>
      <c r="G245" s="631"/>
      <c r="H245" s="630"/>
      <c r="I245" s="630"/>
      <c r="J245" s="630"/>
      <c r="K245" s="630"/>
      <c r="L245" s="630"/>
      <c r="M245" s="630"/>
      <c r="N245" s="630"/>
      <c r="O245" s="630"/>
      <c r="P245" s="630"/>
      <c r="Q245" s="630"/>
      <c r="R245" s="598">
        <f t="shared" si="1"/>
        <v>8</v>
      </c>
      <c r="S245" s="631">
        <f t="shared" si="2"/>
        <v>1.387443635102324E-3</v>
      </c>
      <c r="T245" s="599">
        <f t="shared" si="3"/>
        <v>959</v>
      </c>
      <c r="U245" s="631">
        <f t="shared" si="4"/>
        <v>1.2203952349865298E-3</v>
      </c>
      <c r="V245" s="621"/>
      <c r="W245" s="624"/>
      <c r="X245" s="543"/>
      <c r="Y245" s="604"/>
    </row>
    <row r="246" spans="1:25" s="544" customFormat="1" x14ac:dyDescent="0.3">
      <c r="A246" s="555"/>
      <c r="B246" s="598" t="s">
        <v>157</v>
      </c>
      <c r="C246" s="630"/>
      <c r="D246" s="630"/>
      <c r="E246" s="630"/>
      <c r="F246" s="556"/>
      <c r="G246" s="631"/>
      <c r="H246" s="630"/>
      <c r="I246" s="630"/>
      <c r="J246" s="630"/>
      <c r="K246" s="630"/>
      <c r="L246" s="630"/>
      <c r="M246" s="630"/>
      <c r="N246" s="630"/>
      <c r="O246" s="630"/>
      <c r="P246" s="630"/>
      <c r="Q246" s="630"/>
      <c r="R246" s="598">
        <f t="shared" si="1"/>
        <v>3</v>
      </c>
      <c r="S246" s="631">
        <f t="shared" si="2"/>
        <v>5.2029136316337154E-4</v>
      </c>
      <c r="T246" s="599">
        <f t="shared" si="3"/>
        <v>280</v>
      </c>
      <c r="U246" s="631">
        <f t="shared" si="4"/>
        <v>3.5631977663840285E-4</v>
      </c>
      <c r="V246" s="621"/>
      <c r="W246" s="624"/>
      <c r="X246" s="543"/>
    </row>
    <row r="247" spans="1:25" s="544" customFormat="1" x14ac:dyDescent="0.3">
      <c r="A247" s="555"/>
      <c r="B247" s="598" t="s">
        <v>158</v>
      </c>
      <c r="C247" s="630"/>
      <c r="D247" s="630"/>
      <c r="E247" s="630"/>
      <c r="F247" s="556"/>
      <c r="G247" s="631"/>
      <c r="H247" s="630"/>
      <c r="I247" s="630"/>
      <c r="J247" s="630"/>
      <c r="K247" s="630"/>
      <c r="L247" s="630"/>
      <c r="M247" s="630"/>
      <c r="N247" s="630"/>
      <c r="O247" s="630"/>
      <c r="P247" s="630"/>
      <c r="Q247" s="630"/>
      <c r="R247" s="598">
        <f t="shared" si="1"/>
        <v>0</v>
      </c>
      <c r="S247" s="631">
        <f t="shared" si="2"/>
        <v>0</v>
      </c>
      <c r="T247" s="599">
        <f t="shared" si="3"/>
        <v>0</v>
      </c>
      <c r="U247" s="631">
        <f t="shared" si="4"/>
        <v>0</v>
      </c>
      <c r="V247" s="621"/>
      <c r="W247" s="624"/>
      <c r="X247" s="543"/>
      <c r="Y247" s="604"/>
    </row>
    <row r="248" spans="1:25" s="544" customFormat="1" x14ac:dyDescent="0.3">
      <c r="A248" s="555"/>
      <c r="B248" s="598" t="s">
        <v>159</v>
      </c>
      <c r="C248" s="630"/>
      <c r="D248" s="630"/>
      <c r="E248" s="630"/>
      <c r="F248" s="556"/>
      <c r="G248" s="631"/>
      <c r="H248" s="630"/>
      <c r="I248" s="630"/>
      <c r="J248" s="630"/>
      <c r="K248" s="630"/>
      <c r="L248" s="630"/>
      <c r="M248" s="630"/>
      <c r="N248" s="630"/>
      <c r="O248" s="630"/>
      <c r="P248" s="630"/>
      <c r="Q248" s="630"/>
      <c r="R248" s="598">
        <f t="shared" si="1"/>
        <v>1</v>
      </c>
      <c r="S248" s="631">
        <f t="shared" si="2"/>
        <v>1.7343045438779049E-4</v>
      </c>
      <c r="T248" s="599">
        <f t="shared" si="3"/>
        <v>146</v>
      </c>
      <c r="U248" s="631">
        <f t="shared" si="4"/>
        <v>1.8579531210431008E-4</v>
      </c>
      <c r="V248" s="621"/>
      <c r="W248" s="624"/>
      <c r="X248" s="543"/>
    </row>
    <row r="249" spans="1:25" s="544" customFormat="1" x14ac:dyDescent="0.3">
      <c r="A249" s="555"/>
      <c r="B249" s="598" t="s">
        <v>160</v>
      </c>
      <c r="C249" s="630"/>
      <c r="D249" s="630"/>
      <c r="E249" s="630"/>
      <c r="F249" s="556"/>
      <c r="G249" s="631"/>
      <c r="H249" s="630"/>
      <c r="I249" s="630"/>
      <c r="J249" s="630"/>
      <c r="K249" s="630"/>
      <c r="L249" s="630"/>
      <c r="M249" s="630"/>
      <c r="N249" s="630"/>
      <c r="O249" s="630"/>
      <c r="P249" s="630"/>
      <c r="Q249" s="630"/>
      <c r="R249" s="600">
        <f t="shared" si="1"/>
        <v>1</v>
      </c>
      <c r="S249" s="628">
        <f t="shared" si="2"/>
        <v>1.7343045438779049E-4</v>
      </c>
      <c r="T249" s="601">
        <f t="shared" si="3"/>
        <v>106</v>
      </c>
      <c r="U249" s="628">
        <f t="shared" si="4"/>
        <v>1.3489248687025251E-4</v>
      </c>
      <c r="V249" s="621"/>
      <c r="W249" s="624"/>
      <c r="X249" s="543"/>
      <c r="Y249" s="604"/>
    </row>
    <row r="250" spans="1:25" s="544" customFormat="1" x14ac:dyDescent="0.3">
      <c r="A250" s="555"/>
      <c r="B250" s="598"/>
      <c r="C250" s="630"/>
      <c r="D250" s="630"/>
      <c r="E250" s="630"/>
      <c r="F250" s="556"/>
      <c r="G250" s="631"/>
      <c r="H250" s="630"/>
      <c r="I250" s="630"/>
      <c r="J250" s="630"/>
      <c r="K250" s="630"/>
      <c r="L250" s="630"/>
      <c r="M250" s="630"/>
      <c r="N250" s="630"/>
      <c r="O250" s="630"/>
      <c r="P250" s="630"/>
      <c r="Q250" s="630"/>
      <c r="R250" s="598"/>
      <c r="S250" s="631"/>
      <c r="T250" s="599"/>
      <c r="U250" s="631"/>
      <c r="V250" s="621"/>
      <c r="W250" s="624"/>
      <c r="X250" s="543"/>
    </row>
    <row r="251" spans="1:25" s="544" customFormat="1" x14ac:dyDescent="0.3">
      <c r="A251" s="555"/>
      <c r="B251" s="556"/>
      <c r="C251" s="556"/>
      <c r="D251" s="556"/>
      <c r="E251" s="556"/>
      <c r="F251" s="556"/>
      <c r="G251" s="556"/>
      <c r="H251" s="632"/>
      <c r="I251" s="632"/>
      <c r="J251" s="632"/>
      <c r="K251" s="632"/>
      <c r="L251" s="632"/>
      <c r="M251" s="632"/>
      <c r="N251" s="632"/>
      <c r="O251" s="632"/>
      <c r="P251" s="632"/>
      <c r="Q251" s="632"/>
      <c r="R251" s="598">
        <f>SUM(R242:R250)</f>
        <v>5766</v>
      </c>
      <c r="S251" s="631">
        <f>SUM(S242:S250)</f>
        <v>0.99999999999999989</v>
      </c>
      <c r="T251" s="599">
        <f>SUM(T242:T250)</f>
        <v>785811</v>
      </c>
      <c r="U251" s="631">
        <f>SUM(U242:U250)</f>
        <v>1</v>
      </c>
      <c r="V251" s="556"/>
      <c r="W251" s="558"/>
      <c r="X251" s="543"/>
    </row>
    <row r="252" spans="1:25" x14ac:dyDescent="0.3">
      <c r="A252" s="417"/>
      <c r="B252" s="441"/>
      <c r="C252" s="441"/>
      <c r="D252" s="441"/>
      <c r="E252" s="441"/>
      <c r="F252" s="441"/>
      <c r="G252" s="441"/>
      <c r="H252" s="485"/>
      <c r="I252" s="485"/>
      <c r="J252" s="485"/>
      <c r="K252" s="485"/>
      <c r="L252" s="485"/>
      <c r="M252" s="485"/>
      <c r="N252" s="485"/>
      <c r="O252" s="485"/>
      <c r="P252" s="485"/>
      <c r="Q252" s="485"/>
      <c r="R252" s="442"/>
      <c r="S252" s="486"/>
      <c r="T252" s="487"/>
      <c r="U252" s="486"/>
      <c r="V252" s="441"/>
      <c r="W252" s="441"/>
      <c r="X252" s="415"/>
    </row>
    <row r="253" spans="1:25" x14ac:dyDescent="0.3">
      <c r="A253" s="515"/>
      <c r="B253" s="523" t="s">
        <v>162</v>
      </c>
      <c r="C253" s="524"/>
      <c r="D253" s="524"/>
      <c r="E253" s="524"/>
      <c r="F253" s="534"/>
      <c r="G253" s="524"/>
      <c r="H253" s="524"/>
      <c r="I253" s="524"/>
      <c r="J253" s="524"/>
      <c r="K253" s="524"/>
      <c r="L253" s="524"/>
      <c r="M253" s="524"/>
      <c r="N253" s="524"/>
      <c r="O253" s="524"/>
      <c r="P253" s="524"/>
      <c r="Q253" s="524"/>
      <c r="R253" s="534" t="s">
        <v>102</v>
      </c>
      <c r="S253" s="524" t="s">
        <v>103</v>
      </c>
      <c r="T253" s="534" t="s">
        <v>109</v>
      </c>
      <c r="U253" s="524" t="s">
        <v>103</v>
      </c>
      <c r="V253" s="517"/>
      <c r="W253" s="535"/>
      <c r="X253" s="415"/>
    </row>
    <row r="254" spans="1:25" s="544" customFormat="1" x14ac:dyDescent="0.3">
      <c r="A254" s="540"/>
      <c r="B254" s="600" t="s">
        <v>88</v>
      </c>
      <c r="C254" s="627"/>
      <c r="D254" s="627"/>
      <c r="E254" s="627"/>
      <c r="F254" s="588"/>
      <c r="G254" s="627"/>
      <c r="H254" s="627"/>
      <c r="I254" s="627"/>
      <c r="J254" s="627"/>
      <c r="K254" s="627"/>
      <c r="L254" s="627"/>
      <c r="M254" s="627"/>
      <c r="N254" s="627"/>
      <c r="O254" s="627"/>
      <c r="P254" s="627"/>
      <c r="Q254" s="627"/>
      <c r="R254" s="600">
        <v>5637</v>
      </c>
      <c r="S254" s="628">
        <f t="shared" ref="S254:S261" si="5">R254/$R$263</f>
        <v>0.99628844114528103</v>
      </c>
      <c r="T254" s="601">
        <v>768004</v>
      </c>
      <c r="U254" s="628">
        <f t="shared" ref="U254:U261" si="6">T254/$T$263</f>
        <v>0.99690545543284681</v>
      </c>
      <c r="V254" s="616"/>
      <c r="W254" s="629"/>
      <c r="X254" s="543"/>
    </row>
    <row r="255" spans="1:25" s="544" customFormat="1" x14ac:dyDescent="0.3">
      <c r="A255" s="555"/>
      <c r="B255" s="598" t="s">
        <v>89</v>
      </c>
      <c r="C255" s="630"/>
      <c r="D255" s="630"/>
      <c r="E255" s="630"/>
      <c r="F255" s="556"/>
      <c r="G255" s="631"/>
      <c r="H255" s="630"/>
      <c r="I255" s="630"/>
      <c r="J255" s="630"/>
      <c r="K255" s="630"/>
      <c r="L255" s="630"/>
      <c r="M255" s="630"/>
      <c r="N255" s="630"/>
      <c r="O255" s="630"/>
      <c r="P255" s="630"/>
      <c r="Q255" s="630"/>
      <c r="R255" s="598">
        <v>11</v>
      </c>
      <c r="S255" s="631">
        <f t="shared" si="5"/>
        <v>1.9441498762813715E-3</v>
      </c>
      <c r="T255" s="599">
        <v>1340</v>
      </c>
      <c r="U255" s="631">
        <f t="shared" si="6"/>
        <v>1.7393832718058952E-3</v>
      </c>
      <c r="V255" s="621"/>
      <c r="W255" s="624"/>
      <c r="X255" s="543"/>
      <c r="Y255" s="604"/>
    </row>
    <row r="256" spans="1:25" s="544" customFormat="1" x14ac:dyDescent="0.3">
      <c r="A256" s="555"/>
      <c r="B256" s="598" t="s">
        <v>90</v>
      </c>
      <c r="C256" s="630"/>
      <c r="D256" s="630"/>
      <c r="E256" s="630"/>
      <c r="F256" s="556"/>
      <c r="G256" s="631"/>
      <c r="H256" s="630"/>
      <c r="I256" s="630"/>
      <c r="J256" s="630"/>
      <c r="K256" s="630"/>
      <c r="L256" s="630"/>
      <c r="M256" s="630"/>
      <c r="N256" s="630"/>
      <c r="O256" s="630"/>
      <c r="P256" s="630"/>
      <c r="Q256" s="630"/>
      <c r="R256" s="598">
        <v>3</v>
      </c>
      <c r="S256" s="631">
        <f t="shared" si="5"/>
        <v>5.3022269353128319E-4</v>
      </c>
      <c r="T256" s="599">
        <v>195</v>
      </c>
      <c r="U256" s="631">
        <f t="shared" si="6"/>
        <v>2.531192074642907E-4</v>
      </c>
      <c r="V256" s="621"/>
      <c r="W256" s="624"/>
      <c r="X256" s="543"/>
    </row>
    <row r="257" spans="1:25" s="544" customFormat="1" x14ac:dyDescent="0.3">
      <c r="A257" s="555"/>
      <c r="B257" s="598" t="s">
        <v>156</v>
      </c>
      <c r="C257" s="630"/>
      <c r="D257" s="630"/>
      <c r="E257" s="630"/>
      <c r="F257" s="556"/>
      <c r="G257" s="631"/>
      <c r="H257" s="630"/>
      <c r="I257" s="630"/>
      <c r="J257" s="630"/>
      <c r="K257" s="630"/>
      <c r="L257" s="630"/>
      <c r="M257" s="630"/>
      <c r="N257" s="630"/>
      <c r="O257" s="630"/>
      <c r="P257" s="630"/>
      <c r="Q257" s="630"/>
      <c r="R257" s="598">
        <v>6</v>
      </c>
      <c r="S257" s="631">
        <f t="shared" si="5"/>
        <v>1.0604453870625664E-3</v>
      </c>
      <c r="T257" s="599">
        <v>748</v>
      </c>
      <c r="U257" s="631">
        <f t="shared" si="6"/>
        <v>9.7093931888866394E-4</v>
      </c>
      <c r="V257" s="621"/>
      <c r="W257" s="624"/>
      <c r="X257" s="543"/>
      <c r="Y257" s="604"/>
    </row>
    <row r="258" spans="1:25" s="544" customFormat="1" x14ac:dyDescent="0.3">
      <c r="A258" s="555"/>
      <c r="B258" s="598" t="s">
        <v>157</v>
      </c>
      <c r="C258" s="630"/>
      <c r="D258" s="630"/>
      <c r="E258" s="630"/>
      <c r="F258" s="556"/>
      <c r="G258" s="631"/>
      <c r="H258" s="630"/>
      <c r="I258" s="630"/>
      <c r="J258" s="630"/>
      <c r="K258" s="630"/>
      <c r="L258" s="630"/>
      <c r="M258" s="630"/>
      <c r="N258" s="630"/>
      <c r="O258" s="630"/>
      <c r="P258" s="630"/>
      <c r="Q258" s="630"/>
      <c r="R258" s="598">
        <v>1</v>
      </c>
      <c r="S258" s="631">
        <f t="shared" si="5"/>
        <v>1.7674089784376105E-4</v>
      </c>
      <c r="T258" s="599">
        <v>101</v>
      </c>
      <c r="U258" s="631">
        <f t="shared" si="6"/>
        <v>1.3110276899432494E-4</v>
      </c>
      <c r="V258" s="621"/>
      <c r="W258" s="624"/>
      <c r="X258" s="543"/>
    </row>
    <row r="259" spans="1:25" s="544" customFormat="1" x14ac:dyDescent="0.3">
      <c r="A259" s="555"/>
      <c r="B259" s="598" t="s">
        <v>158</v>
      </c>
      <c r="C259" s="630"/>
      <c r="D259" s="630"/>
      <c r="E259" s="630"/>
      <c r="F259" s="556"/>
      <c r="G259" s="631"/>
      <c r="H259" s="630"/>
      <c r="I259" s="630"/>
      <c r="J259" s="630"/>
      <c r="K259" s="630"/>
      <c r="L259" s="630"/>
      <c r="M259" s="630"/>
      <c r="N259" s="630"/>
      <c r="O259" s="630"/>
      <c r="P259" s="630"/>
      <c r="Q259" s="630"/>
      <c r="R259" s="598">
        <v>0</v>
      </c>
      <c r="S259" s="631">
        <f t="shared" si="5"/>
        <v>0</v>
      </c>
      <c r="T259" s="599">
        <v>0</v>
      </c>
      <c r="U259" s="631">
        <f t="shared" si="6"/>
        <v>0</v>
      </c>
      <c r="V259" s="621"/>
      <c r="W259" s="624"/>
      <c r="X259" s="543"/>
      <c r="Y259" s="604"/>
    </row>
    <row r="260" spans="1:25" s="544" customFormat="1" x14ac:dyDescent="0.3">
      <c r="A260" s="555"/>
      <c r="B260" s="598" t="s">
        <v>159</v>
      </c>
      <c r="C260" s="630"/>
      <c r="D260" s="630"/>
      <c r="E260" s="630"/>
      <c r="F260" s="556"/>
      <c r="G260" s="631"/>
      <c r="H260" s="630"/>
      <c r="I260" s="630"/>
      <c r="J260" s="630"/>
      <c r="K260" s="630"/>
      <c r="L260" s="630"/>
      <c r="M260" s="630"/>
      <c r="N260" s="630"/>
      <c r="O260" s="630"/>
      <c r="P260" s="630"/>
      <c r="Q260" s="630"/>
      <c r="R260" s="598">
        <v>0</v>
      </c>
      <c r="S260" s="631">
        <f t="shared" si="5"/>
        <v>0</v>
      </c>
      <c r="T260" s="599">
        <v>0</v>
      </c>
      <c r="U260" s="631">
        <f t="shared" si="6"/>
        <v>0</v>
      </c>
      <c r="V260" s="621"/>
      <c r="W260" s="624"/>
      <c r="X260" s="543"/>
    </row>
    <row r="261" spans="1:25" s="544" customFormat="1" x14ac:dyDescent="0.3">
      <c r="A261" s="555"/>
      <c r="B261" s="598" t="s">
        <v>160</v>
      </c>
      <c r="C261" s="630"/>
      <c r="D261" s="630"/>
      <c r="E261" s="630"/>
      <c r="F261" s="556"/>
      <c r="G261" s="631"/>
      <c r="H261" s="630"/>
      <c r="I261" s="630"/>
      <c r="J261" s="630"/>
      <c r="K261" s="630"/>
      <c r="L261" s="630"/>
      <c r="M261" s="630"/>
      <c r="N261" s="630"/>
      <c r="O261" s="630"/>
      <c r="P261" s="630"/>
      <c r="Q261" s="630"/>
      <c r="R261" s="598">
        <v>0</v>
      </c>
      <c r="S261" s="631">
        <f t="shared" si="5"/>
        <v>0</v>
      </c>
      <c r="T261" s="599">
        <v>0</v>
      </c>
      <c r="U261" s="631">
        <f t="shared" si="6"/>
        <v>0</v>
      </c>
      <c r="V261" s="621"/>
      <c r="W261" s="624"/>
      <c r="X261" s="543"/>
      <c r="Y261" s="604"/>
    </row>
    <row r="262" spans="1:25" s="544" customFormat="1" x14ac:dyDescent="0.3">
      <c r="A262" s="555"/>
      <c r="B262" s="598"/>
      <c r="C262" s="630"/>
      <c r="D262" s="630"/>
      <c r="E262" s="630"/>
      <c r="F262" s="556"/>
      <c r="G262" s="631"/>
      <c r="H262" s="630"/>
      <c r="I262" s="630"/>
      <c r="J262" s="630"/>
      <c r="K262" s="630"/>
      <c r="L262" s="630"/>
      <c r="M262" s="630"/>
      <c r="N262" s="630"/>
      <c r="O262" s="630"/>
      <c r="P262" s="630"/>
      <c r="Q262" s="630"/>
      <c r="R262" s="598"/>
      <c r="S262" s="631"/>
      <c r="T262" s="599"/>
      <c r="U262" s="631"/>
      <c r="V262" s="621"/>
      <c r="W262" s="624"/>
      <c r="X262" s="543"/>
    </row>
    <row r="263" spans="1:25" s="544" customFormat="1" x14ac:dyDescent="0.3">
      <c r="A263" s="555"/>
      <c r="B263" s="556"/>
      <c r="C263" s="556"/>
      <c r="D263" s="556"/>
      <c r="E263" s="556"/>
      <c r="F263" s="556"/>
      <c r="G263" s="556"/>
      <c r="H263" s="632"/>
      <c r="I263" s="632"/>
      <c r="J263" s="632"/>
      <c r="K263" s="632"/>
      <c r="L263" s="632"/>
      <c r="M263" s="632"/>
      <c r="N263" s="632"/>
      <c r="O263" s="632"/>
      <c r="P263" s="632"/>
      <c r="Q263" s="632"/>
      <c r="R263" s="598">
        <f>SUM(R254:R262)</f>
        <v>5658</v>
      </c>
      <c r="S263" s="631">
        <f>SUM(S254:S262)</f>
        <v>1</v>
      </c>
      <c r="T263" s="599">
        <f>SUM(T254:T262)</f>
        <v>770388</v>
      </c>
      <c r="U263" s="631">
        <f>SUM(U254:U262)</f>
        <v>1</v>
      </c>
      <c r="V263" s="556"/>
      <c r="W263" s="558"/>
      <c r="X263" s="543"/>
    </row>
    <row r="264" spans="1:25" x14ac:dyDescent="0.3">
      <c r="A264" s="417"/>
      <c r="B264" s="441"/>
      <c r="C264" s="441"/>
      <c r="D264" s="441"/>
      <c r="E264" s="441"/>
      <c r="F264" s="441"/>
      <c r="G264" s="441"/>
      <c r="H264" s="485"/>
      <c r="I264" s="485"/>
      <c r="J264" s="485"/>
      <c r="K264" s="485"/>
      <c r="L264" s="485"/>
      <c r="M264" s="485"/>
      <c r="N264" s="485"/>
      <c r="O264" s="485"/>
      <c r="P264" s="485"/>
      <c r="Q264" s="485"/>
      <c r="R264" s="442"/>
      <c r="S264" s="486"/>
      <c r="T264" s="487"/>
      <c r="U264" s="486"/>
      <c r="V264" s="441"/>
      <c r="W264" s="441"/>
      <c r="X264" s="415"/>
    </row>
    <row r="265" spans="1:25" x14ac:dyDescent="0.3">
      <c r="A265" s="515"/>
      <c r="B265" s="523" t="s">
        <v>275</v>
      </c>
      <c r="C265" s="524"/>
      <c r="D265" s="524"/>
      <c r="E265" s="524"/>
      <c r="F265" s="534"/>
      <c r="G265" s="524"/>
      <c r="H265" s="524"/>
      <c r="I265" s="524"/>
      <c r="J265" s="524"/>
      <c r="K265" s="524"/>
      <c r="L265" s="524"/>
      <c r="M265" s="524"/>
      <c r="N265" s="524"/>
      <c r="O265" s="524"/>
      <c r="P265" s="524"/>
      <c r="Q265" s="524"/>
      <c r="R265" s="534" t="s">
        <v>102</v>
      </c>
      <c r="S265" s="524" t="s">
        <v>103</v>
      </c>
      <c r="T265" s="534" t="s">
        <v>109</v>
      </c>
      <c r="U265" s="524" t="s">
        <v>103</v>
      </c>
      <c r="V265" s="517"/>
      <c r="W265" s="520"/>
      <c r="X265" s="415"/>
    </row>
    <row r="266" spans="1:25" s="544" customFormat="1" x14ac:dyDescent="0.3">
      <c r="A266" s="540"/>
      <c r="B266" s="600" t="s">
        <v>88</v>
      </c>
      <c r="C266" s="627"/>
      <c r="D266" s="627"/>
      <c r="E266" s="627"/>
      <c r="F266" s="588"/>
      <c r="G266" s="627"/>
      <c r="H266" s="627"/>
      <c r="I266" s="627"/>
      <c r="J266" s="627"/>
      <c r="K266" s="627"/>
      <c r="L266" s="627"/>
      <c r="M266" s="627"/>
      <c r="N266" s="627"/>
      <c r="O266" s="627"/>
      <c r="P266" s="627"/>
      <c r="Q266" s="627"/>
      <c r="R266" s="600">
        <v>97</v>
      </c>
      <c r="S266" s="628">
        <f t="shared" ref="S266:S273" si="7">R266/$R$275</f>
        <v>0.89814814814814814</v>
      </c>
      <c r="T266" s="601">
        <v>14152</v>
      </c>
      <c r="U266" s="628">
        <f t="shared" ref="U266:U273" si="8">T266/$T$275</f>
        <v>0.91759061142449583</v>
      </c>
      <c r="V266" s="588"/>
      <c r="W266" s="588"/>
      <c r="X266" s="543"/>
    </row>
    <row r="267" spans="1:25" s="544" customFormat="1" x14ac:dyDescent="0.3">
      <c r="A267" s="555"/>
      <c r="B267" s="598" t="s">
        <v>89</v>
      </c>
      <c r="C267" s="630"/>
      <c r="D267" s="630"/>
      <c r="E267" s="630"/>
      <c r="F267" s="556"/>
      <c r="G267" s="631"/>
      <c r="H267" s="630"/>
      <c r="I267" s="630"/>
      <c r="J267" s="630"/>
      <c r="K267" s="630"/>
      <c r="L267" s="630"/>
      <c r="M267" s="630"/>
      <c r="N267" s="630"/>
      <c r="O267" s="630"/>
      <c r="P267" s="630"/>
      <c r="Q267" s="630"/>
      <c r="R267" s="598">
        <v>3</v>
      </c>
      <c r="S267" s="631">
        <f t="shared" si="7"/>
        <v>2.7777777777777776E-2</v>
      </c>
      <c r="T267" s="599">
        <v>327</v>
      </c>
      <c r="U267" s="631">
        <f t="shared" si="8"/>
        <v>2.1202100758607276E-2</v>
      </c>
      <c r="V267" s="556"/>
      <c r="W267" s="558"/>
      <c r="X267" s="543"/>
    </row>
    <row r="268" spans="1:25" s="544" customFormat="1" x14ac:dyDescent="0.3">
      <c r="A268" s="555"/>
      <c r="B268" s="598" t="s">
        <v>90</v>
      </c>
      <c r="C268" s="630"/>
      <c r="D268" s="630"/>
      <c r="E268" s="630"/>
      <c r="F268" s="556"/>
      <c r="G268" s="631"/>
      <c r="H268" s="630"/>
      <c r="I268" s="630"/>
      <c r="J268" s="630"/>
      <c r="K268" s="630"/>
      <c r="L268" s="630"/>
      <c r="M268" s="630"/>
      <c r="N268" s="630"/>
      <c r="O268" s="630"/>
      <c r="P268" s="630"/>
      <c r="Q268" s="630"/>
      <c r="R268" s="598">
        <v>2</v>
      </c>
      <c r="S268" s="631">
        <f t="shared" si="7"/>
        <v>1.8518518518518517E-2</v>
      </c>
      <c r="T268" s="599">
        <v>302</v>
      </c>
      <c r="U268" s="631">
        <f t="shared" si="8"/>
        <v>1.9581145043117421E-2</v>
      </c>
      <c r="V268" s="556"/>
      <c r="W268" s="558"/>
      <c r="X268" s="543"/>
    </row>
    <row r="269" spans="1:25" s="544" customFormat="1" x14ac:dyDescent="0.3">
      <c r="A269" s="555"/>
      <c r="B269" s="598" t="s">
        <v>156</v>
      </c>
      <c r="C269" s="630"/>
      <c r="D269" s="630"/>
      <c r="E269" s="630"/>
      <c r="F269" s="556"/>
      <c r="G269" s="631"/>
      <c r="H269" s="630"/>
      <c r="I269" s="630"/>
      <c r="J269" s="630"/>
      <c r="K269" s="630"/>
      <c r="L269" s="630"/>
      <c r="M269" s="630"/>
      <c r="N269" s="630"/>
      <c r="O269" s="630"/>
      <c r="P269" s="630"/>
      <c r="Q269" s="630"/>
      <c r="R269" s="598">
        <v>2</v>
      </c>
      <c r="S269" s="631">
        <f t="shared" si="7"/>
        <v>1.8518518518518517E-2</v>
      </c>
      <c r="T269" s="599">
        <v>211</v>
      </c>
      <c r="U269" s="631">
        <f t="shared" si="8"/>
        <v>1.3680866238734359E-2</v>
      </c>
      <c r="V269" s="556"/>
      <c r="W269" s="558"/>
      <c r="X269" s="543"/>
    </row>
    <row r="270" spans="1:25" s="544" customFormat="1" x14ac:dyDescent="0.3">
      <c r="A270" s="555"/>
      <c r="B270" s="598" t="s">
        <v>157</v>
      </c>
      <c r="C270" s="630"/>
      <c r="D270" s="630"/>
      <c r="E270" s="630"/>
      <c r="F270" s="556"/>
      <c r="G270" s="631"/>
      <c r="H270" s="630"/>
      <c r="I270" s="630"/>
      <c r="J270" s="630"/>
      <c r="K270" s="630"/>
      <c r="L270" s="630"/>
      <c r="M270" s="630"/>
      <c r="N270" s="630"/>
      <c r="O270" s="630"/>
      <c r="P270" s="630"/>
      <c r="Q270" s="630"/>
      <c r="R270" s="598">
        <v>2</v>
      </c>
      <c r="S270" s="631">
        <f t="shared" si="7"/>
        <v>1.8518518518518517E-2</v>
      </c>
      <c r="T270" s="599">
        <v>179</v>
      </c>
      <c r="U270" s="631">
        <f t="shared" si="8"/>
        <v>1.1606042922907346E-2</v>
      </c>
      <c r="V270" s="556"/>
      <c r="W270" s="558"/>
      <c r="X270" s="543"/>
    </row>
    <row r="271" spans="1:25" s="544" customFormat="1" x14ac:dyDescent="0.3">
      <c r="A271" s="555"/>
      <c r="B271" s="598" t="s">
        <v>158</v>
      </c>
      <c r="C271" s="630"/>
      <c r="D271" s="630"/>
      <c r="E271" s="630"/>
      <c r="F271" s="556"/>
      <c r="G271" s="631"/>
      <c r="H271" s="630"/>
      <c r="I271" s="630"/>
      <c r="J271" s="630"/>
      <c r="K271" s="630"/>
      <c r="L271" s="630"/>
      <c r="M271" s="630"/>
      <c r="N271" s="630"/>
      <c r="O271" s="630"/>
      <c r="P271" s="630"/>
      <c r="Q271" s="630"/>
      <c r="R271" s="598">
        <v>0</v>
      </c>
      <c r="S271" s="631">
        <f t="shared" si="7"/>
        <v>0</v>
      </c>
      <c r="T271" s="599">
        <v>0</v>
      </c>
      <c r="U271" s="631">
        <f t="shared" si="8"/>
        <v>0</v>
      </c>
      <c r="V271" s="556"/>
      <c r="W271" s="558"/>
      <c r="X271" s="543"/>
    </row>
    <row r="272" spans="1:25" s="544" customFormat="1" x14ac:dyDescent="0.3">
      <c r="A272" s="555"/>
      <c r="B272" s="598" t="s">
        <v>159</v>
      </c>
      <c r="C272" s="630"/>
      <c r="D272" s="630"/>
      <c r="E272" s="630"/>
      <c r="F272" s="556"/>
      <c r="G272" s="631"/>
      <c r="H272" s="630"/>
      <c r="I272" s="630"/>
      <c r="J272" s="630"/>
      <c r="K272" s="630"/>
      <c r="L272" s="630"/>
      <c r="M272" s="630"/>
      <c r="N272" s="630"/>
      <c r="O272" s="630"/>
      <c r="P272" s="630"/>
      <c r="Q272" s="630"/>
      <c r="R272" s="598">
        <v>1</v>
      </c>
      <c r="S272" s="631">
        <f t="shared" si="7"/>
        <v>9.2592592592592587E-3</v>
      </c>
      <c r="T272" s="599">
        <v>146</v>
      </c>
      <c r="U272" s="631">
        <f t="shared" si="8"/>
        <v>9.4663813784607413E-3</v>
      </c>
      <c r="V272" s="556"/>
      <c r="W272" s="558"/>
      <c r="X272" s="543"/>
    </row>
    <row r="273" spans="1:24" s="544" customFormat="1" x14ac:dyDescent="0.3">
      <c r="A273" s="555"/>
      <c r="B273" s="598" t="s">
        <v>160</v>
      </c>
      <c r="C273" s="630"/>
      <c r="D273" s="630"/>
      <c r="E273" s="630"/>
      <c r="F273" s="556"/>
      <c r="G273" s="631"/>
      <c r="H273" s="630"/>
      <c r="I273" s="630"/>
      <c r="J273" s="630"/>
      <c r="K273" s="630"/>
      <c r="L273" s="630"/>
      <c r="M273" s="630"/>
      <c r="N273" s="630"/>
      <c r="O273" s="630"/>
      <c r="P273" s="630"/>
      <c r="Q273" s="630"/>
      <c r="R273" s="598">
        <v>1</v>
      </c>
      <c r="S273" s="631">
        <f t="shared" si="7"/>
        <v>9.2592592592592587E-3</v>
      </c>
      <c r="T273" s="599">
        <v>106</v>
      </c>
      <c r="U273" s="631">
        <f t="shared" si="8"/>
        <v>6.8728522336769758E-3</v>
      </c>
      <c r="V273" s="556"/>
      <c r="W273" s="558"/>
      <c r="X273" s="543"/>
    </row>
    <row r="274" spans="1:24" s="544" customFormat="1" x14ac:dyDescent="0.3">
      <c r="A274" s="555"/>
      <c r="B274" s="598"/>
      <c r="C274" s="630"/>
      <c r="D274" s="630"/>
      <c r="E274" s="630"/>
      <c r="F274" s="556"/>
      <c r="G274" s="631"/>
      <c r="H274" s="630"/>
      <c r="I274" s="630"/>
      <c r="J274" s="630"/>
      <c r="K274" s="630"/>
      <c r="L274" s="630"/>
      <c r="M274" s="630"/>
      <c r="N274" s="630"/>
      <c r="O274" s="630"/>
      <c r="P274" s="630"/>
      <c r="Q274" s="630"/>
      <c r="R274" s="598"/>
      <c r="S274" s="631"/>
      <c r="T274" s="599"/>
      <c r="U274" s="631"/>
      <c r="V274" s="556"/>
      <c r="W274" s="558"/>
      <c r="X274" s="543"/>
    </row>
    <row r="275" spans="1:24" s="544" customFormat="1" x14ac:dyDescent="0.3">
      <c r="A275" s="555"/>
      <c r="B275" s="556"/>
      <c r="C275" s="556"/>
      <c r="D275" s="556"/>
      <c r="E275" s="556"/>
      <c r="F275" s="556"/>
      <c r="G275" s="556"/>
      <c r="H275" s="632"/>
      <c r="I275" s="632"/>
      <c r="J275" s="632"/>
      <c r="K275" s="632"/>
      <c r="L275" s="632"/>
      <c r="M275" s="632"/>
      <c r="N275" s="632"/>
      <c r="O275" s="632"/>
      <c r="P275" s="632"/>
      <c r="Q275" s="632"/>
      <c r="R275" s="598">
        <f>SUM(R266:R274)</f>
        <v>108</v>
      </c>
      <c r="S275" s="631">
        <f>SUM(S266:S274)</f>
        <v>1</v>
      </c>
      <c r="T275" s="599">
        <f>SUM(T266:T274)</f>
        <v>15423</v>
      </c>
      <c r="U275" s="631">
        <f>SUM(U266:U274)</f>
        <v>1</v>
      </c>
      <c r="V275" s="556"/>
      <c r="W275" s="558"/>
      <c r="X275" s="543"/>
    </row>
    <row r="276" spans="1:24" x14ac:dyDescent="0.3">
      <c r="A276" s="417"/>
      <c r="B276" s="437"/>
      <c r="C276" s="437"/>
      <c r="D276" s="437"/>
      <c r="E276" s="437"/>
      <c r="F276" s="437"/>
      <c r="G276" s="437"/>
      <c r="H276" s="488"/>
      <c r="I276" s="488"/>
      <c r="J276" s="488"/>
      <c r="K276" s="488"/>
      <c r="L276" s="488"/>
      <c r="M276" s="488"/>
      <c r="N276" s="488"/>
      <c r="O276" s="488"/>
      <c r="P276" s="488"/>
      <c r="Q276" s="488"/>
      <c r="R276" s="447"/>
      <c r="S276" s="483"/>
      <c r="T276" s="484"/>
      <c r="U276" s="483"/>
      <c r="V276" s="437"/>
      <c r="W276" s="437"/>
      <c r="X276" s="415"/>
    </row>
    <row r="277" spans="1:24" x14ac:dyDescent="0.3">
      <c r="A277" s="515"/>
      <c r="B277" s="523" t="s">
        <v>163</v>
      </c>
      <c r="C277" s="517"/>
      <c r="D277" s="517"/>
      <c r="E277" s="517"/>
      <c r="F277" s="517"/>
      <c r="G277" s="517"/>
      <c r="H277" s="536"/>
      <c r="I277" s="536"/>
      <c r="J277" s="536"/>
      <c r="K277" s="536"/>
      <c r="L277" s="536"/>
      <c r="M277" s="536"/>
      <c r="N277" s="536"/>
      <c r="O277" s="536"/>
      <c r="P277" s="536"/>
      <c r="Q277" s="536"/>
      <c r="R277" s="534" t="s">
        <v>102</v>
      </c>
      <c r="S277" s="524" t="s">
        <v>103</v>
      </c>
      <c r="T277" s="534" t="s">
        <v>109</v>
      </c>
      <c r="U277" s="524" t="s">
        <v>103</v>
      </c>
      <c r="V277" s="517"/>
      <c r="W277" s="520"/>
      <c r="X277" s="415"/>
    </row>
    <row r="278" spans="1:24" s="544" customFormat="1" x14ac:dyDescent="0.3">
      <c r="A278" s="540"/>
      <c r="B278" s="600" t="s">
        <v>88</v>
      </c>
      <c r="C278" s="588"/>
      <c r="D278" s="588"/>
      <c r="E278" s="588"/>
      <c r="F278" s="588"/>
      <c r="G278" s="588"/>
      <c r="H278" s="633"/>
      <c r="I278" s="633"/>
      <c r="J278" s="633"/>
      <c r="K278" s="633"/>
      <c r="L278" s="633"/>
      <c r="M278" s="633"/>
      <c r="N278" s="633"/>
      <c r="O278" s="633"/>
      <c r="P278" s="633"/>
      <c r="Q278" s="633"/>
      <c r="R278" s="600">
        <v>0</v>
      </c>
      <c r="S278" s="628">
        <v>0</v>
      </c>
      <c r="T278" s="601">
        <v>0</v>
      </c>
      <c r="U278" s="628">
        <v>0</v>
      </c>
      <c r="V278" s="588"/>
      <c r="W278" s="588"/>
      <c r="X278" s="543"/>
    </row>
    <row r="279" spans="1:24" s="544" customFormat="1" x14ac:dyDescent="0.3">
      <c r="A279" s="555"/>
      <c r="B279" s="598" t="s">
        <v>89</v>
      </c>
      <c r="C279" s="556"/>
      <c r="D279" s="556"/>
      <c r="E279" s="556"/>
      <c r="F279" s="556"/>
      <c r="G279" s="556"/>
      <c r="H279" s="632"/>
      <c r="I279" s="632"/>
      <c r="J279" s="632"/>
      <c r="K279" s="632"/>
      <c r="L279" s="632"/>
      <c r="M279" s="632"/>
      <c r="N279" s="632"/>
      <c r="O279" s="632"/>
      <c r="P279" s="632"/>
      <c r="Q279" s="632"/>
      <c r="R279" s="598">
        <v>0</v>
      </c>
      <c r="S279" s="631">
        <v>0</v>
      </c>
      <c r="T279" s="599">
        <v>0</v>
      </c>
      <c r="U279" s="631">
        <v>0</v>
      </c>
      <c r="V279" s="556"/>
      <c r="W279" s="558"/>
      <c r="X279" s="543"/>
    </row>
    <row r="280" spans="1:24" s="544" customFormat="1" x14ac:dyDescent="0.3">
      <c r="A280" s="555"/>
      <c r="B280" s="598" t="s">
        <v>90</v>
      </c>
      <c r="C280" s="556"/>
      <c r="D280" s="556"/>
      <c r="E280" s="556"/>
      <c r="F280" s="556"/>
      <c r="G280" s="556"/>
      <c r="H280" s="632"/>
      <c r="I280" s="632"/>
      <c r="J280" s="632"/>
      <c r="K280" s="632"/>
      <c r="L280" s="632"/>
      <c r="M280" s="632"/>
      <c r="N280" s="632"/>
      <c r="O280" s="632"/>
      <c r="P280" s="632"/>
      <c r="Q280" s="632"/>
      <c r="R280" s="598">
        <v>0</v>
      </c>
      <c r="S280" s="631">
        <v>0</v>
      </c>
      <c r="T280" s="599">
        <v>0</v>
      </c>
      <c r="U280" s="631">
        <v>0</v>
      </c>
      <c r="V280" s="556"/>
      <c r="W280" s="558"/>
      <c r="X280" s="543"/>
    </row>
    <row r="281" spans="1:24" s="544" customFormat="1" x14ac:dyDescent="0.3">
      <c r="A281" s="555"/>
      <c r="B281" s="598" t="s">
        <v>156</v>
      </c>
      <c r="C281" s="556"/>
      <c r="D281" s="556"/>
      <c r="E281" s="556"/>
      <c r="F281" s="556"/>
      <c r="G281" s="556"/>
      <c r="H281" s="632"/>
      <c r="I281" s="632"/>
      <c r="J281" s="632"/>
      <c r="K281" s="632"/>
      <c r="L281" s="632"/>
      <c r="M281" s="632"/>
      <c r="N281" s="632"/>
      <c r="O281" s="632"/>
      <c r="P281" s="632"/>
      <c r="Q281" s="632"/>
      <c r="R281" s="598">
        <v>0</v>
      </c>
      <c r="S281" s="631">
        <v>0</v>
      </c>
      <c r="T281" s="599">
        <v>0</v>
      </c>
      <c r="U281" s="631">
        <v>0</v>
      </c>
      <c r="V281" s="556"/>
      <c r="W281" s="558"/>
      <c r="X281" s="543"/>
    </row>
    <row r="282" spans="1:24" s="544" customFormat="1" x14ac:dyDescent="0.3">
      <c r="A282" s="555"/>
      <c r="B282" s="598" t="s">
        <v>157</v>
      </c>
      <c r="C282" s="556"/>
      <c r="D282" s="556"/>
      <c r="E282" s="556"/>
      <c r="F282" s="556"/>
      <c r="G282" s="556"/>
      <c r="H282" s="632"/>
      <c r="I282" s="632"/>
      <c r="J282" s="632"/>
      <c r="K282" s="632"/>
      <c r="L282" s="632"/>
      <c r="M282" s="632"/>
      <c r="N282" s="632"/>
      <c r="O282" s="632"/>
      <c r="P282" s="632"/>
      <c r="Q282" s="632"/>
      <c r="R282" s="598">
        <v>0</v>
      </c>
      <c r="S282" s="631">
        <v>0</v>
      </c>
      <c r="T282" s="599">
        <v>0</v>
      </c>
      <c r="U282" s="631">
        <v>0</v>
      </c>
      <c r="V282" s="556"/>
      <c r="W282" s="558"/>
      <c r="X282" s="543"/>
    </row>
    <row r="283" spans="1:24" s="544" customFormat="1" x14ac:dyDescent="0.3">
      <c r="A283" s="555"/>
      <c r="B283" s="598" t="s">
        <v>158</v>
      </c>
      <c r="C283" s="556"/>
      <c r="D283" s="556"/>
      <c r="E283" s="556"/>
      <c r="F283" s="556"/>
      <c r="G283" s="556"/>
      <c r="H283" s="632"/>
      <c r="I283" s="632"/>
      <c r="J283" s="632"/>
      <c r="K283" s="632"/>
      <c r="L283" s="632"/>
      <c r="M283" s="632"/>
      <c r="N283" s="632"/>
      <c r="O283" s="632"/>
      <c r="P283" s="632"/>
      <c r="Q283" s="632"/>
      <c r="R283" s="598">
        <v>0</v>
      </c>
      <c r="S283" s="631">
        <v>0</v>
      </c>
      <c r="T283" s="599">
        <v>0</v>
      </c>
      <c r="U283" s="631">
        <v>0</v>
      </c>
      <c r="V283" s="556"/>
      <c r="W283" s="558"/>
      <c r="X283" s="543"/>
    </row>
    <row r="284" spans="1:24" s="544" customFormat="1" x14ac:dyDescent="0.3">
      <c r="A284" s="555"/>
      <c r="B284" s="598" t="s">
        <v>159</v>
      </c>
      <c r="C284" s="556"/>
      <c r="D284" s="556"/>
      <c r="E284" s="556"/>
      <c r="F284" s="556"/>
      <c r="G284" s="556"/>
      <c r="H284" s="632"/>
      <c r="I284" s="632"/>
      <c r="J284" s="632"/>
      <c r="K284" s="632"/>
      <c r="L284" s="632"/>
      <c r="M284" s="632"/>
      <c r="N284" s="632"/>
      <c r="O284" s="632"/>
      <c r="P284" s="632"/>
      <c r="Q284" s="632"/>
      <c r="R284" s="598">
        <v>0</v>
      </c>
      <c r="S284" s="631">
        <v>0</v>
      </c>
      <c r="T284" s="599">
        <v>0</v>
      </c>
      <c r="U284" s="631">
        <v>0</v>
      </c>
      <c r="V284" s="556"/>
      <c r="W284" s="558"/>
      <c r="X284" s="543"/>
    </row>
    <row r="285" spans="1:24" s="544" customFormat="1" x14ac:dyDescent="0.3">
      <c r="A285" s="555"/>
      <c r="B285" s="598" t="s">
        <v>160</v>
      </c>
      <c r="C285" s="556"/>
      <c r="D285" s="556"/>
      <c r="E285" s="556"/>
      <c r="F285" s="556"/>
      <c r="G285" s="556"/>
      <c r="H285" s="632"/>
      <c r="I285" s="632"/>
      <c r="J285" s="632"/>
      <c r="K285" s="632"/>
      <c r="L285" s="632"/>
      <c r="M285" s="632"/>
      <c r="N285" s="632"/>
      <c r="O285" s="632"/>
      <c r="P285" s="632"/>
      <c r="Q285" s="632"/>
      <c r="R285" s="598">
        <v>0</v>
      </c>
      <c r="S285" s="631">
        <v>0</v>
      </c>
      <c r="T285" s="599">
        <v>0</v>
      </c>
      <c r="U285" s="631">
        <v>0</v>
      </c>
      <c r="V285" s="556"/>
      <c r="W285" s="558"/>
      <c r="X285" s="543"/>
    </row>
    <row r="286" spans="1:24" s="544" customFormat="1" x14ac:dyDescent="0.3">
      <c r="A286" s="555"/>
      <c r="B286" s="598"/>
      <c r="C286" s="556"/>
      <c r="D286" s="556"/>
      <c r="E286" s="556"/>
      <c r="F286" s="556"/>
      <c r="G286" s="556"/>
      <c r="H286" s="632"/>
      <c r="I286" s="632"/>
      <c r="J286" s="632"/>
      <c r="K286" s="632"/>
      <c r="L286" s="632"/>
      <c r="M286" s="632"/>
      <c r="N286" s="632"/>
      <c r="O286" s="632"/>
      <c r="P286" s="632"/>
      <c r="Q286" s="632"/>
      <c r="R286" s="598"/>
      <c r="S286" s="631"/>
      <c r="T286" s="599"/>
      <c r="U286" s="631"/>
      <c r="V286" s="556"/>
      <c r="W286" s="558"/>
      <c r="X286" s="543"/>
    </row>
    <row r="287" spans="1:24" s="544" customFormat="1" x14ac:dyDescent="0.3">
      <c r="A287" s="555"/>
      <c r="B287" s="556" t="s">
        <v>114</v>
      </c>
      <c r="C287" s="556"/>
      <c r="D287" s="556"/>
      <c r="E287" s="556"/>
      <c r="F287" s="556"/>
      <c r="G287" s="556"/>
      <c r="H287" s="632"/>
      <c r="I287" s="632"/>
      <c r="J287" s="632"/>
      <c r="K287" s="632"/>
      <c r="L287" s="632"/>
      <c r="M287" s="632"/>
      <c r="N287" s="632"/>
      <c r="O287" s="632"/>
      <c r="P287" s="632"/>
      <c r="Q287" s="632"/>
      <c r="R287" s="598">
        <f>SUM(R278:R285)</f>
        <v>0</v>
      </c>
      <c r="S287" s="631">
        <f>SUM(S278:S286)</f>
        <v>0</v>
      </c>
      <c r="T287" s="599">
        <f>SUM(T278:T285)</f>
        <v>0</v>
      </c>
      <c r="U287" s="631">
        <f>SUM(U278:U286)</f>
        <v>0</v>
      </c>
      <c r="V287" s="556"/>
      <c r="W287" s="558"/>
      <c r="X287" s="543"/>
    </row>
    <row r="288" spans="1:24" s="544" customFormat="1" x14ac:dyDescent="0.3">
      <c r="A288" s="555"/>
      <c r="B288" s="556"/>
      <c r="C288" s="556"/>
      <c r="D288" s="556"/>
      <c r="E288" s="556"/>
      <c r="F288" s="556"/>
      <c r="G288" s="556"/>
      <c r="H288" s="632"/>
      <c r="I288" s="632"/>
      <c r="J288" s="632"/>
      <c r="K288" s="632"/>
      <c r="L288" s="632"/>
      <c r="M288" s="632"/>
      <c r="N288" s="632"/>
      <c r="O288" s="632"/>
      <c r="P288" s="632"/>
      <c r="Q288" s="632"/>
      <c r="R288" s="598"/>
      <c r="S288" s="631"/>
      <c r="T288" s="599"/>
      <c r="U288" s="631"/>
      <c r="V288" s="556"/>
      <c r="W288" s="558"/>
      <c r="X288" s="543"/>
    </row>
    <row r="289" spans="1:24" s="544" customFormat="1" x14ac:dyDescent="0.3">
      <c r="A289" s="555"/>
      <c r="B289" s="561" t="s">
        <v>164</v>
      </c>
      <c r="C289" s="556"/>
      <c r="D289" s="556"/>
      <c r="E289" s="556"/>
      <c r="F289" s="556"/>
      <c r="G289" s="556"/>
      <c r="H289" s="632"/>
      <c r="I289" s="632"/>
      <c r="J289" s="632"/>
      <c r="K289" s="632"/>
      <c r="L289" s="632"/>
      <c r="M289" s="632"/>
      <c r="N289" s="632"/>
      <c r="O289" s="632"/>
      <c r="P289" s="632"/>
      <c r="Q289" s="632"/>
      <c r="R289" s="634">
        <f>R287+R275+R263</f>
        <v>5766</v>
      </c>
      <c r="S289" s="631"/>
      <c r="T289" s="635">
        <f>+T287+T275+T263</f>
        <v>785811</v>
      </c>
      <c r="U289" s="631"/>
      <c r="V289" s="556"/>
      <c r="W289" s="558"/>
      <c r="X289" s="543"/>
    </row>
    <row r="290" spans="1:24" s="544" customFormat="1" x14ac:dyDescent="0.3">
      <c r="A290" s="540"/>
      <c r="B290" s="588"/>
      <c r="C290" s="588"/>
      <c r="D290" s="588"/>
      <c r="E290" s="588"/>
      <c r="F290" s="588"/>
      <c r="G290" s="588"/>
      <c r="H290" s="633"/>
      <c r="I290" s="633"/>
      <c r="J290" s="633"/>
      <c r="K290" s="633"/>
      <c r="L290" s="633"/>
      <c r="M290" s="633"/>
      <c r="N290" s="633"/>
      <c r="O290" s="633"/>
      <c r="P290" s="633"/>
      <c r="Q290" s="633"/>
      <c r="R290" s="633"/>
      <c r="S290" s="633"/>
      <c r="T290" s="601"/>
      <c r="U290" s="633"/>
      <c r="V290" s="588"/>
      <c r="W290" s="588"/>
      <c r="X290" s="543"/>
    </row>
    <row r="291" spans="1:24" s="544" customFormat="1" x14ac:dyDescent="0.3">
      <c r="A291" s="540"/>
      <c r="B291" s="541"/>
      <c r="C291" s="541"/>
      <c r="D291" s="541"/>
      <c r="E291" s="541"/>
      <c r="F291" s="541"/>
      <c r="G291" s="541"/>
      <c r="H291" s="636"/>
      <c r="I291" s="636"/>
      <c r="J291" s="636"/>
      <c r="K291" s="636"/>
      <c r="L291" s="636"/>
      <c r="M291" s="636"/>
      <c r="N291" s="636"/>
      <c r="O291" s="636"/>
      <c r="P291" s="636"/>
      <c r="Q291" s="636"/>
      <c r="R291" s="636"/>
      <c r="S291" s="636"/>
      <c r="T291" s="637"/>
      <c r="U291" s="636"/>
      <c r="V291" s="541"/>
      <c r="W291" s="541"/>
      <c r="X291" s="543"/>
    </row>
    <row r="292" spans="1:24" s="544" customFormat="1" x14ac:dyDescent="0.3">
      <c r="A292" s="540"/>
      <c r="B292" s="539" t="s">
        <v>91</v>
      </c>
      <c r="C292" s="541"/>
      <c r="D292" s="541"/>
      <c r="E292" s="541"/>
      <c r="F292" s="547" t="s">
        <v>97</v>
      </c>
      <c r="G292" s="541"/>
      <c r="H292" s="539" t="s">
        <v>99</v>
      </c>
      <c r="I292" s="539"/>
      <c r="J292" s="539"/>
      <c r="K292" s="541"/>
      <c r="L292" s="541"/>
      <c r="M292" s="541"/>
      <c r="N292" s="541"/>
      <c r="O292" s="541"/>
      <c r="P292" s="541"/>
      <c r="Q292" s="541"/>
      <c r="R292" s="541"/>
      <c r="S292" s="541"/>
      <c r="T292" s="541"/>
      <c r="U292" s="541"/>
      <c r="V292" s="541"/>
      <c r="W292" s="541"/>
      <c r="X292" s="543"/>
    </row>
    <row r="293" spans="1:24" s="544" customFormat="1" x14ac:dyDescent="0.3">
      <c r="A293" s="540"/>
      <c r="B293" s="539" t="s">
        <v>339</v>
      </c>
      <c r="C293" s="539"/>
      <c r="D293" s="539"/>
      <c r="E293" s="539"/>
      <c r="F293" s="638" t="s">
        <v>278</v>
      </c>
      <c r="G293" s="539"/>
      <c r="H293" s="639" t="s">
        <v>372</v>
      </c>
      <c r="I293" s="541"/>
      <c r="J293" s="539"/>
      <c r="K293" s="541"/>
      <c r="L293" s="541"/>
      <c r="M293" s="541"/>
      <c r="N293" s="541"/>
      <c r="O293" s="541"/>
      <c r="P293" s="541"/>
      <c r="Q293" s="541"/>
      <c r="R293" s="541"/>
      <c r="S293" s="541"/>
      <c r="T293" s="541"/>
      <c r="U293" s="541"/>
      <c r="V293" s="541"/>
      <c r="W293" s="541"/>
      <c r="X293" s="543"/>
    </row>
    <row r="294" spans="1:24" s="544" customFormat="1" x14ac:dyDescent="0.3">
      <c r="A294" s="540"/>
      <c r="B294" s="539" t="s">
        <v>340</v>
      </c>
      <c r="C294" s="539"/>
      <c r="D294" s="539"/>
      <c r="E294" s="539"/>
      <c r="F294" s="638" t="s">
        <v>147</v>
      </c>
      <c r="G294" s="539"/>
      <c r="H294" s="639" t="s">
        <v>373</v>
      </c>
      <c r="I294" s="539"/>
      <c r="J294" s="539"/>
      <c r="K294" s="541"/>
      <c r="L294" s="541"/>
      <c r="M294" s="541"/>
      <c r="N294" s="541"/>
      <c r="O294" s="541"/>
      <c r="P294" s="541"/>
      <c r="Q294" s="541"/>
      <c r="R294" s="541"/>
      <c r="S294" s="541"/>
      <c r="T294" s="541"/>
      <c r="U294" s="541"/>
      <c r="V294" s="541"/>
      <c r="W294" s="541"/>
      <c r="X294" s="543"/>
    </row>
    <row r="295" spans="1:24" s="544" customFormat="1" x14ac:dyDescent="0.3">
      <c r="A295" s="540"/>
      <c r="B295" s="539"/>
      <c r="C295" s="539"/>
      <c r="D295" s="539"/>
      <c r="E295" s="539"/>
      <c r="F295" s="638"/>
      <c r="G295" s="539"/>
      <c r="H295" s="539"/>
      <c r="I295" s="539"/>
      <c r="J295" s="539"/>
      <c r="K295" s="541"/>
      <c r="L295" s="541"/>
      <c r="M295" s="541"/>
      <c r="N295" s="541"/>
      <c r="O295" s="541"/>
      <c r="P295" s="541"/>
      <c r="Q295" s="541"/>
      <c r="R295" s="541"/>
      <c r="S295" s="541"/>
      <c r="T295" s="541"/>
      <c r="U295" s="541"/>
      <c r="V295" s="541"/>
      <c r="W295" s="541"/>
      <c r="X295" s="543"/>
    </row>
    <row r="296" spans="1:24" s="544" customFormat="1" x14ac:dyDescent="0.3">
      <c r="A296" s="540"/>
      <c r="B296" s="588" t="s">
        <v>368</v>
      </c>
      <c r="C296" s="539"/>
      <c r="D296" s="539"/>
      <c r="E296" s="539"/>
      <c r="F296" s="638"/>
      <c r="G296" s="539"/>
      <c r="H296" s="539"/>
      <c r="I296" s="539"/>
      <c r="J296" s="539"/>
      <c r="K296" s="541"/>
      <c r="L296" s="541"/>
      <c r="M296" s="541"/>
      <c r="N296" s="541"/>
      <c r="O296" s="541"/>
      <c r="P296" s="541"/>
      <c r="Q296" s="541"/>
      <c r="R296" s="541"/>
      <c r="S296" s="541"/>
      <c r="T296" s="541"/>
      <c r="U296" s="541"/>
      <c r="V296" s="541"/>
      <c r="W296" s="541"/>
      <c r="X296" s="543"/>
    </row>
    <row r="297" spans="1:24" s="544" customFormat="1" x14ac:dyDescent="0.3">
      <c r="A297" s="540"/>
      <c r="B297" s="588" t="s">
        <v>374</v>
      </c>
      <c r="C297" s="539"/>
      <c r="D297" s="539"/>
      <c r="E297" s="539"/>
      <c r="F297" s="638"/>
      <c r="G297" s="539"/>
      <c r="H297" s="539"/>
      <c r="I297" s="539"/>
      <c r="J297" s="539"/>
      <c r="K297" s="541"/>
      <c r="L297" s="541"/>
      <c r="M297" s="541"/>
      <c r="N297" s="541"/>
      <c r="O297" s="541"/>
      <c r="P297" s="541"/>
      <c r="Q297" s="541"/>
      <c r="R297" s="541"/>
      <c r="S297" s="541"/>
      <c r="T297" s="541"/>
      <c r="U297" s="541"/>
      <c r="V297" s="541"/>
      <c r="W297" s="541"/>
      <c r="X297" s="543"/>
    </row>
    <row r="298" spans="1:24" s="544" customFormat="1" x14ac:dyDescent="0.3">
      <c r="A298" s="540"/>
      <c r="B298" s="588" t="s">
        <v>365</v>
      </c>
      <c r="C298" s="539"/>
      <c r="D298" s="539"/>
      <c r="E298" s="539"/>
      <c r="F298" s="638"/>
      <c r="G298" s="539"/>
      <c r="H298" s="539"/>
      <c r="I298" s="539"/>
      <c r="J298" s="539"/>
      <c r="K298" s="541"/>
      <c r="L298" s="541"/>
      <c r="M298" s="541"/>
      <c r="N298" s="541"/>
      <c r="O298" s="541"/>
      <c r="P298" s="541"/>
      <c r="Q298" s="541"/>
      <c r="R298" s="541"/>
      <c r="S298" s="541"/>
      <c r="T298" s="541"/>
      <c r="U298" s="541"/>
      <c r="V298" s="541"/>
      <c r="W298" s="541"/>
      <c r="X298" s="543"/>
    </row>
    <row r="299" spans="1:24" s="544" customFormat="1" x14ac:dyDescent="0.3">
      <c r="A299" s="540"/>
      <c r="B299" s="588" t="s">
        <v>366</v>
      </c>
      <c r="C299" s="539"/>
      <c r="D299" s="539"/>
      <c r="E299" s="539"/>
      <c r="F299" s="638"/>
      <c r="G299" s="539"/>
      <c r="H299" s="539"/>
      <c r="I299" s="539"/>
      <c r="J299" s="539"/>
      <c r="K299" s="541"/>
      <c r="L299" s="541"/>
      <c r="M299" s="541"/>
      <c r="N299" s="541"/>
      <c r="O299" s="541"/>
      <c r="P299" s="541"/>
      <c r="Q299" s="541"/>
      <c r="R299" s="541"/>
      <c r="S299" s="541"/>
      <c r="T299" s="541"/>
      <c r="U299" s="541"/>
      <c r="V299" s="541"/>
      <c r="W299" s="541"/>
      <c r="X299" s="543"/>
    </row>
    <row r="300" spans="1:24" x14ac:dyDescent="0.3">
      <c r="A300" s="417"/>
      <c r="B300" s="426"/>
      <c r="C300" s="426"/>
      <c r="D300" s="426"/>
      <c r="E300" s="426"/>
      <c r="F300" s="489"/>
      <c r="G300" s="426"/>
      <c r="H300" s="426"/>
      <c r="I300" s="426"/>
      <c r="J300" s="426"/>
      <c r="K300" s="427"/>
      <c r="L300" s="427"/>
      <c r="M300" s="427"/>
      <c r="N300" s="427"/>
      <c r="O300" s="427"/>
      <c r="P300" s="427"/>
      <c r="Q300" s="427"/>
      <c r="R300" s="427"/>
      <c r="S300" s="427"/>
      <c r="T300" s="427"/>
      <c r="U300" s="427"/>
      <c r="V300" s="427"/>
      <c r="W300" s="427"/>
      <c r="X300" s="415"/>
    </row>
    <row r="301" spans="1:24" ht="18" x14ac:dyDescent="0.35">
      <c r="A301" s="417"/>
      <c r="B301" s="514" t="s">
        <v>369</v>
      </c>
      <c r="C301" s="426"/>
      <c r="D301" s="426"/>
      <c r="E301" s="426"/>
      <c r="F301" s="426"/>
      <c r="G301" s="426"/>
      <c r="H301" s="427"/>
      <c r="I301" s="427"/>
      <c r="J301" s="427"/>
      <c r="K301" s="427"/>
      <c r="L301" s="419"/>
      <c r="M301" s="419"/>
      <c r="N301" s="490"/>
      <c r="O301" s="419"/>
      <c r="P301" s="412" t="s">
        <v>371</v>
      </c>
      <c r="Q301" s="427"/>
      <c r="R301" s="427"/>
      <c r="S301" s="427"/>
      <c r="T301" s="427"/>
      <c r="U301" s="427"/>
      <c r="V301" s="427"/>
      <c r="W301" s="427"/>
      <c r="X301" s="415"/>
    </row>
    <row r="302" spans="1:24" x14ac:dyDescent="0.3">
      <c r="A302" s="417"/>
      <c r="B302" s="426"/>
      <c r="C302" s="426"/>
      <c r="D302" s="426"/>
      <c r="E302" s="426"/>
      <c r="F302" s="426"/>
      <c r="G302" s="426"/>
      <c r="H302" s="427"/>
      <c r="I302" s="427"/>
      <c r="J302" s="427"/>
      <c r="K302" s="427"/>
      <c r="L302" s="427"/>
      <c r="M302" s="427"/>
      <c r="N302" s="427"/>
      <c r="O302" s="427"/>
      <c r="P302" s="427"/>
      <c r="Q302" s="427"/>
      <c r="R302" s="427"/>
      <c r="S302" s="427"/>
      <c r="T302" s="427"/>
      <c r="U302" s="427"/>
      <c r="V302" s="427"/>
      <c r="W302" s="427"/>
      <c r="X302" s="415"/>
    </row>
    <row r="303" spans="1:24" ht="18.600000000000001" thickBot="1" x14ac:dyDescent="0.4">
      <c r="A303" s="417"/>
      <c r="B303" s="640" t="str">
        <f>B203</f>
        <v>PM14 INVESTOR REPORT QUARTER ENDING FEBRUARY 2019</v>
      </c>
      <c r="C303" s="426"/>
      <c r="D303" s="426"/>
      <c r="E303" s="426"/>
      <c r="F303" s="426"/>
      <c r="G303" s="426"/>
      <c r="H303" s="427"/>
      <c r="I303" s="427"/>
      <c r="J303" s="427"/>
      <c r="K303" s="427"/>
      <c r="L303" s="427"/>
      <c r="M303" s="427"/>
      <c r="N303" s="427"/>
      <c r="O303" s="427"/>
      <c r="P303" s="427"/>
      <c r="Q303" s="427"/>
      <c r="R303" s="427"/>
      <c r="S303" s="427"/>
      <c r="T303" s="427"/>
      <c r="U303" s="427"/>
      <c r="V303" s="427"/>
      <c r="W303" s="427"/>
      <c r="X303" s="415"/>
    </row>
    <row r="304" spans="1:24" x14ac:dyDescent="0.3">
      <c r="A304" s="491"/>
      <c r="B304" s="491"/>
      <c r="C304" s="491"/>
      <c r="D304" s="491"/>
      <c r="E304" s="491"/>
      <c r="F304" s="491"/>
      <c r="G304" s="491"/>
      <c r="H304" s="491"/>
      <c r="I304" s="491"/>
      <c r="J304" s="491"/>
      <c r="K304" s="491"/>
      <c r="L304" s="491"/>
      <c r="M304" s="491"/>
      <c r="N304" s="491"/>
      <c r="O304" s="491"/>
      <c r="P304" s="491"/>
      <c r="Q304" s="491"/>
      <c r="R304" s="491"/>
      <c r="S304" s="491"/>
      <c r="T304" s="491"/>
      <c r="U304" s="491"/>
      <c r="V304" s="491"/>
      <c r="W304" s="491"/>
    </row>
  </sheetData>
  <hyperlinks>
    <hyperlink ref="I9" r:id="rId1" xr:uid="{00000000-0004-0000-2E00-000000000000}"/>
    <hyperlink ref="P239" r:id="rId2" xr:uid="{00000000-0004-0000-2E00-000001000000}"/>
    <hyperlink ref="P301" r:id="rId3" xr:uid="{00000000-0004-0000-2E00-000002000000}"/>
  </hyperlinks>
  <printOptions horizontalCentered="1" verticalCentered="1"/>
  <pageMargins left="0.19685039370078741" right="0.19685039370078741" top="0.27559055118110237" bottom="0.27559055118110237" header="0" footer="0"/>
  <pageSetup scale="37" orientation="landscape" r:id="rId4"/>
  <headerFooter alignWithMargins="0"/>
  <rowBreaks count="3" manualBreakCount="3">
    <brk id="63" max="23" man="1"/>
    <brk id="137" max="14" man="1"/>
    <brk id="203" max="14" man="1"/>
  </rowBreaks>
  <drawing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89CB31"/>
  </sheetPr>
  <dimension ref="A1:IV304"/>
  <sheetViews>
    <sheetView showGridLines="0" showOutlineSymbols="0" zoomScale="70" zoomScaleNormal="70" workbookViewId="0"/>
  </sheetViews>
  <sheetFormatPr defaultColWidth="9.81640625" defaultRowHeight="15.6" x14ac:dyDescent="0.3"/>
  <cols>
    <col min="1" max="1" width="4" style="416" customWidth="1"/>
    <col min="2" max="2" width="71.08984375" style="416" customWidth="1"/>
    <col min="3" max="3" width="2.08984375" style="416" customWidth="1"/>
    <col min="4" max="4" width="19.1796875" style="416" customWidth="1"/>
    <col min="5" max="5" width="2.08984375" style="416" customWidth="1"/>
    <col min="6" max="6" width="25.08984375" style="416" customWidth="1"/>
    <col min="7" max="7" width="2.08984375" style="416" customWidth="1"/>
    <col min="8" max="8" width="16.08984375" style="416" customWidth="1"/>
    <col min="9" max="9" width="2.81640625" style="416" customWidth="1"/>
    <col min="10" max="10" width="16.08984375" style="416" customWidth="1"/>
    <col min="11" max="11" width="2.08984375" style="416" customWidth="1"/>
    <col min="12" max="12" width="17.81640625" style="416" customWidth="1"/>
    <col min="13" max="13" width="2.1796875" style="416" customWidth="1"/>
    <col min="14" max="14" width="14.81640625" style="416" customWidth="1"/>
    <col min="15" max="15" width="2.1796875" style="416" customWidth="1"/>
    <col min="16" max="16" width="15.54296875" style="416" customWidth="1"/>
    <col min="17" max="17" width="2.08984375" style="416" customWidth="1"/>
    <col min="18" max="18" width="15.54296875" style="416" customWidth="1"/>
    <col min="19" max="20" width="12.81640625" style="416" customWidth="1"/>
    <col min="21" max="21" width="7.81640625" style="416" customWidth="1"/>
    <col min="22" max="22" width="14.81640625" style="416" customWidth="1"/>
    <col min="23" max="23" width="11.81640625" style="416" customWidth="1"/>
    <col min="24" max="16384" width="9.81640625" style="416"/>
  </cols>
  <sheetData>
    <row r="1" spans="1:24" ht="21" x14ac:dyDescent="0.4">
      <c r="A1" s="413"/>
      <c r="B1" s="537" t="s">
        <v>244</v>
      </c>
      <c r="C1" s="414"/>
      <c r="D1" s="414"/>
      <c r="E1" s="414"/>
      <c r="F1" s="414"/>
      <c r="G1" s="414"/>
      <c r="H1" s="414"/>
      <c r="I1" s="414"/>
      <c r="J1" s="414"/>
      <c r="K1" s="414"/>
      <c r="L1" s="414"/>
      <c r="M1" s="414"/>
      <c r="N1" s="414"/>
      <c r="O1" s="414"/>
      <c r="P1" s="414"/>
      <c r="Q1" s="414"/>
      <c r="R1" s="414"/>
      <c r="S1" s="414"/>
      <c r="T1" s="414"/>
      <c r="U1" s="414"/>
      <c r="V1" s="414"/>
      <c r="W1" s="414"/>
      <c r="X1" s="415"/>
    </row>
    <row r="2" spans="1:24" x14ac:dyDescent="0.3">
      <c r="A2" s="417"/>
      <c r="B2" s="418"/>
      <c r="C2" s="419"/>
      <c r="D2" s="419"/>
      <c r="E2" s="419"/>
      <c r="F2" s="419"/>
      <c r="G2" s="419"/>
      <c r="H2" s="419"/>
      <c r="I2" s="419"/>
      <c r="J2" s="419"/>
      <c r="K2" s="419"/>
      <c r="L2" s="419"/>
      <c r="M2" s="419"/>
      <c r="N2" s="419"/>
      <c r="O2" s="419"/>
      <c r="P2" s="419"/>
      <c r="Q2" s="419"/>
      <c r="R2" s="419"/>
      <c r="S2" s="419"/>
      <c r="T2" s="419"/>
      <c r="U2" s="419"/>
      <c r="V2" s="419"/>
      <c r="W2" s="419"/>
      <c r="X2" s="415"/>
    </row>
    <row r="3" spans="1:24" x14ac:dyDescent="0.3">
      <c r="A3" s="420"/>
      <c r="B3" s="421" t="s">
        <v>245</v>
      </c>
      <c r="C3" s="419"/>
      <c r="D3" s="419"/>
      <c r="E3" s="419"/>
      <c r="F3" s="419"/>
      <c r="G3" s="419"/>
      <c r="H3" s="419"/>
      <c r="I3" s="419"/>
      <c r="J3" s="419"/>
      <c r="K3" s="419"/>
      <c r="L3" s="419"/>
      <c r="M3" s="419"/>
      <c r="N3" s="419"/>
      <c r="O3" s="419"/>
      <c r="P3" s="419"/>
      <c r="Q3" s="419"/>
      <c r="R3" s="419"/>
      <c r="S3" s="419"/>
      <c r="T3" s="419"/>
      <c r="U3" s="419"/>
      <c r="V3" s="419"/>
      <c r="W3" s="419"/>
      <c r="X3" s="415"/>
    </row>
    <row r="4" spans="1:24" x14ac:dyDescent="0.3">
      <c r="A4" s="417"/>
      <c r="B4" s="418"/>
      <c r="C4" s="419"/>
      <c r="D4" s="419"/>
      <c r="E4" s="419"/>
      <c r="F4" s="419"/>
      <c r="G4" s="419"/>
      <c r="H4" s="419"/>
      <c r="I4" s="419"/>
      <c r="J4" s="419"/>
      <c r="K4" s="419"/>
      <c r="L4" s="419"/>
      <c r="M4" s="419"/>
      <c r="N4" s="419"/>
      <c r="O4" s="419"/>
      <c r="P4" s="419"/>
      <c r="Q4" s="419"/>
      <c r="R4" s="419"/>
      <c r="S4" s="419"/>
      <c r="T4" s="419"/>
      <c r="U4" s="419"/>
      <c r="V4" s="419"/>
      <c r="W4" s="419"/>
      <c r="X4" s="415"/>
    </row>
    <row r="5" spans="1:24" x14ac:dyDescent="0.3">
      <c r="A5" s="417"/>
      <c r="B5" s="538" t="s">
        <v>137</v>
      </c>
      <c r="C5" s="419"/>
      <c r="D5" s="419"/>
      <c r="E5" s="419"/>
      <c r="F5" s="419"/>
      <c r="G5" s="419"/>
      <c r="H5" s="419"/>
      <c r="I5" s="419"/>
      <c r="J5" s="419"/>
      <c r="K5" s="419"/>
      <c r="L5" s="419"/>
      <c r="M5" s="419"/>
      <c r="N5" s="419"/>
      <c r="O5" s="419"/>
      <c r="P5" s="419"/>
      <c r="Q5" s="419"/>
      <c r="R5" s="419"/>
      <c r="S5" s="419"/>
      <c r="T5" s="419"/>
      <c r="U5" s="419"/>
      <c r="V5" s="419"/>
      <c r="W5" s="419"/>
      <c r="X5" s="415"/>
    </row>
    <row r="6" spans="1:24" x14ac:dyDescent="0.3">
      <c r="A6" s="417"/>
      <c r="B6" s="538" t="s">
        <v>139</v>
      </c>
      <c r="C6" s="419"/>
      <c r="D6" s="419"/>
      <c r="E6" s="419"/>
      <c r="F6" s="419"/>
      <c r="G6" s="419"/>
      <c r="H6" s="419"/>
      <c r="I6" s="419"/>
      <c r="J6" s="419"/>
      <c r="K6" s="419"/>
      <c r="L6" s="419"/>
      <c r="M6" s="419"/>
      <c r="N6" s="419"/>
      <c r="O6" s="419"/>
      <c r="P6" s="419"/>
      <c r="Q6" s="419"/>
      <c r="R6" s="419"/>
      <c r="S6" s="419"/>
      <c r="T6" s="419"/>
      <c r="U6" s="419"/>
      <c r="V6" s="419"/>
      <c r="W6" s="419"/>
      <c r="X6" s="415"/>
    </row>
    <row r="7" spans="1:24" x14ac:dyDescent="0.3">
      <c r="A7" s="417"/>
      <c r="B7" s="538" t="s">
        <v>138</v>
      </c>
      <c r="C7" s="419"/>
      <c r="D7" s="419"/>
      <c r="E7" s="419"/>
      <c r="F7" s="419"/>
      <c r="G7" s="419"/>
      <c r="H7" s="419"/>
      <c r="I7" s="419"/>
      <c r="J7" s="419"/>
      <c r="K7" s="419"/>
      <c r="L7" s="419"/>
      <c r="M7" s="419"/>
      <c r="N7" s="419"/>
      <c r="O7" s="419"/>
      <c r="P7" s="419"/>
      <c r="Q7" s="419"/>
      <c r="R7" s="419"/>
      <c r="S7" s="419"/>
      <c r="T7" s="419"/>
      <c r="U7" s="419"/>
      <c r="V7" s="419"/>
      <c r="W7" s="419"/>
      <c r="X7" s="415"/>
    </row>
    <row r="8" spans="1:24" x14ac:dyDescent="0.3">
      <c r="A8" s="417"/>
      <c r="B8" s="422"/>
      <c r="C8" s="419"/>
      <c r="D8" s="419"/>
      <c r="E8" s="419"/>
      <c r="F8" s="419"/>
      <c r="G8" s="419"/>
      <c r="H8" s="419"/>
      <c r="I8" s="419"/>
      <c r="J8" s="419"/>
      <c r="K8" s="419"/>
      <c r="L8" s="419"/>
      <c r="M8" s="419"/>
      <c r="N8" s="419"/>
      <c r="O8" s="419"/>
      <c r="P8" s="419"/>
      <c r="Q8" s="419"/>
      <c r="R8" s="419"/>
      <c r="S8" s="419"/>
      <c r="T8" s="419"/>
      <c r="U8" s="419"/>
      <c r="V8" s="419"/>
      <c r="W8" s="419"/>
      <c r="X8" s="415"/>
    </row>
    <row r="9" spans="1:24" ht="18" x14ac:dyDescent="0.35">
      <c r="A9" s="417"/>
      <c r="B9" s="423" t="s">
        <v>166</v>
      </c>
      <c r="C9" s="419"/>
      <c r="D9" s="419"/>
      <c r="E9" s="419"/>
      <c r="F9" s="419"/>
      <c r="G9" s="419"/>
      <c r="H9" s="419"/>
      <c r="I9" s="412" t="s">
        <v>371</v>
      </c>
      <c r="J9" s="419"/>
      <c r="K9" s="419"/>
      <c r="L9" s="424"/>
      <c r="M9" s="419"/>
      <c r="N9" s="424"/>
      <c r="O9" s="419"/>
      <c r="P9" s="419"/>
      <c r="Q9" s="419"/>
      <c r="R9" s="419"/>
      <c r="S9" s="419"/>
      <c r="T9" s="419"/>
      <c r="U9" s="419"/>
      <c r="V9" s="419"/>
      <c r="W9" s="419"/>
      <c r="X9" s="415"/>
    </row>
    <row r="10" spans="1:24" x14ac:dyDescent="0.3">
      <c r="A10" s="417"/>
      <c r="B10" s="422"/>
      <c r="C10" s="425"/>
      <c r="D10" s="425"/>
      <c r="E10" s="425"/>
      <c r="F10" s="419"/>
      <c r="G10" s="419"/>
      <c r="H10" s="419"/>
      <c r="I10" s="419"/>
      <c r="J10" s="419"/>
      <c r="K10" s="419"/>
      <c r="L10" s="419"/>
      <c r="M10" s="419"/>
      <c r="N10" s="419"/>
      <c r="O10" s="419"/>
      <c r="P10" s="419"/>
      <c r="Q10" s="419"/>
      <c r="R10" s="419"/>
      <c r="S10" s="419"/>
      <c r="T10" s="419"/>
      <c r="U10" s="419"/>
      <c r="V10" s="419"/>
      <c r="W10" s="419"/>
      <c r="X10" s="415"/>
    </row>
    <row r="11" spans="1:24" x14ac:dyDescent="0.3">
      <c r="A11" s="417"/>
      <c r="B11" s="539" t="s">
        <v>0</v>
      </c>
      <c r="C11" s="419"/>
      <c r="D11" s="419"/>
      <c r="E11" s="419"/>
      <c r="F11" s="419"/>
      <c r="G11" s="419"/>
      <c r="H11" s="419"/>
      <c r="I11" s="419"/>
      <c r="J11" s="419"/>
      <c r="K11" s="419"/>
      <c r="L11" s="419"/>
      <c r="M11" s="419"/>
      <c r="N11" s="419"/>
      <c r="O11" s="419"/>
      <c r="P11" s="419"/>
      <c r="Q11" s="419"/>
      <c r="R11" s="419"/>
      <c r="S11" s="419"/>
      <c r="T11" s="419"/>
      <c r="U11" s="419"/>
      <c r="V11" s="419"/>
      <c r="W11" s="419"/>
      <c r="X11" s="415"/>
    </row>
    <row r="12" spans="1:24" ht="16.2" thickBot="1" x14ac:dyDescent="0.35">
      <c r="A12" s="417"/>
      <c r="B12" s="425"/>
      <c r="C12" s="419"/>
      <c r="D12" s="419"/>
      <c r="E12" s="419"/>
      <c r="F12" s="419"/>
      <c r="G12" s="419"/>
      <c r="H12" s="419"/>
      <c r="I12" s="419"/>
      <c r="J12" s="419"/>
      <c r="K12" s="419"/>
      <c r="L12" s="419"/>
      <c r="M12" s="419"/>
      <c r="N12" s="419"/>
      <c r="O12" s="419"/>
      <c r="P12" s="419"/>
      <c r="Q12" s="419"/>
      <c r="R12" s="419"/>
      <c r="S12" s="419"/>
      <c r="T12" s="419"/>
      <c r="U12" s="419"/>
      <c r="V12" s="419"/>
      <c r="W12" s="419"/>
      <c r="X12" s="415"/>
    </row>
    <row r="13" spans="1:24" x14ac:dyDescent="0.3">
      <c r="A13" s="413"/>
      <c r="B13" s="414"/>
      <c r="C13" s="414"/>
      <c r="D13" s="414"/>
      <c r="E13" s="414"/>
      <c r="F13" s="414"/>
      <c r="G13" s="414"/>
      <c r="H13" s="414"/>
      <c r="I13" s="414"/>
      <c r="J13" s="414"/>
      <c r="K13" s="414"/>
      <c r="L13" s="414"/>
      <c r="M13" s="414"/>
      <c r="N13" s="414"/>
      <c r="O13" s="414"/>
      <c r="P13" s="414"/>
      <c r="Q13" s="414"/>
      <c r="R13" s="414"/>
      <c r="S13" s="414"/>
      <c r="T13" s="414"/>
      <c r="U13" s="414"/>
      <c r="V13" s="414"/>
      <c r="W13" s="414"/>
      <c r="X13" s="415"/>
    </row>
    <row r="14" spans="1:24" s="544" customFormat="1" x14ac:dyDescent="0.3">
      <c r="A14" s="540"/>
      <c r="B14" s="539" t="s">
        <v>1</v>
      </c>
      <c r="C14" s="541"/>
      <c r="D14" s="541"/>
      <c r="E14" s="541"/>
      <c r="F14" s="541"/>
      <c r="G14" s="541"/>
      <c r="H14" s="541"/>
      <c r="I14" s="541"/>
      <c r="J14" s="541"/>
      <c r="K14" s="541"/>
      <c r="L14" s="541"/>
      <c r="M14" s="541"/>
      <c r="N14" s="541"/>
      <c r="O14" s="541"/>
      <c r="P14" s="541"/>
      <c r="Q14" s="541"/>
      <c r="R14" s="541"/>
      <c r="S14" s="541"/>
      <c r="T14" s="541"/>
      <c r="U14" s="541"/>
      <c r="V14" s="542" t="s">
        <v>246</v>
      </c>
      <c r="W14" s="541"/>
      <c r="X14" s="543"/>
    </row>
    <row r="15" spans="1:24" s="544" customFormat="1" x14ac:dyDescent="0.3">
      <c r="A15" s="540"/>
      <c r="B15" s="539" t="s">
        <v>2</v>
      </c>
      <c r="C15" s="541"/>
      <c r="D15" s="541"/>
      <c r="E15" s="541"/>
      <c r="F15" s="541"/>
      <c r="G15" s="541"/>
      <c r="H15" s="545"/>
      <c r="I15" s="545"/>
      <c r="J15" s="545"/>
      <c r="K15" s="545"/>
      <c r="L15" s="545"/>
      <c r="M15" s="545"/>
      <c r="N15" s="545"/>
      <c r="O15" s="545"/>
      <c r="P15" s="545"/>
      <c r="Q15" s="545"/>
      <c r="R15" s="545" t="s">
        <v>104</v>
      </c>
      <c r="S15" s="546">
        <v>0.38300000000000001</v>
      </c>
      <c r="T15" s="547" t="s">
        <v>140</v>
      </c>
      <c r="U15" s="546">
        <v>0.61699999999999999</v>
      </c>
      <c r="V15" s="542"/>
      <c r="W15" s="541"/>
      <c r="X15" s="543"/>
    </row>
    <row r="16" spans="1:24" s="544" customFormat="1" x14ac:dyDescent="0.3">
      <c r="A16" s="540"/>
      <c r="B16" s="539" t="s">
        <v>3</v>
      </c>
      <c r="C16" s="541"/>
      <c r="D16" s="541"/>
      <c r="E16" s="541"/>
      <c r="F16" s="541"/>
      <c r="G16" s="541"/>
      <c r="H16" s="545"/>
      <c r="I16" s="545"/>
      <c r="J16" s="545"/>
      <c r="K16" s="545"/>
      <c r="L16" s="545"/>
      <c r="M16" s="545"/>
      <c r="N16" s="545"/>
      <c r="O16" s="545"/>
      <c r="P16" s="545"/>
      <c r="Q16" s="545"/>
      <c r="R16" s="545" t="s">
        <v>104</v>
      </c>
      <c r="S16" s="546">
        <v>0.50749999999999995</v>
      </c>
      <c r="T16" s="547" t="s">
        <v>140</v>
      </c>
      <c r="U16" s="546">
        <v>0.49249999999999999</v>
      </c>
      <c r="V16" s="542"/>
      <c r="W16" s="541"/>
      <c r="X16" s="543"/>
    </row>
    <row r="17" spans="1:24" s="544" customFormat="1" x14ac:dyDescent="0.3">
      <c r="A17" s="540"/>
      <c r="B17" s="539" t="s">
        <v>4</v>
      </c>
      <c r="C17" s="541"/>
      <c r="D17" s="541"/>
      <c r="E17" s="541"/>
      <c r="F17" s="541"/>
      <c r="G17" s="541"/>
      <c r="H17" s="541"/>
      <c r="I17" s="541"/>
      <c r="J17" s="541"/>
      <c r="K17" s="541"/>
      <c r="L17" s="541"/>
      <c r="M17" s="541"/>
      <c r="N17" s="541"/>
      <c r="O17" s="541"/>
      <c r="P17" s="541"/>
      <c r="Q17" s="541"/>
      <c r="R17" s="541"/>
      <c r="S17" s="541"/>
      <c r="T17" s="541"/>
      <c r="U17" s="541"/>
      <c r="V17" s="548">
        <v>39163</v>
      </c>
      <c r="W17" s="541"/>
      <c r="X17" s="543"/>
    </row>
    <row r="18" spans="1:24" s="544" customFormat="1" x14ac:dyDescent="0.3">
      <c r="A18" s="540"/>
      <c r="B18" s="539" t="s">
        <v>5</v>
      </c>
      <c r="C18" s="541"/>
      <c r="D18" s="541"/>
      <c r="E18" s="541"/>
      <c r="F18" s="541"/>
      <c r="G18" s="541"/>
      <c r="H18" s="541"/>
      <c r="I18" s="541"/>
      <c r="J18" s="541"/>
      <c r="K18" s="541"/>
      <c r="L18" s="541"/>
      <c r="M18" s="541"/>
      <c r="N18" s="541"/>
      <c r="O18" s="541"/>
      <c r="P18" s="541"/>
      <c r="Q18" s="541"/>
      <c r="R18" s="541"/>
      <c r="S18" s="541"/>
      <c r="T18" s="541"/>
      <c r="U18" s="541"/>
      <c r="V18" s="548">
        <v>43637</v>
      </c>
      <c r="W18" s="541"/>
      <c r="X18" s="543"/>
    </row>
    <row r="19" spans="1:24" s="544" customFormat="1" x14ac:dyDescent="0.3">
      <c r="A19" s="540"/>
      <c r="B19" s="541"/>
      <c r="C19" s="541"/>
      <c r="D19" s="541"/>
      <c r="E19" s="541"/>
      <c r="F19" s="541"/>
      <c r="G19" s="541"/>
      <c r="H19" s="541"/>
      <c r="I19" s="541"/>
      <c r="J19" s="541"/>
      <c r="K19" s="541"/>
      <c r="L19" s="541"/>
      <c r="M19" s="541"/>
      <c r="N19" s="541"/>
      <c r="O19" s="541"/>
      <c r="P19" s="541"/>
      <c r="Q19" s="541"/>
      <c r="R19" s="541"/>
      <c r="S19" s="541"/>
      <c r="T19" s="541"/>
      <c r="U19" s="541"/>
      <c r="V19" s="549"/>
      <c r="W19" s="541"/>
      <c r="X19" s="543"/>
    </row>
    <row r="20" spans="1:24" s="544" customFormat="1" x14ac:dyDescent="0.3">
      <c r="A20" s="540"/>
      <c r="B20" s="550" t="s">
        <v>6</v>
      </c>
      <c r="C20" s="541"/>
      <c r="D20" s="541"/>
      <c r="E20" s="541"/>
      <c r="F20" s="541"/>
      <c r="G20" s="541"/>
      <c r="H20" s="541"/>
      <c r="I20" s="541"/>
      <c r="J20" s="541"/>
      <c r="K20" s="541"/>
      <c r="L20" s="541"/>
      <c r="M20" s="541"/>
      <c r="N20" s="541"/>
      <c r="O20" s="541"/>
      <c r="P20" s="541"/>
      <c r="Q20" s="541"/>
      <c r="R20" s="541"/>
      <c r="S20" s="541"/>
      <c r="T20" s="549" t="s">
        <v>105</v>
      </c>
      <c r="U20" s="541"/>
      <c r="V20" s="541"/>
      <c r="W20" s="541"/>
      <c r="X20" s="543"/>
    </row>
    <row r="21" spans="1:24" x14ac:dyDescent="0.3">
      <c r="A21" s="417"/>
      <c r="B21" s="419"/>
      <c r="C21" s="419"/>
      <c r="D21" s="419"/>
      <c r="E21" s="419"/>
      <c r="F21" s="419"/>
      <c r="G21" s="419"/>
      <c r="H21" s="419"/>
      <c r="I21" s="419"/>
      <c r="J21" s="419"/>
      <c r="K21" s="419"/>
      <c r="L21" s="419"/>
      <c r="M21" s="419"/>
      <c r="N21" s="419"/>
      <c r="O21" s="419"/>
      <c r="P21" s="419"/>
      <c r="Q21" s="419"/>
      <c r="R21" s="419"/>
      <c r="S21" s="419"/>
      <c r="T21" s="419"/>
      <c r="U21" s="419"/>
      <c r="V21" s="430"/>
      <c r="W21" s="419"/>
      <c r="X21" s="415"/>
    </row>
    <row r="22" spans="1:24" x14ac:dyDescent="0.3">
      <c r="A22" s="515"/>
      <c r="B22" s="517"/>
      <c r="C22" s="518"/>
      <c r="D22" s="518" t="s">
        <v>177</v>
      </c>
      <c r="E22" s="518"/>
      <c r="F22" s="518" t="s">
        <v>178</v>
      </c>
      <c r="G22" s="518"/>
      <c r="H22" s="518" t="s">
        <v>179</v>
      </c>
      <c r="I22" s="518"/>
      <c r="J22" s="518" t="s">
        <v>220</v>
      </c>
      <c r="K22" s="518"/>
      <c r="L22" s="518" t="s">
        <v>180</v>
      </c>
      <c r="M22" s="518"/>
      <c r="N22" s="518" t="s">
        <v>181</v>
      </c>
      <c r="O22" s="518"/>
      <c r="P22" s="518" t="s">
        <v>221</v>
      </c>
      <c r="Q22" s="518"/>
      <c r="R22" s="518" t="s">
        <v>182</v>
      </c>
      <c r="S22" s="519"/>
      <c r="T22" s="519"/>
      <c r="U22" s="517"/>
      <c r="V22" s="517"/>
      <c r="W22" s="520"/>
      <c r="X22" s="415"/>
    </row>
    <row r="23" spans="1:24" s="544" customFormat="1" x14ac:dyDescent="0.3">
      <c r="A23" s="551"/>
      <c r="B23" s="552" t="s">
        <v>7</v>
      </c>
      <c r="C23" s="553"/>
      <c r="D23" s="553" t="s">
        <v>213</v>
      </c>
      <c r="E23" s="553"/>
      <c r="F23" s="553" t="s">
        <v>141</v>
      </c>
      <c r="G23" s="553"/>
      <c r="H23" s="553" t="s">
        <v>141</v>
      </c>
      <c r="I23" s="553"/>
      <c r="J23" s="553" t="s">
        <v>141</v>
      </c>
      <c r="K23" s="553"/>
      <c r="L23" s="553" t="s">
        <v>183</v>
      </c>
      <c r="M23" s="553"/>
      <c r="N23" s="553" t="s">
        <v>183</v>
      </c>
      <c r="O23" s="553"/>
      <c r="P23" s="553" t="s">
        <v>142</v>
      </c>
      <c r="Q23" s="553"/>
      <c r="R23" s="553" t="s">
        <v>142</v>
      </c>
      <c r="S23" s="553"/>
      <c r="T23" s="553"/>
      <c r="U23" s="552"/>
      <c r="V23" s="552"/>
      <c r="W23" s="554"/>
      <c r="X23" s="543"/>
    </row>
    <row r="24" spans="1:24" s="544" customFormat="1" x14ac:dyDescent="0.3">
      <c r="A24" s="555"/>
      <c r="B24" s="556" t="s">
        <v>8</v>
      </c>
      <c r="C24" s="557"/>
      <c r="D24" s="557" t="s">
        <v>214</v>
      </c>
      <c r="E24" s="557"/>
      <c r="F24" s="557" t="s">
        <v>143</v>
      </c>
      <c r="G24" s="557"/>
      <c r="H24" s="557" t="s">
        <v>143</v>
      </c>
      <c r="I24" s="557"/>
      <c r="J24" s="557" t="s">
        <v>143</v>
      </c>
      <c r="K24" s="557"/>
      <c r="L24" s="557" t="s">
        <v>165</v>
      </c>
      <c r="M24" s="557"/>
      <c r="N24" s="557" t="s">
        <v>165</v>
      </c>
      <c r="O24" s="557"/>
      <c r="P24" s="557" t="s">
        <v>144</v>
      </c>
      <c r="Q24" s="557"/>
      <c r="R24" s="557" t="s">
        <v>144</v>
      </c>
      <c r="S24" s="557"/>
      <c r="T24" s="557"/>
      <c r="U24" s="556"/>
      <c r="V24" s="556"/>
      <c r="W24" s="558"/>
      <c r="X24" s="543"/>
    </row>
    <row r="25" spans="1:24" s="544" customFormat="1" x14ac:dyDescent="0.3">
      <c r="A25" s="559"/>
      <c r="B25" s="556" t="s">
        <v>190</v>
      </c>
      <c r="C25" s="560"/>
      <c r="D25" s="557" t="s">
        <v>215</v>
      </c>
      <c r="E25" s="557"/>
      <c r="F25" s="557" t="s">
        <v>143</v>
      </c>
      <c r="G25" s="557"/>
      <c r="H25" s="557" t="s">
        <v>143</v>
      </c>
      <c r="I25" s="557"/>
      <c r="J25" s="557" t="s">
        <v>143</v>
      </c>
      <c r="K25" s="557"/>
      <c r="L25" s="557" t="s">
        <v>293</v>
      </c>
      <c r="M25" s="557"/>
      <c r="N25" s="557" t="s">
        <v>293</v>
      </c>
      <c r="O25" s="557"/>
      <c r="P25" s="557" t="s">
        <v>144</v>
      </c>
      <c r="Q25" s="557"/>
      <c r="R25" s="557" t="s">
        <v>144</v>
      </c>
      <c r="S25" s="560"/>
      <c r="T25" s="557"/>
      <c r="U25" s="556"/>
      <c r="V25" s="556"/>
      <c r="W25" s="558"/>
      <c r="X25" s="543"/>
    </row>
    <row r="26" spans="1:24" s="544" customFormat="1" x14ac:dyDescent="0.3">
      <c r="A26" s="559"/>
      <c r="B26" s="561" t="s">
        <v>9</v>
      </c>
      <c r="C26" s="560"/>
      <c r="D26" s="560" t="s">
        <v>333</v>
      </c>
      <c r="E26" s="560"/>
      <c r="F26" s="560" t="s">
        <v>333</v>
      </c>
      <c r="G26" s="560"/>
      <c r="H26" s="560" t="s">
        <v>333</v>
      </c>
      <c r="I26" s="560"/>
      <c r="J26" s="560" t="s">
        <v>333</v>
      </c>
      <c r="K26" s="560"/>
      <c r="L26" s="560" t="s">
        <v>333</v>
      </c>
      <c r="M26" s="560"/>
      <c r="N26" s="560" t="s">
        <v>333</v>
      </c>
      <c r="O26" s="560"/>
      <c r="P26" s="560" t="s">
        <v>334</v>
      </c>
      <c r="Q26" s="560"/>
      <c r="R26" s="560" t="s">
        <v>334</v>
      </c>
      <c r="S26" s="560"/>
      <c r="T26" s="557"/>
      <c r="U26" s="556"/>
      <c r="V26" s="556"/>
      <c r="W26" s="558"/>
      <c r="X26" s="543"/>
    </row>
    <row r="27" spans="1:24" s="544" customFormat="1" x14ac:dyDescent="0.3">
      <c r="A27" s="555"/>
      <c r="B27" s="561" t="s">
        <v>191</v>
      </c>
      <c r="C27" s="557"/>
      <c r="D27" s="560" t="s">
        <v>143</v>
      </c>
      <c r="E27" s="560"/>
      <c r="F27" s="560" t="s">
        <v>143</v>
      </c>
      <c r="G27" s="560"/>
      <c r="H27" s="560" t="s">
        <v>143</v>
      </c>
      <c r="I27" s="560"/>
      <c r="J27" s="560" t="s">
        <v>143</v>
      </c>
      <c r="K27" s="560"/>
      <c r="L27" s="560" t="s">
        <v>293</v>
      </c>
      <c r="M27" s="560"/>
      <c r="N27" s="560" t="s">
        <v>293</v>
      </c>
      <c r="O27" s="560"/>
      <c r="P27" s="560" t="s">
        <v>144</v>
      </c>
      <c r="Q27" s="560"/>
      <c r="R27" s="560" t="s">
        <v>144</v>
      </c>
      <c r="S27" s="557"/>
      <c r="T27" s="562"/>
      <c r="U27" s="556"/>
      <c r="V27" s="556"/>
      <c r="W27" s="558"/>
      <c r="X27" s="543"/>
    </row>
    <row r="28" spans="1:24" s="544" customFormat="1" x14ac:dyDescent="0.3">
      <c r="A28" s="555"/>
      <c r="B28" s="561" t="s">
        <v>192</v>
      </c>
      <c r="C28" s="557"/>
      <c r="D28" s="560" t="s">
        <v>143</v>
      </c>
      <c r="E28" s="560"/>
      <c r="F28" s="560" t="s">
        <v>143</v>
      </c>
      <c r="G28" s="560"/>
      <c r="H28" s="560" t="s">
        <v>143</v>
      </c>
      <c r="I28" s="560"/>
      <c r="J28" s="560" t="s">
        <v>143</v>
      </c>
      <c r="K28" s="560"/>
      <c r="L28" s="560" t="s">
        <v>143</v>
      </c>
      <c r="M28" s="560"/>
      <c r="N28" s="560" t="s">
        <v>143</v>
      </c>
      <c r="O28" s="560"/>
      <c r="P28" s="560" t="s">
        <v>144</v>
      </c>
      <c r="Q28" s="560"/>
      <c r="R28" s="560" t="s">
        <v>144</v>
      </c>
      <c r="S28" s="557"/>
      <c r="T28" s="562"/>
      <c r="U28" s="556"/>
      <c r="V28" s="556"/>
      <c r="W28" s="558"/>
      <c r="X28" s="543"/>
    </row>
    <row r="29" spans="1:24" s="544" customFormat="1" x14ac:dyDescent="0.3">
      <c r="A29" s="555"/>
      <c r="B29" s="556" t="s">
        <v>10</v>
      </c>
      <c r="C29" s="563"/>
      <c r="D29" s="557" t="s">
        <v>249</v>
      </c>
      <c r="E29" s="557"/>
      <c r="F29" s="562" t="s">
        <v>250</v>
      </c>
      <c r="G29" s="557"/>
      <c r="H29" s="557" t="s">
        <v>251</v>
      </c>
      <c r="I29" s="557"/>
      <c r="J29" s="557" t="s">
        <v>253</v>
      </c>
      <c r="K29" s="557"/>
      <c r="L29" s="557" t="s">
        <v>254</v>
      </c>
      <c r="M29" s="557"/>
      <c r="N29" s="557" t="s">
        <v>255</v>
      </c>
      <c r="O29" s="557"/>
      <c r="P29" s="557" t="s">
        <v>256</v>
      </c>
      <c r="Q29" s="557"/>
      <c r="R29" s="557" t="s">
        <v>257</v>
      </c>
      <c r="S29" s="564"/>
      <c r="T29" s="564"/>
      <c r="U29" s="563"/>
      <c r="V29" s="564"/>
      <c r="W29" s="565"/>
      <c r="X29" s="543"/>
    </row>
    <row r="30" spans="1:24" s="544" customFormat="1" x14ac:dyDescent="0.3">
      <c r="A30" s="555"/>
      <c r="B30" s="556" t="s">
        <v>10</v>
      </c>
      <c r="C30" s="563"/>
      <c r="D30" s="557" t="s">
        <v>248</v>
      </c>
      <c r="E30" s="557"/>
      <c r="F30" s="562" t="s">
        <v>118</v>
      </c>
      <c r="G30" s="557"/>
      <c r="H30" s="557" t="s">
        <v>118</v>
      </c>
      <c r="I30" s="557"/>
      <c r="J30" s="557" t="s">
        <v>252</v>
      </c>
      <c r="K30" s="557"/>
      <c r="L30" s="557" t="s">
        <v>118</v>
      </c>
      <c r="M30" s="557"/>
      <c r="N30" s="557" t="s">
        <v>118</v>
      </c>
      <c r="O30" s="557"/>
      <c r="P30" s="557" t="s">
        <v>118</v>
      </c>
      <c r="Q30" s="557"/>
      <c r="R30" s="557" t="s">
        <v>118</v>
      </c>
      <c r="S30" s="564"/>
      <c r="T30" s="564"/>
      <c r="U30" s="563"/>
      <c r="V30" s="564"/>
      <c r="W30" s="565"/>
      <c r="X30" s="543"/>
    </row>
    <row r="31" spans="1:24" s="544" customFormat="1" x14ac:dyDescent="0.3">
      <c r="A31" s="559"/>
      <c r="B31" s="556" t="s">
        <v>133</v>
      </c>
      <c r="C31" s="566"/>
      <c r="D31" s="567">
        <v>1500000</v>
      </c>
      <c r="E31" s="563"/>
      <c r="F31" s="564">
        <v>125000</v>
      </c>
      <c r="G31" s="564"/>
      <c r="H31" s="568">
        <v>246000</v>
      </c>
      <c r="I31" s="568"/>
      <c r="J31" s="567">
        <v>400000</v>
      </c>
      <c r="K31" s="564"/>
      <c r="L31" s="564">
        <v>51900</v>
      </c>
      <c r="M31" s="564"/>
      <c r="N31" s="568">
        <v>88800</v>
      </c>
      <c r="O31" s="564"/>
      <c r="P31" s="564">
        <v>20000</v>
      </c>
      <c r="Q31" s="564"/>
      <c r="R31" s="568">
        <v>135500</v>
      </c>
      <c r="S31" s="569"/>
      <c r="T31" s="569"/>
      <c r="U31" s="566"/>
      <c r="V31" s="569"/>
      <c r="W31" s="565"/>
      <c r="X31" s="543"/>
    </row>
    <row r="32" spans="1:24" s="544" customFormat="1" x14ac:dyDescent="0.3">
      <c r="A32" s="555"/>
      <c r="B32" s="556" t="s">
        <v>132</v>
      </c>
      <c r="C32" s="563"/>
      <c r="D32" s="570">
        <f>D34*D38</f>
        <v>340823.49946680001</v>
      </c>
      <c r="E32" s="563"/>
      <c r="F32" s="564">
        <f>F31*F38</f>
        <v>54958.025000000001</v>
      </c>
      <c r="G32" s="564"/>
      <c r="H32" s="568">
        <f>H31*H38</f>
        <v>108157.39320000001</v>
      </c>
      <c r="I32" s="568"/>
      <c r="J32" s="567">
        <f>J31*J38</f>
        <v>175864.88</v>
      </c>
      <c r="K32" s="564"/>
      <c r="L32" s="564">
        <f>+L31</f>
        <v>51900</v>
      </c>
      <c r="M32" s="564"/>
      <c r="N32" s="568">
        <f>+N31</f>
        <v>88800</v>
      </c>
      <c r="O32" s="564"/>
      <c r="P32" s="564">
        <f>+P31</f>
        <v>20000</v>
      </c>
      <c r="Q32" s="564"/>
      <c r="R32" s="568">
        <f>+R31</f>
        <v>135500</v>
      </c>
      <c r="S32" s="564"/>
      <c r="T32" s="564"/>
      <c r="U32" s="563"/>
      <c r="V32" s="564"/>
      <c r="W32" s="565"/>
      <c r="X32" s="543"/>
    </row>
    <row r="33" spans="1:24" s="544" customFormat="1" x14ac:dyDescent="0.3">
      <c r="A33" s="555"/>
      <c r="B33" s="561" t="s">
        <v>134</v>
      </c>
      <c r="C33" s="563"/>
      <c r="D33" s="571">
        <f>D34*D37</f>
        <v>330672.25651739998</v>
      </c>
      <c r="E33" s="566"/>
      <c r="F33" s="569">
        <f>F37*F31</f>
        <v>53321.149999999994</v>
      </c>
      <c r="G33" s="569"/>
      <c r="H33" s="572">
        <f>H31*H37</f>
        <v>104936.0232</v>
      </c>
      <c r="I33" s="572"/>
      <c r="J33" s="573">
        <f>J37*J31</f>
        <v>170626.84</v>
      </c>
      <c r="K33" s="569"/>
      <c r="L33" s="569">
        <f>L31*L37</f>
        <v>51900</v>
      </c>
      <c r="M33" s="569"/>
      <c r="N33" s="572">
        <f>N31*N37</f>
        <v>88800</v>
      </c>
      <c r="O33" s="569"/>
      <c r="P33" s="569">
        <f>P31*P37</f>
        <v>20000</v>
      </c>
      <c r="Q33" s="569"/>
      <c r="R33" s="572">
        <f>R31*R37</f>
        <v>135500</v>
      </c>
      <c r="S33" s="564"/>
      <c r="T33" s="564"/>
      <c r="U33" s="563"/>
      <c r="V33" s="564"/>
      <c r="W33" s="565"/>
      <c r="X33" s="543"/>
    </row>
    <row r="34" spans="1:24" s="544" customFormat="1" x14ac:dyDescent="0.3">
      <c r="A34" s="559"/>
      <c r="B34" s="556" t="s">
        <v>296</v>
      </c>
      <c r="C34" s="566"/>
      <c r="D34" s="564">
        <v>775194</v>
      </c>
      <c r="E34" s="563"/>
      <c r="F34" s="564">
        <v>125000</v>
      </c>
      <c r="G34" s="564"/>
      <c r="H34" s="564">
        <v>168148</v>
      </c>
      <c r="I34" s="564"/>
      <c r="J34" s="564">
        <v>206718</v>
      </c>
      <c r="K34" s="564"/>
      <c r="L34" s="564">
        <v>51900</v>
      </c>
      <c r="M34" s="564"/>
      <c r="N34" s="564">
        <v>60697</v>
      </c>
      <c r="O34" s="564"/>
      <c r="P34" s="564">
        <v>20000</v>
      </c>
      <c r="Q34" s="564"/>
      <c r="R34" s="564">
        <v>92618</v>
      </c>
      <c r="S34" s="569"/>
      <c r="T34" s="569"/>
      <c r="U34" s="566"/>
      <c r="V34" s="564">
        <f>SUM(C34:R34)</f>
        <v>1500275</v>
      </c>
      <c r="W34" s="565"/>
      <c r="X34" s="543"/>
    </row>
    <row r="35" spans="1:24" s="544" customFormat="1" x14ac:dyDescent="0.3">
      <c r="A35" s="559"/>
      <c r="B35" s="556" t="s">
        <v>297</v>
      </c>
      <c r="C35" s="566"/>
      <c r="D35" s="564">
        <f>D34*D38</f>
        <v>340823.49946680001</v>
      </c>
      <c r="E35" s="563"/>
      <c r="F35" s="564">
        <f>F34*F38</f>
        <v>54958.025000000001</v>
      </c>
      <c r="G35" s="564"/>
      <c r="H35" s="564">
        <f>H34*H38</f>
        <v>73928.655901599996</v>
      </c>
      <c r="I35" s="564"/>
      <c r="J35" s="564">
        <f>J34*J38</f>
        <v>90886.090659599999</v>
      </c>
      <c r="K35" s="564"/>
      <c r="L35" s="564">
        <f>+L34</f>
        <v>51900</v>
      </c>
      <c r="M35" s="564"/>
      <c r="N35" s="564">
        <f>+N34</f>
        <v>60697</v>
      </c>
      <c r="O35" s="564"/>
      <c r="P35" s="564">
        <f>+P34</f>
        <v>20000</v>
      </c>
      <c r="Q35" s="564"/>
      <c r="R35" s="564">
        <f>+R34</f>
        <v>92618</v>
      </c>
      <c r="S35" s="564"/>
      <c r="T35" s="564"/>
      <c r="U35" s="563"/>
      <c r="V35" s="564">
        <f>SUM(C35:R35)</f>
        <v>785811.27102800005</v>
      </c>
      <c r="W35" s="565"/>
      <c r="X35" s="543"/>
    </row>
    <row r="36" spans="1:24" s="544" customFormat="1" x14ac:dyDescent="0.3">
      <c r="A36" s="559"/>
      <c r="B36" s="561" t="s">
        <v>298</v>
      </c>
      <c r="C36" s="566"/>
      <c r="D36" s="569">
        <f>D34*D37</f>
        <v>330672.25651739998</v>
      </c>
      <c r="E36" s="566"/>
      <c r="F36" s="569">
        <f>F34*F37</f>
        <v>53321.149999999994</v>
      </c>
      <c r="G36" s="569"/>
      <c r="H36" s="569">
        <f>H34*H37</f>
        <v>71726.757841600003</v>
      </c>
      <c r="I36" s="569"/>
      <c r="J36" s="569">
        <f>J34*J37</f>
        <v>88179.097777799994</v>
      </c>
      <c r="K36" s="569"/>
      <c r="L36" s="569">
        <f>L34*L37</f>
        <v>51900</v>
      </c>
      <c r="M36" s="569"/>
      <c r="N36" s="569">
        <f>N34*N37</f>
        <v>60697</v>
      </c>
      <c r="O36" s="569"/>
      <c r="P36" s="569">
        <f>P34*P37</f>
        <v>20000</v>
      </c>
      <c r="Q36" s="569"/>
      <c r="R36" s="569">
        <f>R34*R37</f>
        <v>92618</v>
      </c>
      <c r="S36" s="574"/>
      <c r="T36" s="574"/>
      <c r="U36" s="563"/>
      <c r="V36" s="569">
        <f>SUM(C36:R36)</f>
        <v>769114.26213679998</v>
      </c>
      <c r="W36" s="565"/>
      <c r="X36" s="543"/>
    </row>
    <row r="37" spans="1:24" s="499" customFormat="1" x14ac:dyDescent="0.3">
      <c r="A37" s="492"/>
      <c r="B37" s="493" t="s">
        <v>130</v>
      </c>
      <c r="C37" s="494"/>
      <c r="D37" s="495">
        <v>0.42656709999999998</v>
      </c>
      <c r="E37" s="495"/>
      <c r="F37" s="495">
        <v>0.42656919999999998</v>
      </c>
      <c r="G37" s="495"/>
      <c r="H37" s="495">
        <v>0.42656919999999998</v>
      </c>
      <c r="I37" s="495"/>
      <c r="J37" s="495">
        <v>0.42656709999999998</v>
      </c>
      <c r="K37" s="495"/>
      <c r="L37" s="495">
        <v>1</v>
      </c>
      <c r="M37" s="495"/>
      <c r="N37" s="495">
        <v>1</v>
      </c>
      <c r="O37" s="495"/>
      <c r="P37" s="495">
        <v>1</v>
      </c>
      <c r="Q37" s="495"/>
      <c r="R37" s="495">
        <v>1</v>
      </c>
      <c r="S37" s="496"/>
      <c r="T37" s="496"/>
      <c r="U37" s="494"/>
      <c r="V37" s="494"/>
      <c r="W37" s="497"/>
      <c r="X37" s="498"/>
    </row>
    <row r="38" spans="1:24" s="499" customFormat="1" x14ac:dyDescent="0.3">
      <c r="A38" s="492"/>
      <c r="B38" s="493" t="s">
        <v>131</v>
      </c>
      <c r="C38" s="494"/>
      <c r="D38" s="495">
        <v>0.4396622</v>
      </c>
      <c r="E38" s="495"/>
      <c r="F38" s="495">
        <v>0.43966420000000001</v>
      </c>
      <c r="G38" s="495"/>
      <c r="H38" s="495">
        <v>0.43966420000000001</v>
      </c>
      <c r="I38" s="495"/>
      <c r="J38" s="495">
        <v>0.4396622</v>
      </c>
      <c r="K38" s="495"/>
      <c r="L38" s="495">
        <v>1</v>
      </c>
      <c r="M38" s="495"/>
      <c r="N38" s="495">
        <v>1</v>
      </c>
      <c r="O38" s="495"/>
      <c r="P38" s="495">
        <v>1</v>
      </c>
      <c r="Q38" s="495"/>
      <c r="R38" s="495">
        <v>1</v>
      </c>
      <c r="S38" s="500"/>
      <c r="T38" s="501"/>
      <c r="U38" s="494"/>
      <c r="V38" s="500"/>
      <c r="W38" s="497"/>
      <c r="X38" s="498"/>
    </row>
    <row r="39" spans="1:24" s="544" customFormat="1" x14ac:dyDescent="0.3">
      <c r="A39" s="555"/>
      <c r="B39" s="556" t="s">
        <v>11</v>
      </c>
      <c r="C39" s="556"/>
      <c r="D39" s="562" t="s">
        <v>321</v>
      </c>
      <c r="E39" s="556"/>
      <c r="F39" s="562" t="s">
        <v>231</v>
      </c>
      <c r="G39" s="562"/>
      <c r="H39" s="562" t="s">
        <v>231</v>
      </c>
      <c r="I39" s="562"/>
      <c r="J39" s="562" t="s">
        <v>231</v>
      </c>
      <c r="K39" s="562"/>
      <c r="L39" s="562" t="s">
        <v>265</v>
      </c>
      <c r="M39" s="562"/>
      <c r="N39" s="562" t="s">
        <v>265</v>
      </c>
      <c r="O39" s="562"/>
      <c r="P39" s="562" t="s">
        <v>266</v>
      </c>
      <c r="Q39" s="562"/>
      <c r="R39" s="562" t="s">
        <v>266</v>
      </c>
      <c r="S39" s="575"/>
      <c r="T39" s="576"/>
      <c r="U39" s="556"/>
      <c r="V39" s="556"/>
      <c r="W39" s="558"/>
      <c r="X39" s="543"/>
    </row>
    <row r="40" spans="1:24" s="544" customFormat="1" x14ac:dyDescent="0.3">
      <c r="A40" s="555"/>
      <c r="B40" s="556" t="s">
        <v>12</v>
      </c>
      <c r="C40" s="556"/>
      <c r="D40" s="576">
        <v>1.04463E-2</v>
      </c>
      <c r="E40" s="556"/>
      <c r="F40" s="576">
        <v>1.04463E-2</v>
      </c>
      <c r="G40" s="575"/>
      <c r="H40" s="576">
        <v>0</v>
      </c>
      <c r="I40" s="576"/>
      <c r="J40" s="576">
        <v>2.81088E-2</v>
      </c>
      <c r="K40" s="575"/>
      <c r="L40" s="576">
        <v>1.2046299999999999E-2</v>
      </c>
      <c r="M40" s="575"/>
      <c r="N40" s="576">
        <v>5.0000000000000001E-4</v>
      </c>
      <c r="O40" s="575"/>
      <c r="P40" s="576">
        <v>1.6046299999999999E-2</v>
      </c>
      <c r="Q40" s="575"/>
      <c r="R40" s="576">
        <v>4.4999999999999997E-3</v>
      </c>
      <c r="S40" s="575"/>
      <c r="T40" s="576"/>
      <c r="U40" s="556"/>
      <c r="V40" s="562"/>
      <c r="W40" s="558"/>
      <c r="X40" s="543"/>
    </row>
    <row r="41" spans="1:24" s="544" customFormat="1" x14ac:dyDescent="0.3">
      <c r="A41" s="555"/>
      <c r="B41" s="556" t="s">
        <v>13</v>
      </c>
      <c r="C41" s="556"/>
      <c r="D41" s="576">
        <v>1.10638E-2</v>
      </c>
      <c r="E41" s="556"/>
      <c r="F41" s="576">
        <v>1.10638E-2</v>
      </c>
      <c r="G41" s="575"/>
      <c r="H41" s="576">
        <v>0</v>
      </c>
      <c r="I41" s="576"/>
      <c r="J41" s="576">
        <v>2.9881899999999999E-2</v>
      </c>
      <c r="K41" s="575"/>
      <c r="L41" s="576">
        <v>1.2663799999999999E-2</v>
      </c>
      <c r="M41" s="575"/>
      <c r="N41" s="576">
        <v>4.8999999999999998E-4</v>
      </c>
      <c r="O41" s="575"/>
      <c r="P41" s="576">
        <v>1.6663799999999999E-2</v>
      </c>
      <c r="Q41" s="575"/>
      <c r="R41" s="576">
        <v>4.4900000000000001E-3</v>
      </c>
      <c r="S41" s="575"/>
      <c r="T41" s="576"/>
      <c r="U41" s="556"/>
      <c r="V41" s="575" t="s">
        <v>193</v>
      </c>
      <c r="W41" s="558"/>
      <c r="X41" s="543"/>
    </row>
    <row r="42" spans="1:24" s="544" customFormat="1" x14ac:dyDescent="0.3">
      <c r="A42" s="555"/>
      <c r="B42" s="556" t="s">
        <v>299</v>
      </c>
      <c r="C42" s="556"/>
      <c r="D42" s="562" t="s">
        <v>321</v>
      </c>
      <c r="E42" s="556"/>
      <c r="F42" s="562" t="s">
        <v>231</v>
      </c>
      <c r="G42" s="562"/>
      <c r="H42" s="562" t="s">
        <v>323</v>
      </c>
      <c r="I42" s="562"/>
      <c r="J42" s="562" t="s">
        <v>324</v>
      </c>
      <c r="K42" s="562"/>
      <c r="L42" s="562" t="s">
        <v>265</v>
      </c>
      <c r="M42" s="562"/>
      <c r="N42" s="562" t="s">
        <v>234</v>
      </c>
      <c r="O42" s="562"/>
      <c r="P42" s="562" t="s">
        <v>266</v>
      </c>
      <c r="Q42" s="562"/>
      <c r="R42" s="562" t="s">
        <v>264</v>
      </c>
      <c r="S42" s="575"/>
      <c r="T42" s="576"/>
      <c r="U42" s="556"/>
      <c r="V42" s="556"/>
      <c r="W42" s="558"/>
      <c r="X42" s="543"/>
    </row>
    <row r="43" spans="1:24" s="544" customFormat="1" x14ac:dyDescent="0.3">
      <c r="A43" s="555"/>
      <c r="B43" s="556" t="s">
        <v>300</v>
      </c>
      <c r="C43" s="577"/>
      <c r="D43" s="576">
        <f>D40</f>
        <v>1.04463E-2</v>
      </c>
      <c r="E43" s="576"/>
      <c r="F43" s="576">
        <f>+F40</f>
        <v>1.04463E-2</v>
      </c>
      <c r="G43" s="576"/>
      <c r="H43" s="576">
        <v>1.0726299999999999E-2</v>
      </c>
      <c r="I43" s="576"/>
      <c r="J43" s="576">
        <v>1.11723E-2</v>
      </c>
      <c r="K43" s="576"/>
      <c r="L43" s="576">
        <f>+L40</f>
        <v>1.2046299999999999E-2</v>
      </c>
      <c r="M43" s="576"/>
      <c r="N43" s="576">
        <v>1.26383E-2</v>
      </c>
      <c r="O43" s="576"/>
      <c r="P43" s="576">
        <f>+P40</f>
        <v>1.6046299999999999E-2</v>
      </c>
      <c r="Q43" s="575"/>
      <c r="R43" s="576">
        <v>1.71123E-2</v>
      </c>
      <c r="S43" s="562"/>
      <c r="T43" s="562"/>
      <c r="U43" s="556"/>
      <c r="V43" s="575">
        <f>SUMPRODUCT(D43:R43,D35:R35)/V35</f>
        <v>1.1759799532936249E-2</v>
      </c>
      <c r="W43" s="558"/>
      <c r="X43" s="543"/>
    </row>
    <row r="44" spans="1:24" s="544" customFormat="1" x14ac:dyDescent="0.3">
      <c r="A44" s="555"/>
      <c r="B44" s="556" t="s">
        <v>301</v>
      </c>
      <c r="C44" s="577"/>
      <c r="D44" s="576">
        <f>D41</f>
        <v>1.10638E-2</v>
      </c>
      <c r="E44" s="576"/>
      <c r="F44" s="576">
        <f>+F41</f>
        <v>1.10638E-2</v>
      </c>
      <c r="G44" s="576"/>
      <c r="H44" s="576">
        <v>1.1343799999999999E-2</v>
      </c>
      <c r="I44" s="576"/>
      <c r="J44" s="576">
        <v>1.17898E-2</v>
      </c>
      <c r="K44" s="576"/>
      <c r="L44" s="576">
        <f>+L41</f>
        <v>1.2663799999999999E-2</v>
      </c>
      <c r="M44" s="576"/>
      <c r="N44" s="576">
        <v>1.32558E-2</v>
      </c>
      <c r="O44" s="576"/>
      <c r="P44" s="576">
        <f>+P41</f>
        <v>1.6663799999999999E-2</v>
      </c>
      <c r="Q44" s="575"/>
      <c r="R44" s="576">
        <v>1.77298E-2</v>
      </c>
      <c r="S44" s="562"/>
      <c r="T44" s="562"/>
      <c r="U44" s="556"/>
      <c r="V44" s="556"/>
      <c r="W44" s="558"/>
      <c r="X44" s="543"/>
    </row>
    <row r="45" spans="1:24" s="544" customFormat="1" x14ac:dyDescent="0.3">
      <c r="A45" s="555"/>
      <c r="B45" s="556" t="s">
        <v>14</v>
      </c>
      <c r="C45" s="556"/>
      <c r="D45" s="577">
        <v>40617</v>
      </c>
      <c r="E45" s="577"/>
      <c r="F45" s="577">
        <v>40617</v>
      </c>
      <c r="G45" s="577"/>
      <c r="H45" s="577">
        <v>40617</v>
      </c>
      <c r="I45" s="577"/>
      <c r="J45" s="577">
        <v>40617</v>
      </c>
      <c r="K45" s="577"/>
      <c r="L45" s="577">
        <v>40617</v>
      </c>
      <c r="M45" s="577"/>
      <c r="N45" s="577">
        <v>40617</v>
      </c>
      <c r="O45" s="577"/>
      <c r="P45" s="577">
        <v>40617</v>
      </c>
      <c r="Q45" s="577"/>
      <c r="R45" s="577">
        <v>40617</v>
      </c>
      <c r="S45" s="562"/>
      <c r="T45" s="562"/>
      <c r="U45" s="556"/>
      <c r="V45" s="556"/>
      <c r="W45" s="558"/>
      <c r="X45" s="543"/>
    </row>
    <row r="46" spans="1:24" s="544" customFormat="1" x14ac:dyDescent="0.3">
      <c r="A46" s="555"/>
      <c r="B46" s="556" t="s">
        <v>15</v>
      </c>
      <c r="C46" s="556"/>
      <c r="D46" s="577">
        <v>40983</v>
      </c>
      <c r="E46" s="577"/>
      <c r="F46" s="577">
        <v>40983</v>
      </c>
      <c r="G46" s="577"/>
      <c r="H46" s="577">
        <v>40983</v>
      </c>
      <c r="I46" s="577"/>
      <c r="J46" s="577">
        <v>40983</v>
      </c>
      <c r="K46" s="562"/>
      <c r="L46" s="577">
        <v>40983</v>
      </c>
      <c r="M46" s="562"/>
      <c r="N46" s="577">
        <v>40983</v>
      </c>
      <c r="O46" s="562"/>
      <c r="P46" s="577">
        <v>40983</v>
      </c>
      <c r="Q46" s="562"/>
      <c r="R46" s="577">
        <v>40983</v>
      </c>
      <c r="S46" s="562"/>
      <c r="T46" s="562"/>
      <c r="U46" s="556"/>
      <c r="V46" s="556"/>
      <c r="W46" s="558"/>
      <c r="X46" s="543"/>
    </row>
    <row r="47" spans="1:24" s="544" customFormat="1" x14ac:dyDescent="0.3">
      <c r="A47" s="555"/>
      <c r="B47" s="556" t="s">
        <v>119</v>
      </c>
      <c r="C47" s="556"/>
      <c r="D47" s="562" t="s">
        <v>231</v>
      </c>
      <c r="E47" s="556"/>
      <c r="F47" s="562" t="s">
        <v>231</v>
      </c>
      <c r="G47" s="562"/>
      <c r="H47" s="562" t="s">
        <v>231</v>
      </c>
      <c r="I47" s="562"/>
      <c r="J47" s="562" t="s">
        <v>231</v>
      </c>
      <c r="K47" s="562"/>
      <c r="L47" s="562" t="s">
        <v>265</v>
      </c>
      <c r="M47" s="562"/>
      <c r="N47" s="562" t="s">
        <v>265</v>
      </c>
      <c r="O47" s="562"/>
      <c r="P47" s="562" t="s">
        <v>266</v>
      </c>
      <c r="Q47" s="562"/>
      <c r="R47" s="562" t="s">
        <v>266</v>
      </c>
      <c r="S47" s="578"/>
      <c r="T47" s="578"/>
      <c r="U47" s="578"/>
      <c r="V47" s="578"/>
      <c r="W47" s="558"/>
      <c r="X47" s="543"/>
    </row>
    <row r="48" spans="1:24" s="544" customFormat="1" x14ac:dyDescent="0.3">
      <c r="A48" s="555"/>
      <c r="B48" s="556" t="s">
        <v>302</v>
      </c>
      <c r="C48" s="556"/>
      <c r="D48" s="562" t="s">
        <v>325</v>
      </c>
      <c r="E48" s="556"/>
      <c r="F48" s="562" t="s">
        <v>231</v>
      </c>
      <c r="G48" s="562"/>
      <c r="H48" s="562" t="s">
        <v>262</v>
      </c>
      <c r="I48" s="562"/>
      <c r="J48" s="562" t="s">
        <v>263</v>
      </c>
      <c r="K48" s="562"/>
      <c r="L48" s="562" t="s">
        <v>265</v>
      </c>
      <c r="M48" s="562"/>
      <c r="N48" s="562" t="s">
        <v>234</v>
      </c>
      <c r="O48" s="562"/>
      <c r="P48" s="562" t="s">
        <v>266</v>
      </c>
      <c r="Q48" s="562"/>
      <c r="R48" s="562" t="s">
        <v>264</v>
      </c>
      <c r="S48" s="556"/>
      <c r="T48" s="556"/>
      <c r="U48" s="556"/>
      <c r="V48" s="575"/>
      <c r="W48" s="558"/>
      <c r="X48" s="543"/>
    </row>
    <row r="49" spans="1:25" s="544" customFormat="1" x14ac:dyDescent="0.3">
      <c r="A49" s="555"/>
      <c r="B49" s="556"/>
      <c r="C49" s="556"/>
      <c r="D49" s="562"/>
      <c r="E49" s="556"/>
      <c r="F49" s="562"/>
      <c r="G49" s="562"/>
      <c r="H49" s="562"/>
      <c r="I49" s="562"/>
      <c r="J49" s="562"/>
      <c r="K49" s="562"/>
      <c r="L49" s="562"/>
      <c r="M49" s="562"/>
      <c r="N49" s="562"/>
      <c r="O49" s="562"/>
      <c r="P49" s="562"/>
      <c r="Q49" s="562"/>
      <c r="R49" s="562"/>
      <c r="S49" s="556"/>
      <c r="T49" s="556"/>
      <c r="U49" s="556"/>
      <c r="V49" s="575" t="s">
        <v>193</v>
      </c>
      <c r="W49" s="558"/>
      <c r="X49" s="543"/>
    </row>
    <row r="50" spans="1:25" s="544" customFormat="1" x14ac:dyDescent="0.3">
      <c r="A50" s="555"/>
      <c r="B50" s="556" t="s">
        <v>169</v>
      </c>
      <c r="C50" s="556"/>
      <c r="D50" s="562"/>
      <c r="E50" s="556"/>
      <c r="F50" s="562"/>
      <c r="G50" s="562"/>
      <c r="H50" s="562"/>
      <c r="I50" s="562"/>
      <c r="J50" s="562"/>
      <c r="K50" s="562"/>
      <c r="L50" s="562"/>
      <c r="M50" s="562"/>
      <c r="N50" s="562"/>
      <c r="O50" s="562"/>
      <c r="P50" s="562"/>
      <c r="Q50" s="562"/>
      <c r="R50" s="562"/>
      <c r="S50" s="556"/>
      <c r="T50" s="556"/>
      <c r="U50" s="556"/>
      <c r="V50" s="575">
        <f>SUM(L34:R34)/SUM(D34:J34)</f>
        <v>0.17663090364375009</v>
      </c>
      <c r="W50" s="558"/>
      <c r="X50" s="543"/>
    </row>
    <row r="51" spans="1:25" s="544" customFormat="1" x14ac:dyDescent="0.3">
      <c r="A51" s="555"/>
      <c r="B51" s="556" t="s">
        <v>170</v>
      </c>
      <c r="C51" s="556"/>
      <c r="D51" s="556"/>
      <c r="E51" s="556"/>
      <c r="F51" s="579"/>
      <c r="G51" s="556"/>
      <c r="H51" s="556"/>
      <c r="I51" s="556"/>
      <c r="J51" s="556"/>
      <c r="K51" s="556"/>
      <c r="L51" s="556"/>
      <c r="M51" s="556"/>
      <c r="N51" s="556"/>
      <c r="O51" s="556"/>
      <c r="P51" s="556"/>
      <c r="Q51" s="556"/>
      <c r="R51" s="556"/>
      <c r="S51" s="556"/>
      <c r="T51" s="556"/>
      <c r="U51" s="556"/>
      <c r="V51" s="575">
        <f>SUM(L36:R36)/SUM(D36:J36)</f>
        <v>0.41407484010036139</v>
      </c>
      <c r="W51" s="558"/>
      <c r="X51" s="543"/>
    </row>
    <row r="52" spans="1:25" s="544" customFormat="1" x14ac:dyDescent="0.3">
      <c r="A52" s="555"/>
      <c r="B52" s="556" t="s">
        <v>171</v>
      </c>
      <c r="C52" s="556"/>
      <c r="D52" s="556"/>
      <c r="E52" s="556"/>
      <c r="F52" s="556"/>
      <c r="G52" s="556"/>
      <c r="H52" s="556"/>
      <c r="I52" s="556"/>
      <c r="J52" s="556"/>
      <c r="K52" s="556"/>
      <c r="L52" s="556"/>
      <c r="M52" s="556"/>
      <c r="N52" s="556"/>
      <c r="O52" s="556"/>
      <c r="P52" s="556"/>
      <c r="Q52" s="556"/>
      <c r="R52" s="556"/>
      <c r="S52" s="556"/>
      <c r="T52" s="562"/>
      <c r="U52" s="562"/>
      <c r="V52" s="564" t="s">
        <v>276</v>
      </c>
      <c r="W52" s="558"/>
      <c r="X52" s="543"/>
    </row>
    <row r="53" spans="1:25" s="544" customFormat="1" x14ac:dyDescent="0.3">
      <c r="A53" s="555"/>
      <c r="B53" s="556"/>
      <c r="C53" s="556"/>
      <c r="D53" s="556"/>
      <c r="E53" s="556"/>
      <c r="F53" s="556"/>
      <c r="G53" s="556"/>
      <c r="H53" s="556"/>
      <c r="I53" s="556"/>
      <c r="J53" s="556"/>
      <c r="K53" s="556"/>
      <c r="L53" s="556"/>
      <c r="M53" s="556"/>
      <c r="N53" s="556"/>
      <c r="O53" s="556"/>
      <c r="P53" s="556"/>
      <c r="Q53" s="556"/>
      <c r="R53" s="556"/>
      <c r="S53" s="556"/>
      <c r="T53" s="556"/>
      <c r="U53" s="556"/>
      <c r="V53" s="580"/>
      <c r="W53" s="558"/>
      <c r="X53" s="543"/>
    </row>
    <row r="54" spans="1:25" s="544" customFormat="1" x14ac:dyDescent="0.3">
      <c r="A54" s="555"/>
      <c r="B54" s="556" t="s">
        <v>361</v>
      </c>
      <c r="C54" s="556"/>
      <c r="D54" s="556"/>
      <c r="E54" s="556"/>
      <c r="F54" s="556"/>
      <c r="G54" s="556"/>
      <c r="H54" s="556"/>
      <c r="I54" s="556"/>
      <c r="J54" s="556"/>
      <c r="K54" s="556"/>
      <c r="L54" s="556"/>
      <c r="M54" s="556"/>
      <c r="N54" s="556"/>
      <c r="O54" s="556"/>
      <c r="P54" s="556"/>
      <c r="Q54" s="556"/>
      <c r="R54" s="556"/>
      <c r="S54" s="556"/>
      <c r="T54" s="562"/>
      <c r="U54" s="562"/>
      <c r="V54" s="581" t="s">
        <v>111</v>
      </c>
      <c r="W54" s="558"/>
      <c r="X54" s="543"/>
    </row>
    <row r="55" spans="1:25" s="544" customFormat="1" x14ac:dyDescent="0.3">
      <c r="A55" s="555"/>
      <c r="B55" s="561" t="s">
        <v>201</v>
      </c>
      <c r="C55" s="561"/>
      <c r="D55" s="561"/>
      <c r="E55" s="561"/>
      <c r="F55" s="561"/>
      <c r="G55" s="561"/>
      <c r="H55" s="561"/>
      <c r="I55" s="561"/>
      <c r="J55" s="561"/>
      <c r="K55" s="561"/>
      <c r="L55" s="561"/>
      <c r="M55" s="561"/>
      <c r="N55" s="561"/>
      <c r="O55" s="561"/>
      <c r="P55" s="561"/>
      <c r="Q55" s="561"/>
      <c r="R55" s="561"/>
      <c r="S55" s="561"/>
      <c r="T55" s="582"/>
      <c r="U55" s="582"/>
      <c r="V55" s="583">
        <v>43633</v>
      </c>
      <c r="W55" s="558"/>
      <c r="X55" s="543"/>
    </row>
    <row r="56" spans="1:25" s="544" customFormat="1" x14ac:dyDescent="0.3">
      <c r="A56" s="555"/>
      <c r="B56" s="556" t="s">
        <v>121</v>
      </c>
      <c r="C56" s="556"/>
      <c r="D56" s="556"/>
      <c r="E56" s="556"/>
      <c r="F56" s="556"/>
      <c r="G56" s="556"/>
      <c r="H56" s="584"/>
      <c r="I56" s="584"/>
      <c r="J56" s="584"/>
      <c r="K56" s="584"/>
      <c r="L56" s="584"/>
      <c r="M56" s="584"/>
      <c r="N56" s="584"/>
      <c r="O56" s="584"/>
      <c r="P56" s="584"/>
      <c r="Q56" s="584"/>
      <c r="R56" s="556">
        <f>+V56-T56+1</f>
        <v>88</v>
      </c>
      <c r="S56" s="584"/>
      <c r="T56" s="585">
        <v>43451</v>
      </c>
      <c r="U56" s="586"/>
      <c r="V56" s="585">
        <v>43538</v>
      </c>
      <c r="W56" s="558"/>
      <c r="X56" s="543"/>
    </row>
    <row r="57" spans="1:25" s="544" customFormat="1" x14ac:dyDescent="0.3">
      <c r="A57" s="555"/>
      <c r="B57" s="556" t="s">
        <v>122</v>
      </c>
      <c r="C57" s="556"/>
      <c r="D57" s="556"/>
      <c r="E57" s="556"/>
      <c r="F57" s="556"/>
      <c r="G57" s="556"/>
      <c r="H57" s="556"/>
      <c r="I57" s="556"/>
      <c r="J57" s="556"/>
      <c r="K57" s="556"/>
      <c r="L57" s="556"/>
      <c r="M57" s="556"/>
      <c r="N57" s="556"/>
      <c r="O57" s="556"/>
      <c r="P57" s="556"/>
      <c r="Q57" s="556"/>
      <c r="R57" s="556">
        <f>+V57-T57+1</f>
        <v>94</v>
      </c>
      <c r="S57" s="556"/>
      <c r="T57" s="585">
        <v>43539</v>
      </c>
      <c r="U57" s="586"/>
      <c r="V57" s="585">
        <v>43632</v>
      </c>
      <c r="W57" s="558"/>
      <c r="X57" s="543"/>
    </row>
    <row r="58" spans="1:25" s="544" customFormat="1" x14ac:dyDescent="0.3">
      <c r="A58" s="555"/>
      <c r="B58" s="556" t="s">
        <v>360</v>
      </c>
      <c r="C58" s="556"/>
      <c r="D58" s="556"/>
      <c r="E58" s="556"/>
      <c r="F58" s="556"/>
      <c r="G58" s="556"/>
      <c r="H58" s="556"/>
      <c r="I58" s="556"/>
      <c r="J58" s="556"/>
      <c r="K58" s="556"/>
      <c r="L58" s="556"/>
      <c r="M58" s="556"/>
      <c r="N58" s="556"/>
      <c r="O58" s="556"/>
      <c r="P58" s="556"/>
      <c r="Q58" s="556"/>
      <c r="R58" s="556"/>
      <c r="S58" s="556"/>
      <c r="T58" s="585"/>
      <c r="U58" s="586"/>
      <c r="V58" s="585" t="s">
        <v>120</v>
      </c>
      <c r="W58" s="558"/>
      <c r="X58" s="543"/>
    </row>
    <row r="59" spans="1:25" s="544" customFormat="1" x14ac:dyDescent="0.3">
      <c r="A59" s="555"/>
      <c r="B59" s="556" t="s">
        <v>359</v>
      </c>
      <c r="C59" s="556"/>
      <c r="D59" s="556"/>
      <c r="E59" s="556"/>
      <c r="F59" s="556"/>
      <c r="G59" s="556"/>
      <c r="H59" s="556"/>
      <c r="I59" s="556"/>
      <c r="J59" s="556"/>
      <c r="K59" s="556"/>
      <c r="L59" s="556"/>
      <c r="M59" s="556"/>
      <c r="N59" s="556"/>
      <c r="O59" s="556"/>
      <c r="P59" s="556"/>
      <c r="Q59" s="556"/>
      <c r="R59" s="556"/>
      <c r="S59" s="556"/>
      <c r="T59" s="585"/>
      <c r="U59" s="586"/>
      <c r="V59" s="585" t="s">
        <v>154</v>
      </c>
      <c r="W59" s="558"/>
      <c r="X59" s="543"/>
      <c r="Y59" s="587"/>
    </row>
    <row r="60" spans="1:25" s="544" customFormat="1" x14ac:dyDescent="0.3">
      <c r="A60" s="555"/>
      <c r="B60" s="556" t="s">
        <v>16</v>
      </c>
      <c r="C60" s="556"/>
      <c r="D60" s="556"/>
      <c r="E60" s="556"/>
      <c r="F60" s="556"/>
      <c r="G60" s="556"/>
      <c r="H60" s="556"/>
      <c r="I60" s="556"/>
      <c r="J60" s="556"/>
      <c r="K60" s="556"/>
      <c r="L60" s="556"/>
      <c r="M60" s="556"/>
      <c r="N60" s="556"/>
      <c r="O60" s="556"/>
      <c r="P60" s="556"/>
      <c r="Q60" s="556"/>
      <c r="R60" s="556"/>
      <c r="S60" s="556"/>
      <c r="T60" s="585"/>
      <c r="U60" s="586"/>
      <c r="V60" s="585">
        <v>43619</v>
      </c>
      <c r="W60" s="558"/>
      <c r="X60" s="543"/>
    </row>
    <row r="61" spans="1:25" s="544" customFormat="1" x14ac:dyDescent="0.3">
      <c r="A61" s="540"/>
      <c r="B61" s="588"/>
      <c r="C61" s="588"/>
      <c r="D61" s="588"/>
      <c r="E61" s="588"/>
      <c r="F61" s="588"/>
      <c r="G61" s="588"/>
      <c r="H61" s="588"/>
      <c r="I61" s="588"/>
      <c r="J61" s="588"/>
      <c r="K61" s="588"/>
      <c r="L61" s="588"/>
      <c r="M61" s="588"/>
      <c r="N61" s="588"/>
      <c r="O61" s="588"/>
      <c r="P61" s="588"/>
      <c r="Q61" s="588"/>
      <c r="R61" s="588"/>
      <c r="S61" s="588"/>
      <c r="T61" s="589"/>
      <c r="U61" s="590"/>
      <c r="V61" s="589"/>
      <c r="W61" s="588"/>
      <c r="X61" s="543"/>
    </row>
    <row r="62" spans="1:25" s="544" customFormat="1" x14ac:dyDescent="0.3">
      <c r="A62" s="540"/>
      <c r="B62" s="541"/>
      <c r="C62" s="541"/>
      <c r="D62" s="541"/>
      <c r="E62" s="541"/>
      <c r="F62" s="541"/>
      <c r="G62" s="541"/>
      <c r="H62" s="541"/>
      <c r="I62" s="541"/>
      <c r="J62" s="541"/>
      <c r="K62" s="541"/>
      <c r="L62" s="541"/>
      <c r="M62" s="541"/>
      <c r="N62" s="541"/>
      <c r="O62" s="541"/>
      <c r="P62" s="541"/>
      <c r="Q62" s="541"/>
      <c r="R62" s="541"/>
      <c r="S62" s="541"/>
      <c r="T62" s="591"/>
      <c r="U62" s="592"/>
      <c r="V62" s="591"/>
      <c r="W62" s="541"/>
      <c r="X62" s="543"/>
    </row>
    <row r="63" spans="1:25" s="544" customFormat="1" ht="18.600000000000001" thickBot="1" x14ac:dyDescent="0.4">
      <c r="A63" s="593"/>
      <c r="B63" s="594" t="s">
        <v>381</v>
      </c>
      <c r="C63" s="595"/>
      <c r="D63" s="595"/>
      <c r="E63" s="595"/>
      <c r="F63" s="595"/>
      <c r="G63" s="595"/>
      <c r="H63" s="595"/>
      <c r="I63" s="595"/>
      <c r="J63" s="595"/>
      <c r="K63" s="595"/>
      <c r="L63" s="595"/>
      <c r="M63" s="595"/>
      <c r="N63" s="595"/>
      <c r="O63" s="595"/>
      <c r="P63" s="595"/>
      <c r="Q63" s="595"/>
      <c r="R63" s="595"/>
      <c r="S63" s="595"/>
      <c r="T63" s="595"/>
      <c r="U63" s="595"/>
      <c r="V63" s="596"/>
      <c r="W63" s="597"/>
      <c r="X63" s="543"/>
    </row>
    <row r="64" spans="1:25" x14ac:dyDescent="0.3">
      <c r="A64" s="515"/>
      <c r="B64" s="521" t="s">
        <v>17</v>
      </c>
      <c r="C64" s="516"/>
      <c r="D64" s="516"/>
      <c r="E64" s="516"/>
      <c r="F64" s="516"/>
      <c r="G64" s="516"/>
      <c r="H64" s="516"/>
      <c r="I64" s="516"/>
      <c r="J64" s="516"/>
      <c r="K64" s="516"/>
      <c r="L64" s="516"/>
      <c r="M64" s="516"/>
      <c r="N64" s="516"/>
      <c r="O64" s="516"/>
      <c r="P64" s="516"/>
      <c r="Q64" s="516"/>
      <c r="R64" s="516"/>
      <c r="S64" s="516"/>
      <c r="T64" s="516"/>
      <c r="U64" s="516"/>
      <c r="V64" s="522"/>
      <c r="W64" s="516"/>
      <c r="X64" s="415"/>
    </row>
    <row r="65" spans="1:24" x14ac:dyDescent="0.3">
      <c r="A65" s="417"/>
      <c r="B65" s="425"/>
      <c r="C65" s="419"/>
      <c r="D65" s="419"/>
      <c r="E65" s="419"/>
      <c r="F65" s="419"/>
      <c r="G65" s="419"/>
      <c r="H65" s="419"/>
      <c r="I65" s="419"/>
      <c r="J65" s="419"/>
      <c r="K65" s="419"/>
      <c r="L65" s="419"/>
      <c r="M65" s="419"/>
      <c r="N65" s="419"/>
      <c r="O65" s="419"/>
      <c r="P65" s="419"/>
      <c r="Q65" s="419"/>
      <c r="R65" s="419"/>
      <c r="S65" s="419"/>
      <c r="T65" s="419"/>
      <c r="U65" s="419"/>
      <c r="V65" s="439"/>
      <c r="W65" s="419"/>
      <c r="X65" s="415"/>
    </row>
    <row r="66" spans="1:24" s="499" customFormat="1" ht="46.8" x14ac:dyDescent="0.3">
      <c r="A66" s="502"/>
      <c r="B66" s="503" t="s">
        <v>18</v>
      </c>
      <c r="C66" s="504"/>
      <c r="D66" s="504"/>
      <c r="E66" s="504"/>
      <c r="F66" s="504"/>
      <c r="G66" s="504"/>
      <c r="H66" s="504"/>
      <c r="I66" s="504"/>
      <c r="J66" s="504"/>
      <c r="K66" s="504"/>
      <c r="L66" s="504" t="s">
        <v>94</v>
      </c>
      <c r="M66" s="504"/>
      <c r="N66" s="504" t="s">
        <v>96</v>
      </c>
      <c r="O66" s="504"/>
      <c r="P66" s="504" t="s">
        <v>98</v>
      </c>
      <c r="Q66" s="504"/>
      <c r="R66" s="504" t="s">
        <v>100</v>
      </c>
      <c r="S66" s="504"/>
      <c r="T66" s="504" t="s">
        <v>106</v>
      </c>
      <c r="U66" s="504"/>
      <c r="V66" s="505" t="s">
        <v>112</v>
      </c>
      <c r="W66" s="506"/>
      <c r="X66" s="498"/>
    </row>
    <row r="67" spans="1:24" s="544" customFormat="1" x14ac:dyDescent="0.3">
      <c r="A67" s="555"/>
      <c r="B67" s="556" t="s">
        <v>19</v>
      </c>
      <c r="C67" s="598"/>
      <c r="D67" s="598"/>
      <c r="E67" s="598"/>
      <c r="F67" s="598"/>
      <c r="G67" s="598"/>
      <c r="H67" s="598"/>
      <c r="I67" s="598"/>
      <c r="J67" s="598"/>
      <c r="K67" s="598"/>
      <c r="L67" s="598">
        <v>1158015</v>
      </c>
      <c r="M67" s="598"/>
      <c r="N67" s="599">
        <v>785811</v>
      </c>
      <c r="O67" s="598"/>
      <c r="P67" s="598">
        <f>16697</f>
        <v>16697</v>
      </c>
      <c r="Q67" s="598"/>
      <c r="R67" s="598">
        <v>0</v>
      </c>
      <c r="S67" s="598"/>
      <c r="T67" s="598">
        <v>0</v>
      </c>
      <c r="U67" s="598"/>
      <c r="V67" s="599">
        <f>+N67-P67+R67-T67</f>
        <v>769114</v>
      </c>
      <c r="W67" s="558"/>
      <c r="X67" s="543"/>
    </row>
    <row r="68" spans="1:24" s="544" customFormat="1" x14ac:dyDescent="0.3">
      <c r="A68" s="555"/>
      <c r="B68" s="556" t="s">
        <v>20</v>
      </c>
      <c r="C68" s="598"/>
      <c r="D68" s="598"/>
      <c r="E68" s="598"/>
      <c r="F68" s="598"/>
      <c r="G68" s="598"/>
      <c r="H68" s="598"/>
      <c r="I68" s="598"/>
      <c r="J68" s="598"/>
      <c r="K68" s="598"/>
      <c r="L68" s="598">
        <v>15</v>
      </c>
      <c r="M68" s="598"/>
      <c r="N68" s="599">
        <v>0</v>
      </c>
      <c r="O68" s="598"/>
      <c r="P68" s="598">
        <v>0</v>
      </c>
      <c r="Q68" s="598"/>
      <c r="R68" s="598">
        <v>0</v>
      </c>
      <c r="S68" s="598"/>
      <c r="T68" s="598">
        <v>0</v>
      </c>
      <c r="U68" s="598"/>
      <c r="V68" s="599">
        <v>0</v>
      </c>
      <c r="W68" s="558"/>
      <c r="X68" s="543"/>
    </row>
    <row r="69" spans="1:24" s="544" customFormat="1" x14ac:dyDescent="0.3">
      <c r="A69" s="555"/>
      <c r="B69" s="556"/>
      <c r="C69" s="598"/>
      <c r="D69" s="598"/>
      <c r="E69" s="598"/>
      <c r="F69" s="598"/>
      <c r="G69" s="598"/>
      <c r="H69" s="598"/>
      <c r="I69" s="598"/>
      <c r="J69" s="598"/>
      <c r="K69" s="598"/>
      <c r="L69" s="598"/>
      <c r="M69" s="598"/>
      <c r="N69" s="599"/>
      <c r="O69" s="598"/>
      <c r="P69" s="598"/>
      <c r="Q69" s="598"/>
      <c r="R69" s="598"/>
      <c r="S69" s="598"/>
      <c r="T69" s="598"/>
      <c r="U69" s="598"/>
      <c r="V69" s="599"/>
      <c r="W69" s="558"/>
      <c r="X69" s="543"/>
    </row>
    <row r="70" spans="1:24" s="544" customFormat="1" x14ac:dyDescent="0.3">
      <c r="A70" s="555"/>
      <c r="B70" s="556" t="s">
        <v>21</v>
      </c>
      <c r="C70" s="598"/>
      <c r="D70" s="598"/>
      <c r="E70" s="598"/>
      <c r="F70" s="598"/>
      <c r="G70" s="598"/>
      <c r="H70" s="598"/>
      <c r="I70" s="598"/>
      <c r="J70" s="598"/>
      <c r="K70" s="598"/>
      <c r="L70" s="598">
        <f>SUM(L67:L69)</f>
        <v>1158030</v>
      </c>
      <c r="M70" s="598"/>
      <c r="N70" s="598">
        <f>N67+N68</f>
        <v>785811</v>
      </c>
      <c r="O70" s="598"/>
      <c r="P70" s="598">
        <f>SUM(P67:P69)</f>
        <v>16697</v>
      </c>
      <c r="Q70" s="598"/>
      <c r="R70" s="598">
        <f>SUM(R67:R69)</f>
        <v>0</v>
      </c>
      <c r="S70" s="598"/>
      <c r="T70" s="598">
        <f>SUM(T67:T69)</f>
        <v>0</v>
      </c>
      <c r="U70" s="598"/>
      <c r="V70" s="598">
        <f>SUM(V67:V69)</f>
        <v>769114</v>
      </c>
      <c r="W70" s="558"/>
      <c r="X70" s="543"/>
    </row>
    <row r="71" spans="1:24" x14ac:dyDescent="0.3">
      <c r="A71" s="417"/>
      <c r="B71" s="441"/>
      <c r="C71" s="442"/>
      <c r="D71" s="442"/>
      <c r="E71" s="442"/>
      <c r="F71" s="442"/>
      <c r="G71" s="442"/>
      <c r="H71" s="442"/>
      <c r="I71" s="442"/>
      <c r="J71" s="442"/>
      <c r="K71" s="442"/>
      <c r="L71" s="442"/>
      <c r="M71" s="442"/>
      <c r="N71" s="442"/>
      <c r="O71" s="442"/>
      <c r="P71" s="442"/>
      <c r="Q71" s="442"/>
      <c r="R71" s="442"/>
      <c r="S71" s="442"/>
      <c r="T71" s="442"/>
      <c r="U71" s="442"/>
      <c r="V71" s="443"/>
      <c r="W71" s="441"/>
      <c r="X71" s="415"/>
    </row>
    <row r="72" spans="1:24" x14ac:dyDescent="0.3">
      <c r="A72" s="417"/>
      <c r="B72" s="421" t="s">
        <v>22</v>
      </c>
      <c r="C72" s="444"/>
      <c r="D72" s="444"/>
      <c r="E72" s="444"/>
      <c r="F72" s="444"/>
      <c r="G72" s="444"/>
      <c r="H72" s="444"/>
      <c r="I72" s="444"/>
      <c r="J72" s="444"/>
      <c r="K72" s="444"/>
      <c r="L72" s="444"/>
      <c r="M72" s="444"/>
      <c r="N72" s="444"/>
      <c r="O72" s="444"/>
      <c r="P72" s="444"/>
      <c r="Q72" s="444"/>
      <c r="R72" s="444"/>
      <c r="S72" s="444"/>
      <c r="T72" s="444"/>
      <c r="U72" s="444"/>
      <c r="V72" s="445"/>
      <c r="W72" s="419"/>
      <c r="X72" s="415"/>
    </row>
    <row r="73" spans="1:24" x14ac:dyDescent="0.3">
      <c r="A73" s="417"/>
      <c r="B73" s="419"/>
      <c r="C73" s="444"/>
      <c r="D73" s="444"/>
      <c r="E73" s="444"/>
      <c r="F73" s="444"/>
      <c r="G73" s="444"/>
      <c r="H73" s="444"/>
      <c r="I73" s="444"/>
      <c r="J73" s="444"/>
      <c r="K73" s="444"/>
      <c r="L73" s="444"/>
      <c r="M73" s="444"/>
      <c r="N73" s="444"/>
      <c r="O73" s="444"/>
      <c r="P73" s="444"/>
      <c r="Q73" s="444"/>
      <c r="R73" s="444"/>
      <c r="S73" s="444"/>
      <c r="T73" s="444"/>
      <c r="U73" s="444"/>
      <c r="V73" s="445"/>
      <c r="W73" s="419"/>
      <c r="X73" s="415"/>
    </row>
    <row r="74" spans="1:24" s="544" customFormat="1" x14ac:dyDescent="0.3">
      <c r="A74" s="555"/>
      <c r="B74" s="556" t="s">
        <v>19</v>
      </c>
      <c r="C74" s="598"/>
      <c r="D74" s="598"/>
      <c r="E74" s="598"/>
      <c r="F74" s="598"/>
      <c r="G74" s="598"/>
      <c r="H74" s="598"/>
      <c r="I74" s="598"/>
      <c r="J74" s="598"/>
      <c r="K74" s="598"/>
      <c r="L74" s="598"/>
      <c r="M74" s="598"/>
      <c r="N74" s="598"/>
      <c r="O74" s="598"/>
      <c r="P74" s="598"/>
      <c r="Q74" s="598"/>
      <c r="R74" s="598"/>
      <c r="S74" s="598"/>
      <c r="T74" s="598"/>
      <c r="U74" s="598"/>
      <c r="V74" s="598"/>
      <c r="W74" s="558"/>
      <c r="X74" s="543"/>
    </row>
    <row r="75" spans="1:24" s="544" customFormat="1" x14ac:dyDescent="0.3">
      <c r="A75" s="555"/>
      <c r="B75" s="556" t="s">
        <v>20</v>
      </c>
      <c r="C75" s="598"/>
      <c r="D75" s="598"/>
      <c r="E75" s="598"/>
      <c r="F75" s="598"/>
      <c r="G75" s="598"/>
      <c r="H75" s="598"/>
      <c r="I75" s="598"/>
      <c r="J75" s="598"/>
      <c r="K75" s="598"/>
      <c r="L75" s="598"/>
      <c r="M75" s="598"/>
      <c r="N75" s="598"/>
      <c r="O75" s="598"/>
      <c r="P75" s="598"/>
      <c r="Q75" s="598"/>
      <c r="R75" s="598"/>
      <c r="S75" s="598"/>
      <c r="T75" s="598"/>
      <c r="U75" s="598"/>
      <c r="V75" s="598"/>
      <c r="W75" s="558"/>
      <c r="X75" s="543"/>
    </row>
    <row r="76" spans="1:24" s="544" customFormat="1" x14ac:dyDescent="0.3">
      <c r="A76" s="555"/>
      <c r="B76" s="556"/>
      <c r="C76" s="598"/>
      <c r="D76" s="598"/>
      <c r="E76" s="598"/>
      <c r="F76" s="598"/>
      <c r="G76" s="598"/>
      <c r="H76" s="598"/>
      <c r="I76" s="598"/>
      <c r="J76" s="598"/>
      <c r="K76" s="598"/>
      <c r="L76" s="598"/>
      <c r="M76" s="598"/>
      <c r="N76" s="598"/>
      <c r="O76" s="598"/>
      <c r="P76" s="598"/>
      <c r="Q76" s="598"/>
      <c r="R76" s="598"/>
      <c r="S76" s="598"/>
      <c r="T76" s="598"/>
      <c r="U76" s="598"/>
      <c r="V76" s="598"/>
      <c r="W76" s="558"/>
      <c r="X76" s="543"/>
    </row>
    <row r="77" spans="1:24" s="544" customFormat="1" x14ac:dyDescent="0.3">
      <c r="A77" s="555"/>
      <c r="B77" s="556" t="s">
        <v>21</v>
      </c>
      <c r="C77" s="598"/>
      <c r="D77" s="598"/>
      <c r="E77" s="598"/>
      <c r="F77" s="598"/>
      <c r="G77" s="598"/>
      <c r="H77" s="598"/>
      <c r="I77" s="598"/>
      <c r="J77" s="598"/>
      <c r="K77" s="598"/>
      <c r="L77" s="598"/>
      <c r="M77" s="598"/>
      <c r="N77" s="598"/>
      <c r="O77" s="598"/>
      <c r="P77" s="598"/>
      <c r="Q77" s="598"/>
      <c r="R77" s="598"/>
      <c r="S77" s="598"/>
      <c r="T77" s="598"/>
      <c r="U77" s="598"/>
      <c r="V77" s="598"/>
      <c r="W77" s="558"/>
      <c r="X77" s="543"/>
    </row>
    <row r="78" spans="1:24" s="544" customFormat="1" x14ac:dyDescent="0.3">
      <c r="A78" s="555"/>
      <c r="B78" s="556"/>
      <c r="C78" s="598"/>
      <c r="D78" s="598"/>
      <c r="E78" s="598"/>
      <c r="F78" s="598"/>
      <c r="G78" s="598"/>
      <c r="H78" s="598"/>
      <c r="I78" s="598"/>
      <c r="J78" s="598"/>
      <c r="K78" s="598"/>
      <c r="L78" s="598"/>
      <c r="M78" s="598"/>
      <c r="N78" s="598"/>
      <c r="O78" s="598"/>
      <c r="P78" s="598"/>
      <c r="Q78" s="598"/>
      <c r="R78" s="598"/>
      <c r="S78" s="598"/>
      <c r="T78" s="598"/>
      <c r="U78" s="598"/>
      <c r="V78" s="598"/>
      <c r="W78" s="558"/>
      <c r="X78" s="543"/>
    </row>
    <row r="79" spans="1:24" s="544" customFormat="1" x14ac:dyDescent="0.3">
      <c r="A79" s="555"/>
      <c r="B79" s="556" t="s">
        <v>23</v>
      </c>
      <c r="C79" s="598"/>
      <c r="D79" s="598"/>
      <c r="E79" s="598"/>
      <c r="F79" s="598"/>
      <c r="G79" s="598"/>
      <c r="H79" s="598"/>
      <c r="I79" s="598"/>
      <c r="J79" s="598"/>
      <c r="K79" s="598"/>
      <c r="L79" s="598">
        <v>0</v>
      </c>
      <c r="M79" s="598"/>
      <c r="N79" s="598">
        <v>0</v>
      </c>
      <c r="O79" s="598"/>
      <c r="P79" s="598"/>
      <c r="Q79" s="598"/>
      <c r="R79" s="598"/>
      <c r="S79" s="598"/>
      <c r="T79" s="598"/>
      <c r="U79" s="598"/>
      <c r="V79" s="599">
        <v>0</v>
      </c>
      <c r="W79" s="558"/>
      <c r="X79" s="543"/>
    </row>
    <row r="80" spans="1:24" s="544" customFormat="1" x14ac:dyDescent="0.3">
      <c r="A80" s="555"/>
      <c r="B80" s="556" t="s">
        <v>117</v>
      </c>
      <c r="C80" s="598"/>
      <c r="D80" s="598"/>
      <c r="E80" s="598"/>
      <c r="F80" s="598"/>
      <c r="G80" s="598"/>
      <c r="H80" s="598"/>
      <c r="I80" s="598"/>
      <c r="J80" s="598"/>
      <c r="K80" s="598"/>
      <c r="L80" s="598">
        <v>342245</v>
      </c>
      <c r="M80" s="598"/>
      <c r="N80" s="598">
        <v>0</v>
      </c>
      <c r="O80" s="598"/>
      <c r="P80" s="598">
        <v>0</v>
      </c>
      <c r="Q80" s="598"/>
      <c r="R80" s="598"/>
      <c r="S80" s="598"/>
      <c r="T80" s="598"/>
      <c r="U80" s="598"/>
      <c r="V80" s="598">
        <f>SUM(N80:R80)</f>
        <v>0</v>
      </c>
      <c r="W80" s="558"/>
      <c r="X80" s="543"/>
    </row>
    <row r="81" spans="1:24" s="544" customFormat="1" x14ac:dyDescent="0.3">
      <c r="A81" s="555"/>
      <c r="B81" s="556" t="s">
        <v>146</v>
      </c>
      <c r="C81" s="598"/>
      <c r="D81" s="598"/>
      <c r="E81" s="598"/>
      <c r="F81" s="598"/>
      <c r="G81" s="598"/>
      <c r="H81" s="598"/>
      <c r="I81" s="598"/>
      <c r="J81" s="598"/>
      <c r="K81" s="598"/>
      <c r="L81" s="598">
        <v>0</v>
      </c>
      <c r="M81" s="598"/>
      <c r="N81" s="598">
        <v>0</v>
      </c>
      <c r="O81" s="598"/>
      <c r="P81" s="598">
        <v>0</v>
      </c>
      <c r="Q81" s="598"/>
      <c r="R81" s="598"/>
      <c r="S81" s="598"/>
      <c r="T81" s="598"/>
      <c r="U81" s="598"/>
      <c r="V81" s="598">
        <f>+N81+P81</f>
        <v>0</v>
      </c>
      <c r="W81" s="558"/>
      <c r="X81" s="543"/>
    </row>
    <row r="82" spans="1:24" s="544" customFormat="1" x14ac:dyDescent="0.3">
      <c r="A82" s="555"/>
      <c r="B82" s="556" t="s">
        <v>25</v>
      </c>
      <c r="C82" s="598"/>
      <c r="D82" s="598"/>
      <c r="E82" s="598"/>
      <c r="F82" s="598"/>
      <c r="G82" s="598"/>
      <c r="H82" s="598"/>
      <c r="I82" s="598"/>
      <c r="J82" s="598"/>
      <c r="K82" s="598"/>
      <c r="L82" s="598">
        <v>0</v>
      </c>
      <c r="M82" s="598"/>
      <c r="N82" s="598">
        <v>0</v>
      </c>
      <c r="O82" s="598"/>
      <c r="P82" s="598"/>
      <c r="Q82" s="598"/>
      <c r="R82" s="598"/>
      <c r="S82" s="598"/>
      <c r="T82" s="598"/>
      <c r="U82" s="598"/>
      <c r="V82" s="598">
        <v>0</v>
      </c>
      <c r="W82" s="558"/>
      <c r="X82" s="543"/>
    </row>
    <row r="83" spans="1:24" s="544" customFormat="1" x14ac:dyDescent="0.3">
      <c r="A83" s="555"/>
      <c r="B83" s="556" t="s">
        <v>26</v>
      </c>
      <c r="C83" s="598"/>
      <c r="D83" s="598"/>
      <c r="E83" s="598"/>
      <c r="F83" s="598"/>
      <c r="G83" s="598"/>
      <c r="H83" s="598"/>
      <c r="I83" s="598"/>
      <c r="J83" s="598"/>
      <c r="K83" s="598"/>
      <c r="L83" s="598">
        <f>SUM(L70:L82)</f>
        <v>1500275</v>
      </c>
      <c r="M83" s="598"/>
      <c r="N83" s="598">
        <f>SUM(N70:N82)</f>
        <v>785811</v>
      </c>
      <c r="O83" s="598"/>
      <c r="P83" s="598"/>
      <c r="Q83" s="598"/>
      <c r="R83" s="598"/>
      <c r="S83" s="598"/>
      <c r="T83" s="598"/>
      <c r="U83" s="598"/>
      <c r="V83" s="598">
        <f>SUM(V70:V82)</f>
        <v>769114</v>
      </c>
      <c r="W83" s="558"/>
      <c r="X83" s="543"/>
    </row>
    <row r="84" spans="1:24" x14ac:dyDescent="0.3">
      <c r="A84" s="446"/>
      <c r="B84" s="437"/>
      <c r="C84" s="447"/>
      <c r="D84" s="447"/>
      <c r="E84" s="447"/>
      <c r="F84" s="447"/>
      <c r="G84" s="447"/>
      <c r="H84" s="447"/>
      <c r="I84" s="447"/>
      <c r="J84" s="447"/>
      <c r="K84" s="447"/>
      <c r="L84" s="447"/>
      <c r="M84" s="447"/>
      <c r="N84" s="447"/>
      <c r="O84" s="447"/>
      <c r="P84" s="447"/>
      <c r="Q84" s="447"/>
      <c r="R84" s="447"/>
      <c r="S84" s="447"/>
      <c r="T84" s="447"/>
      <c r="U84" s="447"/>
      <c r="V84" s="447"/>
      <c r="W84" s="437"/>
      <c r="X84" s="415"/>
    </row>
    <row r="85" spans="1:24" x14ac:dyDescent="0.3">
      <c r="A85" s="446"/>
      <c r="B85" s="427"/>
      <c r="C85" s="427"/>
      <c r="D85" s="427"/>
      <c r="E85" s="427"/>
      <c r="F85" s="427"/>
      <c r="G85" s="427"/>
      <c r="H85" s="427"/>
      <c r="I85" s="427"/>
      <c r="J85" s="427"/>
      <c r="K85" s="427"/>
      <c r="L85" s="427"/>
      <c r="M85" s="427"/>
      <c r="N85" s="427"/>
      <c r="O85" s="427"/>
      <c r="P85" s="427"/>
      <c r="Q85" s="427"/>
      <c r="R85" s="427"/>
      <c r="S85" s="427"/>
      <c r="T85" s="427"/>
      <c r="U85" s="427"/>
      <c r="V85" s="427"/>
      <c r="W85" s="427"/>
      <c r="X85" s="415"/>
    </row>
    <row r="86" spans="1:24" x14ac:dyDescent="0.3">
      <c r="A86" s="515"/>
      <c r="B86" s="523" t="s">
        <v>27</v>
      </c>
      <c r="C86" s="523"/>
      <c r="D86" s="523"/>
      <c r="E86" s="523"/>
      <c r="F86" s="523"/>
      <c r="G86" s="523"/>
      <c r="H86" s="524"/>
      <c r="I86" s="524"/>
      <c r="J86" s="524"/>
      <c r="K86" s="524"/>
      <c r="L86" s="525" t="s">
        <v>95</v>
      </c>
      <c r="M86" s="524"/>
      <c r="N86" s="526">
        <f>+T204</f>
        <v>43616</v>
      </c>
      <c r="O86" s="524"/>
      <c r="P86" s="524"/>
      <c r="Q86" s="524"/>
      <c r="R86" s="524"/>
      <c r="S86" s="524"/>
      <c r="T86" s="524" t="s">
        <v>107</v>
      </c>
      <c r="U86" s="524"/>
      <c r="V86" s="524" t="s">
        <v>113</v>
      </c>
      <c r="W86" s="520"/>
      <c r="X86" s="415"/>
    </row>
    <row r="87" spans="1:24" s="544" customFormat="1" x14ac:dyDescent="0.3">
      <c r="A87" s="540"/>
      <c r="B87" s="588" t="s">
        <v>28</v>
      </c>
      <c r="C87" s="588"/>
      <c r="D87" s="588"/>
      <c r="E87" s="588"/>
      <c r="F87" s="588"/>
      <c r="G87" s="588"/>
      <c r="H87" s="588"/>
      <c r="I87" s="588"/>
      <c r="J87" s="588"/>
      <c r="K87" s="588"/>
      <c r="L87" s="588"/>
      <c r="M87" s="588"/>
      <c r="N87" s="588"/>
      <c r="O87" s="588"/>
      <c r="P87" s="588"/>
      <c r="Q87" s="588"/>
      <c r="R87" s="588"/>
      <c r="S87" s="588"/>
      <c r="T87" s="600">
        <v>0</v>
      </c>
      <c r="U87" s="588"/>
      <c r="V87" s="601">
        <v>0</v>
      </c>
      <c r="W87" s="588"/>
      <c r="X87" s="543"/>
    </row>
    <row r="88" spans="1:24" s="544" customFormat="1" x14ac:dyDescent="0.3">
      <c r="A88" s="555"/>
      <c r="B88" s="556" t="s">
        <v>29</v>
      </c>
      <c r="C88" s="556"/>
      <c r="D88" s="556"/>
      <c r="E88" s="556"/>
      <c r="F88" s="556"/>
      <c r="G88" s="556"/>
      <c r="H88" s="578"/>
      <c r="I88" s="578"/>
      <c r="J88" s="578"/>
      <c r="K88" s="602"/>
      <c r="L88" s="578"/>
      <c r="M88" s="556"/>
      <c r="N88" s="603"/>
      <c r="O88" s="556"/>
      <c r="P88" s="556"/>
      <c r="Q88" s="556"/>
      <c r="R88" s="556"/>
      <c r="S88" s="556"/>
      <c r="T88" s="598">
        <f>16697-44</f>
        <v>16653</v>
      </c>
      <c r="U88" s="556"/>
      <c r="V88" s="599"/>
      <c r="W88" s="558"/>
      <c r="X88" s="543"/>
    </row>
    <row r="89" spans="1:24" s="544" customFormat="1" x14ac:dyDescent="0.3">
      <c r="A89" s="555"/>
      <c r="B89" s="556" t="s">
        <v>216</v>
      </c>
      <c r="C89" s="556"/>
      <c r="D89" s="556"/>
      <c r="E89" s="556"/>
      <c r="F89" s="556"/>
      <c r="G89" s="556"/>
      <c r="H89" s="578"/>
      <c r="I89" s="578"/>
      <c r="J89" s="578"/>
      <c r="K89" s="602"/>
      <c r="L89" s="578"/>
      <c r="M89" s="556"/>
      <c r="N89" s="603"/>
      <c r="O89" s="556"/>
      <c r="P89" s="556"/>
      <c r="Q89" s="556"/>
      <c r="R89" s="556"/>
      <c r="S89" s="556"/>
      <c r="T89" s="598"/>
      <c r="U89" s="556"/>
      <c r="V89" s="599">
        <f>3216+3772-573-1066</f>
        <v>5349</v>
      </c>
      <c r="W89" s="558"/>
      <c r="X89" s="543"/>
    </row>
    <row r="90" spans="1:24" s="544" customFormat="1" x14ac:dyDescent="0.3">
      <c r="A90" s="555"/>
      <c r="B90" s="556" t="s">
        <v>211</v>
      </c>
      <c r="C90" s="556"/>
      <c r="D90" s="556"/>
      <c r="E90" s="556"/>
      <c r="F90" s="556"/>
      <c r="G90" s="556"/>
      <c r="H90" s="578"/>
      <c r="I90" s="578"/>
      <c r="J90" s="578"/>
      <c r="K90" s="602"/>
      <c r="L90" s="578"/>
      <c r="M90" s="556"/>
      <c r="N90" s="603"/>
      <c r="O90" s="556"/>
      <c r="P90" s="556"/>
      <c r="Q90" s="556"/>
      <c r="R90" s="556"/>
      <c r="S90" s="556"/>
      <c r="T90" s="598"/>
      <c r="U90" s="556"/>
      <c r="V90" s="599">
        <f>18+37</f>
        <v>55</v>
      </c>
      <c r="W90" s="558"/>
      <c r="X90" s="543"/>
    </row>
    <row r="91" spans="1:24" s="544" customFormat="1" x14ac:dyDescent="0.3">
      <c r="A91" s="555"/>
      <c r="B91" s="556" t="s">
        <v>212</v>
      </c>
      <c r="C91" s="556"/>
      <c r="D91" s="556"/>
      <c r="E91" s="556"/>
      <c r="F91" s="556"/>
      <c r="G91" s="556"/>
      <c r="H91" s="578"/>
      <c r="I91" s="578"/>
      <c r="J91" s="578"/>
      <c r="K91" s="602"/>
      <c r="L91" s="578"/>
      <c r="M91" s="556"/>
      <c r="N91" s="603"/>
      <c r="O91" s="556"/>
      <c r="P91" s="556"/>
      <c r="Q91" s="556"/>
      <c r="R91" s="556"/>
      <c r="S91" s="556"/>
      <c r="T91" s="598"/>
      <c r="U91" s="556"/>
      <c r="V91" s="599">
        <v>82</v>
      </c>
      <c r="W91" s="558"/>
      <c r="X91" s="543"/>
    </row>
    <row r="92" spans="1:24" s="544" customFormat="1" x14ac:dyDescent="0.3">
      <c r="A92" s="555"/>
      <c r="B92" s="556" t="s">
        <v>272</v>
      </c>
      <c r="C92" s="556"/>
      <c r="D92" s="556"/>
      <c r="E92" s="556"/>
      <c r="F92" s="556"/>
      <c r="G92" s="556"/>
      <c r="H92" s="578"/>
      <c r="I92" s="578"/>
      <c r="J92" s="578"/>
      <c r="K92" s="602"/>
      <c r="L92" s="578"/>
      <c r="M92" s="556"/>
      <c r="N92" s="603"/>
      <c r="O92" s="556"/>
      <c r="P92" s="556"/>
      <c r="Q92" s="556"/>
      <c r="R92" s="556"/>
      <c r="S92" s="556"/>
      <c r="T92" s="598"/>
      <c r="U92" s="556"/>
      <c r="V92" s="599">
        <v>0</v>
      </c>
      <c r="W92" s="558"/>
      <c r="X92" s="543"/>
    </row>
    <row r="93" spans="1:24" s="544" customFormat="1" x14ac:dyDescent="0.3">
      <c r="A93" s="555"/>
      <c r="B93" s="556" t="s">
        <v>274</v>
      </c>
      <c r="C93" s="556"/>
      <c r="D93" s="556"/>
      <c r="E93" s="556"/>
      <c r="F93" s="556"/>
      <c r="G93" s="556"/>
      <c r="H93" s="578"/>
      <c r="I93" s="578"/>
      <c r="J93" s="578"/>
      <c r="K93" s="602"/>
      <c r="L93" s="578"/>
      <c r="M93" s="556"/>
      <c r="N93" s="603"/>
      <c r="O93" s="556"/>
      <c r="P93" s="556"/>
      <c r="Q93" s="556"/>
      <c r="R93" s="556"/>
      <c r="S93" s="556"/>
      <c r="T93" s="598"/>
      <c r="U93" s="556"/>
      <c r="V93" s="599">
        <v>0</v>
      </c>
      <c r="W93" s="558"/>
      <c r="X93" s="543"/>
    </row>
    <row r="94" spans="1:24" s="544" customFormat="1" x14ac:dyDescent="0.3">
      <c r="A94" s="555"/>
      <c r="B94" s="556" t="s">
        <v>135</v>
      </c>
      <c r="C94" s="556"/>
      <c r="D94" s="556"/>
      <c r="E94" s="556"/>
      <c r="F94" s="556"/>
      <c r="G94" s="556"/>
      <c r="H94" s="556"/>
      <c r="I94" s="556"/>
      <c r="J94" s="556"/>
      <c r="K94" s="556"/>
      <c r="L94" s="556"/>
      <c r="M94" s="556"/>
      <c r="N94" s="556"/>
      <c r="O94" s="556"/>
      <c r="P94" s="556"/>
      <c r="Q94" s="556"/>
      <c r="R94" s="556"/>
      <c r="S94" s="556"/>
      <c r="T94" s="598"/>
      <c r="U94" s="556"/>
      <c r="V94" s="599">
        <v>0</v>
      </c>
      <c r="W94" s="558"/>
      <c r="X94" s="543"/>
    </row>
    <row r="95" spans="1:24" s="544" customFormat="1" x14ac:dyDescent="0.3">
      <c r="A95" s="555"/>
      <c r="B95" s="556" t="s">
        <v>268</v>
      </c>
      <c r="C95" s="556"/>
      <c r="D95" s="556"/>
      <c r="E95" s="556"/>
      <c r="F95" s="556"/>
      <c r="G95" s="556"/>
      <c r="H95" s="556"/>
      <c r="I95" s="556"/>
      <c r="J95" s="556"/>
      <c r="K95" s="556"/>
      <c r="L95" s="556"/>
      <c r="M95" s="556"/>
      <c r="N95" s="556"/>
      <c r="O95" s="556"/>
      <c r="P95" s="556"/>
      <c r="Q95" s="556"/>
      <c r="R95" s="556"/>
      <c r="S95" s="556"/>
      <c r="T95" s="598"/>
      <c r="U95" s="556"/>
      <c r="V95" s="599">
        <v>129</v>
      </c>
      <c r="W95" s="558"/>
      <c r="X95" s="543"/>
    </row>
    <row r="96" spans="1:24" s="544" customFormat="1" x14ac:dyDescent="0.3">
      <c r="A96" s="555"/>
      <c r="B96" s="556" t="s">
        <v>30</v>
      </c>
      <c r="C96" s="556"/>
      <c r="D96" s="556"/>
      <c r="E96" s="556"/>
      <c r="F96" s="556"/>
      <c r="G96" s="556"/>
      <c r="H96" s="556"/>
      <c r="I96" s="556"/>
      <c r="J96" s="556"/>
      <c r="K96" s="556"/>
      <c r="L96" s="556"/>
      <c r="M96" s="556"/>
      <c r="N96" s="556"/>
      <c r="O96" s="556"/>
      <c r="P96" s="556"/>
      <c r="Q96" s="556"/>
      <c r="R96" s="556"/>
      <c r="S96" s="556"/>
      <c r="T96" s="598">
        <f>SUM(T87:T95)</f>
        <v>16653</v>
      </c>
      <c r="U96" s="556"/>
      <c r="V96" s="598">
        <f>SUM(V87:V95)</f>
        <v>5615</v>
      </c>
      <c r="W96" s="558"/>
      <c r="X96" s="543"/>
    </row>
    <row r="97" spans="1:25" s="544" customFormat="1" x14ac:dyDescent="0.3">
      <c r="A97" s="555"/>
      <c r="B97" s="556" t="s">
        <v>161</v>
      </c>
      <c r="C97" s="556"/>
      <c r="D97" s="556"/>
      <c r="E97" s="556"/>
      <c r="F97" s="556"/>
      <c r="G97" s="556"/>
      <c r="H97" s="556"/>
      <c r="I97" s="556"/>
      <c r="J97" s="556"/>
      <c r="K97" s="556"/>
      <c r="L97" s="556"/>
      <c r="M97" s="556"/>
      <c r="N97" s="556"/>
      <c r="O97" s="556"/>
      <c r="P97" s="556"/>
      <c r="Q97" s="556"/>
      <c r="R97" s="556"/>
      <c r="S97" s="556"/>
      <c r="T97" s="598">
        <f>-V97</f>
        <v>0</v>
      </c>
      <c r="U97" s="556"/>
      <c r="V97" s="598">
        <v>0</v>
      </c>
      <c r="W97" s="558"/>
      <c r="X97" s="543"/>
    </row>
    <row r="98" spans="1:25" s="544" customFormat="1" x14ac:dyDescent="0.3">
      <c r="A98" s="555"/>
      <c r="B98" s="556" t="s">
        <v>31</v>
      </c>
      <c r="C98" s="556"/>
      <c r="D98" s="556"/>
      <c r="E98" s="556"/>
      <c r="F98" s="556"/>
      <c r="G98" s="556"/>
      <c r="H98" s="556"/>
      <c r="I98" s="556"/>
      <c r="J98" s="556"/>
      <c r="K98" s="556"/>
      <c r="L98" s="556"/>
      <c r="M98" s="556"/>
      <c r="N98" s="556"/>
      <c r="O98" s="556"/>
      <c r="P98" s="556"/>
      <c r="Q98" s="556"/>
      <c r="R98" s="556"/>
      <c r="S98" s="556"/>
      <c r="T98" s="598">
        <f>-V98</f>
        <v>0</v>
      </c>
      <c r="U98" s="556"/>
      <c r="V98" s="599">
        <v>0</v>
      </c>
      <c r="W98" s="558"/>
      <c r="X98" s="543"/>
    </row>
    <row r="99" spans="1:25" s="544" customFormat="1" x14ac:dyDescent="0.3">
      <c r="A99" s="555"/>
      <c r="B99" s="556" t="s">
        <v>283</v>
      </c>
      <c r="C99" s="556"/>
      <c r="D99" s="556"/>
      <c r="E99" s="556"/>
      <c r="F99" s="556"/>
      <c r="G99" s="556"/>
      <c r="H99" s="556"/>
      <c r="I99" s="556"/>
      <c r="J99" s="556"/>
      <c r="K99" s="556"/>
      <c r="L99" s="556"/>
      <c r="M99" s="556"/>
      <c r="N99" s="556"/>
      <c r="O99" s="556"/>
      <c r="P99" s="556"/>
      <c r="Q99" s="556"/>
      <c r="R99" s="556"/>
      <c r="S99" s="556"/>
      <c r="T99" s="598"/>
      <c r="U99" s="556"/>
      <c r="V99" s="599">
        <v>-1</v>
      </c>
      <c r="W99" s="558"/>
      <c r="X99" s="543"/>
    </row>
    <row r="100" spans="1:25" s="544" customFormat="1" x14ac:dyDescent="0.3">
      <c r="A100" s="555"/>
      <c r="B100" s="556" t="s">
        <v>32</v>
      </c>
      <c r="C100" s="556"/>
      <c r="D100" s="556"/>
      <c r="E100" s="556"/>
      <c r="F100" s="556"/>
      <c r="G100" s="556"/>
      <c r="H100" s="556"/>
      <c r="I100" s="556"/>
      <c r="J100" s="556"/>
      <c r="K100" s="556"/>
      <c r="L100" s="556"/>
      <c r="M100" s="556"/>
      <c r="N100" s="556"/>
      <c r="O100" s="556"/>
      <c r="P100" s="556"/>
      <c r="Q100" s="556"/>
      <c r="R100" s="556"/>
      <c r="S100" s="556"/>
      <c r="T100" s="598">
        <f>T96+T98+T97</f>
        <v>16653</v>
      </c>
      <c r="U100" s="556"/>
      <c r="V100" s="598">
        <f>V96+V98+V97+V99</f>
        <v>5614</v>
      </c>
      <c r="W100" s="558"/>
      <c r="X100" s="543"/>
    </row>
    <row r="101" spans="1:25" x14ac:dyDescent="0.3">
      <c r="A101" s="431"/>
      <c r="B101" s="507" t="s">
        <v>33</v>
      </c>
      <c r="C101" s="434"/>
      <c r="D101" s="434"/>
      <c r="E101" s="434"/>
      <c r="F101" s="434"/>
      <c r="G101" s="434"/>
      <c r="H101" s="434"/>
      <c r="I101" s="434"/>
      <c r="J101" s="434"/>
      <c r="K101" s="434"/>
      <c r="L101" s="434"/>
      <c r="M101" s="434"/>
      <c r="N101" s="434"/>
      <c r="O101" s="434"/>
      <c r="P101" s="434"/>
      <c r="Q101" s="434"/>
      <c r="R101" s="434"/>
      <c r="S101" s="434"/>
      <c r="T101" s="448"/>
      <c r="U101" s="434"/>
      <c r="V101" s="449"/>
      <c r="W101" s="436"/>
      <c r="X101" s="415"/>
    </row>
    <row r="102" spans="1:25" s="544" customFormat="1" x14ac:dyDescent="0.3">
      <c r="A102" s="555">
        <v>1</v>
      </c>
      <c r="B102" s="556" t="s">
        <v>34</v>
      </c>
      <c r="C102" s="556"/>
      <c r="D102" s="556"/>
      <c r="E102" s="556"/>
      <c r="F102" s="556"/>
      <c r="G102" s="556"/>
      <c r="H102" s="556"/>
      <c r="I102" s="556"/>
      <c r="J102" s="556"/>
      <c r="K102" s="556"/>
      <c r="L102" s="556"/>
      <c r="M102" s="556"/>
      <c r="N102" s="556"/>
      <c r="O102" s="556"/>
      <c r="P102" s="556"/>
      <c r="Q102" s="556"/>
      <c r="R102" s="556"/>
      <c r="S102" s="556"/>
      <c r="T102" s="556"/>
      <c r="U102" s="556"/>
      <c r="V102" s="599">
        <v>0</v>
      </c>
      <c r="W102" s="558"/>
      <c r="X102" s="543"/>
    </row>
    <row r="103" spans="1:25" s="544" customFormat="1" x14ac:dyDescent="0.3">
      <c r="A103" s="555">
        <f>+A102+1</f>
        <v>2</v>
      </c>
      <c r="B103" s="556" t="s">
        <v>330</v>
      </c>
      <c r="C103" s="556"/>
      <c r="D103" s="556"/>
      <c r="E103" s="556"/>
      <c r="F103" s="556"/>
      <c r="G103" s="556"/>
      <c r="H103" s="556"/>
      <c r="I103" s="556"/>
      <c r="J103" s="556"/>
      <c r="K103" s="556"/>
      <c r="L103" s="556"/>
      <c r="M103" s="556"/>
      <c r="N103" s="556"/>
      <c r="O103" s="556"/>
      <c r="P103" s="556"/>
      <c r="Q103" s="556"/>
      <c r="R103" s="556"/>
      <c r="S103" s="556"/>
      <c r="T103" s="556"/>
      <c r="U103" s="556"/>
      <c r="V103" s="599">
        <v>-2</v>
      </c>
      <c r="W103" s="558"/>
      <c r="X103" s="543"/>
    </row>
    <row r="104" spans="1:25" s="544" customFormat="1" x14ac:dyDescent="0.3">
      <c r="A104" s="555">
        <f>+A103+1</f>
        <v>3</v>
      </c>
      <c r="B104" s="556" t="s">
        <v>331</v>
      </c>
      <c r="C104" s="556"/>
      <c r="D104" s="556"/>
      <c r="E104" s="556"/>
      <c r="F104" s="556"/>
      <c r="G104" s="556"/>
      <c r="H104" s="556"/>
      <c r="I104" s="556"/>
      <c r="J104" s="556"/>
      <c r="K104" s="556"/>
      <c r="L104" s="556"/>
      <c r="M104" s="556"/>
      <c r="N104" s="556"/>
      <c r="O104" s="556"/>
      <c r="P104" s="556"/>
      <c r="Q104" s="556"/>
      <c r="R104" s="556"/>
      <c r="S104" s="556"/>
      <c r="T104" s="556"/>
      <c r="U104" s="556"/>
      <c r="V104" s="599">
        <f>-100-116-11</f>
        <v>-227</v>
      </c>
      <c r="W104" s="558"/>
      <c r="X104" s="543"/>
    </row>
    <row r="105" spans="1:25" s="544" customFormat="1" x14ac:dyDescent="0.3">
      <c r="A105" s="555" t="s">
        <v>127</v>
      </c>
      <c r="B105" s="556" t="s">
        <v>116</v>
      </c>
      <c r="C105" s="556"/>
      <c r="D105" s="556"/>
      <c r="E105" s="556"/>
      <c r="F105" s="556"/>
      <c r="G105" s="556"/>
      <c r="H105" s="556"/>
      <c r="I105" s="556"/>
      <c r="J105" s="556"/>
      <c r="K105" s="556"/>
      <c r="L105" s="556"/>
      <c r="M105" s="556"/>
      <c r="N105" s="556"/>
      <c r="O105" s="556"/>
      <c r="P105" s="556"/>
      <c r="Q105" s="556"/>
      <c r="R105" s="556"/>
      <c r="S105" s="556"/>
      <c r="T105" s="556"/>
      <c r="U105" s="556"/>
      <c r="V105" s="599">
        <v>0</v>
      </c>
      <c r="W105" s="558"/>
      <c r="X105" s="543"/>
    </row>
    <row r="106" spans="1:25" s="544" customFormat="1" x14ac:dyDescent="0.3">
      <c r="A106" s="555" t="s">
        <v>128</v>
      </c>
      <c r="B106" s="556" t="s">
        <v>363</v>
      </c>
      <c r="C106" s="556"/>
      <c r="D106" s="556"/>
      <c r="E106" s="556"/>
      <c r="F106" s="556"/>
      <c r="G106" s="556"/>
      <c r="H106" s="556"/>
      <c r="I106" s="556"/>
      <c r="J106" s="556"/>
      <c r="K106" s="556"/>
      <c r="L106" s="556"/>
      <c r="M106" s="556"/>
      <c r="N106" s="556"/>
      <c r="O106" s="556"/>
      <c r="P106" s="556"/>
      <c r="Q106" s="556"/>
      <c r="R106" s="556"/>
      <c r="S106" s="556"/>
      <c r="T106" s="556"/>
      <c r="U106" s="556"/>
      <c r="V106" s="599">
        <f>-1531+466</f>
        <v>-1065</v>
      </c>
      <c r="W106" s="558"/>
      <c r="X106" s="543"/>
      <c r="Y106" s="604"/>
    </row>
    <row r="107" spans="1:25" s="544" customFormat="1" x14ac:dyDescent="0.3">
      <c r="A107" s="555" t="s">
        <v>150</v>
      </c>
      <c r="B107" s="556" t="s">
        <v>364</v>
      </c>
      <c r="C107" s="556"/>
      <c r="D107" s="556"/>
      <c r="E107" s="556"/>
      <c r="F107" s="556"/>
      <c r="G107" s="556"/>
      <c r="H107" s="556"/>
      <c r="I107" s="556"/>
      <c r="J107" s="556"/>
      <c r="K107" s="556"/>
      <c r="L107" s="556"/>
      <c r="M107" s="556"/>
      <c r="N107" s="556"/>
      <c r="O107" s="556"/>
      <c r="P107" s="556"/>
      <c r="Q107" s="556"/>
      <c r="R107" s="556"/>
      <c r="S107" s="556"/>
      <c r="T107" s="556"/>
      <c r="U107" s="556"/>
      <c r="V107" s="599">
        <v>-466</v>
      </c>
      <c r="W107" s="558"/>
      <c r="X107" s="543"/>
      <c r="Y107" s="604"/>
    </row>
    <row r="108" spans="1:25" s="544" customFormat="1" x14ac:dyDescent="0.3">
      <c r="A108" s="555" t="s">
        <v>236</v>
      </c>
      <c r="B108" s="556" t="s">
        <v>238</v>
      </c>
      <c r="C108" s="556"/>
      <c r="D108" s="556"/>
      <c r="E108" s="556"/>
      <c r="F108" s="556"/>
      <c r="G108" s="556"/>
      <c r="H108" s="556"/>
      <c r="I108" s="556"/>
      <c r="J108" s="556"/>
      <c r="K108" s="556"/>
      <c r="L108" s="556"/>
      <c r="M108" s="556"/>
      <c r="N108" s="556"/>
      <c r="O108" s="556"/>
      <c r="P108" s="556"/>
      <c r="Q108" s="556"/>
      <c r="R108" s="556"/>
      <c r="S108" s="556"/>
      <c r="T108" s="556"/>
      <c r="U108" s="556"/>
      <c r="V108" s="599">
        <v>0</v>
      </c>
      <c r="W108" s="558"/>
      <c r="X108" s="543"/>
    </row>
    <row r="109" spans="1:25" s="544" customFormat="1" x14ac:dyDescent="0.3">
      <c r="A109" s="555" t="s">
        <v>205</v>
      </c>
      <c r="B109" s="556" t="s">
        <v>185</v>
      </c>
      <c r="C109" s="556"/>
      <c r="D109" s="556"/>
      <c r="E109" s="556"/>
      <c r="F109" s="556"/>
      <c r="G109" s="556"/>
      <c r="H109" s="556"/>
      <c r="I109" s="556"/>
      <c r="J109" s="556"/>
      <c r="K109" s="556"/>
      <c r="L109" s="556"/>
      <c r="M109" s="556"/>
      <c r="N109" s="556"/>
      <c r="O109" s="556"/>
      <c r="P109" s="556"/>
      <c r="Q109" s="556"/>
      <c r="R109" s="556"/>
      <c r="S109" s="556"/>
      <c r="T109" s="556"/>
      <c r="U109" s="556"/>
      <c r="V109" s="599">
        <f>-359+198</f>
        <v>-161</v>
      </c>
      <c r="W109" s="558"/>
      <c r="X109" s="543"/>
      <c r="Y109" s="604"/>
    </row>
    <row r="110" spans="1:25" s="544" customFormat="1" x14ac:dyDescent="0.3">
      <c r="A110" s="555" t="s">
        <v>206</v>
      </c>
      <c r="B110" s="556" t="s">
        <v>186</v>
      </c>
      <c r="C110" s="556"/>
      <c r="D110" s="556"/>
      <c r="E110" s="556"/>
      <c r="F110" s="556"/>
      <c r="G110" s="556"/>
      <c r="H110" s="556"/>
      <c r="I110" s="556"/>
      <c r="J110" s="556"/>
      <c r="K110" s="556"/>
      <c r="L110" s="556"/>
      <c r="M110" s="556"/>
      <c r="N110" s="556"/>
      <c r="O110" s="556"/>
      <c r="P110" s="556"/>
      <c r="Q110" s="556"/>
      <c r="R110" s="556"/>
      <c r="S110" s="556"/>
      <c r="T110" s="556"/>
      <c r="U110" s="556"/>
      <c r="V110" s="599">
        <v>-198</v>
      </c>
      <c r="W110" s="558"/>
      <c r="X110" s="605"/>
      <c r="Y110" s="604"/>
    </row>
    <row r="111" spans="1:25" s="544" customFormat="1" x14ac:dyDescent="0.3">
      <c r="A111" s="555" t="s">
        <v>207</v>
      </c>
      <c r="B111" s="556" t="s">
        <v>196</v>
      </c>
      <c r="C111" s="556"/>
      <c r="D111" s="556"/>
      <c r="E111" s="556"/>
      <c r="F111" s="556"/>
      <c r="G111" s="556"/>
      <c r="H111" s="556"/>
      <c r="I111" s="556"/>
      <c r="J111" s="556"/>
      <c r="K111" s="556"/>
      <c r="L111" s="556"/>
      <c r="M111" s="556"/>
      <c r="N111" s="556"/>
      <c r="O111" s="556"/>
      <c r="P111" s="556"/>
      <c r="Q111" s="556"/>
      <c r="R111" s="556"/>
      <c r="S111" s="556"/>
      <c r="T111" s="556"/>
      <c r="U111" s="556"/>
      <c r="V111" s="599">
        <v>-408</v>
      </c>
      <c r="W111" s="558"/>
      <c r="X111" s="543"/>
      <c r="Y111" s="604"/>
    </row>
    <row r="112" spans="1:25" s="544" customFormat="1" x14ac:dyDescent="0.3">
      <c r="A112" s="555" t="s">
        <v>224</v>
      </c>
      <c r="B112" s="556" t="s">
        <v>223</v>
      </c>
      <c r="C112" s="556"/>
      <c r="D112" s="556"/>
      <c r="E112" s="556"/>
      <c r="F112" s="556"/>
      <c r="G112" s="556"/>
      <c r="H112" s="556"/>
      <c r="I112" s="556"/>
      <c r="J112" s="556"/>
      <c r="K112" s="556"/>
      <c r="L112" s="556"/>
      <c r="M112" s="556"/>
      <c r="N112" s="556"/>
      <c r="O112" s="556"/>
      <c r="P112" s="556"/>
      <c r="Q112" s="556"/>
      <c r="R112" s="556"/>
      <c r="S112" s="556"/>
      <c r="T112" s="556"/>
      <c r="U112" s="556"/>
      <c r="V112" s="599">
        <v>-83</v>
      </c>
      <c r="W112" s="558"/>
      <c r="X112" s="543"/>
      <c r="Y112" s="604"/>
    </row>
    <row r="113" spans="1:24" s="544" customFormat="1" x14ac:dyDescent="0.3">
      <c r="A113" s="555">
        <v>7</v>
      </c>
      <c r="B113" s="556" t="s">
        <v>35</v>
      </c>
      <c r="C113" s="556"/>
      <c r="D113" s="556"/>
      <c r="E113" s="556"/>
      <c r="F113" s="556"/>
      <c r="G113" s="556"/>
      <c r="H113" s="556"/>
      <c r="I113" s="556"/>
      <c r="J113" s="556"/>
      <c r="K113" s="556"/>
      <c r="L113" s="556"/>
      <c r="M113" s="556"/>
      <c r="N113" s="556"/>
      <c r="O113" s="556"/>
      <c r="P113" s="556"/>
      <c r="Q113" s="556"/>
      <c r="R113" s="556"/>
      <c r="S113" s="556"/>
      <c r="T113" s="556"/>
      <c r="U113" s="556"/>
      <c r="V113" s="599">
        <v>-8</v>
      </c>
      <c r="W113" s="558"/>
      <c r="X113" s="543"/>
    </row>
    <row r="114" spans="1:24" s="544" customFormat="1" x14ac:dyDescent="0.3">
      <c r="A114" s="555">
        <f t="shared" ref="A114:A120" si="0">+A113+1</f>
        <v>8</v>
      </c>
      <c r="B114" s="556" t="s">
        <v>45</v>
      </c>
      <c r="C114" s="556"/>
      <c r="D114" s="556"/>
      <c r="E114" s="556"/>
      <c r="F114" s="556"/>
      <c r="G114" s="556"/>
      <c r="H114" s="556"/>
      <c r="I114" s="556"/>
      <c r="J114" s="556"/>
      <c r="K114" s="556"/>
      <c r="L114" s="556"/>
      <c r="M114" s="556"/>
      <c r="N114" s="556"/>
      <c r="O114" s="556"/>
      <c r="P114" s="556"/>
      <c r="Q114" s="556"/>
      <c r="R114" s="556"/>
      <c r="S114" s="556"/>
      <c r="T114" s="598">
        <f>-V114</f>
        <v>44</v>
      </c>
      <c r="U114" s="556"/>
      <c r="V114" s="599">
        <v>-44</v>
      </c>
      <c r="W114" s="558"/>
      <c r="X114" s="543"/>
    </row>
    <row r="115" spans="1:24" s="544" customFormat="1" x14ac:dyDescent="0.3">
      <c r="A115" s="555">
        <f t="shared" si="0"/>
        <v>9</v>
      </c>
      <c r="B115" s="556" t="s">
        <v>125</v>
      </c>
      <c r="C115" s="556"/>
      <c r="D115" s="556"/>
      <c r="E115" s="556"/>
      <c r="F115" s="556"/>
      <c r="G115" s="556"/>
      <c r="H115" s="556"/>
      <c r="I115" s="556"/>
      <c r="J115" s="556"/>
      <c r="K115" s="556"/>
      <c r="L115" s="556"/>
      <c r="M115" s="556"/>
      <c r="N115" s="556"/>
      <c r="O115" s="556"/>
      <c r="P115" s="556"/>
      <c r="Q115" s="556"/>
      <c r="R115" s="556"/>
      <c r="S115" s="556"/>
      <c r="T115" s="556"/>
      <c r="U115" s="556"/>
      <c r="V115" s="599">
        <v>0</v>
      </c>
      <c r="W115" s="558"/>
      <c r="X115" s="543"/>
    </row>
    <row r="116" spans="1:24" s="544" customFormat="1" x14ac:dyDescent="0.3">
      <c r="A116" s="555">
        <f t="shared" si="0"/>
        <v>10</v>
      </c>
      <c r="B116" s="556" t="s">
        <v>240</v>
      </c>
      <c r="C116" s="556"/>
      <c r="D116" s="556"/>
      <c r="E116" s="556"/>
      <c r="F116" s="556"/>
      <c r="G116" s="556"/>
      <c r="H116" s="556"/>
      <c r="I116" s="556"/>
      <c r="J116" s="556"/>
      <c r="K116" s="556"/>
      <c r="L116" s="556"/>
      <c r="M116" s="556"/>
      <c r="N116" s="556"/>
      <c r="O116" s="556"/>
      <c r="P116" s="556"/>
      <c r="Q116" s="556"/>
      <c r="R116" s="556"/>
      <c r="S116" s="556"/>
      <c r="T116" s="556"/>
      <c r="U116" s="556"/>
      <c r="V116" s="599">
        <v>0</v>
      </c>
      <c r="W116" s="558"/>
      <c r="X116" s="543"/>
    </row>
    <row r="117" spans="1:24" s="544" customFormat="1" x14ac:dyDescent="0.3">
      <c r="A117" s="555">
        <f t="shared" si="0"/>
        <v>11</v>
      </c>
      <c r="B117" s="556" t="s">
        <v>36</v>
      </c>
      <c r="C117" s="556"/>
      <c r="D117" s="556"/>
      <c r="E117" s="556"/>
      <c r="F117" s="556"/>
      <c r="G117" s="556"/>
      <c r="H117" s="556"/>
      <c r="I117" s="556"/>
      <c r="J117" s="556"/>
      <c r="K117" s="556"/>
      <c r="L117" s="556"/>
      <c r="M117" s="556"/>
      <c r="N117" s="556"/>
      <c r="O117" s="556"/>
      <c r="P117" s="556"/>
      <c r="Q117" s="556"/>
      <c r="R117" s="556"/>
      <c r="S117" s="556"/>
      <c r="T117" s="556"/>
      <c r="U117" s="556"/>
      <c r="V117" s="599">
        <v>0</v>
      </c>
      <c r="W117" s="558"/>
      <c r="X117" s="543"/>
    </row>
    <row r="118" spans="1:24" s="544" customFormat="1" x14ac:dyDescent="0.3">
      <c r="A118" s="555">
        <f t="shared" si="0"/>
        <v>12</v>
      </c>
      <c r="B118" s="556" t="s">
        <v>239</v>
      </c>
      <c r="C118" s="556"/>
      <c r="D118" s="556"/>
      <c r="E118" s="556"/>
      <c r="F118" s="556"/>
      <c r="G118" s="556"/>
      <c r="H118" s="556"/>
      <c r="I118" s="556"/>
      <c r="J118" s="556"/>
      <c r="K118" s="556"/>
      <c r="L118" s="556"/>
      <c r="M118" s="556"/>
      <c r="N118" s="556"/>
      <c r="O118" s="556"/>
      <c r="P118" s="556"/>
      <c r="Q118" s="556"/>
      <c r="R118" s="556"/>
      <c r="S118" s="556"/>
      <c r="T118" s="556"/>
      <c r="U118" s="556"/>
      <c r="V118" s="599">
        <v>0</v>
      </c>
      <c r="W118" s="558"/>
      <c r="X118" s="543"/>
    </row>
    <row r="119" spans="1:24" s="544" customFormat="1" x14ac:dyDescent="0.3">
      <c r="A119" s="555">
        <f t="shared" si="0"/>
        <v>13</v>
      </c>
      <c r="B119" s="556" t="s">
        <v>149</v>
      </c>
      <c r="C119" s="556"/>
      <c r="D119" s="556"/>
      <c r="E119" s="556"/>
      <c r="F119" s="556"/>
      <c r="G119" s="556"/>
      <c r="H119" s="556"/>
      <c r="I119" s="556"/>
      <c r="J119" s="556"/>
      <c r="K119" s="556"/>
      <c r="L119" s="556"/>
      <c r="M119" s="556"/>
      <c r="N119" s="556"/>
      <c r="O119" s="556"/>
      <c r="P119" s="556"/>
      <c r="Q119" s="556"/>
      <c r="R119" s="556"/>
      <c r="S119" s="556"/>
      <c r="T119" s="556"/>
      <c r="U119" s="556"/>
      <c r="V119" s="599">
        <v>-502</v>
      </c>
      <c r="W119" s="558"/>
      <c r="X119" s="543"/>
    </row>
    <row r="120" spans="1:24" s="544" customFormat="1" x14ac:dyDescent="0.3">
      <c r="A120" s="555">
        <f t="shared" si="0"/>
        <v>14</v>
      </c>
      <c r="B120" s="556" t="s">
        <v>126</v>
      </c>
      <c r="C120" s="556"/>
      <c r="D120" s="556"/>
      <c r="E120" s="556"/>
      <c r="F120" s="556"/>
      <c r="G120" s="556"/>
      <c r="H120" s="556"/>
      <c r="I120" s="556"/>
      <c r="J120" s="556"/>
      <c r="K120" s="556"/>
      <c r="L120" s="556"/>
      <c r="M120" s="556"/>
      <c r="N120" s="556"/>
      <c r="O120" s="556"/>
      <c r="P120" s="556"/>
      <c r="Q120" s="556"/>
      <c r="R120" s="556"/>
      <c r="S120" s="556"/>
      <c r="T120" s="556"/>
      <c r="U120" s="556"/>
      <c r="V120" s="599">
        <f>-V100-SUM(V102:V119)</f>
        <v>-2450</v>
      </c>
      <c r="W120" s="558"/>
      <c r="X120" s="543"/>
    </row>
    <row r="121" spans="1:24" x14ac:dyDescent="0.3">
      <c r="A121" s="431"/>
      <c r="B121" s="507" t="s">
        <v>37</v>
      </c>
      <c r="C121" s="434"/>
      <c r="D121" s="434"/>
      <c r="E121" s="434"/>
      <c r="F121" s="434"/>
      <c r="G121" s="434"/>
      <c r="H121" s="434"/>
      <c r="I121" s="434"/>
      <c r="J121" s="434"/>
      <c r="K121" s="434"/>
      <c r="L121" s="434"/>
      <c r="M121" s="434"/>
      <c r="N121" s="434"/>
      <c r="O121" s="434"/>
      <c r="P121" s="434"/>
      <c r="Q121" s="434"/>
      <c r="R121" s="434"/>
      <c r="S121" s="434"/>
      <c r="T121" s="434"/>
      <c r="U121" s="434"/>
      <c r="V121" s="450"/>
      <c r="W121" s="436"/>
      <c r="X121" s="415"/>
    </row>
    <row r="122" spans="1:24" s="544" customFormat="1" x14ac:dyDescent="0.3">
      <c r="A122" s="555"/>
      <c r="B122" s="556" t="s">
        <v>173</v>
      </c>
      <c r="C122" s="556"/>
      <c r="D122" s="556"/>
      <c r="E122" s="556"/>
      <c r="F122" s="556"/>
      <c r="G122" s="556"/>
      <c r="H122" s="556"/>
      <c r="I122" s="556"/>
      <c r="J122" s="556"/>
      <c r="K122" s="556"/>
      <c r="L122" s="556"/>
      <c r="M122" s="556"/>
      <c r="N122" s="556"/>
      <c r="O122" s="556"/>
      <c r="P122" s="556"/>
      <c r="Q122" s="556"/>
      <c r="R122" s="556"/>
      <c r="S122" s="556"/>
      <c r="T122" s="598">
        <f>-T188</f>
        <v>0</v>
      </c>
      <c r="U122" s="598"/>
      <c r="V122" s="599"/>
      <c r="W122" s="558"/>
      <c r="X122" s="543"/>
    </row>
    <row r="123" spans="1:24" s="544" customFormat="1" x14ac:dyDescent="0.3">
      <c r="A123" s="555"/>
      <c r="B123" s="556" t="s">
        <v>174</v>
      </c>
      <c r="C123" s="556"/>
      <c r="D123" s="556"/>
      <c r="E123" s="556"/>
      <c r="F123" s="556"/>
      <c r="G123" s="556"/>
      <c r="H123" s="556"/>
      <c r="I123" s="556"/>
      <c r="J123" s="556"/>
      <c r="K123" s="556"/>
      <c r="L123" s="556"/>
      <c r="M123" s="556"/>
      <c r="N123" s="556"/>
      <c r="O123" s="556"/>
      <c r="P123" s="556"/>
      <c r="Q123" s="556"/>
      <c r="R123" s="556"/>
      <c r="S123" s="556"/>
      <c r="T123" s="598">
        <v>0</v>
      </c>
      <c r="U123" s="598"/>
      <c r="V123" s="599"/>
      <c r="W123" s="558"/>
      <c r="X123" s="543"/>
    </row>
    <row r="124" spans="1:24" s="544" customFormat="1" x14ac:dyDescent="0.3">
      <c r="A124" s="555"/>
      <c r="B124" s="556" t="s">
        <v>38</v>
      </c>
      <c r="C124" s="556"/>
      <c r="D124" s="556"/>
      <c r="E124" s="556"/>
      <c r="F124" s="556"/>
      <c r="G124" s="556"/>
      <c r="H124" s="556"/>
      <c r="I124" s="556"/>
      <c r="J124" s="556"/>
      <c r="K124" s="556"/>
      <c r="L124" s="556"/>
      <c r="M124" s="556"/>
      <c r="N124" s="556"/>
      <c r="O124" s="556"/>
      <c r="P124" s="556"/>
      <c r="Q124" s="556"/>
      <c r="R124" s="556"/>
      <c r="S124" s="556"/>
      <c r="T124" s="598">
        <f>-S188</f>
        <v>0</v>
      </c>
      <c r="U124" s="598"/>
      <c r="V124" s="599"/>
      <c r="W124" s="558"/>
      <c r="X124" s="543"/>
    </row>
    <row r="125" spans="1:24" s="544" customFormat="1" x14ac:dyDescent="0.3">
      <c r="A125" s="555"/>
      <c r="B125" s="556" t="s">
        <v>388</v>
      </c>
      <c r="C125" s="556"/>
      <c r="D125" s="556"/>
      <c r="E125" s="556"/>
      <c r="F125" s="556"/>
      <c r="G125" s="556"/>
      <c r="H125" s="556"/>
      <c r="I125" s="556"/>
      <c r="J125" s="556"/>
      <c r="K125" s="556"/>
      <c r="L125" s="556"/>
      <c r="M125" s="556"/>
      <c r="N125" s="556"/>
      <c r="O125" s="556"/>
      <c r="P125" s="556"/>
      <c r="Q125" s="556"/>
      <c r="R125" s="556"/>
      <c r="S125" s="556"/>
      <c r="T125" s="598">
        <v>-10151</v>
      </c>
      <c r="U125" s="598"/>
      <c r="V125" s="599"/>
      <c r="W125" s="558"/>
      <c r="X125" s="543"/>
    </row>
    <row r="126" spans="1:24" s="544" customFormat="1" x14ac:dyDescent="0.3">
      <c r="A126" s="555"/>
      <c r="B126" s="556" t="s">
        <v>195</v>
      </c>
      <c r="C126" s="556"/>
      <c r="D126" s="556"/>
      <c r="E126" s="556"/>
      <c r="F126" s="556"/>
      <c r="G126" s="556"/>
      <c r="H126" s="556"/>
      <c r="I126" s="556"/>
      <c r="J126" s="556"/>
      <c r="K126" s="556"/>
      <c r="L126" s="556"/>
      <c r="M126" s="556"/>
      <c r="N126" s="556"/>
      <c r="O126" s="556"/>
      <c r="P126" s="556"/>
      <c r="Q126" s="556"/>
      <c r="R126" s="556"/>
      <c r="S126" s="556"/>
      <c r="T126" s="598">
        <v>-1637</v>
      </c>
      <c r="U126" s="598"/>
      <c r="V126" s="599"/>
      <c r="W126" s="558"/>
      <c r="X126" s="543"/>
    </row>
    <row r="127" spans="1:24" s="544" customFormat="1" x14ac:dyDescent="0.3">
      <c r="A127" s="555"/>
      <c r="B127" s="556" t="s">
        <v>194</v>
      </c>
      <c r="C127" s="556"/>
      <c r="D127" s="556"/>
      <c r="E127" s="556"/>
      <c r="F127" s="556"/>
      <c r="G127" s="556"/>
      <c r="H127" s="556"/>
      <c r="I127" s="556"/>
      <c r="J127" s="556"/>
      <c r="K127" s="556"/>
      <c r="L127" s="556"/>
      <c r="M127" s="556"/>
      <c r="N127" s="556"/>
      <c r="O127" s="556"/>
      <c r="P127" s="556"/>
      <c r="Q127" s="556"/>
      <c r="R127" s="556"/>
      <c r="S127" s="556"/>
      <c r="T127" s="598">
        <v>-2202</v>
      </c>
      <c r="U127" s="598"/>
      <c r="V127" s="599"/>
      <c r="W127" s="558"/>
      <c r="X127" s="543"/>
    </row>
    <row r="128" spans="1:24" s="544" customFormat="1" x14ac:dyDescent="0.3">
      <c r="A128" s="555"/>
      <c r="B128" s="556" t="s">
        <v>226</v>
      </c>
      <c r="C128" s="556"/>
      <c r="D128" s="556"/>
      <c r="E128" s="556"/>
      <c r="F128" s="556"/>
      <c r="G128" s="556"/>
      <c r="H128" s="556"/>
      <c r="I128" s="556"/>
      <c r="J128" s="556"/>
      <c r="K128" s="556"/>
      <c r="L128" s="556"/>
      <c r="M128" s="556"/>
      <c r="N128" s="556"/>
      <c r="O128" s="556"/>
      <c r="P128" s="556"/>
      <c r="Q128" s="556"/>
      <c r="R128" s="556"/>
      <c r="S128" s="556"/>
      <c r="T128" s="598">
        <v>-2707</v>
      </c>
      <c r="U128" s="598"/>
      <c r="V128" s="599"/>
      <c r="W128" s="558"/>
      <c r="X128" s="543"/>
    </row>
    <row r="129" spans="1:24" s="544" customFormat="1" x14ac:dyDescent="0.3">
      <c r="A129" s="555"/>
      <c r="B129" s="556" t="s">
        <v>189</v>
      </c>
      <c r="C129" s="556"/>
      <c r="D129" s="556"/>
      <c r="E129" s="556"/>
      <c r="F129" s="556"/>
      <c r="G129" s="556"/>
      <c r="H129" s="556"/>
      <c r="I129" s="556"/>
      <c r="J129" s="556"/>
      <c r="K129" s="556"/>
      <c r="L129" s="556"/>
      <c r="M129" s="556"/>
      <c r="N129" s="556"/>
      <c r="O129" s="556"/>
      <c r="P129" s="556"/>
      <c r="Q129" s="556"/>
      <c r="R129" s="556"/>
      <c r="S129" s="556"/>
      <c r="T129" s="598">
        <v>0</v>
      </c>
      <c r="U129" s="598"/>
      <c r="V129" s="599"/>
      <c r="W129" s="558"/>
      <c r="X129" s="543"/>
    </row>
    <row r="130" spans="1:24" s="544" customFormat="1" x14ac:dyDescent="0.3">
      <c r="A130" s="555"/>
      <c r="B130" s="556" t="s">
        <v>188</v>
      </c>
      <c r="C130" s="556"/>
      <c r="D130" s="556"/>
      <c r="E130" s="556"/>
      <c r="F130" s="556"/>
      <c r="G130" s="556"/>
      <c r="H130" s="556"/>
      <c r="I130" s="556"/>
      <c r="J130" s="556"/>
      <c r="K130" s="556"/>
      <c r="L130" s="556"/>
      <c r="M130" s="556"/>
      <c r="N130" s="556"/>
      <c r="O130" s="556"/>
      <c r="P130" s="556"/>
      <c r="Q130" s="556"/>
      <c r="R130" s="556"/>
      <c r="S130" s="556"/>
      <c r="T130" s="598">
        <v>0</v>
      </c>
      <c r="U130" s="598"/>
      <c r="V130" s="599"/>
      <c r="W130" s="558"/>
      <c r="X130" s="543"/>
    </row>
    <row r="131" spans="1:24" s="544" customFormat="1" x14ac:dyDescent="0.3">
      <c r="A131" s="555"/>
      <c r="B131" s="556" t="s">
        <v>227</v>
      </c>
      <c r="C131" s="556"/>
      <c r="D131" s="556"/>
      <c r="E131" s="556"/>
      <c r="F131" s="556"/>
      <c r="G131" s="556"/>
      <c r="H131" s="556"/>
      <c r="I131" s="556"/>
      <c r="J131" s="556"/>
      <c r="K131" s="556"/>
      <c r="L131" s="556"/>
      <c r="M131" s="556"/>
      <c r="N131" s="556"/>
      <c r="O131" s="556"/>
      <c r="P131" s="556"/>
      <c r="Q131" s="556"/>
      <c r="R131" s="556"/>
      <c r="S131" s="556"/>
      <c r="T131" s="598">
        <v>0</v>
      </c>
      <c r="U131" s="598"/>
      <c r="V131" s="599"/>
      <c r="W131" s="558"/>
      <c r="X131" s="543"/>
    </row>
    <row r="132" spans="1:24" s="544" customFormat="1" x14ac:dyDescent="0.3">
      <c r="A132" s="555"/>
      <c r="B132" s="556" t="s">
        <v>187</v>
      </c>
      <c r="C132" s="556"/>
      <c r="D132" s="556"/>
      <c r="E132" s="556"/>
      <c r="F132" s="556"/>
      <c r="G132" s="556"/>
      <c r="H132" s="556"/>
      <c r="I132" s="556"/>
      <c r="J132" s="556"/>
      <c r="K132" s="556"/>
      <c r="L132" s="556"/>
      <c r="M132" s="556"/>
      <c r="N132" s="556"/>
      <c r="O132" s="556"/>
      <c r="P132" s="556"/>
      <c r="Q132" s="556"/>
      <c r="R132" s="556"/>
      <c r="S132" s="556"/>
      <c r="T132" s="598">
        <v>0</v>
      </c>
      <c r="U132" s="598"/>
      <c r="V132" s="599"/>
      <c r="W132" s="558"/>
      <c r="X132" s="543"/>
    </row>
    <row r="133" spans="1:24" s="544" customFormat="1" x14ac:dyDescent="0.3">
      <c r="A133" s="555"/>
      <c r="B133" s="556" t="s">
        <v>39</v>
      </c>
      <c r="C133" s="556"/>
      <c r="D133" s="556"/>
      <c r="E133" s="556"/>
      <c r="F133" s="556"/>
      <c r="G133" s="556"/>
      <c r="H133" s="556"/>
      <c r="I133" s="556"/>
      <c r="J133" s="556"/>
      <c r="K133" s="556"/>
      <c r="L133" s="556"/>
      <c r="M133" s="556"/>
      <c r="N133" s="556"/>
      <c r="O133" s="556"/>
      <c r="P133" s="556"/>
      <c r="Q133" s="556"/>
      <c r="R133" s="556"/>
      <c r="S133" s="556"/>
      <c r="T133" s="598">
        <f>SUM(T122:T132)</f>
        <v>-16697</v>
      </c>
      <c r="U133" s="598"/>
      <c r="V133" s="598">
        <f>SUM(V101:V130)</f>
        <v>-5614</v>
      </c>
      <c r="W133" s="558"/>
      <c r="X133" s="543"/>
    </row>
    <row r="134" spans="1:24" s="544" customFormat="1" x14ac:dyDescent="0.3">
      <c r="A134" s="555"/>
      <c r="B134" s="556" t="s">
        <v>40</v>
      </c>
      <c r="C134" s="556"/>
      <c r="D134" s="556"/>
      <c r="E134" s="556"/>
      <c r="F134" s="556"/>
      <c r="G134" s="556"/>
      <c r="H134" s="556"/>
      <c r="I134" s="556"/>
      <c r="J134" s="556"/>
      <c r="K134" s="556"/>
      <c r="L134" s="556"/>
      <c r="M134" s="556"/>
      <c r="N134" s="556"/>
      <c r="O134" s="556"/>
      <c r="P134" s="556"/>
      <c r="Q134" s="556"/>
      <c r="R134" s="556"/>
      <c r="S134" s="556"/>
      <c r="T134" s="598">
        <f>T100+T133+T114</f>
        <v>0</v>
      </c>
      <c r="U134" s="598"/>
      <c r="V134" s="598">
        <f>V100+V133</f>
        <v>0</v>
      </c>
      <c r="W134" s="558"/>
      <c r="X134" s="543"/>
    </row>
    <row r="135" spans="1:24" s="544" customFormat="1" x14ac:dyDescent="0.3">
      <c r="A135" s="540"/>
      <c r="B135" s="588"/>
      <c r="C135" s="588"/>
      <c r="D135" s="588"/>
      <c r="E135" s="588"/>
      <c r="F135" s="588"/>
      <c r="G135" s="588"/>
      <c r="H135" s="588"/>
      <c r="I135" s="588"/>
      <c r="J135" s="588"/>
      <c r="K135" s="588"/>
      <c r="L135" s="588"/>
      <c r="M135" s="588"/>
      <c r="N135" s="588"/>
      <c r="O135" s="588"/>
      <c r="P135" s="588"/>
      <c r="Q135" s="588"/>
      <c r="R135" s="588"/>
      <c r="S135" s="588"/>
      <c r="T135" s="600"/>
      <c r="U135" s="600"/>
      <c r="V135" s="600"/>
      <c r="W135" s="588"/>
      <c r="X135" s="543"/>
    </row>
    <row r="136" spans="1:24" s="544" customFormat="1" x14ac:dyDescent="0.3">
      <c r="A136" s="540"/>
      <c r="B136" s="541"/>
      <c r="C136" s="541"/>
      <c r="D136" s="541"/>
      <c r="E136" s="541"/>
      <c r="F136" s="541"/>
      <c r="G136" s="541"/>
      <c r="H136" s="541"/>
      <c r="I136" s="541"/>
      <c r="J136" s="541"/>
      <c r="K136" s="541"/>
      <c r="L136" s="541"/>
      <c r="M136" s="541"/>
      <c r="N136" s="541"/>
      <c r="O136" s="541"/>
      <c r="P136" s="541"/>
      <c r="Q136" s="541"/>
      <c r="R136" s="541"/>
      <c r="S136" s="541"/>
      <c r="T136" s="541"/>
      <c r="U136" s="541"/>
      <c r="V136" s="606"/>
      <c r="W136" s="541"/>
      <c r="X136" s="543"/>
    </row>
    <row r="137" spans="1:24" s="544" customFormat="1" ht="18.600000000000001" thickBot="1" x14ac:dyDescent="0.4">
      <c r="A137" s="593"/>
      <c r="B137" s="594" t="str">
        <f>B63</f>
        <v>PM14 INVESTOR REPORT QUARTER ENDING MAY 2019</v>
      </c>
      <c r="C137" s="595"/>
      <c r="D137" s="595"/>
      <c r="E137" s="595"/>
      <c r="F137" s="595"/>
      <c r="G137" s="595"/>
      <c r="H137" s="595"/>
      <c r="I137" s="595"/>
      <c r="J137" s="595"/>
      <c r="K137" s="595"/>
      <c r="L137" s="595"/>
      <c r="M137" s="595"/>
      <c r="N137" s="595"/>
      <c r="O137" s="595"/>
      <c r="P137" s="595"/>
      <c r="Q137" s="595"/>
      <c r="R137" s="595"/>
      <c r="S137" s="595"/>
      <c r="T137" s="595"/>
      <c r="U137" s="595"/>
      <c r="V137" s="607"/>
      <c r="W137" s="597"/>
      <c r="X137" s="543"/>
    </row>
    <row r="138" spans="1:24" x14ac:dyDescent="0.3">
      <c r="A138" s="527"/>
      <c r="B138" s="528" t="s">
        <v>41</v>
      </c>
      <c r="C138" s="529"/>
      <c r="D138" s="529"/>
      <c r="E138" s="529"/>
      <c r="F138" s="529"/>
      <c r="G138" s="529"/>
      <c r="H138" s="529"/>
      <c r="I138" s="529"/>
      <c r="J138" s="529"/>
      <c r="K138" s="529"/>
      <c r="L138" s="529"/>
      <c r="M138" s="529"/>
      <c r="N138" s="529"/>
      <c r="O138" s="529"/>
      <c r="P138" s="529"/>
      <c r="Q138" s="529"/>
      <c r="R138" s="529"/>
      <c r="S138" s="529"/>
      <c r="T138" s="529"/>
      <c r="U138" s="529"/>
      <c r="V138" s="530"/>
      <c r="W138" s="529"/>
      <c r="X138" s="415"/>
    </row>
    <row r="139" spans="1:24" x14ac:dyDescent="0.3">
      <c r="A139" s="417"/>
      <c r="B139" s="451"/>
      <c r="C139" s="419"/>
      <c r="D139" s="419"/>
      <c r="E139" s="419"/>
      <c r="F139" s="419"/>
      <c r="G139" s="419"/>
      <c r="H139" s="419"/>
      <c r="I139" s="419"/>
      <c r="J139" s="419"/>
      <c r="K139" s="419"/>
      <c r="L139" s="419"/>
      <c r="M139" s="419"/>
      <c r="N139" s="419"/>
      <c r="O139" s="419"/>
      <c r="P139" s="419"/>
      <c r="Q139" s="419"/>
      <c r="R139" s="419"/>
      <c r="S139" s="419"/>
      <c r="T139" s="419"/>
      <c r="U139" s="419"/>
      <c r="V139" s="439"/>
      <c r="W139" s="419"/>
      <c r="X139" s="415"/>
    </row>
    <row r="140" spans="1:24" x14ac:dyDescent="0.3">
      <c r="A140" s="417"/>
      <c r="B140" s="508" t="s">
        <v>42</v>
      </c>
      <c r="C140" s="419"/>
      <c r="D140" s="419"/>
      <c r="E140" s="419"/>
      <c r="F140" s="419"/>
      <c r="G140" s="419"/>
      <c r="H140" s="419"/>
      <c r="I140" s="419"/>
      <c r="J140" s="419"/>
      <c r="K140" s="419"/>
      <c r="L140" s="419"/>
      <c r="M140" s="419"/>
      <c r="N140" s="419"/>
      <c r="O140" s="419"/>
      <c r="P140" s="419"/>
      <c r="Q140" s="419"/>
      <c r="R140" s="419"/>
      <c r="S140" s="419"/>
      <c r="T140" s="419"/>
      <c r="U140" s="419"/>
      <c r="V140" s="439"/>
      <c r="W140" s="419"/>
      <c r="X140" s="415"/>
    </row>
    <row r="141" spans="1:24" s="544" customFormat="1" x14ac:dyDescent="0.3">
      <c r="A141" s="555"/>
      <c r="B141" s="556" t="s">
        <v>43</v>
      </c>
      <c r="C141" s="556"/>
      <c r="D141" s="556"/>
      <c r="E141" s="556"/>
      <c r="F141" s="556"/>
      <c r="G141" s="556"/>
      <c r="H141" s="556"/>
      <c r="I141" s="556"/>
      <c r="J141" s="556"/>
      <c r="K141" s="556"/>
      <c r="L141" s="556"/>
      <c r="M141" s="556"/>
      <c r="N141" s="556"/>
      <c r="O141" s="556"/>
      <c r="P141" s="556"/>
      <c r="Q141" s="556"/>
      <c r="R141" s="556"/>
      <c r="S141" s="556"/>
      <c r="T141" s="556"/>
      <c r="U141" s="556"/>
      <c r="V141" s="599">
        <f>+V34*0.019</f>
        <v>28505.224999999999</v>
      </c>
      <c r="W141" s="558"/>
      <c r="X141" s="543"/>
    </row>
    <row r="142" spans="1:24" s="544" customFormat="1" x14ac:dyDescent="0.3">
      <c r="A142" s="555"/>
      <c r="B142" s="556" t="s">
        <v>44</v>
      </c>
      <c r="C142" s="556"/>
      <c r="D142" s="556"/>
      <c r="E142" s="556"/>
      <c r="F142" s="556"/>
      <c r="G142" s="556"/>
      <c r="H142" s="556"/>
      <c r="I142" s="556"/>
      <c r="J142" s="556"/>
      <c r="K142" s="556"/>
      <c r="L142" s="556"/>
      <c r="M142" s="556"/>
      <c r="N142" s="556"/>
      <c r="O142" s="556"/>
      <c r="P142" s="556"/>
      <c r="Q142" s="556"/>
      <c r="R142" s="556"/>
      <c r="S142" s="556"/>
      <c r="T142" s="556"/>
      <c r="U142" s="556"/>
      <c r="V142" s="599">
        <v>28505</v>
      </c>
      <c r="W142" s="558"/>
      <c r="X142" s="543"/>
    </row>
    <row r="143" spans="1:24" s="544" customFormat="1" x14ac:dyDescent="0.3">
      <c r="A143" s="555"/>
      <c r="B143" s="556" t="s">
        <v>136</v>
      </c>
      <c r="C143" s="556"/>
      <c r="D143" s="556"/>
      <c r="E143" s="556"/>
      <c r="F143" s="556"/>
      <c r="G143" s="556"/>
      <c r="H143" s="556"/>
      <c r="I143" s="556"/>
      <c r="J143" s="556"/>
      <c r="K143" s="556"/>
      <c r="L143" s="556"/>
      <c r="M143" s="556"/>
      <c r="N143" s="556"/>
      <c r="O143" s="556"/>
      <c r="P143" s="556"/>
      <c r="Q143" s="556"/>
      <c r="R143" s="556"/>
      <c r="S143" s="556"/>
      <c r="T143" s="556"/>
      <c r="U143" s="556"/>
      <c r="V143" s="599"/>
      <c r="W143" s="558"/>
      <c r="X143" s="543"/>
    </row>
    <row r="144" spans="1:24" s="544" customFormat="1" x14ac:dyDescent="0.3">
      <c r="A144" s="555"/>
      <c r="B144" s="556" t="s">
        <v>123</v>
      </c>
      <c r="C144" s="556"/>
      <c r="D144" s="556"/>
      <c r="E144" s="556"/>
      <c r="F144" s="556"/>
      <c r="G144" s="556"/>
      <c r="H144" s="556"/>
      <c r="I144" s="556"/>
      <c r="J144" s="556"/>
      <c r="K144" s="556"/>
      <c r="L144" s="556"/>
      <c r="M144" s="556"/>
      <c r="N144" s="556"/>
      <c r="O144" s="556"/>
      <c r="P144" s="556"/>
      <c r="Q144" s="556"/>
      <c r="R144" s="556"/>
      <c r="S144" s="556"/>
      <c r="T144" s="556"/>
      <c r="U144" s="556"/>
      <c r="V144" s="599">
        <v>0</v>
      </c>
      <c r="W144" s="558"/>
      <c r="X144" s="543"/>
    </row>
    <row r="145" spans="1:25" s="544" customFormat="1" x14ac:dyDescent="0.3">
      <c r="A145" s="555"/>
      <c r="B145" s="556" t="s">
        <v>124</v>
      </c>
      <c r="C145" s="556"/>
      <c r="D145" s="556"/>
      <c r="E145" s="556"/>
      <c r="F145" s="556"/>
      <c r="G145" s="556"/>
      <c r="H145" s="556"/>
      <c r="I145" s="556"/>
      <c r="J145" s="556"/>
      <c r="K145" s="556"/>
      <c r="L145" s="556"/>
      <c r="M145" s="556"/>
      <c r="N145" s="556"/>
      <c r="O145" s="556"/>
      <c r="P145" s="556"/>
      <c r="Q145" s="556"/>
      <c r="R145" s="556"/>
      <c r="S145" s="556"/>
      <c r="T145" s="556"/>
      <c r="U145" s="556"/>
      <c r="V145" s="599">
        <v>0</v>
      </c>
      <c r="W145" s="558"/>
      <c r="X145" s="543"/>
    </row>
    <row r="146" spans="1:25" s="544" customFormat="1" x14ac:dyDescent="0.3">
      <c r="A146" s="555"/>
      <c r="B146" s="556" t="s">
        <v>175</v>
      </c>
      <c r="C146" s="556"/>
      <c r="D146" s="556"/>
      <c r="E146" s="556"/>
      <c r="F146" s="556"/>
      <c r="G146" s="556"/>
      <c r="H146" s="556"/>
      <c r="I146" s="556"/>
      <c r="J146" s="556"/>
      <c r="K146" s="556"/>
      <c r="L146" s="556"/>
      <c r="M146" s="556"/>
      <c r="N146" s="556"/>
      <c r="O146" s="556"/>
      <c r="P146" s="556"/>
      <c r="Q146" s="556"/>
      <c r="R146" s="556"/>
      <c r="S146" s="556"/>
      <c r="T146" s="556"/>
      <c r="U146" s="556"/>
      <c r="V146" s="599">
        <v>0</v>
      </c>
      <c r="W146" s="558"/>
      <c r="X146" s="543"/>
    </row>
    <row r="147" spans="1:25" s="544" customFormat="1" x14ac:dyDescent="0.3">
      <c r="A147" s="555"/>
      <c r="B147" s="556" t="s">
        <v>45</v>
      </c>
      <c r="C147" s="556"/>
      <c r="D147" s="556"/>
      <c r="E147" s="556"/>
      <c r="F147" s="556"/>
      <c r="G147" s="556"/>
      <c r="H147" s="556"/>
      <c r="I147" s="556"/>
      <c r="J147" s="556"/>
      <c r="K147" s="556"/>
      <c r="L147" s="556"/>
      <c r="M147" s="556"/>
      <c r="N147" s="556"/>
      <c r="O147" s="556"/>
      <c r="P147" s="556"/>
      <c r="Q147" s="556"/>
      <c r="R147" s="556"/>
      <c r="S147" s="556"/>
      <c r="T147" s="556"/>
      <c r="U147" s="556"/>
      <c r="V147" s="599">
        <v>0</v>
      </c>
      <c r="W147" s="558"/>
      <c r="X147" s="543"/>
    </row>
    <row r="148" spans="1:25" s="544" customFormat="1" x14ac:dyDescent="0.3">
      <c r="A148" s="555"/>
      <c r="B148" s="556" t="s">
        <v>129</v>
      </c>
      <c r="C148" s="556"/>
      <c r="D148" s="556"/>
      <c r="E148" s="556"/>
      <c r="F148" s="556"/>
      <c r="G148" s="556"/>
      <c r="H148" s="556"/>
      <c r="I148" s="556"/>
      <c r="J148" s="556"/>
      <c r="K148" s="556"/>
      <c r="L148" s="556"/>
      <c r="M148" s="556"/>
      <c r="N148" s="556"/>
      <c r="O148" s="556"/>
      <c r="P148" s="556"/>
      <c r="Q148" s="556"/>
      <c r="R148" s="556"/>
      <c r="S148" s="556"/>
      <c r="T148" s="556"/>
      <c r="U148" s="556"/>
      <c r="V148" s="599">
        <v>0</v>
      </c>
      <c r="W148" s="558"/>
      <c r="X148" s="543"/>
    </row>
    <row r="149" spans="1:25" s="544" customFormat="1" x14ac:dyDescent="0.3">
      <c r="A149" s="555"/>
      <c r="B149" s="556" t="s">
        <v>267</v>
      </c>
      <c r="C149" s="556"/>
      <c r="D149" s="556"/>
      <c r="E149" s="556"/>
      <c r="F149" s="556"/>
      <c r="G149" s="556"/>
      <c r="H149" s="556"/>
      <c r="I149" s="556"/>
      <c r="J149" s="556"/>
      <c r="K149" s="556"/>
      <c r="L149" s="556"/>
      <c r="M149" s="556"/>
      <c r="N149" s="556"/>
      <c r="O149" s="556"/>
      <c r="P149" s="556"/>
      <c r="Q149" s="556"/>
      <c r="R149" s="556"/>
      <c r="S149" s="556"/>
      <c r="T149" s="556"/>
      <c r="U149" s="556"/>
      <c r="V149" s="599">
        <v>0</v>
      </c>
      <c r="W149" s="558"/>
      <c r="X149" s="543"/>
      <c r="Y149" s="604"/>
    </row>
    <row r="150" spans="1:25" s="544" customFormat="1" x14ac:dyDescent="0.3">
      <c r="A150" s="555"/>
      <c r="B150" s="556" t="s">
        <v>46</v>
      </c>
      <c r="C150" s="556"/>
      <c r="D150" s="556"/>
      <c r="E150" s="556"/>
      <c r="F150" s="556"/>
      <c r="G150" s="556"/>
      <c r="H150" s="556"/>
      <c r="I150" s="556"/>
      <c r="J150" s="556"/>
      <c r="K150" s="556"/>
      <c r="L150" s="556"/>
      <c r="M150" s="556"/>
      <c r="N150" s="556"/>
      <c r="O150" s="556"/>
      <c r="P150" s="556"/>
      <c r="Q150" s="556"/>
      <c r="R150" s="556"/>
      <c r="S150" s="556"/>
      <c r="T150" s="556"/>
      <c r="U150" s="556"/>
      <c r="V150" s="599">
        <f>SUM(V142:V149)</f>
        <v>28505</v>
      </c>
      <c r="W150" s="558"/>
      <c r="X150" s="543"/>
    </row>
    <row r="151" spans="1:25" x14ac:dyDescent="0.3">
      <c r="A151" s="431"/>
      <c r="B151" s="434"/>
      <c r="C151" s="434"/>
      <c r="D151" s="434"/>
      <c r="E151" s="434"/>
      <c r="F151" s="434"/>
      <c r="G151" s="434"/>
      <c r="H151" s="434"/>
      <c r="I151" s="434"/>
      <c r="J151" s="434"/>
      <c r="K151" s="434"/>
      <c r="L151" s="434"/>
      <c r="M151" s="434"/>
      <c r="N151" s="434"/>
      <c r="O151" s="434"/>
      <c r="P151" s="434"/>
      <c r="Q151" s="434"/>
      <c r="R151" s="434"/>
      <c r="S151" s="434"/>
      <c r="T151" s="434"/>
      <c r="U151" s="434"/>
      <c r="V151" s="449"/>
      <c r="W151" s="436"/>
      <c r="X151" s="415"/>
    </row>
    <row r="152" spans="1:25" x14ac:dyDescent="0.3">
      <c r="A152" s="431"/>
      <c r="B152" s="507" t="s">
        <v>237</v>
      </c>
      <c r="C152" s="434"/>
      <c r="D152" s="434"/>
      <c r="E152" s="434"/>
      <c r="F152" s="434"/>
      <c r="G152" s="434"/>
      <c r="H152" s="434"/>
      <c r="I152" s="434"/>
      <c r="J152" s="434"/>
      <c r="K152" s="434"/>
      <c r="L152" s="434"/>
      <c r="M152" s="434"/>
      <c r="N152" s="434"/>
      <c r="O152" s="434"/>
      <c r="P152" s="434"/>
      <c r="Q152" s="434"/>
      <c r="R152" s="434"/>
      <c r="S152" s="434"/>
      <c r="T152" s="434"/>
      <c r="U152" s="434"/>
      <c r="V152" s="449"/>
      <c r="W152" s="436"/>
      <c r="X152" s="415"/>
    </row>
    <row r="153" spans="1:25" s="544" customFormat="1" x14ac:dyDescent="0.3">
      <c r="A153" s="555"/>
      <c r="B153" s="556" t="s">
        <v>155</v>
      </c>
      <c r="C153" s="556"/>
      <c r="D153" s="556"/>
      <c r="E153" s="556"/>
      <c r="F153" s="556"/>
      <c r="G153" s="556"/>
      <c r="H153" s="556"/>
      <c r="I153" s="556"/>
      <c r="J153" s="556"/>
      <c r="K153" s="556"/>
      <c r="L153" s="556"/>
      <c r="M153" s="556"/>
      <c r="N153" s="556"/>
      <c r="O153" s="556"/>
      <c r="P153" s="556"/>
      <c r="Q153" s="556"/>
      <c r="R153" s="556"/>
      <c r="S153" s="556"/>
      <c r="T153" s="556"/>
      <c r="U153" s="556"/>
      <c r="V153" s="599">
        <v>7500</v>
      </c>
      <c r="W153" s="558"/>
      <c r="X153" s="543"/>
    </row>
    <row r="154" spans="1:25" s="544" customFormat="1" x14ac:dyDescent="0.3">
      <c r="A154" s="555"/>
      <c r="B154" s="556" t="s">
        <v>172</v>
      </c>
      <c r="C154" s="556"/>
      <c r="D154" s="556"/>
      <c r="E154" s="556"/>
      <c r="F154" s="556"/>
      <c r="G154" s="556"/>
      <c r="H154" s="556"/>
      <c r="I154" s="556"/>
      <c r="J154" s="556"/>
      <c r="K154" s="556"/>
      <c r="L154" s="556"/>
      <c r="M154" s="556"/>
      <c r="N154" s="556"/>
      <c r="O154" s="556"/>
      <c r="P154" s="556"/>
      <c r="Q154" s="556"/>
      <c r="R154" s="556"/>
      <c r="S154" s="556"/>
      <c r="T154" s="556"/>
      <c r="U154" s="556"/>
      <c r="V154" s="599">
        <v>0</v>
      </c>
      <c r="W154" s="558"/>
      <c r="X154" s="543"/>
    </row>
    <row r="155" spans="1:25" s="544" customFormat="1" x14ac:dyDescent="0.3">
      <c r="A155" s="555"/>
      <c r="B155" s="556" t="s">
        <v>344</v>
      </c>
      <c r="C155" s="556"/>
      <c r="D155" s="556"/>
      <c r="E155" s="556"/>
      <c r="F155" s="556"/>
      <c r="G155" s="556"/>
      <c r="H155" s="556"/>
      <c r="I155" s="556"/>
      <c r="J155" s="556"/>
      <c r="K155" s="556"/>
      <c r="L155" s="556"/>
      <c r="M155" s="556"/>
      <c r="N155" s="556"/>
      <c r="O155" s="556"/>
      <c r="P155" s="556"/>
      <c r="Q155" s="556"/>
      <c r="R155" s="556"/>
      <c r="S155" s="556"/>
      <c r="T155" s="556"/>
      <c r="U155" s="556"/>
      <c r="V155" s="599">
        <v>0</v>
      </c>
      <c r="W155" s="558"/>
      <c r="X155" s="543"/>
    </row>
    <row r="156" spans="1:25" x14ac:dyDescent="0.3">
      <c r="A156" s="431"/>
      <c r="B156" s="432"/>
      <c r="C156" s="432"/>
      <c r="D156" s="432"/>
      <c r="E156" s="432"/>
      <c r="F156" s="432"/>
      <c r="G156" s="432"/>
      <c r="H156" s="432"/>
      <c r="I156" s="432"/>
      <c r="J156" s="432"/>
      <c r="K156" s="432"/>
      <c r="L156" s="432"/>
      <c r="M156" s="432"/>
      <c r="N156" s="432"/>
      <c r="O156" s="432"/>
      <c r="P156" s="432"/>
      <c r="Q156" s="432"/>
      <c r="R156" s="432"/>
      <c r="S156" s="432"/>
      <c r="T156" s="432"/>
      <c r="U156" s="432"/>
      <c r="V156" s="440"/>
      <c r="W156" s="433"/>
      <c r="X156" s="415"/>
    </row>
    <row r="157" spans="1:25" x14ac:dyDescent="0.3">
      <c r="A157" s="417"/>
      <c r="B157" s="441"/>
      <c r="C157" s="441"/>
      <c r="D157" s="441"/>
      <c r="E157" s="441"/>
      <c r="F157" s="441"/>
      <c r="G157" s="441"/>
      <c r="H157" s="441"/>
      <c r="I157" s="441"/>
      <c r="J157" s="441"/>
      <c r="K157" s="441"/>
      <c r="L157" s="441"/>
      <c r="M157" s="441"/>
      <c r="N157" s="441"/>
      <c r="O157" s="441"/>
      <c r="P157" s="441"/>
      <c r="Q157" s="441"/>
      <c r="R157" s="441"/>
      <c r="S157" s="441"/>
      <c r="T157" s="441"/>
      <c r="U157" s="441"/>
      <c r="V157" s="452"/>
      <c r="W157" s="441"/>
      <c r="X157" s="415"/>
    </row>
    <row r="158" spans="1:25" x14ac:dyDescent="0.3">
      <c r="A158" s="417"/>
      <c r="B158" s="508" t="s">
        <v>24</v>
      </c>
      <c r="C158" s="419"/>
      <c r="D158" s="419"/>
      <c r="E158" s="419"/>
      <c r="F158" s="419"/>
      <c r="G158" s="419"/>
      <c r="H158" s="419"/>
      <c r="I158" s="419"/>
      <c r="J158" s="419"/>
      <c r="K158" s="419"/>
      <c r="L158" s="419"/>
      <c r="M158" s="419"/>
      <c r="N158" s="419"/>
      <c r="O158" s="419"/>
      <c r="P158" s="419"/>
      <c r="Q158" s="419"/>
      <c r="R158" s="419"/>
      <c r="S158" s="419"/>
      <c r="T158" s="419"/>
      <c r="U158" s="419"/>
      <c r="V158" s="439"/>
      <c r="W158" s="419"/>
      <c r="X158" s="415"/>
    </row>
    <row r="159" spans="1:25" s="544" customFormat="1" x14ac:dyDescent="0.3">
      <c r="A159" s="555"/>
      <c r="B159" s="556" t="s">
        <v>47</v>
      </c>
      <c r="C159" s="556"/>
      <c r="D159" s="556"/>
      <c r="E159" s="556"/>
      <c r="F159" s="556"/>
      <c r="G159" s="556"/>
      <c r="H159" s="556"/>
      <c r="I159" s="556"/>
      <c r="J159" s="556"/>
      <c r="K159" s="556"/>
      <c r="L159" s="556"/>
      <c r="M159" s="556"/>
      <c r="N159" s="556"/>
      <c r="O159" s="556"/>
      <c r="P159" s="556"/>
      <c r="Q159" s="556"/>
      <c r="R159" s="556"/>
      <c r="S159" s="556"/>
      <c r="T159" s="556"/>
      <c r="U159" s="556"/>
      <c r="V159" s="608" t="s">
        <v>118</v>
      </c>
      <c r="W159" s="558"/>
      <c r="X159" s="543"/>
    </row>
    <row r="160" spans="1:25" s="544" customFormat="1" x14ac:dyDescent="0.3">
      <c r="A160" s="555"/>
      <c r="B160" s="556" t="s">
        <v>48</v>
      </c>
      <c r="C160" s="556"/>
      <c r="D160" s="556"/>
      <c r="E160" s="556"/>
      <c r="F160" s="556"/>
      <c r="G160" s="556"/>
      <c r="H160" s="556"/>
      <c r="I160" s="556"/>
      <c r="J160" s="556"/>
      <c r="K160" s="556"/>
      <c r="L160" s="556"/>
      <c r="M160" s="556"/>
      <c r="N160" s="556"/>
      <c r="O160" s="556"/>
      <c r="P160" s="556"/>
      <c r="Q160" s="556"/>
      <c r="R160" s="556"/>
      <c r="S160" s="556"/>
      <c r="T160" s="556"/>
      <c r="U160" s="556"/>
      <c r="V160" s="608" t="s">
        <v>118</v>
      </c>
      <c r="W160" s="558"/>
      <c r="X160" s="543"/>
    </row>
    <row r="161" spans="1:256" s="544" customFormat="1" x14ac:dyDescent="0.3">
      <c r="A161" s="555"/>
      <c r="B161" s="556" t="s">
        <v>49</v>
      </c>
      <c r="C161" s="556"/>
      <c r="D161" s="556"/>
      <c r="E161" s="556"/>
      <c r="F161" s="556"/>
      <c r="G161" s="556"/>
      <c r="H161" s="556"/>
      <c r="I161" s="556"/>
      <c r="J161" s="556"/>
      <c r="K161" s="556"/>
      <c r="L161" s="556"/>
      <c r="M161" s="556"/>
      <c r="N161" s="556"/>
      <c r="O161" s="556"/>
      <c r="P161" s="556"/>
      <c r="Q161" s="556"/>
      <c r="R161" s="556"/>
      <c r="S161" s="556"/>
      <c r="T161" s="556"/>
      <c r="U161" s="556"/>
      <c r="V161" s="608" t="s">
        <v>118</v>
      </c>
      <c r="W161" s="558"/>
      <c r="X161" s="543"/>
    </row>
    <row r="162" spans="1:256" s="544" customFormat="1" x14ac:dyDescent="0.3">
      <c r="A162" s="555"/>
      <c r="B162" s="556" t="s">
        <v>50</v>
      </c>
      <c r="C162" s="556"/>
      <c r="D162" s="556"/>
      <c r="E162" s="556"/>
      <c r="F162" s="556"/>
      <c r="G162" s="556"/>
      <c r="H162" s="556"/>
      <c r="I162" s="556"/>
      <c r="J162" s="556"/>
      <c r="K162" s="556"/>
      <c r="L162" s="556"/>
      <c r="M162" s="556"/>
      <c r="N162" s="556"/>
      <c r="O162" s="556"/>
      <c r="P162" s="556"/>
      <c r="Q162" s="556"/>
      <c r="R162" s="556"/>
      <c r="S162" s="556"/>
      <c r="T162" s="556"/>
      <c r="U162" s="556"/>
      <c r="V162" s="608" t="s">
        <v>118</v>
      </c>
      <c r="W162" s="558"/>
      <c r="X162" s="543"/>
    </row>
    <row r="163" spans="1:256" x14ac:dyDescent="0.3">
      <c r="A163" s="417"/>
      <c r="B163" s="441"/>
      <c r="C163" s="441"/>
      <c r="D163" s="441"/>
      <c r="E163" s="441"/>
      <c r="F163" s="441"/>
      <c r="G163" s="441"/>
      <c r="H163" s="441"/>
      <c r="I163" s="441"/>
      <c r="J163" s="441"/>
      <c r="K163" s="441"/>
      <c r="L163" s="441"/>
      <c r="M163" s="441"/>
      <c r="N163" s="441"/>
      <c r="O163" s="441"/>
      <c r="P163" s="441"/>
      <c r="Q163" s="441"/>
      <c r="R163" s="441"/>
      <c r="S163" s="441"/>
      <c r="T163" s="441"/>
      <c r="U163" s="441"/>
      <c r="V163" s="452"/>
      <c r="W163" s="441"/>
      <c r="X163" s="415"/>
    </row>
    <row r="164" spans="1:256" x14ac:dyDescent="0.3">
      <c r="A164" s="417"/>
      <c r="B164" s="508" t="s">
        <v>51</v>
      </c>
      <c r="C164" s="419"/>
      <c r="D164" s="419"/>
      <c r="E164" s="419"/>
      <c r="F164" s="419"/>
      <c r="G164" s="419"/>
      <c r="H164" s="419"/>
      <c r="I164" s="419"/>
      <c r="J164" s="419"/>
      <c r="K164" s="419"/>
      <c r="L164" s="419"/>
      <c r="M164" s="419"/>
      <c r="N164" s="419"/>
      <c r="O164" s="419"/>
      <c r="P164" s="419"/>
      <c r="Q164" s="419"/>
      <c r="R164" s="419"/>
      <c r="S164" s="419"/>
      <c r="T164" s="419"/>
      <c r="U164" s="419"/>
      <c r="V164" s="453"/>
      <c r="W164" s="419"/>
      <c r="X164" s="415"/>
    </row>
    <row r="165" spans="1:256" s="544" customFormat="1" x14ac:dyDescent="0.3">
      <c r="A165" s="555"/>
      <c r="B165" s="556" t="s">
        <v>52</v>
      </c>
      <c r="C165" s="556"/>
      <c r="D165" s="556"/>
      <c r="E165" s="556"/>
      <c r="F165" s="556"/>
      <c r="G165" s="556"/>
      <c r="H165" s="556"/>
      <c r="I165" s="556"/>
      <c r="J165" s="556"/>
      <c r="K165" s="556"/>
      <c r="L165" s="556"/>
      <c r="M165" s="556"/>
      <c r="N165" s="556"/>
      <c r="O165" s="556"/>
      <c r="P165" s="556"/>
      <c r="Q165" s="556"/>
      <c r="R165" s="556"/>
      <c r="S165" s="556"/>
      <c r="T165" s="556"/>
      <c r="U165" s="556"/>
      <c r="V165" s="599">
        <v>0</v>
      </c>
      <c r="W165" s="558"/>
      <c r="X165" s="543"/>
    </row>
    <row r="166" spans="1:256" s="544" customFormat="1" x14ac:dyDescent="0.3">
      <c r="A166" s="555"/>
      <c r="B166" s="556" t="s">
        <v>53</v>
      </c>
      <c r="C166" s="556"/>
      <c r="D166" s="556"/>
      <c r="E166" s="556"/>
      <c r="F166" s="556"/>
      <c r="G166" s="556"/>
      <c r="H166" s="556"/>
      <c r="I166" s="556"/>
      <c r="J166" s="556"/>
      <c r="K166" s="556"/>
      <c r="L166" s="556"/>
      <c r="M166" s="556"/>
      <c r="N166" s="556"/>
      <c r="O166" s="556"/>
      <c r="P166" s="556"/>
      <c r="Q166" s="556"/>
      <c r="R166" s="556"/>
      <c r="S166" s="556"/>
      <c r="T166" s="556"/>
      <c r="U166" s="556"/>
      <c r="V166" s="599">
        <v>44</v>
      </c>
      <c r="W166" s="558"/>
      <c r="X166" s="543"/>
    </row>
    <row r="167" spans="1:256" s="544" customFormat="1" x14ac:dyDescent="0.3">
      <c r="A167" s="555"/>
      <c r="B167" s="556" t="s">
        <v>54</v>
      </c>
      <c r="C167" s="556"/>
      <c r="D167" s="556"/>
      <c r="E167" s="556"/>
      <c r="F167" s="556"/>
      <c r="G167" s="556"/>
      <c r="H167" s="556"/>
      <c r="I167" s="556"/>
      <c r="J167" s="556"/>
      <c r="K167" s="556"/>
      <c r="L167" s="556"/>
      <c r="M167" s="556"/>
      <c r="N167" s="556"/>
      <c r="O167" s="556"/>
      <c r="P167" s="556"/>
      <c r="Q167" s="556"/>
      <c r="R167" s="556"/>
      <c r="S167" s="556"/>
      <c r="T167" s="556"/>
      <c r="U167" s="556"/>
      <c r="V167" s="599">
        <f>V166+V165</f>
        <v>44</v>
      </c>
      <c r="W167" s="558"/>
      <c r="X167" s="543"/>
    </row>
    <row r="168" spans="1:256" s="544" customFormat="1" x14ac:dyDescent="0.3">
      <c r="A168" s="555"/>
      <c r="B168" s="556" t="s">
        <v>315</v>
      </c>
      <c r="C168" s="556"/>
      <c r="D168" s="556"/>
      <c r="E168" s="556"/>
      <c r="F168" s="556"/>
      <c r="G168" s="556"/>
      <c r="H168" s="556"/>
      <c r="I168" s="556"/>
      <c r="J168" s="556"/>
      <c r="K168" s="556"/>
      <c r="L168" s="556"/>
      <c r="M168" s="556"/>
      <c r="N168" s="556"/>
      <c r="O168" s="556"/>
      <c r="P168" s="556"/>
      <c r="Q168" s="556"/>
      <c r="R168" s="556"/>
      <c r="S168" s="556"/>
      <c r="T168" s="556"/>
      <c r="U168" s="556"/>
      <c r="V168" s="599">
        <f>V114</f>
        <v>-44</v>
      </c>
      <c r="W168" s="558"/>
      <c r="X168" s="543"/>
    </row>
    <row r="169" spans="1:256" s="544" customFormat="1" x14ac:dyDescent="0.3">
      <c r="A169" s="555"/>
      <c r="B169" s="556" t="s">
        <v>55</v>
      </c>
      <c r="C169" s="556"/>
      <c r="D169" s="556"/>
      <c r="E169" s="556"/>
      <c r="F169" s="556"/>
      <c r="G169" s="556"/>
      <c r="H169" s="556"/>
      <c r="I169" s="556"/>
      <c r="J169" s="556"/>
      <c r="K169" s="556"/>
      <c r="L169" s="556"/>
      <c r="M169" s="556"/>
      <c r="N169" s="556"/>
      <c r="O169" s="556"/>
      <c r="P169" s="556"/>
      <c r="Q169" s="556"/>
      <c r="R169" s="556"/>
      <c r="S169" s="556"/>
      <c r="T169" s="556"/>
      <c r="U169" s="556"/>
      <c r="V169" s="599">
        <f>V167+V168</f>
        <v>0</v>
      </c>
      <c r="W169" s="558"/>
      <c r="X169" s="543"/>
    </row>
    <row r="170" spans="1:256" s="544" customFormat="1" x14ac:dyDescent="0.3">
      <c r="A170" s="555"/>
      <c r="B170" s="556" t="s">
        <v>283</v>
      </c>
      <c r="C170" s="556"/>
      <c r="D170" s="556"/>
      <c r="E170" s="556"/>
      <c r="F170" s="556"/>
      <c r="G170" s="556"/>
      <c r="H170" s="556"/>
      <c r="I170" s="556"/>
      <c r="J170" s="556"/>
      <c r="K170" s="556"/>
      <c r="L170" s="556"/>
      <c r="M170" s="556"/>
      <c r="N170" s="556"/>
      <c r="O170" s="556"/>
      <c r="P170" s="556"/>
      <c r="Q170" s="556"/>
      <c r="R170" s="556"/>
      <c r="S170" s="556"/>
      <c r="T170" s="556"/>
      <c r="U170" s="556"/>
      <c r="V170" s="599">
        <f>-V99</f>
        <v>1</v>
      </c>
      <c r="W170" s="558"/>
      <c r="X170" s="543"/>
    </row>
    <row r="171" spans="1:256" ht="16.2" thickBot="1" x14ac:dyDescent="0.35">
      <c r="A171" s="417"/>
      <c r="B171" s="437"/>
      <c r="C171" s="437"/>
      <c r="D171" s="437"/>
      <c r="E171" s="437"/>
      <c r="F171" s="437"/>
      <c r="G171" s="437"/>
      <c r="H171" s="437"/>
      <c r="I171" s="437"/>
      <c r="J171" s="437"/>
      <c r="K171" s="437"/>
      <c r="L171" s="437"/>
      <c r="M171" s="437"/>
      <c r="N171" s="437"/>
      <c r="O171" s="437"/>
      <c r="P171" s="437"/>
      <c r="Q171" s="437"/>
      <c r="R171" s="437"/>
      <c r="S171" s="437"/>
      <c r="T171" s="437"/>
      <c r="U171" s="437"/>
      <c r="V171" s="454"/>
      <c r="W171" s="437"/>
      <c r="X171" s="415"/>
    </row>
    <row r="172" spans="1:256" x14ac:dyDescent="0.3">
      <c r="A172" s="413"/>
      <c r="B172" s="455"/>
      <c r="C172" s="455"/>
      <c r="D172" s="455"/>
      <c r="E172" s="455"/>
      <c r="F172" s="455"/>
      <c r="G172" s="455"/>
      <c r="H172" s="455"/>
      <c r="I172" s="455"/>
      <c r="J172" s="455"/>
      <c r="K172" s="455"/>
      <c r="L172" s="455"/>
      <c r="M172" s="455"/>
      <c r="N172" s="455"/>
      <c r="O172" s="455"/>
      <c r="P172" s="455"/>
      <c r="Q172" s="455"/>
      <c r="R172" s="455"/>
      <c r="S172" s="455"/>
      <c r="T172" s="455"/>
      <c r="U172" s="455"/>
      <c r="V172" s="456"/>
      <c r="W172" s="455"/>
      <c r="X172" s="415"/>
    </row>
    <row r="173" spans="1:256" s="458" customFormat="1" x14ac:dyDescent="0.3">
      <c r="A173" s="417"/>
      <c r="B173" s="508" t="s">
        <v>269</v>
      </c>
      <c r="C173" s="441"/>
      <c r="D173" s="441"/>
      <c r="E173" s="441"/>
      <c r="F173" s="441"/>
      <c r="G173" s="441"/>
      <c r="H173" s="441"/>
      <c r="I173" s="441"/>
      <c r="J173" s="441"/>
      <c r="K173" s="441"/>
      <c r="L173" s="441"/>
      <c r="M173" s="441"/>
      <c r="N173" s="441"/>
      <c r="O173" s="441"/>
      <c r="P173" s="441"/>
      <c r="Q173" s="441"/>
      <c r="R173" s="441"/>
      <c r="S173" s="441"/>
      <c r="T173" s="441"/>
      <c r="U173" s="441"/>
      <c r="V173" s="457"/>
      <c r="W173" s="441"/>
      <c r="X173" s="415"/>
      <c r="Y173" s="416"/>
      <c r="Z173" s="416"/>
      <c r="AA173" s="416"/>
      <c r="AB173" s="416"/>
      <c r="AC173" s="416"/>
      <c r="AD173" s="416"/>
      <c r="AE173" s="416"/>
      <c r="AF173" s="416"/>
      <c r="AG173" s="416"/>
      <c r="AH173" s="416"/>
      <c r="AI173" s="416"/>
      <c r="AJ173" s="416"/>
      <c r="AK173" s="416"/>
      <c r="AL173" s="416"/>
      <c r="AM173" s="416"/>
      <c r="AN173" s="416"/>
      <c r="AO173" s="416"/>
      <c r="AP173" s="416"/>
      <c r="AQ173" s="416"/>
      <c r="AR173" s="416"/>
      <c r="AS173" s="416"/>
      <c r="AT173" s="416"/>
      <c r="AU173" s="416"/>
      <c r="AV173" s="416"/>
      <c r="AW173" s="416"/>
      <c r="AX173" s="416"/>
      <c r="AY173" s="416"/>
      <c r="AZ173" s="416"/>
      <c r="BA173" s="416"/>
      <c r="BB173" s="416"/>
      <c r="BC173" s="416"/>
      <c r="BD173" s="416"/>
      <c r="BE173" s="416"/>
      <c r="BF173" s="416"/>
      <c r="BG173" s="416"/>
      <c r="BH173" s="416"/>
      <c r="BI173" s="416"/>
      <c r="BJ173" s="416"/>
      <c r="BK173" s="416"/>
      <c r="BL173" s="416"/>
      <c r="BM173" s="416"/>
      <c r="BN173" s="416"/>
      <c r="BO173" s="416"/>
      <c r="BP173" s="416"/>
      <c r="BQ173" s="416"/>
      <c r="BR173" s="416"/>
      <c r="BS173" s="416"/>
      <c r="BT173" s="416"/>
      <c r="BU173" s="416"/>
      <c r="BV173" s="416"/>
      <c r="BW173" s="416"/>
      <c r="BX173" s="416"/>
      <c r="BY173" s="416"/>
      <c r="BZ173" s="416"/>
      <c r="CA173" s="416"/>
      <c r="CB173" s="416"/>
      <c r="CC173" s="416"/>
      <c r="CD173" s="416"/>
      <c r="CE173" s="416"/>
      <c r="CF173" s="416"/>
      <c r="CG173" s="416"/>
      <c r="CH173" s="416"/>
      <c r="CI173" s="416"/>
      <c r="CJ173" s="416"/>
      <c r="CK173" s="416"/>
      <c r="CL173" s="416"/>
      <c r="CM173" s="416"/>
      <c r="CN173" s="416"/>
      <c r="CO173" s="416"/>
      <c r="CP173" s="416"/>
      <c r="CQ173" s="416"/>
      <c r="CR173" s="416"/>
      <c r="CS173" s="416"/>
      <c r="CT173" s="416"/>
      <c r="CU173" s="416"/>
      <c r="CV173" s="416"/>
      <c r="CW173" s="416"/>
      <c r="CX173" s="416"/>
      <c r="CY173" s="416"/>
      <c r="CZ173" s="416"/>
      <c r="DA173" s="416"/>
      <c r="DB173" s="416"/>
      <c r="DC173" s="416"/>
      <c r="DD173" s="416"/>
      <c r="DE173" s="416"/>
      <c r="DF173" s="416"/>
      <c r="DG173" s="416"/>
      <c r="DH173" s="416"/>
      <c r="DI173" s="416"/>
      <c r="DJ173" s="416"/>
      <c r="DK173" s="416"/>
      <c r="DL173" s="416"/>
      <c r="DM173" s="416"/>
      <c r="DN173" s="416"/>
      <c r="DO173" s="416"/>
      <c r="DP173" s="416"/>
      <c r="DQ173" s="416"/>
      <c r="DR173" s="416"/>
      <c r="DS173" s="416"/>
      <c r="DT173" s="416"/>
      <c r="DU173" s="416"/>
      <c r="DV173" s="416"/>
      <c r="DW173" s="416"/>
      <c r="DX173" s="416"/>
      <c r="DY173" s="416"/>
      <c r="DZ173" s="416"/>
      <c r="EA173" s="416"/>
      <c r="EB173" s="416"/>
      <c r="EC173" s="416"/>
      <c r="ED173" s="416"/>
      <c r="EE173" s="416"/>
      <c r="EF173" s="416"/>
      <c r="EG173" s="416"/>
      <c r="EH173" s="416"/>
      <c r="EI173" s="416"/>
      <c r="EJ173" s="416"/>
      <c r="EK173" s="416"/>
      <c r="EL173" s="416"/>
      <c r="EM173" s="416"/>
      <c r="EN173" s="416"/>
      <c r="EO173" s="416"/>
      <c r="EP173" s="416"/>
      <c r="EQ173" s="416"/>
      <c r="ER173" s="416"/>
      <c r="ES173" s="416"/>
      <c r="ET173" s="416"/>
      <c r="EU173" s="416"/>
      <c r="EV173" s="416"/>
      <c r="EW173" s="416"/>
      <c r="EX173" s="416"/>
      <c r="EY173" s="416"/>
      <c r="EZ173" s="416"/>
      <c r="FA173" s="416"/>
      <c r="FB173" s="416"/>
      <c r="FC173" s="416"/>
      <c r="FD173" s="416"/>
      <c r="FE173" s="416"/>
      <c r="FF173" s="416"/>
      <c r="FG173" s="416"/>
      <c r="FH173" s="416"/>
      <c r="FI173" s="416"/>
      <c r="FJ173" s="416"/>
      <c r="FK173" s="416"/>
      <c r="FL173" s="416"/>
      <c r="FM173" s="416"/>
      <c r="FN173" s="416"/>
      <c r="FO173" s="416"/>
      <c r="FP173" s="416"/>
      <c r="FQ173" s="416"/>
      <c r="FR173" s="416"/>
      <c r="FS173" s="416"/>
      <c r="FT173" s="416"/>
      <c r="FU173" s="416"/>
      <c r="FV173" s="416"/>
      <c r="FW173" s="416"/>
      <c r="FX173" s="416"/>
      <c r="FY173" s="416"/>
      <c r="FZ173" s="416"/>
      <c r="GA173" s="416"/>
      <c r="GB173" s="416"/>
      <c r="GC173" s="416"/>
      <c r="GD173" s="416"/>
      <c r="GE173" s="416"/>
      <c r="GF173" s="416"/>
      <c r="GG173" s="416"/>
      <c r="GH173" s="416"/>
      <c r="GI173" s="416"/>
      <c r="GJ173" s="416"/>
      <c r="GK173" s="416"/>
      <c r="GL173" s="416"/>
      <c r="GM173" s="416"/>
      <c r="GN173" s="416"/>
      <c r="GO173" s="416"/>
      <c r="GP173" s="416"/>
      <c r="GQ173" s="416"/>
      <c r="GR173" s="416"/>
      <c r="GS173" s="416"/>
      <c r="GT173" s="416"/>
      <c r="GU173" s="416"/>
      <c r="GV173" s="416"/>
      <c r="GW173" s="416"/>
      <c r="GX173" s="416"/>
      <c r="GY173" s="416"/>
      <c r="GZ173" s="416"/>
      <c r="HA173" s="416"/>
      <c r="HB173" s="416"/>
      <c r="HC173" s="416"/>
      <c r="HD173" s="416"/>
      <c r="HE173" s="416"/>
      <c r="HF173" s="416"/>
      <c r="HG173" s="416"/>
      <c r="HH173" s="416"/>
      <c r="HI173" s="416"/>
      <c r="HJ173" s="416"/>
      <c r="HK173" s="416"/>
      <c r="HL173" s="416"/>
      <c r="HM173" s="416"/>
      <c r="HN173" s="416"/>
      <c r="HO173" s="416"/>
      <c r="HP173" s="416"/>
      <c r="HQ173" s="416"/>
      <c r="HR173" s="416"/>
      <c r="HS173" s="416"/>
      <c r="HT173" s="416"/>
      <c r="HU173" s="416"/>
      <c r="HV173" s="416"/>
      <c r="HW173" s="416"/>
      <c r="HX173" s="416"/>
      <c r="HY173" s="416"/>
      <c r="HZ173" s="416"/>
      <c r="IA173" s="416"/>
      <c r="IB173" s="416"/>
      <c r="IC173" s="416"/>
      <c r="ID173" s="416"/>
      <c r="IE173" s="416"/>
      <c r="IF173" s="416"/>
      <c r="IG173" s="416"/>
      <c r="IH173" s="416"/>
      <c r="II173" s="416"/>
      <c r="IJ173" s="416"/>
      <c r="IK173" s="416"/>
      <c r="IL173" s="416"/>
      <c r="IM173" s="416"/>
      <c r="IN173" s="416"/>
      <c r="IO173" s="416"/>
      <c r="IP173" s="416"/>
      <c r="IQ173" s="416"/>
      <c r="IR173" s="416"/>
      <c r="IS173" s="416"/>
      <c r="IT173" s="416"/>
      <c r="IU173" s="416"/>
      <c r="IV173" s="416"/>
    </row>
    <row r="174" spans="1:256" s="609" customFormat="1" x14ac:dyDescent="0.3">
      <c r="A174" s="555"/>
      <c r="B174" s="556" t="s">
        <v>270</v>
      </c>
      <c r="C174" s="556"/>
      <c r="D174" s="556"/>
      <c r="E174" s="556"/>
      <c r="F174" s="556"/>
      <c r="G174" s="556"/>
      <c r="H174" s="556"/>
      <c r="I174" s="556"/>
      <c r="J174" s="556"/>
      <c r="K174" s="556"/>
      <c r="L174" s="556"/>
      <c r="M174" s="556"/>
      <c r="N174" s="556"/>
      <c r="O174" s="556"/>
      <c r="P174" s="556"/>
      <c r="Q174" s="556"/>
      <c r="R174" s="556"/>
      <c r="S174" s="556"/>
      <c r="T174" s="556"/>
      <c r="U174" s="556"/>
      <c r="V174" s="599">
        <f>+'Aug 08'!V177</f>
        <v>0</v>
      </c>
      <c r="W174" s="558"/>
      <c r="X174" s="543"/>
      <c r="Y174" s="544"/>
      <c r="Z174" s="544"/>
      <c r="AA174" s="544"/>
      <c r="AB174" s="544"/>
      <c r="AC174" s="544"/>
      <c r="AD174" s="544"/>
      <c r="AE174" s="544"/>
      <c r="AF174" s="544"/>
      <c r="AG174" s="544"/>
      <c r="AH174" s="544"/>
      <c r="AI174" s="544"/>
      <c r="AJ174" s="544"/>
      <c r="AK174" s="544"/>
      <c r="AL174" s="544"/>
      <c r="AM174" s="544"/>
      <c r="AN174" s="544"/>
      <c r="AO174" s="544"/>
      <c r="AP174" s="544"/>
      <c r="AQ174" s="544"/>
      <c r="AR174" s="544"/>
      <c r="AS174" s="544"/>
      <c r="AT174" s="544"/>
      <c r="AU174" s="544"/>
      <c r="AV174" s="544"/>
      <c r="AW174" s="544"/>
      <c r="AX174" s="544"/>
      <c r="AY174" s="544"/>
      <c r="AZ174" s="544"/>
      <c r="BA174" s="544"/>
      <c r="BB174" s="544"/>
      <c r="BC174" s="544"/>
      <c r="BD174" s="544"/>
      <c r="BE174" s="544"/>
      <c r="BF174" s="544"/>
      <c r="BG174" s="544"/>
      <c r="BH174" s="544"/>
      <c r="BI174" s="544"/>
      <c r="BJ174" s="544"/>
      <c r="BK174" s="544"/>
      <c r="BL174" s="544"/>
      <c r="BM174" s="544"/>
      <c r="BN174" s="544"/>
      <c r="BO174" s="544"/>
      <c r="BP174" s="544"/>
      <c r="BQ174" s="544"/>
      <c r="BR174" s="544"/>
      <c r="BS174" s="544"/>
      <c r="BT174" s="544"/>
      <c r="BU174" s="544"/>
      <c r="BV174" s="544"/>
      <c r="BW174" s="544"/>
      <c r="BX174" s="544"/>
      <c r="BY174" s="544"/>
      <c r="BZ174" s="544"/>
      <c r="CA174" s="544"/>
      <c r="CB174" s="544"/>
      <c r="CC174" s="544"/>
      <c r="CD174" s="544"/>
      <c r="CE174" s="544"/>
      <c r="CF174" s="544"/>
      <c r="CG174" s="544"/>
      <c r="CH174" s="544"/>
      <c r="CI174" s="544"/>
      <c r="CJ174" s="544"/>
      <c r="CK174" s="544"/>
      <c r="CL174" s="544"/>
      <c r="CM174" s="544"/>
      <c r="CN174" s="544"/>
      <c r="CO174" s="544"/>
      <c r="CP174" s="544"/>
      <c r="CQ174" s="544"/>
      <c r="CR174" s="544"/>
      <c r="CS174" s="544"/>
      <c r="CT174" s="544"/>
      <c r="CU174" s="544"/>
      <c r="CV174" s="544"/>
      <c r="CW174" s="544"/>
      <c r="CX174" s="544"/>
      <c r="CY174" s="544"/>
      <c r="CZ174" s="544"/>
      <c r="DA174" s="544"/>
      <c r="DB174" s="544"/>
      <c r="DC174" s="544"/>
      <c r="DD174" s="544"/>
      <c r="DE174" s="544"/>
      <c r="DF174" s="544"/>
      <c r="DG174" s="544"/>
      <c r="DH174" s="544"/>
      <c r="DI174" s="544"/>
      <c r="DJ174" s="544"/>
      <c r="DK174" s="544"/>
      <c r="DL174" s="544"/>
      <c r="DM174" s="544"/>
      <c r="DN174" s="544"/>
      <c r="DO174" s="544"/>
      <c r="DP174" s="544"/>
      <c r="DQ174" s="544"/>
      <c r="DR174" s="544"/>
      <c r="DS174" s="544"/>
      <c r="DT174" s="544"/>
      <c r="DU174" s="544"/>
      <c r="DV174" s="544"/>
      <c r="DW174" s="544"/>
      <c r="DX174" s="544"/>
      <c r="DY174" s="544"/>
      <c r="DZ174" s="544"/>
      <c r="EA174" s="544"/>
      <c r="EB174" s="544"/>
      <c r="EC174" s="544"/>
      <c r="ED174" s="544"/>
      <c r="EE174" s="544"/>
      <c r="EF174" s="544"/>
      <c r="EG174" s="544"/>
      <c r="EH174" s="544"/>
      <c r="EI174" s="544"/>
      <c r="EJ174" s="544"/>
      <c r="EK174" s="544"/>
      <c r="EL174" s="544"/>
      <c r="EM174" s="544"/>
      <c r="EN174" s="544"/>
      <c r="EO174" s="544"/>
      <c r="EP174" s="544"/>
      <c r="EQ174" s="544"/>
      <c r="ER174" s="544"/>
      <c r="ES174" s="544"/>
      <c r="ET174" s="544"/>
      <c r="EU174" s="544"/>
      <c r="EV174" s="544"/>
      <c r="EW174" s="544"/>
      <c r="EX174" s="544"/>
      <c r="EY174" s="544"/>
      <c r="EZ174" s="544"/>
      <c r="FA174" s="544"/>
      <c r="FB174" s="544"/>
      <c r="FC174" s="544"/>
      <c r="FD174" s="544"/>
      <c r="FE174" s="544"/>
      <c r="FF174" s="544"/>
      <c r="FG174" s="544"/>
      <c r="FH174" s="544"/>
      <c r="FI174" s="544"/>
      <c r="FJ174" s="544"/>
      <c r="FK174" s="544"/>
      <c r="FL174" s="544"/>
      <c r="FM174" s="544"/>
      <c r="FN174" s="544"/>
      <c r="FO174" s="544"/>
      <c r="FP174" s="544"/>
      <c r="FQ174" s="544"/>
      <c r="FR174" s="544"/>
      <c r="FS174" s="544"/>
      <c r="FT174" s="544"/>
      <c r="FU174" s="544"/>
      <c r="FV174" s="544"/>
      <c r="FW174" s="544"/>
      <c r="FX174" s="544"/>
      <c r="FY174" s="544"/>
      <c r="FZ174" s="544"/>
      <c r="GA174" s="544"/>
      <c r="GB174" s="544"/>
      <c r="GC174" s="544"/>
      <c r="GD174" s="544"/>
      <c r="GE174" s="544"/>
      <c r="GF174" s="544"/>
      <c r="GG174" s="544"/>
      <c r="GH174" s="544"/>
      <c r="GI174" s="544"/>
      <c r="GJ174" s="544"/>
      <c r="GK174" s="544"/>
      <c r="GL174" s="544"/>
      <c r="GM174" s="544"/>
      <c r="GN174" s="544"/>
      <c r="GO174" s="544"/>
      <c r="GP174" s="544"/>
      <c r="GQ174" s="544"/>
      <c r="GR174" s="544"/>
      <c r="GS174" s="544"/>
      <c r="GT174" s="544"/>
      <c r="GU174" s="544"/>
      <c r="GV174" s="544"/>
      <c r="GW174" s="544"/>
      <c r="GX174" s="544"/>
      <c r="GY174" s="544"/>
      <c r="GZ174" s="544"/>
      <c r="HA174" s="544"/>
      <c r="HB174" s="544"/>
      <c r="HC174" s="544"/>
      <c r="HD174" s="544"/>
      <c r="HE174" s="544"/>
      <c r="HF174" s="544"/>
      <c r="HG174" s="544"/>
      <c r="HH174" s="544"/>
      <c r="HI174" s="544"/>
      <c r="HJ174" s="544"/>
      <c r="HK174" s="544"/>
      <c r="HL174" s="544"/>
      <c r="HM174" s="544"/>
      <c r="HN174" s="544"/>
      <c r="HO174" s="544"/>
      <c r="HP174" s="544"/>
      <c r="HQ174" s="544"/>
      <c r="HR174" s="544"/>
      <c r="HS174" s="544"/>
      <c r="HT174" s="544"/>
      <c r="HU174" s="544"/>
      <c r="HV174" s="544"/>
      <c r="HW174" s="544"/>
      <c r="HX174" s="544"/>
      <c r="HY174" s="544"/>
      <c r="HZ174" s="544"/>
      <c r="IA174" s="544"/>
      <c r="IB174" s="544"/>
      <c r="IC174" s="544"/>
      <c r="ID174" s="544"/>
      <c r="IE174" s="544"/>
      <c r="IF174" s="544"/>
      <c r="IG174" s="544"/>
      <c r="IH174" s="544"/>
      <c r="II174" s="544"/>
      <c r="IJ174" s="544"/>
      <c r="IK174" s="544"/>
      <c r="IL174" s="544"/>
      <c r="IM174" s="544"/>
      <c r="IN174" s="544"/>
      <c r="IO174" s="544"/>
      <c r="IP174" s="544"/>
      <c r="IQ174" s="544"/>
      <c r="IR174" s="544"/>
      <c r="IS174" s="544"/>
      <c r="IT174" s="544"/>
      <c r="IU174" s="544"/>
      <c r="IV174" s="544"/>
    </row>
    <row r="175" spans="1:256" s="609" customFormat="1" x14ac:dyDescent="0.3">
      <c r="A175" s="555"/>
      <c r="B175" s="556" t="s">
        <v>273</v>
      </c>
      <c r="C175" s="556"/>
      <c r="D175" s="556"/>
      <c r="E175" s="556"/>
      <c r="F175" s="556"/>
      <c r="G175" s="556"/>
      <c r="H175" s="556"/>
      <c r="I175" s="556"/>
      <c r="J175" s="556"/>
      <c r="K175" s="556"/>
      <c r="L175" s="556"/>
      <c r="M175" s="556"/>
      <c r="N175" s="556"/>
      <c r="O175" s="556"/>
      <c r="P175" s="556"/>
      <c r="Q175" s="556"/>
      <c r="R175" s="556"/>
      <c r="S175" s="556"/>
      <c r="T175" s="556"/>
      <c r="U175" s="556"/>
      <c r="V175" s="599">
        <f>+V93</f>
        <v>0</v>
      </c>
      <c r="W175" s="558"/>
      <c r="X175" s="543"/>
      <c r="Y175" s="544"/>
      <c r="Z175" s="544"/>
      <c r="AA175" s="544"/>
      <c r="AB175" s="544"/>
      <c r="AC175" s="544"/>
      <c r="AD175" s="544"/>
      <c r="AE175" s="544"/>
      <c r="AF175" s="544"/>
      <c r="AG175" s="544"/>
      <c r="AH175" s="544"/>
      <c r="AI175" s="544"/>
      <c r="AJ175" s="544"/>
      <c r="AK175" s="544"/>
      <c r="AL175" s="544"/>
      <c r="AM175" s="544"/>
      <c r="AN175" s="544"/>
      <c r="AO175" s="544"/>
      <c r="AP175" s="544"/>
      <c r="AQ175" s="544"/>
      <c r="AR175" s="544"/>
      <c r="AS175" s="544"/>
      <c r="AT175" s="544"/>
      <c r="AU175" s="544"/>
      <c r="AV175" s="544"/>
      <c r="AW175" s="544"/>
      <c r="AX175" s="544"/>
      <c r="AY175" s="544"/>
      <c r="AZ175" s="544"/>
      <c r="BA175" s="544"/>
      <c r="BB175" s="544"/>
      <c r="BC175" s="544"/>
      <c r="BD175" s="544"/>
      <c r="BE175" s="544"/>
      <c r="BF175" s="544"/>
      <c r="BG175" s="544"/>
      <c r="BH175" s="544"/>
      <c r="BI175" s="544"/>
      <c r="BJ175" s="544"/>
      <c r="BK175" s="544"/>
      <c r="BL175" s="544"/>
      <c r="BM175" s="544"/>
      <c r="BN175" s="544"/>
      <c r="BO175" s="544"/>
      <c r="BP175" s="544"/>
      <c r="BQ175" s="544"/>
      <c r="BR175" s="544"/>
      <c r="BS175" s="544"/>
      <c r="BT175" s="544"/>
      <c r="BU175" s="544"/>
      <c r="BV175" s="544"/>
      <c r="BW175" s="544"/>
      <c r="BX175" s="544"/>
      <c r="BY175" s="544"/>
      <c r="BZ175" s="544"/>
      <c r="CA175" s="544"/>
      <c r="CB175" s="544"/>
      <c r="CC175" s="544"/>
      <c r="CD175" s="544"/>
      <c r="CE175" s="544"/>
      <c r="CF175" s="544"/>
      <c r="CG175" s="544"/>
      <c r="CH175" s="544"/>
      <c r="CI175" s="544"/>
      <c r="CJ175" s="544"/>
      <c r="CK175" s="544"/>
      <c r="CL175" s="544"/>
      <c r="CM175" s="544"/>
      <c r="CN175" s="544"/>
      <c r="CO175" s="544"/>
      <c r="CP175" s="544"/>
      <c r="CQ175" s="544"/>
      <c r="CR175" s="544"/>
      <c r="CS175" s="544"/>
      <c r="CT175" s="544"/>
      <c r="CU175" s="544"/>
      <c r="CV175" s="544"/>
      <c r="CW175" s="544"/>
      <c r="CX175" s="544"/>
      <c r="CY175" s="544"/>
      <c r="CZ175" s="544"/>
      <c r="DA175" s="544"/>
      <c r="DB175" s="544"/>
      <c r="DC175" s="544"/>
      <c r="DD175" s="544"/>
      <c r="DE175" s="544"/>
      <c r="DF175" s="544"/>
      <c r="DG175" s="544"/>
      <c r="DH175" s="544"/>
      <c r="DI175" s="544"/>
      <c r="DJ175" s="544"/>
      <c r="DK175" s="544"/>
      <c r="DL175" s="544"/>
      <c r="DM175" s="544"/>
      <c r="DN175" s="544"/>
      <c r="DO175" s="544"/>
      <c r="DP175" s="544"/>
      <c r="DQ175" s="544"/>
      <c r="DR175" s="544"/>
      <c r="DS175" s="544"/>
      <c r="DT175" s="544"/>
      <c r="DU175" s="544"/>
      <c r="DV175" s="544"/>
      <c r="DW175" s="544"/>
      <c r="DX175" s="544"/>
      <c r="DY175" s="544"/>
      <c r="DZ175" s="544"/>
      <c r="EA175" s="544"/>
      <c r="EB175" s="544"/>
      <c r="EC175" s="544"/>
      <c r="ED175" s="544"/>
      <c r="EE175" s="544"/>
      <c r="EF175" s="544"/>
      <c r="EG175" s="544"/>
      <c r="EH175" s="544"/>
      <c r="EI175" s="544"/>
      <c r="EJ175" s="544"/>
      <c r="EK175" s="544"/>
      <c r="EL175" s="544"/>
      <c r="EM175" s="544"/>
      <c r="EN175" s="544"/>
      <c r="EO175" s="544"/>
      <c r="EP175" s="544"/>
      <c r="EQ175" s="544"/>
      <c r="ER175" s="544"/>
      <c r="ES175" s="544"/>
      <c r="ET175" s="544"/>
      <c r="EU175" s="544"/>
      <c r="EV175" s="544"/>
      <c r="EW175" s="544"/>
      <c r="EX175" s="544"/>
      <c r="EY175" s="544"/>
      <c r="EZ175" s="544"/>
      <c r="FA175" s="544"/>
      <c r="FB175" s="544"/>
      <c r="FC175" s="544"/>
      <c r="FD175" s="544"/>
      <c r="FE175" s="544"/>
      <c r="FF175" s="544"/>
      <c r="FG175" s="544"/>
      <c r="FH175" s="544"/>
      <c r="FI175" s="544"/>
      <c r="FJ175" s="544"/>
      <c r="FK175" s="544"/>
      <c r="FL175" s="544"/>
      <c r="FM175" s="544"/>
      <c r="FN175" s="544"/>
      <c r="FO175" s="544"/>
      <c r="FP175" s="544"/>
      <c r="FQ175" s="544"/>
      <c r="FR175" s="544"/>
      <c r="FS175" s="544"/>
      <c r="FT175" s="544"/>
      <c r="FU175" s="544"/>
      <c r="FV175" s="544"/>
      <c r="FW175" s="544"/>
      <c r="FX175" s="544"/>
      <c r="FY175" s="544"/>
      <c r="FZ175" s="544"/>
      <c r="GA175" s="544"/>
      <c r="GB175" s="544"/>
      <c r="GC175" s="544"/>
      <c r="GD175" s="544"/>
      <c r="GE175" s="544"/>
      <c r="GF175" s="544"/>
      <c r="GG175" s="544"/>
      <c r="GH175" s="544"/>
      <c r="GI175" s="544"/>
      <c r="GJ175" s="544"/>
      <c r="GK175" s="544"/>
      <c r="GL175" s="544"/>
      <c r="GM175" s="544"/>
      <c r="GN175" s="544"/>
      <c r="GO175" s="544"/>
      <c r="GP175" s="544"/>
      <c r="GQ175" s="544"/>
      <c r="GR175" s="544"/>
      <c r="GS175" s="544"/>
      <c r="GT175" s="544"/>
      <c r="GU175" s="544"/>
      <c r="GV175" s="544"/>
      <c r="GW175" s="544"/>
      <c r="GX175" s="544"/>
      <c r="GY175" s="544"/>
      <c r="GZ175" s="544"/>
      <c r="HA175" s="544"/>
      <c r="HB175" s="544"/>
      <c r="HC175" s="544"/>
      <c r="HD175" s="544"/>
      <c r="HE175" s="544"/>
      <c r="HF175" s="544"/>
      <c r="HG175" s="544"/>
      <c r="HH175" s="544"/>
      <c r="HI175" s="544"/>
      <c r="HJ175" s="544"/>
      <c r="HK175" s="544"/>
      <c r="HL175" s="544"/>
      <c r="HM175" s="544"/>
      <c r="HN175" s="544"/>
      <c r="HO175" s="544"/>
      <c r="HP175" s="544"/>
      <c r="HQ175" s="544"/>
      <c r="HR175" s="544"/>
      <c r="HS175" s="544"/>
      <c r="HT175" s="544"/>
      <c r="HU175" s="544"/>
      <c r="HV175" s="544"/>
      <c r="HW175" s="544"/>
      <c r="HX175" s="544"/>
      <c r="HY175" s="544"/>
      <c r="HZ175" s="544"/>
      <c r="IA175" s="544"/>
      <c r="IB175" s="544"/>
      <c r="IC175" s="544"/>
      <c r="ID175" s="544"/>
      <c r="IE175" s="544"/>
      <c r="IF175" s="544"/>
      <c r="IG175" s="544"/>
      <c r="IH175" s="544"/>
      <c r="II175" s="544"/>
      <c r="IJ175" s="544"/>
      <c r="IK175" s="544"/>
      <c r="IL175" s="544"/>
      <c r="IM175" s="544"/>
      <c r="IN175" s="544"/>
      <c r="IO175" s="544"/>
      <c r="IP175" s="544"/>
      <c r="IQ175" s="544"/>
      <c r="IR175" s="544"/>
      <c r="IS175" s="544"/>
      <c r="IT175" s="544"/>
      <c r="IU175" s="544"/>
      <c r="IV175" s="544"/>
    </row>
    <row r="176" spans="1:256" s="609" customFormat="1" x14ac:dyDescent="0.3">
      <c r="A176" s="555"/>
      <c r="B176" s="556" t="s">
        <v>271</v>
      </c>
      <c r="C176" s="556"/>
      <c r="D176" s="556"/>
      <c r="E176" s="556"/>
      <c r="F176" s="556"/>
      <c r="G176" s="556"/>
      <c r="H176" s="556"/>
      <c r="I176" s="556"/>
      <c r="J176" s="556"/>
      <c r="K176" s="556"/>
      <c r="L176" s="556"/>
      <c r="M176" s="556"/>
      <c r="N176" s="556"/>
      <c r="O176" s="556"/>
      <c r="P176" s="556"/>
      <c r="Q176" s="556"/>
      <c r="R176" s="556"/>
      <c r="S176" s="556"/>
      <c r="T176" s="556"/>
      <c r="U176" s="556"/>
      <c r="V176" s="599">
        <f>+V174-V175</f>
        <v>0</v>
      </c>
      <c r="W176" s="558"/>
      <c r="X176" s="543"/>
      <c r="Y176" s="544"/>
      <c r="Z176" s="544"/>
      <c r="AA176" s="544"/>
      <c r="AB176" s="544"/>
      <c r="AC176" s="544"/>
      <c r="AD176" s="544"/>
      <c r="AE176" s="544"/>
      <c r="AF176" s="544"/>
      <c r="AG176" s="544"/>
      <c r="AH176" s="544"/>
      <c r="AI176" s="544"/>
      <c r="AJ176" s="544"/>
      <c r="AK176" s="544"/>
      <c r="AL176" s="544"/>
      <c r="AM176" s="544"/>
      <c r="AN176" s="544"/>
      <c r="AO176" s="544"/>
      <c r="AP176" s="544"/>
      <c r="AQ176" s="544"/>
      <c r="AR176" s="544"/>
      <c r="AS176" s="544"/>
      <c r="AT176" s="544"/>
      <c r="AU176" s="544"/>
      <c r="AV176" s="544"/>
      <c r="AW176" s="544"/>
      <c r="AX176" s="544"/>
      <c r="AY176" s="544"/>
      <c r="AZ176" s="544"/>
      <c r="BA176" s="544"/>
      <c r="BB176" s="544"/>
      <c r="BC176" s="544"/>
      <c r="BD176" s="544"/>
      <c r="BE176" s="544"/>
      <c r="BF176" s="544"/>
      <c r="BG176" s="544"/>
      <c r="BH176" s="544"/>
      <c r="BI176" s="544"/>
      <c r="BJ176" s="544"/>
      <c r="BK176" s="544"/>
      <c r="BL176" s="544"/>
      <c r="BM176" s="544"/>
      <c r="BN176" s="544"/>
      <c r="BO176" s="544"/>
      <c r="BP176" s="544"/>
      <c r="BQ176" s="544"/>
      <c r="BR176" s="544"/>
      <c r="BS176" s="544"/>
      <c r="BT176" s="544"/>
      <c r="BU176" s="544"/>
      <c r="BV176" s="544"/>
      <c r="BW176" s="544"/>
      <c r="BX176" s="544"/>
      <c r="BY176" s="544"/>
      <c r="BZ176" s="544"/>
      <c r="CA176" s="544"/>
      <c r="CB176" s="544"/>
      <c r="CC176" s="544"/>
      <c r="CD176" s="544"/>
      <c r="CE176" s="544"/>
      <c r="CF176" s="544"/>
      <c r="CG176" s="544"/>
      <c r="CH176" s="544"/>
      <c r="CI176" s="544"/>
      <c r="CJ176" s="544"/>
      <c r="CK176" s="544"/>
      <c r="CL176" s="544"/>
      <c r="CM176" s="544"/>
      <c r="CN176" s="544"/>
      <c r="CO176" s="544"/>
      <c r="CP176" s="544"/>
      <c r="CQ176" s="544"/>
      <c r="CR176" s="544"/>
      <c r="CS176" s="544"/>
      <c r="CT176" s="544"/>
      <c r="CU176" s="544"/>
      <c r="CV176" s="544"/>
      <c r="CW176" s="544"/>
      <c r="CX176" s="544"/>
      <c r="CY176" s="544"/>
      <c r="CZ176" s="544"/>
      <c r="DA176" s="544"/>
      <c r="DB176" s="544"/>
      <c r="DC176" s="544"/>
      <c r="DD176" s="544"/>
      <c r="DE176" s="544"/>
      <c r="DF176" s="544"/>
      <c r="DG176" s="544"/>
      <c r="DH176" s="544"/>
      <c r="DI176" s="544"/>
      <c r="DJ176" s="544"/>
      <c r="DK176" s="544"/>
      <c r="DL176" s="544"/>
      <c r="DM176" s="544"/>
      <c r="DN176" s="544"/>
      <c r="DO176" s="544"/>
      <c r="DP176" s="544"/>
      <c r="DQ176" s="544"/>
      <c r="DR176" s="544"/>
      <c r="DS176" s="544"/>
      <c r="DT176" s="544"/>
      <c r="DU176" s="544"/>
      <c r="DV176" s="544"/>
      <c r="DW176" s="544"/>
      <c r="DX176" s="544"/>
      <c r="DY176" s="544"/>
      <c r="DZ176" s="544"/>
      <c r="EA176" s="544"/>
      <c r="EB176" s="544"/>
      <c r="EC176" s="544"/>
      <c r="ED176" s="544"/>
      <c r="EE176" s="544"/>
      <c r="EF176" s="544"/>
      <c r="EG176" s="544"/>
      <c r="EH176" s="544"/>
      <c r="EI176" s="544"/>
      <c r="EJ176" s="544"/>
      <c r="EK176" s="544"/>
      <c r="EL176" s="544"/>
      <c r="EM176" s="544"/>
      <c r="EN176" s="544"/>
      <c r="EO176" s="544"/>
      <c r="EP176" s="544"/>
      <c r="EQ176" s="544"/>
      <c r="ER176" s="544"/>
      <c r="ES176" s="544"/>
      <c r="ET176" s="544"/>
      <c r="EU176" s="544"/>
      <c r="EV176" s="544"/>
      <c r="EW176" s="544"/>
      <c r="EX176" s="544"/>
      <c r="EY176" s="544"/>
      <c r="EZ176" s="544"/>
      <c r="FA176" s="544"/>
      <c r="FB176" s="544"/>
      <c r="FC176" s="544"/>
      <c r="FD176" s="544"/>
      <c r="FE176" s="544"/>
      <c r="FF176" s="544"/>
      <c r="FG176" s="544"/>
      <c r="FH176" s="544"/>
      <c r="FI176" s="544"/>
      <c r="FJ176" s="544"/>
      <c r="FK176" s="544"/>
      <c r="FL176" s="544"/>
      <c r="FM176" s="544"/>
      <c r="FN176" s="544"/>
      <c r="FO176" s="544"/>
      <c r="FP176" s="544"/>
      <c r="FQ176" s="544"/>
      <c r="FR176" s="544"/>
      <c r="FS176" s="544"/>
      <c r="FT176" s="544"/>
      <c r="FU176" s="544"/>
      <c r="FV176" s="544"/>
      <c r="FW176" s="544"/>
      <c r="FX176" s="544"/>
      <c r="FY176" s="544"/>
      <c r="FZ176" s="544"/>
      <c r="GA176" s="544"/>
      <c r="GB176" s="544"/>
      <c r="GC176" s="544"/>
      <c r="GD176" s="544"/>
      <c r="GE176" s="544"/>
      <c r="GF176" s="544"/>
      <c r="GG176" s="544"/>
      <c r="GH176" s="544"/>
      <c r="GI176" s="544"/>
      <c r="GJ176" s="544"/>
      <c r="GK176" s="544"/>
      <c r="GL176" s="544"/>
      <c r="GM176" s="544"/>
      <c r="GN176" s="544"/>
      <c r="GO176" s="544"/>
      <c r="GP176" s="544"/>
      <c r="GQ176" s="544"/>
      <c r="GR176" s="544"/>
      <c r="GS176" s="544"/>
      <c r="GT176" s="544"/>
      <c r="GU176" s="544"/>
      <c r="GV176" s="544"/>
      <c r="GW176" s="544"/>
      <c r="GX176" s="544"/>
      <c r="GY176" s="544"/>
      <c r="GZ176" s="544"/>
      <c r="HA176" s="544"/>
      <c r="HB176" s="544"/>
      <c r="HC176" s="544"/>
      <c r="HD176" s="544"/>
      <c r="HE176" s="544"/>
      <c r="HF176" s="544"/>
      <c r="HG176" s="544"/>
      <c r="HH176" s="544"/>
      <c r="HI176" s="544"/>
      <c r="HJ176" s="544"/>
      <c r="HK176" s="544"/>
      <c r="HL176" s="544"/>
      <c r="HM176" s="544"/>
      <c r="HN176" s="544"/>
      <c r="HO176" s="544"/>
      <c r="HP176" s="544"/>
      <c r="HQ176" s="544"/>
      <c r="HR176" s="544"/>
      <c r="HS176" s="544"/>
      <c r="HT176" s="544"/>
      <c r="HU176" s="544"/>
      <c r="HV176" s="544"/>
      <c r="HW176" s="544"/>
      <c r="HX176" s="544"/>
      <c r="HY176" s="544"/>
      <c r="HZ176" s="544"/>
      <c r="IA176" s="544"/>
      <c r="IB176" s="544"/>
      <c r="IC176" s="544"/>
      <c r="ID176" s="544"/>
      <c r="IE176" s="544"/>
      <c r="IF176" s="544"/>
      <c r="IG176" s="544"/>
      <c r="IH176" s="544"/>
      <c r="II176" s="544"/>
      <c r="IJ176" s="544"/>
      <c r="IK176" s="544"/>
      <c r="IL176" s="544"/>
      <c r="IM176" s="544"/>
      <c r="IN176" s="544"/>
      <c r="IO176" s="544"/>
      <c r="IP176" s="544"/>
      <c r="IQ176" s="544"/>
      <c r="IR176" s="544"/>
      <c r="IS176" s="544"/>
      <c r="IT176" s="544"/>
      <c r="IU176" s="544"/>
      <c r="IV176" s="544"/>
    </row>
    <row r="177" spans="1:256" s="459" customFormat="1" ht="16.2" thickBot="1" x14ac:dyDescent="0.35">
      <c r="A177" s="438"/>
      <c r="B177" s="441"/>
      <c r="C177" s="441"/>
      <c r="D177" s="441"/>
      <c r="E177" s="441"/>
      <c r="F177" s="441"/>
      <c r="G177" s="441"/>
      <c r="H177" s="441"/>
      <c r="I177" s="441"/>
      <c r="J177" s="441"/>
      <c r="K177" s="441"/>
      <c r="L177" s="441"/>
      <c r="M177" s="441"/>
      <c r="N177" s="441"/>
      <c r="O177" s="441"/>
      <c r="P177" s="441"/>
      <c r="Q177" s="441"/>
      <c r="R177" s="441"/>
      <c r="S177" s="441"/>
      <c r="T177" s="441"/>
      <c r="U177" s="441"/>
      <c r="V177" s="452"/>
      <c r="W177" s="441"/>
      <c r="X177" s="415"/>
      <c r="Y177" s="416"/>
      <c r="Z177" s="416"/>
      <c r="AA177" s="416"/>
      <c r="AB177" s="416"/>
      <c r="AC177" s="416"/>
      <c r="AD177" s="416"/>
      <c r="AE177" s="416"/>
      <c r="AF177" s="416"/>
      <c r="AG177" s="416"/>
      <c r="AH177" s="416"/>
      <c r="AI177" s="416"/>
      <c r="AJ177" s="416"/>
      <c r="AK177" s="416"/>
      <c r="AL177" s="416"/>
      <c r="AM177" s="416"/>
      <c r="AN177" s="416"/>
      <c r="AO177" s="416"/>
      <c r="AP177" s="416"/>
      <c r="AQ177" s="416"/>
      <c r="AR177" s="416"/>
      <c r="AS177" s="416"/>
      <c r="AT177" s="416"/>
      <c r="AU177" s="416"/>
      <c r="AV177" s="416"/>
      <c r="AW177" s="416"/>
      <c r="AX177" s="416"/>
      <c r="AY177" s="416"/>
      <c r="AZ177" s="416"/>
      <c r="BA177" s="416"/>
      <c r="BB177" s="416"/>
      <c r="BC177" s="416"/>
      <c r="BD177" s="416"/>
      <c r="BE177" s="416"/>
      <c r="BF177" s="416"/>
      <c r="BG177" s="416"/>
      <c r="BH177" s="416"/>
      <c r="BI177" s="416"/>
      <c r="BJ177" s="416"/>
      <c r="BK177" s="416"/>
      <c r="BL177" s="416"/>
      <c r="BM177" s="416"/>
      <c r="BN177" s="416"/>
      <c r="BO177" s="416"/>
      <c r="BP177" s="416"/>
      <c r="BQ177" s="416"/>
      <c r="BR177" s="416"/>
      <c r="BS177" s="416"/>
      <c r="BT177" s="416"/>
      <c r="BU177" s="416"/>
      <c r="BV177" s="416"/>
      <c r="BW177" s="416"/>
      <c r="BX177" s="416"/>
      <c r="BY177" s="416"/>
      <c r="BZ177" s="416"/>
      <c r="CA177" s="416"/>
      <c r="CB177" s="416"/>
      <c r="CC177" s="416"/>
      <c r="CD177" s="416"/>
      <c r="CE177" s="416"/>
      <c r="CF177" s="416"/>
      <c r="CG177" s="416"/>
      <c r="CH177" s="416"/>
      <c r="CI177" s="416"/>
      <c r="CJ177" s="416"/>
      <c r="CK177" s="416"/>
      <c r="CL177" s="416"/>
      <c r="CM177" s="416"/>
      <c r="CN177" s="416"/>
      <c r="CO177" s="416"/>
      <c r="CP177" s="416"/>
      <c r="CQ177" s="416"/>
      <c r="CR177" s="416"/>
      <c r="CS177" s="416"/>
      <c r="CT177" s="416"/>
      <c r="CU177" s="416"/>
      <c r="CV177" s="416"/>
      <c r="CW177" s="416"/>
      <c r="CX177" s="416"/>
      <c r="CY177" s="416"/>
      <c r="CZ177" s="416"/>
      <c r="DA177" s="416"/>
      <c r="DB177" s="416"/>
      <c r="DC177" s="416"/>
      <c r="DD177" s="416"/>
      <c r="DE177" s="416"/>
      <c r="DF177" s="416"/>
      <c r="DG177" s="416"/>
      <c r="DH177" s="416"/>
      <c r="DI177" s="416"/>
      <c r="DJ177" s="416"/>
      <c r="DK177" s="416"/>
      <c r="DL177" s="416"/>
      <c r="DM177" s="416"/>
      <c r="DN177" s="416"/>
      <c r="DO177" s="416"/>
      <c r="DP177" s="416"/>
      <c r="DQ177" s="416"/>
      <c r="DR177" s="416"/>
      <c r="DS177" s="416"/>
      <c r="DT177" s="416"/>
      <c r="DU177" s="416"/>
      <c r="DV177" s="416"/>
      <c r="DW177" s="416"/>
      <c r="DX177" s="416"/>
      <c r="DY177" s="416"/>
      <c r="DZ177" s="416"/>
      <c r="EA177" s="416"/>
      <c r="EB177" s="416"/>
      <c r="EC177" s="416"/>
      <c r="ED177" s="416"/>
      <c r="EE177" s="416"/>
      <c r="EF177" s="416"/>
      <c r="EG177" s="416"/>
      <c r="EH177" s="416"/>
      <c r="EI177" s="416"/>
      <c r="EJ177" s="416"/>
      <c r="EK177" s="416"/>
      <c r="EL177" s="416"/>
      <c r="EM177" s="416"/>
      <c r="EN177" s="416"/>
      <c r="EO177" s="416"/>
      <c r="EP177" s="416"/>
      <c r="EQ177" s="416"/>
      <c r="ER177" s="416"/>
      <c r="ES177" s="416"/>
      <c r="ET177" s="416"/>
      <c r="EU177" s="416"/>
      <c r="EV177" s="416"/>
      <c r="EW177" s="416"/>
      <c r="EX177" s="416"/>
      <c r="EY177" s="416"/>
      <c r="EZ177" s="416"/>
      <c r="FA177" s="416"/>
      <c r="FB177" s="416"/>
      <c r="FC177" s="416"/>
      <c r="FD177" s="416"/>
      <c r="FE177" s="416"/>
      <c r="FF177" s="416"/>
      <c r="FG177" s="416"/>
      <c r="FH177" s="416"/>
      <c r="FI177" s="416"/>
      <c r="FJ177" s="416"/>
      <c r="FK177" s="416"/>
      <c r="FL177" s="416"/>
      <c r="FM177" s="416"/>
      <c r="FN177" s="416"/>
      <c r="FO177" s="416"/>
      <c r="FP177" s="416"/>
      <c r="FQ177" s="416"/>
      <c r="FR177" s="416"/>
      <c r="FS177" s="416"/>
      <c r="FT177" s="416"/>
      <c r="FU177" s="416"/>
      <c r="FV177" s="416"/>
      <c r="FW177" s="416"/>
      <c r="FX177" s="416"/>
      <c r="FY177" s="416"/>
      <c r="FZ177" s="416"/>
      <c r="GA177" s="416"/>
      <c r="GB177" s="416"/>
      <c r="GC177" s="416"/>
      <c r="GD177" s="416"/>
      <c r="GE177" s="416"/>
      <c r="GF177" s="416"/>
      <c r="GG177" s="416"/>
      <c r="GH177" s="416"/>
      <c r="GI177" s="416"/>
      <c r="GJ177" s="416"/>
      <c r="GK177" s="416"/>
      <c r="GL177" s="416"/>
      <c r="GM177" s="416"/>
      <c r="GN177" s="416"/>
      <c r="GO177" s="416"/>
      <c r="GP177" s="416"/>
      <c r="GQ177" s="416"/>
      <c r="GR177" s="416"/>
      <c r="GS177" s="416"/>
      <c r="GT177" s="416"/>
      <c r="GU177" s="416"/>
      <c r="GV177" s="416"/>
      <c r="GW177" s="416"/>
      <c r="GX177" s="416"/>
      <c r="GY177" s="416"/>
      <c r="GZ177" s="416"/>
      <c r="HA177" s="416"/>
      <c r="HB177" s="416"/>
      <c r="HC177" s="416"/>
      <c r="HD177" s="416"/>
      <c r="HE177" s="416"/>
      <c r="HF177" s="416"/>
      <c r="HG177" s="416"/>
      <c r="HH177" s="416"/>
      <c r="HI177" s="416"/>
      <c r="HJ177" s="416"/>
      <c r="HK177" s="416"/>
      <c r="HL177" s="416"/>
      <c r="HM177" s="416"/>
      <c r="HN177" s="416"/>
      <c r="HO177" s="416"/>
      <c r="HP177" s="416"/>
      <c r="HQ177" s="416"/>
      <c r="HR177" s="416"/>
      <c r="HS177" s="416"/>
      <c r="HT177" s="416"/>
      <c r="HU177" s="416"/>
      <c r="HV177" s="416"/>
      <c r="HW177" s="416"/>
      <c r="HX177" s="416"/>
      <c r="HY177" s="416"/>
      <c r="HZ177" s="416"/>
      <c r="IA177" s="416"/>
      <c r="IB177" s="416"/>
      <c r="IC177" s="416"/>
      <c r="ID177" s="416"/>
      <c r="IE177" s="416"/>
      <c r="IF177" s="416"/>
      <c r="IG177" s="416"/>
      <c r="IH177" s="416"/>
      <c r="II177" s="416"/>
      <c r="IJ177" s="416"/>
      <c r="IK177" s="416"/>
      <c r="IL177" s="416"/>
      <c r="IM177" s="416"/>
      <c r="IN177" s="416"/>
      <c r="IO177" s="416"/>
      <c r="IP177" s="416"/>
      <c r="IQ177" s="416"/>
      <c r="IR177" s="416"/>
      <c r="IS177" s="416"/>
      <c r="IT177" s="416"/>
      <c r="IU177" s="416"/>
      <c r="IV177" s="416"/>
    </row>
    <row r="178" spans="1:256" s="461" customFormat="1" x14ac:dyDescent="0.3">
      <c r="A178" s="413"/>
      <c r="B178" s="414"/>
      <c r="C178" s="414"/>
      <c r="D178" s="414"/>
      <c r="E178" s="414"/>
      <c r="F178" s="414"/>
      <c r="G178" s="414"/>
      <c r="H178" s="414"/>
      <c r="I178" s="414"/>
      <c r="J178" s="414"/>
      <c r="K178" s="414"/>
      <c r="L178" s="414"/>
      <c r="M178" s="414"/>
      <c r="N178" s="414"/>
      <c r="O178" s="414"/>
      <c r="P178" s="414"/>
      <c r="Q178" s="414"/>
      <c r="R178" s="414"/>
      <c r="S178" s="414"/>
      <c r="T178" s="414"/>
      <c r="U178" s="414"/>
      <c r="V178" s="460"/>
      <c r="W178" s="414"/>
      <c r="X178" s="415"/>
      <c r="Y178" s="416"/>
      <c r="Z178" s="416"/>
      <c r="AA178" s="416"/>
      <c r="AB178" s="416"/>
      <c r="AC178" s="416"/>
      <c r="AD178" s="416"/>
      <c r="AE178" s="416"/>
      <c r="AF178" s="416"/>
      <c r="AG178" s="416"/>
      <c r="AH178" s="416"/>
      <c r="AI178" s="416"/>
      <c r="AJ178" s="416"/>
      <c r="AK178" s="416"/>
      <c r="AL178" s="416"/>
      <c r="AM178" s="416"/>
      <c r="AN178" s="416"/>
      <c r="AO178" s="416"/>
      <c r="AP178" s="416"/>
      <c r="AQ178" s="416"/>
      <c r="AR178" s="416"/>
      <c r="AS178" s="416"/>
      <c r="AT178" s="416"/>
      <c r="AU178" s="416"/>
      <c r="AV178" s="416"/>
      <c r="AW178" s="416"/>
      <c r="AX178" s="416"/>
      <c r="AY178" s="416"/>
      <c r="AZ178" s="416"/>
      <c r="BA178" s="416"/>
      <c r="BB178" s="416"/>
      <c r="BC178" s="416"/>
      <c r="BD178" s="416"/>
      <c r="BE178" s="416"/>
      <c r="BF178" s="416"/>
      <c r="BG178" s="416"/>
      <c r="BH178" s="416"/>
      <c r="BI178" s="416"/>
      <c r="BJ178" s="416"/>
      <c r="BK178" s="416"/>
      <c r="BL178" s="416"/>
      <c r="BM178" s="416"/>
      <c r="BN178" s="416"/>
      <c r="BO178" s="416"/>
      <c r="BP178" s="416"/>
      <c r="BQ178" s="416"/>
      <c r="BR178" s="416"/>
      <c r="BS178" s="416"/>
      <c r="BT178" s="416"/>
      <c r="BU178" s="416"/>
      <c r="BV178" s="416"/>
      <c r="BW178" s="416"/>
      <c r="BX178" s="416"/>
      <c r="BY178" s="416"/>
      <c r="BZ178" s="416"/>
      <c r="CA178" s="416"/>
      <c r="CB178" s="416"/>
      <c r="CC178" s="416"/>
      <c r="CD178" s="416"/>
      <c r="CE178" s="416"/>
      <c r="CF178" s="416"/>
      <c r="CG178" s="416"/>
      <c r="CH178" s="416"/>
      <c r="CI178" s="416"/>
      <c r="CJ178" s="416"/>
      <c r="CK178" s="416"/>
      <c r="CL178" s="416"/>
      <c r="CM178" s="416"/>
      <c r="CN178" s="416"/>
      <c r="CO178" s="416"/>
      <c r="CP178" s="416"/>
      <c r="CQ178" s="416"/>
      <c r="CR178" s="416"/>
      <c r="CS178" s="416"/>
      <c r="CT178" s="416"/>
      <c r="CU178" s="416"/>
      <c r="CV178" s="416"/>
      <c r="CW178" s="416"/>
      <c r="CX178" s="416"/>
      <c r="CY178" s="416"/>
      <c r="CZ178" s="416"/>
      <c r="DA178" s="416"/>
      <c r="DB178" s="416"/>
      <c r="DC178" s="416"/>
      <c r="DD178" s="416"/>
      <c r="DE178" s="416"/>
      <c r="DF178" s="416"/>
      <c r="DG178" s="416"/>
      <c r="DH178" s="416"/>
      <c r="DI178" s="416"/>
      <c r="DJ178" s="416"/>
      <c r="DK178" s="416"/>
      <c r="DL178" s="416"/>
      <c r="DM178" s="416"/>
      <c r="DN178" s="416"/>
      <c r="DO178" s="416"/>
      <c r="DP178" s="416"/>
      <c r="DQ178" s="416"/>
      <c r="DR178" s="416"/>
      <c r="DS178" s="416"/>
      <c r="DT178" s="416"/>
      <c r="DU178" s="416"/>
      <c r="DV178" s="416"/>
      <c r="DW178" s="416"/>
      <c r="DX178" s="416"/>
      <c r="DY178" s="416"/>
      <c r="DZ178" s="416"/>
      <c r="EA178" s="416"/>
      <c r="EB178" s="416"/>
      <c r="EC178" s="416"/>
      <c r="ED178" s="416"/>
      <c r="EE178" s="416"/>
      <c r="EF178" s="416"/>
      <c r="EG178" s="416"/>
      <c r="EH178" s="416"/>
      <c r="EI178" s="416"/>
      <c r="EJ178" s="416"/>
      <c r="EK178" s="416"/>
      <c r="EL178" s="416"/>
      <c r="EM178" s="416"/>
      <c r="EN178" s="416"/>
      <c r="EO178" s="416"/>
      <c r="EP178" s="416"/>
      <c r="EQ178" s="416"/>
      <c r="ER178" s="416"/>
      <c r="ES178" s="416"/>
      <c r="ET178" s="416"/>
      <c r="EU178" s="416"/>
      <c r="EV178" s="416"/>
      <c r="EW178" s="416"/>
      <c r="EX178" s="416"/>
      <c r="EY178" s="416"/>
      <c r="EZ178" s="416"/>
      <c r="FA178" s="416"/>
      <c r="FB178" s="416"/>
      <c r="FC178" s="416"/>
      <c r="FD178" s="416"/>
      <c r="FE178" s="416"/>
      <c r="FF178" s="416"/>
      <c r="FG178" s="416"/>
      <c r="FH178" s="416"/>
      <c r="FI178" s="416"/>
      <c r="FJ178" s="416"/>
      <c r="FK178" s="416"/>
      <c r="FL178" s="416"/>
      <c r="FM178" s="416"/>
      <c r="FN178" s="416"/>
      <c r="FO178" s="416"/>
      <c r="FP178" s="416"/>
      <c r="FQ178" s="416"/>
      <c r="FR178" s="416"/>
      <c r="FS178" s="416"/>
      <c r="FT178" s="416"/>
      <c r="FU178" s="416"/>
      <c r="FV178" s="416"/>
      <c r="FW178" s="416"/>
      <c r="FX178" s="416"/>
      <c r="FY178" s="416"/>
      <c r="FZ178" s="416"/>
      <c r="GA178" s="416"/>
      <c r="GB178" s="416"/>
      <c r="GC178" s="416"/>
      <c r="GD178" s="416"/>
      <c r="GE178" s="416"/>
      <c r="GF178" s="416"/>
      <c r="GG178" s="416"/>
      <c r="GH178" s="416"/>
      <c r="GI178" s="416"/>
      <c r="GJ178" s="416"/>
      <c r="GK178" s="416"/>
      <c r="GL178" s="416"/>
      <c r="GM178" s="416"/>
      <c r="GN178" s="416"/>
      <c r="GO178" s="416"/>
      <c r="GP178" s="416"/>
      <c r="GQ178" s="416"/>
      <c r="GR178" s="416"/>
      <c r="GS178" s="416"/>
      <c r="GT178" s="416"/>
      <c r="GU178" s="416"/>
      <c r="GV178" s="416"/>
      <c r="GW178" s="416"/>
      <c r="GX178" s="416"/>
      <c r="GY178" s="416"/>
      <c r="GZ178" s="416"/>
      <c r="HA178" s="416"/>
      <c r="HB178" s="416"/>
      <c r="HC178" s="416"/>
      <c r="HD178" s="416"/>
      <c r="HE178" s="416"/>
      <c r="HF178" s="416"/>
      <c r="HG178" s="416"/>
      <c r="HH178" s="416"/>
      <c r="HI178" s="416"/>
      <c r="HJ178" s="416"/>
      <c r="HK178" s="416"/>
      <c r="HL178" s="416"/>
      <c r="HM178" s="416"/>
      <c r="HN178" s="416"/>
      <c r="HO178" s="416"/>
      <c r="HP178" s="416"/>
      <c r="HQ178" s="416"/>
      <c r="HR178" s="416"/>
      <c r="HS178" s="416"/>
      <c r="HT178" s="416"/>
      <c r="HU178" s="416"/>
      <c r="HV178" s="416"/>
      <c r="HW178" s="416"/>
      <c r="HX178" s="416"/>
      <c r="HY178" s="416"/>
      <c r="HZ178" s="416"/>
      <c r="IA178" s="416"/>
      <c r="IB178" s="416"/>
      <c r="IC178" s="416"/>
      <c r="ID178" s="416"/>
      <c r="IE178" s="416"/>
      <c r="IF178" s="416"/>
      <c r="IG178" s="416"/>
      <c r="IH178" s="416"/>
      <c r="II178" s="416"/>
      <c r="IJ178" s="416"/>
      <c r="IK178" s="416"/>
      <c r="IL178" s="416"/>
      <c r="IM178" s="416"/>
      <c r="IN178" s="416"/>
      <c r="IO178" s="416"/>
      <c r="IP178" s="416"/>
      <c r="IQ178" s="416"/>
      <c r="IR178" s="416"/>
      <c r="IS178" s="416"/>
      <c r="IT178" s="416"/>
      <c r="IU178" s="416"/>
      <c r="IV178" s="416"/>
    </row>
    <row r="179" spans="1:256" x14ac:dyDescent="0.3">
      <c r="A179" s="417"/>
      <c r="B179" s="508" t="s">
        <v>56</v>
      </c>
      <c r="C179" s="419"/>
      <c r="D179" s="419"/>
      <c r="E179" s="419"/>
      <c r="F179" s="419"/>
      <c r="G179" s="419"/>
      <c r="H179" s="419"/>
      <c r="I179" s="419"/>
      <c r="J179" s="419"/>
      <c r="K179" s="419"/>
      <c r="L179" s="419"/>
      <c r="M179" s="419"/>
      <c r="N179" s="419"/>
      <c r="O179" s="419"/>
      <c r="P179" s="419"/>
      <c r="Q179" s="419"/>
      <c r="R179" s="419"/>
      <c r="S179" s="419"/>
      <c r="T179" s="419"/>
      <c r="U179" s="419"/>
      <c r="V179" s="439"/>
      <c r="W179" s="419"/>
      <c r="X179" s="415"/>
    </row>
    <row r="180" spans="1:256" x14ac:dyDescent="0.3">
      <c r="A180" s="417"/>
      <c r="B180" s="451"/>
      <c r="C180" s="419"/>
      <c r="D180" s="419"/>
      <c r="E180" s="419"/>
      <c r="F180" s="419"/>
      <c r="G180" s="419"/>
      <c r="H180" s="419"/>
      <c r="I180" s="419"/>
      <c r="J180" s="419"/>
      <c r="K180" s="419"/>
      <c r="L180" s="419"/>
      <c r="M180" s="419"/>
      <c r="N180" s="419"/>
      <c r="O180" s="419"/>
      <c r="P180" s="419"/>
      <c r="Q180" s="419"/>
      <c r="R180" s="419"/>
      <c r="S180" s="419"/>
      <c r="T180" s="419"/>
      <c r="U180" s="419"/>
      <c r="V180" s="439"/>
      <c r="W180" s="419"/>
      <c r="X180" s="415"/>
    </row>
    <row r="181" spans="1:256" s="544" customFormat="1" x14ac:dyDescent="0.3">
      <c r="A181" s="555"/>
      <c r="B181" s="556" t="s">
        <v>57</v>
      </c>
      <c r="C181" s="556"/>
      <c r="D181" s="556"/>
      <c r="E181" s="556"/>
      <c r="F181" s="556"/>
      <c r="G181" s="556"/>
      <c r="H181" s="556"/>
      <c r="I181" s="556"/>
      <c r="J181" s="556"/>
      <c r="K181" s="556"/>
      <c r="L181" s="556"/>
      <c r="M181" s="556"/>
      <c r="N181" s="556"/>
      <c r="O181" s="556"/>
      <c r="P181" s="556"/>
      <c r="Q181" s="556"/>
      <c r="R181" s="556"/>
      <c r="S181" s="556"/>
      <c r="T181" s="556"/>
      <c r="U181" s="556"/>
      <c r="V181" s="599">
        <f>V70</f>
        <v>769114</v>
      </c>
      <c r="W181" s="558"/>
      <c r="X181" s="543"/>
    </row>
    <row r="182" spans="1:256" s="544" customFormat="1" x14ac:dyDescent="0.3">
      <c r="A182" s="555"/>
      <c r="B182" s="556" t="s">
        <v>58</v>
      </c>
      <c r="C182" s="556"/>
      <c r="D182" s="556"/>
      <c r="E182" s="556"/>
      <c r="F182" s="556"/>
      <c r="G182" s="556"/>
      <c r="H182" s="556"/>
      <c r="I182" s="556"/>
      <c r="J182" s="556"/>
      <c r="K182" s="556"/>
      <c r="L182" s="556"/>
      <c r="M182" s="556"/>
      <c r="N182" s="556"/>
      <c r="O182" s="556"/>
      <c r="P182" s="556"/>
      <c r="Q182" s="556"/>
      <c r="R182" s="556"/>
      <c r="S182" s="556"/>
      <c r="T182" s="556"/>
      <c r="U182" s="556"/>
      <c r="V182" s="599">
        <f>V83</f>
        <v>769114</v>
      </c>
      <c r="W182" s="558"/>
      <c r="X182" s="543"/>
    </row>
    <row r="183" spans="1:256" ht="16.2" thickBot="1" x14ac:dyDescent="0.35">
      <c r="A183" s="417"/>
      <c r="B183" s="441"/>
      <c r="C183" s="441"/>
      <c r="D183" s="441"/>
      <c r="E183" s="441"/>
      <c r="F183" s="441"/>
      <c r="G183" s="441"/>
      <c r="H183" s="441"/>
      <c r="I183" s="441"/>
      <c r="J183" s="441"/>
      <c r="K183" s="441"/>
      <c r="L183" s="441"/>
      <c r="M183" s="441"/>
      <c r="N183" s="441"/>
      <c r="O183" s="441"/>
      <c r="P183" s="441"/>
      <c r="Q183" s="441"/>
      <c r="R183" s="441"/>
      <c r="S183" s="441"/>
      <c r="T183" s="441"/>
      <c r="U183" s="441"/>
      <c r="V183" s="452"/>
      <c r="W183" s="441"/>
      <c r="X183" s="415"/>
    </row>
    <row r="184" spans="1:256" x14ac:dyDescent="0.3">
      <c r="A184" s="413"/>
      <c r="B184" s="414"/>
      <c r="C184" s="414"/>
      <c r="D184" s="414"/>
      <c r="E184" s="414"/>
      <c r="F184" s="414"/>
      <c r="G184" s="414"/>
      <c r="H184" s="414"/>
      <c r="I184" s="414"/>
      <c r="J184" s="414"/>
      <c r="K184" s="414"/>
      <c r="L184" s="414"/>
      <c r="M184" s="414"/>
      <c r="N184" s="414"/>
      <c r="O184" s="414"/>
      <c r="P184" s="414"/>
      <c r="Q184" s="414"/>
      <c r="R184" s="414"/>
      <c r="S184" s="414"/>
      <c r="T184" s="414"/>
      <c r="U184" s="414"/>
      <c r="V184" s="460"/>
      <c r="W184" s="414"/>
      <c r="X184" s="415"/>
    </row>
    <row r="185" spans="1:256" s="499" customFormat="1" x14ac:dyDescent="0.3">
      <c r="A185" s="502"/>
      <c r="B185" s="508" t="s">
        <v>59</v>
      </c>
      <c r="C185" s="506"/>
      <c r="D185" s="506"/>
      <c r="E185" s="506"/>
      <c r="F185" s="506"/>
      <c r="G185" s="506"/>
      <c r="H185" s="509"/>
      <c r="I185" s="509"/>
      <c r="J185" s="509"/>
      <c r="K185" s="509"/>
      <c r="L185" s="509"/>
      <c r="M185" s="509"/>
      <c r="N185" s="509"/>
      <c r="O185" s="509"/>
      <c r="P185" s="509"/>
      <c r="Q185" s="509"/>
      <c r="R185" s="509"/>
      <c r="S185" s="509" t="s">
        <v>101</v>
      </c>
      <c r="T185" s="509" t="s">
        <v>176</v>
      </c>
      <c r="U185" s="421"/>
      <c r="V185" s="510" t="s">
        <v>114</v>
      </c>
      <c r="W185" s="421"/>
      <c r="X185" s="498"/>
    </row>
    <row r="186" spans="1:256" s="544" customFormat="1" x14ac:dyDescent="0.3">
      <c r="A186" s="555"/>
      <c r="B186" s="556" t="s">
        <v>60</v>
      </c>
      <c r="C186" s="556"/>
      <c r="D186" s="556"/>
      <c r="E186" s="556"/>
      <c r="F186" s="556"/>
      <c r="G186" s="556"/>
      <c r="H186" s="556"/>
      <c r="I186" s="556"/>
      <c r="J186" s="556"/>
      <c r="K186" s="556"/>
      <c r="L186" s="556"/>
      <c r="M186" s="556"/>
      <c r="N186" s="556"/>
      <c r="O186" s="556"/>
      <c r="P186" s="556"/>
      <c r="Q186" s="556"/>
      <c r="R186" s="556"/>
      <c r="S186" s="599">
        <f>+V34*0.16</f>
        <v>240044</v>
      </c>
      <c r="T186" s="578"/>
      <c r="U186" s="556"/>
      <c r="V186" s="599"/>
      <c r="W186" s="558"/>
      <c r="X186" s="543"/>
    </row>
    <row r="187" spans="1:256" s="544" customFormat="1" x14ac:dyDescent="0.3">
      <c r="A187" s="555"/>
      <c r="B187" s="556" t="s">
        <v>61</v>
      </c>
      <c r="C187" s="556"/>
      <c r="D187" s="556"/>
      <c r="E187" s="556"/>
      <c r="F187" s="556"/>
      <c r="G187" s="556"/>
      <c r="H187" s="556"/>
      <c r="I187" s="556"/>
      <c r="J187" s="556"/>
      <c r="K187" s="556"/>
      <c r="L187" s="556"/>
      <c r="M187" s="556"/>
      <c r="N187" s="556"/>
      <c r="O187" s="556"/>
      <c r="P187" s="556"/>
      <c r="Q187" s="556"/>
      <c r="R187" s="556"/>
      <c r="S187" s="599">
        <f>+'Feb 19'!S189</f>
        <v>33453</v>
      </c>
      <c r="T187" s="599">
        <f>+'Feb 19'!T189</f>
        <v>6019</v>
      </c>
      <c r="U187" s="556"/>
      <c r="V187" s="599">
        <f>S187+T187</f>
        <v>39472</v>
      </c>
      <c r="W187" s="558"/>
      <c r="X187" s="543"/>
    </row>
    <row r="188" spans="1:256" s="544" customFormat="1" x14ac:dyDescent="0.3">
      <c r="A188" s="555"/>
      <c r="B188" s="556" t="s">
        <v>62</v>
      </c>
      <c r="C188" s="556"/>
      <c r="D188" s="556"/>
      <c r="E188" s="556"/>
      <c r="F188" s="556"/>
      <c r="G188" s="556"/>
      <c r="H188" s="556"/>
      <c r="I188" s="556"/>
      <c r="J188" s="556"/>
      <c r="K188" s="556"/>
      <c r="L188" s="556"/>
      <c r="M188" s="556"/>
      <c r="N188" s="556"/>
      <c r="O188" s="556"/>
      <c r="P188" s="556"/>
      <c r="Q188" s="556"/>
      <c r="R188" s="556"/>
      <c r="S188" s="598">
        <v>0</v>
      </c>
      <c r="T188" s="598">
        <v>0</v>
      </c>
      <c r="U188" s="556"/>
      <c r="V188" s="599">
        <f>S188+T188</f>
        <v>0</v>
      </c>
      <c r="W188" s="558"/>
      <c r="X188" s="543"/>
    </row>
    <row r="189" spans="1:256" s="544" customFormat="1" x14ac:dyDescent="0.3">
      <c r="A189" s="555"/>
      <c r="B189" s="556" t="s">
        <v>63</v>
      </c>
      <c r="C189" s="556"/>
      <c r="D189" s="556"/>
      <c r="E189" s="556"/>
      <c r="F189" s="556"/>
      <c r="G189" s="556"/>
      <c r="H189" s="556"/>
      <c r="I189" s="556"/>
      <c r="J189" s="556"/>
      <c r="K189" s="556"/>
      <c r="L189" s="556"/>
      <c r="M189" s="556"/>
      <c r="N189" s="556"/>
      <c r="O189" s="556"/>
      <c r="P189" s="556"/>
      <c r="Q189" s="556"/>
      <c r="R189" s="556"/>
      <c r="S189" s="599">
        <f>S187+S188</f>
        <v>33453</v>
      </c>
      <c r="T189" s="599">
        <f>T188+T187</f>
        <v>6019</v>
      </c>
      <c r="U189" s="556"/>
      <c r="V189" s="599">
        <f>S189+T189</f>
        <v>39472</v>
      </c>
      <c r="W189" s="558"/>
      <c r="X189" s="543"/>
    </row>
    <row r="190" spans="1:256" s="544" customFormat="1" x14ac:dyDescent="0.3">
      <c r="A190" s="555"/>
      <c r="B190" s="556" t="s">
        <v>64</v>
      </c>
      <c r="C190" s="556"/>
      <c r="D190" s="556"/>
      <c r="E190" s="556"/>
      <c r="F190" s="556"/>
      <c r="G190" s="556"/>
      <c r="H190" s="556"/>
      <c r="I190" s="556"/>
      <c r="J190" s="556"/>
      <c r="K190" s="556"/>
      <c r="L190" s="556"/>
      <c r="M190" s="556"/>
      <c r="N190" s="556"/>
      <c r="O190" s="556"/>
      <c r="P190" s="556"/>
      <c r="Q190" s="556"/>
      <c r="R190" s="556"/>
      <c r="S190" s="599">
        <f>S186-S189-T189</f>
        <v>200572</v>
      </c>
      <c r="T190" s="578"/>
      <c r="U190" s="556"/>
      <c r="V190" s="599"/>
      <c r="W190" s="558"/>
      <c r="X190" s="543"/>
    </row>
    <row r="191" spans="1:256" ht="16.2" thickBot="1" x14ac:dyDescent="0.35">
      <c r="A191" s="417"/>
      <c r="B191" s="441"/>
      <c r="C191" s="441"/>
      <c r="D191" s="441"/>
      <c r="E191" s="441"/>
      <c r="F191" s="441"/>
      <c r="G191" s="441"/>
      <c r="H191" s="441"/>
      <c r="I191" s="441"/>
      <c r="J191" s="441"/>
      <c r="K191" s="441"/>
      <c r="L191" s="441"/>
      <c r="M191" s="441"/>
      <c r="N191" s="441"/>
      <c r="O191" s="441"/>
      <c r="P191" s="441"/>
      <c r="Q191" s="441"/>
      <c r="R191" s="441"/>
      <c r="S191" s="441"/>
      <c r="T191" s="441"/>
      <c r="U191" s="441"/>
      <c r="V191" s="452"/>
      <c r="W191" s="441"/>
      <c r="X191" s="415"/>
    </row>
    <row r="192" spans="1:256" x14ac:dyDescent="0.3">
      <c r="A192" s="413"/>
      <c r="B192" s="414"/>
      <c r="C192" s="414"/>
      <c r="D192" s="414"/>
      <c r="E192" s="414"/>
      <c r="F192" s="414"/>
      <c r="G192" s="414"/>
      <c r="H192" s="414"/>
      <c r="I192" s="414"/>
      <c r="J192" s="414"/>
      <c r="K192" s="414"/>
      <c r="L192" s="414"/>
      <c r="M192" s="414"/>
      <c r="N192" s="414"/>
      <c r="O192" s="414"/>
      <c r="P192" s="414"/>
      <c r="Q192" s="414"/>
      <c r="R192" s="414"/>
      <c r="S192" s="414"/>
      <c r="T192" s="414"/>
      <c r="U192" s="414"/>
      <c r="V192" s="460"/>
      <c r="W192" s="414"/>
      <c r="X192" s="415"/>
    </row>
    <row r="193" spans="1:24" x14ac:dyDescent="0.3">
      <c r="A193" s="417"/>
      <c r="B193" s="508" t="s">
        <v>65</v>
      </c>
      <c r="C193" s="419"/>
      <c r="D193" s="419"/>
      <c r="E193" s="419"/>
      <c r="F193" s="419"/>
      <c r="G193" s="419"/>
      <c r="H193" s="419"/>
      <c r="I193" s="419"/>
      <c r="J193" s="419"/>
      <c r="K193" s="419"/>
      <c r="L193" s="419"/>
      <c r="M193" s="419"/>
      <c r="N193" s="419"/>
      <c r="O193" s="419"/>
      <c r="P193" s="419"/>
      <c r="Q193" s="419"/>
      <c r="R193" s="419"/>
      <c r="S193" s="419"/>
      <c r="T193" s="419"/>
      <c r="U193" s="419"/>
      <c r="V193" s="462"/>
      <c r="W193" s="419"/>
      <c r="X193" s="415"/>
    </row>
    <row r="194" spans="1:24" s="544" customFormat="1" x14ac:dyDescent="0.3">
      <c r="A194" s="555"/>
      <c r="B194" s="556" t="s">
        <v>66</v>
      </c>
      <c r="C194" s="556"/>
      <c r="D194" s="556"/>
      <c r="E194" s="556"/>
      <c r="F194" s="556"/>
      <c r="G194" s="556"/>
      <c r="H194" s="556"/>
      <c r="I194" s="556"/>
      <c r="J194" s="556"/>
      <c r="K194" s="556"/>
      <c r="L194" s="556"/>
      <c r="M194" s="556"/>
      <c r="N194" s="556"/>
      <c r="O194" s="556"/>
      <c r="P194" s="556"/>
      <c r="Q194" s="556"/>
      <c r="R194" s="556"/>
      <c r="S194" s="556"/>
      <c r="T194" s="556"/>
      <c r="U194" s="556"/>
      <c r="V194" s="608">
        <f>(V100+V102+V103+V104+V105)/-(V106+V107)</f>
        <v>3.5173089483997386</v>
      </c>
      <c r="W194" s="558" t="s">
        <v>115</v>
      </c>
      <c r="X194" s="543"/>
    </row>
    <row r="195" spans="1:24" s="544" customFormat="1" x14ac:dyDescent="0.3">
      <c r="A195" s="555"/>
      <c r="B195" s="556" t="s">
        <v>67</v>
      </c>
      <c r="C195" s="556"/>
      <c r="D195" s="556"/>
      <c r="E195" s="556"/>
      <c r="F195" s="556"/>
      <c r="G195" s="556"/>
      <c r="H195" s="556"/>
      <c r="I195" s="556"/>
      <c r="J195" s="556"/>
      <c r="K195" s="556"/>
      <c r="L195" s="556"/>
      <c r="M195" s="556"/>
      <c r="N195" s="556"/>
      <c r="O195" s="556"/>
      <c r="P195" s="556"/>
      <c r="Q195" s="556"/>
      <c r="R195" s="556"/>
      <c r="S195" s="556"/>
      <c r="T195" s="556"/>
      <c r="U195" s="556"/>
      <c r="V195" s="610">
        <v>2.16</v>
      </c>
      <c r="W195" s="558" t="s">
        <v>115</v>
      </c>
      <c r="X195" s="543"/>
    </row>
    <row r="196" spans="1:24" s="544" customFormat="1" x14ac:dyDescent="0.3">
      <c r="A196" s="555"/>
      <c r="B196" s="556" t="s">
        <v>68</v>
      </c>
      <c r="C196" s="556"/>
      <c r="D196" s="556"/>
      <c r="E196" s="556"/>
      <c r="F196" s="556"/>
      <c r="G196" s="556"/>
      <c r="H196" s="556"/>
      <c r="I196" s="556"/>
      <c r="J196" s="556"/>
      <c r="K196" s="556"/>
      <c r="L196" s="556"/>
      <c r="M196" s="556"/>
      <c r="N196" s="556"/>
      <c r="O196" s="556"/>
      <c r="P196" s="556"/>
      <c r="Q196" s="556"/>
      <c r="R196" s="556"/>
      <c r="S196" s="556"/>
      <c r="T196" s="556"/>
      <c r="U196" s="556"/>
      <c r="V196" s="608">
        <f>(V100+V102+V103+V104+V105+V106+V107)/-(V109+V110)</f>
        <v>10.735376044568245</v>
      </c>
      <c r="W196" s="558" t="s">
        <v>115</v>
      </c>
      <c r="X196" s="543"/>
    </row>
    <row r="197" spans="1:24" s="544" customFormat="1" x14ac:dyDescent="0.3">
      <c r="A197" s="555"/>
      <c r="B197" s="556" t="s">
        <v>69</v>
      </c>
      <c r="C197" s="556"/>
      <c r="D197" s="556"/>
      <c r="E197" s="556"/>
      <c r="F197" s="556"/>
      <c r="G197" s="556"/>
      <c r="H197" s="556"/>
      <c r="I197" s="556"/>
      <c r="J197" s="556"/>
      <c r="K197" s="556"/>
      <c r="L197" s="556"/>
      <c r="M197" s="556"/>
      <c r="N197" s="556"/>
      <c r="O197" s="556"/>
      <c r="P197" s="556"/>
      <c r="Q197" s="556"/>
      <c r="R197" s="556"/>
      <c r="S197" s="556"/>
      <c r="T197" s="556"/>
      <c r="U197" s="556"/>
      <c r="V197" s="610">
        <v>9.84</v>
      </c>
      <c r="W197" s="558" t="s">
        <v>115</v>
      </c>
      <c r="X197" s="543"/>
    </row>
    <row r="198" spans="1:24" s="544" customFormat="1" x14ac:dyDescent="0.3">
      <c r="A198" s="555"/>
      <c r="B198" s="556" t="s">
        <v>198</v>
      </c>
      <c r="C198" s="556"/>
      <c r="D198" s="556"/>
      <c r="E198" s="556"/>
      <c r="F198" s="556"/>
      <c r="G198" s="556"/>
      <c r="H198" s="556"/>
      <c r="I198" s="556"/>
      <c r="J198" s="556"/>
      <c r="K198" s="556"/>
      <c r="L198" s="556"/>
      <c r="M198" s="556"/>
      <c r="N198" s="556"/>
      <c r="O198" s="556"/>
      <c r="P198" s="556"/>
      <c r="Q198" s="556"/>
      <c r="R198" s="556"/>
      <c r="S198" s="556"/>
      <c r="T198" s="556"/>
      <c r="U198" s="556"/>
      <c r="V198" s="608">
        <f>(V100+V102+V103+V104+V105+V106+V107+V109+V110)/-(V111+V112)</f>
        <v>7.1181262729124235</v>
      </c>
      <c r="W198" s="558" t="s">
        <v>115</v>
      </c>
      <c r="X198" s="543"/>
    </row>
    <row r="199" spans="1:24" s="544" customFormat="1" x14ac:dyDescent="0.3">
      <c r="A199" s="555"/>
      <c r="B199" s="556" t="s">
        <v>199</v>
      </c>
      <c r="C199" s="556"/>
      <c r="D199" s="556"/>
      <c r="E199" s="556"/>
      <c r="F199" s="556"/>
      <c r="G199" s="556"/>
      <c r="H199" s="556"/>
      <c r="I199" s="556"/>
      <c r="J199" s="556"/>
      <c r="K199" s="556"/>
      <c r="L199" s="556"/>
      <c r="M199" s="556"/>
      <c r="N199" s="556"/>
      <c r="O199" s="556"/>
      <c r="P199" s="556"/>
      <c r="Q199" s="556"/>
      <c r="R199" s="556"/>
      <c r="S199" s="556"/>
      <c r="T199" s="556"/>
      <c r="U199" s="556"/>
      <c r="V199" s="610">
        <v>7.36</v>
      </c>
      <c r="W199" s="558" t="s">
        <v>115</v>
      </c>
      <c r="X199" s="543"/>
    </row>
    <row r="200" spans="1:24" s="544" customFormat="1" x14ac:dyDescent="0.3">
      <c r="A200" s="555"/>
      <c r="B200" s="556"/>
      <c r="C200" s="556"/>
      <c r="D200" s="556"/>
      <c r="E200" s="556"/>
      <c r="F200" s="556"/>
      <c r="G200" s="556"/>
      <c r="H200" s="556"/>
      <c r="I200" s="556"/>
      <c r="J200" s="556"/>
      <c r="K200" s="556"/>
      <c r="L200" s="556"/>
      <c r="M200" s="556"/>
      <c r="N200" s="556"/>
      <c r="O200" s="556"/>
      <c r="P200" s="556"/>
      <c r="Q200" s="556"/>
      <c r="R200" s="556"/>
      <c r="S200" s="556"/>
      <c r="T200" s="556"/>
      <c r="U200" s="556"/>
      <c r="V200" s="556"/>
      <c r="W200" s="558"/>
      <c r="X200" s="543"/>
    </row>
    <row r="201" spans="1:24" s="544" customFormat="1" x14ac:dyDescent="0.3">
      <c r="A201" s="540"/>
      <c r="B201" s="588"/>
      <c r="C201" s="588"/>
      <c r="D201" s="588"/>
      <c r="E201" s="588"/>
      <c r="F201" s="588"/>
      <c r="G201" s="588"/>
      <c r="H201" s="588"/>
      <c r="I201" s="588"/>
      <c r="J201" s="588"/>
      <c r="K201" s="588"/>
      <c r="L201" s="588"/>
      <c r="M201" s="588"/>
      <c r="N201" s="588"/>
      <c r="O201" s="588"/>
      <c r="P201" s="588"/>
      <c r="Q201" s="588"/>
      <c r="R201" s="588"/>
      <c r="S201" s="588"/>
      <c r="T201" s="588"/>
      <c r="U201" s="588"/>
      <c r="V201" s="588"/>
      <c r="W201" s="588"/>
      <c r="X201" s="543"/>
    </row>
    <row r="202" spans="1:24" s="544" customFormat="1" x14ac:dyDescent="0.3">
      <c r="A202" s="540"/>
      <c r="B202" s="541"/>
      <c r="C202" s="541"/>
      <c r="D202" s="541"/>
      <c r="E202" s="541"/>
      <c r="F202" s="541"/>
      <c r="G202" s="541"/>
      <c r="H202" s="541"/>
      <c r="I202" s="541"/>
      <c r="J202" s="541"/>
      <c r="K202" s="541"/>
      <c r="L202" s="541"/>
      <c r="M202" s="541"/>
      <c r="N202" s="541"/>
      <c r="O202" s="541"/>
      <c r="P202" s="541"/>
      <c r="Q202" s="541"/>
      <c r="R202" s="541"/>
      <c r="S202" s="541"/>
      <c r="T202" s="541"/>
      <c r="U202" s="541"/>
      <c r="V202" s="541"/>
      <c r="W202" s="541"/>
      <c r="X202" s="543"/>
    </row>
    <row r="203" spans="1:24" s="544" customFormat="1" ht="18.600000000000001" thickBot="1" x14ac:dyDescent="0.4">
      <c r="A203" s="593"/>
      <c r="B203" s="594" t="str">
        <f>B137</f>
        <v>PM14 INVESTOR REPORT QUARTER ENDING MAY 2019</v>
      </c>
      <c r="C203" s="595"/>
      <c r="D203" s="595"/>
      <c r="E203" s="595"/>
      <c r="F203" s="595"/>
      <c r="G203" s="595"/>
      <c r="H203" s="595"/>
      <c r="I203" s="595"/>
      <c r="J203" s="595"/>
      <c r="K203" s="595"/>
      <c r="L203" s="595"/>
      <c r="M203" s="595"/>
      <c r="N203" s="595"/>
      <c r="O203" s="595"/>
      <c r="P203" s="595"/>
      <c r="Q203" s="595"/>
      <c r="R203" s="595"/>
      <c r="S203" s="595"/>
      <c r="T203" s="595"/>
      <c r="U203" s="595"/>
      <c r="V203" s="595"/>
      <c r="W203" s="597"/>
      <c r="X203" s="543"/>
    </row>
    <row r="204" spans="1:24" x14ac:dyDescent="0.3">
      <c r="A204" s="527"/>
      <c r="B204" s="528" t="s">
        <v>70</v>
      </c>
      <c r="C204" s="531"/>
      <c r="D204" s="531"/>
      <c r="E204" s="531"/>
      <c r="F204" s="531"/>
      <c r="G204" s="532"/>
      <c r="H204" s="532"/>
      <c r="I204" s="532"/>
      <c r="J204" s="532"/>
      <c r="K204" s="532"/>
      <c r="L204" s="532"/>
      <c r="M204" s="532"/>
      <c r="N204" s="532"/>
      <c r="O204" s="532"/>
      <c r="P204" s="532"/>
      <c r="Q204" s="532"/>
      <c r="R204" s="532"/>
      <c r="S204" s="532"/>
      <c r="T204" s="532">
        <v>43616</v>
      </c>
      <c r="U204" s="529"/>
      <c r="V204" s="529"/>
      <c r="W204" s="529"/>
      <c r="X204" s="415"/>
    </row>
    <row r="205" spans="1:24" x14ac:dyDescent="0.3">
      <c r="A205" s="463"/>
      <c r="B205" s="429"/>
      <c r="C205" s="464"/>
      <c r="D205" s="464"/>
      <c r="E205" s="464"/>
      <c r="F205" s="464"/>
      <c r="G205" s="428"/>
      <c r="H205" s="428"/>
      <c r="I205" s="428"/>
      <c r="J205" s="428"/>
      <c r="K205" s="428"/>
      <c r="L205" s="428"/>
      <c r="M205" s="428"/>
      <c r="N205" s="428"/>
      <c r="O205" s="428"/>
      <c r="P205" s="428"/>
      <c r="Q205" s="428"/>
      <c r="R205" s="428"/>
      <c r="S205" s="428"/>
      <c r="T205" s="428"/>
      <c r="U205" s="427"/>
      <c r="V205" s="427"/>
      <c r="W205" s="427"/>
      <c r="X205" s="415"/>
    </row>
    <row r="206" spans="1:24" s="544" customFormat="1" x14ac:dyDescent="0.3">
      <c r="A206" s="555"/>
      <c r="B206" s="556" t="s">
        <v>71</v>
      </c>
      <c r="C206" s="611"/>
      <c r="D206" s="611"/>
      <c r="E206" s="611"/>
      <c r="F206" s="611"/>
      <c r="G206" s="582"/>
      <c r="H206" s="582"/>
      <c r="I206" s="582"/>
      <c r="J206" s="582"/>
      <c r="K206" s="582"/>
      <c r="L206" s="582"/>
      <c r="M206" s="582"/>
      <c r="N206" s="582"/>
      <c r="O206" s="582"/>
      <c r="P206" s="582"/>
      <c r="Q206" s="582"/>
      <c r="R206" s="582"/>
      <c r="S206" s="582"/>
      <c r="T206" s="575">
        <v>5.2819999999999999E-2</v>
      </c>
      <c r="U206" s="556"/>
      <c r="V206" s="556"/>
      <c r="W206" s="558"/>
      <c r="X206" s="543"/>
    </row>
    <row r="207" spans="1:24" s="544" customFormat="1" x14ac:dyDescent="0.3">
      <c r="A207" s="555"/>
      <c r="B207" s="556" t="s">
        <v>151</v>
      </c>
      <c r="C207" s="611"/>
      <c r="D207" s="611"/>
      <c r="E207" s="611"/>
      <c r="F207" s="611"/>
      <c r="G207" s="582"/>
      <c r="H207" s="582"/>
      <c r="I207" s="582"/>
      <c r="J207" s="582"/>
      <c r="K207" s="582"/>
      <c r="L207" s="582"/>
      <c r="M207" s="582"/>
      <c r="N207" s="582"/>
      <c r="O207" s="582"/>
      <c r="P207" s="582"/>
      <c r="Q207" s="582"/>
      <c r="R207" s="582"/>
      <c r="S207" s="582"/>
      <c r="T207" s="575">
        <v>5.7799999999999997E-2</v>
      </c>
      <c r="U207" s="556"/>
      <c r="V207" s="556"/>
      <c r="W207" s="558"/>
      <c r="X207" s="543"/>
    </row>
    <row r="208" spans="1:24" s="544" customFormat="1" x14ac:dyDescent="0.3">
      <c r="A208" s="555"/>
      <c r="B208" s="556" t="s">
        <v>72</v>
      </c>
      <c r="C208" s="611"/>
      <c r="D208" s="611"/>
      <c r="E208" s="611"/>
      <c r="F208" s="611"/>
      <c r="G208" s="582"/>
      <c r="H208" s="582"/>
      <c r="I208" s="582"/>
      <c r="J208" s="582"/>
      <c r="K208" s="582"/>
      <c r="L208" s="582"/>
      <c r="M208" s="582"/>
      <c r="N208" s="582"/>
      <c r="O208" s="582"/>
      <c r="P208" s="582"/>
      <c r="Q208" s="582"/>
      <c r="R208" s="582"/>
      <c r="S208" s="582"/>
      <c r="T208" s="575">
        <f>T206-T207</f>
        <v>-4.9799999999999983E-3</v>
      </c>
      <c r="U208" s="556"/>
      <c r="V208" s="556"/>
      <c r="W208" s="558"/>
      <c r="X208" s="543"/>
    </row>
    <row r="209" spans="1:24" s="544" customFormat="1" x14ac:dyDescent="0.3">
      <c r="A209" s="555"/>
      <c r="B209" s="556" t="s">
        <v>73</v>
      </c>
      <c r="C209" s="611"/>
      <c r="D209" s="611"/>
      <c r="E209" s="611"/>
      <c r="F209" s="611"/>
      <c r="G209" s="582"/>
      <c r="H209" s="582"/>
      <c r="I209" s="582"/>
      <c r="J209" s="582"/>
      <c r="K209" s="582"/>
      <c r="L209" s="582"/>
      <c r="M209" s="582"/>
      <c r="N209" s="582"/>
      <c r="O209" s="582"/>
      <c r="P209" s="582"/>
      <c r="Q209" s="582"/>
      <c r="R209" s="582"/>
      <c r="S209" s="582"/>
      <c r="T209" s="575">
        <v>2.7009999999999999E-2</v>
      </c>
      <c r="U209" s="556"/>
      <c r="V209" s="556"/>
      <c r="W209" s="558"/>
      <c r="X209" s="543"/>
    </row>
    <row r="210" spans="1:24" s="544" customFormat="1" x14ac:dyDescent="0.3">
      <c r="A210" s="555"/>
      <c r="B210" s="556" t="s">
        <v>219</v>
      </c>
      <c r="C210" s="611"/>
      <c r="D210" s="611"/>
      <c r="E210" s="611"/>
      <c r="F210" s="611"/>
      <c r="G210" s="582"/>
      <c r="H210" s="582"/>
      <c r="I210" s="582"/>
      <c r="J210" s="582"/>
      <c r="K210" s="582"/>
      <c r="L210" s="582"/>
      <c r="M210" s="582"/>
      <c r="N210" s="582"/>
      <c r="O210" s="582"/>
      <c r="P210" s="582"/>
      <c r="Q210" s="582"/>
      <c r="R210" s="582"/>
      <c r="S210" s="582"/>
      <c r="T210" s="575">
        <f>V43</f>
        <v>1.1759799532936249E-2</v>
      </c>
      <c r="U210" s="556"/>
      <c r="V210" s="556"/>
      <c r="W210" s="558"/>
      <c r="X210" s="543"/>
    </row>
    <row r="211" spans="1:24" s="544" customFormat="1" x14ac:dyDescent="0.3">
      <c r="A211" s="555"/>
      <c r="B211" s="556" t="s">
        <v>74</v>
      </c>
      <c r="C211" s="611"/>
      <c r="D211" s="611"/>
      <c r="E211" s="611"/>
      <c r="F211" s="611"/>
      <c r="G211" s="582"/>
      <c r="H211" s="582"/>
      <c r="I211" s="582"/>
      <c r="J211" s="582"/>
      <c r="K211" s="582"/>
      <c r="L211" s="582"/>
      <c r="M211" s="582"/>
      <c r="N211" s="582"/>
      <c r="O211" s="582"/>
      <c r="P211" s="582"/>
      <c r="Q211" s="582"/>
      <c r="R211" s="582"/>
      <c r="S211" s="582"/>
      <c r="T211" s="575">
        <f>T209-T210</f>
        <v>1.5250200467063751E-2</v>
      </c>
      <c r="U211" s="556"/>
      <c r="V211" s="556"/>
      <c r="W211" s="558"/>
      <c r="X211" s="543"/>
    </row>
    <row r="212" spans="1:24" s="544" customFormat="1" x14ac:dyDescent="0.3">
      <c r="A212" s="555"/>
      <c r="B212" s="556" t="s">
        <v>242</v>
      </c>
      <c r="C212" s="611"/>
      <c r="D212" s="611"/>
      <c r="E212" s="611"/>
      <c r="F212" s="611"/>
      <c r="G212" s="582"/>
      <c r="H212" s="582"/>
      <c r="I212" s="582"/>
      <c r="J212" s="582"/>
      <c r="K212" s="582"/>
      <c r="L212" s="582"/>
      <c r="M212" s="582"/>
      <c r="N212" s="582"/>
      <c r="O212" s="582"/>
      <c r="P212" s="582"/>
      <c r="Q212" s="582"/>
      <c r="R212" s="582"/>
      <c r="S212" s="582"/>
      <c r="T212" s="575">
        <f>V100/N70</f>
        <v>7.1442115215999778E-3</v>
      </c>
      <c r="U212" s="556"/>
      <c r="V212" s="556"/>
      <c r="W212" s="558"/>
      <c r="X212" s="543"/>
    </row>
    <row r="213" spans="1:24" s="544" customFormat="1" x14ac:dyDescent="0.3">
      <c r="A213" s="555"/>
      <c r="B213" s="556" t="s">
        <v>208</v>
      </c>
      <c r="C213" s="611"/>
      <c r="D213" s="611"/>
      <c r="E213" s="611"/>
      <c r="F213" s="611"/>
      <c r="G213" s="582"/>
      <c r="H213" s="582"/>
      <c r="I213" s="582"/>
      <c r="J213" s="582"/>
      <c r="K213" s="582"/>
      <c r="L213" s="582"/>
      <c r="M213" s="582"/>
      <c r="N213" s="582"/>
      <c r="O213" s="582"/>
      <c r="P213" s="582"/>
      <c r="Q213" s="582"/>
      <c r="R213" s="582"/>
      <c r="S213" s="582"/>
      <c r="T213" s="612">
        <v>51014</v>
      </c>
      <c r="U213" s="556"/>
      <c r="V213" s="556"/>
      <c r="W213" s="558"/>
      <c r="X213" s="543"/>
    </row>
    <row r="214" spans="1:24" s="544" customFormat="1" x14ac:dyDescent="0.3">
      <c r="A214" s="555"/>
      <c r="B214" s="556" t="s">
        <v>209</v>
      </c>
      <c r="C214" s="611"/>
      <c r="D214" s="611"/>
      <c r="E214" s="611"/>
      <c r="F214" s="611"/>
      <c r="G214" s="582"/>
      <c r="H214" s="582"/>
      <c r="I214" s="582"/>
      <c r="J214" s="582"/>
      <c r="K214" s="582"/>
      <c r="L214" s="582"/>
      <c r="M214" s="582"/>
      <c r="N214" s="582"/>
      <c r="O214" s="582"/>
      <c r="P214" s="582"/>
      <c r="Q214" s="582"/>
      <c r="R214" s="582"/>
      <c r="S214" s="582"/>
      <c r="T214" s="612">
        <v>51014</v>
      </c>
      <c r="U214" s="556"/>
      <c r="V214" s="556"/>
      <c r="W214" s="558"/>
      <c r="X214" s="543"/>
    </row>
    <row r="215" spans="1:24" s="544" customFormat="1" x14ac:dyDescent="0.3">
      <c r="A215" s="555"/>
      <c r="B215" s="556" t="s">
        <v>210</v>
      </c>
      <c r="C215" s="611"/>
      <c r="D215" s="611"/>
      <c r="E215" s="611"/>
      <c r="F215" s="611"/>
      <c r="G215" s="582"/>
      <c r="H215" s="582"/>
      <c r="I215" s="582"/>
      <c r="J215" s="582"/>
      <c r="K215" s="582"/>
      <c r="L215" s="582"/>
      <c r="M215" s="582"/>
      <c r="N215" s="582"/>
      <c r="O215" s="582"/>
      <c r="P215" s="582"/>
      <c r="Q215" s="582"/>
      <c r="R215" s="582"/>
      <c r="S215" s="582"/>
      <c r="T215" s="612">
        <v>51014</v>
      </c>
      <c r="U215" s="556"/>
      <c r="V215" s="556"/>
      <c r="W215" s="558"/>
      <c r="X215" s="543"/>
    </row>
    <row r="216" spans="1:24" s="544" customFormat="1" x14ac:dyDescent="0.3">
      <c r="A216" s="555"/>
      <c r="B216" s="556" t="s">
        <v>75</v>
      </c>
      <c r="C216" s="611"/>
      <c r="D216" s="611"/>
      <c r="E216" s="611"/>
      <c r="F216" s="611"/>
      <c r="G216" s="582"/>
      <c r="H216" s="582"/>
      <c r="I216" s="582"/>
      <c r="J216" s="582"/>
      <c r="K216" s="582"/>
      <c r="L216" s="582"/>
      <c r="M216" s="582"/>
      <c r="N216" s="582"/>
      <c r="O216" s="582"/>
      <c r="P216" s="582"/>
      <c r="Q216" s="582"/>
      <c r="R216" s="582"/>
      <c r="S216" s="582"/>
      <c r="T216" s="580">
        <v>20.66</v>
      </c>
      <c r="U216" s="556" t="s">
        <v>110</v>
      </c>
      <c r="V216" s="556"/>
      <c r="W216" s="558"/>
      <c r="X216" s="543"/>
    </row>
    <row r="217" spans="1:24" s="544" customFormat="1" x14ac:dyDescent="0.3">
      <c r="A217" s="555"/>
      <c r="B217" s="556" t="s">
        <v>76</v>
      </c>
      <c r="C217" s="611"/>
      <c r="D217" s="611"/>
      <c r="E217" s="611"/>
      <c r="F217" s="611"/>
      <c r="G217" s="582"/>
      <c r="H217" s="582"/>
      <c r="I217" s="582"/>
      <c r="J217" s="582"/>
      <c r="K217" s="582"/>
      <c r="L217" s="582"/>
      <c r="M217" s="582"/>
      <c r="N217" s="582"/>
      <c r="O217" s="582"/>
      <c r="P217" s="582"/>
      <c r="Q217" s="582"/>
      <c r="R217" s="582"/>
      <c r="S217" s="582"/>
      <c r="T217" s="580">
        <v>9.9499999999999993</v>
      </c>
      <c r="U217" s="556" t="s">
        <v>110</v>
      </c>
      <c r="V217" s="556"/>
      <c r="W217" s="558"/>
      <c r="X217" s="543"/>
    </row>
    <row r="218" spans="1:24" s="544" customFormat="1" x14ac:dyDescent="0.3">
      <c r="A218" s="555"/>
      <c r="B218" s="556" t="s">
        <v>77</v>
      </c>
      <c r="C218" s="611"/>
      <c r="D218" s="611"/>
      <c r="E218" s="611"/>
      <c r="F218" s="611"/>
      <c r="G218" s="582"/>
      <c r="H218" s="582"/>
      <c r="I218" s="582"/>
      <c r="J218" s="582"/>
      <c r="K218" s="582"/>
      <c r="L218" s="582"/>
      <c r="M218" s="582"/>
      <c r="N218" s="582"/>
      <c r="O218" s="582"/>
      <c r="P218" s="582"/>
      <c r="Q218" s="582"/>
      <c r="R218" s="582"/>
      <c r="S218" s="582"/>
      <c r="T218" s="575">
        <f>+P67/N67</f>
        <v>2.1248111823326473E-2</v>
      </c>
      <c r="U218" s="556"/>
      <c r="V218" s="556"/>
      <c r="W218" s="558"/>
      <c r="X218" s="543"/>
    </row>
    <row r="219" spans="1:24" s="544" customFormat="1" x14ac:dyDescent="0.3">
      <c r="A219" s="555"/>
      <c r="B219" s="556" t="s">
        <v>78</v>
      </c>
      <c r="C219" s="611"/>
      <c r="D219" s="611"/>
      <c r="E219" s="611"/>
      <c r="F219" s="611"/>
      <c r="G219" s="582"/>
      <c r="H219" s="582"/>
      <c r="I219" s="582"/>
      <c r="J219" s="582"/>
      <c r="K219" s="582"/>
      <c r="L219" s="582"/>
      <c r="M219" s="582"/>
      <c r="N219" s="582"/>
      <c r="O219" s="582"/>
      <c r="P219" s="582"/>
      <c r="Q219" s="582"/>
      <c r="R219" s="582"/>
      <c r="S219" s="582"/>
      <c r="T219" s="575">
        <v>5.5800000000000002E-2</v>
      </c>
      <c r="U219" s="556"/>
      <c r="V219" s="556"/>
      <c r="W219" s="558"/>
      <c r="X219" s="543"/>
    </row>
    <row r="220" spans="1:24" x14ac:dyDescent="0.3">
      <c r="A220" s="463"/>
      <c r="B220" s="437"/>
      <c r="C220" s="437"/>
      <c r="D220" s="437"/>
      <c r="E220" s="437"/>
      <c r="F220" s="437"/>
      <c r="G220" s="437"/>
      <c r="H220" s="437"/>
      <c r="I220" s="437"/>
      <c r="J220" s="437"/>
      <c r="K220" s="437"/>
      <c r="L220" s="437"/>
      <c r="M220" s="437"/>
      <c r="N220" s="437"/>
      <c r="O220" s="437"/>
      <c r="P220" s="437"/>
      <c r="Q220" s="437"/>
      <c r="R220" s="437"/>
      <c r="S220" s="437"/>
      <c r="T220" s="454"/>
      <c r="U220" s="437"/>
      <c r="V220" s="465"/>
      <c r="W220" s="437"/>
      <c r="X220" s="415"/>
    </row>
    <row r="221" spans="1:24" x14ac:dyDescent="0.3">
      <c r="A221" s="533"/>
      <c r="B221" s="523" t="s">
        <v>79</v>
      </c>
      <c r="C221" s="524"/>
      <c r="D221" s="524"/>
      <c r="E221" s="524"/>
      <c r="F221" s="534"/>
      <c r="G221" s="524"/>
      <c r="H221" s="524"/>
      <c r="I221" s="524"/>
      <c r="J221" s="524"/>
      <c r="K221" s="524"/>
      <c r="L221" s="524"/>
      <c r="M221" s="524"/>
      <c r="N221" s="524"/>
      <c r="O221" s="524"/>
      <c r="P221" s="524"/>
      <c r="Q221" s="524"/>
      <c r="R221" s="524"/>
      <c r="S221" s="524" t="s">
        <v>102</v>
      </c>
      <c r="T221" s="534" t="s">
        <v>108</v>
      </c>
      <c r="U221" s="517"/>
      <c r="V221" s="517"/>
      <c r="W221" s="520"/>
      <c r="X221" s="415"/>
    </row>
    <row r="222" spans="1:24" s="544" customFormat="1" x14ac:dyDescent="0.3">
      <c r="A222" s="613"/>
      <c r="B222" s="588" t="s">
        <v>80</v>
      </c>
      <c r="C222" s="600"/>
      <c r="D222" s="600"/>
      <c r="E222" s="600"/>
      <c r="F222" s="588"/>
      <c r="G222" s="588"/>
      <c r="H222" s="614"/>
      <c r="I222" s="614"/>
      <c r="J222" s="614"/>
      <c r="K222" s="614"/>
      <c r="L222" s="614"/>
      <c r="M222" s="614"/>
      <c r="N222" s="614"/>
      <c r="O222" s="614"/>
      <c r="P222" s="614"/>
      <c r="Q222" s="614"/>
      <c r="R222" s="614"/>
      <c r="S222" s="614">
        <v>1</v>
      </c>
      <c r="T222" s="615">
        <v>77</v>
      </c>
      <c r="U222" s="588"/>
      <c r="V222" s="616"/>
      <c r="W222" s="617"/>
      <c r="X222" s="543"/>
    </row>
    <row r="223" spans="1:24" s="544" customFormat="1" x14ac:dyDescent="0.3">
      <c r="A223" s="618"/>
      <c r="B223" s="556" t="s">
        <v>145</v>
      </c>
      <c r="C223" s="598"/>
      <c r="D223" s="598"/>
      <c r="E223" s="598"/>
      <c r="F223" s="556"/>
      <c r="G223" s="556"/>
      <c r="H223" s="562"/>
      <c r="I223" s="562"/>
      <c r="J223" s="562"/>
      <c r="K223" s="562"/>
      <c r="L223" s="562"/>
      <c r="M223" s="562"/>
      <c r="N223" s="562"/>
      <c r="O223" s="562"/>
      <c r="P223" s="562"/>
      <c r="Q223" s="562"/>
      <c r="R223" s="562"/>
      <c r="S223" s="619">
        <f>+R275</f>
        <v>108</v>
      </c>
      <c r="T223" s="620">
        <f>+T275</f>
        <v>15345</v>
      </c>
      <c r="U223" s="556"/>
      <c r="V223" s="621"/>
      <c r="W223" s="622"/>
      <c r="X223" s="543"/>
    </row>
    <row r="224" spans="1:24" s="544" customFormat="1" x14ac:dyDescent="0.3">
      <c r="A224" s="618"/>
      <c r="B224" s="556" t="s">
        <v>81</v>
      </c>
      <c r="C224" s="598"/>
      <c r="D224" s="598"/>
      <c r="E224" s="598"/>
      <c r="F224" s="556"/>
      <c r="G224" s="556"/>
      <c r="H224" s="562"/>
      <c r="I224" s="562"/>
      <c r="J224" s="562"/>
      <c r="K224" s="562"/>
      <c r="L224" s="562"/>
      <c r="M224" s="562"/>
      <c r="N224" s="562"/>
      <c r="O224" s="562"/>
      <c r="P224" s="562"/>
      <c r="Q224" s="562"/>
      <c r="R224" s="562"/>
      <c r="S224" s="619">
        <f>+R287</f>
        <v>0</v>
      </c>
      <c r="T224" s="620">
        <f>+T287</f>
        <v>0</v>
      </c>
      <c r="U224" s="556"/>
      <c r="V224" s="621"/>
      <c r="W224" s="622"/>
      <c r="X224" s="543"/>
    </row>
    <row r="225" spans="1:24" x14ac:dyDescent="0.3">
      <c r="A225" s="466"/>
      <c r="B225" s="493" t="s">
        <v>82</v>
      </c>
      <c r="C225" s="467"/>
      <c r="D225" s="467"/>
      <c r="E225" s="467"/>
      <c r="F225" s="434"/>
      <c r="G225" s="434"/>
      <c r="H225" s="434"/>
      <c r="I225" s="434"/>
      <c r="J225" s="434"/>
      <c r="K225" s="434"/>
      <c r="L225" s="434"/>
      <c r="M225" s="434"/>
      <c r="N225" s="434"/>
      <c r="O225" s="434"/>
      <c r="P225" s="434"/>
      <c r="Q225" s="434"/>
      <c r="R225" s="434"/>
      <c r="S225" s="434"/>
      <c r="T225" s="620">
        <v>0</v>
      </c>
      <c r="U225" s="434"/>
      <c r="V225" s="468"/>
      <c r="W225" s="469"/>
      <c r="X225" s="415"/>
    </row>
    <row r="226" spans="1:24" x14ac:dyDescent="0.3">
      <c r="A226" s="466"/>
      <c r="B226" s="493" t="s">
        <v>243</v>
      </c>
      <c r="C226" s="467"/>
      <c r="D226" s="467"/>
      <c r="E226" s="467"/>
      <c r="F226" s="434"/>
      <c r="G226" s="434"/>
      <c r="H226" s="434"/>
      <c r="I226" s="434"/>
      <c r="J226" s="434"/>
      <c r="K226" s="434"/>
      <c r="L226" s="434"/>
      <c r="M226" s="434"/>
      <c r="N226" s="434"/>
      <c r="O226" s="434"/>
      <c r="P226" s="434"/>
      <c r="Q226" s="434"/>
      <c r="R226" s="434"/>
      <c r="S226" s="434"/>
      <c r="T226" s="620">
        <f>+N80</f>
        <v>0</v>
      </c>
      <c r="U226" s="434"/>
      <c r="V226" s="468"/>
      <c r="W226" s="469"/>
      <c r="X226" s="415"/>
    </row>
    <row r="227" spans="1:24" x14ac:dyDescent="0.3">
      <c r="A227" s="470"/>
      <c r="B227" s="493" t="s">
        <v>83</v>
      </c>
      <c r="C227" s="471"/>
      <c r="D227" s="471"/>
      <c r="E227" s="471"/>
      <c r="F227" s="471"/>
      <c r="G227" s="434"/>
      <c r="H227" s="434"/>
      <c r="I227" s="434"/>
      <c r="J227" s="434"/>
      <c r="K227" s="434"/>
      <c r="L227" s="434"/>
      <c r="M227" s="434"/>
      <c r="N227" s="434"/>
      <c r="O227" s="434"/>
      <c r="P227" s="434"/>
      <c r="Q227" s="434"/>
      <c r="R227" s="434"/>
      <c r="S227" s="434"/>
      <c r="T227" s="472"/>
      <c r="U227" s="434"/>
      <c r="V227" s="468"/>
      <c r="W227" s="473"/>
      <c r="X227" s="415"/>
    </row>
    <row r="228" spans="1:24" s="544" customFormat="1" x14ac:dyDescent="0.3">
      <c r="A228" s="623"/>
      <c r="B228" s="556" t="s">
        <v>84</v>
      </c>
      <c r="C228" s="556"/>
      <c r="D228" s="556"/>
      <c r="E228" s="556"/>
      <c r="F228" s="556"/>
      <c r="G228" s="556"/>
      <c r="H228" s="556"/>
      <c r="I228" s="556"/>
      <c r="J228" s="556"/>
      <c r="K228" s="556"/>
      <c r="L228" s="556"/>
      <c r="M228" s="556"/>
      <c r="N228" s="556"/>
      <c r="O228" s="556"/>
      <c r="P228" s="556"/>
      <c r="Q228" s="556"/>
      <c r="R228" s="556"/>
      <c r="S228" s="562"/>
      <c r="T228" s="620">
        <f>V166</f>
        <v>44</v>
      </c>
      <c r="U228" s="556"/>
      <c r="V228" s="621"/>
      <c r="W228" s="624"/>
      <c r="X228" s="543"/>
    </row>
    <row r="229" spans="1:24" s="544" customFormat="1" x14ac:dyDescent="0.3">
      <c r="A229" s="618"/>
      <c r="B229" s="556" t="s">
        <v>85</v>
      </c>
      <c r="C229" s="598"/>
      <c r="D229" s="598"/>
      <c r="E229" s="598"/>
      <c r="F229" s="598"/>
      <c r="G229" s="556"/>
      <c r="H229" s="556"/>
      <c r="I229" s="556"/>
      <c r="J229" s="556"/>
      <c r="K229" s="556"/>
      <c r="L229" s="556"/>
      <c r="M229" s="556"/>
      <c r="N229" s="556"/>
      <c r="O229" s="556"/>
      <c r="P229" s="556"/>
      <c r="Q229" s="556"/>
      <c r="R229" s="556"/>
      <c r="S229" s="562"/>
      <c r="T229" s="620">
        <f>'Feb 19'!T229+T228</f>
        <v>8940</v>
      </c>
      <c r="U229" s="556"/>
      <c r="V229" s="621"/>
      <c r="W229" s="624"/>
      <c r="X229" s="543"/>
    </row>
    <row r="230" spans="1:24" x14ac:dyDescent="0.3">
      <c r="A230" s="470"/>
      <c r="B230" s="493" t="s">
        <v>295</v>
      </c>
      <c r="C230" s="471"/>
      <c r="D230" s="471"/>
      <c r="E230" s="471"/>
      <c r="F230" s="471"/>
      <c r="G230" s="434"/>
      <c r="H230" s="434"/>
      <c r="I230" s="434"/>
      <c r="J230" s="434"/>
      <c r="K230" s="434"/>
      <c r="L230" s="434"/>
      <c r="M230" s="434"/>
      <c r="N230" s="434"/>
      <c r="O230" s="434"/>
      <c r="P230" s="434"/>
      <c r="Q230" s="434"/>
      <c r="R230" s="434"/>
      <c r="S230" s="435"/>
      <c r="T230" s="472"/>
      <c r="U230" s="434"/>
      <c r="V230" s="468"/>
      <c r="W230" s="473"/>
      <c r="X230" s="415"/>
    </row>
    <row r="231" spans="1:24" s="544" customFormat="1" x14ac:dyDescent="0.3">
      <c r="A231" s="623"/>
      <c r="B231" s="556" t="s">
        <v>291</v>
      </c>
      <c r="C231" s="556"/>
      <c r="D231" s="556"/>
      <c r="E231" s="556"/>
      <c r="F231" s="556"/>
      <c r="G231" s="556"/>
      <c r="H231" s="556"/>
      <c r="I231" s="556"/>
      <c r="J231" s="556"/>
      <c r="K231" s="556"/>
      <c r="L231" s="556"/>
      <c r="M231" s="556"/>
      <c r="N231" s="556"/>
      <c r="O231" s="556"/>
      <c r="P231" s="556"/>
      <c r="Q231" s="556"/>
      <c r="R231" s="556"/>
      <c r="S231" s="562">
        <v>0</v>
      </c>
      <c r="T231" s="620">
        <v>0</v>
      </c>
      <c r="U231" s="556"/>
      <c r="V231" s="621"/>
      <c r="W231" s="624"/>
      <c r="X231" s="543"/>
    </row>
    <row r="232" spans="1:24" s="544" customFormat="1" x14ac:dyDescent="0.3">
      <c r="A232" s="618"/>
      <c r="B232" s="556" t="s">
        <v>86</v>
      </c>
      <c r="C232" s="578"/>
      <c r="D232" s="578"/>
      <c r="E232" s="578"/>
      <c r="F232" s="625"/>
      <c r="G232" s="556"/>
      <c r="H232" s="556"/>
      <c r="I232" s="556"/>
      <c r="J232" s="556"/>
      <c r="K232" s="556"/>
      <c r="L232" s="556"/>
      <c r="M232" s="556"/>
      <c r="N232" s="556"/>
      <c r="O232" s="556"/>
      <c r="P232" s="556"/>
      <c r="Q232" s="556"/>
      <c r="R232" s="556"/>
      <c r="S232" s="556"/>
      <c r="T232" s="626">
        <v>0</v>
      </c>
      <c r="U232" s="556"/>
      <c r="V232" s="621"/>
      <c r="W232" s="624"/>
      <c r="X232" s="543"/>
    </row>
    <row r="233" spans="1:24" s="544" customFormat="1" x14ac:dyDescent="0.3">
      <c r="A233" s="618"/>
      <c r="B233" s="556" t="s">
        <v>87</v>
      </c>
      <c r="C233" s="578"/>
      <c r="D233" s="578"/>
      <c r="E233" s="578"/>
      <c r="F233" s="625"/>
      <c r="G233" s="556"/>
      <c r="H233" s="556"/>
      <c r="I233" s="556"/>
      <c r="J233" s="556"/>
      <c r="K233" s="556"/>
      <c r="L233" s="556"/>
      <c r="M233" s="556"/>
      <c r="N233" s="556"/>
      <c r="O233" s="556"/>
      <c r="P233" s="556"/>
      <c r="Q233" s="556"/>
      <c r="R233" s="556"/>
      <c r="S233" s="556"/>
      <c r="T233" s="626">
        <v>0</v>
      </c>
      <c r="U233" s="556"/>
      <c r="V233" s="621"/>
      <c r="W233" s="624"/>
      <c r="X233" s="543"/>
    </row>
    <row r="234" spans="1:24" x14ac:dyDescent="0.3">
      <c r="A234" s="466"/>
      <c r="B234" s="493" t="s">
        <v>217</v>
      </c>
      <c r="C234" s="474"/>
      <c r="D234" s="474"/>
      <c r="E234" s="474"/>
      <c r="F234" s="475"/>
      <c r="G234" s="434"/>
      <c r="H234" s="434"/>
      <c r="I234" s="434"/>
      <c r="J234" s="434"/>
      <c r="K234" s="434"/>
      <c r="L234" s="434"/>
      <c r="M234" s="434"/>
      <c r="N234" s="434"/>
      <c r="O234" s="434"/>
      <c r="P234" s="434"/>
      <c r="Q234" s="434"/>
      <c r="R234" s="434"/>
      <c r="S234" s="434"/>
      <c r="T234" s="476"/>
      <c r="U234" s="434"/>
      <c r="V234" s="468"/>
      <c r="W234" s="473"/>
      <c r="X234" s="415"/>
    </row>
    <row r="235" spans="1:24" s="544" customFormat="1" x14ac:dyDescent="0.3">
      <c r="A235" s="618"/>
      <c r="B235" s="556" t="s">
        <v>291</v>
      </c>
      <c r="C235" s="578"/>
      <c r="D235" s="578"/>
      <c r="E235" s="578"/>
      <c r="F235" s="625"/>
      <c r="G235" s="556"/>
      <c r="H235" s="556"/>
      <c r="I235" s="556"/>
      <c r="J235" s="556"/>
      <c r="K235" s="556"/>
      <c r="L235" s="556"/>
      <c r="M235" s="556"/>
      <c r="N235" s="556"/>
      <c r="O235" s="556"/>
      <c r="P235" s="556"/>
      <c r="Q235" s="556"/>
      <c r="R235" s="556"/>
      <c r="S235" s="562">
        <v>2</v>
      </c>
      <c r="T235" s="620">
        <v>283</v>
      </c>
      <c r="U235" s="556"/>
      <c r="V235" s="621"/>
      <c r="W235" s="624"/>
      <c r="X235" s="543"/>
    </row>
    <row r="236" spans="1:24" s="544" customFormat="1" x14ac:dyDescent="0.3">
      <c r="A236" s="618"/>
      <c r="B236" s="556" t="s">
        <v>218</v>
      </c>
      <c r="C236" s="578"/>
      <c r="D236" s="578"/>
      <c r="E236" s="578"/>
      <c r="F236" s="625"/>
      <c r="G236" s="556"/>
      <c r="H236" s="556"/>
      <c r="I236" s="556"/>
      <c r="J236" s="556"/>
      <c r="K236" s="556"/>
      <c r="L236" s="556"/>
      <c r="M236" s="556"/>
      <c r="N236" s="556"/>
      <c r="O236" s="556"/>
      <c r="P236" s="556"/>
      <c r="Q236" s="556"/>
      <c r="R236" s="556"/>
      <c r="S236" s="556"/>
      <c r="T236" s="626">
        <v>0.95</v>
      </c>
      <c r="U236" s="556"/>
      <c r="V236" s="621"/>
      <c r="W236" s="624"/>
      <c r="X236" s="543"/>
    </row>
    <row r="237" spans="1:24" x14ac:dyDescent="0.3">
      <c r="A237" s="466"/>
      <c r="B237" s="471"/>
      <c r="C237" s="474"/>
      <c r="D237" s="474"/>
      <c r="E237" s="474"/>
      <c r="F237" s="475"/>
      <c r="G237" s="434"/>
      <c r="H237" s="434"/>
      <c r="I237" s="434"/>
      <c r="J237" s="434"/>
      <c r="K237" s="434"/>
      <c r="L237" s="434"/>
      <c r="M237" s="434"/>
      <c r="N237" s="434"/>
      <c r="O237" s="434"/>
      <c r="P237" s="434"/>
      <c r="Q237" s="434"/>
      <c r="R237" s="434"/>
      <c r="S237" s="434"/>
      <c r="T237" s="476"/>
      <c r="U237" s="434"/>
      <c r="V237" s="468"/>
      <c r="W237" s="473"/>
      <c r="X237" s="415"/>
    </row>
    <row r="238" spans="1:24" x14ac:dyDescent="0.3">
      <c r="A238" s="466"/>
      <c r="B238" s="471"/>
      <c r="C238" s="474"/>
      <c r="D238" s="474"/>
      <c r="E238" s="474"/>
      <c r="F238" s="475"/>
      <c r="G238" s="434"/>
      <c r="H238" s="434"/>
      <c r="I238" s="434"/>
      <c r="J238" s="434"/>
      <c r="K238" s="434"/>
      <c r="L238" s="434"/>
      <c r="M238" s="434"/>
      <c r="N238" s="434"/>
      <c r="O238" s="434"/>
      <c r="P238" s="434"/>
      <c r="Q238" s="434"/>
      <c r="R238" s="434"/>
      <c r="S238" s="434"/>
      <c r="T238" s="476"/>
      <c r="U238" s="434"/>
      <c r="V238" s="468"/>
      <c r="W238" s="473"/>
      <c r="X238" s="415"/>
    </row>
    <row r="239" spans="1:24" ht="18" x14ac:dyDescent="0.35">
      <c r="A239" s="466"/>
      <c r="B239" s="512" t="s">
        <v>168</v>
      </c>
      <c r="C239" s="474"/>
      <c r="D239" s="474"/>
      <c r="E239" s="474"/>
      <c r="F239" s="475"/>
      <c r="G239" s="434"/>
      <c r="H239" s="434"/>
      <c r="I239" s="434"/>
      <c r="J239" s="434"/>
      <c r="K239" s="434"/>
      <c r="L239" s="434"/>
      <c r="M239" s="434"/>
      <c r="N239" s="434"/>
      <c r="O239" s="434"/>
      <c r="P239" s="513" t="s">
        <v>371</v>
      </c>
      <c r="Q239" s="434"/>
      <c r="R239" s="434"/>
      <c r="S239" s="434"/>
      <c r="T239" s="476"/>
      <c r="U239" s="434"/>
      <c r="V239" s="468"/>
      <c r="W239" s="473"/>
      <c r="X239" s="415"/>
    </row>
    <row r="240" spans="1:24" x14ac:dyDescent="0.3">
      <c r="A240" s="477"/>
      <c r="B240" s="511"/>
      <c r="C240" s="478"/>
      <c r="D240" s="478"/>
      <c r="E240" s="478"/>
      <c r="F240" s="479"/>
      <c r="G240" s="441"/>
      <c r="H240" s="441"/>
      <c r="I240" s="441"/>
      <c r="J240" s="441"/>
      <c r="K240" s="441"/>
      <c r="L240" s="441"/>
      <c r="M240" s="441"/>
      <c r="N240" s="441"/>
      <c r="O240" s="441"/>
      <c r="P240" s="441"/>
      <c r="Q240" s="441"/>
      <c r="R240" s="441"/>
      <c r="S240" s="441"/>
      <c r="T240" s="480"/>
      <c r="U240" s="441"/>
      <c r="V240" s="481"/>
      <c r="W240" s="482"/>
      <c r="X240" s="415"/>
    </row>
    <row r="241" spans="1:25" x14ac:dyDescent="0.3">
      <c r="A241" s="515"/>
      <c r="B241" s="523" t="s">
        <v>308</v>
      </c>
      <c r="C241" s="524"/>
      <c r="D241" s="524"/>
      <c r="E241" s="524"/>
      <c r="F241" s="534"/>
      <c r="G241" s="524"/>
      <c r="H241" s="524"/>
      <c r="I241" s="524"/>
      <c r="J241" s="524"/>
      <c r="K241" s="524"/>
      <c r="L241" s="524"/>
      <c r="M241" s="524"/>
      <c r="N241" s="524"/>
      <c r="O241" s="524"/>
      <c r="P241" s="524"/>
      <c r="Q241" s="524"/>
      <c r="R241" s="534" t="s">
        <v>102</v>
      </c>
      <c r="S241" s="524" t="s">
        <v>103</v>
      </c>
      <c r="T241" s="534" t="s">
        <v>109</v>
      </c>
      <c r="U241" s="524" t="s">
        <v>103</v>
      </c>
      <c r="V241" s="517"/>
      <c r="W241" s="535"/>
      <c r="X241" s="415"/>
    </row>
    <row r="242" spans="1:25" s="544" customFormat="1" x14ac:dyDescent="0.3">
      <c r="A242" s="540"/>
      <c r="B242" s="600" t="s">
        <v>88</v>
      </c>
      <c r="C242" s="627"/>
      <c r="D242" s="627"/>
      <c r="E242" s="627"/>
      <c r="F242" s="588"/>
      <c r="G242" s="627"/>
      <c r="H242" s="627"/>
      <c r="I242" s="627"/>
      <c r="J242" s="627"/>
      <c r="K242" s="627"/>
      <c r="L242" s="627"/>
      <c r="M242" s="627"/>
      <c r="N242" s="627"/>
      <c r="O242" s="627"/>
      <c r="P242" s="627"/>
      <c r="Q242" s="627"/>
      <c r="R242" s="600">
        <f t="shared" ref="R242:R249" si="1">+R254+R266+R278</f>
        <v>5589</v>
      </c>
      <c r="S242" s="628">
        <f t="shared" ref="S242:S249" si="2">R242/$R$251</f>
        <v>0.98797949443167754</v>
      </c>
      <c r="T242" s="601">
        <f t="shared" ref="T242:T249" si="3">+T254+T266+T278</f>
        <v>757302</v>
      </c>
      <c r="U242" s="628">
        <f t="shared" ref="U242:U249" si="4">T242/$T$251</f>
        <v>0.98464206866602355</v>
      </c>
      <c r="V242" s="616"/>
      <c r="W242" s="629"/>
      <c r="X242" s="543"/>
    </row>
    <row r="243" spans="1:25" s="544" customFormat="1" x14ac:dyDescent="0.3">
      <c r="A243" s="555"/>
      <c r="B243" s="598" t="s">
        <v>89</v>
      </c>
      <c r="C243" s="630"/>
      <c r="D243" s="630"/>
      <c r="E243" s="630"/>
      <c r="F243" s="556"/>
      <c r="G243" s="631"/>
      <c r="H243" s="630"/>
      <c r="I243" s="630"/>
      <c r="J243" s="630"/>
      <c r="K243" s="630"/>
      <c r="L243" s="630"/>
      <c r="M243" s="630"/>
      <c r="N243" s="630"/>
      <c r="O243" s="630"/>
      <c r="P243" s="630"/>
      <c r="Q243" s="630"/>
      <c r="R243" s="598">
        <f t="shared" si="1"/>
        <v>44</v>
      </c>
      <c r="S243" s="631">
        <f t="shared" si="2"/>
        <v>7.7779741912674559E-3</v>
      </c>
      <c r="T243" s="599">
        <f t="shared" si="3"/>
        <v>6002</v>
      </c>
      <c r="U243" s="631">
        <f t="shared" si="4"/>
        <v>7.8037846145044814E-3</v>
      </c>
      <c r="V243" s="621"/>
      <c r="W243" s="624"/>
      <c r="X243" s="543"/>
      <c r="Y243" s="604"/>
    </row>
    <row r="244" spans="1:25" s="544" customFormat="1" x14ac:dyDescent="0.3">
      <c r="A244" s="555"/>
      <c r="B244" s="598" t="s">
        <v>90</v>
      </c>
      <c r="C244" s="630"/>
      <c r="D244" s="630"/>
      <c r="E244" s="630"/>
      <c r="F244" s="556"/>
      <c r="G244" s="631"/>
      <c r="H244" s="630"/>
      <c r="I244" s="630"/>
      <c r="J244" s="630"/>
      <c r="K244" s="630"/>
      <c r="L244" s="630"/>
      <c r="M244" s="630"/>
      <c r="N244" s="630"/>
      <c r="O244" s="630"/>
      <c r="P244" s="630"/>
      <c r="Q244" s="630"/>
      <c r="R244" s="598">
        <f t="shared" si="1"/>
        <v>14</v>
      </c>
      <c r="S244" s="631">
        <f t="shared" si="2"/>
        <v>2.474809969948736E-3</v>
      </c>
      <c r="T244" s="599">
        <f t="shared" si="3"/>
        <v>2747</v>
      </c>
      <c r="U244" s="631">
        <f t="shared" si="4"/>
        <v>3.5716421752822079E-3</v>
      </c>
      <c r="V244" s="621"/>
      <c r="W244" s="624"/>
      <c r="X244" s="543"/>
    </row>
    <row r="245" spans="1:25" s="544" customFormat="1" x14ac:dyDescent="0.3">
      <c r="A245" s="555"/>
      <c r="B245" s="598" t="s">
        <v>156</v>
      </c>
      <c r="C245" s="630"/>
      <c r="D245" s="630"/>
      <c r="E245" s="630"/>
      <c r="F245" s="556"/>
      <c r="G245" s="631"/>
      <c r="H245" s="630"/>
      <c r="I245" s="630"/>
      <c r="J245" s="630"/>
      <c r="K245" s="630"/>
      <c r="L245" s="630"/>
      <c r="M245" s="630"/>
      <c r="N245" s="630"/>
      <c r="O245" s="630"/>
      <c r="P245" s="630"/>
      <c r="Q245" s="630"/>
      <c r="R245" s="598">
        <f t="shared" si="1"/>
        <v>5</v>
      </c>
      <c r="S245" s="631">
        <f t="shared" si="2"/>
        <v>8.8386070355312004E-4</v>
      </c>
      <c r="T245" s="599">
        <f t="shared" si="3"/>
        <v>2510</v>
      </c>
      <c r="U245" s="631">
        <f t="shared" si="4"/>
        <v>3.2634953986015076E-3</v>
      </c>
      <c r="V245" s="621"/>
      <c r="W245" s="624"/>
      <c r="X245" s="543"/>
      <c r="Y245" s="604"/>
    </row>
    <row r="246" spans="1:25" s="544" customFormat="1" x14ac:dyDescent="0.3">
      <c r="A246" s="555"/>
      <c r="B246" s="598" t="s">
        <v>157</v>
      </c>
      <c r="C246" s="630"/>
      <c r="D246" s="630"/>
      <c r="E246" s="630"/>
      <c r="F246" s="556"/>
      <c r="G246" s="631"/>
      <c r="H246" s="630"/>
      <c r="I246" s="630"/>
      <c r="J246" s="630"/>
      <c r="K246" s="630"/>
      <c r="L246" s="630"/>
      <c r="M246" s="630"/>
      <c r="N246" s="630"/>
      <c r="O246" s="630"/>
      <c r="P246" s="630"/>
      <c r="Q246" s="630"/>
      <c r="R246" s="598">
        <f t="shared" si="1"/>
        <v>0</v>
      </c>
      <c r="S246" s="631">
        <f t="shared" si="2"/>
        <v>0</v>
      </c>
      <c r="T246" s="599">
        <f t="shared" si="3"/>
        <v>0</v>
      </c>
      <c r="U246" s="631">
        <f t="shared" si="4"/>
        <v>0</v>
      </c>
      <c r="V246" s="621"/>
      <c r="W246" s="624"/>
      <c r="X246" s="543"/>
    </row>
    <row r="247" spans="1:25" s="544" customFormat="1" x14ac:dyDescent="0.3">
      <c r="A247" s="555"/>
      <c r="B247" s="598" t="s">
        <v>158</v>
      </c>
      <c r="C247" s="630"/>
      <c r="D247" s="630"/>
      <c r="E247" s="630"/>
      <c r="F247" s="556"/>
      <c r="G247" s="631"/>
      <c r="H247" s="630"/>
      <c r="I247" s="630"/>
      <c r="J247" s="630"/>
      <c r="K247" s="630"/>
      <c r="L247" s="630"/>
      <c r="M247" s="630"/>
      <c r="N247" s="630"/>
      <c r="O247" s="630"/>
      <c r="P247" s="630"/>
      <c r="Q247" s="630"/>
      <c r="R247" s="598">
        <f t="shared" si="1"/>
        <v>0</v>
      </c>
      <c r="S247" s="631">
        <f t="shared" si="2"/>
        <v>0</v>
      </c>
      <c r="T247" s="599">
        <f t="shared" si="3"/>
        <v>0</v>
      </c>
      <c r="U247" s="631">
        <f t="shared" si="4"/>
        <v>0</v>
      </c>
      <c r="V247" s="621"/>
      <c r="W247" s="624"/>
      <c r="X247" s="543"/>
      <c r="Y247" s="604"/>
    </row>
    <row r="248" spans="1:25" s="544" customFormat="1" x14ac:dyDescent="0.3">
      <c r="A248" s="555"/>
      <c r="B248" s="598" t="s">
        <v>159</v>
      </c>
      <c r="C248" s="630"/>
      <c r="D248" s="630"/>
      <c r="E248" s="630"/>
      <c r="F248" s="556"/>
      <c r="G248" s="631"/>
      <c r="H248" s="630"/>
      <c r="I248" s="630"/>
      <c r="J248" s="630"/>
      <c r="K248" s="630"/>
      <c r="L248" s="630"/>
      <c r="M248" s="630"/>
      <c r="N248" s="630"/>
      <c r="O248" s="630"/>
      <c r="P248" s="630"/>
      <c r="Q248" s="630"/>
      <c r="R248" s="598">
        <f t="shared" si="1"/>
        <v>4</v>
      </c>
      <c r="S248" s="631">
        <f t="shared" si="2"/>
        <v>7.0708856284249606E-4</v>
      </c>
      <c r="T248" s="599">
        <f t="shared" si="3"/>
        <v>447</v>
      </c>
      <c r="U248" s="631">
        <f t="shared" si="4"/>
        <v>5.8118822437245969E-4</v>
      </c>
      <c r="V248" s="621"/>
      <c r="W248" s="624"/>
      <c r="X248" s="543"/>
    </row>
    <row r="249" spans="1:25" s="544" customFormat="1" x14ac:dyDescent="0.3">
      <c r="A249" s="555"/>
      <c r="B249" s="598" t="s">
        <v>160</v>
      </c>
      <c r="C249" s="630"/>
      <c r="D249" s="630"/>
      <c r="E249" s="630"/>
      <c r="F249" s="556"/>
      <c r="G249" s="631"/>
      <c r="H249" s="630"/>
      <c r="I249" s="630"/>
      <c r="J249" s="630"/>
      <c r="K249" s="630"/>
      <c r="L249" s="630"/>
      <c r="M249" s="630"/>
      <c r="N249" s="630"/>
      <c r="O249" s="630"/>
      <c r="P249" s="630"/>
      <c r="Q249" s="630"/>
      <c r="R249" s="600">
        <f t="shared" si="1"/>
        <v>1</v>
      </c>
      <c r="S249" s="628">
        <f t="shared" si="2"/>
        <v>1.7677214071062401E-4</v>
      </c>
      <c r="T249" s="601">
        <f t="shared" si="3"/>
        <v>106</v>
      </c>
      <c r="U249" s="628">
        <f t="shared" si="4"/>
        <v>1.3782092121584057E-4</v>
      </c>
      <c r="V249" s="621"/>
      <c r="W249" s="624"/>
      <c r="X249" s="543"/>
      <c r="Y249" s="604"/>
    </row>
    <row r="250" spans="1:25" s="544" customFormat="1" x14ac:dyDescent="0.3">
      <c r="A250" s="555"/>
      <c r="B250" s="598"/>
      <c r="C250" s="630"/>
      <c r="D250" s="630"/>
      <c r="E250" s="630"/>
      <c r="F250" s="556"/>
      <c r="G250" s="631"/>
      <c r="H250" s="630"/>
      <c r="I250" s="630"/>
      <c r="J250" s="630"/>
      <c r="K250" s="630"/>
      <c r="L250" s="630"/>
      <c r="M250" s="630"/>
      <c r="N250" s="630"/>
      <c r="O250" s="630"/>
      <c r="P250" s="630"/>
      <c r="Q250" s="630"/>
      <c r="R250" s="598"/>
      <c r="S250" s="631"/>
      <c r="T250" s="599"/>
      <c r="U250" s="631"/>
      <c r="V250" s="621"/>
      <c r="W250" s="624"/>
      <c r="X250" s="543"/>
    </row>
    <row r="251" spans="1:25" s="544" customFormat="1" x14ac:dyDescent="0.3">
      <c r="A251" s="555"/>
      <c r="B251" s="556"/>
      <c r="C251" s="556"/>
      <c r="D251" s="556"/>
      <c r="E251" s="556"/>
      <c r="F251" s="556"/>
      <c r="G251" s="556"/>
      <c r="H251" s="632"/>
      <c r="I251" s="632"/>
      <c r="J251" s="632"/>
      <c r="K251" s="632"/>
      <c r="L251" s="632"/>
      <c r="M251" s="632"/>
      <c r="N251" s="632"/>
      <c r="O251" s="632"/>
      <c r="P251" s="632"/>
      <c r="Q251" s="632"/>
      <c r="R251" s="598">
        <f>SUM(R242:R250)</f>
        <v>5657</v>
      </c>
      <c r="S251" s="631">
        <f>SUM(S242:S250)</f>
        <v>1</v>
      </c>
      <c r="T251" s="599">
        <f>SUM(T242:T250)</f>
        <v>769114</v>
      </c>
      <c r="U251" s="631">
        <f>SUM(U242:U250)</f>
        <v>1</v>
      </c>
      <c r="V251" s="556"/>
      <c r="W251" s="558"/>
      <c r="X251" s="543"/>
    </row>
    <row r="252" spans="1:25" x14ac:dyDescent="0.3">
      <c r="A252" s="417"/>
      <c r="B252" s="441"/>
      <c r="C252" s="441"/>
      <c r="D252" s="441"/>
      <c r="E252" s="441"/>
      <c r="F252" s="441"/>
      <c r="G252" s="441"/>
      <c r="H252" s="485"/>
      <c r="I252" s="485"/>
      <c r="J252" s="485"/>
      <c r="K252" s="485"/>
      <c r="L252" s="485"/>
      <c r="M252" s="485"/>
      <c r="N252" s="485"/>
      <c r="O252" s="485"/>
      <c r="P252" s="485"/>
      <c r="Q252" s="485"/>
      <c r="R252" s="442"/>
      <c r="S252" s="486"/>
      <c r="T252" s="487"/>
      <c r="U252" s="486"/>
      <c r="V252" s="441"/>
      <c r="W252" s="441"/>
      <c r="X252" s="415"/>
    </row>
    <row r="253" spans="1:25" x14ac:dyDescent="0.3">
      <c r="A253" s="515"/>
      <c r="B253" s="523" t="s">
        <v>162</v>
      </c>
      <c r="C253" s="524"/>
      <c r="D253" s="524"/>
      <c r="E253" s="524"/>
      <c r="F253" s="534"/>
      <c r="G253" s="524"/>
      <c r="H253" s="524"/>
      <c r="I253" s="524"/>
      <c r="J253" s="524"/>
      <c r="K253" s="524"/>
      <c r="L253" s="524"/>
      <c r="M253" s="524"/>
      <c r="N253" s="524"/>
      <c r="O253" s="524"/>
      <c r="P253" s="524"/>
      <c r="Q253" s="524"/>
      <c r="R253" s="534" t="s">
        <v>102</v>
      </c>
      <c r="S253" s="524" t="s">
        <v>103</v>
      </c>
      <c r="T253" s="534" t="s">
        <v>109</v>
      </c>
      <c r="U253" s="524" t="s">
        <v>103</v>
      </c>
      <c r="V253" s="517"/>
      <c r="W253" s="535"/>
      <c r="X253" s="415"/>
    </row>
    <row r="254" spans="1:25" s="544" customFormat="1" x14ac:dyDescent="0.3">
      <c r="A254" s="540"/>
      <c r="B254" s="600" t="s">
        <v>88</v>
      </c>
      <c r="C254" s="627"/>
      <c r="D254" s="627"/>
      <c r="E254" s="627"/>
      <c r="F254" s="588"/>
      <c r="G254" s="627"/>
      <c r="H254" s="627"/>
      <c r="I254" s="627"/>
      <c r="J254" s="627"/>
      <c r="K254" s="627"/>
      <c r="L254" s="627"/>
      <c r="M254" s="627"/>
      <c r="N254" s="627"/>
      <c r="O254" s="627"/>
      <c r="P254" s="627"/>
      <c r="Q254" s="627"/>
      <c r="R254" s="600">
        <v>5492</v>
      </c>
      <c r="S254" s="628">
        <f t="shared" ref="S254:S261" si="5">R254/$R$263</f>
        <v>0.98972787889709857</v>
      </c>
      <c r="T254" s="601">
        <v>743345</v>
      </c>
      <c r="U254" s="628">
        <f t="shared" ref="U254:U261" si="6">T254/$T$263</f>
        <v>0.98617082952469526</v>
      </c>
      <c r="V254" s="616"/>
      <c r="W254" s="629"/>
      <c r="X254" s="543"/>
    </row>
    <row r="255" spans="1:25" s="544" customFormat="1" x14ac:dyDescent="0.3">
      <c r="A255" s="555"/>
      <c r="B255" s="598" t="s">
        <v>89</v>
      </c>
      <c r="C255" s="630"/>
      <c r="D255" s="630"/>
      <c r="E255" s="630"/>
      <c r="F255" s="556"/>
      <c r="G255" s="631"/>
      <c r="H255" s="630"/>
      <c r="I255" s="630"/>
      <c r="J255" s="630"/>
      <c r="K255" s="630"/>
      <c r="L255" s="630"/>
      <c r="M255" s="630"/>
      <c r="N255" s="630"/>
      <c r="O255" s="630"/>
      <c r="P255" s="630"/>
      <c r="Q255" s="630"/>
      <c r="R255" s="598">
        <v>41</v>
      </c>
      <c r="S255" s="631">
        <f t="shared" si="5"/>
        <v>7.3887186880519009E-3</v>
      </c>
      <c r="T255" s="599">
        <v>5704</v>
      </c>
      <c r="U255" s="631">
        <f t="shared" si="6"/>
        <v>7.5673051027569452E-3</v>
      </c>
      <c r="V255" s="621"/>
      <c r="W255" s="624"/>
      <c r="X255" s="543"/>
      <c r="Y255" s="604"/>
    </row>
    <row r="256" spans="1:25" s="544" customFormat="1" x14ac:dyDescent="0.3">
      <c r="A256" s="555"/>
      <c r="B256" s="598" t="s">
        <v>90</v>
      </c>
      <c r="C256" s="630"/>
      <c r="D256" s="630"/>
      <c r="E256" s="630"/>
      <c r="F256" s="556"/>
      <c r="G256" s="631"/>
      <c r="H256" s="630"/>
      <c r="I256" s="630"/>
      <c r="J256" s="630"/>
      <c r="K256" s="630"/>
      <c r="L256" s="630"/>
      <c r="M256" s="630"/>
      <c r="N256" s="630"/>
      <c r="O256" s="630"/>
      <c r="P256" s="630"/>
      <c r="Q256" s="630"/>
      <c r="R256" s="598">
        <v>12</v>
      </c>
      <c r="S256" s="631">
        <f t="shared" si="5"/>
        <v>2.1625518111371418E-3</v>
      </c>
      <c r="T256" s="599">
        <v>2335</v>
      </c>
      <c r="U256" s="631">
        <f t="shared" si="6"/>
        <v>3.0977660264616879E-3</v>
      </c>
      <c r="V256" s="621"/>
      <c r="W256" s="624"/>
      <c r="X256" s="543"/>
    </row>
    <row r="257" spans="1:25" s="544" customFormat="1" x14ac:dyDescent="0.3">
      <c r="A257" s="555"/>
      <c r="B257" s="598" t="s">
        <v>156</v>
      </c>
      <c r="C257" s="630"/>
      <c r="D257" s="630"/>
      <c r="E257" s="630"/>
      <c r="F257" s="556"/>
      <c r="G257" s="631"/>
      <c r="H257" s="630"/>
      <c r="I257" s="630"/>
      <c r="J257" s="630"/>
      <c r="K257" s="630"/>
      <c r="L257" s="630"/>
      <c r="M257" s="630"/>
      <c r="N257" s="630"/>
      <c r="O257" s="630"/>
      <c r="P257" s="630"/>
      <c r="Q257" s="630"/>
      <c r="R257" s="598">
        <v>4</v>
      </c>
      <c r="S257" s="631">
        <f t="shared" si="5"/>
        <v>7.2085060371238064E-4</v>
      </c>
      <c r="T257" s="599">
        <v>2385</v>
      </c>
      <c r="U257" s="631">
        <f t="shared" si="6"/>
        <v>3.1640993460861351E-3</v>
      </c>
      <c r="V257" s="621"/>
      <c r="W257" s="624"/>
      <c r="X257" s="543"/>
      <c r="Y257" s="604"/>
    </row>
    <row r="258" spans="1:25" s="544" customFormat="1" x14ac:dyDescent="0.3">
      <c r="A258" s="555"/>
      <c r="B258" s="598" t="s">
        <v>157</v>
      </c>
      <c r="C258" s="630"/>
      <c r="D258" s="630"/>
      <c r="E258" s="630"/>
      <c r="F258" s="556"/>
      <c r="G258" s="631"/>
      <c r="H258" s="630"/>
      <c r="I258" s="630"/>
      <c r="J258" s="630"/>
      <c r="K258" s="630"/>
      <c r="L258" s="630"/>
      <c r="M258" s="630"/>
      <c r="N258" s="630"/>
      <c r="O258" s="630"/>
      <c r="P258" s="630"/>
      <c r="Q258" s="630"/>
      <c r="R258" s="598">
        <v>0</v>
      </c>
      <c r="S258" s="631">
        <f t="shared" si="5"/>
        <v>0</v>
      </c>
      <c r="T258" s="599">
        <v>0</v>
      </c>
      <c r="U258" s="631">
        <f t="shared" si="6"/>
        <v>0</v>
      </c>
      <c r="V258" s="621"/>
      <c r="W258" s="624"/>
      <c r="X258" s="543"/>
    </row>
    <row r="259" spans="1:25" s="544" customFormat="1" x14ac:dyDescent="0.3">
      <c r="A259" s="555"/>
      <c r="B259" s="598" t="s">
        <v>158</v>
      </c>
      <c r="C259" s="630"/>
      <c r="D259" s="630"/>
      <c r="E259" s="630"/>
      <c r="F259" s="556"/>
      <c r="G259" s="631"/>
      <c r="H259" s="630"/>
      <c r="I259" s="630"/>
      <c r="J259" s="630"/>
      <c r="K259" s="630"/>
      <c r="L259" s="630"/>
      <c r="M259" s="630"/>
      <c r="N259" s="630"/>
      <c r="O259" s="630"/>
      <c r="P259" s="630"/>
      <c r="Q259" s="630"/>
      <c r="R259" s="598">
        <v>0</v>
      </c>
      <c r="S259" s="631">
        <f t="shared" si="5"/>
        <v>0</v>
      </c>
      <c r="T259" s="599">
        <v>0</v>
      </c>
      <c r="U259" s="631">
        <f t="shared" si="6"/>
        <v>0</v>
      </c>
      <c r="V259" s="621"/>
      <c r="W259" s="624"/>
      <c r="X259" s="543"/>
      <c r="Y259" s="604"/>
    </row>
    <row r="260" spans="1:25" s="544" customFormat="1" x14ac:dyDescent="0.3">
      <c r="A260" s="555"/>
      <c r="B260" s="598" t="s">
        <v>159</v>
      </c>
      <c r="C260" s="630"/>
      <c r="D260" s="630"/>
      <c r="E260" s="630"/>
      <c r="F260" s="556"/>
      <c r="G260" s="631"/>
      <c r="H260" s="630"/>
      <c r="I260" s="630"/>
      <c r="J260" s="630"/>
      <c r="K260" s="630"/>
      <c r="L260" s="630"/>
      <c r="M260" s="630"/>
      <c r="N260" s="630"/>
      <c r="O260" s="630"/>
      <c r="P260" s="630"/>
      <c r="Q260" s="630"/>
      <c r="R260" s="598">
        <v>0</v>
      </c>
      <c r="S260" s="631">
        <f t="shared" si="5"/>
        <v>0</v>
      </c>
      <c r="T260" s="599">
        <v>0</v>
      </c>
      <c r="U260" s="631">
        <f t="shared" si="6"/>
        <v>0</v>
      </c>
      <c r="V260" s="621"/>
      <c r="W260" s="624"/>
      <c r="X260" s="543"/>
    </row>
    <row r="261" spans="1:25" s="544" customFormat="1" x14ac:dyDescent="0.3">
      <c r="A261" s="555"/>
      <c r="B261" s="598" t="s">
        <v>160</v>
      </c>
      <c r="C261" s="630"/>
      <c r="D261" s="630"/>
      <c r="E261" s="630"/>
      <c r="F261" s="556"/>
      <c r="G261" s="631"/>
      <c r="H261" s="630"/>
      <c r="I261" s="630"/>
      <c r="J261" s="630"/>
      <c r="K261" s="630"/>
      <c r="L261" s="630"/>
      <c r="M261" s="630"/>
      <c r="N261" s="630"/>
      <c r="O261" s="630"/>
      <c r="P261" s="630"/>
      <c r="Q261" s="630"/>
      <c r="R261" s="598">
        <v>0</v>
      </c>
      <c r="S261" s="631">
        <f t="shared" si="5"/>
        <v>0</v>
      </c>
      <c r="T261" s="599">
        <v>0</v>
      </c>
      <c r="U261" s="631">
        <f t="shared" si="6"/>
        <v>0</v>
      </c>
      <c r="V261" s="621"/>
      <c r="W261" s="624"/>
      <c r="X261" s="543"/>
      <c r="Y261" s="604"/>
    </row>
    <row r="262" spans="1:25" s="544" customFormat="1" x14ac:dyDescent="0.3">
      <c r="A262" s="555"/>
      <c r="B262" s="598"/>
      <c r="C262" s="630"/>
      <c r="D262" s="630"/>
      <c r="E262" s="630"/>
      <c r="F262" s="556"/>
      <c r="G262" s="631"/>
      <c r="H262" s="630"/>
      <c r="I262" s="630"/>
      <c r="J262" s="630"/>
      <c r="K262" s="630"/>
      <c r="L262" s="630"/>
      <c r="M262" s="630"/>
      <c r="N262" s="630"/>
      <c r="O262" s="630"/>
      <c r="P262" s="630"/>
      <c r="Q262" s="630"/>
      <c r="R262" s="598"/>
      <c r="S262" s="631"/>
      <c r="T262" s="599"/>
      <c r="U262" s="631"/>
      <c r="V262" s="621"/>
      <c r="W262" s="624"/>
      <c r="X262" s="543"/>
    </row>
    <row r="263" spans="1:25" s="544" customFormat="1" x14ac:dyDescent="0.3">
      <c r="A263" s="555"/>
      <c r="B263" s="556"/>
      <c r="C263" s="556"/>
      <c r="D263" s="556"/>
      <c r="E263" s="556"/>
      <c r="F263" s="556"/>
      <c r="G263" s="556"/>
      <c r="H263" s="632"/>
      <c r="I263" s="632"/>
      <c r="J263" s="632"/>
      <c r="K263" s="632"/>
      <c r="L263" s="632"/>
      <c r="M263" s="632"/>
      <c r="N263" s="632"/>
      <c r="O263" s="632"/>
      <c r="P263" s="632"/>
      <c r="Q263" s="632"/>
      <c r="R263" s="598">
        <f>SUM(R254:R262)</f>
        <v>5549</v>
      </c>
      <c r="S263" s="631">
        <f>SUM(S254:S262)</f>
        <v>1</v>
      </c>
      <c r="T263" s="599">
        <f>SUM(T254:T262)</f>
        <v>753769</v>
      </c>
      <c r="U263" s="631">
        <f>SUM(U254:U262)</f>
        <v>1</v>
      </c>
      <c r="V263" s="556"/>
      <c r="W263" s="558"/>
      <c r="X263" s="543"/>
    </row>
    <row r="264" spans="1:25" x14ac:dyDescent="0.3">
      <c r="A264" s="417"/>
      <c r="B264" s="441"/>
      <c r="C264" s="441"/>
      <c r="D264" s="441"/>
      <c r="E264" s="441"/>
      <c r="F264" s="441"/>
      <c r="G264" s="441"/>
      <c r="H264" s="485"/>
      <c r="I264" s="485"/>
      <c r="J264" s="485"/>
      <c r="K264" s="485"/>
      <c r="L264" s="485"/>
      <c r="M264" s="485"/>
      <c r="N264" s="485"/>
      <c r="O264" s="485"/>
      <c r="P264" s="485"/>
      <c r="Q264" s="485"/>
      <c r="R264" s="442"/>
      <c r="S264" s="486"/>
      <c r="T264" s="487"/>
      <c r="U264" s="486"/>
      <c r="V264" s="441"/>
      <c r="W264" s="441"/>
      <c r="X264" s="415"/>
    </row>
    <row r="265" spans="1:25" x14ac:dyDescent="0.3">
      <c r="A265" s="515"/>
      <c r="B265" s="523" t="s">
        <v>275</v>
      </c>
      <c r="C265" s="524"/>
      <c r="D265" s="524"/>
      <c r="E265" s="524"/>
      <c r="F265" s="534"/>
      <c r="G265" s="524"/>
      <c r="H265" s="524"/>
      <c r="I265" s="524"/>
      <c r="J265" s="524"/>
      <c r="K265" s="524"/>
      <c r="L265" s="524"/>
      <c r="M265" s="524"/>
      <c r="N265" s="524"/>
      <c r="O265" s="524"/>
      <c r="P265" s="524"/>
      <c r="Q265" s="524"/>
      <c r="R265" s="534" t="s">
        <v>102</v>
      </c>
      <c r="S265" s="524" t="s">
        <v>103</v>
      </c>
      <c r="T265" s="534" t="s">
        <v>109</v>
      </c>
      <c r="U265" s="524" t="s">
        <v>103</v>
      </c>
      <c r="V265" s="517"/>
      <c r="W265" s="520"/>
      <c r="X265" s="415"/>
    </row>
    <row r="266" spans="1:25" s="544" customFormat="1" x14ac:dyDescent="0.3">
      <c r="A266" s="540"/>
      <c r="B266" s="600" t="s">
        <v>88</v>
      </c>
      <c r="C266" s="627"/>
      <c r="D266" s="627"/>
      <c r="E266" s="627"/>
      <c r="F266" s="588"/>
      <c r="G266" s="627"/>
      <c r="H266" s="627"/>
      <c r="I266" s="627"/>
      <c r="J266" s="627"/>
      <c r="K266" s="627"/>
      <c r="L266" s="627"/>
      <c r="M266" s="627"/>
      <c r="N266" s="627"/>
      <c r="O266" s="627"/>
      <c r="P266" s="627"/>
      <c r="Q266" s="627"/>
      <c r="R266" s="600">
        <v>97</v>
      </c>
      <c r="S266" s="628">
        <f t="shared" ref="S266:S273" si="7">R266/$R$275</f>
        <v>0.89814814814814814</v>
      </c>
      <c r="T266" s="601">
        <v>13957</v>
      </c>
      <c r="U266" s="628">
        <f t="shared" ref="U266:U273" si="8">T266/$T$275</f>
        <v>0.90954708374063209</v>
      </c>
      <c r="V266" s="588"/>
      <c r="W266" s="588"/>
      <c r="X266" s="543"/>
    </row>
    <row r="267" spans="1:25" s="544" customFormat="1" x14ac:dyDescent="0.3">
      <c r="A267" s="555"/>
      <c r="B267" s="598" t="s">
        <v>89</v>
      </c>
      <c r="C267" s="630"/>
      <c r="D267" s="630"/>
      <c r="E267" s="630"/>
      <c r="F267" s="556"/>
      <c r="G267" s="631"/>
      <c r="H267" s="630"/>
      <c r="I267" s="630"/>
      <c r="J267" s="630"/>
      <c r="K267" s="630"/>
      <c r="L267" s="630"/>
      <c r="M267" s="630"/>
      <c r="N267" s="630"/>
      <c r="O267" s="630"/>
      <c r="P267" s="630"/>
      <c r="Q267" s="630"/>
      <c r="R267" s="598">
        <v>3</v>
      </c>
      <c r="S267" s="631">
        <f t="shared" si="7"/>
        <v>2.7777777777777776E-2</v>
      </c>
      <c r="T267" s="599">
        <v>298</v>
      </c>
      <c r="U267" s="631">
        <f t="shared" si="8"/>
        <v>1.9420006516780712E-2</v>
      </c>
      <c r="V267" s="556"/>
      <c r="W267" s="558"/>
      <c r="X267" s="543"/>
    </row>
    <row r="268" spans="1:25" s="544" customFormat="1" x14ac:dyDescent="0.3">
      <c r="A268" s="555"/>
      <c r="B268" s="598" t="s">
        <v>90</v>
      </c>
      <c r="C268" s="630"/>
      <c r="D268" s="630"/>
      <c r="E268" s="630"/>
      <c r="F268" s="556"/>
      <c r="G268" s="631"/>
      <c r="H268" s="630"/>
      <c r="I268" s="630"/>
      <c r="J268" s="630"/>
      <c r="K268" s="630"/>
      <c r="L268" s="630"/>
      <c r="M268" s="630"/>
      <c r="N268" s="630"/>
      <c r="O268" s="630"/>
      <c r="P268" s="630"/>
      <c r="Q268" s="630"/>
      <c r="R268" s="598">
        <v>2</v>
      </c>
      <c r="S268" s="631">
        <f t="shared" si="7"/>
        <v>1.8518518518518517E-2</v>
      </c>
      <c r="T268" s="599">
        <v>412</v>
      </c>
      <c r="U268" s="631">
        <f t="shared" si="8"/>
        <v>2.6849136526555881E-2</v>
      </c>
      <c r="V268" s="556"/>
      <c r="W268" s="558"/>
      <c r="X268" s="543"/>
    </row>
    <row r="269" spans="1:25" s="544" customFormat="1" x14ac:dyDescent="0.3">
      <c r="A269" s="555"/>
      <c r="B269" s="598" t="s">
        <v>156</v>
      </c>
      <c r="C269" s="630"/>
      <c r="D269" s="630"/>
      <c r="E269" s="630"/>
      <c r="F269" s="556"/>
      <c r="G269" s="631"/>
      <c r="H269" s="630"/>
      <c r="I269" s="630"/>
      <c r="J269" s="630"/>
      <c r="K269" s="630"/>
      <c r="L269" s="630"/>
      <c r="M269" s="630"/>
      <c r="N269" s="630"/>
      <c r="O269" s="630"/>
      <c r="P269" s="630"/>
      <c r="Q269" s="630"/>
      <c r="R269" s="598">
        <v>1</v>
      </c>
      <c r="S269" s="631">
        <f t="shared" si="7"/>
        <v>9.2592592592592587E-3</v>
      </c>
      <c r="T269" s="599">
        <v>125</v>
      </c>
      <c r="U269" s="631">
        <f t="shared" si="8"/>
        <v>8.1459758879113726E-3</v>
      </c>
      <c r="V269" s="556"/>
      <c r="W269" s="558"/>
      <c r="X269" s="543"/>
    </row>
    <row r="270" spans="1:25" s="544" customFormat="1" x14ac:dyDescent="0.3">
      <c r="A270" s="555"/>
      <c r="B270" s="598" t="s">
        <v>157</v>
      </c>
      <c r="C270" s="630"/>
      <c r="D270" s="630"/>
      <c r="E270" s="630"/>
      <c r="F270" s="556"/>
      <c r="G270" s="631"/>
      <c r="H270" s="630"/>
      <c r="I270" s="630"/>
      <c r="J270" s="630"/>
      <c r="K270" s="630"/>
      <c r="L270" s="630"/>
      <c r="M270" s="630"/>
      <c r="N270" s="630"/>
      <c r="O270" s="630"/>
      <c r="P270" s="630"/>
      <c r="Q270" s="630"/>
      <c r="R270" s="598">
        <v>0</v>
      </c>
      <c r="S270" s="631">
        <f t="shared" si="7"/>
        <v>0</v>
      </c>
      <c r="T270" s="599">
        <v>0</v>
      </c>
      <c r="U270" s="631">
        <f t="shared" si="8"/>
        <v>0</v>
      </c>
      <c r="V270" s="556"/>
      <c r="W270" s="558"/>
      <c r="X270" s="543"/>
    </row>
    <row r="271" spans="1:25" s="544" customFormat="1" x14ac:dyDescent="0.3">
      <c r="A271" s="555"/>
      <c r="B271" s="598" t="s">
        <v>158</v>
      </c>
      <c r="C271" s="630"/>
      <c r="D271" s="630"/>
      <c r="E271" s="630"/>
      <c r="F271" s="556"/>
      <c r="G271" s="631"/>
      <c r="H271" s="630"/>
      <c r="I271" s="630"/>
      <c r="J271" s="630"/>
      <c r="K271" s="630"/>
      <c r="L271" s="630"/>
      <c r="M271" s="630"/>
      <c r="N271" s="630"/>
      <c r="O271" s="630"/>
      <c r="P271" s="630"/>
      <c r="Q271" s="630"/>
      <c r="R271" s="598">
        <v>0</v>
      </c>
      <c r="S271" s="631">
        <f t="shared" si="7"/>
        <v>0</v>
      </c>
      <c r="T271" s="599">
        <v>0</v>
      </c>
      <c r="U271" s="631">
        <f t="shared" si="8"/>
        <v>0</v>
      </c>
      <c r="V271" s="556"/>
      <c r="W271" s="558"/>
      <c r="X271" s="543"/>
    </row>
    <row r="272" spans="1:25" s="544" customFormat="1" x14ac:dyDescent="0.3">
      <c r="A272" s="555"/>
      <c r="B272" s="598" t="s">
        <v>159</v>
      </c>
      <c r="C272" s="630"/>
      <c r="D272" s="630"/>
      <c r="E272" s="630"/>
      <c r="F272" s="556"/>
      <c r="G272" s="631"/>
      <c r="H272" s="630"/>
      <c r="I272" s="630"/>
      <c r="J272" s="630"/>
      <c r="K272" s="630"/>
      <c r="L272" s="630"/>
      <c r="M272" s="630"/>
      <c r="N272" s="630"/>
      <c r="O272" s="630"/>
      <c r="P272" s="630"/>
      <c r="Q272" s="630"/>
      <c r="R272" s="598">
        <v>4</v>
      </c>
      <c r="S272" s="631">
        <f t="shared" si="7"/>
        <v>3.7037037037037035E-2</v>
      </c>
      <c r="T272" s="599">
        <v>447</v>
      </c>
      <c r="U272" s="631">
        <f t="shared" si="8"/>
        <v>2.9130009775171065E-2</v>
      </c>
      <c r="V272" s="556"/>
      <c r="W272" s="558"/>
      <c r="X272" s="543"/>
    </row>
    <row r="273" spans="1:24" s="544" customFormat="1" x14ac:dyDescent="0.3">
      <c r="A273" s="555"/>
      <c r="B273" s="598" t="s">
        <v>160</v>
      </c>
      <c r="C273" s="630"/>
      <c r="D273" s="630"/>
      <c r="E273" s="630"/>
      <c r="F273" s="556"/>
      <c r="G273" s="631"/>
      <c r="H273" s="630"/>
      <c r="I273" s="630"/>
      <c r="J273" s="630"/>
      <c r="K273" s="630"/>
      <c r="L273" s="630"/>
      <c r="M273" s="630"/>
      <c r="N273" s="630"/>
      <c r="O273" s="630"/>
      <c r="P273" s="630"/>
      <c r="Q273" s="630"/>
      <c r="R273" s="598">
        <v>1</v>
      </c>
      <c r="S273" s="631">
        <f t="shared" si="7"/>
        <v>9.2592592592592587E-3</v>
      </c>
      <c r="T273" s="599">
        <v>106</v>
      </c>
      <c r="U273" s="631">
        <f t="shared" si="8"/>
        <v>6.9077875529488433E-3</v>
      </c>
      <c r="V273" s="556"/>
      <c r="W273" s="558"/>
      <c r="X273" s="543"/>
    </row>
    <row r="274" spans="1:24" s="544" customFormat="1" x14ac:dyDescent="0.3">
      <c r="A274" s="555"/>
      <c r="B274" s="598"/>
      <c r="C274" s="630"/>
      <c r="D274" s="630"/>
      <c r="E274" s="630"/>
      <c r="F274" s="556"/>
      <c r="G274" s="631"/>
      <c r="H274" s="630"/>
      <c r="I274" s="630"/>
      <c r="J274" s="630"/>
      <c r="K274" s="630"/>
      <c r="L274" s="630"/>
      <c r="M274" s="630"/>
      <c r="N274" s="630"/>
      <c r="O274" s="630"/>
      <c r="P274" s="630"/>
      <c r="Q274" s="630"/>
      <c r="R274" s="598"/>
      <c r="S274" s="631"/>
      <c r="T274" s="599"/>
      <c r="U274" s="631"/>
      <c r="V274" s="556"/>
      <c r="W274" s="558"/>
      <c r="X274" s="543"/>
    </row>
    <row r="275" spans="1:24" s="544" customFormat="1" x14ac:dyDescent="0.3">
      <c r="A275" s="555"/>
      <c r="B275" s="556"/>
      <c r="C275" s="556"/>
      <c r="D275" s="556"/>
      <c r="E275" s="556"/>
      <c r="F275" s="556"/>
      <c r="G275" s="556"/>
      <c r="H275" s="632"/>
      <c r="I275" s="632"/>
      <c r="J275" s="632"/>
      <c r="K275" s="632"/>
      <c r="L275" s="632"/>
      <c r="M275" s="632"/>
      <c r="N275" s="632"/>
      <c r="O275" s="632"/>
      <c r="P275" s="632"/>
      <c r="Q275" s="632"/>
      <c r="R275" s="598">
        <f>SUM(R266:R274)</f>
        <v>108</v>
      </c>
      <c r="S275" s="631">
        <f>SUM(S266:S274)</f>
        <v>1</v>
      </c>
      <c r="T275" s="599">
        <f>SUM(T266:T274)</f>
        <v>15345</v>
      </c>
      <c r="U275" s="631">
        <f>SUM(U266:U274)</f>
        <v>0.99999999999999989</v>
      </c>
      <c r="V275" s="556"/>
      <c r="W275" s="558"/>
      <c r="X275" s="543"/>
    </row>
    <row r="276" spans="1:24" x14ac:dyDescent="0.3">
      <c r="A276" s="417"/>
      <c r="B276" s="437"/>
      <c r="C276" s="437"/>
      <c r="D276" s="437"/>
      <c r="E276" s="437"/>
      <c r="F276" s="437"/>
      <c r="G276" s="437"/>
      <c r="H276" s="488"/>
      <c r="I276" s="488"/>
      <c r="J276" s="488"/>
      <c r="K276" s="488"/>
      <c r="L276" s="488"/>
      <c r="M276" s="488"/>
      <c r="N276" s="488"/>
      <c r="O276" s="488"/>
      <c r="P276" s="488"/>
      <c r="Q276" s="488"/>
      <c r="R276" s="447"/>
      <c r="S276" s="483"/>
      <c r="T276" s="484"/>
      <c r="U276" s="483"/>
      <c r="V276" s="437"/>
      <c r="W276" s="437"/>
      <c r="X276" s="415"/>
    </row>
    <row r="277" spans="1:24" x14ac:dyDescent="0.3">
      <c r="A277" s="515"/>
      <c r="B277" s="523" t="s">
        <v>163</v>
      </c>
      <c r="C277" s="517"/>
      <c r="D277" s="517"/>
      <c r="E277" s="517"/>
      <c r="F277" s="517"/>
      <c r="G277" s="517"/>
      <c r="H277" s="536"/>
      <c r="I277" s="536"/>
      <c r="J277" s="536"/>
      <c r="K277" s="536"/>
      <c r="L277" s="536"/>
      <c r="M277" s="536"/>
      <c r="N277" s="536"/>
      <c r="O277" s="536"/>
      <c r="P277" s="536"/>
      <c r="Q277" s="536"/>
      <c r="R277" s="534" t="s">
        <v>102</v>
      </c>
      <c r="S277" s="524" t="s">
        <v>103</v>
      </c>
      <c r="T277" s="534" t="s">
        <v>109</v>
      </c>
      <c r="U277" s="524" t="s">
        <v>103</v>
      </c>
      <c r="V277" s="517"/>
      <c r="W277" s="520"/>
      <c r="X277" s="415"/>
    </row>
    <row r="278" spans="1:24" s="544" customFormat="1" x14ac:dyDescent="0.3">
      <c r="A278" s="540"/>
      <c r="B278" s="600" t="s">
        <v>88</v>
      </c>
      <c r="C278" s="588"/>
      <c r="D278" s="588"/>
      <c r="E278" s="588"/>
      <c r="F278" s="588"/>
      <c r="G278" s="588"/>
      <c r="H278" s="633"/>
      <c r="I278" s="633"/>
      <c r="J278" s="633"/>
      <c r="K278" s="633"/>
      <c r="L278" s="633"/>
      <c r="M278" s="633"/>
      <c r="N278" s="633"/>
      <c r="O278" s="633"/>
      <c r="P278" s="633"/>
      <c r="Q278" s="633"/>
      <c r="R278" s="600">
        <v>0</v>
      </c>
      <c r="S278" s="628">
        <v>0</v>
      </c>
      <c r="T278" s="601">
        <v>0</v>
      </c>
      <c r="U278" s="628">
        <v>0</v>
      </c>
      <c r="V278" s="588"/>
      <c r="W278" s="588"/>
      <c r="X278" s="543"/>
    </row>
    <row r="279" spans="1:24" s="544" customFormat="1" x14ac:dyDescent="0.3">
      <c r="A279" s="555"/>
      <c r="B279" s="598" t="s">
        <v>89</v>
      </c>
      <c r="C279" s="556"/>
      <c r="D279" s="556"/>
      <c r="E279" s="556"/>
      <c r="F279" s="556"/>
      <c r="G279" s="556"/>
      <c r="H279" s="632"/>
      <c r="I279" s="632"/>
      <c r="J279" s="632"/>
      <c r="K279" s="632"/>
      <c r="L279" s="632"/>
      <c r="M279" s="632"/>
      <c r="N279" s="632"/>
      <c r="O279" s="632"/>
      <c r="P279" s="632"/>
      <c r="Q279" s="632"/>
      <c r="R279" s="598">
        <v>0</v>
      </c>
      <c r="S279" s="631">
        <v>0</v>
      </c>
      <c r="T279" s="599">
        <v>0</v>
      </c>
      <c r="U279" s="631">
        <v>0</v>
      </c>
      <c r="V279" s="556"/>
      <c r="W279" s="558"/>
      <c r="X279" s="543"/>
    </row>
    <row r="280" spans="1:24" s="544" customFormat="1" x14ac:dyDescent="0.3">
      <c r="A280" s="555"/>
      <c r="B280" s="598" t="s">
        <v>90</v>
      </c>
      <c r="C280" s="556"/>
      <c r="D280" s="556"/>
      <c r="E280" s="556"/>
      <c r="F280" s="556"/>
      <c r="G280" s="556"/>
      <c r="H280" s="632"/>
      <c r="I280" s="632"/>
      <c r="J280" s="632"/>
      <c r="K280" s="632"/>
      <c r="L280" s="632"/>
      <c r="M280" s="632"/>
      <c r="N280" s="632"/>
      <c r="O280" s="632"/>
      <c r="P280" s="632"/>
      <c r="Q280" s="632"/>
      <c r="R280" s="598">
        <v>0</v>
      </c>
      <c r="S280" s="631">
        <v>0</v>
      </c>
      <c r="T280" s="599">
        <v>0</v>
      </c>
      <c r="U280" s="631">
        <v>0</v>
      </c>
      <c r="V280" s="556"/>
      <c r="W280" s="558"/>
      <c r="X280" s="543"/>
    </row>
    <row r="281" spans="1:24" s="544" customFormat="1" x14ac:dyDescent="0.3">
      <c r="A281" s="555"/>
      <c r="B281" s="598" t="s">
        <v>156</v>
      </c>
      <c r="C281" s="556"/>
      <c r="D281" s="556"/>
      <c r="E281" s="556"/>
      <c r="F281" s="556"/>
      <c r="G281" s="556"/>
      <c r="H281" s="632"/>
      <c r="I281" s="632"/>
      <c r="J281" s="632"/>
      <c r="K281" s="632"/>
      <c r="L281" s="632"/>
      <c r="M281" s="632"/>
      <c r="N281" s="632"/>
      <c r="O281" s="632"/>
      <c r="P281" s="632"/>
      <c r="Q281" s="632"/>
      <c r="R281" s="598">
        <v>0</v>
      </c>
      <c r="S281" s="631">
        <v>0</v>
      </c>
      <c r="T281" s="599">
        <v>0</v>
      </c>
      <c r="U281" s="631">
        <v>0</v>
      </c>
      <c r="V281" s="556"/>
      <c r="W281" s="558"/>
      <c r="X281" s="543"/>
    </row>
    <row r="282" spans="1:24" s="544" customFormat="1" x14ac:dyDescent="0.3">
      <c r="A282" s="555"/>
      <c r="B282" s="598" t="s">
        <v>157</v>
      </c>
      <c r="C282" s="556"/>
      <c r="D282" s="556"/>
      <c r="E282" s="556"/>
      <c r="F282" s="556"/>
      <c r="G282" s="556"/>
      <c r="H282" s="632"/>
      <c r="I282" s="632"/>
      <c r="J282" s="632"/>
      <c r="K282" s="632"/>
      <c r="L282" s="632"/>
      <c r="M282" s="632"/>
      <c r="N282" s="632"/>
      <c r="O282" s="632"/>
      <c r="P282" s="632"/>
      <c r="Q282" s="632"/>
      <c r="R282" s="598">
        <v>0</v>
      </c>
      <c r="S282" s="631">
        <v>0</v>
      </c>
      <c r="T282" s="599">
        <v>0</v>
      </c>
      <c r="U282" s="631">
        <v>0</v>
      </c>
      <c r="V282" s="556"/>
      <c r="W282" s="558"/>
      <c r="X282" s="543"/>
    </row>
    <row r="283" spans="1:24" s="544" customFormat="1" x14ac:dyDescent="0.3">
      <c r="A283" s="555"/>
      <c r="B283" s="598" t="s">
        <v>158</v>
      </c>
      <c r="C283" s="556"/>
      <c r="D283" s="556"/>
      <c r="E283" s="556"/>
      <c r="F283" s="556"/>
      <c r="G283" s="556"/>
      <c r="H283" s="632"/>
      <c r="I283" s="632"/>
      <c r="J283" s="632"/>
      <c r="K283" s="632"/>
      <c r="L283" s="632"/>
      <c r="M283" s="632"/>
      <c r="N283" s="632"/>
      <c r="O283" s="632"/>
      <c r="P283" s="632"/>
      <c r="Q283" s="632"/>
      <c r="R283" s="598">
        <v>0</v>
      </c>
      <c r="S283" s="631">
        <v>0</v>
      </c>
      <c r="T283" s="599">
        <v>0</v>
      </c>
      <c r="U283" s="631">
        <v>0</v>
      </c>
      <c r="V283" s="556"/>
      <c r="W283" s="558"/>
      <c r="X283" s="543"/>
    </row>
    <row r="284" spans="1:24" s="544" customFormat="1" x14ac:dyDescent="0.3">
      <c r="A284" s="555"/>
      <c r="B284" s="598" t="s">
        <v>159</v>
      </c>
      <c r="C284" s="556"/>
      <c r="D284" s="556"/>
      <c r="E284" s="556"/>
      <c r="F284" s="556"/>
      <c r="G284" s="556"/>
      <c r="H284" s="632"/>
      <c r="I284" s="632"/>
      <c r="J284" s="632"/>
      <c r="K284" s="632"/>
      <c r="L284" s="632"/>
      <c r="M284" s="632"/>
      <c r="N284" s="632"/>
      <c r="O284" s="632"/>
      <c r="P284" s="632"/>
      <c r="Q284" s="632"/>
      <c r="R284" s="598">
        <v>0</v>
      </c>
      <c r="S284" s="631">
        <v>0</v>
      </c>
      <c r="T284" s="599">
        <v>0</v>
      </c>
      <c r="U284" s="631">
        <v>0</v>
      </c>
      <c r="V284" s="556"/>
      <c r="W284" s="558"/>
      <c r="X284" s="543"/>
    </row>
    <row r="285" spans="1:24" s="544" customFormat="1" x14ac:dyDescent="0.3">
      <c r="A285" s="555"/>
      <c r="B285" s="598" t="s">
        <v>160</v>
      </c>
      <c r="C285" s="556"/>
      <c r="D285" s="556"/>
      <c r="E285" s="556"/>
      <c r="F285" s="556"/>
      <c r="G285" s="556"/>
      <c r="H285" s="632"/>
      <c r="I285" s="632"/>
      <c r="J285" s="632"/>
      <c r="K285" s="632"/>
      <c r="L285" s="632"/>
      <c r="M285" s="632"/>
      <c r="N285" s="632"/>
      <c r="O285" s="632"/>
      <c r="P285" s="632"/>
      <c r="Q285" s="632"/>
      <c r="R285" s="598">
        <v>0</v>
      </c>
      <c r="S285" s="631">
        <v>0</v>
      </c>
      <c r="T285" s="599">
        <v>0</v>
      </c>
      <c r="U285" s="631">
        <v>0</v>
      </c>
      <c r="V285" s="556"/>
      <c r="W285" s="558"/>
      <c r="X285" s="543"/>
    </row>
    <row r="286" spans="1:24" s="544" customFormat="1" x14ac:dyDescent="0.3">
      <c r="A286" s="555"/>
      <c r="B286" s="598"/>
      <c r="C286" s="556"/>
      <c r="D286" s="556"/>
      <c r="E286" s="556"/>
      <c r="F286" s="556"/>
      <c r="G286" s="556"/>
      <c r="H286" s="632"/>
      <c r="I286" s="632"/>
      <c r="J286" s="632"/>
      <c r="K286" s="632"/>
      <c r="L286" s="632"/>
      <c r="M286" s="632"/>
      <c r="N286" s="632"/>
      <c r="O286" s="632"/>
      <c r="P286" s="632"/>
      <c r="Q286" s="632"/>
      <c r="R286" s="598"/>
      <c r="S286" s="631"/>
      <c r="T286" s="599"/>
      <c r="U286" s="631"/>
      <c r="V286" s="556"/>
      <c r="W286" s="558"/>
      <c r="X286" s="543"/>
    </row>
    <row r="287" spans="1:24" s="544" customFormat="1" x14ac:dyDescent="0.3">
      <c r="A287" s="555"/>
      <c r="B287" s="556" t="s">
        <v>114</v>
      </c>
      <c r="C287" s="556"/>
      <c r="D287" s="556"/>
      <c r="E287" s="556"/>
      <c r="F287" s="556"/>
      <c r="G287" s="556"/>
      <c r="H287" s="632"/>
      <c r="I287" s="632"/>
      <c r="J287" s="632"/>
      <c r="K287" s="632"/>
      <c r="L287" s="632"/>
      <c r="M287" s="632"/>
      <c r="N287" s="632"/>
      <c r="O287" s="632"/>
      <c r="P287" s="632"/>
      <c r="Q287" s="632"/>
      <c r="R287" s="598">
        <f>SUM(R278:R285)</f>
        <v>0</v>
      </c>
      <c r="S287" s="631">
        <f>SUM(S278:S286)</f>
        <v>0</v>
      </c>
      <c r="T287" s="599">
        <f>SUM(T278:T285)</f>
        <v>0</v>
      </c>
      <c r="U287" s="631">
        <f>SUM(U278:U286)</f>
        <v>0</v>
      </c>
      <c r="V287" s="556"/>
      <c r="W287" s="558"/>
      <c r="X287" s="543"/>
    </row>
    <row r="288" spans="1:24" s="544" customFormat="1" x14ac:dyDescent="0.3">
      <c r="A288" s="555"/>
      <c r="B288" s="556"/>
      <c r="C288" s="556"/>
      <c r="D288" s="556"/>
      <c r="E288" s="556"/>
      <c r="F288" s="556"/>
      <c r="G288" s="556"/>
      <c r="H288" s="632"/>
      <c r="I288" s="632"/>
      <c r="J288" s="632"/>
      <c r="K288" s="632"/>
      <c r="L288" s="632"/>
      <c r="M288" s="632"/>
      <c r="N288" s="632"/>
      <c r="O288" s="632"/>
      <c r="P288" s="632"/>
      <c r="Q288" s="632"/>
      <c r="R288" s="598"/>
      <c r="S288" s="631"/>
      <c r="T288" s="599"/>
      <c r="U288" s="631"/>
      <c r="V288" s="556"/>
      <c r="W288" s="558"/>
      <c r="X288" s="543"/>
    </row>
    <row r="289" spans="1:24" s="544" customFormat="1" x14ac:dyDescent="0.3">
      <c r="A289" s="555"/>
      <c r="B289" s="561" t="s">
        <v>164</v>
      </c>
      <c r="C289" s="556"/>
      <c r="D289" s="556"/>
      <c r="E289" s="556"/>
      <c r="F289" s="556"/>
      <c r="G289" s="556"/>
      <c r="H289" s="632"/>
      <c r="I289" s="632"/>
      <c r="J289" s="632"/>
      <c r="K289" s="632"/>
      <c r="L289" s="632"/>
      <c r="M289" s="632"/>
      <c r="N289" s="632"/>
      <c r="O289" s="632"/>
      <c r="P289" s="632"/>
      <c r="Q289" s="632"/>
      <c r="R289" s="634">
        <f>R287+R275+R263</f>
        <v>5657</v>
      </c>
      <c r="S289" s="631"/>
      <c r="T289" s="635">
        <f>+T287+T275+T263</f>
        <v>769114</v>
      </c>
      <c r="U289" s="631"/>
      <c r="V289" s="556"/>
      <c r="W289" s="558"/>
      <c r="X289" s="543"/>
    </row>
    <row r="290" spans="1:24" s="544" customFormat="1" x14ac:dyDescent="0.3">
      <c r="A290" s="540"/>
      <c r="B290" s="588"/>
      <c r="C290" s="588"/>
      <c r="D290" s="588"/>
      <c r="E290" s="588"/>
      <c r="F290" s="588"/>
      <c r="G290" s="588"/>
      <c r="H290" s="633"/>
      <c r="I290" s="633"/>
      <c r="J290" s="633"/>
      <c r="K290" s="633"/>
      <c r="L290" s="633"/>
      <c r="M290" s="633"/>
      <c r="N290" s="633"/>
      <c r="O290" s="633"/>
      <c r="P290" s="633"/>
      <c r="Q290" s="633"/>
      <c r="R290" s="633"/>
      <c r="S290" s="633"/>
      <c r="T290" s="601"/>
      <c r="U290" s="633"/>
      <c r="V290" s="588"/>
      <c r="W290" s="588"/>
      <c r="X290" s="543"/>
    </row>
    <row r="291" spans="1:24" s="544" customFormat="1" x14ac:dyDescent="0.3">
      <c r="A291" s="540"/>
      <c r="B291" s="541"/>
      <c r="C291" s="541"/>
      <c r="D291" s="541"/>
      <c r="E291" s="541"/>
      <c r="F291" s="541"/>
      <c r="G291" s="541"/>
      <c r="H291" s="636"/>
      <c r="I291" s="636"/>
      <c r="J291" s="636"/>
      <c r="K291" s="636"/>
      <c r="L291" s="636"/>
      <c r="M291" s="636"/>
      <c r="N291" s="636"/>
      <c r="O291" s="636"/>
      <c r="P291" s="636"/>
      <c r="Q291" s="636"/>
      <c r="R291" s="636"/>
      <c r="S291" s="636"/>
      <c r="T291" s="637"/>
      <c r="U291" s="636"/>
      <c r="V291" s="541"/>
      <c r="W291" s="541"/>
      <c r="X291" s="543"/>
    </row>
    <row r="292" spans="1:24" s="544" customFormat="1" x14ac:dyDescent="0.3">
      <c r="A292" s="540"/>
      <c r="B292" s="539" t="s">
        <v>91</v>
      </c>
      <c r="C292" s="541"/>
      <c r="D292" s="541"/>
      <c r="E292" s="541"/>
      <c r="F292" s="547" t="s">
        <v>97</v>
      </c>
      <c r="G292" s="541"/>
      <c r="H292" s="539" t="s">
        <v>99</v>
      </c>
      <c r="I292" s="539"/>
      <c r="J292" s="539"/>
      <c r="K292" s="541"/>
      <c r="L292" s="541"/>
      <c r="M292" s="541"/>
      <c r="N292" s="541"/>
      <c r="O292" s="541"/>
      <c r="P292" s="541"/>
      <c r="Q292" s="541"/>
      <c r="R292" s="541"/>
      <c r="S292" s="541"/>
      <c r="T292" s="541"/>
      <c r="U292" s="541"/>
      <c r="V292" s="541"/>
      <c r="W292" s="541"/>
      <c r="X292" s="543"/>
    </row>
    <row r="293" spans="1:24" s="544" customFormat="1" x14ac:dyDescent="0.3">
      <c r="A293" s="540"/>
      <c r="B293" s="539" t="s">
        <v>339</v>
      </c>
      <c r="C293" s="539"/>
      <c r="D293" s="539"/>
      <c r="E293" s="539"/>
      <c r="F293" s="638" t="s">
        <v>278</v>
      </c>
      <c r="G293" s="539"/>
      <c r="H293" s="639" t="s">
        <v>372</v>
      </c>
      <c r="I293" s="541"/>
      <c r="J293" s="539"/>
      <c r="K293" s="541"/>
      <c r="L293" s="541"/>
      <c r="M293" s="541"/>
      <c r="N293" s="541"/>
      <c r="O293" s="541"/>
      <c r="P293" s="541"/>
      <c r="Q293" s="541"/>
      <c r="R293" s="541"/>
      <c r="S293" s="541"/>
      <c r="T293" s="541"/>
      <c r="U293" s="541"/>
      <c r="V293" s="541"/>
      <c r="W293" s="541"/>
      <c r="X293" s="543"/>
    </row>
    <row r="294" spans="1:24" s="544" customFormat="1" x14ac:dyDescent="0.3">
      <c r="A294" s="540"/>
      <c r="B294" s="539" t="s">
        <v>340</v>
      </c>
      <c r="C294" s="539"/>
      <c r="D294" s="539"/>
      <c r="E294" s="539"/>
      <c r="F294" s="638" t="s">
        <v>147</v>
      </c>
      <c r="G294" s="539"/>
      <c r="H294" s="639" t="s">
        <v>373</v>
      </c>
      <c r="I294" s="539"/>
      <c r="J294" s="539"/>
      <c r="K294" s="541"/>
      <c r="L294" s="541"/>
      <c r="M294" s="541"/>
      <c r="N294" s="541"/>
      <c r="O294" s="541"/>
      <c r="P294" s="541"/>
      <c r="Q294" s="541"/>
      <c r="R294" s="541"/>
      <c r="S294" s="541"/>
      <c r="T294" s="541"/>
      <c r="U294" s="541"/>
      <c r="V294" s="541"/>
      <c r="W294" s="541"/>
      <c r="X294" s="543"/>
    </row>
    <row r="295" spans="1:24" s="544" customFormat="1" x14ac:dyDescent="0.3">
      <c r="A295" s="540"/>
      <c r="B295" s="539"/>
      <c r="C295" s="539"/>
      <c r="D295" s="539"/>
      <c r="E295" s="539"/>
      <c r="F295" s="638"/>
      <c r="G295" s="539"/>
      <c r="H295" s="539"/>
      <c r="I295" s="539"/>
      <c r="J295" s="539"/>
      <c r="K295" s="541"/>
      <c r="L295" s="541"/>
      <c r="M295" s="541"/>
      <c r="N295" s="541"/>
      <c r="O295" s="541"/>
      <c r="P295" s="541"/>
      <c r="Q295" s="541"/>
      <c r="R295" s="541"/>
      <c r="S295" s="541"/>
      <c r="T295" s="541"/>
      <c r="U295" s="541"/>
      <c r="V295" s="541"/>
      <c r="W295" s="541"/>
      <c r="X295" s="543"/>
    </row>
    <row r="296" spans="1:24" s="544" customFormat="1" x14ac:dyDescent="0.3">
      <c r="A296" s="540"/>
      <c r="B296" s="588" t="s">
        <v>368</v>
      </c>
      <c r="C296" s="539"/>
      <c r="D296" s="539"/>
      <c r="E296" s="539"/>
      <c r="F296" s="638"/>
      <c r="G296" s="539"/>
      <c r="H296" s="539"/>
      <c r="I296" s="539"/>
      <c r="J296" s="539"/>
      <c r="K296" s="541"/>
      <c r="L296" s="541"/>
      <c r="M296" s="541"/>
      <c r="N296" s="541"/>
      <c r="O296" s="541"/>
      <c r="P296" s="541"/>
      <c r="Q296" s="541"/>
      <c r="R296" s="541"/>
      <c r="S296" s="541"/>
      <c r="T296" s="541"/>
      <c r="U296" s="541"/>
      <c r="V296" s="541"/>
      <c r="W296" s="541"/>
      <c r="X296" s="543"/>
    </row>
    <row r="297" spans="1:24" s="544" customFormat="1" x14ac:dyDescent="0.3">
      <c r="A297" s="540"/>
      <c r="B297" s="588" t="s">
        <v>374</v>
      </c>
      <c r="C297" s="539"/>
      <c r="D297" s="539"/>
      <c r="E297" s="539"/>
      <c r="F297" s="638"/>
      <c r="G297" s="539"/>
      <c r="H297" s="539"/>
      <c r="I297" s="539"/>
      <c r="J297" s="539"/>
      <c r="K297" s="541"/>
      <c r="L297" s="541"/>
      <c r="M297" s="541"/>
      <c r="N297" s="541"/>
      <c r="O297" s="541"/>
      <c r="P297" s="541"/>
      <c r="Q297" s="541"/>
      <c r="R297" s="541"/>
      <c r="S297" s="541"/>
      <c r="T297" s="541"/>
      <c r="U297" s="541"/>
      <c r="V297" s="541"/>
      <c r="W297" s="541"/>
      <c r="X297" s="543"/>
    </row>
    <row r="298" spans="1:24" s="544" customFormat="1" x14ac:dyDescent="0.3">
      <c r="A298" s="540"/>
      <c r="B298" s="588" t="s">
        <v>365</v>
      </c>
      <c r="C298" s="539"/>
      <c r="D298" s="539"/>
      <c r="E298" s="539"/>
      <c r="F298" s="638"/>
      <c r="G298" s="539"/>
      <c r="H298" s="539"/>
      <c r="I298" s="539"/>
      <c r="J298" s="539"/>
      <c r="K298" s="541"/>
      <c r="L298" s="541"/>
      <c r="M298" s="541"/>
      <c r="N298" s="541"/>
      <c r="O298" s="541"/>
      <c r="P298" s="541"/>
      <c r="Q298" s="541"/>
      <c r="R298" s="541"/>
      <c r="S298" s="541"/>
      <c r="T298" s="541"/>
      <c r="U298" s="541"/>
      <c r="V298" s="541"/>
      <c r="W298" s="541"/>
      <c r="X298" s="543"/>
    </row>
    <row r="299" spans="1:24" s="544" customFormat="1" x14ac:dyDescent="0.3">
      <c r="A299" s="540"/>
      <c r="B299" s="588" t="s">
        <v>366</v>
      </c>
      <c r="C299" s="539"/>
      <c r="D299" s="539"/>
      <c r="E299" s="539"/>
      <c r="F299" s="638"/>
      <c r="G299" s="539"/>
      <c r="H299" s="539"/>
      <c r="I299" s="539"/>
      <c r="J299" s="539"/>
      <c r="K299" s="541"/>
      <c r="L299" s="541"/>
      <c r="M299" s="541"/>
      <c r="N299" s="541"/>
      <c r="O299" s="541"/>
      <c r="P299" s="541"/>
      <c r="Q299" s="541"/>
      <c r="R299" s="541"/>
      <c r="S299" s="541"/>
      <c r="T299" s="541"/>
      <c r="U299" s="541"/>
      <c r="V299" s="541"/>
      <c r="W299" s="541"/>
      <c r="X299" s="543"/>
    </row>
    <row r="300" spans="1:24" x14ac:dyDescent="0.3">
      <c r="A300" s="417"/>
      <c r="B300" s="426"/>
      <c r="C300" s="426"/>
      <c r="D300" s="426"/>
      <c r="E300" s="426"/>
      <c r="F300" s="489"/>
      <c r="G300" s="426"/>
      <c r="H300" s="426"/>
      <c r="I300" s="426"/>
      <c r="J300" s="426"/>
      <c r="K300" s="427"/>
      <c r="L300" s="427"/>
      <c r="M300" s="427"/>
      <c r="N300" s="427"/>
      <c r="O300" s="427"/>
      <c r="P300" s="427"/>
      <c r="Q300" s="427"/>
      <c r="R300" s="427"/>
      <c r="S300" s="427"/>
      <c r="T300" s="427"/>
      <c r="U300" s="427"/>
      <c r="V300" s="427"/>
      <c r="W300" s="427"/>
      <c r="X300" s="415"/>
    </row>
    <row r="301" spans="1:24" ht="18" x14ac:dyDescent="0.35">
      <c r="A301" s="417"/>
      <c r="B301" s="514" t="s">
        <v>369</v>
      </c>
      <c r="C301" s="426"/>
      <c r="D301" s="426"/>
      <c r="E301" s="426"/>
      <c r="F301" s="426"/>
      <c r="G301" s="426"/>
      <c r="H301" s="427"/>
      <c r="I301" s="427"/>
      <c r="J301" s="427"/>
      <c r="K301" s="427"/>
      <c r="L301" s="419"/>
      <c r="M301" s="419"/>
      <c r="N301" s="490"/>
      <c r="O301" s="419"/>
      <c r="P301" s="412" t="s">
        <v>371</v>
      </c>
      <c r="Q301" s="427"/>
      <c r="R301" s="427"/>
      <c r="S301" s="427"/>
      <c r="T301" s="427"/>
      <c r="U301" s="427"/>
      <c r="V301" s="427"/>
      <c r="W301" s="427"/>
      <c r="X301" s="415"/>
    </row>
    <row r="302" spans="1:24" x14ac:dyDescent="0.3">
      <c r="A302" s="417"/>
      <c r="B302" s="426"/>
      <c r="C302" s="426"/>
      <c r="D302" s="426"/>
      <c r="E302" s="426"/>
      <c r="F302" s="426"/>
      <c r="G302" s="426"/>
      <c r="H302" s="427"/>
      <c r="I302" s="427"/>
      <c r="J302" s="427"/>
      <c r="K302" s="427"/>
      <c r="L302" s="427"/>
      <c r="M302" s="427"/>
      <c r="N302" s="427"/>
      <c r="O302" s="427"/>
      <c r="P302" s="427"/>
      <c r="Q302" s="427"/>
      <c r="R302" s="427"/>
      <c r="S302" s="427"/>
      <c r="T302" s="427"/>
      <c r="U302" s="427"/>
      <c r="V302" s="427"/>
      <c r="W302" s="427"/>
      <c r="X302" s="415"/>
    </row>
    <row r="303" spans="1:24" ht="18.600000000000001" thickBot="1" x14ac:dyDescent="0.4">
      <c r="A303" s="417"/>
      <c r="B303" s="640" t="str">
        <f>B203</f>
        <v>PM14 INVESTOR REPORT QUARTER ENDING MAY 2019</v>
      </c>
      <c r="C303" s="426"/>
      <c r="D303" s="426"/>
      <c r="E303" s="426"/>
      <c r="F303" s="426"/>
      <c r="G303" s="426"/>
      <c r="H303" s="427"/>
      <c r="I303" s="427"/>
      <c r="J303" s="427"/>
      <c r="K303" s="427"/>
      <c r="L303" s="427"/>
      <c r="M303" s="427"/>
      <c r="N303" s="427"/>
      <c r="O303" s="427"/>
      <c r="P303" s="427"/>
      <c r="Q303" s="427"/>
      <c r="R303" s="427"/>
      <c r="S303" s="427"/>
      <c r="T303" s="427"/>
      <c r="U303" s="427"/>
      <c r="V303" s="427"/>
      <c r="W303" s="427"/>
      <c r="X303" s="415"/>
    </row>
    <row r="304" spans="1:24" x14ac:dyDescent="0.3">
      <c r="A304" s="491"/>
      <c r="B304" s="491"/>
      <c r="C304" s="491"/>
      <c r="D304" s="491"/>
      <c r="E304" s="491"/>
      <c r="F304" s="491"/>
      <c r="G304" s="491"/>
      <c r="H304" s="491"/>
      <c r="I304" s="491"/>
      <c r="J304" s="491"/>
      <c r="K304" s="491"/>
      <c r="L304" s="491"/>
      <c r="M304" s="491"/>
      <c r="N304" s="491"/>
      <c r="O304" s="491"/>
      <c r="P304" s="491"/>
      <c r="Q304" s="491"/>
      <c r="R304" s="491"/>
      <c r="S304" s="491"/>
      <c r="T304" s="491"/>
      <c r="U304" s="491"/>
      <c r="V304" s="491"/>
      <c r="W304" s="491"/>
    </row>
  </sheetData>
  <hyperlinks>
    <hyperlink ref="I9" r:id="rId1" xr:uid="{00000000-0004-0000-2F00-000000000000}"/>
    <hyperlink ref="P239" r:id="rId2" xr:uid="{00000000-0004-0000-2F00-000001000000}"/>
    <hyperlink ref="P301" r:id="rId3" xr:uid="{00000000-0004-0000-2F00-000002000000}"/>
  </hyperlinks>
  <printOptions horizontalCentered="1" verticalCentered="1"/>
  <pageMargins left="0.19685039370078741" right="0.19685039370078741" top="0.27559055118110237" bottom="0.27559055118110237" header="0" footer="0"/>
  <pageSetup scale="37" orientation="landscape" r:id="rId4"/>
  <headerFooter alignWithMargins="0"/>
  <rowBreaks count="3" manualBreakCount="3">
    <brk id="63" max="23" man="1"/>
    <brk id="137" max="14" man="1"/>
    <brk id="203" max="14" man="1"/>
  </rowBreaks>
  <drawing r:id="rId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1D20A-7F1A-495B-A316-E8A6D523FF83}">
  <sheetPr>
    <tabColor theme="1"/>
  </sheetPr>
  <dimension ref="A1:IV307"/>
  <sheetViews>
    <sheetView showGridLines="0" showOutlineSymbols="0" zoomScale="70" zoomScaleNormal="70" workbookViewId="0"/>
  </sheetViews>
  <sheetFormatPr defaultColWidth="9.81640625" defaultRowHeight="15.6" x14ac:dyDescent="0.3"/>
  <cols>
    <col min="1" max="1" width="4" style="416" customWidth="1"/>
    <col min="2" max="2" width="71.08984375" style="416" customWidth="1"/>
    <col min="3" max="3" width="2.08984375" style="416" customWidth="1"/>
    <col min="4" max="4" width="19.1796875" style="416" customWidth="1"/>
    <col min="5" max="5" width="2.08984375" style="416" customWidth="1"/>
    <col min="6" max="6" width="25.08984375" style="416" customWidth="1"/>
    <col min="7" max="7" width="2.08984375" style="416" customWidth="1"/>
    <col min="8" max="8" width="16.08984375" style="416" customWidth="1"/>
    <col min="9" max="9" width="2.81640625" style="416" customWidth="1"/>
    <col min="10" max="10" width="16.08984375" style="416" customWidth="1"/>
    <col min="11" max="11" width="2.08984375" style="416" customWidth="1"/>
    <col min="12" max="12" width="17.81640625" style="416" customWidth="1"/>
    <col min="13" max="13" width="2.1796875" style="416" customWidth="1"/>
    <col min="14" max="14" width="14.81640625" style="416" customWidth="1"/>
    <col min="15" max="15" width="2.1796875" style="416" customWidth="1"/>
    <col min="16" max="16" width="15.54296875" style="416" customWidth="1"/>
    <col min="17" max="17" width="2.08984375" style="416" customWidth="1"/>
    <col min="18" max="18" width="15.54296875" style="416" customWidth="1"/>
    <col min="19" max="20" width="12.81640625" style="416" customWidth="1"/>
    <col min="21" max="21" width="7.81640625" style="416" customWidth="1"/>
    <col min="22" max="22" width="14.81640625" style="416" customWidth="1"/>
    <col min="23" max="23" width="11.81640625" style="416" customWidth="1"/>
    <col min="24" max="16384" width="9.81640625" style="416"/>
  </cols>
  <sheetData>
    <row r="1" spans="1:24" ht="21" x14ac:dyDescent="0.4">
      <c r="A1" s="413"/>
      <c r="B1" s="537" t="s">
        <v>244</v>
      </c>
      <c r="C1" s="414"/>
      <c r="D1" s="414"/>
      <c r="E1" s="414"/>
      <c r="F1" s="414"/>
      <c r="G1" s="414"/>
      <c r="H1" s="414"/>
      <c r="I1" s="414"/>
      <c r="J1" s="414"/>
      <c r="K1" s="414"/>
      <c r="L1" s="414"/>
      <c r="M1" s="414"/>
      <c r="N1" s="414"/>
      <c r="O1" s="414"/>
      <c r="P1" s="414"/>
      <c r="Q1" s="414"/>
      <c r="R1" s="414"/>
      <c r="S1" s="414"/>
      <c r="T1" s="414"/>
      <c r="U1" s="414"/>
      <c r="V1" s="414"/>
      <c r="W1" s="414"/>
      <c r="X1" s="415"/>
    </row>
    <row r="2" spans="1:24" x14ac:dyDescent="0.3">
      <c r="A2" s="417"/>
      <c r="B2" s="418"/>
      <c r="C2" s="419"/>
      <c r="D2" s="419"/>
      <c r="E2" s="419"/>
      <c r="F2" s="419"/>
      <c r="G2" s="419"/>
      <c r="H2" s="419"/>
      <c r="I2" s="419"/>
      <c r="J2" s="419"/>
      <c r="K2" s="419"/>
      <c r="L2" s="419"/>
      <c r="M2" s="419"/>
      <c r="N2" s="419"/>
      <c r="O2" s="419"/>
      <c r="P2" s="419"/>
      <c r="Q2" s="419"/>
      <c r="R2" s="419"/>
      <c r="S2" s="419"/>
      <c r="T2" s="419"/>
      <c r="U2" s="419"/>
      <c r="V2" s="419"/>
      <c r="W2" s="419"/>
      <c r="X2" s="415"/>
    </row>
    <row r="3" spans="1:24" x14ac:dyDescent="0.3">
      <c r="A3" s="420"/>
      <c r="B3" s="421" t="s">
        <v>245</v>
      </c>
      <c r="C3" s="419"/>
      <c r="D3" s="419"/>
      <c r="E3" s="419"/>
      <c r="F3" s="419"/>
      <c r="G3" s="419"/>
      <c r="H3" s="419"/>
      <c r="I3" s="419"/>
      <c r="J3" s="419"/>
      <c r="K3" s="419"/>
      <c r="L3" s="419"/>
      <c r="M3" s="419"/>
      <c r="N3" s="419"/>
      <c r="O3" s="419"/>
      <c r="P3" s="419"/>
      <c r="Q3" s="419"/>
      <c r="R3" s="419"/>
      <c r="S3" s="419"/>
      <c r="T3" s="419"/>
      <c r="U3" s="419"/>
      <c r="V3" s="419"/>
      <c r="W3" s="419"/>
      <c r="X3" s="415"/>
    </row>
    <row r="4" spans="1:24" x14ac:dyDescent="0.3">
      <c r="A4" s="417"/>
      <c r="B4" s="418"/>
      <c r="C4" s="419"/>
      <c r="D4" s="419"/>
      <c r="E4" s="419"/>
      <c r="F4" s="419"/>
      <c r="G4" s="419"/>
      <c r="H4" s="419"/>
      <c r="I4" s="419"/>
      <c r="J4" s="419"/>
      <c r="K4" s="419"/>
      <c r="L4" s="419"/>
      <c r="M4" s="419"/>
      <c r="N4" s="419"/>
      <c r="O4" s="419"/>
      <c r="P4" s="419"/>
      <c r="Q4" s="419"/>
      <c r="R4" s="419"/>
      <c r="S4" s="419"/>
      <c r="T4" s="419"/>
      <c r="U4" s="419"/>
      <c r="V4" s="419"/>
      <c r="W4" s="419"/>
      <c r="X4" s="415"/>
    </row>
    <row r="5" spans="1:24" x14ac:dyDescent="0.3">
      <c r="A5" s="417"/>
      <c r="B5" s="538" t="s">
        <v>137</v>
      </c>
      <c r="C5" s="419"/>
      <c r="D5" s="419"/>
      <c r="E5" s="419"/>
      <c r="F5" s="419"/>
      <c r="G5" s="419"/>
      <c r="H5" s="419"/>
      <c r="I5" s="419"/>
      <c r="J5" s="419"/>
      <c r="K5" s="419"/>
      <c r="L5" s="419"/>
      <c r="M5" s="419"/>
      <c r="N5" s="419"/>
      <c r="O5" s="419"/>
      <c r="P5" s="419"/>
      <c r="Q5" s="419"/>
      <c r="R5" s="419"/>
      <c r="S5" s="419"/>
      <c r="T5" s="419"/>
      <c r="U5" s="419"/>
      <c r="V5" s="419"/>
      <c r="W5" s="419"/>
      <c r="X5" s="415"/>
    </row>
    <row r="6" spans="1:24" x14ac:dyDescent="0.3">
      <c r="A6" s="417"/>
      <c r="B6" s="538" t="s">
        <v>139</v>
      </c>
      <c r="C6" s="419"/>
      <c r="D6" s="419"/>
      <c r="E6" s="419"/>
      <c r="F6" s="419"/>
      <c r="G6" s="419"/>
      <c r="H6" s="419"/>
      <c r="I6" s="419"/>
      <c r="J6" s="419"/>
      <c r="K6" s="419"/>
      <c r="L6" s="419"/>
      <c r="M6" s="419"/>
      <c r="N6" s="419"/>
      <c r="O6" s="419"/>
      <c r="P6" s="419"/>
      <c r="Q6" s="419"/>
      <c r="R6" s="419"/>
      <c r="S6" s="419"/>
      <c r="T6" s="419"/>
      <c r="U6" s="419"/>
      <c r="V6" s="419"/>
      <c r="W6" s="419"/>
      <c r="X6" s="415"/>
    </row>
    <row r="7" spans="1:24" x14ac:dyDescent="0.3">
      <c r="A7" s="417"/>
      <c r="B7" s="538" t="s">
        <v>138</v>
      </c>
      <c r="C7" s="419"/>
      <c r="D7" s="419"/>
      <c r="E7" s="419"/>
      <c r="F7" s="419"/>
      <c r="G7" s="419"/>
      <c r="H7" s="419"/>
      <c r="I7" s="419"/>
      <c r="J7" s="419"/>
      <c r="K7" s="419"/>
      <c r="L7" s="419"/>
      <c r="M7" s="419"/>
      <c r="N7" s="419"/>
      <c r="O7" s="419"/>
      <c r="P7" s="419"/>
      <c r="Q7" s="419"/>
      <c r="R7" s="419"/>
      <c r="S7" s="419"/>
      <c r="T7" s="419"/>
      <c r="U7" s="419"/>
      <c r="V7" s="419"/>
      <c r="W7" s="419"/>
      <c r="X7" s="415"/>
    </row>
    <row r="8" spans="1:24" x14ac:dyDescent="0.3">
      <c r="A8" s="417"/>
      <c r="B8" s="422"/>
      <c r="C8" s="419"/>
      <c r="D8" s="419"/>
      <c r="E8" s="419"/>
      <c r="F8" s="419"/>
      <c r="G8" s="419"/>
      <c r="H8" s="419"/>
      <c r="I8" s="419"/>
      <c r="J8" s="419"/>
      <c r="K8" s="419"/>
      <c r="L8" s="419"/>
      <c r="M8" s="419"/>
      <c r="N8" s="419"/>
      <c r="O8" s="419"/>
      <c r="P8" s="419"/>
      <c r="Q8" s="419"/>
      <c r="R8" s="419"/>
      <c r="S8" s="419"/>
      <c r="T8" s="419"/>
      <c r="U8" s="419"/>
      <c r="V8" s="419"/>
      <c r="W8" s="419"/>
      <c r="X8" s="415"/>
    </row>
    <row r="9" spans="1:24" ht="18" x14ac:dyDescent="0.35">
      <c r="A9" s="417"/>
      <c r="B9" s="423" t="s">
        <v>166</v>
      </c>
      <c r="C9" s="419"/>
      <c r="D9" s="419"/>
      <c r="E9" s="419"/>
      <c r="F9" s="419"/>
      <c r="G9" s="419"/>
      <c r="H9" s="419"/>
      <c r="I9" s="412" t="s">
        <v>371</v>
      </c>
      <c r="J9" s="419"/>
      <c r="K9" s="419"/>
      <c r="L9" s="424"/>
      <c r="M9" s="419"/>
      <c r="N9" s="424"/>
      <c r="O9" s="419"/>
      <c r="P9" s="419"/>
      <c r="Q9" s="419"/>
      <c r="R9" s="419"/>
      <c r="S9" s="419"/>
      <c r="T9" s="419"/>
      <c r="U9" s="419"/>
      <c r="V9" s="419"/>
      <c r="W9" s="419"/>
      <c r="X9" s="415"/>
    </row>
    <row r="10" spans="1:24" x14ac:dyDescent="0.3">
      <c r="A10" s="417"/>
      <c r="B10" s="422"/>
      <c r="C10" s="425"/>
      <c r="D10" s="425"/>
      <c r="E10" s="425"/>
      <c r="F10" s="419"/>
      <c r="G10" s="419"/>
      <c r="H10" s="419"/>
      <c r="I10" s="419"/>
      <c r="J10" s="419"/>
      <c r="K10" s="419"/>
      <c r="L10" s="419"/>
      <c r="M10" s="419"/>
      <c r="N10" s="419"/>
      <c r="O10" s="419"/>
      <c r="P10" s="419"/>
      <c r="Q10" s="419"/>
      <c r="R10" s="419"/>
      <c r="S10" s="419"/>
      <c r="T10" s="419"/>
      <c r="U10" s="419"/>
      <c r="V10" s="419"/>
      <c r="W10" s="419"/>
      <c r="X10" s="415"/>
    </row>
    <row r="11" spans="1:24" x14ac:dyDescent="0.3">
      <c r="A11" s="417"/>
      <c r="B11" s="539" t="s">
        <v>0</v>
      </c>
      <c r="C11" s="419"/>
      <c r="D11" s="419"/>
      <c r="E11" s="419"/>
      <c r="F11" s="419"/>
      <c r="G11" s="419"/>
      <c r="H11" s="419"/>
      <c r="I11" s="419"/>
      <c r="J11" s="419"/>
      <c r="K11" s="419"/>
      <c r="L11" s="419"/>
      <c r="M11" s="419"/>
      <c r="N11" s="419"/>
      <c r="O11" s="419"/>
      <c r="P11" s="419"/>
      <c r="Q11" s="419"/>
      <c r="R11" s="419"/>
      <c r="S11" s="419"/>
      <c r="T11" s="419"/>
      <c r="U11" s="419"/>
      <c r="V11" s="419"/>
      <c r="W11" s="419"/>
      <c r="X11" s="415"/>
    </row>
    <row r="12" spans="1:24" ht="16.2" thickBot="1" x14ac:dyDescent="0.35">
      <c r="A12" s="417"/>
      <c r="B12" s="425"/>
      <c r="C12" s="419"/>
      <c r="D12" s="419"/>
      <c r="E12" s="419"/>
      <c r="F12" s="419"/>
      <c r="G12" s="419"/>
      <c r="H12" s="419"/>
      <c r="I12" s="419"/>
      <c r="J12" s="419"/>
      <c r="K12" s="419"/>
      <c r="L12" s="419"/>
      <c r="M12" s="419"/>
      <c r="N12" s="419"/>
      <c r="O12" s="419"/>
      <c r="P12" s="419"/>
      <c r="Q12" s="419"/>
      <c r="R12" s="419"/>
      <c r="S12" s="419"/>
      <c r="T12" s="419"/>
      <c r="U12" s="419"/>
      <c r="V12" s="419"/>
      <c r="W12" s="419"/>
      <c r="X12" s="415"/>
    </row>
    <row r="13" spans="1:24" x14ac:dyDescent="0.3">
      <c r="A13" s="413"/>
      <c r="B13" s="414"/>
      <c r="C13" s="414"/>
      <c r="D13" s="414"/>
      <c r="E13" s="414"/>
      <c r="F13" s="414"/>
      <c r="G13" s="414"/>
      <c r="H13" s="414"/>
      <c r="I13" s="414"/>
      <c r="J13" s="414"/>
      <c r="K13" s="414"/>
      <c r="L13" s="414"/>
      <c r="M13" s="414"/>
      <c r="N13" s="414"/>
      <c r="O13" s="414"/>
      <c r="P13" s="414"/>
      <c r="Q13" s="414"/>
      <c r="R13" s="414"/>
      <c r="S13" s="414"/>
      <c r="T13" s="414"/>
      <c r="U13" s="414"/>
      <c r="V13" s="414"/>
      <c r="W13" s="414"/>
      <c r="X13" s="415"/>
    </row>
    <row r="14" spans="1:24" s="544" customFormat="1" x14ac:dyDescent="0.3">
      <c r="A14" s="540"/>
      <c r="B14" s="539" t="s">
        <v>1</v>
      </c>
      <c r="C14" s="541"/>
      <c r="D14" s="541"/>
      <c r="E14" s="541"/>
      <c r="F14" s="541"/>
      <c r="G14" s="541"/>
      <c r="H14" s="541"/>
      <c r="I14" s="541"/>
      <c r="J14" s="541"/>
      <c r="K14" s="541"/>
      <c r="L14" s="541"/>
      <c r="M14" s="541"/>
      <c r="N14" s="541"/>
      <c r="O14" s="541"/>
      <c r="P14" s="541"/>
      <c r="Q14" s="541"/>
      <c r="R14" s="541"/>
      <c r="S14" s="541"/>
      <c r="T14" s="541"/>
      <c r="U14" s="541"/>
      <c r="V14" s="542" t="s">
        <v>246</v>
      </c>
      <c r="W14" s="541"/>
      <c r="X14" s="543"/>
    </row>
    <row r="15" spans="1:24" s="544" customFormat="1" x14ac:dyDescent="0.3">
      <c r="A15" s="540"/>
      <c r="B15" s="539" t="s">
        <v>2</v>
      </c>
      <c r="C15" s="541"/>
      <c r="D15" s="541"/>
      <c r="E15" s="541"/>
      <c r="F15" s="541"/>
      <c r="G15" s="541"/>
      <c r="H15" s="545"/>
      <c r="I15" s="545"/>
      <c r="J15" s="545"/>
      <c r="K15" s="545"/>
      <c r="L15" s="545"/>
      <c r="M15" s="545"/>
      <c r="N15" s="545"/>
      <c r="O15" s="545"/>
      <c r="P15" s="545"/>
      <c r="Q15" s="545"/>
      <c r="R15" s="545" t="s">
        <v>104</v>
      </c>
      <c r="S15" s="546">
        <v>0.38300000000000001</v>
      </c>
      <c r="T15" s="547" t="s">
        <v>140</v>
      </c>
      <c r="U15" s="546">
        <v>0.61699999999999999</v>
      </c>
      <c r="V15" s="542"/>
      <c r="W15" s="541"/>
      <c r="X15" s="543"/>
    </row>
    <row r="16" spans="1:24" s="544" customFormat="1" x14ac:dyDescent="0.3">
      <c r="A16" s="540"/>
      <c r="B16" s="539" t="s">
        <v>3</v>
      </c>
      <c r="C16" s="541"/>
      <c r="D16" s="541"/>
      <c r="E16" s="541"/>
      <c r="F16" s="541"/>
      <c r="G16" s="541"/>
      <c r="H16" s="545"/>
      <c r="I16" s="545"/>
      <c r="J16" s="545"/>
      <c r="K16" s="545"/>
      <c r="L16" s="545"/>
      <c r="M16" s="545"/>
      <c r="N16" s="545"/>
      <c r="O16" s="545"/>
      <c r="P16" s="545"/>
      <c r="Q16" s="545"/>
      <c r="R16" s="545" t="s">
        <v>104</v>
      </c>
      <c r="S16" s="546">
        <v>0.51049999999999995</v>
      </c>
      <c r="T16" s="547" t="s">
        <v>140</v>
      </c>
      <c r="U16" s="546">
        <v>0.48949999999999999</v>
      </c>
      <c r="V16" s="542"/>
      <c r="W16" s="541"/>
      <c r="X16" s="543"/>
    </row>
    <row r="17" spans="1:24" s="544" customFormat="1" x14ac:dyDescent="0.3">
      <c r="A17" s="540"/>
      <c r="B17" s="539" t="s">
        <v>4</v>
      </c>
      <c r="C17" s="541"/>
      <c r="D17" s="541"/>
      <c r="E17" s="541"/>
      <c r="F17" s="541"/>
      <c r="G17" s="541"/>
      <c r="H17" s="541"/>
      <c r="I17" s="541"/>
      <c r="J17" s="541"/>
      <c r="K17" s="541"/>
      <c r="L17" s="541"/>
      <c r="M17" s="541"/>
      <c r="N17" s="541"/>
      <c r="O17" s="541"/>
      <c r="P17" s="541"/>
      <c r="Q17" s="541"/>
      <c r="R17" s="541"/>
      <c r="S17" s="541"/>
      <c r="T17" s="541"/>
      <c r="U17" s="541"/>
      <c r="V17" s="548">
        <v>39163</v>
      </c>
      <c r="W17" s="541"/>
      <c r="X17" s="543"/>
    </row>
    <row r="18" spans="1:24" s="544" customFormat="1" x14ac:dyDescent="0.3">
      <c r="A18" s="540"/>
      <c r="B18" s="539" t="s">
        <v>5</v>
      </c>
      <c r="C18" s="541"/>
      <c r="D18" s="541"/>
      <c r="E18" s="541"/>
      <c r="F18" s="541"/>
      <c r="G18" s="541"/>
      <c r="H18" s="541"/>
      <c r="I18" s="541"/>
      <c r="J18" s="541"/>
      <c r="K18" s="541"/>
      <c r="L18" s="541"/>
      <c r="M18" s="541"/>
      <c r="N18" s="541"/>
      <c r="O18" s="541"/>
      <c r="P18" s="541"/>
      <c r="Q18" s="541"/>
      <c r="R18" s="541"/>
      <c r="S18" s="541"/>
      <c r="T18" s="541"/>
      <c r="U18" s="541"/>
      <c r="V18" s="548">
        <v>43726</v>
      </c>
      <c r="W18" s="541"/>
      <c r="X18" s="543"/>
    </row>
    <row r="19" spans="1:24" s="544" customFormat="1" x14ac:dyDescent="0.3">
      <c r="A19" s="540"/>
      <c r="B19" s="541"/>
      <c r="C19" s="541"/>
      <c r="D19" s="541"/>
      <c r="E19" s="541"/>
      <c r="F19" s="541"/>
      <c r="G19" s="541"/>
      <c r="H19" s="541"/>
      <c r="I19" s="541"/>
      <c r="J19" s="541"/>
      <c r="K19" s="541"/>
      <c r="L19" s="541"/>
      <c r="M19" s="541"/>
      <c r="N19" s="541"/>
      <c r="O19" s="541"/>
      <c r="P19" s="541"/>
      <c r="Q19" s="541"/>
      <c r="R19" s="541"/>
      <c r="S19" s="541"/>
      <c r="T19" s="541"/>
      <c r="U19" s="541"/>
      <c r="V19" s="549"/>
      <c r="W19" s="541"/>
      <c r="X19" s="543"/>
    </row>
    <row r="20" spans="1:24" s="544" customFormat="1" x14ac:dyDescent="0.3">
      <c r="A20" s="540"/>
      <c r="B20" s="550" t="s">
        <v>6</v>
      </c>
      <c r="C20" s="541"/>
      <c r="D20" s="541"/>
      <c r="E20" s="541"/>
      <c r="F20" s="541"/>
      <c r="G20" s="541"/>
      <c r="H20" s="541"/>
      <c r="I20" s="541"/>
      <c r="J20" s="541"/>
      <c r="K20" s="541"/>
      <c r="L20" s="541"/>
      <c r="M20" s="541"/>
      <c r="N20" s="541"/>
      <c r="O20" s="541"/>
      <c r="P20" s="541"/>
      <c r="Q20" s="541"/>
      <c r="R20" s="541"/>
      <c r="S20" s="541"/>
      <c r="T20" s="549" t="s">
        <v>105</v>
      </c>
      <c r="U20" s="541"/>
      <c r="V20" s="541"/>
      <c r="W20" s="541"/>
      <c r="X20" s="543"/>
    </row>
    <row r="21" spans="1:24" x14ac:dyDescent="0.3">
      <c r="A21" s="417"/>
      <c r="B21" s="419"/>
      <c r="C21" s="419"/>
      <c r="D21" s="419"/>
      <c r="E21" s="419"/>
      <c r="F21" s="419"/>
      <c r="G21" s="419"/>
      <c r="H21" s="419"/>
      <c r="I21" s="419"/>
      <c r="J21" s="419"/>
      <c r="K21" s="419"/>
      <c r="L21" s="419"/>
      <c r="M21" s="419"/>
      <c r="N21" s="419"/>
      <c r="O21" s="419"/>
      <c r="P21" s="419"/>
      <c r="Q21" s="419"/>
      <c r="R21" s="419"/>
      <c r="S21" s="419"/>
      <c r="T21" s="419"/>
      <c r="U21" s="419"/>
      <c r="V21" s="430"/>
      <c r="W21" s="419"/>
      <c r="X21" s="415"/>
    </row>
    <row r="22" spans="1:24" x14ac:dyDescent="0.3">
      <c r="A22" s="515"/>
      <c r="B22" s="517"/>
      <c r="C22" s="518"/>
      <c r="D22" s="518" t="s">
        <v>177</v>
      </c>
      <c r="E22" s="518"/>
      <c r="F22" s="518" t="s">
        <v>178</v>
      </c>
      <c r="G22" s="518"/>
      <c r="H22" s="518" t="s">
        <v>179</v>
      </c>
      <c r="I22" s="518"/>
      <c r="J22" s="518" t="s">
        <v>220</v>
      </c>
      <c r="K22" s="518"/>
      <c r="L22" s="518" t="s">
        <v>180</v>
      </c>
      <c r="M22" s="518"/>
      <c r="N22" s="518" t="s">
        <v>181</v>
      </c>
      <c r="O22" s="518"/>
      <c r="P22" s="518" t="s">
        <v>221</v>
      </c>
      <c r="Q22" s="518"/>
      <c r="R22" s="518" t="s">
        <v>182</v>
      </c>
      <c r="S22" s="519"/>
      <c r="T22" s="519"/>
      <c r="U22" s="517"/>
      <c r="V22" s="517"/>
      <c r="W22" s="520"/>
      <c r="X22" s="415"/>
    </row>
    <row r="23" spans="1:24" s="544" customFormat="1" x14ac:dyDescent="0.3">
      <c r="A23" s="551"/>
      <c r="B23" s="552" t="s">
        <v>7</v>
      </c>
      <c r="C23" s="553"/>
      <c r="D23" s="553" t="s">
        <v>213</v>
      </c>
      <c r="E23" s="553"/>
      <c r="F23" s="553" t="s">
        <v>141</v>
      </c>
      <c r="G23" s="553"/>
      <c r="H23" s="553" t="s">
        <v>141</v>
      </c>
      <c r="I23" s="553"/>
      <c r="J23" s="553" t="s">
        <v>141</v>
      </c>
      <c r="K23" s="553"/>
      <c r="L23" s="553" t="s">
        <v>183</v>
      </c>
      <c r="M23" s="553"/>
      <c r="N23" s="553" t="s">
        <v>183</v>
      </c>
      <c r="O23" s="553"/>
      <c r="P23" s="553" t="s">
        <v>142</v>
      </c>
      <c r="Q23" s="553"/>
      <c r="R23" s="553" t="s">
        <v>142</v>
      </c>
      <c r="S23" s="553"/>
      <c r="T23" s="553"/>
      <c r="U23" s="552"/>
      <c r="V23" s="552"/>
      <c r="W23" s="554"/>
      <c r="X23" s="543"/>
    </row>
    <row r="24" spans="1:24" s="544" customFormat="1" x14ac:dyDescent="0.3">
      <c r="A24" s="555"/>
      <c r="B24" s="556" t="s">
        <v>8</v>
      </c>
      <c r="C24" s="557"/>
      <c r="D24" s="557" t="s">
        <v>214</v>
      </c>
      <c r="E24" s="557"/>
      <c r="F24" s="557" t="s">
        <v>143</v>
      </c>
      <c r="G24" s="557"/>
      <c r="H24" s="557" t="s">
        <v>143</v>
      </c>
      <c r="I24" s="557"/>
      <c r="J24" s="557" t="s">
        <v>143</v>
      </c>
      <c r="K24" s="557"/>
      <c r="L24" s="557" t="s">
        <v>165</v>
      </c>
      <c r="M24" s="557"/>
      <c r="N24" s="557" t="s">
        <v>165</v>
      </c>
      <c r="O24" s="557"/>
      <c r="P24" s="557" t="s">
        <v>144</v>
      </c>
      <c r="Q24" s="557"/>
      <c r="R24" s="557" t="s">
        <v>144</v>
      </c>
      <c r="S24" s="557"/>
      <c r="T24" s="557"/>
      <c r="U24" s="556"/>
      <c r="V24" s="556"/>
      <c r="W24" s="558"/>
      <c r="X24" s="543"/>
    </row>
    <row r="25" spans="1:24" s="544" customFormat="1" x14ac:dyDescent="0.3">
      <c r="A25" s="559"/>
      <c r="B25" s="556" t="s">
        <v>190</v>
      </c>
      <c r="C25" s="560"/>
      <c r="D25" s="557" t="s">
        <v>215</v>
      </c>
      <c r="E25" s="557"/>
      <c r="F25" s="557" t="s">
        <v>143</v>
      </c>
      <c r="G25" s="557"/>
      <c r="H25" s="557" t="s">
        <v>143</v>
      </c>
      <c r="I25" s="557"/>
      <c r="J25" s="557" t="s">
        <v>143</v>
      </c>
      <c r="K25" s="557"/>
      <c r="L25" s="557" t="s">
        <v>293</v>
      </c>
      <c r="M25" s="557"/>
      <c r="N25" s="557" t="s">
        <v>293</v>
      </c>
      <c r="O25" s="557"/>
      <c r="P25" s="557" t="s">
        <v>144</v>
      </c>
      <c r="Q25" s="557"/>
      <c r="R25" s="557" t="s">
        <v>144</v>
      </c>
      <c r="S25" s="560"/>
      <c r="T25" s="557"/>
      <c r="U25" s="556"/>
      <c r="V25" s="556"/>
      <c r="W25" s="558"/>
      <c r="X25" s="543"/>
    </row>
    <row r="26" spans="1:24" s="544" customFormat="1" x14ac:dyDescent="0.3">
      <c r="A26" s="559"/>
      <c r="B26" s="561" t="s">
        <v>9</v>
      </c>
      <c r="C26" s="560"/>
      <c r="D26" s="560" t="s">
        <v>333</v>
      </c>
      <c r="E26" s="560"/>
      <c r="F26" s="560" t="s">
        <v>333</v>
      </c>
      <c r="G26" s="560"/>
      <c r="H26" s="560" t="s">
        <v>333</v>
      </c>
      <c r="I26" s="560"/>
      <c r="J26" s="560" t="s">
        <v>333</v>
      </c>
      <c r="K26" s="560"/>
      <c r="L26" s="560" t="s">
        <v>333</v>
      </c>
      <c r="M26" s="560"/>
      <c r="N26" s="560" t="s">
        <v>333</v>
      </c>
      <c r="O26" s="560"/>
      <c r="P26" s="560" t="s">
        <v>334</v>
      </c>
      <c r="Q26" s="560"/>
      <c r="R26" s="560" t="s">
        <v>334</v>
      </c>
      <c r="S26" s="560"/>
      <c r="T26" s="557"/>
      <c r="U26" s="556"/>
      <c r="V26" s="556"/>
      <c r="W26" s="558"/>
      <c r="X26" s="543"/>
    </row>
    <row r="27" spans="1:24" s="544" customFormat="1" x14ac:dyDescent="0.3">
      <c r="A27" s="555"/>
      <c r="B27" s="561" t="s">
        <v>191</v>
      </c>
      <c r="C27" s="557"/>
      <c r="D27" s="560" t="s">
        <v>143</v>
      </c>
      <c r="E27" s="560"/>
      <c r="F27" s="560" t="s">
        <v>143</v>
      </c>
      <c r="G27" s="560"/>
      <c r="H27" s="560" t="s">
        <v>143</v>
      </c>
      <c r="I27" s="560"/>
      <c r="J27" s="560" t="s">
        <v>143</v>
      </c>
      <c r="K27" s="560"/>
      <c r="L27" s="560" t="s">
        <v>293</v>
      </c>
      <c r="M27" s="560"/>
      <c r="N27" s="560" t="s">
        <v>293</v>
      </c>
      <c r="O27" s="560"/>
      <c r="P27" s="560" t="s">
        <v>383</v>
      </c>
      <c r="Q27" s="560"/>
      <c r="R27" s="560" t="s">
        <v>383</v>
      </c>
      <c r="S27" s="557"/>
      <c r="T27" s="562"/>
      <c r="U27" s="556"/>
      <c r="V27" s="556"/>
      <c r="W27" s="558"/>
      <c r="X27" s="543"/>
    </row>
    <row r="28" spans="1:24" s="544" customFormat="1" x14ac:dyDescent="0.3">
      <c r="A28" s="555"/>
      <c r="B28" s="561" t="s">
        <v>192</v>
      </c>
      <c r="C28" s="557"/>
      <c r="D28" s="560" t="s">
        <v>143</v>
      </c>
      <c r="E28" s="560"/>
      <c r="F28" s="560" t="s">
        <v>143</v>
      </c>
      <c r="G28" s="560"/>
      <c r="H28" s="560" t="s">
        <v>143</v>
      </c>
      <c r="I28" s="560"/>
      <c r="J28" s="560" t="s">
        <v>143</v>
      </c>
      <c r="K28" s="560"/>
      <c r="L28" s="560" t="s">
        <v>143</v>
      </c>
      <c r="M28" s="560"/>
      <c r="N28" s="560" t="s">
        <v>143</v>
      </c>
      <c r="O28" s="560"/>
      <c r="P28" s="560" t="s">
        <v>144</v>
      </c>
      <c r="Q28" s="560"/>
      <c r="R28" s="560" t="s">
        <v>144</v>
      </c>
      <c r="S28" s="557"/>
      <c r="T28" s="562"/>
      <c r="U28" s="556"/>
      <c r="V28" s="556"/>
      <c r="W28" s="558"/>
      <c r="X28" s="543"/>
    </row>
    <row r="29" spans="1:24" s="544" customFormat="1" x14ac:dyDescent="0.3">
      <c r="A29" s="555"/>
      <c r="B29" s="556" t="s">
        <v>10</v>
      </c>
      <c r="C29" s="563"/>
      <c r="D29" s="557" t="s">
        <v>249</v>
      </c>
      <c r="E29" s="557"/>
      <c r="F29" s="562" t="s">
        <v>250</v>
      </c>
      <c r="G29" s="557"/>
      <c r="H29" s="557" t="s">
        <v>251</v>
      </c>
      <c r="I29" s="557"/>
      <c r="J29" s="557" t="s">
        <v>253</v>
      </c>
      <c r="K29" s="557"/>
      <c r="L29" s="557" t="s">
        <v>254</v>
      </c>
      <c r="M29" s="557"/>
      <c r="N29" s="557" t="s">
        <v>255</v>
      </c>
      <c r="O29" s="557"/>
      <c r="P29" s="557" t="s">
        <v>256</v>
      </c>
      <c r="Q29" s="557"/>
      <c r="R29" s="557" t="s">
        <v>257</v>
      </c>
      <c r="S29" s="564"/>
      <c r="T29" s="564"/>
      <c r="U29" s="563"/>
      <c r="V29" s="564"/>
      <c r="W29" s="565"/>
      <c r="X29" s="543"/>
    </row>
    <row r="30" spans="1:24" s="544" customFormat="1" x14ac:dyDescent="0.3">
      <c r="A30" s="555"/>
      <c r="B30" s="556" t="s">
        <v>10</v>
      </c>
      <c r="C30" s="563"/>
      <c r="D30" s="557" t="s">
        <v>248</v>
      </c>
      <c r="E30" s="557"/>
      <c r="F30" s="562" t="s">
        <v>118</v>
      </c>
      <c r="G30" s="557"/>
      <c r="H30" s="557" t="s">
        <v>118</v>
      </c>
      <c r="I30" s="557"/>
      <c r="J30" s="557" t="s">
        <v>252</v>
      </c>
      <c r="K30" s="557"/>
      <c r="L30" s="557" t="s">
        <v>118</v>
      </c>
      <c r="M30" s="557"/>
      <c r="N30" s="557" t="s">
        <v>118</v>
      </c>
      <c r="O30" s="557"/>
      <c r="P30" s="557" t="s">
        <v>118</v>
      </c>
      <c r="Q30" s="557"/>
      <c r="R30" s="557" t="s">
        <v>118</v>
      </c>
      <c r="S30" s="564"/>
      <c r="T30" s="564"/>
      <c r="U30" s="563"/>
      <c r="V30" s="564"/>
      <c r="W30" s="565"/>
      <c r="X30" s="543"/>
    </row>
    <row r="31" spans="1:24" s="544" customFormat="1" x14ac:dyDescent="0.3">
      <c r="A31" s="559"/>
      <c r="B31" s="556" t="s">
        <v>133</v>
      </c>
      <c r="C31" s="566"/>
      <c r="D31" s="567">
        <v>1500000</v>
      </c>
      <c r="E31" s="563"/>
      <c r="F31" s="564">
        <v>125000</v>
      </c>
      <c r="G31" s="564"/>
      <c r="H31" s="568">
        <v>246000</v>
      </c>
      <c r="I31" s="568"/>
      <c r="J31" s="567">
        <v>400000</v>
      </c>
      <c r="K31" s="564"/>
      <c r="L31" s="564">
        <v>51900</v>
      </c>
      <c r="M31" s="564"/>
      <c r="N31" s="568">
        <v>88800</v>
      </c>
      <c r="O31" s="564"/>
      <c r="P31" s="564">
        <v>20000</v>
      </c>
      <c r="Q31" s="564"/>
      <c r="R31" s="568">
        <v>135500</v>
      </c>
      <c r="S31" s="569"/>
      <c r="T31" s="569"/>
      <c r="U31" s="566"/>
      <c r="V31" s="569"/>
      <c r="W31" s="565"/>
      <c r="X31" s="543"/>
    </row>
    <row r="32" spans="1:24" s="544" customFormat="1" x14ac:dyDescent="0.3">
      <c r="A32" s="555"/>
      <c r="B32" s="556" t="s">
        <v>132</v>
      </c>
      <c r="C32" s="563"/>
      <c r="D32" s="570">
        <f>D34*D38</f>
        <v>330672.25651739998</v>
      </c>
      <c r="E32" s="563"/>
      <c r="F32" s="564">
        <f>F31*F38</f>
        <v>53321.149999999994</v>
      </c>
      <c r="G32" s="564"/>
      <c r="H32" s="568">
        <f>H31*H38</f>
        <v>104936.0232</v>
      </c>
      <c r="I32" s="568"/>
      <c r="J32" s="567">
        <f>J31*J38</f>
        <v>170626.84</v>
      </c>
      <c r="K32" s="564"/>
      <c r="L32" s="564">
        <f>+L31</f>
        <v>51900</v>
      </c>
      <c r="M32" s="564"/>
      <c r="N32" s="568">
        <f>+N31</f>
        <v>88800</v>
      </c>
      <c r="O32" s="564"/>
      <c r="P32" s="564">
        <f>+P31</f>
        <v>20000</v>
      </c>
      <c r="Q32" s="564"/>
      <c r="R32" s="568">
        <f>+R31</f>
        <v>135500</v>
      </c>
      <c r="S32" s="564"/>
      <c r="T32" s="564"/>
      <c r="U32" s="563"/>
      <c r="V32" s="564"/>
      <c r="W32" s="565"/>
      <c r="X32" s="543"/>
    </row>
    <row r="33" spans="1:24" s="544" customFormat="1" x14ac:dyDescent="0.3">
      <c r="A33" s="555"/>
      <c r="B33" s="561" t="s">
        <v>134</v>
      </c>
      <c r="C33" s="563"/>
      <c r="D33" s="571">
        <f>D34*D37</f>
        <v>321818.68832399999</v>
      </c>
      <c r="E33" s="566"/>
      <c r="F33" s="569">
        <f>F37*F31</f>
        <v>51893.525000000001</v>
      </c>
      <c r="G33" s="569"/>
      <c r="H33" s="572">
        <f>H31*H37</f>
        <v>102126.4572</v>
      </c>
      <c r="I33" s="572"/>
      <c r="J33" s="573">
        <f>J37*J31</f>
        <v>166058.4</v>
      </c>
      <c r="K33" s="569"/>
      <c r="L33" s="569">
        <f>L31*L37</f>
        <v>51900</v>
      </c>
      <c r="M33" s="569"/>
      <c r="N33" s="572">
        <f>N31*N37</f>
        <v>88800</v>
      </c>
      <c r="O33" s="569"/>
      <c r="P33" s="569">
        <f>P31*P37</f>
        <v>20000</v>
      </c>
      <c r="Q33" s="569"/>
      <c r="R33" s="572">
        <f>R31*R37</f>
        <v>135500</v>
      </c>
      <c r="S33" s="564"/>
      <c r="T33" s="564"/>
      <c r="U33" s="563"/>
      <c r="V33" s="564"/>
      <c r="W33" s="565"/>
      <c r="X33" s="543"/>
    </row>
    <row r="34" spans="1:24" s="544" customFormat="1" x14ac:dyDescent="0.3">
      <c r="A34" s="559"/>
      <c r="B34" s="556" t="s">
        <v>296</v>
      </c>
      <c r="C34" s="566"/>
      <c r="D34" s="564">
        <v>775194</v>
      </c>
      <c r="E34" s="563"/>
      <c r="F34" s="564">
        <v>125000</v>
      </c>
      <c r="G34" s="564"/>
      <c r="H34" s="564">
        <v>168148</v>
      </c>
      <c r="I34" s="564"/>
      <c r="J34" s="564">
        <v>206718</v>
      </c>
      <c r="K34" s="564"/>
      <c r="L34" s="564">
        <v>51900</v>
      </c>
      <c r="M34" s="564"/>
      <c r="N34" s="564">
        <v>60697</v>
      </c>
      <c r="O34" s="564"/>
      <c r="P34" s="564">
        <v>20000</v>
      </c>
      <c r="Q34" s="564"/>
      <c r="R34" s="564">
        <v>92618</v>
      </c>
      <c r="S34" s="569"/>
      <c r="T34" s="569"/>
      <c r="U34" s="566"/>
      <c r="V34" s="564">
        <f>SUM(C34:R34)</f>
        <v>1500275</v>
      </c>
      <c r="W34" s="565"/>
      <c r="X34" s="543"/>
    </row>
    <row r="35" spans="1:24" s="544" customFormat="1" x14ac:dyDescent="0.3">
      <c r="A35" s="559"/>
      <c r="B35" s="556" t="s">
        <v>297</v>
      </c>
      <c r="C35" s="566"/>
      <c r="D35" s="564">
        <f>D34*D38</f>
        <v>330672.25651739998</v>
      </c>
      <c r="E35" s="563"/>
      <c r="F35" s="564">
        <f>F34*F38</f>
        <v>53321.149999999994</v>
      </c>
      <c r="G35" s="564"/>
      <c r="H35" s="564">
        <f>H34*H38</f>
        <v>71726.757841600003</v>
      </c>
      <c r="I35" s="564"/>
      <c r="J35" s="564">
        <f>J34*J38</f>
        <v>88179.097777799994</v>
      </c>
      <c r="K35" s="564"/>
      <c r="L35" s="564">
        <f>+L34</f>
        <v>51900</v>
      </c>
      <c r="M35" s="564"/>
      <c r="N35" s="564">
        <f>+N34</f>
        <v>60697</v>
      </c>
      <c r="O35" s="564"/>
      <c r="P35" s="564">
        <f>+P34</f>
        <v>20000</v>
      </c>
      <c r="Q35" s="564"/>
      <c r="R35" s="564">
        <f>+R34</f>
        <v>92618</v>
      </c>
      <c r="S35" s="564"/>
      <c r="T35" s="564"/>
      <c r="U35" s="563"/>
      <c r="V35" s="564">
        <f>SUM(C35:R35)</f>
        <v>769114.26213679998</v>
      </c>
      <c r="W35" s="565"/>
      <c r="X35" s="543"/>
    </row>
    <row r="36" spans="1:24" s="544" customFormat="1" x14ac:dyDescent="0.3">
      <c r="A36" s="559"/>
      <c r="B36" s="561" t="s">
        <v>298</v>
      </c>
      <c r="C36" s="566"/>
      <c r="D36" s="569">
        <f>D34*D37</f>
        <v>321818.68832399999</v>
      </c>
      <c r="E36" s="566"/>
      <c r="F36" s="569">
        <f>F34*F37</f>
        <v>51893.525000000001</v>
      </c>
      <c r="G36" s="569"/>
      <c r="H36" s="569">
        <f>H34*H37</f>
        <v>69806.33953360001</v>
      </c>
      <c r="I36" s="569"/>
      <c r="J36" s="569">
        <f>J34*J37</f>
        <v>85818.150827999998</v>
      </c>
      <c r="K36" s="569"/>
      <c r="L36" s="569">
        <f>L34*L37</f>
        <v>51900</v>
      </c>
      <c r="M36" s="569"/>
      <c r="N36" s="569">
        <f>N34*N37</f>
        <v>60697</v>
      </c>
      <c r="O36" s="569"/>
      <c r="P36" s="569">
        <f>P34*P37</f>
        <v>20000</v>
      </c>
      <c r="Q36" s="569"/>
      <c r="R36" s="569">
        <f>R34*R37</f>
        <v>92618</v>
      </c>
      <c r="S36" s="574"/>
      <c r="T36" s="574"/>
      <c r="U36" s="563"/>
      <c r="V36" s="569">
        <f>SUM(C36:R36)</f>
        <v>754551.70368560008</v>
      </c>
      <c r="W36" s="565"/>
      <c r="X36" s="543"/>
    </row>
    <row r="37" spans="1:24" s="499" customFormat="1" x14ac:dyDescent="0.3">
      <c r="A37" s="492"/>
      <c r="B37" s="493" t="s">
        <v>130</v>
      </c>
      <c r="C37" s="494"/>
      <c r="D37" s="495">
        <v>0.41514600000000002</v>
      </c>
      <c r="E37" s="495"/>
      <c r="F37" s="495">
        <v>0.41514820000000002</v>
      </c>
      <c r="G37" s="495"/>
      <c r="H37" s="495">
        <v>0.41514820000000002</v>
      </c>
      <c r="I37" s="495"/>
      <c r="J37" s="495">
        <v>0.41514600000000002</v>
      </c>
      <c r="K37" s="495"/>
      <c r="L37" s="495">
        <v>1</v>
      </c>
      <c r="M37" s="495"/>
      <c r="N37" s="495">
        <v>1</v>
      </c>
      <c r="O37" s="495"/>
      <c r="P37" s="495">
        <v>1</v>
      </c>
      <c r="Q37" s="495"/>
      <c r="R37" s="495">
        <v>1</v>
      </c>
      <c r="S37" s="496"/>
      <c r="T37" s="496"/>
      <c r="U37" s="494"/>
      <c r="V37" s="494"/>
      <c r="W37" s="497"/>
      <c r="X37" s="498"/>
    </row>
    <row r="38" spans="1:24" s="499" customFormat="1" x14ac:dyDescent="0.3">
      <c r="A38" s="492"/>
      <c r="B38" s="493" t="s">
        <v>131</v>
      </c>
      <c r="C38" s="494"/>
      <c r="D38" s="495">
        <v>0.42656709999999998</v>
      </c>
      <c r="E38" s="495"/>
      <c r="F38" s="495">
        <v>0.42656919999999998</v>
      </c>
      <c r="G38" s="495"/>
      <c r="H38" s="495">
        <v>0.42656919999999998</v>
      </c>
      <c r="I38" s="495"/>
      <c r="J38" s="495">
        <v>0.42656709999999998</v>
      </c>
      <c r="K38" s="495"/>
      <c r="L38" s="495">
        <v>1</v>
      </c>
      <c r="M38" s="495"/>
      <c r="N38" s="495">
        <v>1</v>
      </c>
      <c r="O38" s="495"/>
      <c r="P38" s="495">
        <v>1</v>
      </c>
      <c r="Q38" s="495"/>
      <c r="R38" s="495">
        <v>1</v>
      </c>
      <c r="S38" s="500"/>
      <c r="T38" s="501"/>
      <c r="U38" s="494"/>
      <c r="V38" s="500"/>
      <c r="W38" s="497"/>
      <c r="X38" s="498"/>
    </row>
    <row r="39" spans="1:24" s="544" customFormat="1" x14ac:dyDescent="0.3">
      <c r="A39" s="555"/>
      <c r="B39" s="556" t="s">
        <v>11</v>
      </c>
      <c r="C39" s="556"/>
      <c r="D39" s="562" t="s">
        <v>321</v>
      </c>
      <c r="E39" s="556"/>
      <c r="F39" s="562" t="s">
        <v>231</v>
      </c>
      <c r="G39" s="562"/>
      <c r="H39" s="562" t="s">
        <v>231</v>
      </c>
      <c r="I39" s="562"/>
      <c r="J39" s="562" t="s">
        <v>231</v>
      </c>
      <c r="K39" s="562"/>
      <c r="L39" s="562" t="s">
        <v>265</v>
      </c>
      <c r="M39" s="562"/>
      <c r="N39" s="562" t="s">
        <v>265</v>
      </c>
      <c r="O39" s="562"/>
      <c r="P39" s="562" t="s">
        <v>266</v>
      </c>
      <c r="Q39" s="562"/>
      <c r="R39" s="562" t="s">
        <v>266</v>
      </c>
      <c r="S39" s="575"/>
      <c r="T39" s="576"/>
      <c r="U39" s="556"/>
      <c r="V39" s="556"/>
      <c r="W39" s="558"/>
      <c r="X39" s="543"/>
    </row>
    <row r="40" spans="1:24" s="544" customFormat="1" x14ac:dyDescent="0.3">
      <c r="A40" s="555"/>
      <c r="B40" s="556" t="s">
        <v>12</v>
      </c>
      <c r="C40" s="556"/>
      <c r="D40" s="576">
        <v>9.8612999999999999E-3</v>
      </c>
      <c r="E40" s="556"/>
      <c r="F40" s="576">
        <v>9.8612999999999999E-3</v>
      </c>
      <c r="G40" s="575"/>
      <c r="H40" s="576">
        <v>0</v>
      </c>
      <c r="I40" s="576"/>
      <c r="J40" s="576">
        <v>2.6102500000000001E-2</v>
      </c>
      <c r="K40" s="575"/>
      <c r="L40" s="576">
        <v>1.1461300000000001E-2</v>
      </c>
      <c r="M40" s="575"/>
      <c r="N40" s="576">
        <v>4.2000000000000002E-4</v>
      </c>
      <c r="O40" s="575"/>
      <c r="P40" s="576">
        <v>1.5461300000000001E-2</v>
      </c>
      <c r="Q40" s="575"/>
      <c r="R40" s="576">
        <v>4.4200000000000003E-3</v>
      </c>
      <c r="S40" s="575"/>
      <c r="T40" s="576"/>
      <c r="U40" s="556"/>
      <c r="V40" s="562"/>
      <c r="W40" s="558"/>
      <c r="X40" s="543"/>
    </row>
    <row r="41" spans="1:24" s="544" customFormat="1" x14ac:dyDescent="0.3">
      <c r="A41" s="555"/>
      <c r="B41" s="556" t="s">
        <v>13</v>
      </c>
      <c r="C41" s="556"/>
      <c r="D41" s="576">
        <v>1.04463E-2</v>
      </c>
      <c r="E41" s="556"/>
      <c r="F41" s="576">
        <v>1.04463E-2</v>
      </c>
      <c r="G41" s="575"/>
      <c r="H41" s="576">
        <v>0</v>
      </c>
      <c r="I41" s="576"/>
      <c r="J41" s="576">
        <v>2.81088E-2</v>
      </c>
      <c r="K41" s="575"/>
      <c r="L41" s="576">
        <v>1.2046299999999999E-2</v>
      </c>
      <c r="M41" s="575"/>
      <c r="N41" s="576">
        <v>5.0000000000000001E-4</v>
      </c>
      <c r="O41" s="575"/>
      <c r="P41" s="576">
        <v>1.6046299999999999E-2</v>
      </c>
      <c r="Q41" s="575"/>
      <c r="R41" s="576">
        <v>4.4999999999999997E-3</v>
      </c>
      <c r="S41" s="575"/>
      <c r="T41" s="576"/>
      <c r="U41" s="556"/>
      <c r="V41" s="575" t="s">
        <v>193</v>
      </c>
      <c r="W41" s="558"/>
      <c r="X41" s="543"/>
    </row>
    <row r="42" spans="1:24" s="544" customFormat="1" x14ac:dyDescent="0.3">
      <c r="A42" s="555"/>
      <c r="B42" s="556" t="s">
        <v>299</v>
      </c>
      <c r="C42" s="556"/>
      <c r="D42" s="562" t="s">
        <v>321</v>
      </c>
      <c r="E42" s="556"/>
      <c r="F42" s="562" t="s">
        <v>231</v>
      </c>
      <c r="G42" s="562"/>
      <c r="H42" s="562" t="s">
        <v>323</v>
      </c>
      <c r="I42" s="562"/>
      <c r="J42" s="562" t="s">
        <v>324</v>
      </c>
      <c r="K42" s="562"/>
      <c r="L42" s="562" t="s">
        <v>265</v>
      </c>
      <c r="M42" s="562"/>
      <c r="N42" s="562" t="s">
        <v>234</v>
      </c>
      <c r="O42" s="562"/>
      <c r="P42" s="562" t="s">
        <v>266</v>
      </c>
      <c r="Q42" s="562"/>
      <c r="R42" s="562" t="s">
        <v>264</v>
      </c>
      <c r="S42" s="575"/>
      <c r="T42" s="576"/>
      <c r="U42" s="556"/>
      <c r="V42" s="556"/>
      <c r="W42" s="558"/>
      <c r="X42" s="543"/>
    </row>
    <row r="43" spans="1:24" s="544" customFormat="1" x14ac:dyDescent="0.3">
      <c r="A43" s="555"/>
      <c r="B43" s="556" t="s">
        <v>300</v>
      </c>
      <c r="C43" s="577"/>
      <c r="D43" s="576">
        <f>D40</f>
        <v>9.8612999999999999E-3</v>
      </c>
      <c r="E43" s="576"/>
      <c r="F43" s="576">
        <f>+F40</f>
        <v>9.8612999999999999E-3</v>
      </c>
      <c r="G43" s="576"/>
      <c r="H43" s="576">
        <v>1.0141300000000001E-2</v>
      </c>
      <c r="I43" s="576"/>
      <c r="J43" s="576">
        <v>1.0587299999999999E-2</v>
      </c>
      <c r="K43" s="576"/>
      <c r="L43" s="576">
        <f>+L40</f>
        <v>1.1461300000000001E-2</v>
      </c>
      <c r="M43" s="576"/>
      <c r="N43" s="576">
        <v>1.2053299999999999E-2</v>
      </c>
      <c r="O43" s="576"/>
      <c r="P43" s="576">
        <f>+P40</f>
        <v>1.5461300000000001E-2</v>
      </c>
      <c r="Q43" s="575"/>
      <c r="R43" s="576">
        <v>1.6527300000000002E-2</v>
      </c>
      <c r="S43" s="562"/>
      <c r="T43" s="562"/>
      <c r="U43" s="556"/>
      <c r="V43" s="575">
        <f>SUMPRODUCT(D43:R43,D35:R35)/V35</f>
        <v>1.1199957960030394E-2</v>
      </c>
      <c r="W43" s="558"/>
      <c r="X43" s="543"/>
    </row>
    <row r="44" spans="1:24" s="544" customFormat="1" x14ac:dyDescent="0.3">
      <c r="A44" s="555"/>
      <c r="B44" s="556" t="s">
        <v>301</v>
      </c>
      <c r="C44" s="577"/>
      <c r="D44" s="576">
        <f>D41</f>
        <v>1.04463E-2</v>
      </c>
      <c r="E44" s="576"/>
      <c r="F44" s="576">
        <f>+F41</f>
        <v>1.04463E-2</v>
      </c>
      <c r="G44" s="576"/>
      <c r="H44" s="576">
        <v>1.0726299999999999E-2</v>
      </c>
      <c r="I44" s="576"/>
      <c r="J44" s="576">
        <v>1.11723E-2</v>
      </c>
      <c r="K44" s="576"/>
      <c r="L44" s="576">
        <f>+L41</f>
        <v>1.2046299999999999E-2</v>
      </c>
      <c r="M44" s="576"/>
      <c r="N44" s="576">
        <v>1.26383E-2</v>
      </c>
      <c r="O44" s="576"/>
      <c r="P44" s="576">
        <f>+P41</f>
        <v>1.6046299999999999E-2</v>
      </c>
      <c r="Q44" s="575"/>
      <c r="R44" s="576">
        <v>1.71123E-2</v>
      </c>
      <c r="S44" s="562"/>
      <c r="T44" s="562"/>
      <c r="U44" s="556"/>
      <c r="V44" s="556"/>
      <c r="W44" s="558"/>
      <c r="X44" s="543"/>
    </row>
    <row r="45" spans="1:24" s="544" customFormat="1" x14ac:dyDescent="0.3">
      <c r="A45" s="555"/>
      <c r="B45" s="556" t="s">
        <v>14</v>
      </c>
      <c r="C45" s="556"/>
      <c r="D45" s="577">
        <v>40617</v>
      </c>
      <c r="E45" s="577"/>
      <c r="F45" s="577">
        <v>40617</v>
      </c>
      <c r="G45" s="577"/>
      <c r="H45" s="577">
        <v>40617</v>
      </c>
      <c r="I45" s="577"/>
      <c r="J45" s="577">
        <v>40617</v>
      </c>
      <c r="K45" s="577"/>
      <c r="L45" s="577">
        <v>40617</v>
      </c>
      <c r="M45" s="577"/>
      <c r="N45" s="577">
        <v>40617</v>
      </c>
      <c r="O45" s="577"/>
      <c r="P45" s="577">
        <v>40617</v>
      </c>
      <c r="Q45" s="577"/>
      <c r="R45" s="577">
        <v>40617</v>
      </c>
      <c r="S45" s="562"/>
      <c r="T45" s="562"/>
      <c r="U45" s="556"/>
      <c r="V45" s="556"/>
      <c r="W45" s="558"/>
      <c r="X45" s="543"/>
    </row>
    <row r="46" spans="1:24" s="544" customFormat="1" x14ac:dyDescent="0.3">
      <c r="A46" s="555"/>
      <c r="B46" s="556" t="s">
        <v>15</v>
      </c>
      <c r="C46" s="556"/>
      <c r="D46" s="577">
        <v>40983</v>
      </c>
      <c r="E46" s="577"/>
      <c r="F46" s="577">
        <v>40983</v>
      </c>
      <c r="G46" s="577"/>
      <c r="H46" s="577">
        <v>40983</v>
      </c>
      <c r="I46" s="577"/>
      <c r="J46" s="577">
        <v>40983</v>
      </c>
      <c r="K46" s="562"/>
      <c r="L46" s="577">
        <v>40983</v>
      </c>
      <c r="M46" s="562"/>
      <c r="N46" s="577">
        <v>40983</v>
      </c>
      <c r="O46" s="562"/>
      <c r="P46" s="577">
        <v>40983</v>
      </c>
      <c r="Q46" s="562"/>
      <c r="R46" s="577">
        <v>40983</v>
      </c>
      <c r="S46" s="562"/>
      <c r="T46" s="562"/>
      <c r="U46" s="556"/>
      <c r="V46" s="556"/>
      <c r="W46" s="558"/>
      <c r="X46" s="543"/>
    </row>
    <row r="47" spans="1:24" s="544" customFormat="1" x14ac:dyDescent="0.3">
      <c r="A47" s="555"/>
      <c r="B47" s="556" t="s">
        <v>119</v>
      </c>
      <c r="C47" s="556"/>
      <c r="D47" s="562" t="s">
        <v>231</v>
      </c>
      <c r="E47" s="556"/>
      <c r="F47" s="562" t="s">
        <v>231</v>
      </c>
      <c r="G47" s="562"/>
      <c r="H47" s="562" t="s">
        <v>231</v>
      </c>
      <c r="I47" s="562"/>
      <c r="J47" s="562" t="s">
        <v>231</v>
      </c>
      <c r="K47" s="562"/>
      <c r="L47" s="562" t="s">
        <v>265</v>
      </c>
      <c r="M47" s="562"/>
      <c r="N47" s="562" t="s">
        <v>265</v>
      </c>
      <c r="O47" s="562"/>
      <c r="P47" s="562" t="s">
        <v>266</v>
      </c>
      <c r="Q47" s="562"/>
      <c r="R47" s="562" t="s">
        <v>266</v>
      </c>
      <c r="S47" s="578"/>
      <c r="T47" s="578"/>
      <c r="U47" s="578"/>
      <c r="V47" s="578"/>
      <c r="W47" s="558"/>
      <c r="X47" s="543"/>
    </row>
    <row r="48" spans="1:24" s="544" customFormat="1" x14ac:dyDescent="0.3">
      <c r="A48" s="555"/>
      <c r="B48" s="556" t="s">
        <v>302</v>
      </c>
      <c r="C48" s="556"/>
      <c r="D48" s="562" t="s">
        <v>325</v>
      </c>
      <c r="E48" s="556"/>
      <c r="F48" s="562" t="s">
        <v>231</v>
      </c>
      <c r="G48" s="562"/>
      <c r="H48" s="562" t="s">
        <v>262</v>
      </c>
      <c r="I48" s="562"/>
      <c r="J48" s="562" t="s">
        <v>263</v>
      </c>
      <c r="K48" s="562"/>
      <c r="L48" s="562" t="s">
        <v>265</v>
      </c>
      <c r="M48" s="562"/>
      <c r="N48" s="562" t="s">
        <v>234</v>
      </c>
      <c r="O48" s="562"/>
      <c r="P48" s="562" t="s">
        <v>266</v>
      </c>
      <c r="Q48" s="562"/>
      <c r="R48" s="562" t="s">
        <v>264</v>
      </c>
      <c r="S48" s="556"/>
      <c r="T48" s="556"/>
      <c r="U48" s="556"/>
      <c r="V48" s="575"/>
      <c r="W48" s="558"/>
      <c r="X48" s="543"/>
    </row>
    <row r="49" spans="1:25" s="544" customFormat="1" x14ac:dyDescent="0.3">
      <c r="A49" s="555"/>
      <c r="B49" s="556"/>
      <c r="C49" s="556"/>
      <c r="D49" s="562"/>
      <c r="E49" s="556"/>
      <c r="F49" s="562"/>
      <c r="G49" s="562"/>
      <c r="H49" s="562"/>
      <c r="I49" s="562"/>
      <c r="J49" s="562"/>
      <c r="K49" s="562"/>
      <c r="L49" s="562"/>
      <c r="M49" s="562"/>
      <c r="N49" s="562"/>
      <c r="O49" s="562"/>
      <c r="P49" s="562"/>
      <c r="Q49" s="562"/>
      <c r="R49" s="562"/>
      <c r="S49" s="556"/>
      <c r="T49" s="556"/>
      <c r="U49" s="556"/>
      <c r="V49" s="575" t="s">
        <v>193</v>
      </c>
      <c r="W49" s="558"/>
      <c r="X49" s="543"/>
    </row>
    <row r="50" spans="1:25" s="544" customFormat="1" x14ac:dyDescent="0.3">
      <c r="A50" s="555"/>
      <c r="B50" s="556" t="s">
        <v>169</v>
      </c>
      <c r="C50" s="556"/>
      <c r="D50" s="562"/>
      <c r="E50" s="556"/>
      <c r="F50" s="562"/>
      <c r="G50" s="562"/>
      <c r="H50" s="562"/>
      <c r="I50" s="562"/>
      <c r="J50" s="562"/>
      <c r="K50" s="562"/>
      <c r="L50" s="562"/>
      <c r="M50" s="562"/>
      <c r="N50" s="562"/>
      <c r="O50" s="562"/>
      <c r="P50" s="562"/>
      <c r="Q50" s="562"/>
      <c r="R50" s="562"/>
      <c r="S50" s="556"/>
      <c r="T50" s="556"/>
      <c r="U50" s="556"/>
      <c r="V50" s="575">
        <f>SUM(L34:R34)/SUM(D34:J34)</f>
        <v>0.17663090364375009</v>
      </c>
      <c r="W50" s="558"/>
      <c r="X50" s="543"/>
    </row>
    <row r="51" spans="1:25" s="544" customFormat="1" x14ac:dyDescent="0.3">
      <c r="A51" s="555"/>
      <c r="B51" s="556" t="s">
        <v>170</v>
      </c>
      <c r="C51" s="556"/>
      <c r="D51" s="556"/>
      <c r="E51" s="556"/>
      <c r="F51" s="579"/>
      <c r="G51" s="556"/>
      <c r="H51" s="556"/>
      <c r="I51" s="556"/>
      <c r="J51" s="556"/>
      <c r="K51" s="556"/>
      <c r="L51" s="556"/>
      <c r="M51" s="556"/>
      <c r="N51" s="556"/>
      <c r="O51" s="556"/>
      <c r="P51" s="556"/>
      <c r="Q51" s="556"/>
      <c r="R51" s="556"/>
      <c r="S51" s="556"/>
      <c r="T51" s="556"/>
      <c r="U51" s="556"/>
      <c r="V51" s="575">
        <f>SUM(L36:R36)/SUM(D36:J36)</f>
        <v>0.42546643456216221</v>
      </c>
      <c r="W51" s="558"/>
      <c r="X51" s="543"/>
    </row>
    <row r="52" spans="1:25" s="544" customFormat="1" x14ac:dyDescent="0.3">
      <c r="A52" s="555"/>
      <c r="B52" s="556" t="s">
        <v>171</v>
      </c>
      <c r="C52" s="556"/>
      <c r="D52" s="556"/>
      <c r="E52" s="556"/>
      <c r="F52" s="556"/>
      <c r="G52" s="556"/>
      <c r="H52" s="556"/>
      <c r="I52" s="556"/>
      <c r="J52" s="556"/>
      <c r="K52" s="556"/>
      <c r="L52" s="556"/>
      <c r="M52" s="556"/>
      <c r="N52" s="556"/>
      <c r="O52" s="556"/>
      <c r="P52" s="556"/>
      <c r="Q52" s="556"/>
      <c r="R52" s="556"/>
      <c r="S52" s="556"/>
      <c r="T52" s="562"/>
      <c r="U52" s="562"/>
      <c r="V52" s="564" t="s">
        <v>276</v>
      </c>
      <c r="W52" s="558"/>
      <c r="X52" s="543"/>
    </row>
    <row r="53" spans="1:25" s="544" customFormat="1" x14ac:dyDescent="0.3">
      <c r="A53" s="555"/>
      <c r="B53" s="556"/>
      <c r="C53" s="556"/>
      <c r="D53" s="556"/>
      <c r="E53" s="556"/>
      <c r="F53" s="556"/>
      <c r="G53" s="556"/>
      <c r="H53" s="556"/>
      <c r="I53" s="556"/>
      <c r="J53" s="556"/>
      <c r="K53" s="556"/>
      <c r="L53" s="556"/>
      <c r="M53" s="556"/>
      <c r="N53" s="556"/>
      <c r="O53" s="556"/>
      <c r="P53" s="556"/>
      <c r="Q53" s="556"/>
      <c r="R53" s="556"/>
      <c r="S53" s="556"/>
      <c r="T53" s="556"/>
      <c r="U53" s="556"/>
      <c r="V53" s="580"/>
      <c r="W53" s="558"/>
      <c r="X53" s="543"/>
    </row>
    <row r="54" spans="1:25" s="544" customFormat="1" x14ac:dyDescent="0.3">
      <c r="A54" s="555"/>
      <c r="B54" s="556" t="s">
        <v>361</v>
      </c>
      <c r="C54" s="556"/>
      <c r="D54" s="556"/>
      <c r="E54" s="556"/>
      <c r="F54" s="556"/>
      <c r="G54" s="556"/>
      <c r="H54" s="556"/>
      <c r="I54" s="556"/>
      <c r="J54" s="556"/>
      <c r="K54" s="556"/>
      <c r="L54" s="556"/>
      <c r="M54" s="556"/>
      <c r="N54" s="556"/>
      <c r="O54" s="556"/>
      <c r="P54" s="556"/>
      <c r="Q54" s="556"/>
      <c r="R54" s="556"/>
      <c r="S54" s="556"/>
      <c r="T54" s="562"/>
      <c r="U54" s="562"/>
      <c r="V54" s="581" t="s">
        <v>111</v>
      </c>
      <c r="W54" s="558"/>
      <c r="X54" s="543"/>
    </row>
    <row r="55" spans="1:25" s="544" customFormat="1" x14ac:dyDescent="0.3">
      <c r="A55" s="555"/>
      <c r="B55" s="561" t="s">
        <v>201</v>
      </c>
      <c r="C55" s="561"/>
      <c r="D55" s="561"/>
      <c r="E55" s="561"/>
      <c r="F55" s="561"/>
      <c r="G55" s="561"/>
      <c r="H55" s="561"/>
      <c r="I55" s="561"/>
      <c r="J55" s="561"/>
      <c r="K55" s="561"/>
      <c r="L55" s="561"/>
      <c r="M55" s="561"/>
      <c r="N55" s="561"/>
      <c r="O55" s="561"/>
      <c r="P55" s="561"/>
      <c r="Q55" s="561"/>
      <c r="R55" s="561"/>
      <c r="S55" s="561"/>
      <c r="T55" s="582"/>
      <c r="U55" s="582"/>
      <c r="V55" s="583">
        <v>43724</v>
      </c>
      <c r="W55" s="558"/>
      <c r="X55" s="543"/>
    </row>
    <row r="56" spans="1:25" s="544" customFormat="1" x14ac:dyDescent="0.3">
      <c r="A56" s="555"/>
      <c r="B56" s="556" t="s">
        <v>121</v>
      </c>
      <c r="C56" s="556"/>
      <c r="D56" s="556"/>
      <c r="E56" s="556"/>
      <c r="F56" s="556"/>
      <c r="G56" s="556"/>
      <c r="H56" s="584"/>
      <c r="I56" s="584"/>
      <c r="J56" s="584"/>
      <c r="K56" s="584"/>
      <c r="L56" s="584"/>
      <c r="M56" s="584"/>
      <c r="N56" s="584"/>
      <c r="O56" s="584"/>
      <c r="P56" s="584"/>
      <c r="Q56" s="584"/>
      <c r="R56" s="556">
        <f>+V56-T56+1</f>
        <v>94</v>
      </c>
      <c r="S56" s="584"/>
      <c r="T56" s="585">
        <v>43539</v>
      </c>
      <c r="U56" s="586"/>
      <c r="V56" s="585">
        <v>43632</v>
      </c>
      <c r="W56" s="558"/>
      <c r="X56" s="543"/>
    </row>
    <row r="57" spans="1:25" s="544" customFormat="1" x14ac:dyDescent="0.3">
      <c r="A57" s="555"/>
      <c r="B57" s="556" t="s">
        <v>122</v>
      </c>
      <c r="C57" s="556"/>
      <c r="D57" s="556"/>
      <c r="E57" s="556"/>
      <c r="F57" s="556"/>
      <c r="G57" s="556"/>
      <c r="H57" s="556"/>
      <c r="I57" s="556"/>
      <c r="J57" s="556"/>
      <c r="K57" s="556"/>
      <c r="L57" s="556"/>
      <c r="M57" s="556"/>
      <c r="N57" s="556"/>
      <c r="O57" s="556"/>
      <c r="P57" s="556"/>
      <c r="Q57" s="556"/>
      <c r="R57" s="556">
        <f>+V57-T57+1</f>
        <v>91</v>
      </c>
      <c r="S57" s="556"/>
      <c r="T57" s="585">
        <v>43633</v>
      </c>
      <c r="U57" s="586"/>
      <c r="V57" s="585">
        <v>43723</v>
      </c>
      <c r="W57" s="558"/>
      <c r="X57" s="543"/>
    </row>
    <row r="58" spans="1:25" s="544" customFormat="1" x14ac:dyDescent="0.3">
      <c r="A58" s="555"/>
      <c r="B58" s="556" t="s">
        <v>360</v>
      </c>
      <c r="C58" s="556"/>
      <c r="D58" s="556"/>
      <c r="E58" s="556"/>
      <c r="F58" s="556"/>
      <c r="G58" s="556"/>
      <c r="H58" s="556"/>
      <c r="I58" s="556"/>
      <c r="J58" s="556"/>
      <c r="K58" s="556"/>
      <c r="L58" s="556"/>
      <c r="M58" s="556"/>
      <c r="N58" s="556"/>
      <c r="O58" s="556"/>
      <c r="P58" s="556"/>
      <c r="Q58" s="556"/>
      <c r="R58" s="556"/>
      <c r="S58" s="556"/>
      <c r="T58" s="585"/>
      <c r="U58" s="586"/>
      <c r="V58" s="585" t="s">
        <v>120</v>
      </c>
      <c r="W58" s="558"/>
      <c r="X58" s="543"/>
    </row>
    <row r="59" spans="1:25" s="544" customFormat="1" x14ac:dyDescent="0.3">
      <c r="A59" s="555"/>
      <c r="B59" s="556" t="s">
        <v>359</v>
      </c>
      <c r="C59" s="556"/>
      <c r="D59" s="556"/>
      <c r="E59" s="556"/>
      <c r="F59" s="556"/>
      <c r="G59" s="556"/>
      <c r="H59" s="556"/>
      <c r="I59" s="556"/>
      <c r="J59" s="556"/>
      <c r="K59" s="556"/>
      <c r="L59" s="556"/>
      <c r="M59" s="556"/>
      <c r="N59" s="556"/>
      <c r="O59" s="556"/>
      <c r="P59" s="556"/>
      <c r="Q59" s="556"/>
      <c r="R59" s="556"/>
      <c r="S59" s="556"/>
      <c r="T59" s="585"/>
      <c r="U59" s="586"/>
      <c r="V59" s="585" t="s">
        <v>154</v>
      </c>
      <c r="W59" s="558"/>
      <c r="X59" s="543"/>
      <c r="Y59" s="587"/>
    </row>
    <row r="60" spans="1:25" s="544" customFormat="1" x14ac:dyDescent="0.3">
      <c r="A60" s="555"/>
      <c r="B60" s="556" t="s">
        <v>16</v>
      </c>
      <c r="C60" s="556"/>
      <c r="D60" s="556"/>
      <c r="E60" s="556"/>
      <c r="F60" s="556"/>
      <c r="G60" s="556"/>
      <c r="H60" s="556"/>
      <c r="I60" s="556"/>
      <c r="J60" s="556"/>
      <c r="K60" s="556"/>
      <c r="L60" s="556"/>
      <c r="M60" s="556"/>
      <c r="N60" s="556"/>
      <c r="O60" s="556"/>
      <c r="P60" s="556"/>
      <c r="Q60" s="556"/>
      <c r="R60" s="556"/>
      <c r="S60" s="556"/>
      <c r="T60" s="585"/>
      <c r="U60" s="586"/>
      <c r="V60" s="585">
        <v>43709</v>
      </c>
      <c r="W60" s="558"/>
      <c r="X60" s="543"/>
    </row>
    <row r="61" spans="1:25" s="544" customFormat="1" x14ac:dyDescent="0.3">
      <c r="A61" s="540"/>
      <c r="B61" s="588"/>
      <c r="C61" s="588"/>
      <c r="D61" s="588"/>
      <c r="E61" s="588"/>
      <c r="F61" s="588"/>
      <c r="G61" s="588"/>
      <c r="H61" s="588"/>
      <c r="I61" s="588"/>
      <c r="J61" s="588"/>
      <c r="K61" s="588"/>
      <c r="L61" s="588"/>
      <c r="M61" s="588"/>
      <c r="N61" s="588"/>
      <c r="O61" s="588"/>
      <c r="P61" s="588"/>
      <c r="Q61" s="588"/>
      <c r="R61" s="588"/>
      <c r="S61" s="588"/>
      <c r="T61" s="589"/>
      <c r="U61" s="590"/>
      <c r="V61" s="589"/>
      <c r="W61" s="588"/>
      <c r="X61" s="543"/>
    </row>
    <row r="62" spans="1:25" s="544" customFormat="1" x14ac:dyDescent="0.3">
      <c r="A62" s="540"/>
      <c r="B62" s="541"/>
      <c r="C62" s="541"/>
      <c r="D62" s="541"/>
      <c r="E62" s="541"/>
      <c r="F62" s="541"/>
      <c r="G62" s="541"/>
      <c r="H62" s="541"/>
      <c r="I62" s="541"/>
      <c r="J62" s="541"/>
      <c r="K62" s="541"/>
      <c r="L62" s="541"/>
      <c r="M62" s="541"/>
      <c r="N62" s="541"/>
      <c r="O62" s="541"/>
      <c r="P62" s="541"/>
      <c r="Q62" s="541"/>
      <c r="R62" s="541"/>
      <c r="S62" s="541"/>
      <c r="T62" s="591"/>
      <c r="U62" s="592"/>
      <c r="V62" s="591"/>
      <c r="W62" s="541"/>
      <c r="X62" s="543"/>
    </row>
    <row r="63" spans="1:25" s="544" customFormat="1" ht="18.600000000000001" thickBot="1" x14ac:dyDescent="0.4">
      <c r="A63" s="593"/>
      <c r="B63" s="594" t="s">
        <v>382</v>
      </c>
      <c r="C63" s="595"/>
      <c r="D63" s="595"/>
      <c r="E63" s="595"/>
      <c r="F63" s="595"/>
      <c r="G63" s="595"/>
      <c r="H63" s="595"/>
      <c r="I63" s="595"/>
      <c r="J63" s="595"/>
      <c r="K63" s="595"/>
      <c r="L63" s="595"/>
      <c r="M63" s="595"/>
      <c r="N63" s="595"/>
      <c r="O63" s="595"/>
      <c r="P63" s="595"/>
      <c r="Q63" s="595"/>
      <c r="R63" s="595"/>
      <c r="S63" s="595"/>
      <c r="T63" s="595"/>
      <c r="U63" s="595"/>
      <c r="V63" s="596"/>
      <c r="W63" s="597"/>
      <c r="X63" s="543"/>
    </row>
    <row r="64" spans="1:25" x14ac:dyDescent="0.3">
      <c r="A64" s="515"/>
      <c r="B64" s="521" t="s">
        <v>17</v>
      </c>
      <c r="C64" s="516"/>
      <c r="D64" s="516"/>
      <c r="E64" s="516"/>
      <c r="F64" s="516"/>
      <c r="G64" s="516"/>
      <c r="H64" s="516"/>
      <c r="I64" s="516"/>
      <c r="J64" s="516"/>
      <c r="K64" s="516"/>
      <c r="L64" s="516"/>
      <c r="M64" s="516"/>
      <c r="N64" s="516"/>
      <c r="O64" s="516"/>
      <c r="P64" s="516"/>
      <c r="Q64" s="516"/>
      <c r="R64" s="516"/>
      <c r="S64" s="516"/>
      <c r="T64" s="516"/>
      <c r="U64" s="516"/>
      <c r="V64" s="522"/>
      <c r="W64" s="516"/>
      <c r="X64" s="415"/>
    </row>
    <row r="65" spans="1:24" x14ac:dyDescent="0.3">
      <c r="A65" s="417"/>
      <c r="B65" s="425"/>
      <c r="C65" s="419"/>
      <c r="D65" s="419"/>
      <c r="E65" s="419"/>
      <c r="F65" s="419"/>
      <c r="G65" s="419"/>
      <c r="H65" s="419"/>
      <c r="I65" s="419"/>
      <c r="J65" s="419"/>
      <c r="K65" s="419"/>
      <c r="L65" s="419"/>
      <c r="M65" s="419"/>
      <c r="N65" s="419"/>
      <c r="O65" s="419"/>
      <c r="P65" s="419"/>
      <c r="Q65" s="419"/>
      <c r="R65" s="419"/>
      <c r="S65" s="419"/>
      <c r="T65" s="419"/>
      <c r="U65" s="419"/>
      <c r="V65" s="439"/>
      <c r="W65" s="419"/>
      <c r="X65" s="415"/>
    </row>
    <row r="66" spans="1:24" s="499" customFormat="1" ht="46.8" x14ac:dyDescent="0.3">
      <c r="A66" s="502"/>
      <c r="B66" s="503" t="s">
        <v>18</v>
      </c>
      <c r="C66" s="504"/>
      <c r="D66" s="504"/>
      <c r="E66" s="504"/>
      <c r="F66" s="504"/>
      <c r="G66" s="504"/>
      <c r="H66" s="504"/>
      <c r="I66" s="504"/>
      <c r="J66" s="504"/>
      <c r="K66" s="504"/>
      <c r="L66" s="504" t="s">
        <v>94</v>
      </c>
      <c r="M66" s="504"/>
      <c r="N66" s="504" t="s">
        <v>96</v>
      </c>
      <c r="O66" s="504"/>
      <c r="P66" s="504" t="s">
        <v>98</v>
      </c>
      <c r="Q66" s="504"/>
      <c r="R66" s="504" t="s">
        <v>100</v>
      </c>
      <c r="S66" s="504"/>
      <c r="T66" s="504" t="s">
        <v>106</v>
      </c>
      <c r="U66" s="504"/>
      <c r="V66" s="505" t="s">
        <v>112</v>
      </c>
      <c r="W66" s="506"/>
      <c r="X66" s="498"/>
    </row>
    <row r="67" spans="1:24" s="544" customFormat="1" x14ac:dyDescent="0.3">
      <c r="A67" s="555"/>
      <c r="B67" s="556" t="s">
        <v>19</v>
      </c>
      <c r="C67" s="598"/>
      <c r="D67" s="598"/>
      <c r="E67" s="598"/>
      <c r="F67" s="598"/>
      <c r="G67" s="598"/>
      <c r="H67" s="598"/>
      <c r="I67" s="598"/>
      <c r="J67" s="598"/>
      <c r="K67" s="598"/>
      <c r="L67" s="598">
        <v>1158015</v>
      </c>
      <c r="M67" s="598"/>
      <c r="N67" s="599">
        <v>769114</v>
      </c>
      <c r="O67" s="598"/>
      <c r="P67" s="598">
        <f>14562</f>
        <v>14562</v>
      </c>
      <c r="Q67" s="598"/>
      <c r="R67" s="598">
        <v>0</v>
      </c>
      <c r="S67" s="598"/>
      <c r="T67" s="598">
        <v>0</v>
      </c>
      <c r="U67" s="598"/>
      <c r="V67" s="599">
        <f>+N67-P67+R67-T67</f>
        <v>754552</v>
      </c>
      <c r="W67" s="558"/>
      <c r="X67" s="543"/>
    </row>
    <row r="68" spans="1:24" s="544" customFormat="1" x14ac:dyDescent="0.3">
      <c r="A68" s="555"/>
      <c r="B68" s="556" t="s">
        <v>20</v>
      </c>
      <c r="C68" s="598"/>
      <c r="D68" s="598"/>
      <c r="E68" s="598"/>
      <c r="F68" s="598"/>
      <c r="G68" s="598"/>
      <c r="H68" s="598"/>
      <c r="I68" s="598"/>
      <c r="J68" s="598"/>
      <c r="K68" s="598"/>
      <c r="L68" s="598">
        <v>15</v>
      </c>
      <c r="M68" s="598"/>
      <c r="N68" s="599">
        <v>0</v>
      </c>
      <c r="O68" s="598"/>
      <c r="P68" s="598">
        <v>0</v>
      </c>
      <c r="Q68" s="598"/>
      <c r="R68" s="598">
        <v>0</v>
      </c>
      <c r="S68" s="598"/>
      <c r="T68" s="598">
        <v>0</v>
      </c>
      <c r="U68" s="598"/>
      <c r="V68" s="599">
        <v>0</v>
      </c>
      <c r="W68" s="558"/>
      <c r="X68" s="543"/>
    </row>
    <row r="69" spans="1:24" s="544" customFormat="1" x14ac:dyDescent="0.3">
      <c r="A69" s="555"/>
      <c r="B69" s="556"/>
      <c r="C69" s="598"/>
      <c r="D69" s="598"/>
      <c r="E69" s="598"/>
      <c r="F69" s="598"/>
      <c r="G69" s="598"/>
      <c r="H69" s="598"/>
      <c r="I69" s="598"/>
      <c r="J69" s="598"/>
      <c r="K69" s="598"/>
      <c r="L69" s="598"/>
      <c r="M69" s="598"/>
      <c r="N69" s="599"/>
      <c r="O69" s="598"/>
      <c r="P69" s="598"/>
      <c r="Q69" s="598"/>
      <c r="R69" s="598"/>
      <c r="S69" s="598"/>
      <c r="T69" s="598"/>
      <c r="U69" s="598"/>
      <c r="V69" s="599"/>
      <c r="W69" s="558"/>
      <c r="X69" s="543"/>
    </row>
    <row r="70" spans="1:24" s="544" customFormat="1" x14ac:dyDescent="0.3">
      <c r="A70" s="555"/>
      <c r="B70" s="556" t="s">
        <v>21</v>
      </c>
      <c r="C70" s="598"/>
      <c r="D70" s="598"/>
      <c r="E70" s="598"/>
      <c r="F70" s="598"/>
      <c r="G70" s="598"/>
      <c r="H70" s="598"/>
      <c r="I70" s="598"/>
      <c r="J70" s="598"/>
      <c r="K70" s="598"/>
      <c r="L70" s="598">
        <f>SUM(L67:L69)</f>
        <v>1158030</v>
      </c>
      <c r="M70" s="598"/>
      <c r="N70" s="598">
        <f>N67+N68</f>
        <v>769114</v>
      </c>
      <c r="O70" s="598"/>
      <c r="P70" s="598">
        <f>SUM(P67:P69)</f>
        <v>14562</v>
      </c>
      <c r="Q70" s="598"/>
      <c r="R70" s="598">
        <f>SUM(R67:R69)</f>
        <v>0</v>
      </c>
      <c r="S70" s="598"/>
      <c r="T70" s="598">
        <f>SUM(T67:T69)</f>
        <v>0</v>
      </c>
      <c r="U70" s="598"/>
      <c r="V70" s="598">
        <f>SUM(V67:V69)</f>
        <v>754552</v>
      </c>
      <c r="W70" s="558"/>
      <c r="X70" s="543"/>
    </row>
    <row r="71" spans="1:24" x14ac:dyDescent="0.3">
      <c r="A71" s="417"/>
      <c r="B71" s="441"/>
      <c r="C71" s="442"/>
      <c r="D71" s="442"/>
      <c r="E71" s="442"/>
      <c r="F71" s="442"/>
      <c r="G71" s="442"/>
      <c r="H71" s="442"/>
      <c r="I71" s="442"/>
      <c r="J71" s="442"/>
      <c r="K71" s="442"/>
      <c r="L71" s="442"/>
      <c r="M71" s="442"/>
      <c r="N71" s="442"/>
      <c r="O71" s="442"/>
      <c r="P71" s="442"/>
      <c r="Q71" s="442"/>
      <c r="R71" s="442"/>
      <c r="S71" s="442"/>
      <c r="T71" s="442"/>
      <c r="U71" s="442"/>
      <c r="V71" s="443"/>
      <c r="W71" s="441"/>
      <c r="X71" s="415"/>
    </row>
    <row r="72" spans="1:24" x14ac:dyDescent="0.3">
      <c r="A72" s="417"/>
      <c r="B72" s="421" t="s">
        <v>22</v>
      </c>
      <c r="C72" s="444"/>
      <c r="D72" s="444"/>
      <c r="E72" s="444"/>
      <c r="F72" s="444"/>
      <c r="G72" s="444"/>
      <c r="H72" s="444"/>
      <c r="I72" s="444"/>
      <c r="J72" s="444"/>
      <c r="K72" s="444"/>
      <c r="L72" s="444"/>
      <c r="M72" s="444"/>
      <c r="N72" s="444"/>
      <c r="O72" s="444"/>
      <c r="P72" s="444"/>
      <c r="Q72" s="444"/>
      <c r="R72" s="444"/>
      <c r="S72" s="444"/>
      <c r="T72" s="444"/>
      <c r="U72" s="444"/>
      <c r="V72" s="445"/>
      <c r="W72" s="419"/>
      <c r="X72" s="415"/>
    </row>
    <row r="73" spans="1:24" x14ac:dyDescent="0.3">
      <c r="A73" s="417"/>
      <c r="B73" s="419"/>
      <c r="C73" s="444"/>
      <c r="D73" s="444"/>
      <c r="E73" s="444"/>
      <c r="F73" s="444"/>
      <c r="G73" s="444"/>
      <c r="H73" s="444"/>
      <c r="I73" s="444"/>
      <c r="J73" s="444"/>
      <c r="K73" s="444"/>
      <c r="L73" s="444"/>
      <c r="M73" s="444"/>
      <c r="N73" s="444"/>
      <c r="O73" s="444"/>
      <c r="P73" s="444"/>
      <c r="Q73" s="444"/>
      <c r="R73" s="444"/>
      <c r="S73" s="444"/>
      <c r="T73" s="444"/>
      <c r="U73" s="444"/>
      <c r="V73" s="445"/>
      <c r="W73" s="419"/>
      <c r="X73" s="415"/>
    </row>
    <row r="74" spans="1:24" s="544" customFormat="1" x14ac:dyDescent="0.3">
      <c r="A74" s="555"/>
      <c r="B74" s="556" t="s">
        <v>19</v>
      </c>
      <c r="C74" s="598"/>
      <c r="D74" s="598"/>
      <c r="E74" s="598"/>
      <c r="F74" s="598"/>
      <c r="G74" s="598"/>
      <c r="H74" s="598"/>
      <c r="I74" s="598"/>
      <c r="J74" s="598"/>
      <c r="K74" s="598"/>
      <c r="L74" s="598"/>
      <c r="M74" s="598"/>
      <c r="N74" s="598"/>
      <c r="O74" s="598"/>
      <c r="P74" s="598"/>
      <c r="Q74" s="598"/>
      <c r="R74" s="598"/>
      <c r="S74" s="598"/>
      <c r="T74" s="598"/>
      <c r="U74" s="598"/>
      <c r="V74" s="598"/>
      <c r="W74" s="558"/>
      <c r="X74" s="543"/>
    </row>
    <row r="75" spans="1:24" s="544" customFormat="1" x14ac:dyDescent="0.3">
      <c r="A75" s="555"/>
      <c r="B75" s="556" t="s">
        <v>20</v>
      </c>
      <c r="C75" s="598"/>
      <c r="D75" s="598"/>
      <c r="E75" s="598"/>
      <c r="F75" s="598"/>
      <c r="G75" s="598"/>
      <c r="H75" s="598"/>
      <c r="I75" s="598"/>
      <c r="J75" s="598"/>
      <c r="K75" s="598"/>
      <c r="L75" s="598"/>
      <c r="M75" s="598"/>
      <c r="N75" s="598"/>
      <c r="O75" s="598"/>
      <c r="P75" s="598"/>
      <c r="Q75" s="598"/>
      <c r="R75" s="598"/>
      <c r="S75" s="598"/>
      <c r="T75" s="598"/>
      <c r="U75" s="598"/>
      <c r="V75" s="598"/>
      <c r="W75" s="558"/>
      <c r="X75" s="543"/>
    </row>
    <row r="76" spans="1:24" s="544" customFormat="1" x14ac:dyDescent="0.3">
      <c r="A76" s="555"/>
      <c r="B76" s="556"/>
      <c r="C76" s="598"/>
      <c r="D76" s="598"/>
      <c r="E76" s="598"/>
      <c r="F76" s="598"/>
      <c r="G76" s="598"/>
      <c r="H76" s="598"/>
      <c r="I76" s="598"/>
      <c r="J76" s="598"/>
      <c r="K76" s="598"/>
      <c r="L76" s="598"/>
      <c r="M76" s="598"/>
      <c r="N76" s="598"/>
      <c r="O76" s="598"/>
      <c r="P76" s="598"/>
      <c r="Q76" s="598"/>
      <c r="R76" s="598"/>
      <c r="S76" s="598"/>
      <c r="T76" s="598"/>
      <c r="U76" s="598"/>
      <c r="V76" s="598"/>
      <c r="W76" s="558"/>
      <c r="X76" s="543"/>
    </row>
    <row r="77" spans="1:24" s="544" customFormat="1" x14ac:dyDescent="0.3">
      <c r="A77" s="555"/>
      <c r="B77" s="556" t="s">
        <v>21</v>
      </c>
      <c r="C77" s="598"/>
      <c r="D77" s="598"/>
      <c r="E77" s="598"/>
      <c r="F77" s="598"/>
      <c r="G77" s="598"/>
      <c r="H77" s="598"/>
      <c r="I77" s="598"/>
      <c r="J77" s="598"/>
      <c r="K77" s="598"/>
      <c r="L77" s="598"/>
      <c r="M77" s="598"/>
      <c r="N77" s="598"/>
      <c r="O77" s="598"/>
      <c r="P77" s="598"/>
      <c r="Q77" s="598"/>
      <c r="R77" s="598"/>
      <c r="S77" s="598"/>
      <c r="T77" s="598"/>
      <c r="U77" s="598"/>
      <c r="V77" s="598"/>
      <c r="W77" s="558"/>
      <c r="X77" s="543"/>
    </row>
    <row r="78" spans="1:24" s="544" customFormat="1" x14ac:dyDescent="0.3">
      <c r="A78" s="555"/>
      <c r="B78" s="556"/>
      <c r="C78" s="598"/>
      <c r="D78" s="598"/>
      <c r="E78" s="598"/>
      <c r="F78" s="598"/>
      <c r="G78" s="598"/>
      <c r="H78" s="598"/>
      <c r="I78" s="598"/>
      <c r="J78" s="598"/>
      <c r="K78" s="598"/>
      <c r="L78" s="598"/>
      <c r="M78" s="598"/>
      <c r="N78" s="598"/>
      <c r="O78" s="598"/>
      <c r="P78" s="598"/>
      <c r="Q78" s="598"/>
      <c r="R78" s="598"/>
      <c r="S78" s="598"/>
      <c r="T78" s="598"/>
      <c r="U78" s="598"/>
      <c r="V78" s="598"/>
      <c r="W78" s="558"/>
      <c r="X78" s="543"/>
    </row>
    <row r="79" spans="1:24" s="544" customFormat="1" x14ac:dyDescent="0.3">
      <c r="A79" s="555"/>
      <c r="B79" s="556" t="s">
        <v>23</v>
      </c>
      <c r="C79" s="598"/>
      <c r="D79" s="598"/>
      <c r="E79" s="598"/>
      <c r="F79" s="598"/>
      <c r="G79" s="598"/>
      <c r="H79" s="598"/>
      <c r="I79" s="598"/>
      <c r="J79" s="598"/>
      <c r="K79" s="598"/>
      <c r="L79" s="598">
        <v>0</v>
      </c>
      <c r="M79" s="598"/>
      <c r="N79" s="598">
        <v>0</v>
      </c>
      <c r="O79" s="598"/>
      <c r="P79" s="598"/>
      <c r="Q79" s="598"/>
      <c r="R79" s="598"/>
      <c r="S79" s="598"/>
      <c r="T79" s="598"/>
      <c r="U79" s="598"/>
      <c r="V79" s="599">
        <v>0</v>
      </c>
      <c r="W79" s="558"/>
      <c r="X79" s="543"/>
    </row>
    <row r="80" spans="1:24" s="544" customFormat="1" x14ac:dyDescent="0.3">
      <c r="A80" s="555"/>
      <c r="B80" s="556" t="s">
        <v>117</v>
      </c>
      <c r="C80" s="598"/>
      <c r="D80" s="598"/>
      <c r="E80" s="598"/>
      <c r="F80" s="598"/>
      <c r="G80" s="598"/>
      <c r="H80" s="598"/>
      <c r="I80" s="598"/>
      <c r="J80" s="598"/>
      <c r="K80" s="598"/>
      <c r="L80" s="598">
        <v>342245</v>
      </c>
      <c r="M80" s="598"/>
      <c r="N80" s="598">
        <v>0</v>
      </c>
      <c r="O80" s="598"/>
      <c r="P80" s="598">
        <v>0</v>
      </c>
      <c r="Q80" s="598"/>
      <c r="R80" s="598"/>
      <c r="S80" s="598"/>
      <c r="T80" s="598"/>
      <c r="U80" s="598"/>
      <c r="V80" s="598">
        <f>SUM(N80:R80)</f>
        <v>0</v>
      </c>
      <c r="W80" s="558"/>
      <c r="X80" s="543"/>
    </row>
    <row r="81" spans="1:24" s="544" customFormat="1" x14ac:dyDescent="0.3">
      <c r="A81" s="555"/>
      <c r="B81" s="556" t="s">
        <v>146</v>
      </c>
      <c r="C81" s="598"/>
      <c r="D81" s="598"/>
      <c r="E81" s="598"/>
      <c r="F81" s="598"/>
      <c r="G81" s="598"/>
      <c r="H81" s="598"/>
      <c r="I81" s="598"/>
      <c r="J81" s="598"/>
      <c r="K81" s="598"/>
      <c r="L81" s="598">
        <v>0</v>
      </c>
      <c r="M81" s="598"/>
      <c r="N81" s="598">
        <v>0</v>
      </c>
      <c r="O81" s="598"/>
      <c r="P81" s="598">
        <v>0</v>
      </c>
      <c r="Q81" s="598"/>
      <c r="R81" s="598"/>
      <c r="S81" s="598"/>
      <c r="T81" s="598"/>
      <c r="U81" s="598"/>
      <c r="V81" s="598">
        <f>+N81+P81</f>
        <v>0</v>
      </c>
      <c r="W81" s="558"/>
      <c r="X81" s="543"/>
    </row>
    <row r="82" spans="1:24" s="544" customFormat="1" x14ac:dyDescent="0.3">
      <c r="A82" s="555"/>
      <c r="B82" s="556" t="s">
        <v>25</v>
      </c>
      <c r="C82" s="598"/>
      <c r="D82" s="598"/>
      <c r="E82" s="598"/>
      <c r="F82" s="598"/>
      <c r="G82" s="598"/>
      <c r="H82" s="598"/>
      <c r="I82" s="598"/>
      <c r="J82" s="598"/>
      <c r="K82" s="598"/>
      <c r="L82" s="598">
        <v>0</v>
      </c>
      <c r="M82" s="598"/>
      <c r="N82" s="598">
        <v>0</v>
      </c>
      <c r="O82" s="598"/>
      <c r="P82" s="598"/>
      <c r="Q82" s="598"/>
      <c r="R82" s="598"/>
      <c r="S82" s="598"/>
      <c r="T82" s="598"/>
      <c r="U82" s="598"/>
      <c r="V82" s="598">
        <v>0</v>
      </c>
      <c r="W82" s="558"/>
      <c r="X82" s="543"/>
    </row>
    <row r="83" spans="1:24" s="544" customFormat="1" x14ac:dyDescent="0.3">
      <c r="A83" s="555"/>
      <c r="B83" s="556" t="s">
        <v>26</v>
      </c>
      <c r="C83" s="598"/>
      <c r="D83" s="598"/>
      <c r="E83" s="598"/>
      <c r="F83" s="598"/>
      <c r="G83" s="598"/>
      <c r="H83" s="598"/>
      <c r="I83" s="598"/>
      <c r="J83" s="598"/>
      <c r="K83" s="598"/>
      <c r="L83" s="598">
        <f>SUM(L70:L82)</f>
        <v>1500275</v>
      </c>
      <c r="M83" s="598"/>
      <c r="N83" s="598">
        <f>SUM(N70:N82)</f>
        <v>769114</v>
      </c>
      <c r="O83" s="598"/>
      <c r="P83" s="598"/>
      <c r="Q83" s="598"/>
      <c r="R83" s="598"/>
      <c r="S83" s="598"/>
      <c r="T83" s="598"/>
      <c r="U83" s="598"/>
      <c r="V83" s="598">
        <f>SUM(V70:V82)</f>
        <v>754552</v>
      </c>
      <c r="W83" s="558"/>
      <c r="X83" s="543"/>
    </row>
    <row r="84" spans="1:24" x14ac:dyDescent="0.3">
      <c r="A84" s="446"/>
      <c r="B84" s="437"/>
      <c r="C84" s="447"/>
      <c r="D84" s="447"/>
      <c r="E84" s="447"/>
      <c r="F84" s="447"/>
      <c r="G84" s="447"/>
      <c r="H84" s="447"/>
      <c r="I84" s="447"/>
      <c r="J84" s="447"/>
      <c r="K84" s="447"/>
      <c r="L84" s="447"/>
      <c r="M84" s="447"/>
      <c r="N84" s="447"/>
      <c r="O84" s="447"/>
      <c r="P84" s="447"/>
      <c r="Q84" s="447"/>
      <c r="R84" s="447"/>
      <c r="S84" s="447"/>
      <c r="T84" s="447"/>
      <c r="U84" s="447"/>
      <c r="V84" s="447"/>
      <c r="W84" s="437"/>
      <c r="X84" s="415"/>
    </row>
    <row r="85" spans="1:24" x14ac:dyDescent="0.3">
      <c r="A85" s="446"/>
      <c r="B85" s="427"/>
      <c r="C85" s="427"/>
      <c r="D85" s="427"/>
      <c r="E85" s="427"/>
      <c r="F85" s="427"/>
      <c r="G85" s="427"/>
      <c r="H85" s="427"/>
      <c r="I85" s="427"/>
      <c r="J85" s="427"/>
      <c r="K85" s="427"/>
      <c r="L85" s="427"/>
      <c r="M85" s="427"/>
      <c r="N85" s="427"/>
      <c r="O85" s="427"/>
      <c r="P85" s="427"/>
      <c r="Q85" s="427"/>
      <c r="R85" s="427"/>
      <c r="S85" s="427"/>
      <c r="T85" s="427"/>
      <c r="U85" s="427"/>
      <c r="V85" s="427"/>
      <c r="W85" s="427"/>
      <c r="X85" s="415"/>
    </row>
    <row r="86" spans="1:24" x14ac:dyDescent="0.3">
      <c r="A86" s="515"/>
      <c r="B86" s="523" t="s">
        <v>27</v>
      </c>
      <c r="C86" s="523"/>
      <c r="D86" s="523"/>
      <c r="E86" s="523"/>
      <c r="F86" s="523"/>
      <c r="G86" s="523"/>
      <c r="H86" s="524"/>
      <c r="I86" s="524"/>
      <c r="J86" s="524"/>
      <c r="K86" s="524"/>
      <c r="L86" s="525" t="s">
        <v>95</v>
      </c>
      <c r="M86" s="524"/>
      <c r="N86" s="526">
        <f>+T207</f>
        <v>43707</v>
      </c>
      <c r="O86" s="524"/>
      <c r="P86" s="524"/>
      <c r="Q86" s="524"/>
      <c r="R86" s="524"/>
      <c r="S86" s="524"/>
      <c r="T86" s="524" t="s">
        <v>107</v>
      </c>
      <c r="U86" s="524"/>
      <c r="V86" s="524" t="s">
        <v>113</v>
      </c>
      <c r="W86" s="520"/>
      <c r="X86" s="415"/>
    </row>
    <row r="87" spans="1:24" s="544" customFormat="1" x14ac:dyDescent="0.3">
      <c r="A87" s="540"/>
      <c r="B87" s="588" t="s">
        <v>28</v>
      </c>
      <c r="C87" s="588"/>
      <c r="D87" s="588"/>
      <c r="E87" s="588"/>
      <c r="F87" s="588"/>
      <c r="G87" s="588"/>
      <c r="H87" s="588"/>
      <c r="I87" s="588"/>
      <c r="J87" s="588"/>
      <c r="K87" s="588"/>
      <c r="L87" s="588"/>
      <c r="M87" s="588"/>
      <c r="N87" s="588"/>
      <c r="O87" s="588"/>
      <c r="P87" s="588"/>
      <c r="Q87" s="588"/>
      <c r="R87" s="588"/>
      <c r="S87" s="588"/>
      <c r="T87" s="600">
        <v>0</v>
      </c>
      <c r="U87" s="588"/>
      <c r="V87" s="601">
        <v>0</v>
      </c>
      <c r="W87" s="588"/>
      <c r="X87" s="543"/>
    </row>
    <row r="88" spans="1:24" s="544" customFormat="1" x14ac:dyDescent="0.3">
      <c r="A88" s="555"/>
      <c r="B88" s="556" t="s">
        <v>29</v>
      </c>
      <c r="C88" s="556"/>
      <c r="D88" s="556"/>
      <c r="E88" s="556"/>
      <c r="F88" s="556"/>
      <c r="G88" s="556"/>
      <c r="H88" s="578"/>
      <c r="I88" s="578"/>
      <c r="J88" s="578"/>
      <c r="K88" s="602"/>
      <c r="L88" s="578"/>
      <c r="M88" s="556"/>
      <c r="N88" s="603"/>
      <c r="O88" s="556"/>
      <c r="P88" s="556"/>
      <c r="Q88" s="556"/>
      <c r="R88" s="556"/>
      <c r="S88" s="556"/>
      <c r="T88" s="598">
        <f>14562+105</f>
        <v>14667</v>
      </c>
      <c r="U88" s="556"/>
      <c r="V88" s="599"/>
      <c r="W88" s="558"/>
      <c r="X88" s="543"/>
    </row>
    <row r="89" spans="1:24" s="544" customFormat="1" x14ac:dyDescent="0.3">
      <c r="A89" s="555"/>
      <c r="B89" s="556" t="s">
        <v>216</v>
      </c>
      <c r="C89" s="556"/>
      <c r="D89" s="556"/>
      <c r="E89" s="556"/>
      <c r="F89" s="556"/>
      <c r="G89" s="556"/>
      <c r="H89" s="578"/>
      <c r="I89" s="578"/>
      <c r="J89" s="578"/>
      <c r="K89" s="602"/>
      <c r="L89" s="578"/>
      <c r="M89" s="556"/>
      <c r="N89" s="603"/>
      <c r="O89" s="556"/>
      <c r="P89" s="556"/>
      <c r="Q89" s="556"/>
      <c r="R89" s="556"/>
      <c r="S89" s="556"/>
      <c r="T89" s="598"/>
      <c r="U89" s="556"/>
      <c r="V89" s="599">
        <f>3276+3905-608-1581</f>
        <v>4992</v>
      </c>
      <c r="W89" s="558"/>
      <c r="X89" s="543"/>
    </row>
    <row r="90" spans="1:24" s="544" customFormat="1" x14ac:dyDescent="0.3">
      <c r="A90" s="555"/>
      <c r="B90" s="556" t="s">
        <v>211</v>
      </c>
      <c r="C90" s="556"/>
      <c r="D90" s="556"/>
      <c r="E90" s="556"/>
      <c r="F90" s="556"/>
      <c r="G90" s="556"/>
      <c r="H90" s="578"/>
      <c r="I90" s="578"/>
      <c r="J90" s="578"/>
      <c r="K90" s="602"/>
      <c r="L90" s="578"/>
      <c r="M90" s="556"/>
      <c r="N90" s="603"/>
      <c r="O90" s="556"/>
      <c r="P90" s="556"/>
      <c r="Q90" s="556"/>
      <c r="R90" s="556"/>
      <c r="S90" s="556"/>
      <c r="T90" s="598"/>
      <c r="U90" s="556"/>
      <c r="V90" s="599">
        <f>20+54</f>
        <v>74</v>
      </c>
      <c r="W90" s="558"/>
      <c r="X90" s="543"/>
    </row>
    <row r="91" spans="1:24" s="544" customFormat="1" x14ac:dyDescent="0.3">
      <c r="A91" s="555"/>
      <c r="B91" s="556" t="s">
        <v>212</v>
      </c>
      <c r="C91" s="556"/>
      <c r="D91" s="556"/>
      <c r="E91" s="556"/>
      <c r="F91" s="556"/>
      <c r="G91" s="556"/>
      <c r="H91" s="578"/>
      <c r="I91" s="578"/>
      <c r="J91" s="578"/>
      <c r="K91" s="602"/>
      <c r="L91" s="578"/>
      <c r="M91" s="556"/>
      <c r="N91" s="603"/>
      <c r="O91" s="556"/>
      <c r="P91" s="556"/>
      <c r="Q91" s="556"/>
      <c r="R91" s="556"/>
      <c r="S91" s="556"/>
      <c r="T91" s="598"/>
      <c r="U91" s="556"/>
      <c r="V91" s="599">
        <v>74</v>
      </c>
      <c r="W91" s="558"/>
      <c r="X91" s="543"/>
    </row>
    <row r="92" spans="1:24" s="544" customFormat="1" x14ac:dyDescent="0.3">
      <c r="A92" s="555"/>
      <c r="B92" s="556" t="s">
        <v>272</v>
      </c>
      <c r="C92" s="556"/>
      <c r="D92" s="556"/>
      <c r="E92" s="556"/>
      <c r="F92" s="556"/>
      <c r="G92" s="556"/>
      <c r="H92" s="578"/>
      <c r="I92" s="578"/>
      <c r="J92" s="578"/>
      <c r="K92" s="602"/>
      <c r="L92" s="578"/>
      <c r="M92" s="556"/>
      <c r="N92" s="603"/>
      <c r="O92" s="556"/>
      <c r="P92" s="556"/>
      <c r="Q92" s="556"/>
      <c r="R92" s="556"/>
      <c r="S92" s="556"/>
      <c r="T92" s="598"/>
      <c r="U92" s="556"/>
      <c r="V92" s="599">
        <v>0</v>
      </c>
      <c r="W92" s="558"/>
      <c r="X92" s="543"/>
    </row>
    <row r="93" spans="1:24" s="544" customFormat="1" x14ac:dyDescent="0.3">
      <c r="A93" s="555"/>
      <c r="B93" s="556" t="s">
        <v>274</v>
      </c>
      <c r="C93" s="556"/>
      <c r="D93" s="556"/>
      <c r="E93" s="556"/>
      <c r="F93" s="556"/>
      <c r="G93" s="556"/>
      <c r="H93" s="578"/>
      <c r="I93" s="578"/>
      <c r="J93" s="578"/>
      <c r="K93" s="602"/>
      <c r="L93" s="578"/>
      <c r="M93" s="556"/>
      <c r="N93" s="603"/>
      <c r="O93" s="556"/>
      <c r="P93" s="556"/>
      <c r="Q93" s="556"/>
      <c r="R93" s="556"/>
      <c r="S93" s="556"/>
      <c r="T93" s="598"/>
      <c r="U93" s="556"/>
      <c r="V93" s="599">
        <v>0</v>
      </c>
      <c r="W93" s="558"/>
      <c r="X93" s="543"/>
    </row>
    <row r="94" spans="1:24" s="544" customFormat="1" x14ac:dyDescent="0.3">
      <c r="A94" s="555"/>
      <c r="B94" s="556" t="s">
        <v>135</v>
      </c>
      <c r="C94" s="556"/>
      <c r="D94" s="556"/>
      <c r="E94" s="556"/>
      <c r="F94" s="556"/>
      <c r="G94" s="556"/>
      <c r="H94" s="556"/>
      <c r="I94" s="556"/>
      <c r="J94" s="556"/>
      <c r="K94" s="556"/>
      <c r="L94" s="556"/>
      <c r="M94" s="556"/>
      <c r="N94" s="556"/>
      <c r="O94" s="556"/>
      <c r="P94" s="556"/>
      <c r="Q94" s="556"/>
      <c r="R94" s="556"/>
      <c r="S94" s="556"/>
      <c r="T94" s="598"/>
      <c r="U94" s="556"/>
      <c r="V94" s="599">
        <v>0</v>
      </c>
      <c r="W94" s="558"/>
      <c r="X94" s="543"/>
    </row>
    <row r="95" spans="1:24" s="544" customFormat="1" x14ac:dyDescent="0.3">
      <c r="A95" s="555"/>
      <c r="B95" s="556" t="s">
        <v>268</v>
      </c>
      <c r="C95" s="556"/>
      <c r="D95" s="556"/>
      <c r="E95" s="556"/>
      <c r="F95" s="556"/>
      <c r="G95" s="556"/>
      <c r="H95" s="556"/>
      <c r="I95" s="556"/>
      <c r="J95" s="556"/>
      <c r="K95" s="556"/>
      <c r="L95" s="556"/>
      <c r="M95" s="556"/>
      <c r="N95" s="556"/>
      <c r="O95" s="556"/>
      <c r="P95" s="556"/>
      <c r="Q95" s="556"/>
      <c r="R95" s="556"/>
      <c r="S95" s="556"/>
      <c r="T95" s="598"/>
      <c r="U95" s="556"/>
      <c r="V95" s="599">
        <v>95</v>
      </c>
      <c r="W95" s="558"/>
      <c r="X95" s="543"/>
    </row>
    <row r="96" spans="1:24" s="544" customFormat="1" x14ac:dyDescent="0.3">
      <c r="A96" s="555"/>
      <c r="B96" s="556" t="s">
        <v>30</v>
      </c>
      <c r="C96" s="556"/>
      <c r="D96" s="556"/>
      <c r="E96" s="556"/>
      <c r="F96" s="556"/>
      <c r="G96" s="556"/>
      <c r="H96" s="556"/>
      <c r="I96" s="556"/>
      <c r="J96" s="556"/>
      <c r="K96" s="556"/>
      <c r="L96" s="556"/>
      <c r="M96" s="556"/>
      <c r="N96" s="556"/>
      <c r="O96" s="556"/>
      <c r="P96" s="556"/>
      <c r="Q96" s="556"/>
      <c r="R96" s="556"/>
      <c r="S96" s="556"/>
      <c r="T96" s="598">
        <f>SUM(T87:T95)</f>
        <v>14667</v>
      </c>
      <c r="U96" s="556"/>
      <c r="V96" s="598">
        <f>SUM(V87:V95)</f>
        <v>5235</v>
      </c>
      <c r="W96" s="558"/>
      <c r="X96" s="543"/>
    </row>
    <row r="97" spans="1:25" s="544" customFormat="1" x14ac:dyDescent="0.3">
      <c r="A97" s="555"/>
      <c r="B97" s="556" t="s">
        <v>161</v>
      </c>
      <c r="C97" s="556"/>
      <c r="D97" s="556"/>
      <c r="E97" s="556"/>
      <c r="F97" s="556"/>
      <c r="G97" s="556"/>
      <c r="H97" s="556"/>
      <c r="I97" s="556"/>
      <c r="J97" s="556"/>
      <c r="K97" s="556"/>
      <c r="L97" s="556"/>
      <c r="M97" s="556"/>
      <c r="N97" s="556"/>
      <c r="O97" s="556"/>
      <c r="P97" s="556"/>
      <c r="Q97" s="556"/>
      <c r="R97" s="556"/>
      <c r="S97" s="556"/>
      <c r="T97" s="598">
        <f>-V97</f>
        <v>0</v>
      </c>
      <c r="U97" s="556"/>
      <c r="V97" s="598">
        <v>0</v>
      </c>
      <c r="W97" s="558"/>
      <c r="X97" s="543"/>
    </row>
    <row r="98" spans="1:25" s="544" customFormat="1" x14ac:dyDescent="0.3">
      <c r="A98" s="555"/>
      <c r="B98" s="556" t="s">
        <v>31</v>
      </c>
      <c r="C98" s="556"/>
      <c r="D98" s="556"/>
      <c r="E98" s="556"/>
      <c r="F98" s="556"/>
      <c r="G98" s="556"/>
      <c r="H98" s="556"/>
      <c r="I98" s="556"/>
      <c r="J98" s="556"/>
      <c r="K98" s="556"/>
      <c r="L98" s="556"/>
      <c r="M98" s="556"/>
      <c r="N98" s="556"/>
      <c r="O98" s="556"/>
      <c r="P98" s="556"/>
      <c r="Q98" s="556"/>
      <c r="R98" s="556"/>
      <c r="S98" s="556"/>
      <c r="T98" s="598">
        <f>-V98</f>
        <v>0</v>
      </c>
      <c r="U98" s="556"/>
      <c r="V98" s="599">
        <v>0</v>
      </c>
      <c r="W98" s="558"/>
      <c r="X98" s="543"/>
    </row>
    <row r="99" spans="1:25" s="544" customFormat="1" x14ac:dyDescent="0.3">
      <c r="A99" s="555"/>
      <c r="B99" s="556" t="s">
        <v>283</v>
      </c>
      <c r="C99" s="556"/>
      <c r="D99" s="556"/>
      <c r="E99" s="556"/>
      <c r="F99" s="556"/>
      <c r="G99" s="556"/>
      <c r="H99" s="556"/>
      <c r="I99" s="556"/>
      <c r="J99" s="556"/>
      <c r="K99" s="556"/>
      <c r="L99" s="556"/>
      <c r="M99" s="556"/>
      <c r="N99" s="556"/>
      <c r="O99" s="556"/>
      <c r="P99" s="556"/>
      <c r="Q99" s="556"/>
      <c r="R99" s="556"/>
      <c r="S99" s="556"/>
      <c r="T99" s="598"/>
      <c r="U99" s="556"/>
      <c r="V99" s="599">
        <v>-178</v>
      </c>
      <c r="W99" s="558"/>
      <c r="X99" s="543"/>
    </row>
    <row r="100" spans="1:25" s="544" customFormat="1" x14ac:dyDescent="0.3">
      <c r="A100" s="555"/>
      <c r="B100" s="556" t="s">
        <v>32</v>
      </c>
      <c r="C100" s="556"/>
      <c r="D100" s="556"/>
      <c r="E100" s="556"/>
      <c r="F100" s="556"/>
      <c r="G100" s="556"/>
      <c r="H100" s="556"/>
      <c r="I100" s="556"/>
      <c r="J100" s="556"/>
      <c r="K100" s="556"/>
      <c r="L100" s="556"/>
      <c r="M100" s="556"/>
      <c r="N100" s="556"/>
      <c r="O100" s="556"/>
      <c r="P100" s="556"/>
      <c r="Q100" s="556"/>
      <c r="R100" s="556"/>
      <c r="S100" s="556"/>
      <c r="T100" s="598">
        <f>T96+T98+T97</f>
        <v>14667</v>
      </c>
      <c r="U100" s="556"/>
      <c r="V100" s="598">
        <f>V96+V98+V97+V99</f>
        <v>5057</v>
      </c>
      <c r="W100" s="558"/>
      <c r="X100" s="543"/>
    </row>
    <row r="101" spans="1:25" x14ac:dyDescent="0.3">
      <c r="A101" s="431"/>
      <c r="B101" s="507" t="s">
        <v>33</v>
      </c>
      <c r="C101" s="434"/>
      <c r="D101" s="434"/>
      <c r="E101" s="434"/>
      <c r="F101" s="434"/>
      <c r="G101" s="434"/>
      <c r="H101" s="434"/>
      <c r="I101" s="434"/>
      <c r="J101" s="434"/>
      <c r="K101" s="434"/>
      <c r="L101" s="434"/>
      <c r="M101" s="434"/>
      <c r="N101" s="434"/>
      <c r="O101" s="434"/>
      <c r="P101" s="434"/>
      <c r="Q101" s="434"/>
      <c r="R101" s="434"/>
      <c r="S101" s="434"/>
      <c r="T101" s="448"/>
      <c r="U101" s="434"/>
      <c r="V101" s="449"/>
      <c r="W101" s="436"/>
      <c r="X101" s="415"/>
    </row>
    <row r="102" spans="1:25" s="544" customFormat="1" x14ac:dyDescent="0.3">
      <c r="A102" s="555">
        <v>1</v>
      </c>
      <c r="B102" s="556" t="s">
        <v>34</v>
      </c>
      <c r="C102" s="556"/>
      <c r="D102" s="556"/>
      <c r="E102" s="556"/>
      <c r="F102" s="556"/>
      <c r="G102" s="556"/>
      <c r="H102" s="556"/>
      <c r="I102" s="556"/>
      <c r="J102" s="556"/>
      <c r="K102" s="556"/>
      <c r="L102" s="556"/>
      <c r="M102" s="556"/>
      <c r="N102" s="556"/>
      <c r="O102" s="556"/>
      <c r="P102" s="556"/>
      <c r="Q102" s="556"/>
      <c r="R102" s="556"/>
      <c r="S102" s="556"/>
      <c r="T102" s="556"/>
      <c r="U102" s="556"/>
      <c r="V102" s="599">
        <v>0</v>
      </c>
      <c r="W102" s="558"/>
      <c r="X102" s="543"/>
    </row>
    <row r="103" spans="1:25" s="544" customFormat="1" x14ac:dyDescent="0.3">
      <c r="A103" s="555">
        <f>+A102+1</f>
        <v>2</v>
      </c>
      <c r="B103" s="556" t="s">
        <v>330</v>
      </c>
      <c r="C103" s="556"/>
      <c r="D103" s="556"/>
      <c r="E103" s="556"/>
      <c r="F103" s="556"/>
      <c r="G103" s="556"/>
      <c r="H103" s="556"/>
      <c r="I103" s="556"/>
      <c r="J103" s="556"/>
      <c r="K103" s="556"/>
      <c r="L103" s="556"/>
      <c r="M103" s="556"/>
      <c r="N103" s="556"/>
      <c r="O103" s="556"/>
      <c r="P103" s="556"/>
      <c r="Q103" s="556"/>
      <c r="R103" s="556"/>
      <c r="S103" s="556"/>
      <c r="T103" s="556"/>
      <c r="U103" s="556"/>
      <c r="V103" s="599">
        <v>-2</v>
      </c>
      <c r="W103" s="558"/>
      <c r="X103" s="543"/>
    </row>
    <row r="104" spans="1:25" s="544" customFormat="1" x14ac:dyDescent="0.3">
      <c r="A104" s="555">
        <f>+A103+1</f>
        <v>3</v>
      </c>
      <c r="B104" s="556" t="s">
        <v>331</v>
      </c>
      <c r="C104" s="556"/>
      <c r="D104" s="556"/>
      <c r="E104" s="556"/>
      <c r="F104" s="556"/>
      <c r="G104" s="556"/>
      <c r="H104" s="556"/>
      <c r="I104" s="556"/>
      <c r="J104" s="556"/>
      <c r="K104" s="556"/>
      <c r="L104" s="556"/>
      <c r="M104" s="556"/>
      <c r="N104" s="556"/>
      <c r="O104" s="556"/>
      <c r="P104" s="556"/>
      <c r="Q104" s="556"/>
      <c r="R104" s="556"/>
      <c r="S104" s="556"/>
      <c r="T104" s="556"/>
      <c r="U104" s="556"/>
      <c r="V104" s="599">
        <f>-98-162-11</f>
        <v>-271</v>
      </c>
      <c r="W104" s="558"/>
      <c r="X104" s="543"/>
    </row>
    <row r="105" spans="1:25" s="544" customFormat="1" x14ac:dyDescent="0.3">
      <c r="A105" s="555" t="s">
        <v>127</v>
      </c>
      <c r="B105" s="556" t="s">
        <v>116</v>
      </c>
      <c r="C105" s="556"/>
      <c r="D105" s="556"/>
      <c r="E105" s="556"/>
      <c r="F105" s="556"/>
      <c r="G105" s="556"/>
      <c r="H105" s="556"/>
      <c r="I105" s="556"/>
      <c r="J105" s="556"/>
      <c r="K105" s="556"/>
      <c r="L105" s="556"/>
      <c r="M105" s="556"/>
      <c r="N105" s="556"/>
      <c r="O105" s="556"/>
      <c r="P105" s="556"/>
      <c r="Q105" s="556"/>
      <c r="R105" s="556"/>
      <c r="S105" s="556"/>
      <c r="T105" s="556"/>
      <c r="U105" s="556"/>
      <c r="V105" s="599">
        <v>0</v>
      </c>
      <c r="W105" s="558"/>
      <c r="X105" s="543"/>
    </row>
    <row r="106" spans="1:25" s="544" customFormat="1" x14ac:dyDescent="0.3">
      <c r="A106" s="555" t="s">
        <v>128</v>
      </c>
      <c r="B106" s="556" t="s">
        <v>363</v>
      </c>
      <c r="C106" s="556"/>
      <c r="D106" s="556"/>
      <c r="E106" s="556"/>
      <c r="F106" s="556"/>
      <c r="G106" s="556"/>
      <c r="H106" s="556"/>
      <c r="I106" s="556"/>
      <c r="J106" s="556"/>
      <c r="K106" s="556"/>
      <c r="L106" s="556"/>
      <c r="M106" s="556"/>
      <c r="N106" s="556"/>
      <c r="O106" s="556"/>
      <c r="P106" s="556"/>
      <c r="Q106" s="556"/>
      <c r="R106" s="556"/>
      <c r="S106" s="556"/>
      <c r="T106" s="556"/>
      <c r="U106" s="556"/>
      <c r="V106" s="599">
        <f>-813-131</f>
        <v>-944</v>
      </c>
      <c r="W106" s="558"/>
      <c r="X106" s="543"/>
      <c r="Y106" s="604"/>
    </row>
    <row r="107" spans="1:25" s="544" customFormat="1" x14ac:dyDescent="0.3">
      <c r="A107" s="555" t="s">
        <v>150</v>
      </c>
      <c r="B107" s="556" t="s">
        <v>364</v>
      </c>
      <c r="C107" s="556"/>
      <c r="D107" s="556"/>
      <c r="E107" s="556"/>
      <c r="F107" s="556"/>
      <c r="G107" s="556"/>
      <c r="H107" s="556"/>
      <c r="I107" s="556"/>
      <c r="J107" s="556"/>
      <c r="K107" s="556"/>
      <c r="L107" s="556"/>
      <c r="M107" s="556"/>
      <c r="N107" s="556"/>
      <c r="O107" s="556"/>
      <c r="P107" s="556"/>
      <c r="Q107" s="556"/>
      <c r="R107" s="556"/>
      <c r="S107" s="556"/>
      <c r="T107" s="556"/>
      <c r="U107" s="556"/>
      <c r="V107" s="599">
        <f>-181-233</f>
        <v>-414</v>
      </c>
      <c r="W107" s="558"/>
      <c r="X107" s="543"/>
      <c r="Y107" s="604"/>
    </row>
    <row r="108" spans="1:25" s="544" customFormat="1" x14ac:dyDescent="0.3">
      <c r="A108" s="555" t="s">
        <v>236</v>
      </c>
      <c r="B108" s="556" t="s">
        <v>238</v>
      </c>
      <c r="C108" s="556"/>
      <c r="D108" s="556"/>
      <c r="E108" s="556"/>
      <c r="F108" s="556"/>
      <c r="G108" s="556"/>
      <c r="H108" s="556"/>
      <c r="I108" s="556"/>
      <c r="J108" s="556"/>
      <c r="K108" s="556"/>
      <c r="L108" s="556"/>
      <c r="M108" s="556"/>
      <c r="N108" s="556"/>
      <c r="O108" s="556"/>
      <c r="P108" s="556"/>
      <c r="Q108" s="556"/>
      <c r="R108" s="556"/>
      <c r="S108" s="556"/>
      <c r="T108" s="556"/>
      <c r="U108" s="556"/>
      <c r="V108" s="599">
        <v>0</v>
      </c>
      <c r="W108" s="558"/>
      <c r="X108" s="543"/>
    </row>
    <row r="109" spans="1:25" s="544" customFormat="1" x14ac:dyDescent="0.3">
      <c r="A109" s="555" t="s">
        <v>205</v>
      </c>
      <c r="B109" s="556" t="s">
        <v>185</v>
      </c>
      <c r="C109" s="556"/>
      <c r="D109" s="556"/>
      <c r="E109" s="556"/>
      <c r="F109" s="556"/>
      <c r="G109" s="556"/>
      <c r="H109" s="556"/>
      <c r="I109" s="556"/>
      <c r="J109" s="556"/>
      <c r="K109" s="556"/>
      <c r="L109" s="556"/>
      <c r="M109" s="556"/>
      <c r="N109" s="556"/>
      <c r="O109" s="556"/>
      <c r="P109" s="556"/>
      <c r="Q109" s="556"/>
      <c r="R109" s="556"/>
      <c r="S109" s="556"/>
      <c r="T109" s="556"/>
      <c r="U109" s="556"/>
      <c r="V109" s="599">
        <v>-183</v>
      </c>
      <c r="W109" s="558"/>
      <c r="X109" s="543"/>
      <c r="Y109" s="604"/>
    </row>
    <row r="110" spans="1:25" s="544" customFormat="1" x14ac:dyDescent="0.3">
      <c r="A110" s="555" t="s">
        <v>206</v>
      </c>
      <c r="B110" s="556" t="s">
        <v>186</v>
      </c>
      <c r="C110" s="556"/>
      <c r="D110" s="556"/>
      <c r="E110" s="556"/>
      <c r="F110" s="556"/>
      <c r="G110" s="556"/>
      <c r="H110" s="556"/>
      <c r="I110" s="556"/>
      <c r="J110" s="556"/>
      <c r="K110" s="556"/>
      <c r="L110" s="556"/>
      <c r="M110" s="556"/>
      <c r="N110" s="556"/>
      <c r="O110" s="556"/>
      <c r="P110" s="556"/>
      <c r="Q110" s="556"/>
      <c r="R110" s="556"/>
      <c r="S110" s="556"/>
      <c r="T110" s="556"/>
      <c r="U110" s="556"/>
      <c r="V110" s="599">
        <v>-148</v>
      </c>
      <c r="W110" s="558"/>
      <c r="X110" s="605"/>
      <c r="Y110" s="604"/>
    </row>
    <row r="111" spans="1:25" s="544" customFormat="1" x14ac:dyDescent="0.3">
      <c r="A111" s="555" t="s">
        <v>207</v>
      </c>
      <c r="B111" s="556" t="s">
        <v>196</v>
      </c>
      <c r="C111" s="556"/>
      <c r="D111" s="556"/>
      <c r="E111" s="556"/>
      <c r="F111" s="556"/>
      <c r="G111" s="556"/>
      <c r="H111" s="556"/>
      <c r="I111" s="556"/>
      <c r="J111" s="556"/>
      <c r="K111" s="556"/>
      <c r="L111" s="556"/>
      <c r="M111" s="556"/>
      <c r="N111" s="556"/>
      <c r="O111" s="556"/>
      <c r="P111" s="556"/>
      <c r="Q111" s="556"/>
      <c r="R111" s="556"/>
      <c r="S111" s="556"/>
      <c r="T111" s="556"/>
      <c r="U111" s="556"/>
      <c r="V111" s="599">
        <v>-382</v>
      </c>
      <c r="W111" s="558"/>
      <c r="X111" s="543"/>
      <c r="Y111" s="604"/>
    </row>
    <row r="112" spans="1:25" s="544" customFormat="1" x14ac:dyDescent="0.3">
      <c r="A112" s="555" t="s">
        <v>224</v>
      </c>
      <c r="B112" s="556" t="s">
        <v>223</v>
      </c>
      <c r="C112" s="556"/>
      <c r="D112" s="556"/>
      <c r="E112" s="556"/>
      <c r="F112" s="556"/>
      <c r="G112" s="556"/>
      <c r="H112" s="556"/>
      <c r="I112" s="556"/>
      <c r="J112" s="556"/>
      <c r="K112" s="556"/>
      <c r="L112" s="556"/>
      <c r="M112" s="556"/>
      <c r="N112" s="556"/>
      <c r="O112" s="556"/>
      <c r="P112" s="556"/>
      <c r="Q112" s="556"/>
      <c r="R112" s="556"/>
      <c r="S112" s="556"/>
      <c r="T112" s="556"/>
      <c r="U112" s="556"/>
      <c r="V112" s="599">
        <v>-77</v>
      </c>
      <c r="W112" s="558"/>
      <c r="X112" s="543"/>
      <c r="Y112" s="604"/>
    </row>
    <row r="113" spans="1:24" s="544" customFormat="1" x14ac:dyDescent="0.3">
      <c r="A113" s="555">
        <v>7</v>
      </c>
      <c r="B113" s="556" t="s">
        <v>35</v>
      </c>
      <c r="C113" s="556"/>
      <c r="D113" s="556"/>
      <c r="E113" s="556"/>
      <c r="F113" s="556"/>
      <c r="G113" s="556"/>
      <c r="H113" s="556"/>
      <c r="I113" s="556"/>
      <c r="J113" s="556"/>
      <c r="K113" s="556"/>
      <c r="L113" s="556"/>
      <c r="M113" s="556"/>
      <c r="N113" s="556"/>
      <c r="O113" s="556"/>
      <c r="P113" s="556"/>
      <c r="Q113" s="556"/>
      <c r="R113" s="556"/>
      <c r="S113" s="556"/>
      <c r="T113" s="556"/>
      <c r="U113" s="556"/>
      <c r="V113" s="599">
        <v>-8</v>
      </c>
      <c r="W113" s="558"/>
      <c r="X113" s="543"/>
    </row>
    <row r="114" spans="1:24" s="544" customFormat="1" x14ac:dyDescent="0.3">
      <c r="A114" s="555">
        <f t="shared" ref="A114:A123" si="0">+A113+1</f>
        <v>8</v>
      </c>
      <c r="B114" s="556" t="s">
        <v>45</v>
      </c>
      <c r="C114" s="556"/>
      <c r="D114" s="556"/>
      <c r="E114" s="556"/>
      <c r="F114" s="556"/>
      <c r="G114" s="556"/>
      <c r="H114" s="556"/>
      <c r="I114" s="556"/>
      <c r="J114" s="556"/>
      <c r="K114" s="556"/>
      <c r="L114" s="556"/>
      <c r="M114" s="556"/>
      <c r="N114" s="556"/>
      <c r="O114" s="556"/>
      <c r="P114" s="556"/>
      <c r="Q114" s="556"/>
      <c r="R114" s="556"/>
      <c r="S114" s="556"/>
      <c r="T114" s="598">
        <f>-V114</f>
        <v>-105</v>
      </c>
      <c r="U114" s="556"/>
      <c r="V114" s="599">
        <v>105</v>
      </c>
      <c r="W114" s="558"/>
      <c r="X114" s="543"/>
    </row>
    <row r="115" spans="1:24" s="544" customFormat="1" x14ac:dyDescent="0.3">
      <c r="A115" s="555">
        <f t="shared" si="0"/>
        <v>9</v>
      </c>
      <c r="B115" s="556" t="s">
        <v>125</v>
      </c>
      <c r="C115" s="556"/>
      <c r="D115" s="556"/>
      <c r="E115" s="556"/>
      <c r="F115" s="556"/>
      <c r="G115" s="556"/>
      <c r="H115" s="556"/>
      <c r="I115" s="556"/>
      <c r="J115" s="556"/>
      <c r="K115" s="556"/>
      <c r="L115" s="556"/>
      <c r="M115" s="556"/>
      <c r="N115" s="556"/>
      <c r="O115" s="556"/>
      <c r="P115" s="556"/>
      <c r="Q115" s="556"/>
      <c r="R115" s="556"/>
      <c r="S115" s="556"/>
      <c r="T115" s="556"/>
      <c r="U115" s="556"/>
      <c r="V115" s="599">
        <v>0</v>
      </c>
      <c r="W115" s="558"/>
      <c r="X115" s="543"/>
    </row>
    <row r="116" spans="1:24" s="544" customFormat="1" x14ac:dyDescent="0.3">
      <c r="A116" s="555">
        <f t="shared" si="0"/>
        <v>10</v>
      </c>
      <c r="B116" s="556" t="s">
        <v>240</v>
      </c>
      <c r="C116" s="556"/>
      <c r="D116" s="556"/>
      <c r="E116" s="556"/>
      <c r="F116" s="556"/>
      <c r="G116" s="556"/>
      <c r="H116" s="556"/>
      <c r="I116" s="556"/>
      <c r="J116" s="556"/>
      <c r="K116" s="556"/>
      <c r="L116" s="556"/>
      <c r="M116" s="556"/>
      <c r="N116" s="556"/>
      <c r="O116" s="556"/>
      <c r="P116" s="556"/>
      <c r="Q116" s="556"/>
      <c r="R116" s="556"/>
      <c r="S116" s="556"/>
      <c r="T116" s="556"/>
      <c r="U116" s="556"/>
      <c r="V116" s="599">
        <v>0</v>
      </c>
      <c r="W116" s="558"/>
      <c r="X116" s="543"/>
    </row>
    <row r="117" spans="1:24" s="544" customFormat="1" x14ac:dyDescent="0.3">
      <c r="A117" s="555">
        <f t="shared" si="0"/>
        <v>11</v>
      </c>
      <c r="B117" s="556" t="s">
        <v>36</v>
      </c>
      <c r="C117" s="556"/>
      <c r="D117" s="556"/>
      <c r="E117" s="556"/>
      <c r="F117" s="556"/>
      <c r="G117" s="556"/>
      <c r="H117" s="556"/>
      <c r="I117" s="556"/>
      <c r="J117" s="556"/>
      <c r="K117" s="556"/>
      <c r="L117" s="556"/>
      <c r="M117" s="556"/>
      <c r="N117" s="556"/>
      <c r="O117" s="556"/>
      <c r="P117" s="556"/>
      <c r="Q117" s="556"/>
      <c r="R117" s="556"/>
      <c r="S117" s="556"/>
      <c r="T117" s="556"/>
      <c r="U117" s="556"/>
      <c r="V117" s="599">
        <v>0</v>
      </c>
      <c r="W117" s="558"/>
      <c r="X117" s="543"/>
    </row>
    <row r="118" spans="1:24" s="544" customFormat="1" x14ac:dyDescent="0.3">
      <c r="A118" s="555">
        <f t="shared" si="0"/>
        <v>12</v>
      </c>
      <c r="B118" s="556" t="s">
        <v>239</v>
      </c>
      <c r="C118" s="556"/>
      <c r="D118" s="556"/>
      <c r="E118" s="556"/>
      <c r="F118" s="556"/>
      <c r="G118" s="556"/>
      <c r="H118" s="556"/>
      <c r="I118" s="556"/>
      <c r="J118" s="556"/>
      <c r="K118" s="556"/>
      <c r="L118" s="556"/>
      <c r="M118" s="556"/>
      <c r="N118" s="556"/>
      <c r="O118" s="556"/>
      <c r="P118" s="556"/>
      <c r="Q118" s="556"/>
      <c r="R118" s="556"/>
      <c r="S118" s="556"/>
      <c r="T118" s="556"/>
      <c r="U118" s="556"/>
      <c r="V118" s="599">
        <v>0</v>
      </c>
      <c r="W118" s="558"/>
      <c r="X118" s="543"/>
    </row>
    <row r="119" spans="1:24" s="544" customFormat="1" x14ac:dyDescent="0.3">
      <c r="A119" s="555">
        <f t="shared" si="0"/>
        <v>13</v>
      </c>
      <c r="B119" s="556" t="s">
        <v>149</v>
      </c>
      <c r="C119" s="556"/>
      <c r="D119" s="556"/>
      <c r="E119" s="556"/>
      <c r="F119" s="556"/>
      <c r="G119" s="556"/>
      <c r="H119" s="556"/>
      <c r="I119" s="556"/>
      <c r="J119" s="556"/>
      <c r="K119" s="556"/>
      <c r="L119" s="556"/>
      <c r="M119" s="556"/>
      <c r="N119" s="556"/>
      <c r="O119" s="556"/>
      <c r="P119" s="556"/>
      <c r="Q119" s="556"/>
      <c r="R119" s="556"/>
      <c r="S119" s="556"/>
      <c r="T119" s="556"/>
      <c r="U119" s="556"/>
      <c r="V119" s="599">
        <v>-491</v>
      </c>
      <c r="W119" s="558"/>
      <c r="X119" s="543"/>
    </row>
    <row r="120" spans="1:24" s="544" customFormat="1" x14ac:dyDescent="0.3">
      <c r="A120" s="555">
        <f t="shared" si="0"/>
        <v>14</v>
      </c>
      <c r="B120" s="641" t="s">
        <v>387</v>
      </c>
      <c r="C120" s="556"/>
      <c r="D120" s="556"/>
      <c r="E120" s="556"/>
      <c r="F120" s="556"/>
      <c r="G120" s="556"/>
      <c r="H120" s="556"/>
      <c r="I120" s="556"/>
      <c r="J120" s="556"/>
      <c r="K120" s="556"/>
      <c r="L120" s="556"/>
      <c r="M120" s="556"/>
      <c r="N120" s="556"/>
      <c r="O120" s="556"/>
      <c r="P120" s="556"/>
      <c r="Q120" s="556"/>
      <c r="R120" s="556"/>
      <c r="S120" s="556"/>
      <c r="T120" s="556"/>
      <c r="U120" s="556"/>
      <c r="V120" s="599">
        <v>-340</v>
      </c>
      <c r="W120" s="558"/>
      <c r="X120" s="543"/>
    </row>
    <row r="121" spans="1:24" s="544" customFormat="1" x14ac:dyDescent="0.3">
      <c r="A121" s="555">
        <f t="shared" si="0"/>
        <v>15</v>
      </c>
      <c r="B121" s="642" t="s">
        <v>384</v>
      </c>
      <c r="C121" s="556"/>
      <c r="D121" s="556"/>
      <c r="E121" s="556"/>
      <c r="F121" s="556"/>
      <c r="G121" s="556"/>
      <c r="H121" s="556"/>
      <c r="I121" s="556"/>
      <c r="J121" s="556"/>
      <c r="K121" s="556"/>
      <c r="L121" s="556"/>
      <c r="M121" s="556"/>
      <c r="N121" s="556"/>
      <c r="O121" s="556"/>
      <c r="P121" s="556"/>
      <c r="Q121" s="556"/>
      <c r="R121" s="556"/>
      <c r="S121" s="556"/>
      <c r="T121" s="556"/>
      <c r="U121" s="556"/>
      <c r="V121" s="599">
        <v>-95</v>
      </c>
      <c r="W121" s="558"/>
      <c r="X121" s="543"/>
    </row>
    <row r="122" spans="1:24" s="544" customFormat="1" x14ac:dyDescent="0.3">
      <c r="A122" s="555">
        <f t="shared" si="0"/>
        <v>16</v>
      </c>
      <c r="B122" s="642" t="s">
        <v>386</v>
      </c>
      <c r="C122" s="556"/>
      <c r="D122" s="556"/>
      <c r="E122" s="556"/>
      <c r="F122" s="556"/>
      <c r="G122" s="556"/>
      <c r="H122" s="556"/>
      <c r="I122" s="556"/>
      <c r="J122" s="556"/>
      <c r="K122" s="556"/>
      <c r="L122" s="556"/>
      <c r="M122" s="556"/>
      <c r="N122" s="556"/>
      <c r="O122" s="556"/>
      <c r="P122" s="556"/>
      <c r="Q122" s="556"/>
      <c r="R122" s="556"/>
      <c r="S122" s="556"/>
      <c r="T122" s="556"/>
      <c r="U122" s="556"/>
      <c r="V122" s="599">
        <v>0</v>
      </c>
      <c r="W122" s="558"/>
      <c r="X122" s="543"/>
    </row>
    <row r="123" spans="1:24" s="544" customFormat="1" x14ac:dyDescent="0.3">
      <c r="A123" s="555">
        <f t="shared" si="0"/>
        <v>17</v>
      </c>
      <c r="B123" s="642" t="s">
        <v>385</v>
      </c>
      <c r="C123" s="556"/>
      <c r="D123" s="556"/>
      <c r="E123" s="556"/>
      <c r="F123" s="556"/>
      <c r="G123" s="556"/>
      <c r="H123" s="556"/>
      <c r="I123" s="556"/>
      <c r="J123" s="556"/>
      <c r="K123" s="556"/>
      <c r="L123" s="556"/>
      <c r="M123" s="556"/>
      <c r="N123" s="556"/>
      <c r="O123" s="556"/>
      <c r="P123" s="556"/>
      <c r="Q123" s="556"/>
      <c r="R123" s="556"/>
      <c r="S123" s="556"/>
      <c r="T123" s="556"/>
      <c r="U123" s="556"/>
      <c r="V123" s="599">
        <f>-V100-SUM(V102:V122)</f>
        <v>-1807</v>
      </c>
      <c r="W123" s="558"/>
      <c r="X123" s="543"/>
    </row>
    <row r="124" spans="1:24" x14ac:dyDescent="0.3">
      <c r="A124" s="431"/>
      <c r="B124" s="507" t="s">
        <v>37</v>
      </c>
      <c r="C124" s="434"/>
      <c r="D124" s="434"/>
      <c r="E124" s="434"/>
      <c r="F124" s="434"/>
      <c r="G124" s="434"/>
      <c r="H124" s="434"/>
      <c r="I124" s="434"/>
      <c r="J124" s="434"/>
      <c r="K124" s="434"/>
      <c r="L124" s="434"/>
      <c r="M124" s="434"/>
      <c r="N124" s="434"/>
      <c r="O124" s="434"/>
      <c r="P124" s="434"/>
      <c r="Q124" s="434"/>
      <c r="R124" s="434"/>
      <c r="S124" s="434"/>
      <c r="T124" s="434"/>
      <c r="U124" s="434"/>
      <c r="V124" s="450"/>
      <c r="W124" s="436"/>
      <c r="X124" s="415"/>
    </row>
    <row r="125" spans="1:24" s="544" customFormat="1" x14ac:dyDescent="0.3">
      <c r="A125" s="555"/>
      <c r="B125" s="556" t="s">
        <v>173</v>
      </c>
      <c r="C125" s="556"/>
      <c r="D125" s="556"/>
      <c r="E125" s="556"/>
      <c r="F125" s="556"/>
      <c r="G125" s="556"/>
      <c r="H125" s="556"/>
      <c r="I125" s="556"/>
      <c r="J125" s="556"/>
      <c r="K125" s="556"/>
      <c r="L125" s="556"/>
      <c r="M125" s="556"/>
      <c r="N125" s="556"/>
      <c r="O125" s="556"/>
      <c r="P125" s="556"/>
      <c r="Q125" s="556"/>
      <c r="R125" s="556"/>
      <c r="S125" s="556"/>
      <c r="T125" s="598">
        <f>-T191</f>
        <v>0</v>
      </c>
      <c r="U125" s="598"/>
      <c r="V125" s="599"/>
      <c r="W125" s="558"/>
      <c r="X125" s="543"/>
    </row>
    <row r="126" spans="1:24" s="544" customFormat="1" x14ac:dyDescent="0.3">
      <c r="A126" s="555"/>
      <c r="B126" s="556" t="s">
        <v>174</v>
      </c>
      <c r="C126" s="556"/>
      <c r="D126" s="556"/>
      <c r="E126" s="556"/>
      <c r="F126" s="556"/>
      <c r="G126" s="556"/>
      <c r="H126" s="556"/>
      <c r="I126" s="556"/>
      <c r="J126" s="556"/>
      <c r="K126" s="556"/>
      <c r="L126" s="556"/>
      <c r="M126" s="556"/>
      <c r="N126" s="556"/>
      <c r="O126" s="556"/>
      <c r="P126" s="556"/>
      <c r="Q126" s="556"/>
      <c r="R126" s="556"/>
      <c r="S126" s="556"/>
      <c r="T126" s="598">
        <v>0</v>
      </c>
      <c r="U126" s="598"/>
      <c r="V126" s="599"/>
      <c r="W126" s="558"/>
      <c r="X126" s="543"/>
    </row>
    <row r="127" spans="1:24" s="544" customFormat="1" x14ac:dyDescent="0.3">
      <c r="A127" s="555"/>
      <c r="B127" s="556" t="s">
        <v>38</v>
      </c>
      <c r="C127" s="556"/>
      <c r="D127" s="556"/>
      <c r="E127" s="556"/>
      <c r="F127" s="556"/>
      <c r="G127" s="556"/>
      <c r="H127" s="556"/>
      <c r="I127" s="556"/>
      <c r="J127" s="556"/>
      <c r="K127" s="556"/>
      <c r="L127" s="556"/>
      <c r="M127" s="556"/>
      <c r="N127" s="556"/>
      <c r="O127" s="556"/>
      <c r="P127" s="556"/>
      <c r="Q127" s="556"/>
      <c r="R127" s="556"/>
      <c r="S127" s="556"/>
      <c r="T127" s="598">
        <f>-S191</f>
        <v>0</v>
      </c>
      <c r="U127" s="598"/>
      <c r="V127" s="599"/>
      <c r="W127" s="558"/>
      <c r="X127" s="543"/>
    </row>
    <row r="128" spans="1:24" s="544" customFormat="1" x14ac:dyDescent="0.3">
      <c r="A128" s="555"/>
      <c r="B128" s="556" t="s">
        <v>388</v>
      </c>
      <c r="C128" s="556"/>
      <c r="D128" s="556"/>
      <c r="E128" s="556"/>
      <c r="F128" s="556"/>
      <c r="G128" s="556"/>
      <c r="H128" s="556"/>
      <c r="I128" s="556"/>
      <c r="J128" s="556"/>
      <c r="K128" s="556"/>
      <c r="L128" s="556"/>
      <c r="M128" s="556"/>
      <c r="N128" s="556"/>
      <c r="O128" s="556"/>
      <c r="P128" s="556"/>
      <c r="Q128" s="556"/>
      <c r="R128" s="556"/>
      <c r="S128" s="556"/>
      <c r="T128" s="598">
        <v>-8853</v>
      </c>
      <c r="U128" s="598"/>
      <c r="V128" s="599"/>
      <c r="W128" s="558"/>
      <c r="X128" s="543"/>
    </row>
    <row r="129" spans="1:24" s="544" customFormat="1" x14ac:dyDescent="0.3">
      <c r="A129" s="555"/>
      <c r="B129" s="556" t="s">
        <v>195</v>
      </c>
      <c r="C129" s="556"/>
      <c r="D129" s="556"/>
      <c r="E129" s="556"/>
      <c r="F129" s="556"/>
      <c r="G129" s="556"/>
      <c r="H129" s="556"/>
      <c r="I129" s="556"/>
      <c r="J129" s="556"/>
      <c r="K129" s="556"/>
      <c r="L129" s="556"/>
      <c r="M129" s="556"/>
      <c r="N129" s="556"/>
      <c r="O129" s="556"/>
      <c r="P129" s="556"/>
      <c r="Q129" s="556"/>
      <c r="R129" s="556"/>
      <c r="S129" s="556"/>
      <c r="T129" s="598">
        <v>-1428</v>
      </c>
      <c r="U129" s="598"/>
      <c r="V129" s="599"/>
      <c r="W129" s="558"/>
      <c r="X129" s="543"/>
    </row>
    <row r="130" spans="1:24" s="544" customFormat="1" x14ac:dyDescent="0.3">
      <c r="A130" s="555"/>
      <c r="B130" s="556" t="s">
        <v>194</v>
      </c>
      <c r="C130" s="556"/>
      <c r="D130" s="556"/>
      <c r="E130" s="556"/>
      <c r="F130" s="556"/>
      <c r="G130" s="556"/>
      <c r="H130" s="556"/>
      <c r="I130" s="556"/>
      <c r="J130" s="556"/>
      <c r="K130" s="556"/>
      <c r="L130" s="556"/>
      <c r="M130" s="556"/>
      <c r="N130" s="556"/>
      <c r="O130" s="556"/>
      <c r="P130" s="556"/>
      <c r="Q130" s="556"/>
      <c r="R130" s="556"/>
      <c r="S130" s="556"/>
      <c r="T130" s="598">
        <v>-1920</v>
      </c>
      <c r="U130" s="598"/>
      <c r="V130" s="599"/>
      <c r="W130" s="558"/>
      <c r="X130" s="543"/>
    </row>
    <row r="131" spans="1:24" s="544" customFormat="1" x14ac:dyDescent="0.3">
      <c r="A131" s="555"/>
      <c r="B131" s="556" t="s">
        <v>226</v>
      </c>
      <c r="C131" s="556"/>
      <c r="D131" s="556"/>
      <c r="E131" s="556"/>
      <c r="F131" s="556"/>
      <c r="G131" s="556"/>
      <c r="H131" s="556"/>
      <c r="I131" s="556"/>
      <c r="J131" s="556"/>
      <c r="K131" s="556"/>
      <c r="L131" s="556"/>
      <c r="M131" s="556"/>
      <c r="N131" s="556"/>
      <c r="O131" s="556"/>
      <c r="P131" s="556"/>
      <c r="Q131" s="556"/>
      <c r="R131" s="556"/>
      <c r="S131" s="556"/>
      <c r="T131" s="598">
        <v>-2361</v>
      </c>
      <c r="U131" s="598"/>
      <c r="V131" s="599"/>
      <c r="W131" s="558"/>
      <c r="X131" s="543"/>
    </row>
    <row r="132" spans="1:24" s="544" customFormat="1" x14ac:dyDescent="0.3">
      <c r="A132" s="555"/>
      <c r="B132" s="556" t="s">
        <v>189</v>
      </c>
      <c r="C132" s="556"/>
      <c r="D132" s="556"/>
      <c r="E132" s="556"/>
      <c r="F132" s="556"/>
      <c r="G132" s="556"/>
      <c r="H132" s="556"/>
      <c r="I132" s="556"/>
      <c r="J132" s="556"/>
      <c r="K132" s="556"/>
      <c r="L132" s="556"/>
      <c r="M132" s="556"/>
      <c r="N132" s="556"/>
      <c r="O132" s="556"/>
      <c r="P132" s="556"/>
      <c r="Q132" s="556"/>
      <c r="R132" s="556"/>
      <c r="S132" s="556"/>
      <c r="T132" s="598">
        <v>0</v>
      </c>
      <c r="U132" s="598"/>
      <c r="V132" s="599"/>
      <c r="W132" s="558"/>
      <c r="X132" s="543"/>
    </row>
    <row r="133" spans="1:24" s="544" customFormat="1" x14ac:dyDescent="0.3">
      <c r="A133" s="555"/>
      <c r="B133" s="556" t="s">
        <v>188</v>
      </c>
      <c r="C133" s="556"/>
      <c r="D133" s="556"/>
      <c r="E133" s="556"/>
      <c r="F133" s="556"/>
      <c r="G133" s="556"/>
      <c r="H133" s="556"/>
      <c r="I133" s="556"/>
      <c r="J133" s="556"/>
      <c r="K133" s="556"/>
      <c r="L133" s="556"/>
      <c r="M133" s="556"/>
      <c r="N133" s="556"/>
      <c r="O133" s="556"/>
      <c r="P133" s="556"/>
      <c r="Q133" s="556"/>
      <c r="R133" s="556"/>
      <c r="S133" s="556"/>
      <c r="T133" s="598">
        <v>0</v>
      </c>
      <c r="U133" s="598"/>
      <c r="V133" s="599"/>
      <c r="W133" s="558"/>
      <c r="X133" s="543"/>
    </row>
    <row r="134" spans="1:24" s="544" customFormat="1" x14ac:dyDescent="0.3">
      <c r="A134" s="555"/>
      <c r="B134" s="556" t="s">
        <v>227</v>
      </c>
      <c r="C134" s="556"/>
      <c r="D134" s="556"/>
      <c r="E134" s="556"/>
      <c r="F134" s="556"/>
      <c r="G134" s="556"/>
      <c r="H134" s="556"/>
      <c r="I134" s="556"/>
      <c r="J134" s="556"/>
      <c r="K134" s="556"/>
      <c r="L134" s="556"/>
      <c r="M134" s="556"/>
      <c r="N134" s="556"/>
      <c r="O134" s="556"/>
      <c r="P134" s="556"/>
      <c r="Q134" s="556"/>
      <c r="R134" s="556"/>
      <c r="S134" s="556"/>
      <c r="T134" s="598">
        <v>0</v>
      </c>
      <c r="U134" s="598"/>
      <c r="V134" s="599"/>
      <c r="W134" s="558"/>
      <c r="X134" s="543"/>
    </row>
    <row r="135" spans="1:24" s="544" customFormat="1" x14ac:dyDescent="0.3">
      <c r="A135" s="555"/>
      <c r="B135" s="556" t="s">
        <v>187</v>
      </c>
      <c r="C135" s="556"/>
      <c r="D135" s="556"/>
      <c r="E135" s="556"/>
      <c r="F135" s="556"/>
      <c r="G135" s="556"/>
      <c r="H135" s="556"/>
      <c r="I135" s="556"/>
      <c r="J135" s="556"/>
      <c r="K135" s="556"/>
      <c r="L135" s="556"/>
      <c r="M135" s="556"/>
      <c r="N135" s="556"/>
      <c r="O135" s="556"/>
      <c r="P135" s="556"/>
      <c r="Q135" s="556"/>
      <c r="R135" s="556"/>
      <c r="S135" s="556"/>
      <c r="T135" s="598">
        <v>0</v>
      </c>
      <c r="U135" s="598"/>
      <c r="V135" s="599"/>
      <c r="W135" s="558"/>
      <c r="X135" s="543"/>
    </row>
    <row r="136" spans="1:24" s="544" customFormat="1" x14ac:dyDescent="0.3">
      <c r="A136" s="555"/>
      <c r="B136" s="556" t="s">
        <v>39</v>
      </c>
      <c r="C136" s="556"/>
      <c r="D136" s="556"/>
      <c r="E136" s="556"/>
      <c r="F136" s="556"/>
      <c r="G136" s="556"/>
      <c r="H136" s="556"/>
      <c r="I136" s="556"/>
      <c r="J136" s="556"/>
      <c r="K136" s="556"/>
      <c r="L136" s="556"/>
      <c r="M136" s="556"/>
      <c r="N136" s="556"/>
      <c r="O136" s="556"/>
      <c r="P136" s="556"/>
      <c r="Q136" s="556"/>
      <c r="R136" s="556"/>
      <c r="S136" s="556"/>
      <c r="T136" s="598">
        <f>SUM(T125:T135)</f>
        <v>-14562</v>
      </c>
      <c r="U136" s="598"/>
      <c r="V136" s="598">
        <f>SUM(V101:V133)</f>
        <v>-5057</v>
      </c>
      <c r="W136" s="558"/>
      <c r="X136" s="543"/>
    </row>
    <row r="137" spans="1:24" s="544" customFormat="1" x14ac:dyDescent="0.3">
      <c r="A137" s="555"/>
      <c r="B137" s="556" t="s">
        <v>40</v>
      </c>
      <c r="C137" s="556"/>
      <c r="D137" s="556"/>
      <c r="E137" s="556"/>
      <c r="F137" s="556"/>
      <c r="G137" s="556"/>
      <c r="H137" s="556"/>
      <c r="I137" s="556"/>
      <c r="J137" s="556"/>
      <c r="K137" s="556"/>
      <c r="L137" s="556"/>
      <c r="M137" s="556"/>
      <c r="N137" s="556"/>
      <c r="O137" s="556"/>
      <c r="P137" s="556"/>
      <c r="Q137" s="556"/>
      <c r="R137" s="556"/>
      <c r="S137" s="556"/>
      <c r="T137" s="598">
        <f>T100+T136+T114</f>
        <v>0</v>
      </c>
      <c r="U137" s="598"/>
      <c r="V137" s="598">
        <f>V100+V136</f>
        <v>0</v>
      </c>
      <c r="W137" s="558"/>
      <c r="X137" s="543"/>
    </row>
    <row r="138" spans="1:24" s="544" customFormat="1" x14ac:dyDescent="0.3">
      <c r="A138" s="540"/>
      <c r="B138" s="588"/>
      <c r="C138" s="588"/>
      <c r="D138" s="588"/>
      <c r="E138" s="588"/>
      <c r="F138" s="588"/>
      <c r="G138" s="588"/>
      <c r="H138" s="588"/>
      <c r="I138" s="588"/>
      <c r="J138" s="588"/>
      <c r="K138" s="588"/>
      <c r="L138" s="588"/>
      <c r="M138" s="588"/>
      <c r="N138" s="588"/>
      <c r="O138" s="588"/>
      <c r="P138" s="588"/>
      <c r="Q138" s="588"/>
      <c r="R138" s="588"/>
      <c r="S138" s="588"/>
      <c r="T138" s="600"/>
      <c r="U138" s="600"/>
      <c r="V138" s="600"/>
      <c r="W138" s="588"/>
      <c r="X138" s="543"/>
    </row>
    <row r="139" spans="1:24" s="544" customFormat="1" x14ac:dyDescent="0.3">
      <c r="A139" s="540"/>
      <c r="B139" s="541"/>
      <c r="C139" s="541"/>
      <c r="D139" s="541"/>
      <c r="E139" s="541"/>
      <c r="F139" s="541"/>
      <c r="G139" s="541"/>
      <c r="H139" s="541"/>
      <c r="I139" s="541"/>
      <c r="J139" s="541"/>
      <c r="K139" s="541"/>
      <c r="L139" s="541"/>
      <c r="M139" s="541"/>
      <c r="N139" s="541"/>
      <c r="O139" s="541"/>
      <c r="P139" s="541"/>
      <c r="Q139" s="541"/>
      <c r="R139" s="541"/>
      <c r="S139" s="541"/>
      <c r="T139" s="541"/>
      <c r="U139" s="541"/>
      <c r="V139" s="606"/>
      <c r="W139" s="541"/>
      <c r="X139" s="543"/>
    </row>
    <row r="140" spans="1:24" s="544" customFormat="1" ht="18.600000000000001" thickBot="1" x14ac:dyDescent="0.4">
      <c r="A140" s="593"/>
      <c r="B140" s="594" t="str">
        <f>B63</f>
        <v>PM14 INVESTOR REPORT QUARTER ENDING AUGUST 2019</v>
      </c>
      <c r="C140" s="595"/>
      <c r="D140" s="595"/>
      <c r="E140" s="595"/>
      <c r="F140" s="595"/>
      <c r="G140" s="595"/>
      <c r="H140" s="595"/>
      <c r="I140" s="595"/>
      <c r="J140" s="595"/>
      <c r="K140" s="595"/>
      <c r="L140" s="595"/>
      <c r="M140" s="595"/>
      <c r="N140" s="595"/>
      <c r="O140" s="595"/>
      <c r="P140" s="595"/>
      <c r="Q140" s="595"/>
      <c r="R140" s="595"/>
      <c r="S140" s="595"/>
      <c r="T140" s="595"/>
      <c r="U140" s="595"/>
      <c r="V140" s="607"/>
      <c r="W140" s="597"/>
      <c r="X140" s="543"/>
    </row>
    <row r="141" spans="1:24" x14ac:dyDescent="0.3">
      <c r="A141" s="527"/>
      <c r="B141" s="528" t="s">
        <v>41</v>
      </c>
      <c r="C141" s="529"/>
      <c r="D141" s="529"/>
      <c r="E141" s="529"/>
      <c r="F141" s="529"/>
      <c r="G141" s="529"/>
      <c r="H141" s="529"/>
      <c r="I141" s="529"/>
      <c r="J141" s="529"/>
      <c r="K141" s="529"/>
      <c r="L141" s="529"/>
      <c r="M141" s="529"/>
      <c r="N141" s="529"/>
      <c r="O141" s="529"/>
      <c r="P141" s="529"/>
      <c r="Q141" s="529"/>
      <c r="R141" s="529"/>
      <c r="S141" s="529"/>
      <c r="T141" s="529"/>
      <c r="U141" s="529"/>
      <c r="V141" s="530"/>
      <c r="W141" s="529"/>
      <c r="X141" s="415"/>
    </row>
    <row r="142" spans="1:24" x14ac:dyDescent="0.3">
      <c r="A142" s="417"/>
      <c r="B142" s="451"/>
      <c r="C142" s="419"/>
      <c r="D142" s="419"/>
      <c r="E142" s="419"/>
      <c r="F142" s="419"/>
      <c r="G142" s="419"/>
      <c r="H142" s="419"/>
      <c r="I142" s="419"/>
      <c r="J142" s="419"/>
      <c r="K142" s="419"/>
      <c r="L142" s="419"/>
      <c r="M142" s="419"/>
      <c r="N142" s="419"/>
      <c r="O142" s="419"/>
      <c r="P142" s="419"/>
      <c r="Q142" s="419"/>
      <c r="R142" s="419"/>
      <c r="S142" s="419"/>
      <c r="T142" s="419"/>
      <c r="U142" s="419"/>
      <c r="V142" s="439"/>
      <c r="W142" s="419"/>
      <c r="X142" s="415"/>
    </row>
    <row r="143" spans="1:24" x14ac:dyDescent="0.3">
      <c r="A143" s="417"/>
      <c r="B143" s="508" t="s">
        <v>42</v>
      </c>
      <c r="C143" s="419"/>
      <c r="D143" s="419"/>
      <c r="E143" s="419"/>
      <c r="F143" s="419"/>
      <c r="G143" s="419"/>
      <c r="H143" s="419"/>
      <c r="I143" s="419"/>
      <c r="J143" s="419"/>
      <c r="K143" s="419"/>
      <c r="L143" s="419"/>
      <c r="M143" s="419"/>
      <c r="N143" s="419"/>
      <c r="O143" s="419"/>
      <c r="P143" s="419"/>
      <c r="Q143" s="419"/>
      <c r="R143" s="419"/>
      <c r="S143" s="419"/>
      <c r="T143" s="419"/>
      <c r="U143" s="419"/>
      <c r="V143" s="439"/>
      <c r="W143" s="419"/>
      <c r="X143" s="415"/>
    </row>
    <row r="144" spans="1:24" s="544" customFormat="1" x14ac:dyDescent="0.3">
      <c r="A144" s="555"/>
      <c r="B144" s="556" t="s">
        <v>43</v>
      </c>
      <c r="C144" s="556"/>
      <c r="D144" s="556"/>
      <c r="E144" s="556"/>
      <c r="F144" s="556"/>
      <c r="G144" s="556"/>
      <c r="H144" s="556"/>
      <c r="I144" s="556"/>
      <c r="J144" s="556"/>
      <c r="K144" s="556"/>
      <c r="L144" s="556"/>
      <c r="M144" s="556"/>
      <c r="N144" s="556"/>
      <c r="O144" s="556"/>
      <c r="P144" s="556"/>
      <c r="Q144" s="556"/>
      <c r="R144" s="556"/>
      <c r="S144" s="556"/>
      <c r="T144" s="556"/>
      <c r="U144" s="556"/>
      <c r="V144" s="599">
        <f>+V34*0.019</f>
        <v>28505.224999999999</v>
      </c>
      <c r="W144" s="558"/>
      <c r="X144" s="543"/>
    </row>
    <row r="145" spans="1:25" s="544" customFormat="1" x14ac:dyDescent="0.3">
      <c r="A145" s="555"/>
      <c r="B145" s="556" t="s">
        <v>44</v>
      </c>
      <c r="C145" s="556"/>
      <c r="D145" s="556"/>
      <c r="E145" s="556"/>
      <c r="F145" s="556"/>
      <c r="G145" s="556"/>
      <c r="H145" s="556"/>
      <c r="I145" s="556"/>
      <c r="J145" s="556"/>
      <c r="K145" s="556"/>
      <c r="L145" s="556"/>
      <c r="M145" s="556"/>
      <c r="N145" s="556"/>
      <c r="O145" s="556"/>
      <c r="P145" s="556"/>
      <c r="Q145" s="556"/>
      <c r="R145" s="556"/>
      <c r="S145" s="556"/>
      <c r="T145" s="556"/>
      <c r="U145" s="556"/>
      <c r="V145" s="599">
        <v>28505</v>
      </c>
      <c r="W145" s="558"/>
      <c r="X145" s="543"/>
    </row>
    <row r="146" spans="1:25" s="544" customFormat="1" x14ac:dyDescent="0.3">
      <c r="A146" s="555"/>
      <c r="B146" s="556" t="s">
        <v>136</v>
      </c>
      <c r="C146" s="556"/>
      <c r="D146" s="556"/>
      <c r="E146" s="556"/>
      <c r="F146" s="556"/>
      <c r="G146" s="556"/>
      <c r="H146" s="556"/>
      <c r="I146" s="556"/>
      <c r="J146" s="556"/>
      <c r="K146" s="556"/>
      <c r="L146" s="556"/>
      <c r="M146" s="556"/>
      <c r="N146" s="556"/>
      <c r="O146" s="556"/>
      <c r="P146" s="556"/>
      <c r="Q146" s="556"/>
      <c r="R146" s="556"/>
      <c r="S146" s="556"/>
      <c r="T146" s="556"/>
      <c r="U146" s="556"/>
      <c r="V146" s="599"/>
      <c r="W146" s="558"/>
      <c r="X146" s="543"/>
    </row>
    <row r="147" spans="1:25" s="544" customFormat="1" x14ac:dyDescent="0.3">
      <c r="A147" s="555"/>
      <c r="B147" s="556" t="s">
        <v>123</v>
      </c>
      <c r="C147" s="556"/>
      <c r="D147" s="556"/>
      <c r="E147" s="556"/>
      <c r="F147" s="556"/>
      <c r="G147" s="556"/>
      <c r="H147" s="556"/>
      <c r="I147" s="556"/>
      <c r="J147" s="556"/>
      <c r="K147" s="556"/>
      <c r="L147" s="556"/>
      <c r="M147" s="556"/>
      <c r="N147" s="556"/>
      <c r="O147" s="556"/>
      <c r="P147" s="556"/>
      <c r="Q147" s="556"/>
      <c r="R147" s="556"/>
      <c r="S147" s="556"/>
      <c r="T147" s="556"/>
      <c r="U147" s="556"/>
      <c r="V147" s="599">
        <v>0</v>
      </c>
      <c r="W147" s="558"/>
      <c r="X147" s="543"/>
    </row>
    <row r="148" spans="1:25" s="544" customFormat="1" x14ac:dyDescent="0.3">
      <c r="A148" s="555"/>
      <c r="B148" s="556" t="s">
        <v>124</v>
      </c>
      <c r="C148" s="556"/>
      <c r="D148" s="556"/>
      <c r="E148" s="556"/>
      <c r="F148" s="556"/>
      <c r="G148" s="556"/>
      <c r="H148" s="556"/>
      <c r="I148" s="556"/>
      <c r="J148" s="556"/>
      <c r="K148" s="556"/>
      <c r="L148" s="556"/>
      <c r="M148" s="556"/>
      <c r="N148" s="556"/>
      <c r="O148" s="556"/>
      <c r="P148" s="556"/>
      <c r="Q148" s="556"/>
      <c r="R148" s="556"/>
      <c r="S148" s="556"/>
      <c r="T148" s="556"/>
      <c r="U148" s="556"/>
      <c r="V148" s="599">
        <v>0</v>
      </c>
      <c r="W148" s="558"/>
      <c r="X148" s="543"/>
    </row>
    <row r="149" spans="1:25" s="544" customFormat="1" x14ac:dyDescent="0.3">
      <c r="A149" s="555"/>
      <c r="B149" s="556" t="s">
        <v>175</v>
      </c>
      <c r="C149" s="556"/>
      <c r="D149" s="556"/>
      <c r="E149" s="556"/>
      <c r="F149" s="556"/>
      <c r="G149" s="556"/>
      <c r="H149" s="556"/>
      <c r="I149" s="556"/>
      <c r="J149" s="556"/>
      <c r="K149" s="556"/>
      <c r="L149" s="556"/>
      <c r="M149" s="556"/>
      <c r="N149" s="556"/>
      <c r="O149" s="556"/>
      <c r="P149" s="556"/>
      <c r="Q149" s="556"/>
      <c r="R149" s="556"/>
      <c r="S149" s="556"/>
      <c r="T149" s="556"/>
      <c r="U149" s="556"/>
      <c r="V149" s="599">
        <v>0</v>
      </c>
      <c r="W149" s="558"/>
      <c r="X149" s="543"/>
    </row>
    <row r="150" spans="1:25" s="544" customFormat="1" x14ac:dyDescent="0.3">
      <c r="A150" s="555"/>
      <c r="B150" s="556" t="s">
        <v>45</v>
      </c>
      <c r="C150" s="556"/>
      <c r="D150" s="556"/>
      <c r="E150" s="556"/>
      <c r="F150" s="556"/>
      <c r="G150" s="556"/>
      <c r="H150" s="556"/>
      <c r="I150" s="556"/>
      <c r="J150" s="556"/>
      <c r="K150" s="556"/>
      <c r="L150" s="556"/>
      <c r="M150" s="556"/>
      <c r="N150" s="556"/>
      <c r="O150" s="556"/>
      <c r="P150" s="556"/>
      <c r="Q150" s="556"/>
      <c r="R150" s="556"/>
      <c r="S150" s="556"/>
      <c r="T150" s="556"/>
      <c r="U150" s="556"/>
      <c r="V150" s="599">
        <v>0</v>
      </c>
      <c r="W150" s="558"/>
      <c r="X150" s="543"/>
    </row>
    <row r="151" spans="1:25" s="544" customFormat="1" x14ac:dyDescent="0.3">
      <c r="A151" s="555"/>
      <c r="B151" s="556" t="s">
        <v>129</v>
      </c>
      <c r="C151" s="556"/>
      <c r="D151" s="556"/>
      <c r="E151" s="556"/>
      <c r="F151" s="556"/>
      <c r="G151" s="556"/>
      <c r="H151" s="556"/>
      <c r="I151" s="556"/>
      <c r="J151" s="556"/>
      <c r="K151" s="556"/>
      <c r="L151" s="556"/>
      <c r="M151" s="556"/>
      <c r="N151" s="556"/>
      <c r="O151" s="556"/>
      <c r="P151" s="556"/>
      <c r="Q151" s="556"/>
      <c r="R151" s="556"/>
      <c r="S151" s="556"/>
      <c r="T151" s="556"/>
      <c r="U151" s="556"/>
      <c r="V151" s="599">
        <v>0</v>
      </c>
      <c r="W151" s="558"/>
      <c r="X151" s="543"/>
    </row>
    <row r="152" spans="1:25" s="544" customFormat="1" x14ac:dyDescent="0.3">
      <c r="A152" s="555"/>
      <c r="B152" s="556" t="s">
        <v>267</v>
      </c>
      <c r="C152" s="556"/>
      <c r="D152" s="556"/>
      <c r="E152" s="556"/>
      <c r="F152" s="556"/>
      <c r="G152" s="556"/>
      <c r="H152" s="556"/>
      <c r="I152" s="556"/>
      <c r="J152" s="556"/>
      <c r="K152" s="556"/>
      <c r="L152" s="556"/>
      <c r="M152" s="556"/>
      <c r="N152" s="556"/>
      <c r="O152" s="556"/>
      <c r="P152" s="556"/>
      <c r="Q152" s="556"/>
      <c r="R152" s="556"/>
      <c r="S152" s="556"/>
      <c r="T152" s="556"/>
      <c r="U152" s="556"/>
      <c r="V152" s="599">
        <v>0</v>
      </c>
      <c r="W152" s="558"/>
      <c r="X152" s="543"/>
      <c r="Y152" s="604"/>
    </row>
    <row r="153" spans="1:25" s="544" customFormat="1" x14ac:dyDescent="0.3">
      <c r="A153" s="555"/>
      <c r="B153" s="556" t="s">
        <v>46</v>
      </c>
      <c r="C153" s="556"/>
      <c r="D153" s="556"/>
      <c r="E153" s="556"/>
      <c r="F153" s="556"/>
      <c r="G153" s="556"/>
      <c r="H153" s="556"/>
      <c r="I153" s="556"/>
      <c r="J153" s="556"/>
      <c r="K153" s="556"/>
      <c r="L153" s="556"/>
      <c r="M153" s="556"/>
      <c r="N153" s="556"/>
      <c r="O153" s="556"/>
      <c r="P153" s="556"/>
      <c r="Q153" s="556"/>
      <c r="R153" s="556"/>
      <c r="S153" s="556"/>
      <c r="T153" s="556"/>
      <c r="U153" s="556"/>
      <c r="V153" s="599">
        <f>SUM(V145:V152)</f>
        <v>28505</v>
      </c>
      <c r="W153" s="558"/>
      <c r="X153" s="543"/>
    </row>
    <row r="154" spans="1:25" x14ac:dyDescent="0.3">
      <c r="A154" s="431"/>
      <c r="B154" s="434"/>
      <c r="C154" s="434"/>
      <c r="D154" s="434"/>
      <c r="E154" s="434"/>
      <c r="F154" s="434"/>
      <c r="G154" s="434"/>
      <c r="H154" s="434"/>
      <c r="I154" s="434"/>
      <c r="J154" s="434"/>
      <c r="K154" s="434"/>
      <c r="L154" s="434"/>
      <c r="M154" s="434"/>
      <c r="N154" s="434"/>
      <c r="O154" s="434"/>
      <c r="P154" s="434"/>
      <c r="Q154" s="434"/>
      <c r="R154" s="434"/>
      <c r="S154" s="434"/>
      <c r="T154" s="434"/>
      <c r="U154" s="434"/>
      <c r="V154" s="449"/>
      <c r="W154" s="436"/>
      <c r="X154" s="415"/>
    </row>
    <row r="155" spans="1:25" x14ac:dyDescent="0.3">
      <c r="A155" s="431"/>
      <c r="B155" s="507" t="s">
        <v>237</v>
      </c>
      <c r="C155" s="434"/>
      <c r="D155" s="434"/>
      <c r="E155" s="434"/>
      <c r="F155" s="434"/>
      <c r="G155" s="434"/>
      <c r="H155" s="434"/>
      <c r="I155" s="434"/>
      <c r="J155" s="434"/>
      <c r="K155" s="434"/>
      <c r="L155" s="434"/>
      <c r="M155" s="434"/>
      <c r="N155" s="434"/>
      <c r="O155" s="434"/>
      <c r="P155" s="434"/>
      <c r="Q155" s="434"/>
      <c r="R155" s="434"/>
      <c r="S155" s="434"/>
      <c r="T155" s="434"/>
      <c r="U155" s="434"/>
      <c r="V155" s="449"/>
      <c r="W155" s="436"/>
      <c r="X155" s="415"/>
    </row>
    <row r="156" spans="1:25" s="544" customFormat="1" x14ac:dyDescent="0.3">
      <c r="A156" s="555"/>
      <c r="B156" s="556" t="s">
        <v>155</v>
      </c>
      <c r="C156" s="556"/>
      <c r="D156" s="556"/>
      <c r="E156" s="556"/>
      <c r="F156" s="556"/>
      <c r="G156" s="556"/>
      <c r="H156" s="556"/>
      <c r="I156" s="556"/>
      <c r="J156" s="556"/>
      <c r="K156" s="556"/>
      <c r="L156" s="556"/>
      <c r="M156" s="556"/>
      <c r="N156" s="556"/>
      <c r="O156" s="556"/>
      <c r="P156" s="556"/>
      <c r="Q156" s="556"/>
      <c r="R156" s="556"/>
      <c r="S156" s="556"/>
      <c r="T156" s="556"/>
      <c r="U156" s="556"/>
      <c r="V156" s="599">
        <v>7500</v>
      </c>
      <c r="W156" s="558"/>
      <c r="X156" s="543"/>
    </row>
    <row r="157" spans="1:25" s="544" customFormat="1" x14ac:dyDescent="0.3">
      <c r="A157" s="555"/>
      <c r="B157" s="556" t="s">
        <v>172</v>
      </c>
      <c r="C157" s="556"/>
      <c r="D157" s="556"/>
      <c r="E157" s="556"/>
      <c r="F157" s="556"/>
      <c r="G157" s="556"/>
      <c r="H157" s="556"/>
      <c r="I157" s="556"/>
      <c r="J157" s="556"/>
      <c r="K157" s="556"/>
      <c r="L157" s="556"/>
      <c r="M157" s="556"/>
      <c r="N157" s="556"/>
      <c r="O157" s="556"/>
      <c r="P157" s="556"/>
      <c r="Q157" s="556"/>
      <c r="R157" s="556"/>
      <c r="S157" s="556"/>
      <c r="T157" s="556"/>
      <c r="U157" s="556"/>
      <c r="V157" s="599">
        <v>0</v>
      </c>
      <c r="W157" s="558"/>
      <c r="X157" s="543"/>
    </row>
    <row r="158" spans="1:25" s="544" customFormat="1" x14ac:dyDescent="0.3">
      <c r="A158" s="555"/>
      <c r="B158" s="556" t="s">
        <v>344</v>
      </c>
      <c r="C158" s="556"/>
      <c r="D158" s="556"/>
      <c r="E158" s="556"/>
      <c r="F158" s="556"/>
      <c r="G158" s="556"/>
      <c r="H158" s="556"/>
      <c r="I158" s="556"/>
      <c r="J158" s="556"/>
      <c r="K158" s="556"/>
      <c r="L158" s="556"/>
      <c r="M158" s="556"/>
      <c r="N158" s="556"/>
      <c r="O158" s="556"/>
      <c r="P158" s="556"/>
      <c r="Q158" s="556"/>
      <c r="R158" s="556"/>
      <c r="S158" s="556"/>
      <c r="T158" s="556"/>
      <c r="U158" s="556"/>
      <c r="V158" s="599">
        <v>0</v>
      </c>
      <c r="W158" s="558"/>
      <c r="X158" s="543"/>
    </row>
    <row r="159" spans="1:25" x14ac:dyDescent="0.3">
      <c r="A159" s="431"/>
      <c r="B159" s="432"/>
      <c r="C159" s="432"/>
      <c r="D159" s="432"/>
      <c r="E159" s="432"/>
      <c r="F159" s="432"/>
      <c r="G159" s="432"/>
      <c r="H159" s="432"/>
      <c r="I159" s="432"/>
      <c r="J159" s="432"/>
      <c r="K159" s="432"/>
      <c r="L159" s="432"/>
      <c r="M159" s="432"/>
      <c r="N159" s="432"/>
      <c r="O159" s="432"/>
      <c r="P159" s="432"/>
      <c r="Q159" s="432"/>
      <c r="R159" s="432"/>
      <c r="S159" s="432"/>
      <c r="T159" s="432"/>
      <c r="U159" s="432"/>
      <c r="V159" s="440"/>
      <c r="W159" s="433"/>
      <c r="X159" s="415"/>
    </row>
    <row r="160" spans="1:25" x14ac:dyDescent="0.3">
      <c r="A160" s="417"/>
      <c r="B160" s="441"/>
      <c r="C160" s="441"/>
      <c r="D160" s="441"/>
      <c r="E160" s="441"/>
      <c r="F160" s="441"/>
      <c r="G160" s="441"/>
      <c r="H160" s="441"/>
      <c r="I160" s="441"/>
      <c r="J160" s="441"/>
      <c r="K160" s="441"/>
      <c r="L160" s="441"/>
      <c r="M160" s="441"/>
      <c r="N160" s="441"/>
      <c r="O160" s="441"/>
      <c r="P160" s="441"/>
      <c r="Q160" s="441"/>
      <c r="R160" s="441"/>
      <c r="S160" s="441"/>
      <c r="T160" s="441"/>
      <c r="U160" s="441"/>
      <c r="V160" s="452"/>
      <c r="W160" s="441"/>
      <c r="X160" s="415"/>
    </row>
    <row r="161" spans="1:256" x14ac:dyDescent="0.3">
      <c r="A161" s="417"/>
      <c r="B161" s="508" t="s">
        <v>24</v>
      </c>
      <c r="C161" s="419"/>
      <c r="D161" s="419"/>
      <c r="E161" s="419"/>
      <c r="F161" s="419"/>
      <c r="G161" s="419"/>
      <c r="H161" s="419"/>
      <c r="I161" s="419"/>
      <c r="J161" s="419"/>
      <c r="K161" s="419"/>
      <c r="L161" s="419"/>
      <c r="M161" s="419"/>
      <c r="N161" s="419"/>
      <c r="O161" s="419"/>
      <c r="P161" s="419"/>
      <c r="Q161" s="419"/>
      <c r="R161" s="419"/>
      <c r="S161" s="419"/>
      <c r="T161" s="419"/>
      <c r="U161" s="419"/>
      <c r="V161" s="439"/>
      <c r="W161" s="419"/>
      <c r="X161" s="415"/>
    </row>
    <row r="162" spans="1:256" s="544" customFormat="1" x14ac:dyDescent="0.3">
      <c r="A162" s="555"/>
      <c r="B162" s="556" t="s">
        <v>47</v>
      </c>
      <c r="C162" s="556"/>
      <c r="D162" s="556"/>
      <c r="E162" s="556"/>
      <c r="F162" s="556"/>
      <c r="G162" s="556"/>
      <c r="H162" s="556"/>
      <c r="I162" s="556"/>
      <c r="J162" s="556"/>
      <c r="K162" s="556"/>
      <c r="L162" s="556"/>
      <c r="M162" s="556"/>
      <c r="N162" s="556"/>
      <c r="O162" s="556"/>
      <c r="P162" s="556"/>
      <c r="Q162" s="556"/>
      <c r="R162" s="556"/>
      <c r="S162" s="556"/>
      <c r="T162" s="556"/>
      <c r="U162" s="556"/>
      <c r="V162" s="608" t="s">
        <v>118</v>
      </c>
      <c r="W162" s="558"/>
      <c r="X162" s="543"/>
    </row>
    <row r="163" spans="1:256" s="544" customFormat="1" x14ac:dyDescent="0.3">
      <c r="A163" s="555"/>
      <c r="B163" s="556" t="s">
        <v>48</v>
      </c>
      <c r="C163" s="556"/>
      <c r="D163" s="556"/>
      <c r="E163" s="556"/>
      <c r="F163" s="556"/>
      <c r="G163" s="556"/>
      <c r="H163" s="556"/>
      <c r="I163" s="556"/>
      <c r="J163" s="556"/>
      <c r="K163" s="556"/>
      <c r="L163" s="556"/>
      <c r="M163" s="556"/>
      <c r="N163" s="556"/>
      <c r="O163" s="556"/>
      <c r="P163" s="556"/>
      <c r="Q163" s="556"/>
      <c r="R163" s="556"/>
      <c r="S163" s="556"/>
      <c r="T163" s="556"/>
      <c r="U163" s="556"/>
      <c r="V163" s="608" t="s">
        <v>118</v>
      </c>
      <c r="W163" s="558"/>
      <c r="X163" s="543"/>
    </row>
    <row r="164" spans="1:256" s="544" customFormat="1" x14ac:dyDescent="0.3">
      <c r="A164" s="555"/>
      <c r="B164" s="556" t="s">
        <v>49</v>
      </c>
      <c r="C164" s="556"/>
      <c r="D164" s="556"/>
      <c r="E164" s="556"/>
      <c r="F164" s="556"/>
      <c r="G164" s="556"/>
      <c r="H164" s="556"/>
      <c r="I164" s="556"/>
      <c r="J164" s="556"/>
      <c r="K164" s="556"/>
      <c r="L164" s="556"/>
      <c r="M164" s="556"/>
      <c r="N164" s="556"/>
      <c r="O164" s="556"/>
      <c r="P164" s="556"/>
      <c r="Q164" s="556"/>
      <c r="R164" s="556"/>
      <c r="S164" s="556"/>
      <c r="T164" s="556"/>
      <c r="U164" s="556"/>
      <c r="V164" s="608" t="s">
        <v>118</v>
      </c>
      <c r="W164" s="558"/>
      <c r="X164" s="543"/>
    </row>
    <row r="165" spans="1:256" s="544" customFormat="1" x14ac:dyDescent="0.3">
      <c r="A165" s="555"/>
      <c r="B165" s="556" t="s">
        <v>50</v>
      </c>
      <c r="C165" s="556"/>
      <c r="D165" s="556"/>
      <c r="E165" s="556"/>
      <c r="F165" s="556"/>
      <c r="G165" s="556"/>
      <c r="H165" s="556"/>
      <c r="I165" s="556"/>
      <c r="J165" s="556"/>
      <c r="K165" s="556"/>
      <c r="L165" s="556"/>
      <c r="M165" s="556"/>
      <c r="N165" s="556"/>
      <c r="O165" s="556"/>
      <c r="P165" s="556"/>
      <c r="Q165" s="556"/>
      <c r="R165" s="556"/>
      <c r="S165" s="556"/>
      <c r="T165" s="556"/>
      <c r="U165" s="556"/>
      <c r="V165" s="608" t="s">
        <v>118</v>
      </c>
      <c r="W165" s="558"/>
      <c r="X165" s="543"/>
    </row>
    <row r="166" spans="1:256" x14ac:dyDescent="0.3">
      <c r="A166" s="417"/>
      <c r="B166" s="441"/>
      <c r="C166" s="441"/>
      <c r="D166" s="441"/>
      <c r="E166" s="441"/>
      <c r="F166" s="441"/>
      <c r="G166" s="441"/>
      <c r="H166" s="441"/>
      <c r="I166" s="441"/>
      <c r="J166" s="441"/>
      <c r="K166" s="441"/>
      <c r="L166" s="441"/>
      <c r="M166" s="441"/>
      <c r="N166" s="441"/>
      <c r="O166" s="441"/>
      <c r="P166" s="441"/>
      <c r="Q166" s="441"/>
      <c r="R166" s="441"/>
      <c r="S166" s="441"/>
      <c r="T166" s="441"/>
      <c r="U166" s="441"/>
      <c r="V166" s="452"/>
      <c r="W166" s="441"/>
      <c r="X166" s="415"/>
    </row>
    <row r="167" spans="1:256" x14ac:dyDescent="0.3">
      <c r="A167" s="417"/>
      <c r="B167" s="508" t="s">
        <v>51</v>
      </c>
      <c r="C167" s="419"/>
      <c r="D167" s="419"/>
      <c r="E167" s="419"/>
      <c r="F167" s="419"/>
      <c r="G167" s="419"/>
      <c r="H167" s="419"/>
      <c r="I167" s="419"/>
      <c r="J167" s="419"/>
      <c r="K167" s="419"/>
      <c r="L167" s="419"/>
      <c r="M167" s="419"/>
      <c r="N167" s="419"/>
      <c r="O167" s="419"/>
      <c r="P167" s="419"/>
      <c r="Q167" s="419"/>
      <c r="R167" s="419"/>
      <c r="S167" s="419"/>
      <c r="T167" s="419"/>
      <c r="U167" s="419"/>
      <c r="V167" s="453"/>
      <c r="W167" s="419"/>
      <c r="X167" s="415"/>
    </row>
    <row r="168" spans="1:256" s="544" customFormat="1" x14ac:dyDescent="0.3">
      <c r="A168" s="555"/>
      <c r="B168" s="556" t="s">
        <v>52</v>
      </c>
      <c r="C168" s="556"/>
      <c r="D168" s="556"/>
      <c r="E168" s="556"/>
      <c r="F168" s="556"/>
      <c r="G168" s="556"/>
      <c r="H168" s="556"/>
      <c r="I168" s="556"/>
      <c r="J168" s="556"/>
      <c r="K168" s="556"/>
      <c r="L168" s="556"/>
      <c r="M168" s="556"/>
      <c r="N168" s="556"/>
      <c r="O168" s="556"/>
      <c r="P168" s="556"/>
      <c r="Q168" s="556"/>
      <c r="R168" s="556"/>
      <c r="S168" s="556"/>
      <c r="T168" s="556"/>
      <c r="U168" s="556"/>
      <c r="V168" s="599">
        <v>0</v>
      </c>
      <c r="W168" s="558"/>
      <c r="X168" s="543"/>
    </row>
    <row r="169" spans="1:256" s="544" customFormat="1" x14ac:dyDescent="0.3">
      <c r="A169" s="555"/>
      <c r="B169" s="556" t="s">
        <v>53</v>
      </c>
      <c r="C169" s="556"/>
      <c r="D169" s="556"/>
      <c r="E169" s="556"/>
      <c r="F169" s="556"/>
      <c r="G169" s="556"/>
      <c r="H169" s="556"/>
      <c r="I169" s="556"/>
      <c r="J169" s="556"/>
      <c r="K169" s="556"/>
      <c r="L169" s="556"/>
      <c r="M169" s="556"/>
      <c r="N169" s="556"/>
      <c r="O169" s="556"/>
      <c r="P169" s="556"/>
      <c r="Q169" s="556"/>
      <c r="R169" s="556"/>
      <c r="S169" s="556"/>
      <c r="T169" s="556"/>
      <c r="U169" s="556"/>
      <c r="V169" s="599">
        <v>-105</v>
      </c>
      <c r="W169" s="558"/>
      <c r="X169" s="543"/>
    </row>
    <row r="170" spans="1:256" s="544" customFormat="1" x14ac:dyDescent="0.3">
      <c r="A170" s="555"/>
      <c r="B170" s="556" t="s">
        <v>54</v>
      </c>
      <c r="C170" s="556"/>
      <c r="D170" s="556"/>
      <c r="E170" s="556"/>
      <c r="F170" s="556"/>
      <c r="G170" s="556"/>
      <c r="H170" s="556"/>
      <c r="I170" s="556"/>
      <c r="J170" s="556"/>
      <c r="K170" s="556"/>
      <c r="L170" s="556"/>
      <c r="M170" s="556"/>
      <c r="N170" s="556"/>
      <c r="O170" s="556"/>
      <c r="P170" s="556"/>
      <c r="Q170" s="556"/>
      <c r="R170" s="556"/>
      <c r="S170" s="556"/>
      <c r="T170" s="556"/>
      <c r="U170" s="556"/>
      <c r="V170" s="599">
        <f>V169+V168</f>
        <v>-105</v>
      </c>
      <c r="W170" s="558"/>
      <c r="X170" s="543"/>
    </row>
    <row r="171" spans="1:256" s="544" customFormat="1" x14ac:dyDescent="0.3">
      <c r="A171" s="555"/>
      <c r="B171" s="556" t="s">
        <v>315</v>
      </c>
      <c r="C171" s="556"/>
      <c r="D171" s="556"/>
      <c r="E171" s="556"/>
      <c r="F171" s="556"/>
      <c r="G171" s="556"/>
      <c r="H171" s="556"/>
      <c r="I171" s="556"/>
      <c r="J171" s="556"/>
      <c r="K171" s="556"/>
      <c r="L171" s="556"/>
      <c r="M171" s="556"/>
      <c r="N171" s="556"/>
      <c r="O171" s="556"/>
      <c r="P171" s="556"/>
      <c r="Q171" s="556"/>
      <c r="R171" s="556"/>
      <c r="S171" s="556"/>
      <c r="T171" s="556"/>
      <c r="U171" s="556"/>
      <c r="V171" s="599">
        <f>V114</f>
        <v>105</v>
      </c>
      <c r="W171" s="558"/>
      <c r="X171" s="543"/>
    </row>
    <row r="172" spans="1:256" s="544" customFormat="1" x14ac:dyDescent="0.3">
      <c r="A172" s="555"/>
      <c r="B172" s="556" t="s">
        <v>55</v>
      </c>
      <c r="C172" s="556"/>
      <c r="D172" s="556"/>
      <c r="E172" s="556"/>
      <c r="F172" s="556"/>
      <c r="G172" s="556"/>
      <c r="H172" s="556"/>
      <c r="I172" s="556"/>
      <c r="J172" s="556"/>
      <c r="K172" s="556"/>
      <c r="L172" s="556"/>
      <c r="M172" s="556"/>
      <c r="N172" s="556"/>
      <c r="O172" s="556"/>
      <c r="P172" s="556"/>
      <c r="Q172" s="556"/>
      <c r="R172" s="556"/>
      <c r="S172" s="556"/>
      <c r="T172" s="556"/>
      <c r="U172" s="556"/>
      <c r="V172" s="599">
        <f>V170+V171</f>
        <v>0</v>
      </c>
      <c r="W172" s="558"/>
      <c r="X172" s="543"/>
    </row>
    <row r="173" spans="1:256" s="544" customFormat="1" x14ac:dyDescent="0.3">
      <c r="A173" s="555"/>
      <c r="B173" s="556" t="s">
        <v>283</v>
      </c>
      <c r="C173" s="556"/>
      <c r="D173" s="556"/>
      <c r="E173" s="556"/>
      <c r="F173" s="556"/>
      <c r="G173" s="556"/>
      <c r="H173" s="556"/>
      <c r="I173" s="556"/>
      <c r="J173" s="556"/>
      <c r="K173" s="556"/>
      <c r="L173" s="556"/>
      <c r="M173" s="556"/>
      <c r="N173" s="556"/>
      <c r="O173" s="556"/>
      <c r="P173" s="556"/>
      <c r="Q173" s="556"/>
      <c r="R173" s="556"/>
      <c r="S173" s="556"/>
      <c r="T173" s="556"/>
      <c r="U173" s="556"/>
      <c r="V173" s="599">
        <f>-V99</f>
        <v>178</v>
      </c>
      <c r="W173" s="558"/>
      <c r="X173" s="543"/>
    </row>
    <row r="174" spans="1:256" ht="16.2" thickBot="1" x14ac:dyDescent="0.35">
      <c r="A174" s="417"/>
      <c r="B174" s="437"/>
      <c r="C174" s="437"/>
      <c r="D174" s="437"/>
      <c r="E174" s="437"/>
      <c r="F174" s="437"/>
      <c r="G174" s="437"/>
      <c r="H174" s="437"/>
      <c r="I174" s="437"/>
      <c r="J174" s="437"/>
      <c r="K174" s="437"/>
      <c r="L174" s="437"/>
      <c r="M174" s="437"/>
      <c r="N174" s="437"/>
      <c r="O174" s="437"/>
      <c r="P174" s="437"/>
      <c r="Q174" s="437"/>
      <c r="R174" s="437"/>
      <c r="S174" s="437"/>
      <c r="T174" s="437"/>
      <c r="U174" s="437"/>
      <c r="V174" s="454"/>
      <c r="W174" s="437"/>
      <c r="X174" s="415"/>
    </row>
    <row r="175" spans="1:256" x14ac:dyDescent="0.3">
      <c r="A175" s="413"/>
      <c r="B175" s="455"/>
      <c r="C175" s="455"/>
      <c r="D175" s="455"/>
      <c r="E175" s="455"/>
      <c r="F175" s="455"/>
      <c r="G175" s="455"/>
      <c r="H175" s="455"/>
      <c r="I175" s="455"/>
      <c r="J175" s="455"/>
      <c r="K175" s="455"/>
      <c r="L175" s="455"/>
      <c r="M175" s="455"/>
      <c r="N175" s="455"/>
      <c r="O175" s="455"/>
      <c r="P175" s="455"/>
      <c r="Q175" s="455"/>
      <c r="R175" s="455"/>
      <c r="S175" s="455"/>
      <c r="T175" s="455"/>
      <c r="U175" s="455"/>
      <c r="V175" s="456"/>
      <c r="W175" s="455"/>
      <c r="X175" s="415"/>
    </row>
    <row r="176" spans="1:256" s="458" customFormat="1" x14ac:dyDescent="0.3">
      <c r="A176" s="417"/>
      <c r="B176" s="508" t="s">
        <v>269</v>
      </c>
      <c r="C176" s="441"/>
      <c r="D176" s="441"/>
      <c r="E176" s="441"/>
      <c r="F176" s="441"/>
      <c r="G176" s="441"/>
      <c r="H176" s="441"/>
      <c r="I176" s="441"/>
      <c r="J176" s="441"/>
      <c r="K176" s="441"/>
      <c r="L176" s="441"/>
      <c r="M176" s="441"/>
      <c r="N176" s="441"/>
      <c r="O176" s="441"/>
      <c r="P176" s="441"/>
      <c r="Q176" s="441"/>
      <c r="R176" s="441"/>
      <c r="S176" s="441"/>
      <c r="T176" s="441"/>
      <c r="U176" s="441"/>
      <c r="V176" s="457"/>
      <c r="W176" s="441"/>
      <c r="X176" s="415"/>
      <c r="Y176" s="416"/>
      <c r="Z176" s="416"/>
      <c r="AA176" s="416"/>
      <c r="AB176" s="416"/>
      <c r="AC176" s="416"/>
      <c r="AD176" s="416"/>
      <c r="AE176" s="416"/>
      <c r="AF176" s="416"/>
      <c r="AG176" s="416"/>
      <c r="AH176" s="416"/>
      <c r="AI176" s="416"/>
      <c r="AJ176" s="416"/>
      <c r="AK176" s="416"/>
      <c r="AL176" s="416"/>
      <c r="AM176" s="416"/>
      <c r="AN176" s="416"/>
      <c r="AO176" s="416"/>
      <c r="AP176" s="416"/>
      <c r="AQ176" s="416"/>
      <c r="AR176" s="416"/>
      <c r="AS176" s="416"/>
      <c r="AT176" s="416"/>
      <c r="AU176" s="416"/>
      <c r="AV176" s="416"/>
      <c r="AW176" s="416"/>
      <c r="AX176" s="416"/>
      <c r="AY176" s="416"/>
      <c r="AZ176" s="416"/>
      <c r="BA176" s="416"/>
      <c r="BB176" s="416"/>
      <c r="BC176" s="416"/>
      <c r="BD176" s="416"/>
      <c r="BE176" s="416"/>
      <c r="BF176" s="416"/>
      <c r="BG176" s="416"/>
      <c r="BH176" s="416"/>
      <c r="BI176" s="416"/>
      <c r="BJ176" s="416"/>
      <c r="BK176" s="416"/>
      <c r="BL176" s="416"/>
      <c r="BM176" s="416"/>
      <c r="BN176" s="416"/>
      <c r="BO176" s="416"/>
      <c r="BP176" s="416"/>
      <c r="BQ176" s="416"/>
      <c r="BR176" s="416"/>
      <c r="BS176" s="416"/>
      <c r="BT176" s="416"/>
      <c r="BU176" s="416"/>
      <c r="BV176" s="416"/>
      <c r="BW176" s="416"/>
      <c r="BX176" s="416"/>
      <c r="BY176" s="416"/>
      <c r="BZ176" s="416"/>
      <c r="CA176" s="416"/>
      <c r="CB176" s="416"/>
      <c r="CC176" s="416"/>
      <c r="CD176" s="416"/>
      <c r="CE176" s="416"/>
      <c r="CF176" s="416"/>
      <c r="CG176" s="416"/>
      <c r="CH176" s="416"/>
      <c r="CI176" s="416"/>
      <c r="CJ176" s="416"/>
      <c r="CK176" s="416"/>
      <c r="CL176" s="416"/>
      <c r="CM176" s="416"/>
      <c r="CN176" s="416"/>
      <c r="CO176" s="416"/>
      <c r="CP176" s="416"/>
      <c r="CQ176" s="416"/>
      <c r="CR176" s="416"/>
      <c r="CS176" s="416"/>
      <c r="CT176" s="416"/>
      <c r="CU176" s="416"/>
      <c r="CV176" s="416"/>
      <c r="CW176" s="416"/>
      <c r="CX176" s="416"/>
      <c r="CY176" s="416"/>
      <c r="CZ176" s="416"/>
      <c r="DA176" s="416"/>
      <c r="DB176" s="416"/>
      <c r="DC176" s="416"/>
      <c r="DD176" s="416"/>
      <c r="DE176" s="416"/>
      <c r="DF176" s="416"/>
      <c r="DG176" s="416"/>
      <c r="DH176" s="416"/>
      <c r="DI176" s="416"/>
      <c r="DJ176" s="416"/>
      <c r="DK176" s="416"/>
      <c r="DL176" s="416"/>
      <c r="DM176" s="416"/>
      <c r="DN176" s="416"/>
      <c r="DO176" s="416"/>
      <c r="DP176" s="416"/>
      <c r="DQ176" s="416"/>
      <c r="DR176" s="416"/>
      <c r="DS176" s="416"/>
      <c r="DT176" s="416"/>
      <c r="DU176" s="416"/>
      <c r="DV176" s="416"/>
      <c r="DW176" s="416"/>
      <c r="DX176" s="416"/>
      <c r="DY176" s="416"/>
      <c r="DZ176" s="416"/>
      <c r="EA176" s="416"/>
      <c r="EB176" s="416"/>
      <c r="EC176" s="416"/>
      <c r="ED176" s="416"/>
      <c r="EE176" s="416"/>
      <c r="EF176" s="416"/>
      <c r="EG176" s="416"/>
      <c r="EH176" s="416"/>
      <c r="EI176" s="416"/>
      <c r="EJ176" s="416"/>
      <c r="EK176" s="416"/>
      <c r="EL176" s="416"/>
      <c r="EM176" s="416"/>
      <c r="EN176" s="416"/>
      <c r="EO176" s="416"/>
      <c r="EP176" s="416"/>
      <c r="EQ176" s="416"/>
      <c r="ER176" s="416"/>
      <c r="ES176" s="416"/>
      <c r="ET176" s="416"/>
      <c r="EU176" s="416"/>
      <c r="EV176" s="416"/>
      <c r="EW176" s="416"/>
      <c r="EX176" s="416"/>
      <c r="EY176" s="416"/>
      <c r="EZ176" s="416"/>
      <c r="FA176" s="416"/>
      <c r="FB176" s="416"/>
      <c r="FC176" s="416"/>
      <c r="FD176" s="416"/>
      <c r="FE176" s="416"/>
      <c r="FF176" s="416"/>
      <c r="FG176" s="416"/>
      <c r="FH176" s="416"/>
      <c r="FI176" s="416"/>
      <c r="FJ176" s="416"/>
      <c r="FK176" s="416"/>
      <c r="FL176" s="416"/>
      <c r="FM176" s="416"/>
      <c r="FN176" s="416"/>
      <c r="FO176" s="416"/>
      <c r="FP176" s="416"/>
      <c r="FQ176" s="416"/>
      <c r="FR176" s="416"/>
      <c r="FS176" s="416"/>
      <c r="FT176" s="416"/>
      <c r="FU176" s="416"/>
      <c r="FV176" s="416"/>
      <c r="FW176" s="416"/>
      <c r="FX176" s="416"/>
      <c r="FY176" s="416"/>
      <c r="FZ176" s="416"/>
      <c r="GA176" s="416"/>
      <c r="GB176" s="416"/>
      <c r="GC176" s="416"/>
      <c r="GD176" s="416"/>
      <c r="GE176" s="416"/>
      <c r="GF176" s="416"/>
      <c r="GG176" s="416"/>
      <c r="GH176" s="416"/>
      <c r="GI176" s="416"/>
      <c r="GJ176" s="416"/>
      <c r="GK176" s="416"/>
      <c r="GL176" s="416"/>
      <c r="GM176" s="416"/>
      <c r="GN176" s="416"/>
      <c r="GO176" s="416"/>
      <c r="GP176" s="416"/>
      <c r="GQ176" s="416"/>
      <c r="GR176" s="416"/>
      <c r="GS176" s="416"/>
      <c r="GT176" s="416"/>
      <c r="GU176" s="416"/>
      <c r="GV176" s="416"/>
      <c r="GW176" s="416"/>
      <c r="GX176" s="416"/>
      <c r="GY176" s="416"/>
      <c r="GZ176" s="416"/>
      <c r="HA176" s="416"/>
      <c r="HB176" s="416"/>
      <c r="HC176" s="416"/>
      <c r="HD176" s="416"/>
      <c r="HE176" s="416"/>
      <c r="HF176" s="416"/>
      <c r="HG176" s="416"/>
      <c r="HH176" s="416"/>
      <c r="HI176" s="416"/>
      <c r="HJ176" s="416"/>
      <c r="HK176" s="416"/>
      <c r="HL176" s="416"/>
      <c r="HM176" s="416"/>
      <c r="HN176" s="416"/>
      <c r="HO176" s="416"/>
      <c r="HP176" s="416"/>
      <c r="HQ176" s="416"/>
      <c r="HR176" s="416"/>
      <c r="HS176" s="416"/>
      <c r="HT176" s="416"/>
      <c r="HU176" s="416"/>
      <c r="HV176" s="416"/>
      <c r="HW176" s="416"/>
      <c r="HX176" s="416"/>
      <c r="HY176" s="416"/>
      <c r="HZ176" s="416"/>
      <c r="IA176" s="416"/>
      <c r="IB176" s="416"/>
      <c r="IC176" s="416"/>
      <c r="ID176" s="416"/>
      <c r="IE176" s="416"/>
      <c r="IF176" s="416"/>
      <c r="IG176" s="416"/>
      <c r="IH176" s="416"/>
      <c r="II176" s="416"/>
      <c r="IJ176" s="416"/>
      <c r="IK176" s="416"/>
      <c r="IL176" s="416"/>
      <c r="IM176" s="416"/>
      <c r="IN176" s="416"/>
      <c r="IO176" s="416"/>
      <c r="IP176" s="416"/>
      <c r="IQ176" s="416"/>
      <c r="IR176" s="416"/>
      <c r="IS176" s="416"/>
      <c r="IT176" s="416"/>
      <c r="IU176" s="416"/>
      <c r="IV176" s="416"/>
    </row>
    <row r="177" spans="1:256" s="609" customFormat="1" x14ac:dyDescent="0.3">
      <c r="A177" s="555"/>
      <c r="B177" s="556" t="s">
        <v>270</v>
      </c>
      <c r="C177" s="556"/>
      <c r="D177" s="556"/>
      <c r="E177" s="556"/>
      <c r="F177" s="556"/>
      <c r="G177" s="556"/>
      <c r="H177" s="556"/>
      <c r="I177" s="556"/>
      <c r="J177" s="556"/>
      <c r="K177" s="556"/>
      <c r="L177" s="556"/>
      <c r="M177" s="556"/>
      <c r="N177" s="556"/>
      <c r="O177" s="556"/>
      <c r="P177" s="556"/>
      <c r="Q177" s="556"/>
      <c r="R177" s="556"/>
      <c r="S177" s="556"/>
      <c r="T177" s="556"/>
      <c r="U177" s="556"/>
      <c r="V177" s="599">
        <f>+'Aug 08'!V177</f>
        <v>0</v>
      </c>
      <c r="W177" s="558"/>
      <c r="X177" s="543"/>
      <c r="Y177" s="544"/>
      <c r="Z177" s="544"/>
      <c r="AA177" s="544"/>
      <c r="AB177" s="544"/>
      <c r="AC177" s="544"/>
      <c r="AD177" s="544"/>
      <c r="AE177" s="544"/>
      <c r="AF177" s="544"/>
      <c r="AG177" s="544"/>
      <c r="AH177" s="544"/>
      <c r="AI177" s="544"/>
      <c r="AJ177" s="544"/>
      <c r="AK177" s="544"/>
      <c r="AL177" s="544"/>
      <c r="AM177" s="544"/>
      <c r="AN177" s="544"/>
      <c r="AO177" s="544"/>
      <c r="AP177" s="544"/>
      <c r="AQ177" s="544"/>
      <c r="AR177" s="544"/>
      <c r="AS177" s="544"/>
      <c r="AT177" s="544"/>
      <c r="AU177" s="544"/>
      <c r="AV177" s="544"/>
      <c r="AW177" s="544"/>
      <c r="AX177" s="544"/>
      <c r="AY177" s="544"/>
      <c r="AZ177" s="544"/>
      <c r="BA177" s="544"/>
      <c r="BB177" s="544"/>
      <c r="BC177" s="544"/>
      <c r="BD177" s="544"/>
      <c r="BE177" s="544"/>
      <c r="BF177" s="544"/>
      <c r="BG177" s="544"/>
      <c r="BH177" s="544"/>
      <c r="BI177" s="544"/>
      <c r="BJ177" s="544"/>
      <c r="BK177" s="544"/>
      <c r="BL177" s="544"/>
      <c r="BM177" s="544"/>
      <c r="BN177" s="544"/>
      <c r="BO177" s="544"/>
      <c r="BP177" s="544"/>
      <c r="BQ177" s="544"/>
      <c r="BR177" s="544"/>
      <c r="BS177" s="544"/>
      <c r="BT177" s="544"/>
      <c r="BU177" s="544"/>
      <c r="BV177" s="544"/>
      <c r="BW177" s="544"/>
      <c r="BX177" s="544"/>
      <c r="BY177" s="544"/>
      <c r="BZ177" s="544"/>
      <c r="CA177" s="544"/>
      <c r="CB177" s="544"/>
      <c r="CC177" s="544"/>
      <c r="CD177" s="544"/>
      <c r="CE177" s="544"/>
      <c r="CF177" s="544"/>
      <c r="CG177" s="544"/>
      <c r="CH177" s="544"/>
      <c r="CI177" s="544"/>
      <c r="CJ177" s="544"/>
      <c r="CK177" s="544"/>
      <c r="CL177" s="544"/>
      <c r="CM177" s="544"/>
      <c r="CN177" s="544"/>
      <c r="CO177" s="544"/>
      <c r="CP177" s="544"/>
      <c r="CQ177" s="544"/>
      <c r="CR177" s="544"/>
      <c r="CS177" s="544"/>
      <c r="CT177" s="544"/>
      <c r="CU177" s="544"/>
      <c r="CV177" s="544"/>
      <c r="CW177" s="544"/>
      <c r="CX177" s="544"/>
      <c r="CY177" s="544"/>
      <c r="CZ177" s="544"/>
      <c r="DA177" s="544"/>
      <c r="DB177" s="544"/>
      <c r="DC177" s="544"/>
      <c r="DD177" s="544"/>
      <c r="DE177" s="544"/>
      <c r="DF177" s="544"/>
      <c r="DG177" s="544"/>
      <c r="DH177" s="544"/>
      <c r="DI177" s="544"/>
      <c r="DJ177" s="544"/>
      <c r="DK177" s="544"/>
      <c r="DL177" s="544"/>
      <c r="DM177" s="544"/>
      <c r="DN177" s="544"/>
      <c r="DO177" s="544"/>
      <c r="DP177" s="544"/>
      <c r="DQ177" s="544"/>
      <c r="DR177" s="544"/>
      <c r="DS177" s="544"/>
      <c r="DT177" s="544"/>
      <c r="DU177" s="544"/>
      <c r="DV177" s="544"/>
      <c r="DW177" s="544"/>
      <c r="DX177" s="544"/>
      <c r="DY177" s="544"/>
      <c r="DZ177" s="544"/>
      <c r="EA177" s="544"/>
      <c r="EB177" s="544"/>
      <c r="EC177" s="544"/>
      <c r="ED177" s="544"/>
      <c r="EE177" s="544"/>
      <c r="EF177" s="544"/>
      <c r="EG177" s="544"/>
      <c r="EH177" s="544"/>
      <c r="EI177" s="544"/>
      <c r="EJ177" s="544"/>
      <c r="EK177" s="544"/>
      <c r="EL177" s="544"/>
      <c r="EM177" s="544"/>
      <c r="EN177" s="544"/>
      <c r="EO177" s="544"/>
      <c r="EP177" s="544"/>
      <c r="EQ177" s="544"/>
      <c r="ER177" s="544"/>
      <c r="ES177" s="544"/>
      <c r="ET177" s="544"/>
      <c r="EU177" s="544"/>
      <c r="EV177" s="544"/>
      <c r="EW177" s="544"/>
      <c r="EX177" s="544"/>
      <c r="EY177" s="544"/>
      <c r="EZ177" s="544"/>
      <c r="FA177" s="544"/>
      <c r="FB177" s="544"/>
      <c r="FC177" s="544"/>
      <c r="FD177" s="544"/>
      <c r="FE177" s="544"/>
      <c r="FF177" s="544"/>
      <c r="FG177" s="544"/>
      <c r="FH177" s="544"/>
      <c r="FI177" s="544"/>
      <c r="FJ177" s="544"/>
      <c r="FK177" s="544"/>
      <c r="FL177" s="544"/>
      <c r="FM177" s="544"/>
      <c r="FN177" s="544"/>
      <c r="FO177" s="544"/>
      <c r="FP177" s="544"/>
      <c r="FQ177" s="544"/>
      <c r="FR177" s="544"/>
      <c r="FS177" s="544"/>
      <c r="FT177" s="544"/>
      <c r="FU177" s="544"/>
      <c r="FV177" s="544"/>
      <c r="FW177" s="544"/>
      <c r="FX177" s="544"/>
      <c r="FY177" s="544"/>
      <c r="FZ177" s="544"/>
      <c r="GA177" s="544"/>
      <c r="GB177" s="544"/>
      <c r="GC177" s="544"/>
      <c r="GD177" s="544"/>
      <c r="GE177" s="544"/>
      <c r="GF177" s="544"/>
      <c r="GG177" s="544"/>
      <c r="GH177" s="544"/>
      <c r="GI177" s="544"/>
      <c r="GJ177" s="544"/>
      <c r="GK177" s="544"/>
      <c r="GL177" s="544"/>
      <c r="GM177" s="544"/>
      <c r="GN177" s="544"/>
      <c r="GO177" s="544"/>
      <c r="GP177" s="544"/>
      <c r="GQ177" s="544"/>
      <c r="GR177" s="544"/>
      <c r="GS177" s="544"/>
      <c r="GT177" s="544"/>
      <c r="GU177" s="544"/>
      <c r="GV177" s="544"/>
      <c r="GW177" s="544"/>
      <c r="GX177" s="544"/>
      <c r="GY177" s="544"/>
      <c r="GZ177" s="544"/>
      <c r="HA177" s="544"/>
      <c r="HB177" s="544"/>
      <c r="HC177" s="544"/>
      <c r="HD177" s="544"/>
      <c r="HE177" s="544"/>
      <c r="HF177" s="544"/>
      <c r="HG177" s="544"/>
      <c r="HH177" s="544"/>
      <c r="HI177" s="544"/>
      <c r="HJ177" s="544"/>
      <c r="HK177" s="544"/>
      <c r="HL177" s="544"/>
      <c r="HM177" s="544"/>
      <c r="HN177" s="544"/>
      <c r="HO177" s="544"/>
      <c r="HP177" s="544"/>
      <c r="HQ177" s="544"/>
      <c r="HR177" s="544"/>
      <c r="HS177" s="544"/>
      <c r="HT177" s="544"/>
      <c r="HU177" s="544"/>
      <c r="HV177" s="544"/>
      <c r="HW177" s="544"/>
      <c r="HX177" s="544"/>
      <c r="HY177" s="544"/>
      <c r="HZ177" s="544"/>
      <c r="IA177" s="544"/>
      <c r="IB177" s="544"/>
      <c r="IC177" s="544"/>
      <c r="ID177" s="544"/>
      <c r="IE177" s="544"/>
      <c r="IF177" s="544"/>
      <c r="IG177" s="544"/>
      <c r="IH177" s="544"/>
      <c r="II177" s="544"/>
      <c r="IJ177" s="544"/>
      <c r="IK177" s="544"/>
      <c r="IL177" s="544"/>
      <c r="IM177" s="544"/>
      <c r="IN177" s="544"/>
      <c r="IO177" s="544"/>
      <c r="IP177" s="544"/>
      <c r="IQ177" s="544"/>
      <c r="IR177" s="544"/>
      <c r="IS177" s="544"/>
      <c r="IT177" s="544"/>
      <c r="IU177" s="544"/>
      <c r="IV177" s="544"/>
    </row>
    <row r="178" spans="1:256" s="609" customFormat="1" x14ac:dyDescent="0.3">
      <c r="A178" s="555"/>
      <c r="B178" s="556" t="s">
        <v>273</v>
      </c>
      <c r="C178" s="556"/>
      <c r="D178" s="556"/>
      <c r="E178" s="556"/>
      <c r="F178" s="556"/>
      <c r="G178" s="556"/>
      <c r="H178" s="556"/>
      <c r="I178" s="556"/>
      <c r="J178" s="556"/>
      <c r="K178" s="556"/>
      <c r="L178" s="556"/>
      <c r="M178" s="556"/>
      <c r="N178" s="556"/>
      <c r="O178" s="556"/>
      <c r="P178" s="556"/>
      <c r="Q178" s="556"/>
      <c r="R178" s="556"/>
      <c r="S178" s="556"/>
      <c r="T178" s="556"/>
      <c r="U178" s="556"/>
      <c r="V178" s="599">
        <f>+V93</f>
        <v>0</v>
      </c>
      <c r="W178" s="558"/>
      <c r="X178" s="543"/>
      <c r="Y178" s="544"/>
      <c r="Z178" s="544"/>
      <c r="AA178" s="544"/>
      <c r="AB178" s="544"/>
      <c r="AC178" s="544"/>
      <c r="AD178" s="544"/>
      <c r="AE178" s="544"/>
      <c r="AF178" s="544"/>
      <c r="AG178" s="544"/>
      <c r="AH178" s="544"/>
      <c r="AI178" s="544"/>
      <c r="AJ178" s="544"/>
      <c r="AK178" s="544"/>
      <c r="AL178" s="544"/>
      <c r="AM178" s="544"/>
      <c r="AN178" s="544"/>
      <c r="AO178" s="544"/>
      <c r="AP178" s="544"/>
      <c r="AQ178" s="544"/>
      <c r="AR178" s="544"/>
      <c r="AS178" s="544"/>
      <c r="AT178" s="544"/>
      <c r="AU178" s="544"/>
      <c r="AV178" s="544"/>
      <c r="AW178" s="544"/>
      <c r="AX178" s="544"/>
      <c r="AY178" s="544"/>
      <c r="AZ178" s="544"/>
      <c r="BA178" s="544"/>
      <c r="BB178" s="544"/>
      <c r="BC178" s="544"/>
      <c r="BD178" s="544"/>
      <c r="BE178" s="544"/>
      <c r="BF178" s="544"/>
      <c r="BG178" s="544"/>
      <c r="BH178" s="544"/>
      <c r="BI178" s="544"/>
      <c r="BJ178" s="544"/>
      <c r="BK178" s="544"/>
      <c r="BL178" s="544"/>
      <c r="BM178" s="544"/>
      <c r="BN178" s="544"/>
      <c r="BO178" s="544"/>
      <c r="BP178" s="544"/>
      <c r="BQ178" s="544"/>
      <c r="BR178" s="544"/>
      <c r="BS178" s="544"/>
      <c r="BT178" s="544"/>
      <c r="BU178" s="544"/>
      <c r="BV178" s="544"/>
      <c r="BW178" s="544"/>
      <c r="BX178" s="544"/>
      <c r="BY178" s="544"/>
      <c r="BZ178" s="544"/>
      <c r="CA178" s="544"/>
      <c r="CB178" s="544"/>
      <c r="CC178" s="544"/>
      <c r="CD178" s="544"/>
      <c r="CE178" s="544"/>
      <c r="CF178" s="544"/>
      <c r="CG178" s="544"/>
      <c r="CH178" s="544"/>
      <c r="CI178" s="544"/>
      <c r="CJ178" s="544"/>
      <c r="CK178" s="544"/>
      <c r="CL178" s="544"/>
      <c r="CM178" s="544"/>
      <c r="CN178" s="544"/>
      <c r="CO178" s="544"/>
      <c r="CP178" s="544"/>
      <c r="CQ178" s="544"/>
      <c r="CR178" s="544"/>
      <c r="CS178" s="544"/>
      <c r="CT178" s="544"/>
      <c r="CU178" s="544"/>
      <c r="CV178" s="544"/>
      <c r="CW178" s="544"/>
      <c r="CX178" s="544"/>
      <c r="CY178" s="544"/>
      <c r="CZ178" s="544"/>
      <c r="DA178" s="544"/>
      <c r="DB178" s="544"/>
      <c r="DC178" s="544"/>
      <c r="DD178" s="544"/>
      <c r="DE178" s="544"/>
      <c r="DF178" s="544"/>
      <c r="DG178" s="544"/>
      <c r="DH178" s="544"/>
      <c r="DI178" s="544"/>
      <c r="DJ178" s="544"/>
      <c r="DK178" s="544"/>
      <c r="DL178" s="544"/>
      <c r="DM178" s="544"/>
      <c r="DN178" s="544"/>
      <c r="DO178" s="544"/>
      <c r="DP178" s="544"/>
      <c r="DQ178" s="544"/>
      <c r="DR178" s="544"/>
      <c r="DS178" s="544"/>
      <c r="DT178" s="544"/>
      <c r="DU178" s="544"/>
      <c r="DV178" s="544"/>
      <c r="DW178" s="544"/>
      <c r="DX178" s="544"/>
      <c r="DY178" s="544"/>
      <c r="DZ178" s="544"/>
      <c r="EA178" s="544"/>
      <c r="EB178" s="544"/>
      <c r="EC178" s="544"/>
      <c r="ED178" s="544"/>
      <c r="EE178" s="544"/>
      <c r="EF178" s="544"/>
      <c r="EG178" s="544"/>
      <c r="EH178" s="544"/>
      <c r="EI178" s="544"/>
      <c r="EJ178" s="544"/>
      <c r="EK178" s="544"/>
      <c r="EL178" s="544"/>
      <c r="EM178" s="544"/>
      <c r="EN178" s="544"/>
      <c r="EO178" s="544"/>
      <c r="EP178" s="544"/>
      <c r="EQ178" s="544"/>
      <c r="ER178" s="544"/>
      <c r="ES178" s="544"/>
      <c r="ET178" s="544"/>
      <c r="EU178" s="544"/>
      <c r="EV178" s="544"/>
      <c r="EW178" s="544"/>
      <c r="EX178" s="544"/>
      <c r="EY178" s="544"/>
      <c r="EZ178" s="544"/>
      <c r="FA178" s="544"/>
      <c r="FB178" s="544"/>
      <c r="FC178" s="544"/>
      <c r="FD178" s="544"/>
      <c r="FE178" s="544"/>
      <c r="FF178" s="544"/>
      <c r="FG178" s="544"/>
      <c r="FH178" s="544"/>
      <c r="FI178" s="544"/>
      <c r="FJ178" s="544"/>
      <c r="FK178" s="544"/>
      <c r="FL178" s="544"/>
      <c r="FM178" s="544"/>
      <c r="FN178" s="544"/>
      <c r="FO178" s="544"/>
      <c r="FP178" s="544"/>
      <c r="FQ178" s="544"/>
      <c r="FR178" s="544"/>
      <c r="FS178" s="544"/>
      <c r="FT178" s="544"/>
      <c r="FU178" s="544"/>
      <c r="FV178" s="544"/>
      <c r="FW178" s="544"/>
      <c r="FX178" s="544"/>
      <c r="FY178" s="544"/>
      <c r="FZ178" s="544"/>
      <c r="GA178" s="544"/>
      <c r="GB178" s="544"/>
      <c r="GC178" s="544"/>
      <c r="GD178" s="544"/>
      <c r="GE178" s="544"/>
      <c r="GF178" s="544"/>
      <c r="GG178" s="544"/>
      <c r="GH178" s="544"/>
      <c r="GI178" s="544"/>
      <c r="GJ178" s="544"/>
      <c r="GK178" s="544"/>
      <c r="GL178" s="544"/>
      <c r="GM178" s="544"/>
      <c r="GN178" s="544"/>
      <c r="GO178" s="544"/>
      <c r="GP178" s="544"/>
      <c r="GQ178" s="544"/>
      <c r="GR178" s="544"/>
      <c r="GS178" s="544"/>
      <c r="GT178" s="544"/>
      <c r="GU178" s="544"/>
      <c r="GV178" s="544"/>
      <c r="GW178" s="544"/>
      <c r="GX178" s="544"/>
      <c r="GY178" s="544"/>
      <c r="GZ178" s="544"/>
      <c r="HA178" s="544"/>
      <c r="HB178" s="544"/>
      <c r="HC178" s="544"/>
      <c r="HD178" s="544"/>
      <c r="HE178" s="544"/>
      <c r="HF178" s="544"/>
      <c r="HG178" s="544"/>
      <c r="HH178" s="544"/>
      <c r="HI178" s="544"/>
      <c r="HJ178" s="544"/>
      <c r="HK178" s="544"/>
      <c r="HL178" s="544"/>
      <c r="HM178" s="544"/>
      <c r="HN178" s="544"/>
      <c r="HO178" s="544"/>
      <c r="HP178" s="544"/>
      <c r="HQ178" s="544"/>
      <c r="HR178" s="544"/>
      <c r="HS178" s="544"/>
      <c r="HT178" s="544"/>
      <c r="HU178" s="544"/>
      <c r="HV178" s="544"/>
      <c r="HW178" s="544"/>
      <c r="HX178" s="544"/>
      <c r="HY178" s="544"/>
      <c r="HZ178" s="544"/>
      <c r="IA178" s="544"/>
      <c r="IB178" s="544"/>
      <c r="IC178" s="544"/>
      <c r="ID178" s="544"/>
      <c r="IE178" s="544"/>
      <c r="IF178" s="544"/>
      <c r="IG178" s="544"/>
      <c r="IH178" s="544"/>
      <c r="II178" s="544"/>
      <c r="IJ178" s="544"/>
      <c r="IK178" s="544"/>
      <c r="IL178" s="544"/>
      <c r="IM178" s="544"/>
      <c r="IN178" s="544"/>
      <c r="IO178" s="544"/>
      <c r="IP178" s="544"/>
      <c r="IQ178" s="544"/>
      <c r="IR178" s="544"/>
      <c r="IS178" s="544"/>
      <c r="IT178" s="544"/>
      <c r="IU178" s="544"/>
      <c r="IV178" s="544"/>
    </row>
    <row r="179" spans="1:256" s="609" customFormat="1" x14ac:dyDescent="0.3">
      <c r="A179" s="555"/>
      <c r="B179" s="556" t="s">
        <v>271</v>
      </c>
      <c r="C179" s="556"/>
      <c r="D179" s="556"/>
      <c r="E179" s="556"/>
      <c r="F179" s="556"/>
      <c r="G179" s="556"/>
      <c r="H179" s="556"/>
      <c r="I179" s="556"/>
      <c r="J179" s="556"/>
      <c r="K179" s="556"/>
      <c r="L179" s="556"/>
      <c r="M179" s="556"/>
      <c r="N179" s="556"/>
      <c r="O179" s="556"/>
      <c r="P179" s="556"/>
      <c r="Q179" s="556"/>
      <c r="R179" s="556"/>
      <c r="S179" s="556"/>
      <c r="T179" s="556"/>
      <c r="U179" s="556"/>
      <c r="V179" s="599">
        <f>+V177-V178</f>
        <v>0</v>
      </c>
      <c r="W179" s="558"/>
      <c r="X179" s="543"/>
      <c r="Y179" s="544"/>
      <c r="Z179" s="544"/>
      <c r="AA179" s="544"/>
      <c r="AB179" s="544"/>
      <c r="AC179" s="544"/>
      <c r="AD179" s="544"/>
      <c r="AE179" s="544"/>
      <c r="AF179" s="544"/>
      <c r="AG179" s="544"/>
      <c r="AH179" s="544"/>
      <c r="AI179" s="544"/>
      <c r="AJ179" s="544"/>
      <c r="AK179" s="544"/>
      <c r="AL179" s="544"/>
      <c r="AM179" s="544"/>
      <c r="AN179" s="544"/>
      <c r="AO179" s="544"/>
      <c r="AP179" s="544"/>
      <c r="AQ179" s="544"/>
      <c r="AR179" s="544"/>
      <c r="AS179" s="544"/>
      <c r="AT179" s="544"/>
      <c r="AU179" s="544"/>
      <c r="AV179" s="544"/>
      <c r="AW179" s="544"/>
      <c r="AX179" s="544"/>
      <c r="AY179" s="544"/>
      <c r="AZ179" s="544"/>
      <c r="BA179" s="544"/>
      <c r="BB179" s="544"/>
      <c r="BC179" s="544"/>
      <c r="BD179" s="544"/>
      <c r="BE179" s="544"/>
      <c r="BF179" s="544"/>
      <c r="BG179" s="544"/>
      <c r="BH179" s="544"/>
      <c r="BI179" s="544"/>
      <c r="BJ179" s="544"/>
      <c r="BK179" s="544"/>
      <c r="BL179" s="544"/>
      <c r="BM179" s="544"/>
      <c r="BN179" s="544"/>
      <c r="BO179" s="544"/>
      <c r="BP179" s="544"/>
      <c r="BQ179" s="544"/>
      <c r="BR179" s="544"/>
      <c r="BS179" s="544"/>
      <c r="BT179" s="544"/>
      <c r="BU179" s="544"/>
      <c r="BV179" s="544"/>
      <c r="BW179" s="544"/>
      <c r="BX179" s="544"/>
      <c r="BY179" s="544"/>
      <c r="BZ179" s="544"/>
      <c r="CA179" s="544"/>
      <c r="CB179" s="544"/>
      <c r="CC179" s="544"/>
      <c r="CD179" s="544"/>
      <c r="CE179" s="544"/>
      <c r="CF179" s="544"/>
      <c r="CG179" s="544"/>
      <c r="CH179" s="544"/>
      <c r="CI179" s="544"/>
      <c r="CJ179" s="544"/>
      <c r="CK179" s="544"/>
      <c r="CL179" s="544"/>
      <c r="CM179" s="544"/>
      <c r="CN179" s="544"/>
      <c r="CO179" s="544"/>
      <c r="CP179" s="544"/>
      <c r="CQ179" s="544"/>
      <c r="CR179" s="544"/>
      <c r="CS179" s="544"/>
      <c r="CT179" s="544"/>
      <c r="CU179" s="544"/>
      <c r="CV179" s="544"/>
      <c r="CW179" s="544"/>
      <c r="CX179" s="544"/>
      <c r="CY179" s="544"/>
      <c r="CZ179" s="544"/>
      <c r="DA179" s="544"/>
      <c r="DB179" s="544"/>
      <c r="DC179" s="544"/>
      <c r="DD179" s="544"/>
      <c r="DE179" s="544"/>
      <c r="DF179" s="544"/>
      <c r="DG179" s="544"/>
      <c r="DH179" s="544"/>
      <c r="DI179" s="544"/>
      <c r="DJ179" s="544"/>
      <c r="DK179" s="544"/>
      <c r="DL179" s="544"/>
      <c r="DM179" s="544"/>
      <c r="DN179" s="544"/>
      <c r="DO179" s="544"/>
      <c r="DP179" s="544"/>
      <c r="DQ179" s="544"/>
      <c r="DR179" s="544"/>
      <c r="DS179" s="544"/>
      <c r="DT179" s="544"/>
      <c r="DU179" s="544"/>
      <c r="DV179" s="544"/>
      <c r="DW179" s="544"/>
      <c r="DX179" s="544"/>
      <c r="DY179" s="544"/>
      <c r="DZ179" s="544"/>
      <c r="EA179" s="544"/>
      <c r="EB179" s="544"/>
      <c r="EC179" s="544"/>
      <c r="ED179" s="544"/>
      <c r="EE179" s="544"/>
      <c r="EF179" s="544"/>
      <c r="EG179" s="544"/>
      <c r="EH179" s="544"/>
      <c r="EI179" s="544"/>
      <c r="EJ179" s="544"/>
      <c r="EK179" s="544"/>
      <c r="EL179" s="544"/>
      <c r="EM179" s="544"/>
      <c r="EN179" s="544"/>
      <c r="EO179" s="544"/>
      <c r="EP179" s="544"/>
      <c r="EQ179" s="544"/>
      <c r="ER179" s="544"/>
      <c r="ES179" s="544"/>
      <c r="ET179" s="544"/>
      <c r="EU179" s="544"/>
      <c r="EV179" s="544"/>
      <c r="EW179" s="544"/>
      <c r="EX179" s="544"/>
      <c r="EY179" s="544"/>
      <c r="EZ179" s="544"/>
      <c r="FA179" s="544"/>
      <c r="FB179" s="544"/>
      <c r="FC179" s="544"/>
      <c r="FD179" s="544"/>
      <c r="FE179" s="544"/>
      <c r="FF179" s="544"/>
      <c r="FG179" s="544"/>
      <c r="FH179" s="544"/>
      <c r="FI179" s="544"/>
      <c r="FJ179" s="544"/>
      <c r="FK179" s="544"/>
      <c r="FL179" s="544"/>
      <c r="FM179" s="544"/>
      <c r="FN179" s="544"/>
      <c r="FO179" s="544"/>
      <c r="FP179" s="544"/>
      <c r="FQ179" s="544"/>
      <c r="FR179" s="544"/>
      <c r="FS179" s="544"/>
      <c r="FT179" s="544"/>
      <c r="FU179" s="544"/>
      <c r="FV179" s="544"/>
      <c r="FW179" s="544"/>
      <c r="FX179" s="544"/>
      <c r="FY179" s="544"/>
      <c r="FZ179" s="544"/>
      <c r="GA179" s="544"/>
      <c r="GB179" s="544"/>
      <c r="GC179" s="544"/>
      <c r="GD179" s="544"/>
      <c r="GE179" s="544"/>
      <c r="GF179" s="544"/>
      <c r="GG179" s="544"/>
      <c r="GH179" s="544"/>
      <c r="GI179" s="544"/>
      <c r="GJ179" s="544"/>
      <c r="GK179" s="544"/>
      <c r="GL179" s="544"/>
      <c r="GM179" s="544"/>
      <c r="GN179" s="544"/>
      <c r="GO179" s="544"/>
      <c r="GP179" s="544"/>
      <c r="GQ179" s="544"/>
      <c r="GR179" s="544"/>
      <c r="GS179" s="544"/>
      <c r="GT179" s="544"/>
      <c r="GU179" s="544"/>
      <c r="GV179" s="544"/>
      <c r="GW179" s="544"/>
      <c r="GX179" s="544"/>
      <c r="GY179" s="544"/>
      <c r="GZ179" s="544"/>
      <c r="HA179" s="544"/>
      <c r="HB179" s="544"/>
      <c r="HC179" s="544"/>
      <c r="HD179" s="544"/>
      <c r="HE179" s="544"/>
      <c r="HF179" s="544"/>
      <c r="HG179" s="544"/>
      <c r="HH179" s="544"/>
      <c r="HI179" s="544"/>
      <c r="HJ179" s="544"/>
      <c r="HK179" s="544"/>
      <c r="HL179" s="544"/>
      <c r="HM179" s="544"/>
      <c r="HN179" s="544"/>
      <c r="HO179" s="544"/>
      <c r="HP179" s="544"/>
      <c r="HQ179" s="544"/>
      <c r="HR179" s="544"/>
      <c r="HS179" s="544"/>
      <c r="HT179" s="544"/>
      <c r="HU179" s="544"/>
      <c r="HV179" s="544"/>
      <c r="HW179" s="544"/>
      <c r="HX179" s="544"/>
      <c r="HY179" s="544"/>
      <c r="HZ179" s="544"/>
      <c r="IA179" s="544"/>
      <c r="IB179" s="544"/>
      <c r="IC179" s="544"/>
      <c r="ID179" s="544"/>
      <c r="IE179" s="544"/>
      <c r="IF179" s="544"/>
      <c r="IG179" s="544"/>
      <c r="IH179" s="544"/>
      <c r="II179" s="544"/>
      <c r="IJ179" s="544"/>
      <c r="IK179" s="544"/>
      <c r="IL179" s="544"/>
      <c r="IM179" s="544"/>
      <c r="IN179" s="544"/>
      <c r="IO179" s="544"/>
      <c r="IP179" s="544"/>
      <c r="IQ179" s="544"/>
      <c r="IR179" s="544"/>
      <c r="IS179" s="544"/>
      <c r="IT179" s="544"/>
      <c r="IU179" s="544"/>
      <c r="IV179" s="544"/>
    </row>
    <row r="180" spans="1:256" s="459" customFormat="1" ht="16.2" thickBot="1" x14ac:dyDescent="0.35">
      <c r="A180" s="438"/>
      <c r="B180" s="441"/>
      <c r="C180" s="441"/>
      <c r="D180" s="441"/>
      <c r="E180" s="441"/>
      <c r="F180" s="441"/>
      <c r="G180" s="441"/>
      <c r="H180" s="441"/>
      <c r="I180" s="441"/>
      <c r="J180" s="441"/>
      <c r="K180" s="441"/>
      <c r="L180" s="441"/>
      <c r="M180" s="441"/>
      <c r="N180" s="441"/>
      <c r="O180" s="441"/>
      <c r="P180" s="441"/>
      <c r="Q180" s="441"/>
      <c r="R180" s="441"/>
      <c r="S180" s="441"/>
      <c r="T180" s="441"/>
      <c r="U180" s="441"/>
      <c r="V180" s="452"/>
      <c r="W180" s="441"/>
      <c r="X180" s="415"/>
      <c r="Y180" s="416"/>
      <c r="Z180" s="416"/>
      <c r="AA180" s="416"/>
      <c r="AB180" s="416"/>
      <c r="AC180" s="416"/>
      <c r="AD180" s="416"/>
      <c r="AE180" s="416"/>
      <c r="AF180" s="416"/>
      <c r="AG180" s="416"/>
      <c r="AH180" s="416"/>
      <c r="AI180" s="416"/>
      <c r="AJ180" s="416"/>
      <c r="AK180" s="416"/>
      <c r="AL180" s="416"/>
      <c r="AM180" s="416"/>
      <c r="AN180" s="416"/>
      <c r="AO180" s="416"/>
      <c r="AP180" s="416"/>
      <c r="AQ180" s="416"/>
      <c r="AR180" s="416"/>
      <c r="AS180" s="416"/>
      <c r="AT180" s="416"/>
      <c r="AU180" s="416"/>
      <c r="AV180" s="416"/>
      <c r="AW180" s="416"/>
      <c r="AX180" s="416"/>
      <c r="AY180" s="416"/>
      <c r="AZ180" s="416"/>
      <c r="BA180" s="416"/>
      <c r="BB180" s="416"/>
      <c r="BC180" s="416"/>
      <c r="BD180" s="416"/>
      <c r="BE180" s="416"/>
      <c r="BF180" s="416"/>
      <c r="BG180" s="416"/>
      <c r="BH180" s="416"/>
      <c r="BI180" s="416"/>
      <c r="BJ180" s="416"/>
      <c r="BK180" s="416"/>
      <c r="BL180" s="416"/>
      <c r="BM180" s="416"/>
      <c r="BN180" s="416"/>
      <c r="BO180" s="416"/>
      <c r="BP180" s="416"/>
      <c r="BQ180" s="416"/>
      <c r="BR180" s="416"/>
      <c r="BS180" s="416"/>
      <c r="BT180" s="416"/>
      <c r="BU180" s="416"/>
      <c r="BV180" s="416"/>
      <c r="BW180" s="416"/>
      <c r="BX180" s="416"/>
      <c r="BY180" s="416"/>
      <c r="BZ180" s="416"/>
      <c r="CA180" s="416"/>
      <c r="CB180" s="416"/>
      <c r="CC180" s="416"/>
      <c r="CD180" s="416"/>
      <c r="CE180" s="416"/>
      <c r="CF180" s="416"/>
      <c r="CG180" s="416"/>
      <c r="CH180" s="416"/>
      <c r="CI180" s="416"/>
      <c r="CJ180" s="416"/>
      <c r="CK180" s="416"/>
      <c r="CL180" s="416"/>
      <c r="CM180" s="416"/>
      <c r="CN180" s="416"/>
      <c r="CO180" s="416"/>
      <c r="CP180" s="416"/>
      <c r="CQ180" s="416"/>
      <c r="CR180" s="416"/>
      <c r="CS180" s="416"/>
      <c r="CT180" s="416"/>
      <c r="CU180" s="416"/>
      <c r="CV180" s="416"/>
      <c r="CW180" s="416"/>
      <c r="CX180" s="416"/>
      <c r="CY180" s="416"/>
      <c r="CZ180" s="416"/>
      <c r="DA180" s="416"/>
      <c r="DB180" s="416"/>
      <c r="DC180" s="416"/>
      <c r="DD180" s="416"/>
      <c r="DE180" s="416"/>
      <c r="DF180" s="416"/>
      <c r="DG180" s="416"/>
      <c r="DH180" s="416"/>
      <c r="DI180" s="416"/>
      <c r="DJ180" s="416"/>
      <c r="DK180" s="416"/>
      <c r="DL180" s="416"/>
      <c r="DM180" s="416"/>
      <c r="DN180" s="416"/>
      <c r="DO180" s="416"/>
      <c r="DP180" s="416"/>
      <c r="DQ180" s="416"/>
      <c r="DR180" s="416"/>
      <c r="DS180" s="416"/>
      <c r="DT180" s="416"/>
      <c r="DU180" s="416"/>
      <c r="DV180" s="416"/>
      <c r="DW180" s="416"/>
      <c r="DX180" s="416"/>
      <c r="DY180" s="416"/>
      <c r="DZ180" s="416"/>
      <c r="EA180" s="416"/>
      <c r="EB180" s="416"/>
      <c r="EC180" s="416"/>
      <c r="ED180" s="416"/>
      <c r="EE180" s="416"/>
      <c r="EF180" s="416"/>
      <c r="EG180" s="416"/>
      <c r="EH180" s="416"/>
      <c r="EI180" s="416"/>
      <c r="EJ180" s="416"/>
      <c r="EK180" s="416"/>
      <c r="EL180" s="416"/>
      <c r="EM180" s="416"/>
      <c r="EN180" s="416"/>
      <c r="EO180" s="416"/>
      <c r="EP180" s="416"/>
      <c r="EQ180" s="416"/>
      <c r="ER180" s="416"/>
      <c r="ES180" s="416"/>
      <c r="ET180" s="416"/>
      <c r="EU180" s="416"/>
      <c r="EV180" s="416"/>
      <c r="EW180" s="416"/>
      <c r="EX180" s="416"/>
      <c r="EY180" s="416"/>
      <c r="EZ180" s="416"/>
      <c r="FA180" s="416"/>
      <c r="FB180" s="416"/>
      <c r="FC180" s="416"/>
      <c r="FD180" s="416"/>
      <c r="FE180" s="416"/>
      <c r="FF180" s="416"/>
      <c r="FG180" s="416"/>
      <c r="FH180" s="416"/>
      <c r="FI180" s="416"/>
      <c r="FJ180" s="416"/>
      <c r="FK180" s="416"/>
      <c r="FL180" s="416"/>
      <c r="FM180" s="416"/>
      <c r="FN180" s="416"/>
      <c r="FO180" s="416"/>
      <c r="FP180" s="416"/>
      <c r="FQ180" s="416"/>
      <c r="FR180" s="416"/>
      <c r="FS180" s="416"/>
      <c r="FT180" s="416"/>
      <c r="FU180" s="416"/>
      <c r="FV180" s="416"/>
      <c r="FW180" s="416"/>
      <c r="FX180" s="416"/>
      <c r="FY180" s="416"/>
      <c r="FZ180" s="416"/>
      <c r="GA180" s="416"/>
      <c r="GB180" s="416"/>
      <c r="GC180" s="416"/>
      <c r="GD180" s="416"/>
      <c r="GE180" s="416"/>
      <c r="GF180" s="416"/>
      <c r="GG180" s="416"/>
      <c r="GH180" s="416"/>
      <c r="GI180" s="416"/>
      <c r="GJ180" s="416"/>
      <c r="GK180" s="416"/>
      <c r="GL180" s="416"/>
      <c r="GM180" s="416"/>
      <c r="GN180" s="416"/>
      <c r="GO180" s="416"/>
      <c r="GP180" s="416"/>
      <c r="GQ180" s="416"/>
      <c r="GR180" s="416"/>
      <c r="GS180" s="416"/>
      <c r="GT180" s="416"/>
      <c r="GU180" s="416"/>
      <c r="GV180" s="416"/>
      <c r="GW180" s="416"/>
      <c r="GX180" s="416"/>
      <c r="GY180" s="416"/>
      <c r="GZ180" s="416"/>
      <c r="HA180" s="416"/>
      <c r="HB180" s="416"/>
      <c r="HC180" s="416"/>
      <c r="HD180" s="416"/>
      <c r="HE180" s="416"/>
      <c r="HF180" s="416"/>
      <c r="HG180" s="416"/>
      <c r="HH180" s="416"/>
      <c r="HI180" s="416"/>
      <c r="HJ180" s="416"/>
      <c r="HK180" s="416"/>
      <c r="HL180" s="416"/>
      <c r="HM180" s="416"/>
      <c r="HN180" s="416"/>
      <c r="HO180" s="416"/>
      <c r="HP180" s="416"/>
      <c r="HQ180" s="416"/>
      <c r="HR180" s="416"/>
      <c r="HS180" s="416"/>
      <c r="HT180" s="416"/>
      <c r="HU180" s="416"/>
      <c r="HV180" s="416"/>
      <c r="HW180" s="416"/>
      <c r="HX180" s="416"/>
      <c r="HY180" s="416"/>
      <c r="HZ180" s="416"/>
      <c r="IA180" s="416"/>
      <c r="IB180" s="416"/>
      <c r="IC180" s="416"/>
      <c r="ID180" s="416"/>
      <c r="IE180" s="416"/>
      <c r="IF180" s="416"/>
      <c r="IG180" s="416"/>
      <c r="IH180" s="416"/>
      <c r="II180" s="416"/>
      <c r="IJ180" s="416"/>
      <c r="IK180" s="416"/>
      <c r="IL180" s="416"/>
      <c r="IM180" s="416"/>
      <c r="IN180" s="416"/>
      <c r="IO180" s="416"/>
      <c r="IP180" s="416"/>
      <c r="IQ180" s="416"/>
      <c r="IR180" s="416"/>
      <c r="IS180" s="416"/>
      <c r="IT180" s="416"/>
      <c r="IU180" s="416"/>
      <c r="IV180" s="416"/>
    </row>
    <row r="181" spans="1:256" s="461" customFormat="1" x14ac:dyDescent="0.3">
      <c r="A181" s="413"/>
      <c r="B181" s="414"/>
      <c r="C181" s="414"/>
      <c r="D181" s="414"/>
      <c r="E181" s="414"/>
      <c r="F181" s="414"/>
      <c r="G181" s="414"/>
      <c r="H181" s="414"/>
      <c r="I181" s="414"/>
      <c r="J181" s="414"/>
      <c r="K181" s="414"/>
      <c r="L181" s="414"/>
      <c r="M181" s="414"/>
      <c r="N181" s="414"/>
      <c r="O181" s="414"/>
      <c r="P181" s="414"/>
      <c r="Q181" s="414"/>
      <c r="R181" s="414"/>
      <c r="S181" s="414"/>
      <c r="T181" s="414"/>
      <c r="U181" s="414"/>
      <c r="V181" s="460"/>
      <c r="W181" s="414"/>
      <c r="X181" s="415"/>
      <c r="Y181" s="416"/>
      <c r="Z181" s="416"/>
      <c r="AA181" s="416"/>
      <c r="AB181" s="416"/>
      <c r="AC181" s="416"/>
      <c r="AD181" s="416"/>
      <c r="AE181" s="416"/>
      <c r="AF181" s="416"/>
      <c r="AG181" s="416"/>
      <c r="AH181" s="416"/>
      <c r="AI181" s="416"/>
      <c r="AJ181" s="416"/>
      <c r="AK181" s="416"/>
      <c r="AL181" s="416"/>
      <c r="AM181" s="416"/>
      <c r="AN181" s="416"/>
      <c r="AO181" s="416"/>
      <c r="AP181" s="416"/>
      <c r="AQ181" s="416"/>
      <c r="AR181" s="416"/>
      <c r="AS181" s="416"/>
      <c r="AT181" s="416"/>
      <c r="AU181" s="416"/>
      <c r="AV181" s="416"/>
      <c r="AW181" s="416"/>
      <c r="AX181" s="416"/>
      <c r="AY181" s="416"/>
      <c r="AZ181" s="416"/>
      <c r="BA181" s="416"/>
      <c r="BB181" s="416"/>
      <c r="BC181" s="416"/>
      <c r="BD181" s="416"/>
      <c r="BE181" s="416"/>
      <c r="BF181" s="416"/>
      <c r="BG181" s="416"/>
      <c r="BH181" s="416"/>
      <c r="BI181" s="416"/>
      <c r="BJ181" s="416"/>
      <c r="BK181" s="416"/>
      <c r="BL181" s="416"/>
      <c r="BM181" s="416"/>
      <c r="BN181" s="416"/>
      <c r="BO181" s="416"/>
      <c r="BP181" s="416"/>
      <c r="BQ181" s="416"/>
      <c r="BR181" s="416"/>
      <c r="BS181" s="416"/>
      <c r="BT181" s="416"/>
      <c r="BU181" s="416"/>
      <c r="BV181" s="416"/>
      <c r="BW181" s="416"/>
      <c r="BX181" s="416"/>
      <c r="BY181" s="416"/>
      <c r="BZ181" s="416"/>
      <c r="CA181" s="416"/>
      <c r="CB181" s="416"/>
      <c r="CC181" s="416"/>
      <c r="CD181" s="416"/>
      <c r="CE181" s="416"/>
      <c r="CF181" s="416"/>
      <c r="CG181" s="416"/>
      <c r="CH181" s="416"/>
      <c r="CI181" s="416"/>
      <c r="CJ181" s="416"/>
      <c r="CK181" s="416"/>
      <c r="CL181" s="416"/>
      <c r="CM181" s="416"/>
      <c r="CN181" s="416"/>
      <c r="CO181" s="416"/>
      <c r="CP181" s="416"/>
      <c r="CQ181" s="416"/>
      <c r="CR181" s="416"/>
      <c r="CS181" s="416"/>
      <c r="CT181" s="416"/>
      <c r="CU181" s="416"/>
      <c r="CV181" s="416"/>
      <c r="CW181" s="416"/>
      <c r="CX181" s="416"/>
      <c r="CY181" s="416"/>
      <c r="CZ181" s="416"/>
      <c r="DA181" s="416"/>
      <c r="DB181" s="416"/>
      <c r="DC181" s="416"/>
      <c r="DD181" s="416"/>
      <c r="DE181" s="416"/>
      <c r="DF181" s="416"/>
      <c r="DG181" s="416"/>
      <c r="DH181" s="416"/>
      <c r="DI181" s="416"/>
      <c r="DJ181" s="416"/>
      <c r="DK181" s="416"/>
      <c r="DL181" s="416"/>
      <c r="DM181" s="416"/>
      <c r="DN181" s="416"/>
      <c r="DO181" s="416"/>
      <c r="DP181" s="416"/>
      <c r="DQ181" s="416"/>
      <c r="DR181" s="416"/>
      <c r="DS181" s="416"/>
      <c r="DT181" s="416"/>
      <c r="DU181" s="416"/>
      <c r="DV181" s="416"/>
      <c r="DW181" s="416"/>
      <c r="DX181" s="416"/>
      <c r="DY181" s="416"/>
      <c r="DZ181" s="416"/>
      <c r="EA181" s="416"/>
      <c r="EB181" s="416"/>
      <c r="EC181" s="416"/>
      <c r="ED181" s="416"/>
      <c r="EE181" s="416"/>
      <c r="EF181" s="416"/>
      <c r="EG181" s="416"/>
      <c r="EH181" s="416"/>
      <c r="EI181" s="416"/>
      <c r="EJ181" s="416"/>
      <c r="EK181" s="416"/>
      <c r="EL181" s="416"/>
      <c r="EM181" s="416"/>
      <c r="EN181" s="416"/>
      <c r="EO181" s="416"/>
      <c r="EP181" s="416"/>
      <c r="EQ181" s="416"/>
      <c r="ER181" s="416"/>
      <c r="ES181" s="416"/>
      <c r="ET181" s="416"/>
      <c r="EU181" s="416"/>
      <c r="EV181" s="416"/>
      <c r="EW181" s="416"/>
      <c r="EX181" s="416"/>
      <c r="EY181" s="416"/>
      <c r="EZ181" s="416"/>
      <c r="FA181" s="416"/>
      <c r="FB181" s="416"/>
      <c r="FC181" s="416"/>
      <c r="FD181" s="416"/>
      <c r="FE181" s="416"/>
      <c r="FF181" s="416"/>
      <c r="FG181" s="416"/>
      <c r="FH181" s="416"/>
      <c r="FI181" s="416"/>
      <c r="FJ181" s="416"/>
      <c r="FK181" s="416"/>
      <c r="FL181" s="416"/>
      <c r="FM181" s="416"/>
      <c r="FN181" s="416"/>
      <c r="FO181" s="416"/>
      <c r="FP181" s="416"/>
      <c r="FQ181" s="416"/>
      <c r="FR181" s="416"/>
      <c r="FS181" s="416"/>
      <c r="FT181" s="416"/>
      <c r="FU181" s="416"/>
      <c r="FV181" s="416"/>
      <c r="FW181" s="416"/>
      <c r="FX181" s="416"/>
      <c r="FY181" s="416"/>
      <c r="FZ181" s="416"/>
      <c r="GA181" s="416"/>
      <c r="GB181" s="416"/>
      <c r="GC181" s="416"/>
      <c r="GD181" s="416"/>
      <c r="GE181" s="416"/>
      <c r="GF181" s="416"/>
      <c r="GG181" s="416"/>
      <c r="GH181" s="416"/>
      <c r="GI181" s="416"/>
      <c r="GJ181" s="416"/>
      <c r="GK181" s="416"/>
      <c r="GL181" s="416"/>
      <c r="GM181" s="416"/>
      <c r="GN181" s="416"/>
      <c r="GO181" s="416"/>
      <c r="GP181" s="416"/>
      <c r="GQ181" s="416"/>
      <c r="GR181" s="416"/>
      <c r="GS181" s="416"/>
      <c r="GT181" s="416"/>
      <c r="GU181" s="416"/>
      <c r="GV181" s="416"/>
      <c r="GW181" s="416"/>
      <c r="GX181" s="416"/>
      <c r="GY181" s="416"/>
      <c r="GZ181" s="416"/>
      <c r="HA181" s="416"/>
      <c r="HB181" s="416"/>
      <c r="HC181" s="416"/>
      <c r="HD181" s="416"/>
      <c r="HE181" s="416"/>
      <c r="HF181" s="416"/>
      <c r="HG181" s="416"/>
      <c r="HH181" s="416"/>
      <c r="HI181" s="416"/>
      <c r="HJ181" s="416"/>
      <c r="HK181" s="416"/>
      <c r="HL181" s="416"/>
      <c r="HM181" s="416"/>
      <c r="HN181" s="416"/>
      <c r="HO181" s="416"/>
      <c r="HP181" s="416"/>
      <c r="HQ181" s="416"/>
      <c r="HR181" s="416"/>
      <c r="HS181" s="416"/>
      <c r="HT181" s="416"/>
      <c r="HU181" s="416"/>
      <c r="HV181" s="416"/>
      <c r="HW181" s="416"/>
      <c r="HX181" s="416"/>
      <c r="HY181" s="416"/>
      <c r="HZ181" s="416"/>
      <c r="IA181" s="416"/>
      <c r="IB181" s="416"/>
      <c r="IC181" s="416"/>
      <c r="ID181" s="416"/>
      <c r="IE181" s="416"/>
      <c r="IF181" s="416"/>
      <c r="IG181" s="416"/>
      <c r="IH181" s="416"/>
      <c r="II181" s="416"/>
      <c r="IJ181" s="416"/>
      <c r="IK181" s="416"/>
      <c r="IL181" s="416"/>
      <c r="IM181" s="416"/>
      <c r="IN181" s="416"/>
      <c r="IO181" s="416"/>
      <c r="IP181" s="416"/>
      <c r="IQ181" s="416"/>
      <c r="IR181" s="416"/>
      <c r="IS181" s="416"/>
      <c r="IT181" s="416"/>
      <c r="IU181" s="416"/>
      <c r="IV181" s="416"/>
    </row>
    <row r="182" spans="1:256" x14ac:dyDescent="0.3">
      <c r="A182" s="417"/>
      <c r="B182" s="508" t="s">
        <v>56</v>
      </c>
      <c r="C182" s="419"/>
      <c r="D182" s="419"/>
      <c r="E182" s="419"/>
      <c r="F182" s="419"/>
      <c r="G182" s="419"/>
      <c r="H182" s="419"/>
      <c r="I182" s="419"/>
      <c r="J182" s="419"/>
      <c r="K182" s="419"/>
      <c r="L182" s="419"/>
      <c r="M182" s="419"/>
      <c r="N182" s="419"/>
      <c r="O182" s="419"/>
      <c r="P182" s="419"/>
      <c r="Q182" s="419"/>
      <c r="R182" s="419"/>
      <c r="S182" s="419"/>
      <c r="T182" s="419"/>
      <c r="U182" s="419"/>
      <c r="V182" s="439"/>
      <c r="W182" s="419"/>
      <c r="X182" s="415"/>
    </row>
    <row r="183" spans="1:256" x14ac:dyDescent="0.3">
      <c r="A183" s="417"/>
      <c r="B183" s="451"/>
      <c r="C183" s="419"/>
      <c r="D183" s="419"/>
      <c r="E183" s="419"/>
      <c r="F183" s="419"/>
      <c r="G183" s="419"/>
      <c r="H183" s="419"/>
      <c r="I183" s="419"/>
      <c r="J183" s="419"/>
      <c r="K183" s="419"/>
      <c r="L183" s="419"/>
      <c r="M183" s="419"/>
      <c r="N183" s="419"/>
      <c r="O183" s="419"/>
      <c r="P183" s="419"/>
      <c r="Q183" s="419"/>
      <c r="R183" s="419"/>
      <c r="S183" s="419"/>
      <c r="T183" s="419"/>
      <c r="U183" s="419"/>
      <c r="V183" s="439"/>
      <c r="W183" s="419"/>
      <c r="X183" s="415"/>
    </row>
    <row r="184" spans="1:256" s="544" customFormat="1" x14ac:dyDescent="0.3">
      <c r="A184" s="555"/>
      <c r="B184" s="556" t="s">
        <v>57</v>
      </c>
      <c r="C184" s="556"/>
      <c r="D184" s="556"/>
      <c r="E184" s="556"/>
      <c r="F184" s="556"/>
      <c r="G184" s="556"/>
      <c r="H184" s="556"/>
      <c r="I184" s="556"/>
      <c r="J184" s="556"/>
      <c r="K184" s="556"/>
      <c r="L184" s="556"/>
      <c r="M184" s="556"/>
      <c r="N184" s="556"/>
      <c r="O184" s="556"/>
      <c r="P184" s="556"/>
      <c r="Q184" s="556"/>
      <c r="R184" s="556"/>
      <c r="S184" s="556"/>
      <c r="T184" s="556"/>
      <c r="U184" s="556"/>
      <c r="V184" s="599">
        <f>V70</f>
        <v>754552</v>
      </c>
      <c r="W184" s="558"/>
      <c r="X184" s="543"/>
    </row>
    <row r="185" spans="1:256" s="544" customFormat="1" x14ac:dyDescent="0.3">
      <c r="A185" s="555"/>
      <c r="B185" s="556" t="s">
        <v>58</v>
      </c>
      <c r="C185" s="556"/>
      <c r="D185" s="556"/>
      <c r="E185" s="556"/>
      <c r="F185" s="556"/>
      <c r="G185" s="556"/>
      <c r="H185" s="556"/>
      <c r="I185" s="556"/>
      <c r="J185" s="556"/>
      <c r="K185" s="556"/>
      <c r="L185" s="556"/>
      <c r="M185" s="556"/>
      <c r="N185" s="556"/>
      <c r="O185" s="556"/>
      <c r="P185" s="556"/>
      <c r="Q185" s="556"/>
      <c r="R185" s="556"/>
      <c r="S185" s="556"/>
      <c r="T185" s="556"/>
      <c r="U185" s="556"/>
      <c r="V185" s="599">
        <f>V83</f>
        <v>754552</v>
      </c>
      <c r="W185" s="558"/>
      <c r="X185" s="543"/>
    </row>
    <row r="186" spans="1:256" ht="16.2" thickBot="1" x14ac:dyDescent="0.35">
      <c r="A186" s="417"/>
      <c r="B186" s="441"/>
      <c r="C186" s="441"/>
      <c r="D186" s="441"/>
      <c r="E186" s="441"/>
      <c r="F186" s="441"/>
      <c r="G186" s="441"/>
      <c r="H186" s="441"/>
      <c r="I186" s="441"/>
      <c r="J186" s="441"/>
      <c r="K186" s="441"/>
      <c r="L186" s="441"/>
      <c r="M186" s="441"/>
      <c r="N186" s="441"/>
      <c r="O186" s="441"/>
      <c r="P186" s="441"/>
      <c r="Q186" s="441"/>
      <c r="R186" s="441"/>
      <c r="S186" s="441"/>
      <c r="T186" s="441"/>
      <c r="U186" s="441"/>
      <c r="V186" s="452"/>
      <c r="W186" s="441"/>
      <c r="X186" s="415"/>
    </row>
    <row r="187" spans="1:256" x14ac:dyDescent="0.3">
      <c r="A187" s="413"/>
      <c r="B187" s="414"/>
      <c r="C187" s="414"/>
      <c r="D187" s="414"/>
      <c r="E187" s="414"/>
      <c r="F187" s="414"/>
      <c r="G187" s="414"/>
      <c r="H187" s="414"/>
      <c r="I187" s="414"/>
      <c r="J187" s="414"/>
      <c r="K187" s="414"/>
      <c r="L187" s="414"/>
      <c r="M187" s="414"/>
      <c r="N187" s="414"/>
      <c r="O187" s="414"/>
      <c r="P187" s="414"/>
      <c r="Q187" s="414"/>
      <c r="R187" s="414"/>
      <c r="S187" s="414"/>
      <c r="T187" s="414"/>
      <c r="U187" s="414"/>
      <c r="V187" s="460"/>
      <c r="W187" s="414"/>
      <c r="X187" s="415"/>
    </row>
    <row r="188" spans="1:256" s="499" customFormat="1" x14ac:dyDescent="0.3">
      <c r="A188" s="502"/>
      <c r="B188" s="508" t="s">
        <v>59</v>
      </c>
      <c r="C188" s="506"/>
      <c r="D188" s="506"/>
      <c r="E188" s="506"/>
      <c r="F188" s="506"/>
      <c r="G188" s="506"/>
      <c r="H188" s="509"/>
      <c r="I188" s="509"/>
      <c r="J188" s="509"/>
      <c r="K188" s="509"/>
      <c r="L188" s="509"/>
      <c r="M188" s="509"/>
      <c r="N188" s="509"/>
      <c r="O188" s="509"/>
      <c r="P188" s="509"/>
      <c r="Q188" s="509"/>
      <c r="R188" s="509"/>
      <c r="S188" s="509" t="s">
        <v>101</v>
      </c>
      <c r="T188" s="509" t="s">
        <v>176</v>
      </c>
      <c r="U188" s="421"/>
      <c r="V188" s="510" t="s">
        <v>114</v>
      </c>
      <c r="W188" s="421"/>
      <c r="X188" s="498"/>
    </row>
    <row r="189" spans="1:256" s="544" customFormat="1" x14ac:dyDescent="0.3">
      <c r="A189" s="555"/>
      <c r="B189" s="556" t="s">
        <v>60</v>
      </c>
      <c r="C189" s="556"/>
      <c r="D189" s="556"/>
      <c r="E189" s="556"/>
      <c r="F189" s="556"/>
      <c r="G189" s="556"/>
      <c r="H189" s="556"/>
      <c r="I189" s="556"/>
      <c r="J189" s="556"/>
      <c r="K189" s="556"/>
      <c r="L189" s="556"/>
      <c r="M189" s="556"/>
      <c r="N189" s="556"/>
      <c r="O189" s="556"/>
      <c r="P189" s="556"/>
      <c r="Q189" s="556"/>
      <c r="R189" s="556"/>
      <c r="S189" s="599">
        <f>+V34*0.16</f>
        <v>240044</v>
      </c>
      <c r="T189" s="578"/>
      <c r="U189" s="556"/>
      <c r="V189" s="599"/>
      <c r="W189" s="558"/>
      <c r="X189" s="543"/>
    </row>
    <row r="190" spans="1:256" s="544" customFormat="1" x14ac:dyDescent="0.3">
      <c r="A190" s="555"/>
      <c r="B190" s="556" t="s">
        <v>61</v>
      </c>
      <c r="C190" s="556"/>
      <c r="D190" s="556"/>
      <c r="E190" s="556"/>
      <c r="F190" s="556"/>
      <c r="G190" s="556"/>
      <c r="H190" s="556"/>
      <c r="I190" s="556"/>
      <c r="J190" s="556"/>
      <c r="K190" s="556"/>
      <c r="L190" s="556"/>
      <c r="M190" s="556"/>
      <c r="N190" s="556"/>
      <c r="O190" s="556"/>
      <c r="P190" s="556"/>
      <c r="Q190" s="556"/>
      <c r="R190" s="556"/>
      <c r="S190" s="599">
        <f>+'May 19'!S189</f>
        <v>33453</v>
      </c>
      <c r="T190" s="599">
        <f>+'May 19'!T189</f>
        <v>6019</v>
      </c>
      <c r="U190" s="556"/>
      <c r="V190" s="599">
        <f>S190+T190</f>
        <v>39472</v>
      </c>
      <c r="W190" s="558"/>
      <c r="X190" s="543"/>
    </row>
    <row r="191" spans="1:256" s="544" customFormat="1" x14ac:dyDescent="0.3">
      <c r="A191" s="555"/>
      <c r="B191" s="556" t="s">
        <v>62</v>
      </c>
      <c r="C191" s="556"/>
      <c r="D191" s="556"/>
      <c r="E191" s="556"/>
      <c r="F191" s="556"/>
      <c r="G191" s="556"/>
      <c r="H191" s="556"/>
      <c r="I191" s="556"/>
      <c r="J191" s="556"/>
      <c r="K191" s="556"/>
      <c r="L191" s="556"/>
      <c r="M191" s="556"/>
      <c r="N191" s="556"/>
      <c r="O191" s="556"/>
      <c r="P191" s="556"/>
      <c r="Q191" s="556"/>
      <c r="R191" s="556"/>
      <c r="S191" s="598">
        <v>0</v>
      </c>
      <c r="T191" s="598">
        <v>0</v>
      </c>
      <c r="U191" s="556"/>
      <c r="V191" s="599">
        <f>S191+T191</f>
        <v>0</v>
      </c>
      <c r="W191" s="558"/>
      <c r="X191" s="543"/>
    </row>
    <row r="192" spans="1:256" s="544" customFormat="1" x14ac:dyDescent="0.3">
      <c r="A192" s="555"/>
      <c r="B192" s="556" t="s">
        <v>63</v>
      </c>
      <c r="C192" s="556"/>
      <c r="D192" s="556"/>
      <c r="E192" s="556"/>
      <c r="F192" s="556"/>
      <c r="G192" s="556"/>
      <c r="H192" s="556"/>
      <c r="I192" s="556"/>
      <c r="J192" s="556"/>
      <c r="K192" s="556"/>
      <c r="L192" s="556"/>
      <c r="M192" s="556"/>
      <c r="N192" s="556"/>
      <c r="O192" s="556"/>
      <c r="P192" s="556"/>
      <c r="Q192" s="556"/>
      <c r="R192" s="556"/>
      <c r="S192" s="599">
        <f>S190+S191</f>
        <v>33453</v>
      </c>
      <c r="T192" s="599">
        <f>T191+T190</f>
        <v>6019</v>
      </c>
      <c r="U192" s="556"/>
      <c r="V192" s="599">
        <f>S192+T192</f>
        <v>39472</v>
      </c>
      <c r="W192" s="558"/>
      <c r="X192" s="543"/>
    </row>
    <row r="193" spans="1:24" s="544" customFormat="1" x14ac:dyDescent="0.3">
      <c r="A193" s="555"/>
      <c r="B193" s="556" t="s">
        <v>64</v>
      </c>
      <c r="C193" s="556"/>
      <c r="D193" s="556"/>
      <c r="E193" s="556"/>
      <c r="F193" s="556"/>
      <c r="G193" s="556"/>
      <c r="H193" s="556"/>
      <c r="I193" s="556"/>
      <c r="J193" s="556"/>
      <c r="K193" s="556"/>
      <c r="L193" s="556"/>
      <c r="M193" s="556"/>
      <c r="N193" s="556"/>
      <c r="O193" s="556"/>
      <c r="P193" s="556"/>
      <c r="Q193" s="556"/>
      <c r="R193" s="556"/>
      <c r="S193" s="599">
        <f>S189-S192-T192</f>
        <v>200572</v>
      </c>
      <c r="T193" s="578"/>
      <c r="U193" s="556"/>
      <c r="V193" s="599"/>
      <c r="W193" s="558"/>
      <c r="X193" s="543"/>
    </row>
    <row r="194" spans="1:24" ht="16.2" thickBot="1" x14ac:dyDescent="0.35">
      <c r="A194" s="417"/>
      <c r="B194" s="441"/>
      <c r="C194" s="441"/>
      <c r="D194" s="441"/>
      <c r="E194" s="441"/>
      <c r="F194" s="441"/>
      <c r="G194" s="441"/>
      <c r="H194" s="441"/>
      <c r="I194" s="441"/>
      <c r="J194" s="441"/>
      <c r="K194" s="441"/>
      <c r="L194" s="441"/>
      <c r="M194" s="441"/>
      <c r="N194" s="441"/>
      <c r="O194" s="441"/>
      <c r="P194" s="441"/>
      <c r="Q194" s="441"/>
      <c r="R194" s="441"/>
      <c r="S194" s="441"/>
      <c r="T194" s="441"/>
      <c r="U194" s="441"/>
      <c r="V194" s="452"/>
      <c r="W194" s="441"/>
      <c r="X194" s="415"/>
    </row>
    <row r="195" spans="1:24" x14ac:dyDescent="0.3">
      <c r="A195" s="413"/>
      <c r="B195" s="414"/>
      <c r="C195" s="414"/>
      <c r="D195" s="414"/>
      <c r="E195" s="414"/>
      <c r="F195" s="414"/>
      <c r="G195" s="414"/>
      <c r="H195" s="414"/>
      <c r="I195" s="414"/>
      <c r="J195" s="414"/>
      <c r="K195" s="414"/>
      <c r="L195" s="414"/>
      <c r="M195" s="414"/>
      <c r="N195" s="414"/>
      <c r="O195" s="414"/>
      <c r="P195" s="414"/>
      <c r="Q195" s="414"/>
      <c r="R195" s="414"/>
      <c r="S195" s="414"/>
      <c r="T195" s="414"/>
      <c r="U195" s="414"/>
      <c r="V195" s="460"/>
      <c r="W195" s="414"/>
      <c r="X195" s="415"/>
    </row>
    <row r="196" spans="1:24" x14ac:dyDescent="0.3">
      <c r="A196" s="417"/>
      <c r="B196" s="508" t="s">
        <v>65</v>
      </c>
      <c r="C196" s="419"/>
      <c r="D196" s="419"/>
      <c r="E196" s="419"/>
      <c r="F196" s="419"/>
      <c r="G196" s="419"/>
      <c r="H196" s="419"/>
      <c r="I196" s="419"/>
      <c r="J196" s="419"/>
      <c r="K196" s="419"/>
      <c r="L196" s="419"/>
      <c r="M196" s="419"/>
      <c r="N196" s="419"/>
      <c r="O196" s="419"/>
      <c r="P196" s="419"/>
      <c r="Q196" s="419"/>
      <c r="R196" s="419"/>
      <c r="S196" s="419"/>
      <c r="T196" s="419"/>
      <c r="U196" s="419"/>
      <c r="V196" s="462"/>
      <c r="W196" s="419"/>
      <c r="X196" s="415"/>
    </row>
    <row r="197" spans="1:24" s="544" customFormat="1" x14ac:dyDescent="0.3">
      <c r="A197" s="555"/>
      <c r="B197" s="556" t="s">
        <v>66</v>
      </c>
      <c r="C197" s="556"/>
      <c r="D197" s="556"/>
      <c r="E197" s="556"/>
      <c r="F197" s="556"/>
      <c r="G197" s="556"/>
      <c r="H197" s="556"/>
      <c r="I197" s="556"/>
      <c r="J197" s="556"/>
      <c r="K197" s="556"/>
      <c r="L197" s="556"/>
      <c r="M197" s="556"/>
      <c r="N197" s="556"/>
      <c r="O197" s="556"/>
      <c r="P197" s="556"/>
      <c r="Q197" s="556"/>
      <c r="R197" s="556"/>
      <c r="S197" s="556"/>
      <c r="T197" s="556"/>
      <c r="U197" s="556"/>
      <c r="V197" s="608">
        <f>(V100+V102+V103+V104+V105)/-(V106+V107)</f>
        <v>3.5228276877761413</v>
      </c>
      <c r="W197" s="558" t="s">
        <v>115</v>
      </c>
      <c r="X197" s="543"/>
    </row>
    <row r="198" spans="1:24" s="544" customFormat="1" x14ac:dyDescent="0.3">
      <c r="A198" s="555"/>
      <c r="B198" s="556" t="s">
        <v>67</v>
      </c>
      <c r="C198" s="556"/>
      <c r="D198" s="556"/>
      <c r="E198" s="556"/>
      <c r="F198" s="556"/>
      <c r="G198" s="556"/>
      <c r="H198" s="556"/>
      <c r="I198" s="556"/>
      <c r="J198" s="556"/>
      <c r="K198" s="556"/>
      <c r="L198" s="556"/>
      <c r="M198" s="556"/>
      <c r="N198" s="556"/>
      <c r="O198" s="556"/>
      <c r="P198" s="556"/>
      <c r="Q198" s="556"/>
      <c r="R198" s="556"/>
      <c r="S198" s="556"/>
      <c r="T198" s="556"/>
      <c r="U198" s="556"/>
      <c r="V198" s="610">
        <v>2.17</v>
      </c>
      <c r="W198" s="558" t="s">
        <v>115</v>
      </c>
      <c r="X198" s="543"/>
    </row>
    <row r="199" spans="1:24" s="544" customFormat="1" x14ac:dyDescent="0.3">
      <c r="A199" s="555"/>
      <c r="B199" s="556" t="s">
        <v>68</v>
      </c>
      <c r="C199" s="556"/>
      <c r="D199" s="556"/>
      <c r="E199" s="556"/>
      <c r="F199" s="556"/>
      <c r="G199" s="556"/>
      <c r="H199" s="556"/>
      <c r="I199" s="556"/>
      <c r="J199" s="556"/>
      <c r="K199" s="556"/>
      <c r="L199" s="556"/>
      <c r="M199" s="556"/>
      <c r="N199" s="556"/>
      <c r="O199" s="556"/>
      <c r="P199" s="556"/>
      <c r="Q199" s="556"/>
      <c r="R199" s="556"/>
      <c r="S199" s="556"/>
      <c r="T199" s="556"/>
      <c r="U199" s="556"/>
      <c r="V199" s="608">
        <f>(V100+V102+V103+V104+V105+V106+V107)/-(V109+V110)</f>
        <v>10.350453172205437</v>
      </c>
      <c r="W199" s="558" t="s">
        <v>115</v>
      </c>
      <c r="X199" s="543"/>
    </row>
    <row r="200" spans="1:24" s="544" customFormat="1" x14ac:dyDescent="0.3">
      <c r="A200" s="555"/>
      <c r="B200" s="556" t="s">
        <v>69</v>
      </c>
      <c r="C200" s="556"/>
      <c r="D200" s="556"/>
      <c r="E200" s="556"/>
      <c r="F200" s="556"/>
      <c r="G200" s="556"/>
      <c r="H200" s="556"/>
      <c r="I200" s="556"/>
      <c r="J200" s="556"/>
      <c r="K200" s="556"/>
      <c r="L200" s="556"/>
      <c r="M200" s="556"/>
      <c r="N200" s="556"/>
      <c r="O200" s="556"/>
      <c r="P200" s="556"/>
      <c r="Q200" s="556"/>
      <c r="R200" s="556"/>
      <c r="S200" s="556"/>
      <c r="T200" s="556"/>
      <c r="U200" s="556"/>
      <c r="V200" s="610">
        <v>9.85</v>
      </c>
      <c r="W200" s="558" t="s">
        <v>115</v>
      </c>
      <c r="X200" s="543"/>
    </row>
    <row r="201" spans="1:24" s="544" customFormat="1" x14ac:dyDescent="0.3">
      <c r="A201" s="555"/>
      <c r="B201" s="556" t="s">
        <v>198</v>
      </c>
      <c r="C201" s="556"/>
      <c r="D201" s="556"/>
      <c r="E201" s="556"/>
      <c r="F201" s="556"/>
      <c r="G201" s="556"/>
      <c r="H201" s="556"/>
      <c r="I201" s="556"/>
      <c r="J201" s="556"/>
      <c r="K201" s="556"/>
      <c r="L201" s="556"/>
      <c r="M201" s="556"/>
      <c r="N201" s="556"/>
      <c r="O201" s="556"/>
      <c r="P201" s="556"/>
      <c r="Q201" s="556"/>
      <c r="R201" s="556"/>
      <c r="S201" s="556"/>
      <c r="T201" s="556"/>
      <c r="U201" s="556"/>
      <c r="V201" s="608">
        <f>(V100+V102+V103+V104+V105+V106+V107+V109+V110)/-(V111+V112)</f>
        <v>6.7429193899782138</v>
      </c>
      <c r="W201" s="558" t="s">
        <v>115</v>
      </c>
      <c r="X201" s="543"/>
    </row>
    <row r="202" spans="1:24" s="544" customFormat="1" x14ac:dyDescent="0.3">
      <c r="A202" s="555"/>
      <c r="B202" s="556" t="s">
        <v>199</v>
      </c>
      <c r="C202" s="556"/>
      <c r="D202" s="556"/>
      <c r="E202" s="556"/>
      <c r="F202" s="556"/>
      <c r="G202" s="556"/>
      <c r="H202" s="556"/>
      <c r="I202" s="556"/>
      <c r="J202" s="556"/>
      <c r="K202" s="556"/>
      <c r="L202" s="556"/>
      <c r="M202" s="556"/>
      <c r="N202" s="556"/>
      <c r="O202" s="556"/>
      <c r="P202" s="556"/>
      <c r="Q202" s="556"/>
      <c r="R202" s="556"/>
      <c r="S202" s="556"/>
      <c r="T202" s="556"/>
      <c r="U202" s="556"/>
      <c r="V202" s="610">
        <v>7.35</v>
      </c>
      <c r="W202" s="558" t="s">
        <v>115</v>
      </c>
      <c r="X202" s="543"/>
    </row>
    <row r="203" spans="1:24" s="544" customFormat="1" x14ac:dyDescent="0.3">
      <c r="A203" s="555"/>
      <c r="B203" s="556"/>
      <c r="C203" s="556"/>
      <c r="D203" s="556"/>
      <c r="E203" s="556"/>
      <c r="F203" s="556"/>
      <c r="G203" s="556"/>
      <c r="H203" s="556"/>
      <c r="I203" s="556"/>
      <c r="J203" s="556"/>
      <c r="K203" s="556"/>
      <c r="L203" s="556"/>
      <c r="M203" s="556"/>
      <c r="N203" s="556"/>
      <c r="O203" s="556"/>
      <c r="P203" s="556"/>
      <c r="Q203" s="556"/>
      <c r="R203" s="556"/>
      <c r="S203" s="556"/>
      <c r="T203" s="556"/>
      <c r="U203" s="556"/>
      <c r="V203" s="556"/>
      <c r="W203" s="558"/>
      <c r="X203" s="543"/>
    </row>
    <row r="204" spans="1:24" s="544" customFormat="1" x14ac:dyDescent="0.3">
      <c r="A204" s="540"/>
      <c r="B204" s="588"/>
      <c r="C204" s="588"/>
      <c r="D204" s="588"/>
      <c r="E204" s="588"/>
      <c r="F204" s="588"/>
      <c r="G204" s="588"/>
      <c r="H204" s="588"/>
      <c r="I204" s="588"/>
      <c r="J204" s="588"/>
      <c r="K204" s="588"/>
      <c r="L204" s="588"/>
      <c r="M204" s="588"/>
      <c r="N204" s="588"/>
      <c r="O204" s="588"/>
      <c r="P204" s="588"/>
      <c r="Q204" s="588"/>
      <c r="R204" s="588"/>
      <c r="S204" s="588"/>
      <c r="T204" s="588"/>
      <c r="U204" s="588"/>
      <c r="V204" s="588"/>
      <c r="W204" s="588"/>
      <c r="X204" s="543"/>
    </row>
    <row r="205" spans="1:24" s="544" customFormat="1" x14ac:dyDescent="0.3">
      <c r="A205" s="540"/>
      <c r="B205" s="541"/>
      <c r="C205" s="541"/>
      <c r="D205" s="541"/>
      <c r="E205" s="541"/>
      <c r="F205" s="541"/>
      <c r="G205" s="541"/>
      <c r="H205" s="541"/>
      <c r="I205" s="541"/>
      <c r="J205" s="541"/>
      <c r="K205" s="541"/>
      <c r="L205" s="541"/>
      <c r="M205" s="541"/>
      <c r="N205" s="541"/>
      <c r="O205" s="541"/>
      <c r="P205" s="541"/>
      <c r="Q205" s="541"/>
      <c r="R205" s="541"/>
      <c r="S205" s="541"/>
      <c r="T205" s="541"/>
      <c r="U205" s="541"/>
      <c r="V205" s="541"/>
      <c r="W205" s="541"/>
      <c r="X205" s="543"/>
    </row>
    <row r="206" spans="1:24" s="544" customFormat="1" ht="18.600000000000001" thickBot="1" x14ac:dyDescent="0.4">
      <c r="A206" s="593"/>
      <c r="B206" s="594" t="str">
        <f>B140</f>
        <v>PM14 INVESTOR REPORT QUARTER ENDING AUGUST 2019</v>
      </c>
      <c r="C206" s="595"/>
      <c r="D206" s="595"/>
      <c r="E206" s="595"/>
      <c r="F206" s="595"/>
      <c r="G206" s="595"/>
      <c r="H206" s="595"/>
      <c r="I206" s="595"/>
      <c r="J206" s="595"/>
      <c r="K206" s="595"/>
      <c r="L206" s="595"/>
      <c r="M206" s="595"/>
      <c r="N206" s="595"/>
      <c r="O206" s="595"/>
      <c r="P206" s="595"/>
      <c r="Q206" s="595"/>
      <c r="R206" s="595"/>
      <c r="S206" s="595"/>
      <c r="T206" s="595"/>
      <c r="U206" s="595"/>
      <c r="V206" s="595"/>
      <c r="W206" s="597"/>
      <c r="X206" s="543"/>
    </row>
    <row r="207" spans="1:24" x14ac:dyDescent="0.3">
      <c r="A207" s="527"/>
      <c r="B207" s="528" t="s">
        <v>70</v>
      </c>
      <c r="C207" s="531"/>
      <c r="D207" s="531"/>
      <c r="E207" s="531"/>
      <c r="F207" s="531"/>
      <c r="G207" s="532"/>
      <c r="H207" s="532"/>
      <c r="I207" s="532"/>
      <c r="J207" s="532"/>
      <c r="K207" s="532"/>
      <c r="L207" s="532"/>
      <c r="M207" s="532"/>
      <c r="N207" s="532"/>
      <c r="O207" s="532"/>
      <c r="P207" s="532"/>
      <c r="Q207" s="532"/>
      <c r="R207" s="532"/>
      <c r="S207" s="532"/>
      <c r="T207" s="532">
        <v>43707</v>
      </c>
      <c r="U207" s="529"/>
      <c r="V207" s="529"/>
      <c r="W207" s="529"/>
      <c r="X207" s="415"/>
    </row>
    <row r="208" spans="1:24" x14ac:dyDescent="0.3">
      <c r="A208" s="463"/>
      <c r="B208" s="429"/>
      <c r="C208" s="464"/>
      <c r="D208" s="464"/>
      <c r="E208" s="464"/>
      <c r="F208" s="464"/>
      <c r="G208" s="428"/>
      <c r="H208" s="428"/>
      <c r="I208" s="428"/>
      <c r="J208" s="428"/>
      <c r="K208" s="428"/>
      <c r="L208" s="428"/>
      <c r="M208" s="428"/>
      <c r="N208" s="428"/>
      <c r="O208" s="428"/>
      <c r="P208" s="428"/>
      <c r="Q208" s="428"/>
      <c r="R208" s="428"/>
      <c r="S208" s="428"/>
      <c r="T208" s="428"/>
      <c r="U208" s="427"/>
      <c r="V208" s="427"/>
      <c r="W208" s="427"/>
      <c r="X208" s="415"/>
    </row>
    <row r="209" spans="1:24" s="544" customFormat="1" x14ac:dyDescent="0.3">
      <c r="A209" s="555"/>
      <c r="B209" s="556" t="s">
        <v>71</v>
      </c>
      <c r="C209" s="611"/>
      <c r="D209" s="611"/>
      <c r="E209" s="611"/>
      <c r="F209" s="611"/>
      <c r="G209" s="582"/>
      <c r="H209" s="582"/>
      <c r="I209" s="582"/>
      <c r="J209" s="582"/>
      <c r="K209" s="582"/>
      <c r="L209" s="582"/>
      <c r="M209" s="582"/>
      <c r="N209" s="582"/>
      <c r="O209" s="582"/>
      <c r="P209" s="582"/>
      <c r="Q209" s="582"/>
      <c r="R209" s="582"/>
      <c r="S209" s="582"/>
      <c r="T209" s="575">
        <v>5.2819999999999999E-2</v>
      </c>
      <c r="U209" s="556"/>
      <c r="V209" s="556"/>
      <c r="W209" s="558"/>
      <c r="X209" s="543"/>
    </row>
    <row r="210" spans="1:24" s="544" customFormat="1" x14ac:dyDescent="0.3">
      <c r="A210" s="555"/>
      <c r="B210" s="556" t="s">
        <v>151</v>
      </c>
      <c r="C210" s="611"/>
      <c r="D210" s="611"/>
      <c r="E210" s="611"/>
      <c r="F210" s="611"/>
      <c r="G210" s="582"/>
      <c r="H210" s="582"/>
      <c r="I210" s="582"/>
      <c r="J210" s="582"/>
      <c r="K210" s="582"/>
      <c r="L210" s="582"/>
      <c r="M210" s="582"/>
      <c r="N210" s="582"/>
      <c r="O210" s="582"/>
      <c r="P210" s="582"/>
      <c r="Q210" s="582"/>
      <c r="R210" s="582"/>
      <c r="S210" s="582"/>
      <c r="T210" s="575">
        <v>5.7799999999999997E-2</v>
      </c>
      <c r="U210" s="556"/>
      <c r="V210" s="556"/>
      <c r="W210" s="558"/>
      <c r="X210" s="543"/>
    </row>
    <row r="211" spans="1:24" s="544" customFormat="1" x14ac:dyDescent="0.3">
      <c r="A211" s="555"/>
      <c r="B211" s="556" t="s">
        <v>72</v>
      </c>
      <c r="C211" s="611"/>
      <c r="D211" s="611"/>
      <c r="E211" s="611"/>
      <c r="F211" s="611"/>
      <c r="G211" s="582"/>
      <c r="H211" s="582"/>
      <c r="I211" s="582"/>
      <c r="J211" s="582"/>
      <c r="K211" s="582"/>
      <c r="L211" s="582"/>
      <c r="M211" s="582"/>
      <c r="N211" s="582"/>
      <c r="O211" s="582"/>
      <c r="P211" s="582"/>
      <c r="Q211" s="582"/>
      <c r="R211" s="582"/>
      <c r="S211" s="582"/>
      <c r="T211" s="575">
        <f>T209-T210</f>
        <v>-4.9799999999999983E-3</v>
      </c>
      <c r="U211" s="556"/>
      <c r="V211" s="556"/>
      <c r="W211" s="558"/>
      <c r="X211" s="543"/>
    </row>
    <row r="212" spans="1:24" s="544" customFormat="1" x14ac:dyDescent="0.3">
      <c r="A212" s="555"/>
      <c r="B212" s="556" t="s">
        <v>73</v>
      </c>
      <c r="C212" s="611"/>
      <c r="D212" s="611"/>
      <c r="E212" s="611"/>
      <c r="F212" s="611"/>
      <c r="G212" s="582"/>
      <c r="H212" s="582"/>
      <c r="I212" s="582"/>
      <c r="J212" s="582"/>
      <c r="K212" s="582"/>
      <c r="L212" s="582"/>
      <c r="M212" s="582"/>
      <c r="N212" s="582"/>
      <c r="O212" s="582"/>
      <c r="P212" s="582"/>
      <c r="Q212" s="582"/>
      <c r="R212" s="582"/>
      <c r="S212" s="582"/>
      <c r="T212" s="575">
        <v>2.6499999999999999E-2</v>
      </c>
      <c r="U212" s="556"/>
      <c r="V212" s="556"/>
      <c r="W212" s="558"/>
      <c r="X212" s="543"/>
    </row>
    <row r="213" spans="1:24" s="544" customFormat="1" x14ac:dyDescent="0.3">
      <c r="A213" s="555"/>
      <c r="B213" s="556" t="s">
        <v>219</v>
      </c>
      <c r="C213" s="611"/>
      <c r="D213" s="611"/>
      <c r="E213" s="611"/>
      <c r="F213" s="611"/>
      <c r="G213" s="582"/>
      <c r="H213" s="582"/>
      <c r="I213" s="582"/>
      <c r="J213" s="582"/>
      <c r="K213" s="582"/>
      <c r="L213" s="582"/>
      <c r="M213" s="582"/>
      <c r="N213" s="582"/>
      <c r="O213" s="582"/>
      <c r="P213" s="582"/>
      <c r="Q213" s="582"/>
      <c r="R213" s="582"/>
      <c r="S213" s="582"/>
      <c r="T213" s="575">
        <f>V43</f>
        <v>1.1199957960030394E-2</v>
      </c>
      <c r="U213" s="556"/>
      <c r="V213" s="556"/>
      <c r="W213" s="558"/>
      <c r="X213" s="543"/>
    </row>
    <row r="214" spans="1:24" s="544" customFormat="1" x14ac:dyDescent="0.3">
      <c r="A214" s="555"/>
      <c r="B214" s="556" t="s">
        <v>74</v>
      </c>
      <c r="C214" s="611"/>
      <c r="D214" s="611"/>
      <c r="E214" s="611"/>
      <c r="F214" s="611"/>
      <c r="G214" s="582"/>
      <c r="H214" s="582"/>
      <c r="I214" s="582"/>
      <c r="J214" s="582"/>
      <c r="K214" s="582"/>
      <c r="L214" s="582"/>
      <c r="M214" s="582"/>
      <c r="N214" s="582"/>
      <c r="O214" s="582"/>
      <c r="P214" s="582"/>
      <c r="Q214" s="582"/>
      <c r="R214" s="582"/>
      <c r="S214" s="582"/>
      <c r="T214" s="575">
        <f>T212-T213</f>
        <v>1.5300042039969606E-2</v>
      </c>
      <c r="U214" s="556"/>
      <c r="V214" s="556"/>
      <c r="W214" s="558"/>
      <c r="X214" s="543"/>
    </row>
    <row r="215" spans="1:24" s="544" customFormat="1" x14ac:dyDescent="0.3">
      <c r="A215" s="555"/>
      <c r="B215" s="556" t="s">
        <v>242</v>
      </c>
      <c r="C215" s="611"/>
      <c r="D215" s="611"/>
      <c r="E215" s="611"/>
      <c r="F215" s="611"/>
      <c r="G215" s="582"/>
      <c r="H215" s="582"/>
      <c r="I215" s="582"/>
      <c r="J215" s="582"/>
      <c r="K215" s="582"/>
      <c r="L215" s="582"/>
      <c r="M215" s="582"/>
      <c r="N215" s="582"/>
      <c r="O215" s="582"/>
      <c r="P215" s="582"/>
      <c r="Q215" s="582"/>
      <c r="R215" s="582"/>
      <c r="S215" s="582"/>
      <c r="T215" s="575">
        <f>V100/N70</f>
        <v>6.5750980998915635E-3</v>
      </c>
      <c r="U215" s="556"/>
      <c r="V215" s="556"/>
      <c r="W215" s="558"/>
      <c r="X215" s="543"/>
    </row>
    <row r="216" spans="1:24" s="544" customFormat="1" x14ac:dyDescent="0.3">
      <c r="A216" s="555"/>
      <c r="B216" s="556" t="s">
        <v>208</v>
      </c>
      <c r="C216" s="611"/>
      <c r="D216" s="611"/>
      <c r="E216" s="611"/>
      <c r="F216" s="611"/>
      <c r="G216" s="582"/>
      <c r="H216" s="582"/>
      <c r="I216" s="582"/>
      <c r="J216" s="582"/>
      <c r="K216" s="582"/>
      <c r="L216" s="582"/>
      <c r="M216" s="582"/>
      <c r="N216" s="582"/>
      <c r="O216" s="582"/>
      <c r="P216" s="582"/>
      <c r="Q216" s="582"/>
      <c r="R216" s="582"/>
      <c r="S216" s="582"/>
      <c r="T216" s="612">
        <v>51014</v>
      </c>
      <c r="U216" s="556"/>
      <c r="V216" s="556"/>
      <c r="W216" s="558"/>
      <c r="X216" s="543"/>
    </row>
    <row r="217" spans="1:24" s="544" customFormat="1" x14ac:dyDescent="0.3">
      <c r="A217" s="555"/>
      <c r="B217" s="556" t="s">
        <v>209</v>
      </c>
      <c r="C217" s="611"/>
      <c r="D217" s="611"/>
      <c r="E217" s="611"/>
      <c r="F217" s="611"/>
      <c r="G217" s="582"/>
      <c r="H217" s="582"/>
      <c r="I217" s="582"/>
      <c r="J217" s="582"/>
      <c r="K217" s="582"/>
      <c r="L217" s="582"/>
      <c r="M217" s="582"/>
      <c r="N217" s="582"/>
      <c r="O217" s="582"/>
      <c r="P217" s="582"/>
      <c r="Q217" s="582"/>
      <c r="R217" s="582"/>
      <c r="S217" s="582"/>
      <c r="T217" s="612">
        <v>51014</v>
      </c>
      <c r="U217" s="556"/>
      <c r="V217" s="556"/>
      <c r="W217" s="558"/>
      <c r="X217" s="543"/>
    </row>
    <row r="218" spans="1:24" s="544" customFormat="1" x14ac:dyDescent="0.3">
      <c r="A218" s="555"/>
      <c r="B218" s="556" t="s">
        <v>210</v>
      </c>
      <c r="C218" s="611"/>
      <c r="D218" s="611"/>
      <c r="E218" s="611"/>
      <c r="F218" s="611"/>
      <c r="G218" s="582"/>
      <c r="H218" s="582"/>
      <c r="I218" s="582"/>
      <c r="J218" s="582"/>
      <c r="K218" s="582"/>
      <c r="L218" s="582"/>
      <c r="M218" s="582"/>
      <c r="N218" s="582"/>
      <c r="O218" s="582"/>
      <c r="P218" s="582"/>
      <c r="Q218" s="582"/>
      <c r="R218" s="582"/>
      <c r="S218" s="582"/>
      <c r="T218" s="612">
        <v>51014</v>
      </c>
      <c r="U218" s="556"/>
      <c r="V218" s="556"/>
      <c r="W218" s="558"/>
      <c r="X218" s="543"/>
    </row>
    <row r="219" spans="1:24" s="544" customFormat="1" x14ac:dyDescent="0.3">
      <c r="A219" s="555"/>
      <c r="B219" s="556" t="s">
        <v>75</v>
      </c>
      <c r="C219" s="611"/>
      <c r="D219" s="611"/>
      <c r="E219" s="611"/>
      <c r="F219" s="611"/>
      <c r="G219" s="582"/>
      <c r="H219" s="582"/>
      <c r="I219" s="582"/>
      <c r="J219" s="582"/>
      <c r="K219" s="582"/>
      <c r="L219" s="582"/>
      <c r="M219" s="582"/>
      <c r="N219" s="582"/>
      <c r="O219" s="582"/>
      <c r="P219" s="582"/>
      <c r="Q219" s="582"/>
      <c r="R219" s="582"/>
      <c r="S219" s="582"/>
      <c r="T219" s="580">
        <v>20.66</v>
      </c>
      <c r="U219" s="556" t="s">
        <v>110</v>
      </c>
      <c r="V219" s="556"/>
      <c r="W219" s="558"/>
      <c r="X219" s="543"/>
    </row>
    <row r="220" spans="1:24" s="544" customFormat="1" x14ac:dyDescent="0.3">
      <c r="A220" s="555"/>
      <c r="B220" s="556" t="s">
        <v>76</v>
      </c>
      <c r="C220" s="611"/>
      <c r="D220" s="611"/>
      <c r="E220" s="611"/>
      <c r="F220" s="611"/>
      <c r="G220" s="582"/>
      <c r="H220" s="582"/>
      <c r="I220" s="582"/>
      <c r="J220" s="582"/>
      <c r="K220" s="582"/>
      <c r="L220" s="582"/>
      <c r="M220" s="582"/>
      <c r="N220" s="582"/>
      <c r="O220" s="582"/>
      <c r="P220" s="582"/>
      <c r="Q220" s="582"/>
      <c r="R220" s="582"/>
      <c r="S220" s="582"/>
      <c r="T220" s="580">
        <v>9.7100000000000009</v>
      </c>
      <c r="U220" s="556" t="s">
        <v>110</v>
      </c>
      <c r="V220" s="556"/>
      <c r="W220" s="558"/>
      <c r="X220" s="543"/>
    </row>
    <row r="221" spans="1:24" s="544" customFormat="1" x14ac:dyDescent="0.3">
      <c r="A221" s="555"/>
      <c r="B221" s="556" t="s">
        <v>77</v>
      </c>
      <c r="C221" s="611"/>
      <c r="D221" s="611"/>
      <c r="E221" s="611"/>
      <c r="F221" s="611"/>
      <c r="G221" s="582"/>
      <c r="H221" s="582"/>
      <c r="I221" s="582"/>
      <c r="J221" s="582"/>
      <c r="K221" s="582"/>
      <c r="L221" s="582"/>
      <c r="M221" s="582"/>
      <c r="N221" s="582"/>
      <c r="O221" s="582"/>
      <c r="P221" s="582"/>
      <c r="Q221" s="582"/>
      <c r="R221" s="582"/>
      <c r="S221" s="582"/>
      <c r="T221" s="575">
        <f>+P67/N67</f>
        <v>1.8933474101368589E-2</v>
      </c>
      <c r="U221" s="556"/>
      <c r="V221" s="556"/>
      <c r="W221" s="558"/>
      <c r="X221" s="543"/>
    </row>
    <row r="222" spans="1:24" s="544" customFormat="1" x14ac:dyDescent="0.3">
      <c r="A222" s="555"/>
      <c r="B222" s="556" t="s">
        <v>78</v>
      </c>
      <c r="C222" s="611"/>
      <c r="D222" s="611"/>
      <c r="E222" s="611"/>
      <c r="F222" s="611"/>
      <c r="G222" s="582"/>
      <c r="H222" s="582"/>
      <c r="I222" s="582"/>
      <c r="J222" s="582"/>
      <c r="K222" s="582"/>
      <c r="L222" s="582"/>
      <c r="M222" s="582"/>
      <c r="N222" s="582"/>
      <c r="O222" s="582"/>
      <c r="P222" s="582"/>
      <c r="Q222" s="582"/>
      <c r="R222" s="582"/>
      <c r="S222" s="582"/>
      <c r="T222" s="575">
        <v>5.62E-2</v>
      </c>
      <c r="U222" s="556"/>
      <c r="V222" s="556"/>
      <c r="W222" s="558"/>
      <c r="X222" s="543"/>
    </row>
    <row r="223" spans="1:24" x14ac:dyDescent="0.3">
      <c r="A223" s="463"/>
      <c r="B223" s="437"/>
      <c r="C223" s="437"/>
      <c r="D223" s="437"/>
      <c r="E223" s="437"/>
      <c r="F223" s="437"/>
      <c r="G223" s="437"/>
      <c r="H223" s="437"/>
      <c r="I223" s="437"/>
      <c r="J223" s="437"/>
      <c r="K223" s="437"/>
      <c r="L223" s="437"/>
      <c r="M223" s="437"/>
      <c r="N223" s="437"/>
      <c r="O223" s="437"/>
      <c r="P223" s="437"/>
      <c r="Q223" s="437"/>
      <c r="R223" s="437"/>
      <c r="S223" s="437"/>
      <c r="T223" s="454"/>
      <c r="U223" s="437"/>
      <c r="V223" s="465"/>
      <c r="W223" s="437"/>
      <c r="X223" s="415"/>
    </row>
    <row r="224" spans="1:24" x14ac:dyDescent="0.3">
      <c r="A224" s="533"/>
      <c r="B224" s="523" t="s">
        <v>79</v>
      </c>
      <c r="C224" s="524"/>
      <c r="D224" s="524"/>
      <c r="E224" s="524"/>
      <c r="F224" s="534"/>
      <c r="G224" s="524"/>
      <c r="H224" s="524"/>
      <c r="I224" s="524"/>
      <c r="J224" s="524"/>
      <c r="K224" s="524"/>
      <c r="L224" s="524"/>
      <c r="M224" s="524"/>
      <c r="N224" s="524"/>
      <c r="O224" s="524"/>
      <c r="P224" s="524"/>
      <c r="Q224" s="524"/>
      <c r="R224" s="524"/>
      <c r="S224" s="524" t="s">
        <v>102</v>
      </c>
      <c r="T224" s="534" t="s">
        <v>108</v>
      </c>
      <c r="U224" s="517"/>
      <c r="V224" s="517"/>
      <c r="W224" s="520"/>
      <c r="X224" s="415"/>
    </row>
    <row r="225" spans="1:24" s="544" customFormat="1" x14ac:dyDescent="0.3">
      <c r="A225" s="613"/>
      <c r="B225" s="588" t="s">
        <v>80</v>
      </c>
      <c r="C225" s="600"/>
      <c r="D225" s="600"/>
      <c r="E225" s="600"/>
      <c r="F225" s="588"/>
      <c r="G225" s="588"/>
      <c r="H225" s="614"/>
      <c r="I225" s="614"/>
      <c r="J225" s="614"/>
      <c r="K225" s="614"/>
      <c r="L225" s="614"/>
      <c r="M225" s="614"/>
      <c r="N225" s="614"/>
      <c r="O225" s="614"/>
      <c r="P225" s="614"/>
      <c r="Q225" s="614"/>
      <c r="R225" s="614"/>
      <c r="S225" s="614">
        <v>1</v>
      </c>
      <c r="T225" s="615">
        <v>86</v>
      </c>
      <c r="U225" s="588"/>
      <c r="V225" s="616"/>
      <c r="W225" s="617"/>
      <c r="X225" s="543"/>
    </row>
    <row r="226" spans="1:24" s="544" customFormat="1" x14ac:dyDescent="0.3">
      <c r="A226" s="618"/>
      <c r="B226" s="556" t="s">
        <v>145</v>
      </c>
      <c r="C226" s="598"/>
      <c r="D226" s="598"/>
      <c r="E226" s="598"/>
      <c r="F226" s="556"/>
      <c r="G226" s="556"/>
      <c r="H226" s="562"/>
      <c r="I226" s="562"/>
      <c r="J226" s="562"/>
      <c r="K226" s="562"/>
      <c r="L226" s="562"/>
      <c r="M226" s="562"/>
      <c r="N226" s="562"/>
      <c r="O226" s="562"/>
      <c r="P226" s="562"/>
      <c r="Q226" s="562"/>
      <c r="R226" s="562"/>
      <c r="S226" s="619">
        <f>+R278</f>
        <v>122</v>
      </c>
      <c r="T226" s="620">
        <f>+T278</f>
        <v>19216</v>
      </c>
      <c r="U226" s="556"/>
      <c r="V226" s="621"/>
      <c r="W226" s="622"/>
      <c r="X226" s="543"/>
    </row>
    <row r="227" spans="1:24" s="544" customFormat="1" x14ac:dyDescent="0.3">
      <c r="A227" s="618"/>
      <c r="B227" s="556" t="s">
        <v>81</v>
      </c>
      <c r="C227" s="598"/>
      <c r="D227" s="598"/>
      <c r="E227" s="598"/>
      <c r="F227" s="556"/>
      <c r="G227" s="556"/>
      <c r="H227" s="562"/>
      <c r="I227" s="562"/>
      <c r="J227" s="562"/>
      <c r="K227" s="562"/>
      <c r="L227" s="562"/>
      <c r="M227" s="562"/>
      <c r="N227" s="562"/>
      <c r="O227" s="562"/>
      <c r="P227" s="562"/>
      <c r="Q227" s="562"/>
      <c r="R227" s="562"/>
      <c r="S227" s="619">
        <f>+R290</f>
        <v>0</v>
      </c>
      <c r="T227" s="620">
        <f>+T290</f>
        <v>0</v>
      </c>
      <c r="U227" s="556"/>
      <c r="V227" s="621"/>
      <c r="W227" s="622"/>
      <c r="X227" s="543"/>
    </row>
    <row r="228" spans="1:24" x14ac:dyDescent="0.3">
      <c r="A228" s="466"/>
      <c r="B228" s="493" t="s">
        <v>82</v>
      </c>
      <c r="C228" s="467"/>
      <c r="D228" s="467"/>
      <c r="E228" s="467"/>
      <c r="F228" s="434"/>
      <c r="G228" s="434"/>
      <c r="H228" s="434"/>
      <c r="I228" s="434"/>
      <c r="J228" s="434"/>
      <c r="K228" s="434"/>
      <c r="L228" s="434"/>
      <c r="M228" s="434"/>
      <c r="N228" s="434"/>
      <c r="O228" s="434"/>
      <c r="P228" s="434"/>
      <c r="Q228" s="434"/>
      <c r="R228" s="434"/>
      <c r="S228" s="434"/>
      <c r="T228" s="620">
        <v>0</v>
      </c>
      <c r="U228" s="434"/>
      <c r="V228" s="468"/>
      <c r="W228" s="469"/>
      <c r="X228" s="415"/>
    </row>
    <row r="229" spans="1:24" x14ac:dyDescent="0.3">
      <c r="A229" s="466"/>
      <c r="B229" s="493" t="s">
        <v>243</v>
      </c>
      <c r="C229" s="467"/>
      <c r="D229" s="467"/>
      <c r="E229" s="467"/>
      <c r="F229" s="434"/>
      <c r="G229" s="434"/>
      <c r="H229" s="434"/>
      <c r="I229" s="434"/>
      <c r="J229" s="434"/>
      <c r="K229" s="434"/>
      <c r="L229" s="434"/>
      <c r="M229" s="434"/>
      <c r="N229" s="434"/>
      <c r="O229" s="434"/>
      <c r="P229" s="434"/>
      <c r="Q229" s="434"/>
      <c r="R229" s="434"/>
      <c r="S229" s="434"/>
      <c r="T229" s="620">
        <f>+N80</f>
        <v>0</v>
      </c>
      <c r="U229" s="434"/>
      <c r="V229" s="468"/>
      <c r="W229" s="469"/>
      <c r="X229" s="415"/>
    </row>
    <row r="230" spans="1:24" x14ac:dyDescent="0.3">
      <c r="A230" s="470"/>
      <c r="B230" s="493" t="s">
        <v>83</v>
      </c>
      <c r="C230" s="471"/>
      <c r="D230" s="471"/>
      <c r="E230" s="471"/>
      <c r="F230" s="471"/>
      <c r="G230" s="434"/>
      <c r="H230" s="434"/>
      <c r="I230" s="434"/>
      <c r="J230" s="434"/>
      <c r="K230" s="434"/>
      <c r="L230" s="434"/>
      <c r="M230" s="434"/>
      <c r="N230" s="434"/>
      <c r="O230" s="434"/>
      <c r="P230" s="434"/>
      <c r="Q230" s="434"/>
      <c r="R230" s="434"/>
      <c r="S230" s="434"/>
      <c r="T230" s="472"/>
      <c r="U230" s="434"/>
      <c r="V230" s="468"/>
      <c r="W230" s="473"/>
      <c r="X230" s="415"/>
    </row>
    <row r="231" spans="1:24" s="544" customFormat="1" x14ac:dyDescent="0.3">
      <c r="A231" s="623"/>
      <c r="B231" s="556" t="s">
        <v>84</v>
      </c>
      <c r="C231" s="556"/>
      <c r="D231" s="556"/>
      <c r="E231" s="556"/>
      <c r="F231" s="556"/>
      <c r="G231" s="556"/>
      <c r="H231" s="556"/>
      <c r="I231" s="556"/>
      <c r="J231" s="556"/>
      <c r="K231" s="556"/>
      <c r="L231" s="556"/>
      <c r="M231" s="556"/>
      <c r="N231" s="556"/>
      <c r="O231" s="556"/>
      <c r="P231" s="556"/>
      <c r="Q231" s="556"/>
      <c r="R231" s="556"/>
      <c r="S231" s="562"/>
      <c r="T231" s="620">
        <f>V169</f>
        <v>-105</v>
      </c>
      <c r="U231" s="556"/>
      <c r="V231" s="621"/>
      <c r="W231" s="624"/>
      <c r="X231" s="543"/>
    </row>
    <row r="232" spans="1:24" s="544" customFormat="1" x14ac:dyDescent="0.3">
      <c r="A232" s="618"/>
      <c r="B232" s="556" t="s">
        <v>85</v>
      </c>
      <c r="C232" s="598"/>
      <c r="D232" s="598"/>
      <c r="E232" s="598"/>
      <c r="F232" s="598"/>
      <c r="G232" s="556"/>
      <c r="H232" s="556"/>
      <c r="I232" s="556"/>
      <c r="J232" s="556"/>
      <c r="K232" s="556"/>
      <c r="L232" s="556"/>
      <c r="M232" s="556"/>
      <c r="N232" s="556"/>
      <c r="O232" s="556"/>
      <c r="P232" s="556"/>
      <c r="Q232" s="556"/>
      <c r="R232" s="556"/>
      <c r="S232" s="562"/>
      <c r="T232" s="620">
        <f>'May 19'!T229+T231</f>
        <v>8835</v>
      </c>
      <c r="U232" s="556"/>
      <c r="V232" s="621"/>
      <c r="W232" s="624"/>
      <c r="X232" s="543"/>
    </row>
    <row r="233" spans="1:24" x14ac:dyDescent="0.3">
      <c r="A233" s="470"/>
      <c r="B233" s="493" t="s">
        <v>295</v>
      </c>
      <c r="C233" s="471"/>
      <c r="D233" s="471"/>
      <c r="E233" s="471"/>
      <c r="F233" s="471"/>
      <c r="G233" s="434"/>
      <c r="H233" s="434"/>
      <c r="I233" s="434"/>
      <c r="J233" s="434"/>
      <c r="K233" s="434"/>
      <c r="L233" s="434"/>
      <c r="M233" s="434"/>
      <c r="N233" s="434"/>
      <c r="O233" s="434"/>
      <c r="P233" s="434"/>
      <c r="Q233" s="434"/>
      <c r="R233" s="434"/>
      <c r="S233" s="435"/>
      <c r="T233" s="472"/>
      <c r="U233" s="434"/>
      <c r="V233" s="468"/>
      <c r="W233" s="473"/>
      <c r="X233" s="415"/>
    </row>
    <row r="234" spans="1:24" s="544" customFormat="1" x14ac:dyDescent="0.3">
      <c r="A234" s="623"/>
      <c r="B234" s="556" t="s">
        <v>291</v>
      </c>
      <c r="C234" s="556"/>
      <c r="D234" s="556"/>
      <c r="E234" s="556"/>
      <c r="F234" s="556"/>
      <c r="G234" s="556"/>
      <c r="H234" s="556"/>
      <c r="I234" s="556"/>
      <c r="J234" s="556"/>
      <c r="K234" s="556"/>
      <c r="L234" s="556"/>
      <c r="M234" s="556"/>
      <c r="N234" s="556"/>
      <c r="O234" s="556"/>
      <c r="P234" s="556"/>
      <c r="Q234" s="556"/>
      <c r="R234" s="556"/>
      <c r="S234" s="562">
        <v>0</v>
      </c>
      <c r="T234" s="620">
        <v>0</v>
      </c>
      <c r="U234" s="556"/>
      <c r="V234" s="621"/>
      <c r="W234" s="624"/>
      <c r="X234" s="543"/>
    </row>
    <row r="235" spans="1:24" s="544" customFormat="1" x14ac:dyDescent="0.3">
      <c r="A235" s="618"/>
      <c r="B235" s="556" t="s">
        <v>86</v>
      </c>
      <c r="C235" s="578"/>
      <c r="D235" s="578"/>
      <c r="E235" s="578"/>
      <c r="F235" s="625"/>
      <c r="G235" s="556"/>
      <c r="H235" s="556"/>
      <c r="I235" s="556"/>
      <c r="J235" s="556"/>
      <c r="K235" s="556"/>
      <c r="L235" s="556"/>
      <c r="M235" s="556"/>
      <c r="N235" s="556"/>
      <c r="O235" s="556"/>
      <c r="P235" s="556"/>
      <c r="Q235" s="556"/>
      <c r="R235" s="556"/>
      <c r="S235" s="556"/>
      <c r="T235" s="626">
        <v>0</v>
      </c>
      <c r="U235" s="556"/>
      <c r="V235" s="621"/>
      <c r="W235" s="624"/>
      <c r="X235" s="543"/>
    </row>
    <row r="236" spans="1:24" s="544" customFormat="1" x14ac:dyDescent="0.3">
      <c r="A236" s="618"/>
      <c r="B236" s="556" t="s">
        <v>87</v>
      </c>
      <c r="C236" s="578"/>
      <c r="D236" s="578"/>
      <c r="E236" s="578"/>
      <c r="F236" s="625"/>
      <c r="G236" s="556"/>
      <c r="H236" s="556"/>
      <c r="I236" s="556"/>
      <c r="J236" s="556"/>
      <c r="K236" s="556"/>
      <c r="L236" s="556"/>
      <c r="M236" s="556"/>
      <c r="N236" s="556"/>
      <c r="O236" s="556"/>
      <c r="P236" s="556"/>
      <c r="Q236" s="556"/>
      <c r="R236" s="556"/>
      <c r="S236" s="556"/>
      <c r="T236" s="626">
        <v>0</v>
      </c>
      <c r="U236" s="556"/>
      <c r="V236" s="621"/>
      <c r="W236" s="624"/>
      <c r="X236" s="543"/>
    </row>
    <row r="237" spans="1:24" x14ac:dyDescent="0.3">
      <c r="A237" s="466"/>
      <c r="B237" s="493" t="s">
        <v>217</v>
      </c>
      <c r="C237" s="474"/>
      <c r="D237" s="474"/>
      <c r="E237" s="474"/>
      <c r="F237" s="475"/>
      <c r="G237" s="434"/>
      <c r="H237" s="434"/>
      <c r="I237" s="434"/>
      <c r="J237" s="434"/>
      <c r="K237" s="434"/>
      <c r="L237" s="434"/>
      <c r="M237" s="434"/>
      <c r="N237" s="434"/>
      <c r="O237" s="434"/>
      <c r="P237" s="434"/>
      <c r="Q237" s="434"/>
      <c r="R237" s="434"/>
      <c r="S237" s="434"/>
      <c r="T237" s="476"/>
      <c r="U237" s="434"/>
      <c r="V237" s="468"/>
      <c r="W237" s="473"/>
      <c r="X237" s="415"/>
    </row>
    <row r="238" spans="1:24" s="544" customFormat="1" x14ac:dyDescent="0.3">
      <c r="A238" s="618"/>
      <c r="B238" s="556" t="s">
        <v>291</v>
      </c>
      <c r="C238" s="578"/>
      <c r="D238" s="578"/>
      <c r="E238" s="578"/>
      <c r="F238" s="625"/>
      <c r="G238" s="556"/>
      <c r="H238" s="556"/>
      <c r="I238" s="556"/>
      <c r="J238" s="556"/>
      <c r="K238" s="556"/>
      <c r="L238" s="556"/>
      <c r="M238" s="556"/>
      <c r="N238" s="556"/>
      <c r="O238" s="556"/>
      <c r="P238" s="556"/>
      <c r="Q238" s="556"/>
      <c r="R238" s="556"/>
      <c r="S238" s="562">
        <v>1</v>
      </c>
      <c r="T238" s="620">
        <v>125</v>
      </c>
      <c r="U238" s="556"/>
      <c r="V238" s="621"/>
      <c r="W238" s="624"/>
      <c r="X238" s="543"/>
    </row>
    <row r="239" spans="1:24" s="544" customFormat="1" x14ac:dyDescent="0.3">
      <c r="A239" s="618"/>
      <c r="B239" s="556" t="s">
        <v>218</v>
      </c>
      <c r="C239" s="578"/>
      <c r="D239" s="578"/>
      <c r="E239" s="578"/>
      <c r="F239" s="625"/>
      <c r="G239" s="556"/>
      <c r="H239" s="556"/>
      <c r="I239" s="556"/>
      <c r="J239" s="556"/>
      <c r="K239" s="556"/>
      <c r="L239" s="556"/>
      <c r="M239" s="556"/>
      <c r="N239" s="556"/>
      <c r="O239" s="556"/>
      <c r="P239" s="556"/>
      <c r="Q239" s="556"/>
      <c r="R239" s="556"/>
      <c r="S239" s="556"/>
      <c r="T239" s="626">
        <v>0</v>
      </c>
      <c r="U239" s="556"/>
      <c r="V239" s="621"/>
      <c r="W239" s="624"/>
      <c r="X239" s="543"/>
    </row>
    <row r="240" spans="1:24" x14ac:dyDescent="0.3">
      <c r="A240" s="466"/>
      <c r="B240" s="471"/>
      <c r="C240" s="474"/>
      <c r="D240" s="474"/>
      <c r="E240" s="474"/>
      <c r="F240" s="475"/>
      <c r="G240" s="434"/>
      <c r="H240" s="434"/>
      <c r="I240" s="434"/>
      <c r="J240" s="434"/>
      <c r="K240" s="434"/>
      <c r="L240" s="434"/>
      <c r="M240" s="434"/>
      <c r="N240" s="434"/>
      <c r="O240" s="434"/>
      <c r="P240" s="434"/>
      <c r="Q240" s="434"/>
      <c r="R240" s="434"/>
      <c r="S240" s="434"/>
      <c r="T240" s="476"/>
      <c r="U240" s="434"/>
      <c r="V240" s="468"/>
      <c r="W240" s="473"/>
      <c r="X240" s="415"/>
    </row>
    <row r="241" spans="1:25" x14ac:dyDescent="0.3">
      <c r="A241" s="466"/>
      <c r="B241" s="471"/>
      <c r="C241" s="474"/>
      <c r="D241" s="474"/>
      <c r="E241" s="474"/>
      <c r="F241" s="475"/>
      <c r="G241" s="434"/>
      <c r="H241" s="434"/>
      <c r="I241" s="434"/>
      <c r="J241" s="434"/>
      <c r="K241" s="434"/>
      <c r="L241" s="434"/>
      <c r="M241" s="434"/>
      <c r="N241" s="434"/>
      <c r="O241" s="434"/>
      <c r="P241" s="434"/>
      <c r="Q241" s="434"/>
      <c r="R241" s="434"/>
      <c r="S241" s="434"/>
      <c r="T241" s="476"/>
      <c r="U241" s="434"/>
      <c r="V241" s="468"/>
      <c r="W241" s="473"/>
      <c r="X241" s="415"/>
    </row>
    <row r="242" spans="1:25" ht="18" x14ac:dyDescent="0.35">
      <c r="A242" s="466"/>
      <c r="B242" s="512" t="s">
        <v>168</v>
      </c>
      <c r="C242" s="474"/>
      <c r="D242" s="474"/>
      <c r="E242" s="474"/>
      <c r="F242" s="475"/>
      <c r="G242" s="434"/>
      <c r="H242" s="434"/>
      <c r="I242" s="434"/>
      <c r="J242" s="434"/>
      <c r="K242" s="434"/>
      <c r="L242" s="434"/>
      <c r="M242" s="434"/>
      <c r="N242" s="434"/>
      <c r="O242" s="434"/>
      <c r="P242" s="513" t="s">
        <v>371</v>
      </c>
      <c r="Q242" s="434"/>
      <c r="R242" s="434"/>
      <c r="S242" s="434"/>
      <c r="T242" s="476"/>
      <c r="U242" s="434"/>
      <c r="V242" s="468"/>
      <c r="W242" s="473"/>
      <c r="X242" s="415"/>
    </row>
    <row r="243" spans="1:25" x14ac:dyDescent="0.3">
      <c r="A243" s="477"/>
      <c r="B243" s="511"/>
      <c r="C243" s="478"/>
      <c r="D243" s="478"/>
      <c r="E243" s="478"/>
      <c r="F243" s="479"/>
      <c r="G243" s="441"/>
      <c r="H243" s="441"/>
      <c r="I243" s="441"/>
      <c r="J243" s="441"/>
      <c r="K243" s="441"/>
      <c r="L243" s="441"/>
      <c r="M243" s="441"/>
      <c r="N243" s="441"/>
      <c r="O243" s="441"/>
      <c r="P243" s="441"/>
      <c r="Q243" s="441"/>
      <c r="R243" s="441"/>
      <c r="S243" s="441"/>
      <c r="T243" s="480"/>
      <c r="U243" s="441"/>
      <c r="V243" s="481"/>
      <c r="W243" s="482"/>
      <c r="X243" s="415"/>
    </row>
    <row r="244" spans="1:25" x14ac:dyDescent="0.3">
      <c r="A244" s="515"/>
      <c r="B244" s="523" t="s">
        <v>308</v>
      </c>
      <c r="C244" s="524"/>
      <c r="D244" s="524"/>
      <c r="E244" s="524"/>
      <c r="F244" s="534"/>
      <c r="G244" s="524"/>
      <c r="H244" s="524"/>
      <c r="I244" s="524"/>
      <c r="J244" s="524"/>
      <c r="K244" s="524"/>
      <c r="L244" s="524"/>
      <c r="M244" s="524"/>
      <c r="N244" s="524"/>
      <c r="O244" s="524"/>
      <c r="P244" s="524"/>
      <c r="Q244" s="524"/>
      <c r="R244" s="534" t="s">
        <v>102</v>
      </c>
      <c r="S244" s="524" t="s">
        <v>103</v>
      </c>
      <c r="T244" s="534" t="s">
        <v>109</v>
      </c>
      <c r="U244" s="524" t="s">
        <v>103</v>
      </c>
      <c r="V244" s="517"/>
      <c r="W244" s="535"/>
      <c r="X244" s="415"/>
    </row>
    <row r="245" spans="1:25" s="544" customFormat="1" x14ac:dyDescent="0.3">
      <c r="A245" s="540"/>
      <c r="B245" s="600" t="s">
        <v>88</v>
      </c>
      <c r="C245" s="627"/>
      <c r="D245" s="627"/>
      <c r="E245" s="627"/>
      <c r="F245" s="588"/>
      <c r="G245" s="627"/>
      <c r="H245" s="627"/>
      <c r="I245" s="627"/>
      <c r="J245" s="627"/>
      <c r="K245" s="627"/>
      <c r="L245" s="627"/>
      <c r="M245" s="627"/>
      <c r="N245" s="627"/>
      <c r="O245" s="627"/>
      <c r="P245" s="627"/>
      <c r="Q245" s="627"/>
      <c r="R245" s="600">
        <f t="shared" ref="R245:R252" si="1">+R257+R269+R281</f>
        <v>5516</v>
      </c>
      <c r="S245" s="628">
        <f t="shared" ref="S245:S252" si="2">R245/$R$254</f>
        <v>0.992979297929793</v>
      </c>
      <c r="T245" s="601">
        <f t="shared" ref="T245:T252" si="3">+T257+T269+T281</f>
        <v>747456</v>
      </c>
      <c r="U245" s="628">
        <f t="shared" ref="U245:U252" si="4">T245/$T$254</f>
        <v>0.99059574422968866</v>
      </c>
      <c r="V245" s="616"/>
      <c r="W245" s="629"/>
      <c r="X245" s="543"/>
    </row>
    <row r="246" spans="1:25" s="544" customFormat="1" x14ac:dyDescent="0.3">
      <c r="A246" s="555"/>
      <c r="B246" s="598" t="s">
        <v>89</v>
      </c>
      <c r="C246" s="630"/>
      <c r="D246" s="630"/>
      <c r="E246" s="630"/>
      <c r="F246" s="556"/>
      <c r="G246" s="631"/>
      <c r="H246" s="630"/>
      <c r="I246" s="630"/>
      <c r="J246" s="630"/>
      <c r="K246" s="630"/>
      <c r="L246" s="630"/>
      <c r="M246" s="630"/>
      <c r="N246" s="630"/>
      <c r="O246" s="630"/>
      <c r="P246" s="630"/>
      <c r="Q246" s="630"/>
      <c r="R246" s="598">
        <f t="shared" si="1"/>
        <v>12</v>
      </c>
      <c r="S246" s="631">
        <f t="shared" si="2"/>
        <v>2.1602160216021601E-3</v>
      </c>
      <c r="T246" s="599">
        <f t="shared" si="3"/>
        <v>1509</v>
      </c>
      <c r="U246" s="631">
        <f t="shared" si="4"/>
        <v>1.9998621698703338E-3</v>
      </c>
      <c r="V246" s="621"/>
      <c r="W246" s="624"/>
      <c r="X246" s="543"/>
      <c r="Y246" s="604"/>
    </row>
    <row r="247" spans="1:25" s="544" customFormat="1" x14ac:dyDescent="0.3">
      <c r="A247" s="555"/>
      <c r="B247" s="598" t="s">
        <v>90</v>
      </c>
      <c r="C247" s="630"/>
      <c r="D247" s="630"/>
      <c r="E247" s="630"/>
      <c r="F247" s="556"/>
      <c r="G247" s="631"/>
      <c r="H247" s="630"/>
      <c r="I247" s="630"/>
      <c r="J247" s="630"/>
      <c r="K247" s="630"/>
      <c r="L247" s="630"/>
      <c r="M247" s="630"/>
      <c r="N247" s="630"/>
      <c r="O247" s="630"/>
      <c r="P247" s="630"/>
      <c r="Q247" s="630"/>
      <c r="R247" s="598">
        <f t="shared" si="1"/>
        <v>8</v>
      </c>
      <c r="S247" s="631">
        <f t="shared" si="2"/>
        <v>1.4401440144014401E-3</v>
      </c>
      <c r="T247" s="599">
        <f t="shared" si="3"/>
        <v>1263</v>
      </c>
      <c r="U247" s="631">
        <f t="shared" si="4"/>
        <v>1.6738409016210944E-3</v>
      </c>
      <c r="V247" s="621"/>
      <c r="W247" s="624"/>
      <c r="X247" s="543"/>
    </row>
    <row r="248" spans="1:25" s="544" customFormat="1" x14ac:dyDescent="0.3">
      <c r="A248" s="555"/>
      <c r="B248" s="598" t="s">
        <v>156</v>
      </c>
      <c r="C248" s="630"/>
      <c r="D248" s="630"/>
      <c r="E248" s="630"/>
      <c r="F248" s="556"/>
      <c r="G248" s="631"/>
      <c r="H248" s="630"/>
      <c r="I248" s="630"/>
      <c r="J248" s="630"/>
      <c r="K248" s="630"/>
      <c r="L248" s="630"/>
      <c r="M248" s="630"/>
      <c r="N248" s="630"/>
      <c r="O248" s="630"/>
      <c r="P248" s="630"/>
      <c r="Q248" s="630"/>
      <c r="R248" s="598">
        <f t="shared" si="1"/>
        <v>7</v>
      </c>
      <c r="S248" s="631">
        <f t="shared" si="2"/>
        <v>1.2601260126012602E-3</v>
      </c>
      <c r="T248" s="599">
        <f t="shared" si="3"/>
        <v>1322</v>
      </c>
      <c r="U248" s="631">
        <f t="shared" si="4"/>
        <v>1.7520329944125787E-3</v>
      </c>
      <c r="V248" s="621"/>
      <c r="W248" s="624"/>
      <c r="X248" s="543"/>
      <c r="Y248" s="604"/>
    </row>
    <row r="249" spans="1:25" s="544" customFormat="1" x14ac:dyDescent="0.3">
      <c r="A249" s="555"/>
      <c r="B249" s="598" t="s">
        <v>157</v>
      </c>
      <c r="C249" s="630"/>
      <c r="D249" s="630"/>
      <c r="E249" s="630"/>
      <c r="F249" s="556"/>
      <c r="G249" s="631"/>
      <c r="H249" s="630"/>
      <c r="I249" s="630"/>
      <c r="J249" s="630"/>
      <c r="K249" s="630"/>
      <c r="L249" s="630"/>
      <c r="M249" s="630"/>
      <c r="N249" s="630"/>
      <c r="O249" s="630"/>
      <c r="P249" s="630"/>
      <c r="Q249" s="630"/>
      <c r="R249" s="598">
        <f t="shared" si="1"/>
        <v>6</v>
      </c>
      <c r="S249" s="631">
        <f t="shared" si="2"/>
        <v>1.0801080108010801E-3</v>
      </c>
      <c r="T249" s="599">
        <f t="shared" si="3"/>
        <v>2405</v>
      </c>
      <c r="U249" s="631">
        <f t="shared" si="4"/>
        <v>3.1873217485342297E-3</v>
      </c>
      <c r="V249" s="621"/>
      <c r="W249" s="624"/>
      <c r="X249" s="543"/>
    </row>
    <row r="250" spans="1:25" s="544" customFormat="1" x14ac:dyDescent="0.3">
      <c r="A250" s="555"/>
      <c r="B250" s="598" t="s">
        <v>158</v>
      </c>
      <c r="C250" s="630"/>
      <c r="D250" s="630"/>
      <c r="E250" s="630"/>
      <c r="F250" s="556"/>
      <c r="G250" s="631"/>
      <c r="H250" s="630"/>
      <c r="I250" s="630"/>
      <c r="J250" s="630"/>
      <c r="K250" s="630"/>
      <c r="L250" s="630"/>
      <c r="M250" s="630"/>
      <c r="N250" s="630"/>
      <c r="O250" s="630"/>
      <c r="P250" s="630"/>
      <c r="Q250" s="630"/>
      <c r="R250" s="598">
        <f t="shared" si="1"/>
        <v>2</v>
      </c>
      <c r="S250" s="631">
        <f t="shared" si="2"/>
        <v>3.6003600360036002E-4</v>
      </c>
      <c r="T250" s="599">
        <f t="shared" si="3"/>
        <v>133</v>
      </c>
      <c r="U250" s="631">
        <f t="shared" si="4"/>
        <v>1.7626353120792204E-4</v>
      </c>
      <c r="V250" s="621"/>
      <c r="W250" s="624"/>
      <c r="X250" s="543"/>
      <c r="Y250" s="604"/>
    </row>
    <row r="251" spans="1:25" s="544" customFormat="1" x14ac:dyDescent="0.3">
      <c r="A251" s="555"/>
      <c r="B251" s="598" t="s">
        <v>159</v>
      </c>
      <c r="C251" s="630"/>
      <c r="D251" s="630"/>
      <c r="E251" s="630"/>
      <c r="F251" s="556"/>
      <c r="G251" s="631"/>
      <c r="H251" s="630"/>
      <c r="I251" s="630"/>
      <c r="J251" s="630"/>
      <c r="K251" s="630"/>
      <c r="L251" s="630"/>
      <c r="M251" s="630"/>
      <c r="N251" s="630"/>
      <c r="O251" s="630"/>
      <c r="P251" s="630"/>
      <c r="Q251" s="630"/>
      <c r="R251" s="598">
        <f t="shared" si="1"/>
        <v>3</v>
      </c>
      <c r="S251" s="631">
        <f t="shared" si="2"/>
        <v>5.4005400540054003E-4</v>
      </c>
      <c r="T251" s="599">
        <f t="shared" si="3"/>
        <v>358</v>
      </c>
      <c r="U251" s="631">
        <f t="shared" si="4"/>
        <v>4.7445371558222629E-4</v>
      </c>
      <c r="V251" s="621"/>
      <c r="W251" s="624"/>
      <c r="X251" s="543"/>
    </row>
    <row r="252" spans="1:25" s="544" customFormat="1" x14ac:dyDescent="0.3">
      <c r="A252" s="555"/>
      <c r="B252" s="598" t="s">
        <v>160</v>
      </c>
      <c r="C252" s="630"/>
      <c r="D252" s="630"/>
      <c r="E252" s="630"/>
      <c r="F252" s="556"/>
      <c r="G252" s="631"/>
      <c r="H252" s="630"/>
      <c r="I252" s="630"/>
      <c r="J252" s="630"/>
      <c r="K252" s="630"/>
      <c r="L252" s="630"/>
      <c r="M252" s="630"/>
      <c r="N252" s="630"/>
      <c r="O252" s="630"/>
      <c r="P252" s="630"/>
      <c r="Q252" s="630"/>
      <c r="R252" s="600">
        <f t="shared" si="1"/>
        <v>1</v>
      </c>
      <c r="S252" s="628">
        <f t="shared" si="2"/>
        <v>1.8001800180018001E-4</v>
      </c>
      <c r="T252" s="601">
        <f t="shared" si="3"/>
        <v>106</v>
      </c>
      <c r="U252" s="628">
        <f t="shared" si="4"/>
        <v>1.4048070908300554E-4</v>
      </c>
      <c r="V252" s="621"/>
      <c r="W252" s="624"/>
      <c r="X252" s="543"/>
      <c r="Y252" s="604"/>
    </row>
    <row r="253" spans="1:25" s="544" customFormat="1" x14ac:dyDescent="0.3">
      <c r="A253" s="555"/>
      <c r="B253" s="598"/>
      <c r="C253" s="630"/>
      <c r="D253" s="630"/>
      <c r="E253" s="630"/>
      <c r="F253" s="556"/>
      <c r="G253" s="631"/>
      <c r="H253" s="630"/>
      <c r="I253" s="630"/>
      <c r="J253" s="630"/>
      <c r="K253" s="630"/>
      <c r="L253" s="630"/>
      <c r="M253" s="630"/>
      <c r="N253" s="630"/>
      <c r="O253" s="630"/>
      <c r="P253" s="630"/>
      <c r="Q253" s="630"/>
      <c r="R253" s="598"/>
      <c r="S253" s="631"/>
      <c r="T253" s="599"/>
      <c r="U253" s="631"/>
      <c r="V253" s="621"/>
      <c r="W253" s="624"/>
      <c r="X253" s="543"/>
    </row>
    <row r="254" spans="1:25" s="544" customFormat="1" x14ac:dyDescent="0.3">
      <c r="A254" s="555"/>
      <c r="B254" s="556"/>
      <c r="C254" s="556"/>
      <c r="D254" s="556"/>
      <c r="E254" s="556"/>
      <c r="F254" s="556"/>
      <c r="G254" s="556"/>
      <c r="H254" s="632"/>
      <c r="I254" s="632"/>
      <c r="J254" s="632"/>
      <c r="K254" s="632"/>
      <c r="L254" s="632"/>
      <c r="M254" s="632"/>
      <c r="N254" s="632"/>
      <c r="O254" s="632"/>
      <c r="P254" s="632"/>
      <c r="Q254" s="632"/>
      <c r="R254" s="598">
        <f>SUM(R245:R253)</f>
        <v>5555</v>
      </c>
      <c r="S254" s="631">
        <f>SUM(S245:S253)</f>
        <v>1</v>
      </c>
      <c r="T254" s="599">
        <f>SUM(T245:T253)</f>
        <v>754552</v>
      </c>
      <c r="U254" s="631">
        <f>SUM(U245:U253)</f>
        <v>1</v>
      </c>
      <c r="V254" s="556"/>
      <c r="W254" s="558"/>
      <c r="X254" s="543"/>
    </row>
    <row r="255" spans="1:25" x14ac:dyDescent="0.3">
      <c r="A255" s="417"/>
      <c r="B255" s="441"/>
      <c r="C255" s="441"/>
      <c r="D255" s="441"/>
      <c r="E255" s="441"/>
      <c r="F255" s="441"/>
      <c r="G255" s="441"/>
      <c r="H255" s="485"/>
      <c r="I255" s="485"/>
      <c r="J255" s="485"/>
      <c r="K255" s="485"/>
      <c r="L255" s="485"/>
      <c r="M255" s="485"/>
      <c r="N255" s="485"/>
      <c r="O255" s="485"/>
      <c r="P255" s="485"/>
      <c r="Q255" s="485"/>
      <c r="R255" s="442"/>
      <c r="S255" s="486"/>
      <c r="T255" s="487"/>
      <c r="U255" s="486"/>
      <c r="V255" s="441"/>
      <c r="W255" s="441"/>
      <c r="X255" s="415"/>
    </row>
    <row r="256" spans="1:25" x14ac:dyDescent="0.3">
      <c r="A256" s="515"/>
      <c r="B256" s="523" t="s">
        <v>162</v>
      </c>
      <c r="C256" s="524"/>
      <c r="D256" s="524"/>
      <c r="E256" s="524"/>
      <c r="F256" s="534"/>
      <c r="G256" s="524"/>
      <c r="H256" s="524"/>
      <c r="I256" s="524"/>
      <c r="J256" s="524"/>
      <c r="K256" s="524"/>
      <c r="L256" s="524"/>
      <c r="M256" s="524"/>
      <c r="N256" s="524"/>
      <c r="O256" s="524"/>
      <c r="P256" s="524"/>
      <c r="Q256" s="524"/>
      <c r="R256" s="534" t="s">
        <v>102</v>
      </c>
      <c r="S256" s="524" t="s">
        <v>103</v>
      </c>
      <c r="T256" s="534" t="s">
        <v>109</v>
      </c>
      <c r="U256" s="524" t="s">
        <v>103</v>
      </c>
      <c r="V256" s="517"/>
      <c r="W256" s="535"/>
      <c r="X256" s="415"/>
    </row>
    <row r="257" spans="1:25" s="544" customFormat="1" x14ac:dyDescent="0.3">
      <c r="A257" s="540"/>
      <c r="B257" s="600" t="s">
        <v>88</v>
      </c>
      <c r="C257" s="627"/>
      <c r="D257" s="627"/>
      <c r="E257" s="627"/>
      <c r="F257" s="588"/>
      <c r="G257" s="627"/>
      <c r="H257" s="627"/>
      <c r="I257" s="627"/>
      <c r="J257" s="627"/>
      <c r="K257" s="627"/>
      <c r="L257" s="627"/>
      <c r="M257" s="627"/>
      <c r="N257" s="627"/>
      <c r="O257" s="627"/>
      <c r="P257" s="627"/>
      <c r="Q257" s="627"/>
      <c r="R257" s="600">
        <v>5415</v>
      </c>
      <c r="S257" s="628">
        <f t="shared" ref="S257:S264" si="5">R257/$R$266</f>
        <v>0.99668691330756487</v>
      </c>
      <c r="T257" s="601">
        <v>732895</v>
      </c>
      <c r="U257" s="628">
        <f t="shared" ref="U257:U264" si="6">T257/$T$266</f>
        <v>0.99668042908275944</v>
      </c>
      <c r="V257" s="616"/>
      <c r="W257" s="629"/>
      <c r="X257" s="543"/>
    </row>
    <row r="258" spans="1:25" s="544" customFormat="1" x14ac:dyDescent="0.3">
      <c r="A258" s="555"/>
      <c r="B258" s="598" t="s">
        <v>89</v>
      </c>
      <c r="C258" s="630"/>
      <c r="D258" s="630"/>
      <c r="E258" s="630"/>
      <c r="F258" s="556"/>
      <c r="G258" s="631"/>
      <c r="H258" s="630"/>
      <c r="I258" s="630"/>
      <c r="J258" s="630"/>
      <c r="K258" s="630"/>
      <c r="L258" s="630"/>
      <c r="M258" s="630"/>
      <c r="N258" s="630"/>
      <c r="O258" s="630"/>
      <c r="P258" s="630"/>
      <c r="Q258" s="630"/>
      <c r="R258" s="598">
        <v>11</v>
      </c>
      <c r="S258" s="631">
        <f t="shared" si="5"/>
        <v>2.0246640898214613E-3</v>
      </c>
      <c r="T258" s="599">
        <v>1364</v>
      </c>
      <c r="U258" s="631">
        <f t="shared" si="6"/>
        <v>1.8549343429398262E-3</v>
      </c>
      <c r="V258" s="621"/>
      <c r="W258" s="624"/>
      <c r="X258" s="543"/>
      <c r="Y258" s="604"/>
    </row>
    <row r="259" spans="1:25" s="544" customFormat="1" x14ac:dyDescent="0.3">
      <c r="A259" s="555"/>
      <c r="B259" s="598" t="s">
        <v>90</v>
      </c>
      <c r="C259" s="630"/>
      <c r="D259" s="630"/>
      <c r="E259" s="630"/>
      <c r="F259" s="556"/>
      <c r="G259" s="631"/>
      <c r="H259" s="630"/>
      <c r="I259" s="630"/>
      <c r="J259" s="630"/>
      <c r="K259" s="630"/>
      <c r="L259" s="630"/>
      <c r="M259" s="630"/>
      <c r="N259" s="630"/>
      <c r="O259" s="630"/>
      <c r="P259" s="630"/>
      <c r="Q259" s="630"/>
      <c r="R259" s="598">
        <v>5</v>
      </c>
      <c r="S259" s="631">
        <f t="shared" si="5"/>
        <v>9.2030185900975525E-4</v>
      </c>
      <c r="T259" s="599">
        <v>786</v>
      </c>
      <c r="U259" s="631">
        <f t="shared" si="6"/>
        <v>1.0688991155063808E-3</v>
      </c>
      <c r="V259" s="621"/>
      <c r="W259" s="624"/>
      <c r="X259" s="543"/>
    </row>
    <row r="260" spans="1:25" s="544" customFormat="1" x14ac:dyDescent="0.3">
      <c r="A260" s="555"/>
      <c r="B260" s="598" t="s">
        <v>156</v>
      </c>
      <c r="C260" s="630"/>
      <c r="D260" s="630"/>
      <c r="E260" s="630"/>
      <c r="F260" s="556"/>
      <c r="G260" s="631"/>
      <c r="H260" s="630"/>
      <c r="I260" s="630"/>
      <c r="J260" s="630"/>
      <c r="K260" s="630"/>
      <c r="L260" s="630"/>
      <c r="M260" s="630"/>
      <c r="N260" s="630"/>
      <c r="O260" s="630"/>
      <c r="P260" s="630"/>
      <c r="Q260" s="630"/>
      <c r="R260" s="598">
        <v>2</v>
      </c>
      <c r="S260" s="631">
        <f t="shared" si="5"/>
        <v>3.6812074360390208E-4</v>
      </c>
      <c r="T260" s="599">
        <v>291</v>
      </c>
      <c r="U260" s="631">
        <f t="shared" si="6"/>
        <v>3.9573745879434709E-4</v>
      </c>
      <c r="V260" s="621"/>
      <c r="W260" s="624"/>
      <c r="X260" s="543"/>
      <c r="Y260" s="604"/>
    </row>
    <row r="261" spans="1:25" s="544" customFormat="1" x14ac:dyDescent="0.3">
      <c r="A261" s="555"/>
      <c r="B261" s="598" t="s">
        <v>157</v>
      </c>
      <c r="C261" s="630"/>
      <c r="D261" s="630"/>
      <c r="E261" s="630"/>
      <c r="F261" s="556"/>
      <c r="G261" s="631"/>
      <c r="H261" s="630"/>
      <c r="I261" s="630"/>
      <c r="J261" s="630"/>
      <c r="K261" s="630"/>
      <c r="L261" s="630"/>
      <c r="M261" s="630"/>
      <c r="N261" s="630"/>
      <c r="O261" s="630"/>
      <c r="P261" s="630"/>
      <c r="Q261" s="630"/>
      <c r="R261" s="598">
        <v>0</v>
      </c>
      <c r="S261" s="631">
        <f t="shared" si="5"/>
        <v>0</v>
      </c>
      <c r="T261" s="599">
        <v>0</v>
      </c>
      <c r="U261" s="631">
        <f t="shared" si="6"/>
        <v>0</v>
      </c>
      <c r="V261" s="621"/>
      <c r="W261" s="624"/>
      <c r="X261" s="543"/>
    </row>
    <row r="262" spans="1:25" s="544" customFormat="1" x14ac:dyDescent="0.3">
      <c r="A262" s="555"/>
      <c r="B262" s="598" t="s">
        <v>158</v>
      </c>
      <c r="C262" s="630"/>
      <c r="D262" s="630"/>
      <c r="E262" s="630"/>
      <c r="F262" s="556"/>
      <c r="G262" s="631"/>
      <c r="H262" s="630"/>
      <c r="I262" s="630"/>
      <c r="J262" s="630"/>
      <c r="K262" s="630"/>
      <c r="L262" s="630"/>
      <c r="M262" s="630"/>
      <c r="N262" s="630"/>
      <c r="O262" s="630"/>
      <c r="P262" s="630"/>
      <c r="Q262" s="630"/>
      <c r="R262" s="598">
        <v>0</v>
      </c>
      <c r="S262" s="631">
        <f t="shared" si="5"/>
        <v>0</v>
      </c>
      <c r="T262" s="599">
        <v>0</v>
      </c>
      <c r="U262" s="631">
        <f t="shared" si="6"/>
        <v>0</v>
      </c>
      <c r="V262" s="621"/>
      <c r="W262" s="624"/>
      <c r="X262" s="543"/>
      <c r="Y262" s="604"/>
    </row>
    <row r="263" spans="1:25" s="544" customFormat="1" x14ac:dyDescent="0.3">
      <c r="A263" s="555"/>
      <c r="B263" s="598" t="s">
        <v>159</v>
      </c>
      <c r="C263" s="630"/>
      <c r="D263" s="630"/>
      <c r="E263" s="630"/>
      <c r="F263" s="556"/>
      <c r="G263" s="631"/>
      <c r="H263" s="630"/>
      <c r="I263" s="630"/>
      <c r="J263" s="630"/>
      <c r="K263" s="630"/>
      <c r="L263" s="630"/>
      <c r="M263" s="630"/>
      <c r="N263" s="630"/>
      <c r="O263" s="630"/>
      <c r="P263" s="630"/>
      <c r="Q263" s="630"/>
      <c r="R263" s="598">
        <v>0</v>
      </c>
      <c r="S263" s="631">
        <f t="shared" si="5"/>
        <v>0</v>
      </c>
      <c r="T263" s="599">
        <v>0</v>
      </c>
      <c r="U263" s="631">
        <f t="shared" si="6"/>
        <v>0</v>
      </c>
      <c r="V263" s="621"/>
      <c r="W263" s="624"/>
      <c r="X263" s="543"/>
    </row>
    <row r="264" spans="1:25" s="544" customFormat="1" x14ac:dyDescent="0.3">
      <c r="A264" s="555"/>
      <c r="B264" s="598" t="s">
        <v>160</v>
      </c>
      <c r="C264" s="630"/>
      <c r="D264" s="630"/>
      <c r="E264" s="630"/>
      <c r="F264" s="556"/>
      <c r="G264" s="631"/>
      <c r="H264" s="630"/>
      <c r="I264" s="630"/>
      <c r="J264" s="630"/>
      <c r="K264" s="630"/>
      <c r="L264" s="630"/>
      <c r="M264" s="630"/>
      <c r="N264" s="630"/>
      <c r="O264" s="630"/>
      <c r="P264" s="630"/>
      <c r="Q264" s="630"/>
      <c r="R264" s="598">
        <v>0</v>
      </c>
      <c r="S264" s="631">
        <f t="shared" si="5"/>
        <v>0</v>
      </c>
      <c r="T264" s="599">
        <v>0</v>
      </c>
      <c r="U264" s="631">
        <f t="shared" si="6"/>
        <v>0</v>
      </c>
      <c r="V264" s="621"/>
      <c r="W264" s="624"/>
      <c r="X264" s="543"/>
      <c r="Y264" s="604"/>
    </row>
    <row r="265" spans="1:25" s="544" customFormat="1" x14ac:dyDescent="0.3">
      <c r="A265" s="555"/>
      <c r="B265" s="598"/>
      <c r="C265" s="630"/>
      <c r="D265" s="630"/>
      <c r="E265" s="630"/>
      <c r="F265" s="556"/>
      <c r="G265" s="631"/>
      <c r="H265" s="630"/>
      <c r="I265" s="630"/>
      <c r="J265" s="630"/>
      <c r="K265" s="630"/>
      <c r="L265" s="630"/>
      <c r="M265" s="630"/>
      <c r="N265" s="630"/>
      <c r="O265" s="630"/>
      <c r="P265" s="630"/>
      <c r="Q265" s="630"/>
      <c r="R265" s="598"/>
      <c r="S265" s="631"/>
      <c r="T265" s="599"/>
      <c r="U265" s="631"/>
      <c r="V265" s="621"/>
      <c r="W265" s="624"/>
      <c r="X265" s="543"/>
    </row>
    <row r="266" spans="1:25" s="544" customFormat="1" x14ac:dyDescent="0.3">
      <c r="A266" s="555"/>
      <c r="B266" s="556"/>
      <c r="C266" s="556"/>
      <c r="D266" s="556"/>
      <c r="E266" s="556"/>
      <c r="F266" s="556"/>
      <c r="G266" s="556"/>
      <c r="H266" s="632"/>
      <c r="I266" s="632"/>
      <c r="J266" s="632"/>
      <c r="K266" s="632"/>
      <c r="L266" s="632"/>
      <c r="M266" s="632"/>
      <c r="N266" s="632"/>
      <c r="O266" s="632"/>
      <c r="P266" s="632"/>
      <c r="Q266" s="632"/>
      <c r="R266" s="598">
        <f>SUM(R257:R265)</f>
        <v>5433</v>
      </c>
      <c r="S266" s="631">
        <f>SUM(S257:S265)</f>
        <v>1</v>
      </c>
      <c r="T266" s="599">
        <f>SUM(T257:T265)</f>
        <v>735336</v>
      </c>
      <c r="U266" s="631">
        <f>SUM(U257:U265)</f>
        <v>1</v>
      </c>
      <c r="V266" s="556"/>
      <c r="W266" s="558"/>
      <c r="X266" s="543"/>
    </row>
    <row r="267" spans="1:25" x14ac:dyDescent="0.3">
      <c r="A267" s="417"/>
      <c r="B267" s="441"/>
      <c r="C267" s="441"/>
      <c r="D267" s="441"/>
      <c r="E267" s="441"/>
      <c r="F267" s="441"/>
      <c r="G267" s="441"/>
      <c r="H267" s="485"/>
      <c r="I267" s="485"/>
      <c r="J267" s="485"/>
      <c r="K267" s="485"/>
      <c r="L267" s="485"/>
      <c r="M267" s="485"/>
      <c r="N267" s="485"/>
      <c r="O267" s="485"/>
      <c r="P267" s="485"/>
      <c r="Q267" s="485"/>
      <c r="R267" s="442"/>
      <c r="S267" s="486"/>
      <c r="T267" s="487"/>
      <c r="U267" s="486"/>
      <c r="V267" s="441"/>
      <c r="W267" s="441"/>
      <c r="X267" s="415"/>
    </row>
    <row r="268" spans="1:25" x14ac:dyDescent="0.3">
      <c r="A268" s="515"/>
      <c r="B268" s="523" t="s">
        <v>275</v>
      </c>
      <c r="C268" s="524"/>
      <c r="D268" s="524"/>
      <c r="E268" s="524"/>
      <c r="F268" s="534"/>
      <c r="G268" s="524"/>
      <c r="H268" s="524"/>
      <c r="I268" s="524"/>
      <c r="J268" s="524"/>
      <c r="K268" s="524"/>
      <c r="L268" s="524"/>
      <c r="M268" s="524"/>
      <c r="N268" s="524"/>
      <c r="O268" s="524"/>
      <c r="P268" s="524"/>
      <c r="Q268" s="524"/>
      <c r="R268" s="534" t="s">
        <v>102</v>
      </c>
      <c r="S268" s="524" t="s">
        <v>103</v>
      </c>
      <c r="T268" s="534" t="s">
        <v>109</v>
      </c>
      <c r="U268" s="524" t="s">
        <v>103</v>
      </c>
      <c r="V268" s="517"/>
      <c r="W268" s="520"/>
      <c r="X268" s="415"/>
    </row>
    <row r="269" spans="1:25" s="544" customFormat="1" x14ac:dyDescent="0.3">
      <c r="A269" s="540"/>
      <c r="B269" s="600" t="s">
        <v>88</v>
      </c>
      <c r="C269" s="627"/>
      <c r="D269" s="627"/>
      <c r="E269" s="627"/>
      <c r="F269" s="588"/>
      <c r="G269" s="627"/>
      <c r="H269" s="627"/>
      <c r="I269" s="627"/>
      <c r="J269" s="627"/>
      <c r="K269" s="627"/>
      <c r="L269" s="627"/>
      <c r="M269" s="627"/>
      <c r="N269" s="627"/>
      <c r="O269" s="627"/>
      <c r="P269" s="627"/>
      <c r="Q269" s="627"/>
      <c r="R269" s="600">
        <v>101</v>
      </c>
      <c r="S269" s="628">
        <f t="shared" ref="S269:S276" si="7">R269/$R$278</f>
        <v>0.82786885245901642</v>
      </c>
      <c r="T269" s="601">
        <v>14561</v>
      </c>
      <c r="U269" s="628">
        <f t="shared" ref="U269:U276" si="8">T269/$T$278</f>
        <v>0.75775395503746878</v>
      </c>
      <c r="V269" s="588"/>
      <c r="W269" s="588"/>
      <c r="X269" s="543"/>
    </row>
    <row r="270" spans="1:25" s="544" customFormat="1" x14ac:dyDescent="0.3">
      <c r="A270" s="555"/>
      <c r="B270" s="598" t="s">
        <v>89</v>
      </c>
      <c r="C270" s="630"/>
      <c r="D270" s="630"/>
      <c r="E270" s="630"/>
      <c r="F270" s="556"/>
      <c r="G270" s="631"/>
      <c r="H270" s="630"/>
      <c r="I270" s="630"/>
      <c r="J270" s="630"/>
      <c r="K270" s="630"/>
      <c r="L270" s="630"/>
      <c r="M270" s="630"/>
      <c r="N270" s="630"/>
      <c r="O270" s="630"/>
      <c r="P270" s="630"/>
      <c r="Q270" s="630"/>
      <c r="R270" s="598">
        <v>1</v>
      </c>
      <c r="S270" s="631">
        <f t="shared" si="7"/>
        <v>8.1967213114754103E-3</v>
      </c>
      <c r="T270" s="599">
        <v>145</v>
      </c>
      <c r="U270" s="631">
        <f t="shared" si="8"/>
        <v>7.5457951706910907E-3</v>
      </c>
      <c r="V270" s="556"/>
      <c r="W270" s="558"/>
      <c r="X270" s="543"/>
    </row>
    <row r="271" spans="1:25" s="544" customFormat="1" x14ac:dyDescent="0.3">
      <c r="A271" s="555"/>
      <c r="B271" s="598" t="s">
        <v>90</v>
      </c>
      <c r="C271" s="630"/>
      <c r="D271" s="630"/>
      <c r="E271" s="630"/>
      <c r="F271" s="556"/>
      <c r="G271" s="631"/>
      <c r="H271" s="630"/>
      <c r="I271" s="630"/>
      <c r="J271" s="630"/>
      <c r="K271" s="630"/>
      <c r="L271" s="630"/>
      <c r="M271" s="630"/>
      <c r="N271" s="630"/>
      <c r="O271" s="630"/>
      <c r="P271" s="630"/>
      <c r="Q271" s="630"/>
      <c r="R271" s="598">
        <v>3</v>
      </c>
      <c r="S271" s="631">
        <f t="shared" si="7"/>
        <v>2.4590163934426229E-2</v>
      </c>
      <c r="T271" s="599">
        <v>477</v>
      </c>
      <c r="U271" s="631">
        <f t="shared" si="8"/>
        <v>2.4823064113238969E-2</v>
      </c>
      <c r="V271" s="556"/>
      <c r="W271" s="558"/>
      <c r="X271" s="543"/>
    </row>
    <row r="272" spans="1:25" s="544" customFormat="1" x14ac:dyDescent="0.3">
      <c r="A272" s="555"/>
      <c r="B272" s="598" t="s">
        <v>156</v>
      </c>
      <c r="C272" s="630"/>
      <c r="D272" s="630"/>
      <c r="E272" s="630"/>
      <c r="F272" s="556"/>
      <c r="G272" s="631"/>
      <c r="H272" s="630"/>
      <c r="I272" s="630"/>
      <c r="J272" s="630"/>
      <c r="K272" s="630"/>
      <c r="L272" s="630"/>
      <c r="M272" s="630"/>
      <c r="N272" s="630"/>
      <c r="O272" s="630"/>
      <c r="P272" s="630"/>
      <c r="Q272" s="630"/>
      <c r="R272" s="598">
        <v>5</v>
      </c>
      <c r="S272" s="631">
        <f t="shared" si="7"/>
        <v>4.0983606557377046E-2</v>
      </c>
      <c r="T272" s="599">
        <v>1031</v>
      </c>
      <c r="U272" s="631">
        <f t="shared" si="8"/>
        <v>5.3653205661948374E-2</v>
      </c>
      <c r="V272" s="556"/>
      <c r="W272" s="558"/>
      <c r="X272" s="543"/>
    </row>
    <row r="273" spans="1:24" s="544" customFormat="1" x14ac:dyDescent="0.3">
      <c r="A273" s="555"/>
      <c r="B273" s="598" t="s">
        <v>157</v>
      </c>
      <c r="C273" s="630"/>
      <c r="D273" s="630"/>
      <c r="E273" s="630"/>
      <c r="F273" s="556"/>
      <c r="G273" s="631"/>
      <c r="H273" s="630"/>
      <c r="I273" s="630"/>
      <c r="J273" s="630"/>
      <c r="K273" s="630"/>
      <c r="L273" s="630"/>
      <c r="M273" s="630"/>
      <c r="N273" s="630"/>
      <c r="O273" s="630"/>
      <c r="P273" s="630"/>
      <c r="Q273" s="630"/>
      <c r="R273" s="598">
        <v>6</v>
      </c>
      <c r="S273" s="631">
        <f t="shared" si="7"/>
        <v>4.9180327868852458E-2</v>
      </c>
      <c r="T273" s="599">
        <v>2405</v>
      </c>
      <c r="U273" s="631">
        <f t="shared" si="8"/>
        <v>0.12515611990008327</v>
      </c>
      <c r="V273" s="556"/>
      <c r="W273" s="558"/>
      <c r="X273" s="543"/>
    </row>
    <row r="274" spans="1:24" s="544" customFormat="1" x14ac:dyDescent="0.3">
      <c r="A274" s="555"/>
      <c r="B274" s="598" t="s">
        <v>158</v>
      </c>
      <c r="C274" s="630"/>
      <c r="D274" s="630"/>
      <c r="E274" s="630"/>
      <c r="F274" s="556"/>
      <c r="G274" s="631"/>
      <c r="H274" s="630"/>
      <c r="I274" s="630"/>
      <c r="J274" s="630"/>
      <c r="K274" s="630"/>
      <c r="L274" s="630"/>
      <c r="M274" s="630"/>
      <c r="N274" s="630"/>
      <c r="O274" s="630"/>
      <c r="P274" s="630"/>
      <c r="Q274" s="630"/>
      <c r="R274" s="598">
        <v>2</v>
      </c>
      <c r="S274" s="631">
        <f t="shared" si="7"/>
        <v>1.6393442622950821E-2</v>
      </c>
      <c r="T274" s="599">
        <v>133</v>
      </c>
      <c r="U274" s="631">
        <f t="shared" si="8"/>
        <v>6.921315570358035E-3</v>
      </c>
      <c r="V274" s="556"/>
      <c r="W274" s="558"/>
      <c r="X274" s="543"/>
    </row>
    <row r="275" spans="1:24" s="544" customFormat="1" x14ac:dyDescent="0.3">
      <c r="A275" s="555"/>
      <c r="B275" s="598" t="s">
        <v>159</v>
      </c>
      <c r="C275" s="630"/>
      <c r="D275" s="630"/>
      <c r="E275" s="630"/>
      <c r="F275" s="556"/>
      <c r="G275" s="631"/>
      <c r="H275" s="630"/>
      <c r="I275" s="630"/>
      <c r="J275" s="630"/>
      <c r="K275" s="630"/>
      <c r="L275" s="630"/>
      <c r="M275" s="630"/>
      <c r="N275" s="630"/>
      <c r="O275" s="630"/>
      <c r="P275" s="630"/>
      <c r="Q275" s="630"/>
      <c r="R275" s="598">
        <v>3</v>
      </c>
      <c r="S275" s="631">
        <f t="shared" si="7"/>
        <v>2.4590163934426229E-2</v>
      </c>
      <c r="T275" s="599">
        <v>358</v>
      </c>
      <c r="U275" s="631">
        <f t="shared" si="8"/>
        <v>1.863030807660283E-2</v>
      </c>
      <c r="V275" s="556"/>
      <c r="W275" s="558"/>
      <c r="X275" s="543"/>
    </row>
    <row r="276" spans="1:24" s="544" customFormat="1" x14ac:dyDescent="0.3">
      <c r="A276" s="555"/>
      <c r="B276" s="598" t="s">
        <v>160</v>
      </c>
      <c r="C276" s="630"/>
      <c r="D276" s="630"/>
      <c r="E276" s="630"/>
      <c r="F276" s="556"/>
      <c r="G276" s="631"/>
      <c r="H276" s="630"/>
      <c r="I276" s="630"/>
      <c r="J276" s="630"/>
      <c r="K276" s="630"/>
      <c r="L276" s="630"/>
      <c r="M276" s="630"/>
      <c r="N276" s="630"/>
      <c r="O276" s="630"/>
      <c r="P276" s="630"/>
      <c r="Q276" s="630"/>
      <c r="R276" s="598">
        <v>1</v>
      </c>
      <c r="S276" s="631">
        <f t="shared" si="7"/>
        <v>8.1967213114754103E-3</v>
      </c>
      <c r="T276" s="599">
        <v>106</v>
      </c>
      <c r="U276" s="631">
        <f t="shared" si="8"/>
        <v>5.5162364696086591E-3</v>
      </c>
      <c r="V276" s="556"/>
      <c r="W276" s="558"/>
      <c r="X276" s="543"/>
    </row>
    <row r="277" spans="1:24" s="544" customFormat="1" x14ac:dyDescent="0.3">
      <c r="A277" s="555"/>
      <c r="B277" s="598"/>
      <c r="C277" s="630"/>
      <c r="D277" s="630"/>
      <c r="E277" s="630"/>
      <c r="F277" s="556"/>
      <c r="G277" s="631"/>
      <c r="H277" s="630"/>
      <c r="I277" s="630"/>
      <c r="J277" s="630"/>
      <c r="K277" s="630"/>
      <c r="L277" s="630"/>
      <c r="M277" s="630"/>
      <c r="N277" s="630"/>
      <c r="O277" s="630"/>
      <c r="P277" s="630"/>
      <c r="Q277" s="630"/>
      <c r="R277" s="598"/>
      <c r="S277" s="631"/>
      <c r="T277" s="599"/>
      <c r="U277" s="631"/>
      <c r="V277" s="556"/>
      <c r="W277" s="558"/>
      <c r="X277" s="543"/>
    </row>
    <row r="278" spans="1:24" s="544" customFormat="1" x14ac:dyDescent="0.3">
      <c r="A278" s="555"/>
      <c r="B278" s="556"/>
      <c r="C278" s="556"/>
      <c r="D278" s="556"/>
      <c r="E278" s="556"/>
      <c r="F278" s="556"/>
      <c r="G278" s="556"/>
      <c r="H278" s="632"/>
      <c r="I278" s="632"/>
      <c r="J278" s="632"/>
      <c r="K278" s="632"/>
      <c r="L278" s="632"/>
      <c r="M278" s="632"/>
      <c r="N278" s="632"/>
      <c r="O278" s="632"/>
      <c r="P278" s="632"/>
      <c r="Q278" s="632"/>
      <c r="R278" s="598">
        <f>SUM(R269:R277)</f>
        <v>122</v>
      </c>
      <c r="S278" s="631">
        <f>SUM(S269:S277)</f>
        <v>1.0000000000000002</v>
      </c>
      <c r="T278" s="599">
        <f>SUM(T269:T277)</f>
        <v>19216</v>
      </c>
      <c r="U278" s="631">
        <f>SUM(U269:U277)</f>
        <v>1</v>
      </c>
      <c r="V278" s="556"/>
      <c r="W278" s="558"/>
      <c r="X278" s="543"/>
    </row>
    <row r="279" spans="1:24" x14ac:dyDescent="0.3">
      <c r="A279" s="417"/>
      <c r="B279" s="437"/>
      <c r="C279" s="437"/>
      <c r="D279" s="437"/>
      <c r="E279" s="437"/>
      <c r="F279" s="437"/>
      <c r="G279" s="437"/>
      <c r="H279" s="488"/>
      <c r="I279" s="488"/>
      <c r="J279" s="488"/>
      <c r="K279" s="488"/>
      <c r="L279" s="488"/>
      <c r="M279" s="488"/>
      <c r="N279" s="488"/>
      <c r="O279" s="488"/>
      <c r="P279" s="488"/>
      <c r="Q279" s="488"/>
      <c r="R279" s="447"/>
      <c r="S279" s="483"/>
      <c r="T279" s="484"/>
      <c r="U279" s="483"/>
      <c r="V279" s="437"/>
      <c r="W279" s="437"/>
      <c r="X279" s="415"/>
    </row>
    <row r="280" spans="1:24" x14ac:dyDescent="0.3">
      <c r="A280" s="515"/>
      <c r="B280" s="523" t="s">
        <v>163</v>
      </c>
      <c r="C280" s="517"/>
      <c r="D280" s="517"/>
      <c r="E280" s="517"/>
      <c r="F280" s="517"/>
      <c r="G280" s="517"/>
      <c r="H280" s="536"/>
      <c r="I280" s="536"/>
      <c r="J280" s="536"/>
      <c r="K280" s="536"/>
      <c r="L280" s="536"/>
      <c r="M280" s="536"/>
      <c r="N280" s="536"/>
      <c r="O280" s="536"/>
      <c r="P280" s="536"/>
      <c r="Q280" s="536"/>
      <c r="R280" s="534" t="s">
        <v>102</v>
      </c>
      <c r="S280" s="524" t="s">
        <v>103</v>
      </c>
      <c r="T280" s="534" t="s">
        <v>109</v>
      </c>
      <c r="U280" s="524" t="s">
        <v>103</v>
      </c>
      <c r="V280" s="517"/>
      <c r="W280" s="520"/>
      <c r="X280" s="415"/>
    </row>
    <row r="281" spans="1:24" s="544" customFormat="1" x14ac:dyDescent="0.3">
      <c r="A281" s="540"/>
      <c r="B281" s="600" t="s">
        <v>88</v>
      </c>
      <c r="C281" s="588"/>
      <c r="D281" s="588"/>
      <c r="E281" s="588"/>
      <c r="F281" s="588"/>
      <c r="G281" s="588"/>
      <c r="H281" s="633"/>
      <c r="I281" s="633"/>
      <c r="J281" s="633"/>
      <c r="K281" s="633"/>
      <c r="L281" s="633"/>
      <c r="M281" s="633"/>
      <c r="N281" s="633"/>
      <c r="O281" s="633"/>
      <c r="P281" s="633"/>
      <c r="Q281" s="633"/>
      <c r="R281" s="600">
        <v>0</v>
      </c>
      <c r="S281" s="628">
        <v>0</v>
      </c>
      <c r="T281" s="601">
        <v>0</v>
      </c>
      <c r="U281" s="628">
        <v>0</v>
      </c>
      <c r="V281" s="588"/>
      <c r="W281" s="588"/>
      <c r="X281" s="543"/>
    </row>
    <row r="282" spans="1:24" s="544" customFormat="1" x14ac:dyDescent="0.3">
      <c r="A282" s="555"/>
      <c r="B282" s="598" t="s">
        <v>89</v>
      </c>
      <c r="C282" s="556"/>
      <c r="D282" s="556"/>
      <c r="E282" s="556"/>
      <c r="F282" s="556"/>
      <c r="G282" s="556"/>
      <c r="H282" s="632"/>
      <c r="I282" s="632"/>
      <c r="J282" s="632"/>
      <c r="K282" s="632"/>
      <c r="L282" s="632"/>
      <c r="M282" s="632"/>
      <c r="N282" s="632"/>
      <c r="O282" s="632"/>
      <c r="P282" s="632"/>
      <c r="Q282" s="632"/>
      <c r="R282" s="598">
        <v>0</v>
      </c>
      <c r="S282" s="631">
        <v>0</v>
      </c>
      <c r="T282" s="599">
        <v>0</v>
      </c>
      <c r="U282" s="631">
        <v>0</v>
      </c>
      <c r="V282" s="556"/>
      <c r="W282" s="558"/>
      <c r="X282" s="543"/>
    </row>
    <row r="283" spans="1:24" s="544" customFormat="1" x14ac:dyDescent="0.3">
      <c r="A283" s="555"/>
      <c r="B283" s="598" t="s">
        <v>90</v>
      </c>
      <c r="C283" s="556"/>
      <c r="D283" s="556"/>
      <c r="E283" s="556"/>
      <c r="F283" s="556"/>
      <c r="G283" s="556"/>
      <c r="H283" s="632"/>
      <c r="I283" s="632"/>
      <c r="J283" s="632"/>
      <c r="K283" s="632"/>
      <c r="L283" s="632"/>
      <c r="M283" s="632"/>
      <c r="N283" s="632"/>
      <c r="O283" s="632"/>
      <c r="P283" s="632"/>
      <c r="Q283" s="632"/>
      <c r="R283" s="598">
        <v>0</v>
      </c>
      <c r="S283" s="631">
        <v>0</v>
      </c>
      <c r="T283" s="599">
        <v>0</v>
      </c>
      <c r="U283" s="631">
        <v>0</v>
      </c>
      <c r="V283" s="556"/>
      <c r="W283" s="558"/>
      <c r="X283" s="543"/>
    </row>
    <row r="284" spans="1:24" s="544" customFormat="1" x14ac:dyDescent="0.3">
      <c r="A284" s="555"/>
      <c r="B284" s="598" t="s">
        <v>156</v>
      </c>
      <c r="C284" s="556"/>
      <c r="D284" s="556"/>
      <c r="E284" s="556"/>
      <c r="F284" s="556"/>
      <c r="G284" s="556"/>
      <c r="H284" s="632"/>
      <c r="I284" s="632"/>
      <c r="J284" s="632"/>
      <c r="K284" s="632"/>
      <c r="L284" s="632"/>
      <c r="M284" s="632"/>
      <c r="N284" s="632"/>
      <c r="O284" s="632"/>
      <c r="P284" s="632"/>
      <c r="Q284" s="632"/>
      <c r="R284" s="598">
        <v>0</v>
      </c>
      <c r="S284" s="631">
        <v>0</v>
      </c>
      <c r="T284" s="599">
        <v>0</v>
      </c>
      <c r="U284" s="631">
        <v>0</v>
      </c>
      <c r="V284" s="556"/>
      <c r="W284" s="558"/>
      <c r="X284" s="543"/>
    </row>
    <row r="285" spans="1:24" s="544" customFormat="1" x14ac:dyDescent="0.3">
      <c r="A285" s="555"/>
      <c r="B285" s="598" t="s">
        <v>157</v>
      </c>
      <c r="C285" s="556"/>
      <c r="D285" s="556"/>
      <c r="E285" s="556"/>
      <c r="F285" s="556"/>
      <c r="G285" s="556"/>
      <c r="H285" s="632"/>
      <c r="I285" s="632"/>
      <c r="J285" s="632"/>
      <c r="K285" s="632"/>
      <c r="L285" s="632"/>
      <c r="M285" s="632"/>
      <c r="N285" s="632"/>
      <c r="O285" s="632"/>
      <c r="P285" s="632"/>
      <c r="Q285" s="632"/>
      <c r="R285" s="598">
        <v>0</v>
      </c>
      <c r="S285" s="631">
        <v>0</v>
      </c>
      <c r="T285" s="599">
        <v>0</v>
      </c>
      <c r="U285" s="631">
        <v>0</v>
      </c>
      <c r="V285" s="556"/>
      <c r="W285" s="558"/>
      <c r="X285" s="543"/>
    </row>
    <row r="286" spans="1:24" s="544" customFormat="1" x14ac:dyDescent="0.3">
      <c r="A286" s="555"/>
      <c r="B286" s="598" t="s">
        <v>158</v>
      </c>
      <c r="C286" s="556"/>
      <c r="D286" s="556"/>
      <c r="E286" s="556"/>
      <c r="F286" s="556"/>
      <c r="G286" s="556"/>
      <c r="H286" s="632"/>
      <c r="I286" s="632"/>
      <c r="J286" s="632"/>
      <c r="K286" s="632"/>
      <c r="L286" s="632"/>
      <c r="M286" s="632"/>
      <c r="N286" s="632"/>
      <c r="O286" s="632"/>
      <c r="P286" s="632"/>
      <c r="Q286" s="632"/>
      <c r="R286" s="598">
        <v>0</v>
      </c>
      <c r="S286" s="631">
        <v>0</v>
      </c>
      <c r="T286" s="599">
        <v>0</v>
      </c>
      <c r="U286" s="631">
        <v>0</v>
      </c>
      <c r="V286" s="556"/>
      <c r="W286" s="558"/>
      <c r="X286" s="543"/>
    </row>
    <row r="287" spans="1:24" s="544" customFormat="1" x14ac:dyDescent="0.3">
      <c r="A287" s="555"/>
      <c r="B287" s="598" t="s">
        <v>159</v>
      </c>
      <c r="C287" s="556"/>
      <c r="D287" s="556"/>
      <c r="E287" s="556"/>
      <c r="F287" s="556"/>
      <c r="G287" s="556"/>
      <c r="H287" s="632"/>
      <c r="I287" s="632"/>
      <c r="J287" s="632"/>
      <c r="K287" s="632"/>
      <c r="L287" s="632"/>
      <c r="M287" s="632"/>
      <c r="N287" s="632"/>
      <c r="O287" s="632"/>
      <c r="P287" s="632"/>
      <c r="Q287" s="632"/>
      <c r="R287" s="598">
        <v>0</v>
      </c>
      <c r="S287" s="631">
        <v>0</v>
      </c>
      <c r="T287" s="599">
        <v>0</v>
      </c>
      <c r="U287" s="631">
        <v>0</v>
      </c>
      <c r="V287" s="556"/>
      <c r="W287" s="558"/>
      <c r="X287" s="543"/>
    </row>
    <row r="288" spans="1:24" s="544" customFormat="1" x14ac:dyDescent="0.3">
      <c r="A288" s="555"/>
      <c r="B288" s="598" t="s">
        <v>160</v>
      </c>
      <c r="C288" s="556"/>
      <c r="D288" s="556"/>
      <c r="E288" s="556"/>
      <c r="F288" s="556"/>
      <c r="G288" s="556"/>
      <c r="H288" s="632"/>
      <c r="I288" s="632"/>
      <c r="J288" s="632"/>
      <c r="K288" s="632"/>
      <c r="L288" s="632"/>
      <c r="M288" s="632"/>
      <c r="N288" s="632"/>
      <c r="O288" s="632"/>
      <c r="P288" s="632"/>
      <c r="Q288" s="632"/>
      <c r="R288" s="598">
        <v>0</v>
      </c>
      <c r="S288" s="631">
        <v>0</v>
      </c>
      <c r="T288" s="599">
        <v>0</v>
      </c>
      <c r="U288" s="631">
        <v>0</v>
      </c>
      <c r="V288" s="556"/>
      <c r="W288" s="558"/>
      <c r="X288" s="543"/>
    </row>
    <row r="289" spans="1:24" s="544" customFormat="1" x14ac:dyDescent="0.3">
      <c r="A289" s="555"/>
      <c r="B289" s="598"/>
      <c r="C289" s="556"/>
      <c r="D289" s="556"/>
      <c r="E289" s="556"/>
      <c r="F289" s="556"/>
      <c r="G289" s="556"/>
      <c r="H289" s="632"/>
      <c r="I289" s="632"/>
      <c r="J289" s="632"/>
      <c r="K289" s="632"/>
      <c r="L289" s="632"/>
      <c r="M289" s="632"/>
      <c r="N289" s="632"/>
      <c r="O289" s="632"/>
      <c r="P289" s="632"/>
      <c r="Q289" s="632"/>
      <c r="R289" s="598"/>
      <c r="S289" s="631"/>
      <c r="T289" s="599"/>
      <c r="U289" s="631"/>
      <c r="V289" s="556"/>
      <c r="W289" s="558"/>
      <c r="X289" s="543"/>
    </row>
    <row r="290" spans="1:24" s="544" customFormat="1" x14ac:dyDescent="0.3">
      <c r="A290" s="555"/>
      <c r="B290" s="556" t="s">
        <v>114</v>
      </c>
      <c r="C290" s="556"/>
      <c r="D290" s="556"/>
      <c r="E290" s="556"/>
      <c r="F290" s="556"/>
      <c r="G290" s="556"/>
      <c r="H290" s="632"/>
      <c r="I290" s="632"/>
      <c r="J290" s="632"/>
      <c r="K290" s="632"/>
      <c r="L290" s="632"/>
      <c r="M290" s="632"/>
      <c r="N290" s="632"/>
      <c r="O290" s="632"/>
      <c r="P290" s="632"/>
      <c r="Q290" s="632"/>
      <c r="R290" s="598">
        <f>SUM(R281:R288)</f>
        <v>0</v>
      </c>
      <c r="S290" s="631">
        <f>SUM(S281:S289)</f>
        <v>0</v>
      </c>
      <c r="T290" s="599">
        <f>SUM(T281:T288)</f>
        <v>0</v>
      </c>
      <c r="U290" s="631">
        <f>SUM(U281:U289)</f>
        <v>0</v>
      </c>
      <c r="V290" s="556"/>
      <c r="W290" s="558"/>
      <c r="X290" s="543"/>
    </row>
    <row r="291" spans="1:24" s="544" customFormat="1" x14ac:dyDescent="0.3">
      <c r="A291" s="555"/>
      <c r="B291" s="556"/>
      <c r="C291" s="556"/>
      <c r="D291" s="556"/>
      <c r="E291" s="556"/>
      <c r="F291" s="556"/>
      <c r="G291" s="556"/>
      <c r="H291" s="632"/>
      <c r="I291" s="632"/>
      <c r="J291" s="632"/>
      <c r="K291" s="632"/>
      <c r="L291" s="632"/>
      <c r="M291" s="632"/>
      <c r="N291" s="632"/>
      <c r="O291" s="632"/>
      <c r="P291" s="632"/>
      <c r="Q291" s="632"/>
      <c r="R291" s="598"/>
      <c r="S291" s="631"/>
      <c r="T291" s="599"/>
      <c r="U291" s="631"/>
      <c r="V291" s="556"/>
      <c r="W291" s="558"/>
      <c r="X291" s="543"/>
    </row>
    <row r="292" spans="1:24" s="544" customFormat="1" x14ac:dyDescent="0.3">
      <c r="A292" s="555"/>
      <c r="B292" s="561" t="s">
        <v>164</v>
      </c>
      <c r="C292" s="556"/>
      <c r="D292" s="556"/>
      <c r="E292" s="556"/>
      <c r="F292" s="556"/>
      <c r="G292" s="556"/>
      <c r="H292" s="632"/>
      <c r="I292" s="632"/>
      <c r="J292" s="632"/>
      <c r="K292" s="632"/>
      <c r="L292" s="632"/>
      <c r="M292" s="632"/>
      <c r="N292" s="632"/>
      <c r="O292" s="632"/>
      <c r="P292" s="632"/>
      <c r="Q292" s="632"/>
      <c r="R292" s="634">
        <f>R290+R278+R266</f>
        <v>5555</v>
      </c>
      <c r="S292" s="631"/>
      <c r="T292" s="635">
        <f>+T290+T278+T266</f>
        <v>754552</v>
      </c>
      <c r="U292" s="631"/>
      <c r="V292" s="556"/>
      <c r="W292" s="558"/>
      <c r="X292" s="543"/>
    </row>
    <row r="293" spans="1:24" s="544" customFormat="1" x14ac:dyDescent="0.3">
      <c r="A293" s="540"/>
      <c r="B293" s="588"/>
      <c r="C293" s="588"/>
      <c r="D293" s="588"/>
      <c r="E293" s="588"/>
      <c r="F293" s="588"/>
      <c r="G293" s="588"/>
      <c r="H293" s="633"/>
      <c r="I293" s="633"/>
      <c r="J293" s="633"/>
      <c r="K293" s="633"/>
      <c r="L293" s="633"/>
      <c r="M293" s="633"/>
      <c r="N293" s="633"/>
      <c r="O293" s="633"/>
      <c r="P293" s="633"/>
      <c r="Q293" s="633"/>
      <c r="R293" s="633"/>
      <c r="S293" s="633"/>
      <c r="T293" s="601"/>
      <c r="U293" s="633"/>
      <c r="V293" s="588"/>
      <c r="W293" s="588"/>
      <c r="X293" s="543"/>
    </row>
    <row r="294" spans="1:24" s="544" customFormat="1" x14ac:dyDescent="0.3">
      <c r="A294" s="540"/>
      <c r="B294" s="541"/>
      <c r="C294" s="541"/>
      <c r="D294" s="541"/>
      <c r="E294" s="541"/>
      <c r="F294" s="541"/>
      <c r="G294" s="541"/>
      <c r="H294" s="636"/>
      <c r="I294" s="636"/>
      <c r="J294" s="636"/>
      <c r="K294" s="636"/>
      <c r="L294" s="636"/>
      <c r="M294" s="636"/>
      <c r="N294" s="636"/>
      <c r="O294" s="636"/>
      <c r="P294" s="636"/>
      <c r="Q294" s="636"/>
      <c r="R294" s="636"/>
      <c r="S294" s="636"/>
      <c r="T294" s="637"/>
      <c r="U294" s="636"/>
      <c r="V294" s="541"/>
      <c r="W294" s="541"/>
      <c r="X294" s="543"/>
    </row>
    <row r="295" spans="1:24" s="544" customFormat="1" x14ac:dyDescent="0.3">
      <c r="A295" s="540"/>
      <c r="B295" s="539" t="s">
        <v>91</v>
      </c>
      <c r="C295" s="541"/>
      <c r="D295" s="541"/>
      <c r="E295" s="541"/>
      <c r="F295" s="547" t="s">
        <v>97</v>
      </c>
      <c r="G295" s="541"/>
      <c r="H295" s="539" t="s">
        <v>99</v>
      </c>
      <c r="I295" s="539"/>
      <c r="J295" s="539"/>
      <c r="K295" s="541"/>
      <c r="L295" s="541"/>
      <c r="M295" s="541"/>
      <c r="N295" s="541"/>
      <c r="O295" s="541"/>
      <c r="P295" s="541"/>
      <c r="Q295" s="541"/>
      <c r="R295" s="541"/>
      <c r="S295" s="541"/>
      <c r="T295" s="541"/>
      <c r="U295" s="541"/>
      <c r="V295" s="541"/>
      <c r="W295" s="541"/>
      <c r="X295" s="543"/>
    </row>
    <row r="296" spans="1:24" s="544" customFormat="1" x14ac:dyDescent="0.3">
      <c r="A296" s="540"/>
      <c r="B296" s="539" t="s">
        <v>339</v>
      </c>
      <c r="C296" s="539"/>
      <c r="D296" s="539"/>
      <c r="E296" s="539"/>
      <c r="F296" s="638" t="s">
        <v>278</v>
      </c>
      <c r="G296" s="539"/>
      <c r="H296" s="639" t="s">
        <v>372</v>
      </c>
      <c r="I296" s="541"/>
      <c r="J296" s="539"/>
      <c r="K296" s="541"/>
      <c r="L296" s="541"/>
      <c r="M296" s="541"/>
      <c r="N296" s="541"/>
      <c r="O296" s="541"/>
      <c r="P296" s="541"/>
      <c r="Q296" s="541"/>
      <c r="R296" s="541"/>
      <c r="S296" s="541"/>
      <c r="T296" s="541"/>
      <c r="U296" s="541"/>
      <c r="V296" s="541"/>
      <c r="W296" s="541"/>
      <c r="X296" s="543"/>
    </row>
    <row r="297" spans="1:24" s="544" customFormat="1" x14ac:dyDescent="0.3">
      <c r="A297" s="540"/>
      <c r="B297" s="539" t="s">
        <v>340</v>
      </c>
      <c r="C297" s="539"/>
      <c r="D297" s="539"/>
      <c r="E297" s="539"/>
      <c r="F297" s="638" t="s">
        <v>147</v>
      </c>
      <c r="G297" s="539"/>
      <c r="H297" s="639" t="s">
        <v>373</v>
      </c>
      <c r="I297" s="539"/>
      <c r="J297" s="539"/>
      <c r="K297" s="541"/>
      <c r="L297" s="541"/>
      <c r="M297" s="541"/>
      <c r="N297" s="541"/>
      <c r="O297" s="541"/>
      <c r="P297" s="541"/>
      <c r="Q297" s="541"/>
      <c r="R297" s="541"/>
      <c r="S297" s="541"/>
      <c r="T297" s="541"/>
      <c r="U297" s="541"/>
      <c r="V297" s="541"/>
      <c r="W297" s="541"/>
      <c r="X297" s="543"/>
    </row>
    <row r="298" spans="1:24" s="544" customFormat="1" x14ac:dyDescent="0.3">
      <c r="A298" s="540"/>
      <c r="B298" s="539"/>
      <c r="C298" s="539"/>
      <c r="D298" s="539"/>
      <c r="E298" s="539"/>
      <c r="F298" s="638"/>
      <c r="G298" s="539"/>
      <c r="H298" s="539"/>
      <c r="I298" s="539"/>
      <c r="J298" s="539"/>
      <c r="K298" s="541"/>
      <c r="L298" s="541"/>
      <c r="M298" s="541"/>
      <c r="N298" s="541"/>
      <c r="O298" s="541"/>
      <c r="P298" s="541"/>
      <c r="Q298" s="541"/>
      <c r="R298" s="541"/>
      <c r="S298" s="541"/>
      <c r="T298" s="541"/>
      <c r="U298" s="541"/>
      <c r="V298" s="541"/>
      <c r="W298" s="541"/>
      <c r="X298" s="543"/>
    </row>
    <row r="299" spans="1:24" s="544" customFormat="1" x14ac:dyDescent="0.3">
      <c r="A299" s="540"/>
      <c r="B299" s="588" t="s">
        <v>368</v>
      </c>
      <c r="C299" s="539"/>
      <c r="D299" s="539"/>
      <c r="E299" s="539"/>
      <c r="F299" s="638"/>
      <c r="G299" s="539"/>
      <c r="H299" s="539"/>
      <c r="I299" s="539"/>
      <c r="J299" s="539"/>
      <c r="K299" s="541"/>
      <c r="L299" s="541"/>
      <c r="M299" s="541"/>
      <c r="N299" s="541"/>
      <c r="O299" s="541"/>
      <c r="P299" s="541"/>
      <c r="Q299" s="541"/>
      <c r="R299" s="541"/>
      <c r="S299" s="541"/>
      <c r="T299" s="541"/>
      <c r="U299" s="541"/>
      <c r="V299" s="541"/>
      <c r="W299" s="541"/>
      <c r="X299" s="543"/>
    </row>
    <row r="300" spans="1:24" s="544" customFormat="1" x14ac:dyDescent="0.3">
      <c r="A300" s="540"/>
      <c r="B300" s="588" t="s">
        <v>374</v>
      </c>
      <c r="C300" s="539"/>
      <c r="D300" s="539"/>
      <c r="E300" s="539"/>
      <c r="F300" s="638"/>
      <c r="G300" s="539"/>
      <c r="H300" s="539"/>
      <c r="I300" s="539"/>
      <c r="J300" s="539"/>
      <c r="K300" s="541"/>
      <c r="L300" s="541"/>
      <c r="M300" s="541"/>
      <c r="N300" s="541"/>
      <c r="O300" s="541"/>
      <c r="P300" s="541"/>
      <c r="Q300" s="541"/>
      <c r="R300" s="541"/>
      <c r="S300" s="541"/>
      <c r="T300" s="541"/>
      <c r="U300" s="541"/>
      <c r="V300" s="541"/>
      <c r="W300" s="541"/>
      <c r="X300" s="543"/>
    </row>
    <row r="301" spans="1:24" s="544" customFormat="1" x14ac:dyDescent="0.3">
      <c r="A301" s="540"/>
      <c r="B301" s="588" t="s">
        <v>365</v>
      </c>
      <c r="C301" s="539"/>
      <c r="D301" s="539"/>
      <c r="E301" s="539"/>
      <c r="F301" s="638"/>
      <c r="G301" s="539"/>
      <c r="H301" s="539"/>
      <c r="I301" s="539"/>
      <c r="J301" s="539"/>
      <c r="K301" s="541"/>
      <c r="L301" s="541"/>
      <c r="M301" s="541"/>
      <c r="N301" s="541"/>
      <c r="O301" s="541"/>
      <c r="P301" s="541"/>
      <c r="Q301" s="541"/>
      <c r="R301" s="541"/>
      <c r="S301" s="541"/>
      <c r="T301" s="541"/>
      <c r="U301" s="541"/>
      <c r="V301" s="541"/>
      <c r="W301" s="541"/>
      <c r="X301" s="543"/>
    </row>
    <row r="302" spans="1:24" s="544" customFormat="1" x14ac:dyDescent="0.3">
      <c r="A302" s="540"/>
      <c r="B302" s="588" t="s">
        <v>366</v>
      </c>
      <c r="C302" s="539"/>
      <c r="D302" s="539"/>
      <c r="E302" s="539"/>
      <c r="F302" s="638"/>
      <c r="G302" s="539"/>
      <c r="H302" s="539"/>
      <c r="I302" s="539"/>
      <c r="J302" s="539"/>
      <c r="K302" s="541"/>
      <c r="L302" s="541"/>
      <c r="M302" s="541"/>
      <c r="N302" s="541"/>
      <c r="O302" s="541"/>
      <c r="P302" s="541"/>
      <c r="Q302" s="541"/>
      <c r="R302" s="541"/>
      <c r="S302" s="541"/>
      <c r="T302" s="541"/>
      <c r="U302" s="541"/>
      <c r="V302" s="541"/>
      <c r="W302" s="541"/>
      <c r="X302" s="543"/>
    </row>
    <row r="303" spans="1:24" x14ac:dyDescent="0.3">
      <c r="A303" s="417"/>
      <c r="B303" s="426"/>
      <c r="C303" s="426"/>
      <c r="D303" s="426"/>
      <c r="E303" s="426"/>
      <c r="F303" s="489"/>
      <c r="G303" s="426"/>
      <c r="H303" s="426"/>
      <c r="I303" s="426"/>
      <c r="J303" s="426"/>
      <c r="K303" s="427"/>
      <c r="L303" s="427"/>
      <c r="M303" s="427"/>
      <c r="N303" s="427"/>
      <c r="O303" s="427"/>
      <c r="P303" s="427"/>
      <c r="Q303" s="427"/>
      <c r="R303" s="427"/>
      <c r="S303" s="427"/>
      <c r="T303" s="427"/>
      <c r="U303" s="427"/>
      <c r="V303" s="427"/>
      <c r="W303" s="427"/>
      <c r="X303" s="415"/>
    </row>
    <row r="304" spans="1:24" ht="18" x14ac:dyDescent="0.35">
      <c r="A304" s="417"/>
      <c r="B304" s="514" t="s">
        <v>369</v>
      </c>
      <c r="C304" s="426"/>
      <c r="D304" s="426"/>
      <c r="E304" s="426"/>
      <c r="F304" s="426"/>
      <c r="G304" s="426"/>
      <c r="H304" s="427"/>
      <c r="I304" s="427"/>
      <c r="J304" s="427"/>
      <c r="K304" s="427"/>
      <c r="L304" s="419"/>
      <c r="M304" s="419"/>
      <c r="N304" s="490"/>
      <c r="O304" s="419"/>
      <c r="P304" s="412" t="s">
        <v>371</v>
      </c>
      <c r="Q304" s="427"/>
      <c r="R304" s="427"/>
      <c r="S304" s="427"/>
      <c r="T304" s="427"/>
      <c r="U304" s="427"/>
      <c r="V304" s="427"/>
      <c r="W304" s="427"/>
      <c r="X304" s="415"/>
    </row>
    <row r="305" spans="1:24" x14ac:dyDescent="0.3">
      <c r="A305" s="417"/>
      <c r="B305" s="426"/>
      <c r="C305" s="426"/>
      <c r="D305" s="426"/>
      <c r="E305" s="426"/>
      <c r="F305" s="426"/>
      <c r="G305" s="426"/>
      <c r="H305" s="427"/>
      <c r="I305" s="427"/>
      <c r="J305" s="427"/>
      <c r="K305" s="427"/>
      <c r="L305" s="427"/>
      <c r="M305" s="427"/>
      <c r="N305" s="427"/>
      <c r="O305" s="427"/>
      <c r="P305" s="427"/>
      <c r="Q305" s="427"/>
      <c r="R305" s="427"/>
      <c r="S305" s="427"/>
      <c r="T305" s="427"/>
      <c r="U305" s="427"/>
      <c r="V305" s="427"/>
      <c r="W305" s="427"/>
      <c r="X305" s="415"/>
    </row>
    <row r="306" spans="1:24" ht="18.600000000000001" thickBot="1" x14ac:dyDescent="0.4">
      <c r="A306" s="417"/>
      <c r="B306" s="640" t="str">
        <f>B206</f>
        <v>PM14 INVESTOR REPORT QUARTER ENDING AUGUST 2019</v>
      </c>
      <c r="C306" s="426"/>
      <c r="D306" s="426"/>
      <c r="E306" s="426"/>
      <c r="F306" s="426"/>
      <c r="G306" s="426"/>
      <c r="H306" s="427"/>
      <c r="I306" s="427"/>
      <c r="J306" s="427"/>
      <c r="K306" s="427"/>
      <c r="L306" s="427"/>
      <c r="M306" s="427"/>
      <c r="N306" s="427"/>
      <c r="O306" s="427"/>
      <c r="P306" s="427"/>
      <c r="Q306" s="427"/>
      <c r="R306" s="427"/>
      <c r="S306" s="427"/>
      <c r="T306" s="427"/>
      <c r="U306" s="427"/>
      <c r="V306" s="427"/>
      <c r="W306" s="427"/>
      <c r="X306" s="415"/>
    </row>
    <row r="307" spans="1:24" x14ac:dyDescent="0.3">
      <c r="A307" s="491"/>
      <c r="B307" s="491"/>
      <c r="C307" s="491"/>
      <c r="D307" s="491"/>
      <c r="E307" s="491"/>
      <c r="F307" s="491"/>
      <c r="G307" s="491"/>
      <c r="H307" s="491"/>
      <c r="I307" s="491"/>
      <c r="J307" s="491"/>
      <c r="K307" s="491"/>
      <c r="L307" s="491"/>
      <c r="M307" s="491"/>
      <c r="N307" s="491"/>
      <c r="O307" s="491"/>
      <c r="P307" s="491"/>
      <c r="Q307" s="491"/>
      <c r="R307" s="491"/>
      <c r="S307" s="491"/>
      <c r="T307" s="491"/>
      <c r="U307" s="491"/>
      <c r="V307" s="491"/>
      <c r="W307" s="491"/>
    </row>
  </sheetData>
  <hyperlinks>
    <hyperlink ref="I9" r:id="rId1" xr:uid="{89BB922F-4D4A-4646-A2BA-CCC044BE7FC3}"/>
    <hyperlink ref="P242" r:id="rId2" xr:uid="{D46F4139-BA21-4685-96F0-31231837DCFE}"/>
    <hyperlink ref="P304" r:id="rId3" xr:uid="{9D16EED6-584F-4595-87A7-A5895237A76E}"/>
  </hyperlinks>
  <printOptions horizontalCentered="1" verticalCentered="1"/>
  <pageMargins left="0.19685039370078741" right="0.19685039370078741" top="0.27559055118110237" bottom="0.27559055118110237" header="0" footer="0"/>
  <pageSetup scale="37" orientation="landscape" r:id="rId4"/>
  <headerFooter alignWithMargins="0"/>
  <rowBreaks count="3" manualBreakCount="3">
    <brk id="63" max="23" man="1"/>
    <brk id="140" max="14" man="1"/>
    <brk id="206" max="14"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sheetPr>
  <dimension ref="A1:IV289"/>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2"/>
      <c r="B1" s="3" t="s">
        <v>244</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245</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137</v>
      </c>
      <c r="C5" s="8"/>
      <c r="D5" s="8"/>
      <c r="E5" s="8"/>
      <c r="F5" s="8"/>
      <c r="G5" s="8"/>
      <c r="H5" s="8"/>
      <c r="I5" s="8"/>
      <c r="J5" s="8"/>
      <c r="K5" s="8"/>
      <c r="L5" s="8"/>
      <c r="M5" s="8"/>
      <c r="N5" s="8"/>
      <c r="O5" s="8"/>
      <c r="P5" s="8"/>
      <c r="Q5" s="8"/>
      <c r="R5" s="8"/>
      <c r="S5" s="8"/>
      <c r="T5" s="8"/>
      <c r="U5" s="8"/>
      <c r="V5" s="8"/>
      <c r="W5" s="8"/>
      <c r="X5" s="5"/>
    </row>
    <row r="6" spans="1:24" ht="15.6" x14ac:dyDescent="0.3">
      <c r="A6" s="6"/>
      <c r="B6" s="11" t="s">
        <v>139</v>
      </c>
      <c r="C6" s="8"/>
      <c r="D6" s="8"/>
      <c r="E6" s="8"/>
      <c r="F6" s="8"/>
      <c r="G6" s="8"/>
      <c r="H6" s="8"/>
      <c r="I6" s="8"/>
      <c r="J6" s="8"/>
      <c r="K6" s="8"/>
      <c r="L6" s="8"/>
      <c r="M6" s="8"/>
      <c r="N6" s="8"/>
      <c r="O6" s="8"/>
      <c r="P6" s="8"/>
      <c r="Q6" s="8"/>
      <c r="R6" s="8"/>
      <c r="S6" s="8"/>
      <c r="T6" s="8"/>
      <c r="U6" s="8"/>
      <c r="V6" s="8"/>
      <c r="W6" s="8"/>
      <c r="X6" s="5"/>
    </row>
    <row r="7" spans="1:24" ht="15.6" x14ac:dyDescent="0.3">
      <c r="A7" s="6"/>
      <c r="B7" s="11" t="s">
        <v>138</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5" t="s">
        <v>166</v>
      </c>
      <c r="C9" s="8"/>
      <c r="D9" s="8"/>
      <c r="E9" s="8"/>
      <c r="F9" s="8"/>
      <c r="G9" s="8"/>
      <c r="H9" s="8"/>
      <c r="I9" s="146" t="s">
        <v>167</v>
      </c>
      <c r="J9" s="8"/>
      <c r="K9" s="8"/>
      <c r="L9" s="146"/>
      <c r="M9" s="8"/>
      <c r="N9" s="146"/>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246</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104</v>
      </c>
      <c r="S15" s="135">
        <v>0.38300000000000001</v>
      </c>
      <c r="T15" s="17" t="s">
        <v>140</v>
      </c>
      <c r="U15" s="135">
        <v>0.61699999999999999</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104</v>
      </c>
      <c r="S16" s="135">
        <v>0.42070000000000002</v>
      </c>
      <c r="T16" s="17" t="s">
        <v>140</v>
      </c>
      <c r="U16" s="135">
        <v>0.57930000000000004</v>
      </c>
      <c r="V16" s="16"/>
      <c r="W16" s="15"/>
      <c r="X16" s="5"/>
    </row>
    <row r="17" spans="1:24" ht="15.6" x14ac:dyDescent="0.3">
      <c r="A17" s="6"/>
      <c r="B17" s="14" t="s">
        <v>4</v>
      </c>
      <c r="C17" s="15"/>
      <c r="D17" s="15"/>
      <c r="E17" s="15"/>
      <c r="F17" s="15"/>
      <c r="G17" s="15"/>
      <c r="H17" s="15"/>
      <c r="I17" s="15"/>
      <c r="J17" s="15"/>
      <c r="K17" s="15"/>
      <c r="L17" s="15"/>
      <c r="M17" s="15"/>
      <c r="N17" s="15"/>
      <c r="O17" s="15"/>
      <c r="P17" s="15"/>
      <c r="Q17" s="15"/>
      <c r="R17" s="15"/>
      <c r="S17" s="15"/>
      <c r="T17" s="15"/>
      <c r="U17" s="15"/>
      <c r="V17" s="19">
        <v>39163</v>
      </c>
      <c r="W17" s="15"/>
      <c r="X17" s="5"/>
    </row>
    <row r="18" spans="1:24" ht="15.6" x14ac:dyDescent="0.3">
      <c r="A18" s="6"/>
      <c r="B18" s="14" t="s">
        <v>5</v>
      </c>
      <c r="C18" s="15"/>
      <c r="D18" s="15"/>
      <c r="E18" s="15"/>
      <c r="F18" s="15"/>
      <c r="G18" s="15"/>
      <c r="H18" s="15"/>
      <c r="I18" s="15"/>
      <c r="J18" s="15"/>
      <c r="K18" s="15"/>
      <c r="L18" s="15"/>
      <c r="M18" s="15"/>
      <c r="N18" s="15"/>
      <c r="O18" s="15"/>
      <c r="P18" s="15"/>
      <c r="Q18" s="15"/>
      <c r="R18" s="15"/>
      <c r="S18" s="15"/>
      <c r="T18" s="15"/>
      <c r="U18" s="15"/>
      <c r="V18" s="19">
        <v>39714</v>
      </c>
      <c r="W18" s="15"/>
      <c r="X18" s="5"/>
    </row>
    <row r="19" spans="1:24"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4" ht="15.6" x14ac:dyDescent="0.3">
      <c r="A20" s="6"/>
      <c r="B20" s="21" t="s">
        <v>6</v>
      </c>
      <c r="C20" s="8"/>
      <c r="D20" s="8"/>
      <c r="E20" s="8"/>
      <c r="F20" s="8"/>
      <c r="G20" s="8"/>
      <c r="H20" s="8"/>
      <c r="I20" s="8"/>
      <c r="J20" s="8"/>
      <c r="K20" s="8"/>
      <c r="L20" s="8"/>
      <c r="M20" s="8"/>
      <c r="N20" s="8"/>
      <c r="O20" s="8"/>
      <c r="P20" s="8"/>
      <c r="Q20" s="8"/>
      <c r="R20" s="8"/>
      <c r="S20" s="8"/>
      <c r="T20" s="20" t="s">
        <v>105</v>
      </c>
      <c r="U20" s="8"/>
      <c r="V20" s="173"/>
      <c r="W20" s="8"/>
      <c r="X20" s="5"/>
    </row>
    <row r="21" spans="1:24"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4" ht="15.6" x14ac:dyDescent="0.3">
      <c r="A22" s="6"/>
      <c r="B22" s="8"/>
      <c r="C22" s="112"/>
      <c r="D22" s="112" t="s">
        <v>177</v>
      </c>
      <c r="E22" s="112"/>
      <c r="F22" s="112" t="s">
        <v>178</v>
      </c>
      <c r="G22" s="112"/>
      <c r="H22" s="112" t="s">
        <v>179</v>
      </c>
      <c r="I22" s="112"/>
      <c r="J22" s="112" t="s">
        <v>220</v>
      </c>
      <c r="K22" s="112"/>
      <c r="L22" s="112" t="s">
        <v>180</v>
      </c>
      <c r="M22" s="112"/>
      <c r="N22" s="112" t="s">
        <v>181</v>
      </c>
      <c r="O22" s="112"/>
      <c r="P22" s="112" t="s">
        <v>221</v>
      </c>
      <c r="Q22" s="112"/>
      <c r="R22" s="112" t="s">
        <v>182</v>
      </c>
      <c r="S22" s="113"/>
      <c r="T22" s="23"/>
      <c r="U22" s="173"/>
      <c r="V22" s="173"/>
      <c r="W22" s="8"/>
      <c r="X22" s="5"/>
    </row>
    <row r="23" spans="1:24" ht="15.6" x14ac:dyDescent="0.3">
      <c r="A23" s="24"/>
      <c r="B23" s="25" t="s">
        <v>7</v>
      </c>
      <c r="C23" s="26"/>
      <c r="D23" s="26" t="s">
        <v>213</v>
      </c>
      <c r="E23" s="26"/>
      <c r="F23" s="26" t="s">
        <v>141</v>
      </c>
      <c r="G23" s="26"/>
      <c r="H23" s="26" t="s">
        <v>141</v>
      </c>
      <c r="I23" s="26"/>
      <c r="J23" s="26" t="s">
        <v>141</v>
      </c>
      <c r="K23" s="26"/>
      <c r="L23" s="26" t="s">
        <v>183</v>
      </c>
      <c r="M23" s="26"/>
      <c r="N23" s="26" t="s">
        <v>183</v>
      </c>
      <c r="O23" s="26"/>
      <c r="P23" s="26" t="s">
        <v>142</v>
      </c>
      <c r="Q23" s="26"/>
      <c r="R23" s="26" t="s">
        <v>142</v>
      </c>
      <c r="S23" s="26"/>
      <c r="T23" s="26"/>
      <c r="U23" s="174"/>
      <c r="V23" s="174"/>
      <c r="W23" s="25"/>
      <c r="X23" s="5"/>
    </row>
    <row r="24" spans="1:24" ht="15.6" x14ac:dyDescent="0.3">
      <c r="A24" s="24"/>
      <c r="B24" s="25" t="s">
        <v>8</v>
      </c>
      <c r="C24" s="26"/>
      <c r="D24" s="26" t="s">
        <v>214</v>
      </c>
      <c r="E24" s="26"/>
      <c r="F24" s="26" t="s">
        <v>143</v>
      </c>
      <c r="G24" s="26"/>
      <c r="H24" s="26" t="s">
        <v>143</v>
      </c>
      <c r="I24" s="26"/>
      <c r="J24" s="26" t="s">
        <v>143</v>
      </c>
      <c r="K24" s="26"/>
      <c r="L24" s="26" t="s">
        <v>165</v>
      </c>
      <c r="M24" s="26"/>
      <c r="N24" s="26" t="s">
        <v>165</v>
      </c>
      <c r="O24" s="26"/>
      <c r="P24" s="26" t="s">
        <v>144</v>
      </c>
      <c r="Q24" s="26"/>
      <c r="R24" s="26" t="s">
        <v>144</v>
      </c>
      <c r="S24" s="26"/>
      <c r="T24" s="26"/>
      <c r="U24" s="174"/>
      <c r="V24" s="174"/>
      <c r="W24" s="25"/>
      <c r="X24" s="5"/>
    </row>
    <row r="25" spans="1:24" ht="15.6" x14ac:dyDescent="0.3">
      <c r="A25" s="28"/>
      <c r="B25" s="131" t="s">
        <v>190</v>
      </c>
      <c r="C25" s="123"/>
      <c r="D25" s="26" t="s">
        <v>215</v>
      </c>
      <c r="E25" s="26"/>
      <c r="F25" s="26" t="s">
        <v>143</v>
      </c>
      <c r="G25" s="26"/>
      <c r="H25" s="26" t="s">
        <v>143</v>
      </c>
      <c r="I25" s="26"/>
      <c r="J25" s="26" t="s">
        <v>143</v>
      </c>
      <c r="K25" s="26"/>
      <c r="L25" s="26" t="s">
        <v>293</v>
      </c>
      <c r="M25" s="26"/>
      <c r="N25" s="26" t="s">
        <v>293</v>
      </c>
      <c r="O25" s="26"/>
      <c r="P25" s="26" t="s">
        <v>144</v>
      </c>
      <c r="Q25" s="26"/>
      <c r="R25" s="26" t="s">
        <v>144</v>
      </c>
      <c r="S25" s="123"/>
      <c r="T25" s="26"/>
      <c r="U25" s="174"/>
      <c r="V25" s="174"/>
      <c r="W25" s="25"/>
      <c r="X25" s="5"/>
    </row>
    <row r="26" spans="1:24" ht="15.6" x14ac:dyDescent="0.3">
      <c r="A26" s="28"/>
      <c r="B26" s="29" t="s">
        <v>9</v>
      </c>
      <c r="C26" s="123"/>
      <c r="D26" s="123" t="s">
        <v>213</v>
      </c>
      <c r="E26" s="123"/>
      <c r="F26" s="123" t="s">
        <v>141</v>
      </c>
      <c r="G26" s="123"/>
      <c r="H26" s="123" t="s">
        <v>141</v>
      </c>
      <c r="I26" s="123"/>
      <c r="J26" s="123" t="s">
        <v>141</v>
      </c>
      <c r="K26" s="123"/>
      <c r="L26" s="123" t="s">
        <v>183</v>
      </c>
      <c r="M26" s="123"/>
      <c r="N26" s="123" t="s">
        <v>183</v>
      </c>
      <c r="O26" s="123"/>
      <c r="P26" s="123" t="s">
        <v>142</v>
      </c>
      <c r="Q26" s="123"/>
      <c r="R26" s="123" t="s">
        <v>142</v>
      </c>
      <c r="S26" s="123"/>
      <c r="T26" s="26"/>
      <c r="U26" s="174"/>
      <c r="V26" s="174"/>
      <c r="W26" s="25"/>
      <c r="X26" s="5"/>
    </row>
    <row r="27" spans="1:24" ht="15.6" x14ac:dyDescent="0.3">
      <c r="A27" s="24"/>
      <c r="B27" s="29" t="s">
        <v>191</v>
      </c>
      <c r="C27" s="26"/>
      <c r="D27" s="123" t="s">
        <v>214</v>
      </c>
      <c r="E27" s="123"/>
      <c r="F27" s="123" t="s">
        <v>143</v>
      </c>
      <c r="G27" s="123"/>
      <c r="H27" s="123" t="s">
        <v>143</v>
      </c>
      <c r="I27" s="123"/>
      <c r="J27" s="123" t="s">
        <v>143</v>
      </c>
      <c r="K27" s="123"/>
      <c r="L27" s="123" t="s">
        <v>165</v>
      </c>
      <c r="M27" s="123"/>
      <c r="N27" s="123" t="s">
        <v>165</v>
      </c>
      <c r="O27" s="123"/>
      <c r="P27" s="123" t="s">
        <v>144</v>
      </c>
      <c r="Q27" s="123"/>
      <c r="R27" s="123" t="s">
        <v>144</v>
      </c>
      <c r="S27" s="26"/>
      <c r="T27" s="30"/>
      <c r="U27" s="174"/>
      <c r="V27" s="174"/>
      <c r="W27" s="25"/>
      <c r="X27" s="5"/>
    </row>
    <row r="28" spans="1:24" ht="15.6" x14ac:dyDescent="0.3">
      <c r="A28" s="24"/>
      <c r="B28" s="151" t="s">
        <v>192</v>
      </c>
      <c r="C28" s="26"/>
      <c r="D28" s="123" t="s">
        <v>215</v>
      </c>
      <c r="E28" s="123"/>
      <c r="F28" s="123" t="s">
        <v>143</v>
      </c>
      <c r="G28" s="123"/>
      <c r="H28" s="123" t="s">
        <v>143</v>
      </c>
      <c r="I28" s="123"/>
      <c r="J28" s="123" t="s">
        <v>143</v>
      </c>
      <c r="K28" s="123"/>
      <c r="L28" s="123" t="s">
        <v>293</v>
      </c>
      <c r="M28" s="123"/>
      <c r="N28" s="123" t="s">
        <v>293</v>
      </c>
      <c r="O28" s="123"/>
      <c r="P28" s="123" t="s">
        <v>144</v>
      </c>
      <c r="Q28" s="123"/>
      <c r="R28" s="123" t="s">
        <v>144</v>
      </c>
      <c r="S28" s="26"/>
      <c r="T28" s="30"/>
      <c r="U28" s="174"/>
      <c r="V28" s="174"/>
      <c r="W28" s="25"/>
      <c r="X28" s="5"/>
    </row>
    <row r="29" spans="1:24" ht="15.6" x14ac:dyDescent="0.3">
      <c r="A29" s="24"/>
      <c r="B29" s="25" t="s">
        <v>10</v>
      </c>
      <c r="C29" s="32"/>
      <c r="D29" s="26" t="s">
        <v>249</v>
      </c>
      <c r="E29" s="26"/>
      <c r="F29" s="30" t="s">
        <v>250</v>
      </c>
      <c r="G29" s="26"/>
      <c r="H29" s="26" t="s">
        <v>251</v>
      </c>
      <c r="I29" s="26"/>
      <c r="J29" s="26" t="s">
        <v>253</v>
      </c>
      <c r="K29" s="26"/>
      <c r="L29" s="26" t="s">
        <v>254</v>
      </c>
      <c r="M29" s="26"/>
      <c r="N29" s="26" t="s">
        <v>255</v>
      </c>
      <c r="O29" s="26"/>
      <c r="P29" s="26" t="s">
        <v>256</v>
      </c>
      <c r="Q29" s="26"/>
      <c r="R29" s="26" t="s">
        <v>257</v>
      </c>
      <c r="S29" s="31"/>
      <c r="T29" s="31"/>
      <c r="U29" s="175"/>
      <c r="V29" s="31"/>
      <c r="W29" s="34"/>
      <c r="X29" s="5"/>
    </row>
    <row r="30" spans="1:24" ht="15.6" x14ac:dyDescent="0.3">
      <c r="A30" s="24"/>
      <c r="B30" s="25" t="s">
        <v>10</v>
      </c>
      <c r="C30" s="32"/>
      <c r="D30" s="26" t="s">
        <v>248</v>
      </c>
      <c r="E30" s="26"/>
      <c r="F30" s="30" t="s">
        <v>118</v>
      </c>
      <c r="G30" s="26"/>
      <c r="H30" s="26" t="s">
        <v>118</v>
      </c>
      <c r="I30" s="26"/>
      <c r="J30" s="26" t="s">
        <v>252</v>
      </c>
      <c r="K30" s="26"/>
      <c r="L30" s="26" t="s">
        <v>118</v>
      </c>
      <c r="M30" s="26"/>
      <c r="N30" s="26" t="s">
        <v>118</v>
      </c>
      <c r="O30" s="26"/>
      <c r="P30" s="26" t="s">
        <v>118</v>
      </c>
      <c r="Q30" s="26"/>
      <c r="R30" s="26" t="s">
        <v>118</v>
      </c>
      <c r="S30" s="31"/>
      <c r="T30" s="31"/>
      <c r="U30" s="175"/>
      <c r="V30" s="31"/>
      <c r="W30" s="34"/>
      <c r="X30" s="5"/>
    </row>
    <row r="31" spans="1:24" ht="15.6" x14ac:dyDescent="0.3">
      <c r="A31" s="28"/>
      <c r="B31" s="25" t="s">
        <v>133</v>
      </c>
      <c r="C31" s="36"/>
      <c r="D31" s="144">
        <v>1500000</v>
      </c>
      <c r="E31" s="32"/>
      <c r="F31" s="31">
        <v>125000</v>
      </c>
      <c r="G31" s="31"/>
      <c r="H31" s="124">
        <v>246000</v>
      </c>
      <c r="I31" s="124"/>
      <c r="J31" s="144">
        <v>400000</v>
      </c>
      <c r="K31" s="31"/>
      <c r="L31" s="31">
        <v>51900</v>
      </c>
      <c r="M31" s="31"/>
      <c r="N31" s="124">
        <v>88800</v>
      </c>
      <c r="O31" s="31"/>
      <c r="P31" s="31">
        <v>20000</v>
      </c>
      <c r="Q31" s="31"/>
      <c r="R31" s="124">
        <v>135500</v>
      </c>
      <c r="S31" s="35"/>
      <c r="T31" s="35"/>
      <c r="U31" s="37"/>
      <c r="V31" s="35"/>
      <c r="W31" s="34"/>
      <c r="X31" s="5"/>
    </row>
    <row r="32" spans="1:24" ht="15.6" x14ac:dyDescent="0.3">
      <c r="A32" s="24"/>
      <c r="B32" s="25" t="s">
        <v>132</v>
      </c>
      <c r="C32" s="32"/>
      <c r="D32" s="144">
        <f>D31*D38</f>
        <v>1321147.8</v>
      </c>
      <c r="E32" s="32"/>
      <c r="F32" s="31">
        <f>F31*F38</f>
        <v>110095.675</v>
      </c>
      <c r="G32" s="31"/>
      <c r="H32" s="124">
        <f>H31*H38</f>
        <v>216668.28840000002</v>
      </c>
      <c r="I32" s="124"/>
      <c r="J32" s="144">
        <f>J31*J38</f>
        <v>352306.08</v>
      </c>
      <c r="K32" s="31"/>
      <c r="L32" s="31">
        <f>+L31</f>
        <v>51900</v>
      </c>
      <c r="M32" s="31"/>
      <c r="N32" s="124">
        <f>+N31</f>
        <v>88800</v>
      </c>
      <c r="O32" s="31"/>
      <c r="P32" s="31">
        <f>+P31</f>
        <v>20000</v>
      </c>
      <c r="Q32" s="31"/>
      <c r="R32" s="124">
        <f>+R31</f>
        <v>135500</v>
      </c>
      <c r="S32" s="31"/>
      <c r="T32" s="31"/>
      <c r="U32" s="175"/>
      <c r="V32" s="31"/>
      <c r="W32" s="34"/>
      <c r="X32" s="5"/>
    </row>
    <row r="33" spans="1:24" ht="15.6" x14ac:dyDescent="0.3">
      <c r="A33" s="24"/>
      <c r="B33" s="29" t="s">
        <v>134</v>
      </c>
      <c r="C33" s="32"/>
      <c r="D33" s="149">
        <f>D37*D31</f>
        <v>1289544.45</v>
      </c>
      <c r="E33" s="36"/>
      <c r="F33" s="35">
        <f>F37*F31</f>
        <v>107462.075</v>
      </c>
      <c r="G33" s="35"/>
      <c r="H33" s="125">
        <f>H31*H37</f>
        <v>211485.36360000001</v>
      </c>
      <c r="I33" s="125"/>
      <c r="J33" s="149">
        <f>J37*J31</f>
        <v>343878.51999999996</v>
      </c>
      <c r="K33" s="35"/>
      <c r="L33" s="35">
        <f>L31*L37</f>
        <v>51900</v>
      </c>
      <c r="M33" s="35"/>
      <c r="N33" s="125">
        <f>N31*N37</f>
        <v>88800</v>
      </c>
      <c r="O33" s="35"/>
      <c r="P33" s="35">
        <f>P31*P37</f>
        <v>20000</v>
      </c>
      <c r="Q33" s="35"/>
      <c r="R33" s="125">
        <f>R31*R37</f>
        <v>135500</v>
      </c>
      <c r="S33" s="31"/>
      <c r="T33" s="31"/>
      <c r="U33" s="175"/>
      <c r="V33" s="31"/>
      <c r="W33" s="34"/>
      <c r="X33" s="5"/>
    </row>
    <row r="34" spans="1:24" ht="15.6" x14ac:dyDescent="0.3">
      <c r="A34" s="28"/>
      <c r="B34" s="25" t="s">
        <v>296</v>
      </c>
      <c r="C34" s="36"/>
      <c r="D34" s="31">
        <v>775194</v>
      </c>
      <c r="E34" s="32"/>
      <c r="F34" s="31">
        <v>125000</v>
      </c>
      <c r="G34" s="31"/>
      <c r="H34" s="31">
        <v>168148</v>
      </c>
      <c r="I34" s="31"/>
      <c r="J34" s="31">
        <v>206718</v>
      </c>
      <c r="K34" s="31"/>
      <c r="L34" s="31">
        <v>51900</v>
      </c>
      <c r="M34" s="31"/>
      <c r="N34" s="31">
        <v>60697</v>
      </c>
      <c r="O34" s="31"/>
      <c r="P34" s="31">
        <v>20000</v>
      </c>
      <c r="Q34" s="31"/>
      <c r="R34" s="31">
        <v>92618</v>
      </c>
      <c r="S34" s="35"/>
      <c r="T34" s="35"/>
      <c r="U34" s="37"/>
      <c r="V34" s="152">
        <f>SUM(C34:R34)</f>
        <v>1500275</v>
      </c>
      <c r="W34" s="34"/>
      <c r="X34" s="5"/>
    </row>
    <row r="35" spans="1:24" ht="15.6" x14ac:dyDescent="0.3">
      <c r="A35" s="28"/>
      <c r="B35" s="25" t="s">
        <v>297</v>
      </c>
      <c r="C35" s="126"/>
      <c r="D35" s="31">
        <f>D34*D38</f>
        <v>682763.89844879997</v>
      </c>
      <c r="E35" s="32"/>
      <c r="F35" s="31">
        <f>F34*F38</f>
        <v>110095.675</v>
      </c>
      <c r="G35" s="31"/>
      <c r="H35" s="31">
        <f>H34*H38</f>
        <v>148098.94047920001</v>
      </c>
      <c r="I35" s="31"/>
      <c r="J35" s="31">
        <f>J34*J38</f>
        <v>182070.02061360001</v>
      </c>
      <c r="K35" s="31"/>
      <c r="L35" s="31">
        <f>+L34</f>
        <v>51900</v>
      </c>
      <c r="M35" s="31"/>
      <c r="N35" s="31">
        <f>+N34</f>
        <v>60697</v>
      </c>
      <c r="O35" s="31"/>
      <c r="P35" s="31">
        <f>+P34</f>
        <v>20000</v>
      </c>
      <c r="Q35" s="31"/>
      <c r="R35" s="31">
        <f>+R34</f>
        <v>92618</v>
      </c>
      <c r="S35" s="31"/>
      <c r="T35" s="31"/>
      <c r="U35" s="175"/>
      <c r="V35" s="152">
        <f>SUM(C35:R35)-1</f>
        <v>1348242.5345415999</v>
      </c>
      <c r="W35" s="34"/>
      <c r="X35" s="5"/>
    </row>
    <row r="36" spans="1:24" ht="15.6" x14ac:dyDescent="0.3">
      <c r="A36" s="28"/>
      <c r="B36" s="29" t="s">
        <v>298</v>
      </c>
      <c r="C36" s="126"/>
      <c r="D36" s="35">
        <f>D34*D37</f>
        <v>666431.41358219995</v>
      </c>
      <c r="E36" s="36"/>
      <c r="F36" s="35">
        <f>F34*F37</f>
        <v>107462.075</v>
      </c>
      <c r="G36" s="35"/>
      <c r="H36" s="35">
        <f>H34*H37</f>
        <v>144556.2638968</v>
      </c>
      <c r="I36" s="35"/>
      <c r="J36" s="35">
        <f>J34*J37</f>
        <v>177714.69974340001</v>
      </c>
      <c r="K36" s="35"/>
      <c r="L36" s="35">
        <f>L34*L37</f>
        <v>51900</v>
      </c>
      <c r="M36" s="35"/>
      <c r="N36" s="35">
        <f>N34*N37</f>
        <v>60697</v>
      </c>
      <c r="O36" s="35"/>
      <c r="P36" s="35">
        <f>P34*P37</f>
        <v>20000</v>
      </c>
      <c r="Q36" s="35"/>
      <c r="R36" s="35">
        <f>R34*R37</f>
        <v>92618</v>
      </c>
      <c r="S36" s="128"/>
      <c r="T36" s="128"/>
      <c r="U36" s="175"/>
      <c r="V36" s="153">
        <f>SUM(C36:R36)</f>
        <v>1321379.4522223999</v>
      </c>
      <c r="W36" s="34"/>
      <c r="X36" s="5"/>
    </row>
    <row r="37" spans="1:24" ht="15.6" x14ac:dyDescent="0.3">
      <c r="A37" s="24"/>
      <c r="B37" s="122" t="s">
        <v>130</v>
      </c>
      <c r="C37" s="25"/>
      <c r="D37" s="171">
        <v>0.85969629999999997</v>
      </c>
      <c r="E37" s="171"/>
      <c r="F37" s="171">
        <v>0.85969660000000003</v>
      </c>
      <c r="G37" s="171"/>
      <c r="H37" s="171">
        <v>0.85969660000000003</v>
      </c>
      <c r="I37" s="171"/>
      <c r="J37" s="171">
        <v>0.85969629999999997</v>
      </c>
      <c r="K37" s="171"/>
      <c r="L37" s="171">
        <v>1</v>
      </c>
      <c r="M37" s="171"/>
      <c r="N37" s="171">
        <v>1</v>
      </c>
      <c r="O37" s="171"/>
      <c r="P37" s="171">
        <v>1</v>
      </c>
      <c r="Q37" s="171"/>
      <c r="R37" s="171">
        <v>1</v>
      </c>
      <c r="S37" s="30"/>
      <c r="T37" s="30"/>
      <c r="U37" s="174"/>
      <c r="V37" s="174"/>
      <c r="W37" s="25"/>
      <c r="X37" s="5"/>
    </row>
    <row r="38" spans="1:24" ht="15.6" x14ac:dyDescent="0.3">
      <c r="A38" s="24"/>
      <c r="B38" s="122" t="s">
        <v>131</v>
      </c>
      <c r="C38" s="25"/>
      <c r="D38" s="171">
        <v>0.88076520000000003</v>
      </c>
      <c r="E38" s="171"/>
      <c r="F38" s="171">
        <v>0.88076540000000003</v>
      </c>
      <c r="G38" s="171"/>
      <c r="H38" s="171">
        <v>0.88076540000000003</v>
      </c>
      <c r="I38" s="171"/>
      <c r="J38" s="171">
        <v>0.88076520000000003</v>
      </c>
      <c r="K38" s="171"/>
      <c r="L38" s="171">
        <v>1</v>
      </c>
      <c r="M38" s="171"/>
      <c r="N38" s="171">
        <v>1</v>
      </c>
      <c r="O38" s="171"/>
      <c r="P38" s="171">
        <v>1</v>
      </c>
      <c r="Q38" s="171"/>
      <c r="R38" s="171">
        <v>1</v>
      </c>
      <c r="S38" s="39"/>
      <c r="T38" s="38"/>
      <c r="U38" s="174"/>
      <c r="V38" s="39"/>
      <c r="W38" s="25"/>
      <c r="X38" s="5"/>
    </row>
    <row r="39" spans="1:24" ht="15.6" x14ac:dyDescent="0.3">
      <c r="A39" s="24"/>
      <c r="B39" s="25" t="s">
        <v>11</v>
      </c>
      <c r="C39" s="25"/>
      <c r="D39" s="30" t="s">
        <v>285</v>
      </c>
      <c r="E39" s="25"/>
      <c r="F39" s="30" t="s">
        <v>258</v>
      </c>
      <c r="G39" s="30"/>
      <c r="H39" s="30" t="s">
        <v>258</v>
      </c>
      <c r="I39" s="30"/>
      <c r="J39" s="30" t="s">
        <v>258</v>
      </c>
      <c r="K39" s="30"/>
      <c r="L39" s="30" t="s">
        <v>232</v>
      </c>
      <c r="M39" s="30"/>
      <c r="N39" s="30" t="s">
        <v>232</v>
      </c>
      <c r="O39" s="30"/>
      <c r="P39" s="30" t="s">
        <v>233</v>
      </c>
      <c r="Q39" s="30"/>
      <c r="R39" s="30" t="s">
        <v>233</v>
      </c>
      <c r="S39" s="39"/>
      <c r="T39" s="38"/>
      <c r="U39" s="174"/>
      <c r="V39" s="174"/>
      <c r="W39" s="25"/>
      <c r="X39" s="5"/>
    </row>
    <row r="40" spans="1:24" ht="15.6" x14ac:dyDescent="0.3">
      <c r="A40" s="24"/>
      <c r="B40" s="25" t="s">
        <v>12</v>
      </c>
      <c r="C40" s="25"/>
      <c r="D40" s="38">
        <v>2.5668799999999999E-2</v>
      </c>
      <c r="E40" s="25"/>
      <c r="F40" s="38">
        <v>6.055E-2</v>
      </c>
      <c r="G40" s="39"/>
      <c r="H40" s="38">
        <v>5.058E-2</v>
      </c>
      <c r="I40" s="38"/>
      <c r="J40" s="38">
        <v>2.87625E-2</v>
      </c>
      <c r="K40" s="39"/>
      <c r="L40" s="38">
        <v>6.1350000000000002E-2</v>
      </c>
      <c r="M40" s="39"/>
      <c r="N40" s="38">
        <v>5.1380000000000002E-2</v>
      </c>
      <c r="O40" s="39"/>
      <c r="P40" s="38">
        <v>6.3350000000000004E-2</v>
      </c>
      <c r="Q40" s="39"/>
      <c r="R40" s="38">
        <v>5.3379999999999997E-2</v>
      </c>
      <c r="S40" s="39"/>
      <c r="T40" s="38"/>
      <c r="U40" s="174"/>
      <c r="V40" s="30"/>
      <c r="W40" s="25"/>
      <c r="X40" s="5"/>
    </row>
    <row r="41" spans="1:24" ht="15.6" x14ac:dyDescent="0.3">
      <c r="A41" s="24"/>
      <c r="B41" s="25" t="s">
        <v>13</v>
      </c>
      <c r="C41" s="25"/>
      <c r="D41" s="38">
        <v>2.6143799999999998E-2</v>
      </c>
      <c r="E41" s="25"/>
      <c r="F41" s="38">
        <v>6.0587500000000002E-2</v>
      </c>
      <c r="G41" s="39"/>
      <c r="H41" s="38">
        <v>4.7059999999999998E-2</v>
      </c>
      <c r="I41" s="38"/>
      <c r="J41" s="38">
        <v>2.9000000000000001E-2</v>
      </c>
      <c r="K41" s="39"/>
      <c r="L41" s="38">
        <v>6.1387499999999998E-2</v>
      </c>
      <c r="M41" s="39"/>
      <c r="N41" s="38">
        <v>4.786E-2</v>
      </c>
      <c r="O41" s="39"/>
      <c r="P41" s="38">
        <v>6.3387499999999999E-2</v>
      </c>
      <c r="Q41" s="39"/>
      <c r="R41" s="38">
        <v>4.9860000000000002E-2</v>
      </c>
      <c r="S41" s="39"/>
      <c r="T41" s="38"/>
      <c r="U41" s="174"/>
      <c r="V41" s="39" t="s">
        <v>193</v>
      </c>
      <c r="W41" s="25"/>
      <c r="X41" s="5"/>
    </row>
    <row r="42" spans="1:24" ht="15.6" x14ac:dyDescent="0.3">
      <c r="A42" s="24"/>
      <c r="B42" s="25" t="s">
        <v>299</v>
      </c>
      <c r="C42" s="25"/>
      <c r="D42" s="30" t="s">
        <v>286</v>
      </c>
      <c r="E42" s="25"/>
      <c r="F42" s="30" t="s">
        <v>258</v>
      </c>
      <c r="G42" s="30"/>
      <c r="H42" s="30" t="s">
        <v>259</v>
      </c>
      <c r="I42" s="30"/>
      <c r="J42" s="30" t="s">
        <v>260</v>
      </c>
      <c r="K42" s="30"/>
      <c r="L42" s="30" t="s">
        <v>232</v>
      </c>
      <c r="M42" s="30"/>
      <c r="N42" s="30" t="s">
        <v>235</v>
      </c>
      <c r="O42" s="30"/>
      <c r="P42" s="30" t="s">
        <v>233</v>
      </c>
      <c r="Q42" s="30"/>
      <c r="R42" s="30" t="s">
        <v>261</v>
      </c>
      <c r="S42" s="39"/>
      <c r="T42" s="38"/>
      <c r="U42" s="174"/>
      <c r="V42" s="174"/>
      <c r="W42" s="25"/>
      <c r="X42" s="5"/>
    </row>
    <row r="43" spans="1:24" ht="15.6" x14ac:dyDescent="0.3">
      <c r="A43" s="24"/>
      <c r="B43" s="25" t="s">
        <v>300</v>
      </c>
      <c r="C43" s="110"/>
      <c r="D43" s="38">
        <v>6.0888999999999999E-2</v>
      </c>
      <c r="E43" s="38"/>
      <c r="F43" s="38">
        <f>+F40</f>
        <v>6.055E-2</v>
      </c>
      <c r="G43" s="38"/>
      <c r="H43" s="38">
        <v>6.0690000000000001E-2</v>
      </c>
      <c r="I43" s="38"/>
      <c r="J43" s="38">
        <v>6.0913000000000002E-2</v>
      </c>
      <c r="K43" s="38"/>
      <c r="L43" s="38">
        <f>+L40</f>
        <v>6.1350000000000002E-2</v>
      </c>
      <c r="M43" s="38"/>
      <c r="N43" s="38">
        <v>6.1645999999999999E-2</v>
      </c>
      <c r="O43" s="38"/>
      <c r="P43" s="38">
        <f>+P40</f>
        <v>6.3350000000000004E-2</v>
      </c>
      <c r="Q43" s="39"/>
      <c r="R43" s="38">
        <v>6.3882999999999995E-2</v>
      </c>
      <c r="S43" s="30"/>
      <c r="T43" s="30"/>
      <c r="U43" s="174"/>
      <c r="V43" s="39">
        <f>SUMPRODUCT(D43:R43,D35:R35)/V35</f>
        <v>6.1136750874903181E-2</v>
      </c>
      <c r="W43" s="25"/>
      <c r="X43" s="5"/>
    </row>
    <row r="44" spans="1:24" ht="15.6" x14ac:dyDescent="0.3">
      <c r="A44" s="24"/>
      <c r="B44" s="25" t="s">
        <v>301</v>
      </c>
      <c r="C44" s="110"/>
      <c r="D44" s="38">
        <v>6.0926500000000001E-2</v>
      </c>
      <c r="E44" s="38"/>
      <c r="F44" s="38">
        <f>+F41</f>
        <v>6.0587500000000002E-2</v>
      </c>
      <c r="G44" s="38"/>
      <c r="H44" s="38">
        <v>6.0727499999999997E-2</v>
      </c>
      <c r="I44" s="38"/>
      <c r="J44" s="38">
        <v>6.0950499999999998E-2</v>
      </c>
      <c r="K44" s="38"/>
      <c r="L44" s="38">
        <f>+L41</f>
        <v>6.1387499999999998E-2</v>
      </c>
      <c r="M44" s="38"/>
      <c r="N44" s="38">
        <v>6.1683500000000002E-2</v>
      </c>
      <c r="O44" s="38"/>
      <c r="P44" s="38">
        <f>+P41</f>
        <v>6.3387499999999999E-2</v>
      </c>
      <c r="Q44" s="39"/>
      <c r="R44" s="38">
        <v>6.3920500000000005E-2</v>
      </c>
      <c r="S44" s="30"/>
      <c r="T44" s="30"/>
      <c r="U44" s="174"/>
      <c r="V44" s="174"/>
      <c r="W44" s="25"/>
      <c r="X44" s="5"/>
    </row>
    <row r="45" spans="1:24" ht="15.6" x14ac:dyDescent="0.3">
      <c r="A45" s="24"/>
      <c r="B45" s="25" t="s">
        <v>14</v>
      </c>
      <c r="C45" s="25"/>
      <c r="D45" s="110">
        <v>40617</v>
      </c>
      <c r="E45" s="110"/>
      <c r="F45" s="110">
        <v>40617</v>
      </c>
      <c r="G45" s="110"/>
      <c r="H45" s="110">
        <v>40617</v>
      </c>
      <c r="I45" s="110"/>
      <c r="J45" s="110">
        <v>40617</v>
      </c>
      <c r="K45" s="110"/>
      <c r="L45" s="110">
        <v>40617</v>
      </c>
      <c r="M45" s="110"/>
      <c r="N45" s="110">
        <v>40617</v>
      </c>
      <c r="O45" s="110"/>
      <c r="P45" s="110">
        <v>40617</v>
      </c>
      <c r="Q45" s="110"/>
      <c r="R45" s="110">
        <v>40617</v>
      </c>
      <c r="S45" s="30"/>
      <c r="T45" s="30"/>
      <c r="U45" s="174"/>
      <c r="V45" s="174"/>
      <c r="W45" s="25"/>
      <c r="X45" s="5"/>
    </row>
    <row r="46" spans="1:24" ht="15.6" x14ac:dyDescent="0.3">
      <c r="A46" s="24"/>
      <c r="B46" s="25" t="s">
        <v>15</v>
      </c>
      <c r="C46" s="25"/>
      <c r="D46" s="110" t="s">
        <v>118</v>
      </c>
      <c r="E46" s="110"/>
      <c r="F46" s="110">
        <v>40983</v>
      </c>
      <c r="G46" s="110"/>
      <c r="H46" s="110">
        <v>40983</v>
      </c>
      <c r="I46" s="110"/>
      <c r="J46" s="110">
        <v>40983</v>
      </c>
      <c r="K46" s="30"/>
      <c r="L46" s="110">
        <v>40983</v>
      </c>
      <c r="M46" s="30"/>
      <c r="N46" s="110">
        <v>40983</v>
      </c>
      <c r="O46" s="30"/>
      <c r="P46" s="110">
        <v>40983</v>
      </c>
      <c r="Q46" s="30"/>
      <c r="R46" s="110">
        <v>40983</v>
      </c>
      <c r="S46" s="30"/>
      <c r="T46" s="30"/>
      <c r="U46" s="174"/>
      <c r="V46" s="174"/>
      <c r="W46" s="25"/>
      <c r="X46" s="5"/>
    </row>
    <row r="47" spans="1:24" ht="15.6" x14ac:dyDescent="0.3">
      <c r="A47" s="24"/>
      <c r="B47" s="25" t="s">
        <v>119</v>
      </c>
      <c r="C47" s="25"/>
      <c r="D47" s="158" t="s">
        <v>118</v>
      </c>
      <c r="E47" s="25"/>
      <c r="F47" s="30" t="s">
        <v>231</v>
      </c>
      <c r="G47" s="30"/>
      <c r="H47" s="30" t="s">
        <v>231</v>
      </c>
      <c r="I47" s="30"/>
      <c r="J47" s="30" t="s">
        <v>231</v>
      </c>
      <c r="K47" s="30"/>
      <c r="L47" s="30" t="s">
        <v>265</v>
      </c>
      <c r="M47" s="30"/>
      <c r="N47" s="30" t="s">
        <v>265</v>
      </c>
      <c r="O47" s="30"/>
      <c r="P47" s="30" t="s">
        <v>266</v>
      </c>
      <c r="Q47" s="30"/>
      <c r="R47" s="30" t="s">
        <v>266</v>
      </c>
      <c r="S47" s="40"/>
      <c r="T47" s="40"/>
      <c r="U47" s="40"/>
      <c r="V47" s="40"/>
      <c r="W47" s="25"/>
      <c r="X47" s="5"/>
    </row>
    <row r="48" spans="1:24" ht="15.6" x14ac:dyDescent="0.3">
      <c r="A48" s="24"/>
      <c r="B48" s="25" t="s">
        <v>302</v>
      </c>
      <c r="C48" s="25"/>
      <c r="D48" s="30" t="s">
        <v>200</v>
      </c>
      <c r="E48" s="25"/>
      <c r="F48" s="30" t="s">
        <v>231</v>
      </c>
      <c r="G48" s="30"/>
      <c r="H48" s="30" t="s">
        <v>262</v>
      </c>
      <c r="I48" s="30"/>
      <c r="J48" s="30" t="s">
        <v>263</v>
      </c>
      <c r="K48" s="30"/>
      <c r="L48" s="30" t="s">
        <v>265</v>
      </c>
      <c r="M48" s="30"/>
      <c r="N48" s="30" t="s">
        <v>234</v>
      </c>
      <c r="O48" s="30"/>
      <c r="P48" s="30" t="s">
        <v>266</v>
      </c>
      <c r="Q48" s="30"/>
      <c r="R48" s="30" t="s">
        <v>264</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193</v>
      </c>
      <c r="W49" s="25"/>
      <c r="X49" s="5"/>
    </row>
    <row r="50" spans="1:25" ht="15.6" x14ac:dyDescent="0.3">
      <c r="A50" s="24"/>
      <c r="B50" s="25" t="s">
        <v>169</v>
      </c>
      <c r="C50" s="25"/>
      <c r="D50" s="30"/>
      <c r="E50" s="25"/>
      <c r="F50" s="30"/>
      <c r="G50" s="30"/>
      <c r="H50" s="30"/>
      <c r="I50" s="30"/>
      <c r="J50" s="30"/>
      <c r="K50" s="30"/>
      <c r="L50" s="30"/>
      <c r="M50" s="30"/>
      <c r="N50" s="30"/>
      <c r="O50" s="30"/>
      <c r="P50" s="30"/>
      <c r="Q50" s="30"/>
      <c r="R50" s="30"/>
      <c r="S50" s="25"/>
      <c r="T50" s="25"/>
      <c r="U50" s="25"/>
      <c r="V50" s="39">
        <f>SUM(L34:R34)/SUM(D34:J34)</f>
        <v>0.17663090364375009</v>
      </c>
      <c r="W50" s="25"/>
      <c r="X50" s="5"/>
    </row>
    <row r="51" spans="1:25" ht="15.6" x14ac:dyDescent="0.3">
      <c r="A51" s="24"/>
      <c r="B51" s="25" t="s">
        <v>170</v>
      </c>
      <c r="C51" s="25"/>
      <c r="D51" s="25"/>
      <c r="E51" s="25"/>
      <c r="F51" s="41"/>
      <c r="G51" s="25"/>
      <c r="H51" s="25"/>
      <c r="I51" s="25"/>
      <c r="J51" s="25"/>
      <c r="K51" s="25"/>
      <c r="L51" s="25"/>
      <c r="M51" s="25"/>
      <c r="N51" s="25"/>
      <c r="O51" s="25"/>
      <c r="P51" s="25"/>
      <c r="Q51" s="25"/>
      <c r="R51" s="25"/>
      <c r="S51" s="25"/>
      <c r="T51" s="25"/>
      <c r="U51" s="25"/>
      <c r="V51" s="39">
        <f>SUM(L36:R36)/SUM(D36:J36)</f>
        <v>0.20545731029992051</v>
      </c>
      <c r="W51" s="25"/>
      <c r="X51" s="5"/>
    </row>
    <row r="52" spans="1:25" ht="15.6" x14ac:dyDescent="0.3">
      <c r="A52" s="24"/>
      <c r="B52" s="25" t="s">
        <v>171</v>
      </c>
      <c r="C52" s="25"/>
      <c r="D52" s="25"/>
      <c r="E52" s="25"/>
      <c r="F52" s="25"/>
      <c r="G52" s="25"/>
      <c r="H52" s="25"/>
      <c r="I52" s="25"/>
      <c r="J52" s="25"/>
      <c r="K52" s="25"/>
      <c r="L52" s="25"/>
      <c r="M52" s="25"/>
      <c r="N52" s="25"/>
      <c r="O52" s="25"/>
      <c r="P52" s="25"/>
      <c r="Q52" s="25"/>
      <c r="R52" s="25"/>
      <c r="S52" s="25"/>
      <c r="T52" s="30"/>
      <c r="U52" s="30"/>
      <c r="V52" s="31" t="s">
        <v>276</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202</v>
      </c>
      <c r="C54" s="25"/>
      <c r="D54" s="25"/>
      <c r="E54" s="25"/>
      <c r="F54" s="25"/>
      <c r="G54" s="25"/>
      <c r="H54" s="25"/>
      <c r="I54" s="25"/>
      <c r="J54" s="25"/>
      <c r="K54" s="25"/>
      <c r="L54" s="25"/>
      <c r="M54" s="25"/>
      <c r="N54" s="25"/>
      <c r="O54" s="25"/>
      <c r="P54" s="25"/>
      <c r="Q54" s="25"/>
      <c r="R54" s="25"/>
      <c r="S54" s="25"/>
      <c r="T54" s="25"/>
      <c r="U54" s="25"/>
      <c r="V54" s="154" t="s">
        <v>203</v>
      </c>
      <c r="W54" s="25"/>
      <c r="X54" s="5"/>
    </row>
    <row r="55" spans="1:25" ht="15.6" x14ac:dyDescent="0.3">
      <c r="A55" s="24"/>
      <c r="B55" s="25" t="s">
        <v>280</v>
      </c>
      <c r="C55" s="25"/>
      <c r="D55" s="25"/>
      <c r="E55" s="25"/>
      <c r="F55" s="25"/>
      <c r="G55" s="25"/>
      <c r="H55" s="25"/>
      <c r="I55" s="25"/>
      <c r="J55" s="25"/>
      <c r="K55" s="25"/>
      <c r="L55" s="25"/>
      <c r="M55" s="25"/>
      <c r="N55" s="25"/>
      <c r="O55" s="25"/>
      <c r="P55" s="25"/>
      <c r="Q55" s="25"/>
      <c r="R55" s="25"/>
      <c r="S55" s="25"/>
      <c r="T55" s="30"/>
      <c r="U55" s="30"/>
      <c r="V55" s="155" t="s">
        <v>111</v>
      </c>
      <c r="W55" s="25"/>
      <c r="X55" s="5"/>
    </row>
    <row r="56" spans="1:25" ht="15.6" x14ac:dyDescent="0.3">
      <c r="A56" s="24"/>
      <c r="B56" s="29" t="s">
        <v>201</v>
      </c>
      <c r="C56" s="29"/>
      <c r="D56" s="29"/>
      <c r="E56" s="29"/>
      <c r="F56" s="29"/>
      <c r="G56" s="29"/>
      <c r="H56" s="29"/>
      <c r="I56" s="29"/>
      <c r="J56" s="29"/>
      <c r="K56" s="29"/>
      <c r="L56" s="29"/>
      <c r="M56" s="29"/>
      <c r="N56" s="29"/>
      <c r="O56" s="29"/>
      <c r="P56" s="29"/>
      <c r="Q56" s="29"/>
      <c r="R56" s="29"/>
      <c r="S56" s="29"/>
      <c r="T56" s="43"/>
      <c r="U56" s="43"/>
      <c r="V56" s="44">
        <v>39706</v>
      </c>
      <c r="W56" s="25"/>
      <c r="X56" s="5"/>
    </row>
    <row r="57" spans="1:25" ht="15.6" x14ac:dyDescent="0.3">
      <c r="A57" s="24"/>
      <c r="B57" s="25" t="s">
        <v>121</v>
      </c>
      <c r="C57" s="25"/>
      <c r="D57" s="25"/>
      <c r="E57" s="25"/>
      <c r="F57" s="25"/>
      <c r="G57" s="25"/>
      <c r="H57" s="58"/>
      <c r="I57" s="58"/>
      <c r="J57" s="58"/>
      <c r="K57" s="58"/>
      <c r="L57" s="58"/>
      <c r="M57" s="58"/>
      <c r="N57" s="58"/>
      <c r="O57" s="58"/>
      <c r="P57" s="58"/>
      <c r="Q57" s="58"/>
      <c r="R57" s="25">
        <f>+V57-T57+1</f>
        <v>91</v>
      </c>
      <c r="S57" s="58"/>
      <c r="T57" s="45">
        <v>39524</v>
      </c>
      <c r="U57" s="46"/>
      <c r="V57" s="45">
        <v>39614</v>
      </c>
      <c r="W57" s="25"/>
      <c r="X57" s="5"/>
    </row>
    <row r="58" spans="1:25" ht="15.6" x14ac:dyDescent="0.3">
      <c r="A58" s="24"/>
      <c r="B58" s="25" t="s">
        <v>122</v>
      </c>
      <c r="C58" s="25"/>
      <c r="D58" s="25"/>
      <c r="E58" s="25"/>
      <c r="F58" s="25"/>
      <c r="G58" s="25"/>
      <c r="H58" s="25"/>
      <c r="I58" s="25"/>
      <c r="J58" s="25"/>
      <c r="K58" s="25"/>
      <c r="L58" s="25"/>
      <c r="M58" s="25"/>
      <c r="N58" s="25"/>
      <c r="O58" s="25"/>
      <c r="P58" s="25"/>
      <c r="Q58" s="25"/>
      <c r="R58" s="25">
        <f>+V58-T58+1</f>
        <v>91</v>
      </c>
      <c r="S58" s="25"/>
      <c r="T58" s="45">
        <v>39615</v>
      </c>
      <c r="U58" s="46"/>
      <c r="V58" s="45">
        <v>39705</v>
      </c>
      <c r="W58" s="25"/>
      <c r="X58" s="5"/>
    </row>
    <row r="59" spans="1:25" ht="15.6" x14ac:dyDescent="0.3">
      <c r="A59" s="24"/>
      <c r="B59" s="25" t="s">
        <v>229</v>
      </c>
      <c r="C59" s="25"/>
      <c r="D59" s="25"/>
      <c r="E59" s="25"/>
      <c r="F59" s="25"/>
      <c r="G59" s="25"/>
      <c r="H59" s="25"/>
      <c r="I59" s="25"/>
      <c r="J59" s="25"/>
      <c r="K59" s="25"/>
      <c r="L59" s="25"/>
      <c r="M59" s="25"/>
      <c r="N59" s="25"/>
      <c r="O59" s="25"/>
      <c r="P59" s="25"/>
      <c r="Q59" s="25"/>
      <c r="R59" s="25"/>
      <c r="S59" s="25"/>
      <c r="T59" s="45"/>
      <c r="U59" s="46"/>
      <c r="V59" s="45" t="s">
        <v>120</v>
      </c>
      <c r="W59" s="25"/>
      <c r="X59" s="5"/>
    </row>
    <row r="60" spans="1:25" ht="15.6" x14ac:dyDescent="0.3">
      <c r="A60" s="24"/>
      <c r="B60" s="25" t="s">
        <v>228</v>
      </c>
      <c r="C60" s="25"/>
      <c r="D60" s="25"/>
      <c r="E60" s="25"/>
      <c r="F60" s="25"/>
      <c r="G60" s="25"/>
      <c r="H60" s="25"/>
      <c r="I60" s="25"/>
      <c r="J60" s="25"/>
      <c r="K60" s="25"/>
      <c r="L60" s="25"/>
      <c r="M60" s="25"/>
      <c r="N60" s="25"/>
      <c r="O60" s="25"/>
      <c r="P60" s="25"/>
      <c r="Q60" s="25"/>
      <c r="R60" s="25"/>
      <c r="S60" s="25"/>
      <c r="T60" s="45"/>
      <c r="U60" s="46"/>
      <c r="V60" s="45" t="s">
        <v>154</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39692</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288</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94</v>
      </c>
      <c r="M68" s="115"/>
      <c r="N68" s="115" t="s">
        <v>96</v>
      </c>
      <c r="O68" s="115"/>
      <c r="P68" s="115" t="s">
        <v>98</v>
      </c>
      <c r="Q68" s="115"/>
      <c r="R68" s="115" t="s">
        <v>100</v>
      </c>
      <c r="S68" s="115"/>
      <c r="T68" s="115" t="s">
        <v>106</v>
      </c>
      <c r="U68" s="115"/>
      <c r="V68" s="116" t="s">
        <v>112</v>
      </c>
      <c r="W68" s="117"/>
      <c r="X68" s="5"/>
    </row>
    <row r="69" spans="1:24" ht="15.6" x14ac:dyDescent="0.3">
      <c r="A69" s="24"/>
      <c r="B69" s="25" t="s">
        <v>19</v>
      </c>
      <c r="C69" s="34"/>
      <c r="D69" s="34"/>
      <c r="E69" s="34"/>
      <c r="F69" s="34"/>
      <c r="G69" s="34"/>
      <c r="H69" s="34"/>
      <c r="I69" s="34"/>
      <c r="J69" s="34"/>
      <c r="K69" s="34"/>
      <c r="L69" s="34">
        <v>1158015</v>
      </c>
      <c r="M69" s="34"/>
      <c r="N69" s="53">
        <v>1348243</v>
      </c>
      <c r="O69" s="34"/>
      <c r="P69" s="34">
        <f>26864+1311+591</f>
        <v>28766</v>
      </c>
      <c r="Q69" s="34"/>
      <c r="R69" s="34">
        <f>1311+591</f>
        <v>1902</v>
      </c>
      <c r="S69" s="34"/>
      <c r="T69" s="34">
        <v>0</v>
      </c>
      <c r="U69" s="34"/>
      <c r="V69" s="53">
        <f>+N69-P69+R69-T69</f>
        <v>1321379</v>
      </c>
      <c r="W69" s="25"/>
      <c r="X69" s="5"/>
    </row>
    <row r="70" spans="1:24" ht="15.6" x14ac:dyDescent="0.3">
      <c r="A70" s="24"/>
      <c r="B70" s="25" t="s">
        <v>20</v>
      </c>
      <c r="C70" s="34"/>
      <c r="D70" s="34"/>
      <c r="E70" s="34"/>
      <c r="F70" s="34"/>
      <c r="G70" s="34"/>
      <c r="H70" s="34"/>
      <c r="I70" s="34"/>
      <c r="J70" s="34"/>
      <c r="K70" s="34"/>
      <c r="L70" s="34">
        <v>15</v>
      </c>
      <c r="M70" s="34"/>
      <c r="N70" s="53">
        <v>0</v>
      </c>
      <c r="O70" s="34"/>
      <c r="P70" s="34">
        <v>0</v>
      </c>
      <c r="Q70" s="34"/>
      <c r="R70" s="34">
        <v>0</v>
      </c>
      <c r="S70" s="34"/>
      <c r="T70" s="34">
        <v>0</v>
      </c>
      <c r="U70" s="34"/>
      <c r="V70" s="53">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1158030</v>
      </c>
      <c r="M72" s="34"/>
      <c r="N72" s="54">
        <f>N69+N70</f>
        <v>1348243</v>
      </c>
      <c r="O72" s="34"/>
      <c r="P72" s="34">
        <f>SUM(P69:P71)</f>
        <v>28766</v>
      </c>
      <c r="Q72" s="34"/>
      <c r="R72" s="34">
        <f>SUM(R69:R71)</f>
        <v>1902</v>
      </c>
      <c r="S72" s="34"/>
      <c r="T72" s="34">
        <f>SUM(T69:T71)</f>
        <v>0</v>
      </c>
      <c r="U72" s="34"/>
      <c r="V72" s="54">
        <f>SUM(V69:V71)</f>
        <v>1321379</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117</v>
      </c>
      <c r="C82" s="34"/>
      <c r="D82" s="34"/>
      <c r="E82" s="34"/>
      <c r="F82" s="34"/>
      <c r="G82" s="34"/>
      <c r="H82" s="34"/>
      <c r="I82" s="34"/>
      <c r="J82" s="34"/>
      <c r="K82" s="34"/>
      <c r="L82" s="34">
        <v>342245</v>
      </c>
      <c r="M82" s="34"/>
      <c r="N82" s="34">
        <v>0</v>
      </c>
      <c r="O82" s="34"/>
      <c r="P82" s="34">
        <v>0</v>
      </c>
      <c r="Q82" s="34"/>
      <c r="R82" s="34"/>
      <c r="S82" s="34"/>
      <c r="T82" s="34"/>
      <c r="U82" s="34"/>
      <c r="V82" s="54">
        <f>SUM(N82:R82)</f>
        <v>0</v>
      </c>
      <c r="W82" s="25"/>
      <c r="X82" s="5"/>
    </row>
    <row r="83" spans="1:24" ht="15.6" x14ac:dyDescent="0.3">
      <c r="A83" s="24"/>
      <c r="B83" s="25" t="s">
        <v>146</v>
      </c>
      <c r="C83" s="34"/>
      <c r="D83" s="34"/>
      <c r="E83" s="34"/>
      <c r="F83" s="34"/>
      <c r="G83" s="34"/>
      <c r="H83" s="34"/>
      <c r="I83" s="34"/>
      <c r="J83" s="34"/>
      <c r="K83" s="34"/>
      <c r="L83" s="34">
        <v>0</v>
      </c>
      <c r="M83" s="34"/>
      <c r="N83" s="34">
        <v>0</v>
      </c>
      <c r="O83" s="34"/>
      <c r="P83" s="34">
        <v>0</v>
      </c>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1500275</v>
      </c>
      <c r="M85" s="34"/>
      <c r="N85" s="54">
        <f>SUM(N72:N84)</f>
        <v>1348243</v>
      </c>
      <c r="O85" s="34"/>
      <c r="P85" s="34"/>
      <c r="Q85" s="34"/>
      <c r="R85" s="34"/>
      <c r="S85" s="34"/>
      <c r="T85" s="54"/>
      <c r="U85" s="34"/>
      <c r="V85" s="54">
        <f>SUM(V72:V84)</f>
        <v>1321379</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7" t="s">
        <v>95</v>
      </c>
      <c r="M88" s="17"/>
      <c r="N88" s="156">
        <f>+T205</f>
        <v>39691</v>
      </c>
      <c r="O88" s="17"/>
      <c r="P88" s="17"/>
      <c r="Q88" s="17"/>
      <c r="R88" s="17"/>
      <c r="S88" s="17"/>
      <c r="T88" s="17" t="s">
        <v>107</v>
      </c>
      <c r="U88" s="17"/>
      <c r="V88" s="17" t="s">
        <v>113</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f>28766-26</f>
        <v>28740</v>
      </c>
      <c r="U90" s="25"/>
      <c r="V90" s="53"/>
      <c r="W90" s="25"/>
      <c r="X90" s="5"/>
    </row>
    <row r="91" spans="1:24" ht="15.6" x14ac:dyDescent="0.3">
      <c r="A91" s="24"/>
      <c r="B91" s="25" t="s">
        <v>216</v>
      </c>
      <c r="C91" s="25"/>
      <c r="D91" s="25"/>
      <c r="E91" s="25"/>
      <c r="F91" s="25"/>
      <c r="G91" s="25"/>
      <c r="H91" s="40"/>
      <c r="I91" s="40"/>
      <c r="J91" s="40"/>
      <c r="K91" s="57"/>
      <c r="L91" s="40"/>
      <c r="M91" s="25"/>
      <c r="N91" s="127"/>
      <c r="O91" s="25"/>
      <c r="P91" s="25"/>
      <c r="Q91" s="25"/>
      <c r="R91" s="25"/>
      <c r="S91" s="25"/>
      <c r="T91" s="34"/>
      <c r="U91" s="25"/>
      <c r="V91" s="53">
        <f>7755+11788-354-1342+15+22</f>
        <v>17884</v>
      </c>
      <c r="W91" s="25"/>
      <c r="X91" s="5"/>
    </row>
    <row r="92" spans="1:24" ht="15.6" x14ac:dyDescent="0.3">
      <c r="A92" s="24"/>
      <c r="B92" s="25" t="s">
        <v>211</v>
      </c>
      <c r="C92" s="25"/>
      <c r="D92" s="25"/>
      <c r="E92" s="25"/>
      <c r="F92" s="25"/>
      <c r="G92" s="25"/>
      <c r="H92" s="40"/>
      <c r="I92" s="40"/>
      <c r="J92" s="40"/>
      <c r="K92" s="57"/>
      <c r="L92" s="40"/>
      <c r="M92" s="25"/>
      <c r="N92" s="127"/>
      <c r="O92" s="25"/>
      <c r="P92" s="25"/>
      <c r="Q92" s="25"/>
      <c r="R92" s="25"/>
      <c r="S92" s="25"/>
      <c r="T92" s="34"/>
      <c r="U92" s="25"/>
      <c r="V92" s="53">
        <f>150+160</f>
        <v>310</v>
      </c>
      <c r="W92" s="25"/>
      <c r="X92" s="5"/>
    </row>
    <row r="93" spans="1:24" ht="15.6" x14ac:dyDescent="0.3">
      <c r="A93" s="24"/>
      <c r="B93" s="25" t="s">
        <v>212</v>
      </c>
      <c r="C93" s="25"/>
      <c r="D93" s="25"/>
      <c r="E93" s="25"/>
      <c r="F93" s="25"/>
      <c r="G93" s="25"/>
      <c r="H93" s="40"/>
      <c r="I93" s="40"/>
      <c r="J93" s="40"/>
      <c r="K93" s="57"/>
      <c r="L93" s="40"/>
      <c r="M93" s="25"/>
      <c r="N93" s="127"/>
      <c r="O93" s="25"/>
      <c r="P93" s="25"/>
      <c r="Q93" s="25"/>
      <c r="R93" s="25"/>
      <c r="S93" s="25"/>
      <c r="T93" s="34"/>
      <c r="U93" s="25"/>
      <c r="V93" s="53">
        <v>920</v>
      </c>
      <c r="W93" s="25"/>
      <c r="X93" s="5"/>
    </row>
    <row r="94" spans="1:24" ht="15.6" x14ac:dyDescent="0.3">
      <c r="A94" s="24"/>
      <c r="B94" s="25" t="s">
        <v>272</v>
      </c>
      <c r="C94" s="25"/>
      <c r="D94" s="25"/>
      <c r="E94" s="25"/>
      <c r="F94" s="25"/>
      <c r="G94" s="25"/>
      <c r="H94" s="40"/>
      <c r="I94" s="40"/>
      <c r="J94" s="40"/>
      <c r="K94" s="57"/>
      <c r="L94" s="40"/>
      <c r="M94" s="25"/>
      <c r="N94" s="127"/>
      <c r="O94" s="25"/>
      <c r="P94" s="25"/>
      <c r="Q94" s="25"/>
      <c r="R94" s="25"/>
      <c r="S94" s="25"/>
      <c r="T94" s="34"/>
      <c r="U94" s="25"/>
      <c r="V94" s="53">
        <f>2+570</f>
        <v>572</v>
      </c>
      <c r="W94" s="25"/>
      <c r="X94" s="5"/>
    </row>
    <row r="95" spans="1:24" ht="15.6" x14ac:dyDescent="0.3">
      <c r="A95" s="24"/>
      <c r="B95" s="25" t="s">
        <v>274</v>
      </c>
      <c r="C95" s="25"/>
      <c r="D95" s="25"/>
      <c r="E95" s="25"/>
      <c r="F95" s="25"/>
      <c r="G95" s="25"/>
      <c r="H95" s="40"/>
      <c r="I95" s="40"/>
      <c r="J95" s="40"/>
      <c r="K95" s="57"/>
      <c r="L95" s="40"/>
      <c r="M95" s="25"/>
      <c r="N95" s="127"/>
      <c r="O95" s="25"/>
      <c r="P95" s="25"/>
      <c r="Q95" s="25"/>
      <c r="R95" s="25"/>
      <c r="S95" s="25"/>
      <c r="T95" s="34"/>
      <c r="U95" s="25"/>
      <c r="V95" s="53">
        <v>513</v>
      </c>
      <c r="W95" s="25"/>
      <c r="X95" s="5"/>
    </row>
    <row r="96" spans="1:24" ht="15.6" x14ac:dyDescent="0.3">
      <c r="A96" s="24"/>
      <c r="B96" s="25" t="s">
        <v>135</v>
      </c>
      <c r="C96" s="25"/>
      <c r="D96" s="25"/>
      <c r="E96" s="25"/>
      <c r="F96" s="25"/>
      <c r="G96" s="25"/>
      <c r="H96" s="25"/>
      <c r="I96" s="25"/>
      <c r="J96" s="25"/>
      <c r="K96" s="25"/>
      <c r="L96" s="25"/>
      <c r="M96" s="25"/>
      <c r="N96" s="25"/>
      <c r="O96" s="25"/>
      <c r="P96" s="25"/>
      <c r="Q96" s="25"/>
      <c r="R96" s="25"/>
      <c r="S96" s="25"/>
      <c r="T96" s="34"/>
      <c r="U96" s="25"/>
      <c r="V96" s="53">
        <v>0</v>
      </c>
      <c r="W96" s="25"/>
      <c r="X96" s="5"/>
    </row>
    <row r="97" spans="1:25" ht="15.6" x14ac:dyDescent="0.3">
      <c r="A97" s="24"/>
      <c r="B97" s="25" t="s">
        <v>268</v>
      </c>
      <c r="C97" s="25"/>
      <c r="D97" s="25"/>
      <c r="E97" s="25"/>
      <c r="F97" s="25"/>
      <c r="G97" s="25"/>
      <c r="H97" s="25"/>
      <c r="I97" s="25"/>
      <c r="J97" s="25"/>
      <c r="K97" s="25"/>
      <c r="L97" s="25"/>
      <c r="M97" s="25"/>
      <c r="N97" s="25"/>
      <c r="O97" s="25"/>
      <c r="P97" s="25"/>
      <c r="Q97" s="25"/>
      <c r="R97" s="25"/>
      <c r="S97" s="25"/>
      <c r="T97" s="34"/>
      <c r="U97" s="25"/>
      <c r="V97" s="53">
        <v>4891</v>
      </c>
      <c r="W97" s="25"/>
      <c r="X97" s="5"/>
    </row>
    <row r="98" spans="1:25" ht="15.6" x14ac:dyDescent="0.3">
      <c r="A98" s="24"/>
      <c r="B98" s="25" t="s">
        <v>30</v>
      </c>
      <c r="C98" s="25"/>
      <c r="D98" s="25"/>
      <c r="E98" s="25"/>
      <c r="F98" s="25"/>
      <c r="G98" s="25"/>
      <c r="H98" s="25"/>
      <c r="I98" s="25"/>
      <c r="J98" s="25"/>
      <c r="K98" s="25"/>
      <c r="L98" s="25"/>
      <c r="M98" s="25"/>
      <c r="N98" s="25"/>
      <c r="O98" s="25"/>
      <c r="P98" s="25"/>
      <c r="Q98" s="25"/>
      <c r="R98" s="25"/>
      <c r="S98" s="25"/>
      <c r="T98" s="34">
        <f>SUM(T89:T97)</f>
        <v>28740</v>
      </c>
      <c r="U98" s="25"/>
      <c r="V98" s="54">
        <f>SUM(V89:V97)</f>
        <v>25090</v>
      </c>
      <c r="W98" s="25"/>
      <c r="X98" s="5"/>
    </row>
    <row r="99" spans="1:25" ht="15.6" x14ac:dyDescent="0.3">
      <c r="A99" s="24"/>
      <c r="B99" s="25" t="s">
        <v>161</v>
      </c>
      <c r="C99" s="25"/>
      <c r="D99" s="25"/>
      <c r="E99" s="25"/>
      <c r="F99" s="25"/>
      <c r="G99" s="25"/>
      <c r="H99" s="25"/>
      <c r="I99" s="25"/>
      <c r="J99" s="25"/>
      <c r="K99" s="25"/>
      <c r="L99" s="25"/>
      <c r="M99" s="25"/>
      <c r="N99" s="25"/>
      <c r="O99" s="25"/>
      <c r="P99" s="25"/>
      <c r="Q99" s="25"/>
      <c r="R99" s="25"/>
      <c r="S99" s="25"/>
      <c r="T99" s="34">
        <f>-V99</f>
        <v>-199</v>
      </c>
      <c r="U99" s="25"/>
      <c r="V99" s="54">
        <v>199</v>
      </c>
      <c r="W99" s="25"/>
      <c r="X99" s="5"/>
    </row>
    <row r="100" spans="1:25" ht="15.6" x14ac:dyDescent="0.3">
      <c r="A100" s="24"/>
      <c r="B100" s="25" t="s">
        <v>31</v>
      </c>
      <c r="C100" s="25"/>
      <c r="D100" s="25"/>
      <c r="E100" s="25"/>
      <c r="F100" s="25"/>
      <c r="G100" s="25"/>
      <c r="H100" s="25"/>
      <c r="I100" s="25"/>
      <c r="J100" s="25"/>
      <c r="K100" s="25"/>
      <c r="L100" s="25"/>
      <c r="M100" s="25"/>
      <c r="N100" s="25"/>
      <c r="O100" s="25"/>
      <c r="P100" s="25"/>
      <c r="Q100" s="25"/>
      <c r="R100" s="25"/>
      <c r="S100" s="25"/>
      <c r="T100" s="34">
        <f>-V100</f>
        <v>0</v>
      </c>
      <c r="U100" s="25"/>
      <c r="V100" s="53">
        <v>0</v>
      </c>
      <c r="W100" s="25"/>
      <c r="X100" s="5"/>
    </row>
    <row r="101" spans="1:25" ht="15.6" x14ac:dyDescent="0.3">
      <c r="A101" s="24"/>
      <c r="B101" s="25" t="s">
        <v>283</v>
      </c>
      <c r="C101" s="25"/>
      <c r="D101" s="25"/>
      <c r="E101" s="25"/>
      <c r="F101" s="25"/>
      <c r="G101" s="25"/>
      <c r="H101" s="25"/>
      <c r="I101" s="25"/>
      <c r="J101" s="25"/>
      <c r="K101" s="25"/>
      <c r="L101" s="25"/>
      <c r="M101" s="25"/>
      <c r="N101" s="25"/>
      <c r="O101" s="25"/>
      <c r="P101" s="25"/>
      <c r="Q101" s="25"/>
      <c r="R101" s="25"/>
      <c r="S101" s="25"/>
      <c r="T101" s="34"/>
      <c r="U101" s="25"/>
      <c r="V101" s="53">
        <v>0</v>
      </c>
      <c r="W101" s="25"/>
      <c r="X101" s="5"/>
    </row>
    <row r="102" spans="1:25" ht="15.6" x14ac:dyDescent="0.3">
      <c r="A102" s="24"/>
      <c r="B102" s="25" t="s">
        <v>32</v>
      </c>
      <c r="C102" s="25"/>
      <c r="D102" s="25"/>
      <c r="E102" s="25"/>
      <c r="F102" s="25"/>
      <c r="G102" s="25"/>
      <c r="H102" s="25"/>
      <c r="I102" s="25"/>
      <c r="J102" s="25"/>
      <c r="K102" s="25"/>
      <c r="L102" s="25"/>
      <c r="M102" s="25"/>
      <c r="N102" s="25"/>
      <c r="O102" s="25"/>
      <c r="P102" s="25"/>
      <c r="Q102" s="25"/>
      <c r="R102" s="25"/>
      <c r="S102" s="25"/>
      <c r="T102" s="34">
        <f>T98+T100+T99</f>
        <v>28541</v>
      </c>
      <c r="U102" s="25"/>
      <c r="V102" s="54">
        <f>V98+V100+V99+V101</f>
        <v>25289</v>
      </c>
      <c r="W102" s="25"/>
      <c r="X102" s="5"/>
    </row>
    <row r="103" spans="1:25" ht="15.6" x14ac:dyDescent="0.3">
      <c r="A103" s="24"/>
      <c r="B103" s="118" t="s">
        <v>33</v>
      </c>
      <c r="C103" s="25"/>
      <c r="D103" s="25"/>
      <c r="E103" s="25"/>
      <c r="F103" s="25"/>
      <c r="G103" s="25"/>
      <c r="H103" s="25"/>
      <c r="I103" s="25"/>
      <c r="J103" s="25"/>
      <c r="K103" s="25"/>
      <c r="L103" s="25"/>
      <c r="M103" s="25"/>
      <c r="N103" s="25"/>
      <c r="O103" s="25"/>
      <c r="P103" s="25"/>
      <c r="Q103" s="25"/>
      <c r="R103" s="25"/>
      <c r="S103" s="25"/>
      <c r="T103" s="34"/>
      <c r="U103" s="25"/>
      <c r="V103" s="53"/>
      <c r="W103" s="25"/>
      <c r="X103" s="5"/>
    </row>
    <row r="104" spans="1:25" ht="15.6" x14ac:dyDescent="0.3">
      <c r="A104" s="24">
        <v>1</v>
      </c>
      <c r="B104" s="25" t="s">
        <v>34</v>
      </c>
      <c r="C104" s="25"/>
      <c r="D104" s="25"/>
      <c r="E104" s="25"/>
      <c r="F104" s="25"/>
      <c r="G104" s="25"/>
      <c r="H104" s="25"/>
      <c r="I104" s="25"/>
      <c r="J104" s="25"/>
      <c r="K104" s="25"/>
      <c r="L104" s="25"/>
      <c r="M104" s="25"/>
      <c r="N104" s="25"/>
      <c r="O104" s="25"/>
      <c r="P104" s="25"/>
      <c r="Q104" s="25"/>
      <c r="R104" s="25"/>
      <c r="S104" s="25"/>
      <c r="T104" s="25"/>
      <c r="U104" s="25"/>
      <c r="V104" s="53">
        <v>0</v>
      </c>
      <c r="W104" s="25"/>
      <c r="X104" s="5"/>
    </row>
    <row r="105" spans="1:25" ht="15.6" x14ac:dyDescent="0.3">
      <c r="A105" s="24">
        <f>+A104+1</f>
        <v>2</v>
      </c>
      <c r="B105" s="25" t="s">
        <v>225</v>
      </c>
      <c r="C105" s="25"/>
      <c r="D105" s="25"/>
      <c r="E105" s="25"/>
      <c r="F105" s="25"/>
      <c r="G105" s="25"/>
      <c r="H105" s="25"/>
      <c r="I105" s="25"/>
      <c r="J105" s="25"/>
      <c r="K105" s="25"/>
      <c r="L105" s="25"/>
      <c r="M105" s="25"/>
      <c r="N105" s="25"/>
      <c r="O105" s="25"/>
      <c r="P105" s="25"/>
      <c r="Q105" s="25"/>
      <c r="R105" s="25"/>
      <c r="S105" s="25"/>
      <c r="T105" s="25"/>
      <c r="U105" s="25"/>
      <c r="V105" s="53">
        <v>-2</v>
      </c>
      <c r="W105" s="25"/>
      <c r="X105" s="5"/>
    </row>
    <row r="106" spans="1:25" ht="15.6" x14ac:dyDescent="0.3">
      <c r="A106" s="24">
        <f>+A105+1</f>
        <v>3</v>
      </c>
      <c r="B106" s="25" t="s">
        <v>204</v>
      </c>
      <c r="C106" s="25"/>
      <c r="D106" s="25"/>
      <c r="E106" s="25"/>
      <c r="F106" s="25"/>
      <c r="G106" s="25"/>
      <c r="H106" s="25"/>
      <c r="I106" s="25"/>
      <c r="J106" s="25"/>
      <c r="K106" s="25"/>
      <c r="L106" s="25"/>
      <c r="M106" s="25"/>
      <c r="N106" s="25"/>
      <c r="O106" s="25"/>
      <c r="P106" s="25"/>
      <c r="Q106" s="25"/>
      <c r="R106" s="25"/>
      <c r="S106" s="25"/>
      <c r="T106" s="25"/>
      <c r="U106" s="25"/>
      <c r="V106" s="53">
        <f>-170-156-16</f>
        <v>-342</v>
      </c>
      <c r="W106" s="25"/>
      <c r="X106" s="5"/>
    </row>
    <row r="107" spans="1:25" ht="15.6" x14ac:dyDescent="0.3">
      <c r="A107" s="24" t="s">
        <v>127</v>
      </c>
      <c r="B107" s="25" t="s">
        <v>116</v>
      </c>
      <c r="C107" s="25"/>
      <c r="D107" s="25"/>
      <c r="E107" s="25"/>
      <c r="F107" s="25"/>
      <c r="G107" s="25"/>
      <c r="H107" s="25"/>
      <c r="I107" s="25"/>
      <c r="J107" s="25"/>
      <c r="K107" s="25"/>
      <c r="L107" s="25"/>
      <c r="M107" s="25"/>
      <c r="N107" s="25"/>
      <c r="O107" s="25"/>
      <c r="P107" s="25"/>
      <c r="Q107" s="25"/>
      <c r="R107" s="25"/>
      <c r="S107" s="25"/>
      <c r="T107" s="25"/>
      <c r="U107" s="25"/>
      <c r="V107" s="53">
        <v>0</v>
      </c>
      <c r="W107" s="25"/>
      <c r="X107" s="5"/>
    </row>
    <row r="108" spans="1:25" ht="15.6" x14ac:dyDescent="0.3">
      <c r="A108" s="24" t="s">
        <v>128</v>
      </c>
      <c r="B108" s="25" t="s">
        <v>222</v>
      </c>
      <c r="C108" s="25"/>
      <c r="D108" s="25"/>
      <c r="E108" s="25"/>
      <c r="F108" s="25"/>
      <c r="G108" s="25"/>
      <c r="H108" s="25"/>
      <c r="I108" s="25"/>
      <c r="J108" s="25"/>
      <c r="K108" s="25"/>
      <c r="L108" s="25"/>
      <c r="M108" s="25"/>
      <c r="N108" s="25"/>
      <c r="O108" s="25"/>
      <c r="P108" s="25"/>
      <c r="Q108" s="25"/>
      <c r="R108" s="25"/>
      <c r="S108" s="25"/>
      <c r="T108" s="25"/>
      <c r="U108" s="25"/>
      <c r="V108" s="53">
        <f>-17033+1662</f>
        <v>-15371</v>
      </c>
      <c r="W108" s="25"/>
      <c r="X108" s="5"/>
      <c r="Y108" s="109"/>
    </row>
    <row r="109" spans="1:25" ht="15.6" x14ac:dyDescent="0.3">
      <c r="A109" s="24" t="s">
        <v>150</v>
      </c>
      <c r="B109" s="25" t="s">
        <v>184</v>
      </c>
      <c r="C109" s="25"/>
      <c r="D109" s="25"/>
      <c r="E109" s="25"/>
      <c r="F109" s="25"/>
      <c r="G109" s="25"/>
      <c r="H109" s="25"/>
      <c r="I109" s="25"/>
      <c r="J109" s="25"/>
      <c r="K109" s="25"/>
      <c r="L109" s="25"/>
      <c r="M109" s="25"/>
      <c r="N109" s="25"/>
      <c r="O109" s="25"/>
      <c r="P109" s="25"/>
      <c r="Q109" s="25"/>
      <c r="R109" s="25"/>
      <c r="S109" s="25"/>
      <c r="T109" s="25"/>
      <c r="U109" s="25"/>
      <c r="V109" s="53">
        <v>-1662</v>
      </c>
      <c r="W109" s="25"/>
      <c r="X109" s="5"/>
      <c r="Y109" s="109"/>
    </row>
    <row r="110" spans="1:25" ht="15.6" x14ac:dyDescent="0.3">
      <c r="A110" s="24" t="s">
        <v>236</v>
      </c>
      <c r="B110" s="25" t="s">
        <v>238</v>
      </c>
      <c r="C110" s="25"/>
      <c r="D110" s="25"/>
      <c r="E110" s="25"/>
      <c r="F110" s="25"/>
      <c r="G110" s="25"/>
      <c r="H110" s="25"/>
      <c r="I110" s="25"/>
      <c r="J110" s="25"/>
      <c r="K110" s="25"/>
      <c r="L110" s="25"/>
      <c r="M110" s="25"/>
      <c r="N110" s="25"/>
      <c r="O110" s="25"/>
      <c r="P110" s="25"/>
      <c r="Q110" s="25"/>
      <c r="R110" s="25"/>
      <c r="S110" s="25"/>
      <c r="T110" s="25"/>
      <c r="U110" s="25"/>
      <c r="V110" s="53">
        <v>-1</v>
      </c>
      <c r="W110" s="25"/>
      <c r="X110" s="5"/>
    </row>
    <row r="111" spans="1:25" ht="15.6" x14ac:dyDescent="0.3">
      <c r="A111" s="24" t="s">
        <v>205</v>
      </c>
      <c r="B111" s="25" t="s">
        <v>185</v>
      </c>
      <c r="C111" s="25"/>
      <c r="D111" s="25"/>
      <c r="E111" s="25"/>
      <c r="F111" s="25"/>
      <c r="G111" s="25"/>
      <c r="H111" s="25"/>
      <c r="I111" s="25"/>
      <c r="J111" s="25"/>
      <c r="K111" s="25"/>
      <c r="L111" s="25"/>
      <c r="M111" s="25"/>
      <c r="N111" s="25"/>
      <c r="O111" s="25"/>
      <c r="P111" s="25"/>
      <c r="Q111" s="25"/>
      <c r="R111" s="25"/>
      <c r="S111" s="25"/>
      <c r="T111" s="25"/>
      <c r="U111" s="25"/>
      <c r="V111" s="53">
        <v>-933</v>
      </c>
      <c r="W111" s="25"/>
      <c r="X111" s="5"/>
      <c r="Y111" s="109"/>
    </row>
    <row r="112" spans="1:25" ht="15.6" x14ac:dyDescent="0.3">
      <c r="A112" s="24" t="s">
        <v>206</v>
      </c>
      <c r="B112" s="25" t="s">
        <v>186</v>
      </c>
      <c r="C112" s="25"/>
      <c r="D112" s="25"/>
      <c r="E112" s="25"/>
      <c r="F112" s="25"/>
      <c r="G112" s="25"/>
      <c r="H112" s="25"/>
      <c r="I112" s="25"/>
      <c r="J112" s="25"/>
      <c r="K112" s="25"/>
      <c r="L112" s="25"/>
      <c r="M112" s="25"/>
      <c r="N112" s="25"/>
      <c r="O112" s="25"/>
      <c r="P112" s="25"/>
      <c r="Q112" s="25"/>
      <c r="R112" s="25"/>
      <c r="S112" s="25"/>
      <c r="T112" s="25"/>
      <c r="U112" s="25"/>
      <c r="V112" s="53">
        <f>-1727+933</f>
        <v>-794</v>
      </c>
      <c r="W112" s="25"/>
      <c r="X112" s="179"/>
      <c r="Y112" s="109"/>
    </row>
    <row r="113" spans="1:25" ht="15.6" x14ac:dyDescent="0.3">
      <c r="A113" s="24" t="s">
        <v>207</v>
      </c>
      <c r="B113" s="25" t="s">
        <v>196</v>
      </c>
      <c r="C113" s="25"/>
      <c r="D113" s="25"/>
      <c r="E113" s="25"/>
      <c r="F113" s="25"/>
      <c r="G113" s="25"/>
      <c r="H113" s="25"/>
      <c r="I113" s="25"/>
      <c r="J113" s="25"/>
      <c r="K113" s="25"/>
      <c r="L113" s="25"/>
      <c r="M113" s="25"/>
      <c r="N113" s="25"/>
      <c r="O113" s="25"/>
      <c r="P113" s="25"/>
      <c r="Q113" s="25"/>
      <c r="R113" s="25"/>
      <c r="S113" s="25"/>
      <c r="T113" s="25"/>
      <c r="U113" s="25"/>
      <c r="V113" s="53">
        <v>-1475</v>
      </c>
      <c r="W113" s="25"/>
      <c r="X113" s="5"/>
      <c r="Y113" s="109"/>
    </row>
    <row r="114" spans="1:25" ht="15.6" x14ac:dyDescent="0.3">
      <c r="A114" s="24" t="s">
        <v>224</v>
      </c>
      <c r="B114" s="25" t="s">
        <v>223</v>
      </c>
      <c r="C114" s="25"/>
      <c r="D114" s="25"/>
      <c r="E114" s="25"/>
      <c r="F114" s="25"/>
      <c r="G114" s="25"/>
      <c r="H114" s="25"/>
      <c r="I114" s="25"/>
      <c r="J114" s="25"/>
      <c r="K114" s="25"/>
      <c r="L114" s="25"/>
      <c r="M114" s="25"/>
      <c r="N114" s="25"/>
      <c r="O114" s="25"/>
      <c r="P114" s="25"/>
      <c r="Q114" s="25"/>
      <c r="R114" s="25"/>
      <c r="S114" s="25"/>
      <c r="T114" s="25"/>
      <c r="U114" s="25"/>
      <c r="V114" s="53">
        <f>-1791+1475</f>
        <v>-316</v>
      </c>
      <c r="W114" s="25"/>
      <c r="X114" s="5"/>
      <c r="Y114" s="109"/>
    </row>
    <row r="115" spans="1:25" ht="15.6" x14ac:dyDescent="0.3">
      <c r="A115" s="24">
        <v>7</v>
      </c>
      <c r="B115" s="25" t="s">
        <v>35</v>
      </c>
      <c r="C115" s="25"/>
      <c r="D115" s="25"/>
      <c r="E115" s="25"/>
      <c r="F115" s="25"/>
      <c r="G115" s="25"/>
      <c r="H115" s="25"/>
      <c r="I115" s="25"/>
      <c r="J115" s="25"/>
      <c r="K115" s="25"/>
      <c r="L115" s="25"/>
      <c r="M115" s="25"/>
      <c r="N115" s="25"/>
      <c r="O115" s="25"/>
      <c r="P115" s="25"/>
      <c r="Q115" s="25"/>
      <c r="R115" s="25"/>
      <c r="S115" s="25"/>
      <c r="T115" s="25"/>
      <c r="U115" s="25"/>
      <c r="V115" s="53">
        <v>-12</v>
      </c>
      <c r="W115" s="25"/>
      <c r="X115" s="5"/>
    </row>
    <row r="116" spans="1:25" ht="15.6" x14ac:dyDescent="0.3">
      <c r="A116" s="24">
        <f t="shared" ref="A116:A122" si="0">+A115+1</f>
        <v>8</v>
      </c>
      <c r="B116" s="25" t="s">
        <v>45</v>
      </c>
      <c r="C116" s="25"/>
      <c r="D116" s="25"/>
      <c r="E116" s="25"/>
      <c r="F116" s="25"/>
      <c r="G116" s="25"/>
      <c r="H116" s="25"/>
      <c r="I116" s="25"/>
      <c r="J116" s="25"/>
      <c r="K116" s="25"/>
      <c r="L116" s="25"/>
      <c r="M116" s="25"/>
      <c r="N116" s="25"/>
      <c r="O116" s="25"/>
      <c r="P116" s="25"/>
      <c r="Q116" s="25"/>
      <c r="R116" s="25"/>
      <c r="S116" s="25"/>
      <c r="T116" s="34">
        <f>-V116</f>
        <v>26</v>
      </c>
      <c r="U116" s="25"/>
      <c r="V116" s="53">
        <v>-26</v>
      </c>
      <c r="W116" s="25"/>
      <c r="X116" s="5"/>
    </row>
    <row r="117" spans="1:25" ht="15.6" x14ac:dyDescent="0.3">
      <c r="A117" s="24">
        <f t="shared" si="0"/>
        <v>9</v>
      </c>
      <c r="B117" s="25" t="s">
        <v>125</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5" ht="15.6" x14ac:dyDescent="0.3">
      <c r="A118" s="24">
        <f t="shared" si="0"/>
        <v>10</v>
      </c>
      <c r="B118" s="25" t="s">
        <v>240</v>
      </c>
      <c r="C118" s="25"/>
      <c r="D118" s="25"/>
      <c r="E118" s="25"/>
      <c r="F118" s="25"/>
      <c r="G118" s="25"/>
      <c r="H118" s="25"/>
      <c r="I118" s="25"/>
      <c r="J118" s="25"/>
      <c r="K118" s="25"/>
      <c r="L118" s="25"/>
      <c r="M118" s="25"/>
      <c r="N118" s="25"/>
      <c r="O118" s="25"/>
      <c r="P118" s="25"/>
      <c r="Q118" s="25"/>
      <c r="R118" s="25"/>
      <c r="S118" s="25"/>
      <c r="T118" s="25"/>
      <c r="U118" s="25"/>
      <c r="V118" s="53">
        <v>0</v>
      </c>
      <c r="W118" s="25"/>
      <c r="X118" s="5"/>
    </row>
    <row r="119" spans="1:25" ht="15.6" x14ac:dyDescent="0.3">
      <c r="A119" s="24">
        <f t="shared" si="0"/>
        <v>11</v>
      </c>
      <c r="B119" s="25" t="s">
        <v>36</v>
      </c>
      <c r="C119" s="25"/>
      <c r="D119" s="25"/>
      <c r="E119" s="25"/>
      <c r="F119" s="25"/>
      <c r="G119" s="25"/>
      <c r="H119" s="25"/>
      <c r="I119" s="25"/>
      <c r="J119" s="25"/>
      <c r="K119" s="25"/>
      <c r="L119" s="25"/>
      <c r="M119" s="25"/>
      <c r="N119" s="25"/>
      <c r="O119" s="25"/>
      <c r="P119" s="25"/>
      <c r="Q119" s="25"/>
      <c r="R119" s="25"/>
      <c r="S119" s="25"/>
      <c r="T119" s="25"/>
      <c r="U119" s="25"/>
      <c r="V119" s="53">
        <v>0</v>
      </c>
      <c r="W119" s="25"/>
      <c r="X119" s="5"/>
    </row>
    <row r="120" spans="1:25" ht="15.6" x14ac:dyDescent="0.3">
      <c r="A120" s="24">
        <f t="shared" si="0"/>
        <v>12</v>
      </c>
      <c r="B120" s="25" t="s">
        <v>239</v>
      </c>
      <c r="C120" s="25"/>
      <c r="D120" s="25"/>
      <c r="E120" s="25"/>
      <c r="F120" s="25"/>
      <c r="G120" s="25"/>
      <c r="H120" s="25"/>
      <c r="I120" s="25"/>
      <c r="J120" s="25"/>
      <c r="K120" s="25"/>
      <c r="L120" s="25"/>
      <c r="M120" s="25"/>
      <c r="N120" s="25"/>
      <c r="O120" s="25"/>
      <c r="P120" s="25"/>
      <c r="Q120" s="25"/>
      <c r="R120" s="25"/>
      <c r="S120" s="25"/>
      <c r="T120" s="25"/>
      <c r="U120" s="25"/>
      <c r="V120" s="53">
        <v>0</v>
      </c>
      <c r="W120" s="25"/>
      <c r="X120" s="5"/>
    </row>
    <row r="121" spans="1:25" ht="15.6" x14ac:dyDescent="0.3">
      <c r="A121" s="24">
        <f t="shared" si="0"/>
        <v>13</v>
      </c>
      <c r="B121" s="25" t="s">
        <v>149</v>
      </c>
      <c r="C121" s="25"/>
      <c r="D121" s="25"/>
      <c r="E121" s="25"/>
      <c r="F121" s="25"/>
      <c r="G121" s="25"/>
      <c r="H121" s="25"/>
      <c r="I121" s="25"/>
      <c r="J121" s="25"/>
      <c r="K121" s="25"/>
      <c r="L121" s="25"/>
      <c r="M121" s="25"/>
      <c r="N121" s="25"/>
      <c r="O121" s="25"/>
      <c r="P121" s="25"/>
      <c r="Q121" s="25"/>
      <c r="R121" s="25"/>
      <c r="S121" s="25"/>
      <c r="T121" s="25"/>
      <c r="U121" s="25"/>
      <c r="V121" s="53">
        <v>-850</v>
      </c>
      <c r="W121" s="25"/>
      <c r="X121" s="5"/>
    </row>
    <row r="122" spans="1:25" ht="15.6" x14ac:dyDescent="0.3">
      <c r="A122" s="24">
        <f t="shared" si="0"/>
        <v>14</v>
      </c>
      <c r="B122" s="25" t="s">
        <v>126</v>
      </c>
      <c r="C122" s="25"/>
      <c r="D122" s="25"/>
      <c r="E122" s="25"/>
      <c r="F122" s="25"/>
      <c r="G122" s="25"/>
      <c r="H122" s="25"/>
      <c r="I122" s="25"/>
      <c r="J122" s="25"/>
      <c r="K122" s="25"/>
      <c r="L122" s="25"/>
      <c r="M122" s="25"/>
      <c r="N122" s="25"/>
      <c r="O122" s="25"/>
      <c r="P122" s="25"/>
      <c r="Q122" s="25"/>
      <c r="R122" s="25"/>
      <c r="S122" s="25"/>
      <c r="T122" s="25"/>
      <c r="U122" s="25"/>
      <c r="V122" s="53">
        <f>-V102-SUM(V104:V121)</f>
        <v>-3505</v>
      </c>
      <c r="W122" s="25"/>
      <c r="X122" s="5"/>
    </row>
    <row r="123" spans="1:25" ht="15.6" x14ac:dyDescent="0.3">
      <c r="A123" s="24"/>
      <c r="B123" s="118" t="s">
        <v>37</v>
      </c>
      <c r="C123" s="25"/>
      <c r="D123" s="25"/>
      <c r="E123" s="25"/>
      <c r="F123" s="25"/>
      <c r="G123" s="25"/>
      <c r="H123" s="25"/>
      <c r="I123" s="25"/>
      <c r="J123" s="25"/>
      <c r="K123" s="25"/>
      <c r="L123" s="25"/>
      <c r="M123" s="25"/>
      <c r="N123" s="25"/>
      <c r="O123" s="25"/>
      <c r="P123" s="25"/>
      <c r="Q123" s="25"/>
      <c r="R123" s="25"/>
      <c r="S123" s="25"/>
      <c r="T123" s="25"/>
      <c r="U123" s="25"/>
      <c r="V123" s="59"/>
      <c r="W123" s="25"/>
      <c r="X123" s="5"/>
    </row>
    <row r="124" spans="1:25" ht="15.6" x14ac:dyDescent="0.3">
      <c r="A124" s="24"/>
      <c r="B124" s="25" t="s">
        <v>173</v>
      </c>
      <c r="C124" s="25"/>
      <c r="D124" s="25"/>
      <c r="E124" s="25"/>
      <c r="F124" s="25"/>
      <c r="G124" s="25"/>
      <c r="H124" s="25"/>
      <c r="I124" s="25"/>
      <c r="J124" s="25"/>
      <c r="K124" s="25"/>
      <c r="L124" s="25"/>
      <c r="M124" s="25"/>
      <c r="N124" s="25"/>
      <c r="O124" s="25"/>
      <c r="P124" s="25"/>
      <c r="Q124" s="25"/>
      <c r="R124" s="25"/>
      <c r="S124" s="25"/>
      <c r="T124" s="34">
        <f>-T189</f>
        <v>-224</v>
      </c>
      <c r="U124" s="34"/>
      <c r="V124" s="53"/>
      <c r="W124" s="25"/>
      <c r="X124" s="5"/>
    </row>
    <row r="125" spans="1:25" ht="15.6" x14ac:dyDescent="0.3">
      <c r="A125" s="24"/>
      <c r="B125" s="25" t="s">
        <v>174</v>
      </c>
      <c r="C125" s="25"/>
      <c r="D125" s="25"/>
      <c r="E125" s="25"/>
      <c r="F125" s="25"/>
      <c r="G125" s="25"/>
      <c r="H125" s="25"/>
      <c r="I125" s="25"/>
      <c r="J125" s="25"/>
      <c r="K125" s="25"/>
      <c r="L125" s="25"/>
      <c r="M125" s="25"/>
      <c r="N125" s="25"/>
      <c r="O125" s="25"/>
      <c r="P125" s="25"/>
      <c r="Q125" s="25"/>
      <c r="R125" s="25"/>
      <c r="S125" s="25"/>
      <c r="T125" s="34">
        <v>-10</v>
      </c>
      <c r="U125" s="34"/>
      <c r="V125" s="53"/>
      <c r="W125" s="25"/>
      <c r="X125" s="5"/>
    </row>
    <row r="126" spans="1:25" ht="15.6" x14ac:dyDescent="0.3">
      <c r="A126" s="24"/>
      <c r="B126" s="25" t="s">
        <v>38</v>
      </c>
      <c r="C126" s="25"/>
      <c r="D126" s="25"/>
      <c r="E126" s="25"/>
      <c r="F126" s="25"/>
      <c r="G126" s="25"/>
      <c r="H126" s="25"/>
      <c r="I126" s="25"/>
      <c r="J126" s="25"/>
      <c r="K126" s="25"/>
      <c r="L126" s="25"/>
      <c r="M126" s="25"/>
      <c r="N126" s="25"/>
      <c r="O126" s="25"/>
      <c r="P126" s="25"/>
      <c r="Q126" s="25"/>
      <c r="R126" s="25"/>
      <c r="S126" s="25"/>
      <c r="T126" s="34">
        <f>-S189</f>
        <v>-1469</v>
      </c>
      <c r="U126" s="34"/>
      <c r="V126" s="53"/>
      <c r="W126" s="25"/>
      <c r="X126" s="5"/>
    </row>
    <row r="127" spans="1:25" ht="15.6" x14ac:dyDescent="0.3">
      <c r="A127" s="24"/>
      <c r="B127" s="25" t="s">
        <v>197</v>
      </c>
      <c r="C127" s="25"/>
      <c r="D127" s="25"/>
      <c r="E127" s="25"/>
      <c r="F127" s="25"/>
      <c r="G127" s="25"/>
      <c r="H127" s="25"/>
      <c r="I127" s="25"/>
      <c r="J127" s="25"/>
      <c r="K127" s="25"/>
      <c r="L127" s="25"/>
      <c r="M127" s="25"/>
      <c r="N127" s="25"/>
      <c r="O127" s="25"/>
      <c r="P127" s="25"/>
      <c r="Q127" s="25"/>
      <c r="R127" s="25"/>
      <c r="S127" s="25"/>
      <c r="T127" s="34">
        <v>-16332</v>
      </c>
      <c r="U127" s="34"/>
      <c r="V127" s="53"/>
      <c r="W127" s="25"/>
      <c r="X127" s="5"/>
    </row>
    <row r="128" spans="1:25" ht="15.6" x14ac:dyDescent="0.3">
      <c r="A128" s="24"/>
      <c r="B128" s="25" t="s">
        <v>195</v>
      </c>
      <c r="C128" s="25"/>
      <c r="D128" s="25"/>
      <c r="E128" s="25"/>
      <c r="F128" s="25"/>
      <c r="G128" s="25"/>
      <c r="H128" s="25"/>
      <c r="I128" s="25"/>
      <c r="J128" s="25"/>
      <c r="K128" s="25"/>
      <c r="L128" s="25"/>
      <c r="M128" s="25"/>
      <c r="N128" s="25"/>
      <c r="O128" s="25"/>
      <c r="P128" s="25"/>
      <c r="Q128" s="25"/>
      <c r="R128" s="25"/>
      <c r="S128" s="25"/>
      <c r="T128" s="34">
        <v>-2634</v>
      </c>
      <c r="U128" s="34"/>
      <c r="V128" s="53"/>
      <c r="W128" s="25"/>
      <c r="X128" s="5"/>
    </row>
    <row r="129" spans="1:24" ht="15.6" x14ac:dyDescent="0.3">
      <c r="A129" s="24"/>
      <c r="B129" s="25" t="s">
        <v>194</v>
      </c>
      <c r="C129" s="25"/>
      <c r="D129" s="25"/>
      <c r="E129" s="25"/>
      <c r="F129" s="25"/>
      <c r="G129" s="25"/>
      <c r="H129" s="25"/>
      <c r="I129" s="25"/>
      <c r="J129" s="25"/>
      <c r="K129" s="25"/>
      <c r="L129" s="25"/>
      <c r="M129" s="25"/>
      <c r="N129" s="25"/>
      <c r="O129" s="25"/>
      <c r="P129" s="25"/>
      <c r="Q129" s="25"/>
      <c r="R129" s="25"/>
      <c r="S129" s="25"/>
      <c r="T129" s="34">
        <v>-3543</v>
      </c>
      <c r="U129" s="34"/>
      <c r="V129" s="53"/>
      <c r="W129" s="25"/>
      <c r="X129" s="5"/>
    </row>
    <row r="130" spans="1:24" ht="15.6" x14ac:dyDescent="0.3">
      <c r="A130" s="24"/>
      <c r="B130" s="25" t="s">
        <v>226</v>
      </c>
      <c r="C130" s="25"/>
      <c r="D130" s="25"/>
      <c r="E130" s="25"/>
      <c r="F130" s="25"/>
      <c r="G130" s="25"/>
      <c r="H130" s="25"/>
      <c r="I130" s="25"/>
      <c r="J130" s="25"/>
      <c r="K130" s="25"/>
      <c r="L130" s="25"/>
      <c r="M130" s="25"/>
      <c r="N130" s="25"/>
      <c r="O130" s="25"/>
      <c r="P130" s="25"/>
      <c r="Q130" s="25"/>
      <c r="R130" s="25"/>
      <c r="S130" s="25"/>
      <c r="T130" s="34">
        <v>-4355</v>
      </c>
      <c r="U130" s="34"/>
      <c r="V130" s="53"/>
      <c r="W130" s="25"/>
      <c r="X130" s="5"/>
    </row>
    <row r="131" spans="1:24" ht="15.6" x14ac:dyDescent="0.3">
      <c r="A131" s="24"/>
      <c r="B131" s="25" t="s">
        <v>189</v>
      </c>
      <c r="C131" s="25"/>
      <c r="D131" s="25"/>
      <c r="E131" s="25"/>
      <c r="F131" s="25"/>
      <c r="G131" s="25"/>
      <c r="H131" s="25"/>
      <c r="I131" s="25"/>
      <c r="J131" s="25"/>
      <c r="K131" s="25"/>
      <c r="L131" s="25"/>
      <c r="M131" s="25"/>
      <c r="N131" s="25"/>
      <c r="O131" s="25"/>
      <c r="P131" s="25"/>
      <c r="Q131" s="25"/>
      <c r="R131" s="25"/>
      <c r="S131" s="25"/>
      <c r="T131" s="34">
        <v>0</v>
      </c>
      <c r="U131" s="34"/>
      <c r="V131" s="53"/>
      <c r="W131" s="25"/>
      <c r="X131" s="5"/>
    </row>
    <row r="132" spans="1:24" ht="15.6" x14ac:dyDescent="0.3">
      <c r="A132" s="24"/>
      <c r="B132" s="25" t="s">
        <v>188</v>
      </c>
      <c r="C132" s="25"/>
      <c r="D132" s="25"/>
      <c r="E132" s="25"/>
      <c r="F132" s="25"/>
      <c r="G132" s="25"/>
      <c r="H132" s="25"/>
      <c r="I132" s="25"/>
      <c r="J132" s="25"/>
      <c r="K132" s="25"/>
      <c r="L132" s="25"/>
      <c r="M132" s="25"/>
      <c r="N132" s="25"/>
      <c r="O132" s="25"/>
      <c r="P132" s="25"/>
      <c r="Q132" s="25"/>
      <c r="R132" s="25"/>
      <c r="S132" s="25"/>
      <c r="T132" s="34">
        <v>0</v>
      </c>
      <c r="U132" s="34"/>
      <c r="V132" s="53"/>
      <c r="W132" s="25"/>
      <c r="X132" s="5"/>
    </row>
    <row r="133" spans="1:24" ht="15.6" x14ac:dyDescent="0.3">
      <c r="A133" s="24"/>
      <c r="B133" s="25" t="s">
        <v>227</v>
      </c>
      <c r="C133" s="25"/>
      <c r="D133" s="25"/>
      <c r="E133" s="25"/>
      <c r="F133" s="25"/>
      <c r="G133" s="25"/>
      <c r="H133" s="25"/>
      <c r="I133" s="25"/>
      <c r="J133" s="25"/>
      <c r="K133" s="25"/>
      <c r="L133" s="25"/>
      <c r="M133" s="25"/>
      <c r="N133" s="25"/>
      <c r="O133" s="25"/>
      <c r="P133" s="25"/>
      <c r="Q133" s="25"/>
      <c r="R133" s="25"/>
      <c r="S133" s="25"/>
      <c r="T133" s="34">
        <v>0</v>
      </c>
      <c r="U133" s="34"/>
      <c r="V133" s="53"/>
      <c r="W133" s="25"/>
      <c r="X133" s="5"/>
    </row>
    <row r="134" spans="1:24" ht="15.6" x14ac:dyDescent="0.3">
      <c r="A134" s="24"/>
      <c r="B134" s="25" t="s">
        <v>187</v>
      </c>
      <c r="C134" s="25"/>
      <c r="D134" s="25"/>
      <c r="E134" s="25"/>
      <c r="F134" s="25"/>
      <c r="G134" s="25"/>
      <c r="H134" s="25"/>
      <c r="I134" s="25"/>
      <c r="J134" s="25"/>
      <c r="K134" s="25"/>
      <c r="L134" s="25"/>
      <c r="M134" s="25"/>
      <c r="N134" s="25"/>
      <c r="O134" s="25"/>
      <c r="P134" s="25"/>
      <c r="Q134" s="25"/>
      <c r="R134" s="25"/>
      <c r="S134" s="25"/>
      <c r="T134" s="34">
        <v>0</v>
      </c>
      <c r="U134" s="34"/>
      <c r="V134" s="53"/>
      <c r="W134" s="25"/>
      <c r="X134" s="5"/>
    </row>
    <row r="135" spans="1:24" ht="15.6" x14ac:dyDescent="0.3">
      <c r="A135" s="24"/>
      <c r="B135" s="25" t="s">
        <v>39</v>
      </c>
      <c r="C135" s="25"/>
      <c r="D135" s="25"/>
      <c r="E135" s="25"/>
      <c r="F135" s="25"/>
      <c r="G135" s="25"/>
      <c r="H135" s="25"/>
      <c r="I135" s="25"/>
      <c r="J135" s="25"/>
      <c r="K135" s="25"/>
      <c r="L135" s="25"/>
      <c r="M135" s="25"/>
      <c r="N135" s="25"/>
      <c r="O135" s="25"/>
      <c r="P135" s="25"/>
      <c r="Q135" s="25"/>
      <c r="R135" s="25"/>
      <c r="S135" s="25"/>
      <c r="T135" s="34">
        <f>SUM(T124:T134)</f>
        <v>-28567</v>
      </c>
      <c r="U135" s="34"/>
      <c r="V135" s="34">
        <f>SUM(V103:V132)</f>
        <v>-25289</v>
      </c>
      <c r="W135" s="25"/>
      <c r="X135" s="5"/>
    </row>
    <row r="136" spans="1:24" ht="15.6" x14ac:dyDescent="0.3">
      <c r="A136" s="24"/>
      <c r="B136" s="25" t="s">
        <v>40</v>
      </c>
      <c r="C136" s="25"/>
      <c r="D136" s="25"/>
      <c r="E136" s="25"/>
      <c r="F136" s="25"/>
      <c r="G136" s="25"/>
      <c r="H136" s="25"/>
      <c r="I136" s="25"/>
      <c r="J136" s="25"/>
      <c r="K136" s="25"/>
      <c r="L136" s="25"/>
      <c r="M136" s="25"/>
      <c r="N136" s="25"/>
      <c r="O136" s="25"/>
      <c r="P136" s="25"/>
      <c r="Q136" s="25"/>
      <c r="R136" s="25"/>
      <c r="S136" s="25"/>
      <c r="T136" s="34">
        <f>T102+T135+T116</f>
        <v>0</v>
      </c>
      <c r="U136" s="34"/>
      <c r="V136" s="34">
        <f>V102+V135</f>
        <v>0</v>
      </c>
      <c r="W136" s="25"/>
      <c r="X136" s="5"/>
    </row>
    <row r="137" spans="1:24" ht="15.6" x14ac:dyDescent="0.3">
      <c r="A137" s="24"/>
      <c r="B137" s="25"/>
      <c r="C137" s="25"/>
      <c r="D137" s="25"/>
      <c r="E137" s="25"/>
      <c r="F137" s="25"/>
      <c r="G137" s="25"/>
      <c r="H137" s="25"/>
      <c r="I137" s="25"/>
      <c r="J137" s="25"/>
      <c r="K137" s="25"/>
      <c r="L137" s="25"/>
      <c r="M137" s="25"/>
      <c r="N137" s="25"/>
      <c r="O137" s="25"/>
      <c r="P137" s="25"/>
      <c r="Q137" s="25"/>
      <c r="R137" s="25"/>
      <c r="S137" s="25"/>
      <c r="T137" s="34"/>
      <c r="U137" s="34"/>
      <c r="V137" s="34"/>
      <c r="W137" s="25"/>
      <c r="X137" s="5"/>
    </row>
    <row r="138" spans="1:24" ht="15.6" x14ac:dyDescent="0.3">
      <c r="A138" s="6"/>
      <c r="B138" s="8"/>
      <c r="C138" s="8"/>
      <c r="D138" s="8"/>
      <c r="E138" s="8"/>
      <c r="F138" s="8"/>
      <c r="G138" s="8"/>
      <c r="H138" s="8"/>
      <c r="I138" s="8"/>
      <c r="J138" s="8"/>
      <c r="K138" s="8"/>
      <c r="L138" s="8"/>
      <c r="M138" s="8"/>
      <c r="N138" s="8"/>
      <c r="O138" s="8"/>
      <c r="P138" s="8"/>
      <c r="Q138" s="8"/>
      <c r="R138" s="8"/>
      <c r="S138" s="8"/>
      <c r="T138" s="8"/>
      <c r="U138" s="8"/>
      <c r="V138" s="52"/>
      <c r="W138" s="8"/>
      <c r="X138" s="5"/>
    </row>
    <row r="139" spans="1:24" ht="18" thickBot="1" x14ac:dyDescent="0.35">
      <c r="A139" s="101"/>
      <c r="B139" s="102" t="str">
        <f>B64</f>
        <v>PM14 INVESTOR REPORT QUARTER ENDING AUGUST 2008</v>
      </c>
      <c r="C139" s="103"/>
      <c r="D139" s="103"/>
      <c r="E139" s="103"/>
      <c r="F139" s="103"/>
      <c r="G139" s="103"/>
      <c r="H139" s="103"/>
      <c r="I139" s="103"/>
      <c r="J139" s="103"/>
      <c r="K139" s="103"/>
      <c r="L139" s="103"/>
      <c r="M139" s="103"/>
      <c r="N139" s="103"/>
      <c r="O139" s="103"/>
      <c r="P139" s="103"/>
      <c r="Q139" s="103"/>
      <c r="R139" s="103"/>
      <c r="S139" s="103"/>
      <c r="T139" s="103"/>
      <c r="U139" s="103"/>
      <c r="V139" s="106"/>
      <c r="W139" s="105"/>
      <c r="X139" s="5"/>
    </row>
    <row r="140" spans="1:24" ht="15.6" x14ac:dyDescent="0.3">
      <c r="A140" s="2"/>
      <c r="B140" s="60" t="s">
        <v>41</v>
      </c>
      <c r="C140" s="4"/>
      <c r="D140" s="4"/>
      <c r="E140" s="4"/>
      <c r="F140" s="4"/>
      <c r="G140" s="4"/>
      <c r="H140" s="4"/>
      <c r="I140" s="4"/>
      <c r="J140" s="4"/>
      <c r="K140" s="4"/>
      <c r="L140" s="4"/>
      <c r="M140" s="4"/>
      <c r="N140" s="4"/>
      <c r="O140" s="4"/>
      <c r="P140" s="4"/>
      <c r="Q140" s="4"/>
      <c r="R140" s="4"/>
      <c r="S140" s="4"/>
      <c r="T140" s="4"/>
      <c r="U140" s="4"/>
      <c r="V140" s="50"/>
      <c r="W140" s="4"/>
      <c r="X140" s="5"/>
    </row>
    <row r="141" spans="1:24" ht="15.6" x14ac:dyDescent="0.3">
      <c r="A141" s="6"/>
      <c r="B141" s="21"/>
      <c r="C141" s="8"/>
      <c r="D141" s="8"/>
      <c r="E141" s="8"/>
      <c r="F141" s="8"/>
      <c r="G141" s="8"/>
      <c r="H141" s="8"/>
      <c r="I141" s="8"/>
      <c r="J141" s="8"/>
      <c r="K141" s="8"/>
      <c r="L141" s="8"/>
      <c r="M141" s="8"/>
      <c r="N141" s="8"/>
      <c r="O141" s="8"/>
      <c r="P141" s="8"/>
      <c r="Q141" s="8"/>
      <c r="R141" s="8"/>
      <c r="S141" s="8"/>
      <c r="T141" s="8"/>
      <c r="U141" s="8"/>
      <c r="V141" s="52"/>
      <c r="W141" s="8"/>
      <c r="X141" s="5"/>
    </row>
    <row r="142" spans="1:24" ht="15.6" x14ac:dyDescent="0.3">
      <c r="A142" s="6"/>
      <c r="B142" s="119" t="s">
        <v>42</v>
      </c>
      <c r="C142" s="8"/>
      <c r="D142" s="8"/>
      <c r="E142" s="8"/>
      <c r="F142" s="8"/>
      <c r="G142" s="8"/>
      <c r="H142" s="8"/>
      <c r="I142" s="8"/>
      <c r="J142" s="8"/>
      <c r="K142" s="8"/>
      <c r="L142" s="8"/>
      <c r="M142" s="8"/>
      <c r="N142" s="8"/>
      <c r="O142" s="8"/>
      <c r="P142" s="8"/>
      <c r="Q142" s="8"/>
      <c r="R142" s="8"/>
      <c r="S142" s="8"/>
      <c r="T142" s="8"/>
      <c r="U142" s="8"/>
      <c r="V142" s="52"/>
      <c r="W142" s="8"/>
      <c r="X142" s="5"/>
    </row>
    <row r="143" spans="1:24" ht="15.6" x14ac:dyDescent="0.3">
      <c r="A143" s="24"/>
      <c r="B143" s="25" t="s">
        <v>43</v>
      </c>
      <c r="C143" s="25"/>
      <c r="D143" s="25"/>
      <c r="E143" s="25"/>
      <c r="F143" s="25"/>
      <c r="G143" s="25"/>
      <c r="H143" s="25"/>
      <c r="I143" s="25"/>
      <c r="J143" s="25"/>
      <c r="K143" s="25"/>
      <c r="L143" s="25"/>
      <c r="M143" s="25"/>
      <c r="N143" s="25"/>
      <c r="O143" s="25"/>
      <c r="P143" s="25"/>
      <c r="Q143" s="25"/>
      <c r="R143" s="25"/>
      <c r="S143" s="25"/>
      <c r="T143" s="25"/>
      <c r="U143" s="25"/>
      <c r="V143" s="53">
        <f>+V34*0.019</f>
        <v>28505.224999999999</v>
      </c>
      <c r="W143" s="25"/>
      <c r="X143" s="5"/>
    </row>
    <row r="144" spans="1:24" ht="15.6" x14ac:dyDescent="0.3">
      <c r="A144" s="24"/>
      <c r="B144" s="25" t="s">
        <v>44</v>
      </c>
      <c r="C144" s="25"/>
      <c r="D144" s="25"/>
      <c r="E144" s="25"/>
      <c r="F144" s="25"/>
      <c r="G144" s="25"/>
      <c r="H144" s="25"/>
      <c r="I144" s="25"/>
      <c r="J144" s="25"/>
      <c r="K144" s="25"/>
      <c r="L144" s="25"/>
      <c r="M144" s="25"/>
      <c r="N144" s="25"/>
      <c r="O144" s="25"/>
      <c r="P144" s="25"/>
      <c r="Q144" s="25"/>
      <c r="R144" s="25"/>
      <c r="S144" s="25"/>
      <c r="T144" s="25"/>
      <c r="U144" s="25"/>
      <c r="V144" s="53">
        <v>28505</v>
      </c>
      <c r="W144" s="25"/>
      <c r="X144" s="5"/>
    </row>
    <row r="145" spans="1:25" ht="15.6" x14ac:dyDescent="0.3">
      <c r="A145" s="24"/>
      <c r="B145" s="25" t="s">
        <v>136</v>
      </c>
      <c r="C145" s="25"/>
      <c r="D145" s="25"/>
      <c r="E145" s="25"/>
      <c r="F145" s="25"/>
      <c r="G145" s="25"/>
      <c r="H145" s="25"/>
      <c r="I145" s="25"/>
      <c r="J145" s="25"/>
      <c r="K145" s="25"/>
      <c r="L145" s="25"/>
      <c r="M145" s="25"/>
      <c r="N145" s="25"/>
      <c r="O145" s="25"/>
      <c r="P145" s="25"/>
      <c r="Q145" s="25"/>
      <c r="R145" s="25"/>
      <c r="S145" s="25"/>
      <c r="T145" s="25"/>
      <c r="U145" s="25"/>
      <c r="V145" s="53"/>
      <c r="W145" s="25"/>
      <c r="X145" s="5"/>
    </row>
    <row r="146" spans="1:25" ht="15.6" x14ac:dyDescent="0.3">
      <c r="A146" s="24"/>
      <c r="B146" s="25" t="s">
        <v>123</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124</v>
      </c>
      <c r="C147" s="25"/>
      <c r="D147" s="25"/>
      <c r="E147" s="25"/>
      <c r="F147" s="25"/>
      <c r="G147" s="25"/>
      <c r="H147" s="25"/>
      <c r="I147" s="25"/>
      <c r="J147" s="25"/>
      <c r="K147" s="25"/>
      <c r="L147" s="25"/>
      <c r="M147" s="25"/>
      <c r="N147" s="25"/>
      <c r="O147" s="25"/>
      <c r="P147" s="25"/>
      <c r="Q147" s="25"/>
      <c r="R147" s="25"/>
      <c r="S147" s="25"/>
      <c r="T147" s="25"/>
      <c r="U147" s="25"/>
      <c r="V147" s="53">
        <v>0</v>
      </c>
      <c r="W147" s="25"/>
      <c r="X147" s="5"/>
    </row>
    <row r="148" spans="1:25" ht="15.6" x14ac:dyDescent="0.3">
      <c r="A148" s="24"/>
      <c r="B148" s="25" t="s">
        <v>175</v>
      </c>
      <c r="C148" s="25"/>
      <c r="D148" s="25"/>
      <c r="E148" s="25"/>
      <c r="F148" s="25"/>
      <c r="G148" s="25"/>
      <c r="H148" s="25"/>
      <c r="I148" s="25"/>
      <c r="J148" s="25"/>
      <c r="K148" s="25"/>
      <c r="L148" s="25"/>
      <c r="M148" s="25"/>
      <c r="N148" s="25"/>
      <c r="O148" s="25"/>
      <c r="P148" s="25"/>
      <c r="Q148" s="25"/>
      <c r="R148" s="25"/>
      <c r="S148" s="25"/>
      <c r="T148" s="25"/>
      <c r="U148" s="25"/>
      <c r="V148" s="53">
        <v>0</v>
      </c>
      <c r="W148" s="25"/>
      <c r="X148" s="5"/>
    </row>
    <row r="149" spans="1:25" ht="15.6" x14ac:dyDescent="0.3">
      <c r="A149" s="24"/>
      <c r="B149" s="25" t="s">
        <v>45</v>
      </c>
      <c r="C149" s="25"/>
      <c r="D149" s="25"/>
      <c r="E149" s="25"/>
      <c r="F149" s="25"/>
      <c r="G149" s="25"/>
      <c r="H149" s="25"/>
      <c r="I149" s="25"/>
      <c r="J149" s="25"/>
      <c r="K149" s="25"/>
      <c r="L149" s="25"/>
      <c r="M149" s="25"/>
      <c r="N149" s="25"/>
      <c r="O149" s="25"/>
      <c r="P149" s="25"/>
      <c r="Q149" s="25"/>
      <c r="R149" s="25"/>
      <c r="S149" s="25"/>
      <c r="T149" s="25"/>
      <c r="U149" s="25"/>
      <c r="V149" s="53">
        <v>0</v>
      </c>
      <c r="W149" s="25"/>
      <c r="X149" s="5"/>
    </row>
    <row r="150" spans="1:25" ht="15.6" x14ac:dyDescent="0.3">
      <c r="A150" s="24"/>
      <c r="B150" s="25" t="s">
        <v>129</v>
      </c>
      <c r="C150" s="25"/>
      <c r="D150" s="25"/>
      <c r="E150" s="25"/>
      <c r="F150" s="25"/>
      <c r="G150" s="25"/>
      <c r="H150" s="25"/>
      <c r="I150" s="25"/>
      <c r="J150" s="25"/>
      <c r="K150" s="25"/>
      <c r="L150" s="25"/>
      <c r="M150" s="25"/>
      <c r="N150" s="25"/>
      <c r="O150" s="25"/>
      <c r="P150" s="25"/>
      <c r="Q150" s="25"/>
      <c r="R150" s="25"/>
      <c r="S150" s="25"/>
      <c r="T150" s="25"/>
      <c r="U150" s="25"/>
      <c r="V150" s="53">
        <v>0</v>
      </c>
      <c r="W150" s="25"/>
      <c r="X150" s="5"/>
    </row>
    <row r="151" spans="1:25" ht="15.6" x14ac:dyDescent="0.3">
      <c r="A151" s="24"/>
      <c r="B151" s="25" t="s">
        <v>267</v>
      </c>
      <c r="C151" s="25"/>
      <c r="D151" s="25"/>
      <c r="E151" s="25"/>
      <c r="F151" s="25"/>
      <c r="G151" s="25"/>
      <c r="H151" s="25"/>
      <c r="I151" s="25"/>
      <c r="J151" s="25"/>
      <c r="K151" s="25"/>
      <c r="L151" s="25"/>
      <c r="M151" s="25"/>
      <c r="N151" s="25"/>
      <c r="O151" s="25"/>
      <c r="P151" s="25"/>
      <c r="Q151" s="25"/>
      <c r="R151" s="25"/>
      <c r="S151" s="25"/>
      <c r="T151" s="25"/>
      <c r="U151" s="25"/>
      <c r="V151" s="53">
        <v>0</v>
      </c>
      <c r="W151" s="25"/>
      <c r="X151" s="5"/>
      <c r="Y151" s="109"/>
    </row>
    <row r="152" spans="1:25" ht="15.6" x14ac:dyDescent="0.3">
      <c r="A152" s="24"/>
      <c r="B152" s="25" t="s">
        <v>46</v>
      </c>
      <c r="C152" s="25"/>
      <c r="D152" s="25"/>
      <c r="E152" s="25"/>
      <c r="F152" s="25"/>
      <c r="G152" s="25"/>
      <c r="H152" s="25"/>
      <c r="I152" s="25"/>
      <c r="J152" s="25"/>
      <c r="K152" s="25"/>
      <c r="L152" s="25"/>
      <c r="M152" s="25"/>
      <c r="N152" s="25"/>
      <c r="O152" s="25"/>
      <c r="P152" s="25"/>
      <c r="Q152" s="25"/>
      <c r="R152" s="25"/>
      <c r="S152" s="25"/>
      <c r="T152" s="25"/>
      <c r="U152" s="25"/>
      <c r="V152" s="53">
        <f>SUM(V144:V151)</f>
        <v>28505</v>
      </c>
      <c r="W152" s="25"/>
      <c r="X152" s="5"/>
    </row>
    <row r="153" spans="1:25" ht="15.6" x14ac:dyDescent="0.3">
      <c r="A153" s="24"/>
      <c r="B153" s="25"/>
      <c r="C153" s="25"/>
      <c r="D153" s="25"/>
      <c r="E153" s="25"/>
      <c r="F153" s="25"/>
      <c r="G153" s="25"/>
      <c r="H153" s="25"/>
      <c r="I153" s="25"/>
      <c r="J153" s="25"/>
      <c r="K153" s="25"/>
      <c r="L153" s="25"/>
      <c r="M153" s="25"/>
      <c r="N153" s="25"/>
      <c r="O153" s="25"/>
      <c r="P153" s="25"/>
      <c r="Q153" s="25"/>
      <c r="R153" s="25"/>
      <c r="S153" s="25"/>
      <c r="T153" s="25"/>
      <c r="U153" s="25"/>
      <c r="V153" s="53"/>
      <c r="W153" s="25"/>
      <c r="X153" s="5"/>
    </row>
    <row r="154" spans="1:25" ht="15.6" x14ac:dyDescent="0.3">
      <c r="A154" s="24"/>
      <c r="B154" s="136" t="s">
        <v>237</v>
      </c>
      <c r="C154" s="25"/>
      <c r="D154" s="25"/>
      <c r="E154" s="25"/>
      <c r="F154" s="25"/>
      <c r="G154" s="25"/>
      <c r="H154" s="25"/>
      <c r="I154" s="25"/>
      <c r="J154" s="25"/>
      <c r="K154" s="25"/>
      <c r="L154" s="25"/>
      <c r="M154" s="25"/>
      <c r="N154" s="25"/>
      <c r="O154" s="25"/>
      <c r="P154" s="25"/>
      <c r="Q154" s="25"/>
      <c r="R154" s="25"/>
      <c r="S154" s="25"/>
      <c r="T154" s="25"/>
      <c r="U154" s="25"/>
      <c r="V154" s="53"/>
      <c r="W154" s="25"/>
      <c r="X154" s="5"/>
    </row>
    <row r="155" spans="1:25" ht="15.6" x14ac:dyDescent="0.3">
      <c r="A155" s="24"/>
      <c r="B155" s="25" t="s">
        <v>155</v>
      </c>
      <c r="C155" s="25"/>
      <c r="D155" s="25"/>
      <c r="E155" s="25"/>
      <c r="F155" s="25"/>
      <c r="G155" s="25"/>
      <c r="H155" s="25"/>
      <c r="I155" s="25"/>
      <c r="J155" s="25"/>
      <c r="K155" s="25"/>
      <c r="L155" s="25"/>
      <c r="M155" s="25"/>
      <c r="N155" s="25"/>
      <c r="O155" s="25"/>
      <c r="P155" s="25"/>
      <c r="Q155" s="25"/>
      <c r="R155" s="25"/>
      <c r="S155" s="25"/>
      <c r="T155" s="25"/>
      <c r="U155" s="25"/>
      <c r="V155" s="53">
        <v>7500</v>
      </c>
      <c r="W155" s="25"/>
      <c r="X155" s="5"/>
    </row>
    <row r="156" spans="1:25" ht="15.6" x14ac:dyDescent="0.3">
      <c r="A156" s="24"/>
      <c r="B156" s="25" t="s">
        <v>172</v>
      </c>
      <c r="C156" s="25"/>
      <c r="D156" s="25"/>
      <c r="E156" s="25"/>
      <c r="F156" s="25"/>
      <c r="G156" s="25"/>
      <c r="H156" s="25"/>
      <c r="I156" s="25"/>
      <c r="J156" s="25"/>
      <c r="K156" s="25"/>
      <c r="L156" s="25"/>
      <c r="M156" s="25"/>
      <c r="N156" s="25"/>
      <c r="O156" s="25"/>
      <c r="P156" s="25"/>
      <c r="Q156" s="25"/>
      <c r="R156" s="25"/>
      <c r="S156" s="25"/>
      <c r="T156" s="25"/>
      <c r="U156" s="25"/>
      <c r="V156" s="53">
        <v>0</v>
      </c>
      <c r="W156" s="25"/>
      <c r="X156" s="5"/>
    </row>
    <row r="157" spans="1:25" ht="15.6" x14ac:dyDescent="0.3">
      <c r="A157" s="24"/>
      <c r="B157" s="25" t="s">
        <v>241</v>
      </c>
      <c r="C157" s="25"/>
      <c r="D157" s="25"/>
      <c r="E157" s="25"/>
      <c r="F157" s="25"/>
      <c r="G157" s="25"/>
      <c r="H157" s="25"/>
      <c r="I157" s="25"/>
      <c r="J157" s="25"/>
      <c r="K157" s="25"/>
      <c r="L157" s="25"/>
      <c r="M157" s="25"/>
      <c r="N157" s="25"/>
      <c r="O157" s="25"/>
      <c r="P157" s="25"/>
      <c r="Q157" s="25"/>
      <c r="R157" s="25"/>
      <c r="S157" s="25"/>
      <c r="T157" s="25"/>
      <c r="U157" s="25"/>
      <c r="V157" s="53">
        <v>3000</v>
      </c>
      <c r="W157" s="25"/>
      <c r="X157" s="5"/>
    </row>
    <row r="158" spans="1:25" ht="15.6" x14ac:dyDescent="0.3">
      <c r="A158" s="24"/>
      <c r="B158" s="25"/>
      <c r="C158" s="25"/>
      <c r="D158" s="25"/>
      <c r="E158" s="25"/>
      <c r="F158" s="25"/>
      <c r="G158" s="25"/>
      <c r="H158" s="25"/>
      <c r="I158" s="25"/>
      <c r="J158" s="25"/>
      <c r="K158" s="25"/>
      <c r="L158" s="25"/>
      <c r="M158" s="25"/>
      <c r="N158" s="25"/>
      <c r="O158" s="25"/>
      <c r="P158" s="25"/>
      <c r="Q158" s="25"/>
      <c r="R158" s="25"/>
      <c r="S158" s="25"/>
      <c r="T158" s="25"/>
      <c r="U158" s="25"/>
      <c r="V158" s="53"/>
      <c r="W158" s="25"/>
      <c r="X158" s="5"/>
    </row>
    <row r="159" spans="1:25" ht="15.6" x14ac:dyDescent="0.3">
      <c r="A159" s="24"/>
      <c r="B159" s="25"/>
      <c r="C159" s="25"/>
      <c r="D159" s="25"/>
      <c r="E159" s="25"/>
      <c r="F159" s="25"/>
      <c r="G159" s="25"/>
      <c r="H159" s="25"/>
      <c r="I159" s="25"/>
      <c r="J159" s="25"/>
      <c r="K159" s="25"/>
      <c r="L159" s="25"/>
      <c r="M159" s="25"/>
      <c r="N159" s="25"/>
      <c r="O159" s="25"/>
      <c r="P159" s="25"/>
      <c r="Q159" s="25"/>
      <c r="R159" s="25"/>
      <c r="S159" s="25"/>
      <c r="T159" s="25"/>
      <c r="U159" s="25"/>
      <c r="V159" s="61"/>
      <c r="W159" s="25"/>
      <c r="X159" s="5"/>
    </row>
    <row r="160" spans="1:25" ht="15.6" x14ac:dyDescent="0.3">
      <c r="A160" s="6"/>
      <c r="B160" s="119" t="s">
        <v>24</v>
      </c>
      <c r="C160" s="8"/>
      <c r="D160" s="8"/>
      <c r="E160" s="8"/>
      <c r="F160" s="8"/>
      <c r="G160" s="8"/>
      <c r="H160" s="8"/>
      <c r="I160" s="8"/>
      <c r="J160" s="8"/>
      <c r="K160" s="8"/>
      <c r="L160" s="8"/>
      <c r="M160" s="8"/>
      <c r="N160" s="8"/>
      <c r="O160" s="8"/>
      <c r="P160" s="8"/>
      <c r="Q160" s="8"/>
      <c r="R160" s="8"/>
      <c r="S160" s="8"/>
      <c r="T160" s="8"/>
      <c r="U160" s="8"/>
      <c r="V160" s="52"/>
      <c r="W160" s="8"/>
      <c r="X160" s="5"/>
    </row>
    <row r="161" spans="1:256" ht="15.6" x14ac:dyDescent="0.3">
      <c r="A161" s="24"/>
      <c r="B161" s="25" t="s">
        <v>47</v>
      </c>
      <c r="C161" s="25"/>
      <c r="D161" s="25"/>
      <c r="E161" s="25"/>
      <c r="F161" s="25"/>
      <c r="G161" s="25"/>
      <c r="H161" s="25"/>
      <c r="I161" s="25"/>
      <c r="J161" s="25"/>
      <c r="K161" s="25"/>
      <c r="L161" s="25"/>
      <c r="M161" s="25"/>
      <c r="N161" s="25"/>
      <c r="O161" s="25"/>
      <c r="P161" s="25"/>
      <c r="Q161" s="25"/>
      <c r="R161" s="25"/>
      <c r="S161" s="25"/>
      <c r="T161" s="25"/>
      <c r="U161" s="25"/>
      <c r="V161" s="59" t="s">
        <v>118</v>
      </c>
      <c r="W161" s="25"/>
      <c r="X161" s="5"/>
    </row>
    <row r="162" spans="1:256" ht="15.6" x14ac:dyDescent="0.3">
      <c r="A162" s="24"/>
      <c r="B162" s="25" t="s">
        <v>48</v>
      </c>
      <c r="C162" s="174"/>
      <c r="D162" s="174"/>
      <c r="E162" s="174"/>
      <c r="F162" s="174"/>
      <c r="G162" s="174"/>
      <c r="H162" s="174"/>
      <c r="I162" s="174"/>
      <c r="J162" s="174"/>
      <c r="K162" s="174"/>
      <c r="L162" s="174"/>
      <c r="M162" s="174"/>
      <c r="N162" s="174"/>
      <c r="O162" s="174"/>
      <c r="P162" s="174"/>
      <c r="Q162" s="174"/>
      <c r="R162" s="174"/>
      <c r="S162" s="174"/>
      <c r="T162" s="174"/>
      <c r="U162" s="174"/>
      <c r="V162" s="59" t="s">
        <v>118</v>
      </c>
      <c r="W162" s="25"/>
      <c r="X162" s="5"/>
    </row>
    <row r="163" spans="1:256" ht="15.6" x14ac:dyDescent="0.3">
      <c r="A163" s="24"/>
      <c r="B163" s="25" t="s">
        <v>49</v>
      </c>
      <c r="C163" s="25"/>
      <c r="D163" s="25"/>
      <c r="E163" s="25"/>
      <c r="F163" s="25"/>
      <c r="G163" s="25"/>
      <c r="H163" s="25"/>
      <c r="I163" s="25"/>
      <c r="J163" s="25"/>
      <c r="K163" s="25"/>
      <c r="L163" s="25"/>
      <c r="M163" s="25"/>
      <c r="N163" s="25"/>
      <c r="O163" s="25"/>
      <c r="P163" s="25"/>
      <c r="Q163" s="25"/>
      <c r="R163" s="25"/>
      <c r="S163" s="25"/>
      <c r="T163" s="25"/>
      <c r="U163" s="25"/>
      <c r="V163" s="59" t="s">
        <v>118</v>
      </c>
      <c r="W163" s="25"/>
      <c r="X163" s="5"/>
    </row>
    <row r="164" spans="1:256" ht="15.6" x14ac:dyDescent="0.3">
      <c r="A164" s="24"/>
      <c r="B164" s="25" t="s">
        <v>50</v>
      </c>
      <c r="C164" s="25"/>
      <c r="D164" s="25"/>
      <c r="E164" s="25"/>
      <c r="F164" s="25"/>
      <c r="G164" s="25"/>
      <c r="H164" s="25"/>
      <c r="I164" s="25"/>
      <c r="J164" s="25"/>
      <c r="K164" s="25"/>
      <c r="L164" s="25"/>
      <c r="M164" s="25"/>
      <c r="N164" s="25"/>
      <c r="O164" s="25"/>
      <c r="P164" s="25"/>
      <c r="Q164" s="25"/>
      <c r="R164" s="25"/>
      <c r="S164" s="25"/>
      <c r="T164" s="25"/>
      <c r="U164" s="25"/>
      <c r="V164" s="59" t="s">
        <v>118</v>
      </c>
      <c r="W164" s="25"/>
      <c r="X164" s="5"/>
    </row>
    <row r="165" spans="1:256" ht="15.6" x14ac:dyDescent="0.3">
      <c r="A165" s="24"/>
      <c r="B165" s="25"/>
      <c r="C165" s="25"/>
      <c r="D165" s="25"/>
      <c r="E165" s="25"/>
      <c r="F165" s="25"/>
      <c r="G165" s="25"/>
      <c r="H165" s="25"/>
      <c r="I165" s="25"/>
      <c r="J165" s="25"/>
      <c r="K165" s="25"/>
      <c r="L165" s="25"/>
      <c r="M165" s="25"/>
      <c r="N165" s="25"/>
      <c r="O165" s="25"/>
      <c r="P165" s="25"/>
      <c r="Q165" s="25"/>
      <c r="R165" s="25"/>
      <c r="S165" s="25"/>
      <c r="T165" s="25"/>
      <c r="U165" s="25"/>
      <c r="V165" s="61"/>
      <c r="W165" s="25"/>
      <c r="X165" s="5"/>
    </row>
    <row r="166" spans="1:256" ht="15.6" x14ac:dyDescent="0.3">
      <c r="A166" s="6"/>
      <c r="B166" s="119" t="s">
        <v>51</v>
      </c>
      <c r="C166" s="8"/>
      <c r="D166" s="8"/>
      <c r="E166" s="8"/>
      <c r="F166" s="8"/>
      <c r="G166" s="8"/>
      <c r="H166" s="8"/>
      <c r="I166" s="8"/>
      <c r="J166" s="8"/>
      <c r="K166" s="8"/>
      <c r="L166" s="8"/>
      <c r="M166" s="8"/>
      <c r="N166" s="8"/>
      <c r="O166" s="8"/>
      <c r="P166" s="8"/>
      <c r="Q166" s="8"/>
      <c r="R166" s="8"/>
      <c r="S166" s="8"/>
      <c r="T166" s="8"/>
      <c r="U166" s="8"/>
      <c r="V166" s="63"/>
      <c r="W166" s="8"/>
      <c r="X166" s="5"/>
    </row>
    <row r="167" spans="1:256" ht="15.6" x14ac:dyDescent="0.3">
      <c r="A167" s="24"/>
      <c r="B167" s="25" t="s">
        <v>52</v>
      </c>
      <c r="C167" s="25"/>
      <c r="D167" s="25"/>
      <c r="E167" s="25"/>
      <c r="F167" s="25"/>
      <c r="G167" s="25"/>
      <c r="H167" s="25"/>
      <c r="I167" s="25"/>
      <c r="J167" s="25"/>
      <c r="K167" s="25"/>
      <c r="L167" s="25"/>
      <c r="M167" s="25"/>
      <c r="N167" s="25"/>
      <c r="O167" s="25"/>
      <c r="P167" s="25"/>
      <c r="Q167" s="25"/>
      <c r="R167" s="25"/>
      <c r="S167" s="25"/>
      <c r="T167" s="25"/>
      <c r="U167" s="25"/>
      <c r="V167" s="53">
        <v>0</v>
      </c>
      <c r="W167" s="25"/>
      <c r="X167" s="5"/>
    </row>
    <row r="168" spans="1:256" ht="15.6" x14ac:dyDescent="0.3">
      <c r="A168" s="24"/>
      <c r="B168" s="25" t="s">
        <v>53</v>
      </c>
      <c r="C168" s="25"/>
      <c r="D168" s="25"/>
      <c r="E168" s="25"/>
      <c r="F168" s="25"/>
      <c r="G168" s="25"/>
      <c r="H168" s="25"/>
      <c r="I168" s="25"/>
      <c r="J168" s="25"/>
      <c r="K168" s="25"/>
      <c r="L168" s="25"/>
      <c r="M168" s="25"/>
      <c r="N168" s="25"/>
      <c r="O168" s="25"/>
      <c r="P168" s="25"/>
      <c r="Q168" s="25"/>
      <c r="R168" s="25"/>
      <c r="S168" s="25"/>
      <c r="T168" s="25"/>
      <c r="U168" s="25"/>
      <c r="V168" s="53">
        <v>26</v>
      </c>
      <c r="W168" s="25"/>
      <c r="X168" s="5"/>
    </row>
    <row r="169" spans="1:256" ht="15.6" x14ac:dyDescent="0.3">
      <c r="A169" s="24"/>
      <c r="B169" s="25" t="s">
        <v>54</v>
      </c>
      <c r="C169" s="25"/>
      <c r="D169" s="25"/>
      <c r="E169" s="25"/>
      <c r="F169" s="25"/>
      <c r="G169" s="25"/>
      <c r="H169" s="25"/>
      <c r="I169" s="25"/>
      <c r="J169" s="25"/>
      <c r="K169" s="25"/>
      <c r="L169" s="25"/>
      <c r="M169" s="25"/>
      <c r="N169" s="25"/>
      <c r="O169" s="25"/>
      <c r="P169" s="25"/>
      <c r="Q169" s="25"/>
      <c r="R169" s="25"/>
      <c r="S169" s="25"/>
      <c r="T169" s="25"/>
      <c r="U169" s="25"/>
      <c r="V169" s="53">
        <f>V168+V167</f>
        <v>26</v>
      </c>
      <c r="W169" s="25"/>
      <c r="X169" s="5"/>
    </row>
    <row r="170" spans="1:256" ht="15.6" x14ac:dyDescent="0.3">
      <c r="A170" s="24"/>
      <c r="B170" s="25" t="s">
        <v>315</v>
      </c>
      <c r="C170" s="25"/>
      <c r="D170" s="25"/>
      <c r="E170" s="25"/>
      <c r="F170" s="25"/>
      <c r="G170" s="25"/>
      <c r="H170" s="25"/>
      <c r="I170" s="25"/>
      <c r="J170" s="25"/>
      <c r="K170" s="25"/>
      <c r="L170" s="25"/>
      <c r="M170" s="25"/>
      <c r="N170" s="25"/>
      <c r="O170" s="25"/>
      <c r="P170" s="25"/>
      <c r="Q170" s="25"/>
      <c r="R170" s="25"/>
      <c r="S170" s="25"/>
      <c r="T170" s="25"/>
      <c r="U170" s="25"/>
      <c r="V170" s="53">
        <f>V116</f>
        <v>-26</v>
      </c>
      <c r="W170" s="25"/>
      <c r="X170" s="5"/>
    </row>
    <row r="171" spans="1:256" ht="15.6" x14ac:dyDescent="0.3">
      <c r="A171" s="24"/>
      <c r="B171" s="25" t="s">
        <v>55</v>
      </c>
      <c r="C171" s="25"/>
      <c r="D171" s="25"/>
      <c r="E171" s="25"/>
      <c r="F171" s="25"/>
      <c r="G171" s="25"/>
      <c r="H171" s="25"/>
      <c r="I171" s="25"/>
      <c r="J171" s="25"/>
      <c r="K171" s="25"/>
      <c r="L171" s="25"/>
      <c r="M171" s="25"/>
      <c r="N171" s="25"/>
      <c r="O171" s="25"/>
      <c r="P171" s="25"/>
      <c r="Q171" s="25"/>
      <c r="R171" s="25"/>
      <c r="S171" s="25"/>
      <c r="T171" s="25"/>
      <c r="U171" s="25"/>
      <c r="V171" s="53">
        <f>V169+V170</f>
        <v>0</v>
      </c>
      <c r="W171" s="25"/>
      <c r="X171" s="5"/>
    </row>
    <row r="172" spans="1:256" ht="16.2" thickBot="1" x14ac:dyDescent="0.35">
      <c r="A172" s="24"/>
      <c r="B172" s="25"/>
      <c r="C172" s="25"/>
      <c r="D172" s="25"/>
      <c r="E172" s="25"/>
      <c r="F172" s="25"/>
      <c r="G172" s="25"/>
      <c r="H172" s="25"/>
      <c r="I172" s="25"/>
      <c r="J172" s="25"/>
      <c r="K172" s="25"/>
      <c r="L172" s="25"/>
      <c r="M172" s="25"/>
      <c r="N172" s="25"/>
      <c r="O172" s="25"/>
      <c r="P172" s="25"/>
      <c r="Q172" s="25"/>
      <c r="R172" s="25"/>
      <c r="S172" s="25"/>
      <c r="T172" s="25"/>
      <c r="U172" s="25"/>
      <c r="V172" s="61"/>
      <c r="W172" s="25"/>
      <c r="X172" s="5"/>
    </row>
    <row r="173" spans="1:256" ht="15.6" x14ac:dyDescent="0.3">
      <c r="A173" s="2"/>
      <c r="B173" s="4"/>
      <c r="C173" s="4"/>
      <c r="D173" s="4"/>
      <c r="E173" s="4"/>
      <c r="F173" s="4"/>
      <c r="G173" s="4"/>
      <c r="H173" s="4"/>
      <c r="I173" s="4"/>
      <c r="J173" s="4"/>
      <c r="K173" s="4"/>
      <c r="L173" s="4"/>
      <c r="M173" s="4"/>
      <c r="N173" s="4"/>
      <c r="O173" s="4"/>
      <c r="P173" s="4"/>
      <c r="Q173" s="4"/>
      <c r="R173" s="4"/>
      <c r="S173" s="4"/>
      <c r="T173" s="4"/>
      <c r="U173" s="4"/>
      <c r="V173" s="50"/>
      <c r="W173" s="4"/>
      <c r="X173" s="5"/>
    </row>
    <row r="174" spans="1:256" s="161" customFormat="1" ht="15.6" x14ac:dyDescent="0.3">
      <c r="A174" s="6"/>
      <c r="B174" s="119" t="s">
        <v>269</v>
      </c>
      <c r="C174" s="160"/>
      <c r="D174" s="160"/>
      <c r="E174" s="160"/>
      <c r="F174" s="160"/>
      <c r="G174" s="160"/>
      <c r="H174" s="160"/>
      <c r="I174" s="160"/>
      <c r="J174" s="160"/>
      <c r="K174" s="160"/>
      <c r="L174" s="160"/>
      <c r="M174" s="160"/>
      <c r="N174" s="160"/>
      <c r="O174" s="160"/>
      <c r="P174" s="160"/>
      <c r="Q174" s="160"/>
      <c r="R174" s="160"/>
      <c r="S174" s="160"/>
      <c r="T174" s="160"/>
      <c r="U174" s="160"/>
      <c r="V174" s="168"/>
      <c r="W174" s="160"/>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5.6" x14ac:dyDescent="0.3">
      <c r="A175" s="24"/>
      <c r="B175" s="162" t="s">
        <v>270</v>
      </c>
      <c r="C175" s="162"/>
      <c r="D175" s="162"/>
      <c r="E175" s="162"/>
      <c r="F175" s="162"/>
      <c r="G175" s="162"/>
      <c r="H175" s="162"/>
      <c r="I175" s="162"/>
      <c r="J175" s="162"/>
      <c r="K175" s="162"/>
      <c r="L175" s="162"/>
      <c r="M175" s="162"/>
      <c r="N175" s="162"/>
      <c r="O175" s="162"/>
      <c r="P175" s="162"/>
      <c r="Q175" s="162"/>
      <c r="R175" s="162"/>
      <c r="S175" s="162"/>
      <c r="T175" s="162"/>
      <c r="U175" s="162"/>
      <c r="V175" s="169">
        <f>+'May 08'!V177</f>
        <v>513</v>
      </c>
      <c r="W175" s="162"/>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3" customFormat="1" ht="15.6" x14ac:dyDescent="0.3">
      <c r="A176" s="24"/>
      <c r="B176" s="162" t="s">
        <v>273</v>
      </c>
      <c r="C176" s="162"/>
      <c r="D176" s="162"/>
      <c r="E176" s="162"/>
      <c r="F176" s="162"/>
      <c r="G176" s="162"/>
      <c r="H176" s="162"/>
      <c r="I176" s="162"/>
      <c r="J176" s="162"/>
      <c r="K176" s="162"/>
      <c r="L176" s="162"/>
      <c r="M176" s="162"/>
      <c r="N176" s="162"/>
      <c r="O176" s="162"/>
      <c r="P176" s="162"/>
      <c r="Q176" s="162"/>
      <c r="R176" s="162"/>
      <c r="S176" s="162"/>
      <c r="T176" s="162"/>
      <c r="U176" s="162"/>
      <c r="V176" s="169">
        <f>+V95</f>
        <v>513</v>
      </c>
      <c r="W176" s="162"/>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s="163" customFormat="1" ht="15.6" x14ac:dyDescent="0.3">
      <c r="A177" s="24"/>
      <c r="B177" s="162" t="s">
        <v>271</v>
      </c>
      <c r="C177" s="162"/>
      <c r="D177" s="162"/>
      <c r="E177" s="162"/>
      <c r="F177" s="162"/>
      <c r="G177" s="162"/>
      <c r="H177" s="162"/>
      <c r="I177" s="162"/>
      <c r="J177" s="162"/>
      <c r="K177" s="162"/>
      <c r="L177" s="162"/>
      <c r="M177" s="162"/>
      <c r="N177" s="162"/>
      <c r="O177" s="162"/>
      <c r="P177" s="162"/>
      <c r="Q177" s="162"/>
      <c r="R177" s="162"/>
      <c r="S177" s="162"/>
      <c r="T177" s="162"/>
      <c r="U177" s="162"/>
      <c r="V177" s="169">
        <f>+V175-V176</f>
        <v>0</v>
      </c>
      <c r="W177" s="162"/>
      <c r="X177" s="5"/>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s="166" customFormat="1" ht="16.2" thickBot="1" x14ac:dyDescent="0.35">
      <c r="A178" s="170"/>
      <c r="B178" s="164"/>
      <c r="C178" s="164"/>
      <c r="D178" s="164"/>
      <c r="E178" s="164"/>
      <c r="F178" s="164"/>
      <c r="G178" s="164"/>
      <c r="H178" s="164"/>
      <c r="I178" s="164"/>
      <c r="J178" s="164"/>
      <c r="K178" s="164"/>
      <c r="L178" s="164"/>
      <c r="M178" s="164"/>
      <c r="N178" s="164"/>
      <c r="O178" s="164"/>
      <c r="P178" s="164"/>
      <c r="Q178" s="164"/>
      <c r="R178" s="164"/>
      <c r="S178" s="164"/>
      <c r="T178" s="164"/>
      <c r="U178" s="164"/>
      <c r="V178" s="165"/>
      <c r="W178" s="164"/>
      <c r="X178" s="5"/>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s="167" customFormat="1" ht="15.6" x14ac:dyDescent="0.3">
      <c r="A179" s="2"/>
      <c r="B179" s="4"/>
      <c r="C179" s="4"/>
      <c r="D179" s="4"/>
      <c r="E179" s="4"/>
      <c r="F179" s="4"/>
      <c r="G179" s="4"/>
      <c r="H179" s="4"/>
      <c r="I179" s="4"/>
      <c r="J179" s="4"/>
      <c r="K179" s="4"/>
      <c r="L179" s="4"/>
      <c r="M179" s="4"/>
      <c r="N179" s="4"/>
      <c r="O179" s="4"/>
      <c r="P179" s="4"/>
      <c r="Q179" s="4"/>
      <c r="R179" s="4"/>
      <c r="S179" s="4"/>
      <c r="T179" s="4"/>
      <c r="U179" s="4"/>
      <c r="V179" s="50"/>
      <c r="W179" s="4"/>
      <c r="X179" s="5"/>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ht="15.6" x14ac:dyDescent="0.3">
      <c r="A180" s="6"/>
      <c r="B180" s="119" t="s">
        <v>56</v>
      </c>
      <c r="C180" s="8"/>
      <c r="D180" s="8"/>
      <c r="E180" s="8"/>
      <c r="F180" s="8"/>
      <c r="G180" s="8"/>
      <c r="H180" s="8"/>
      <c r="I180" s="8"/>
      <c r="J180" s="8"/>
      <c r="K180" s="8"/>
      <c r="L180" s="8"/>
      <c r="M180" s="8"/>
      <c r="N180" s="8"/>
      <c r="O180" s="8"/>
      <c r="P180" s="8"/>
      <c r="Q180" s="8"/>
      <c r="R180" s="8"/>
      <c r="S180" s="8"/>
      <c r="T180" s="8"/>
      <c r="U180" s="8"/>
      <c r="V180" s="52"/>
      <c r="W180" s="8"/>
      <c r="X180" s="5"/>
    </row>
    <row r="181" spans="1:256" ht="15.6" x14ac:dyDescent="0.3">
      <c r="A181" s="6"/>
      <c r="B181" s="21"/>
      <c r="C181" s="8"/>
      <c r="D181" s="8"/>
      <c r="E181" s="8"/>
      <c r="F181" s="8"/>
      <c r="G181" s="8"/>
      <c r="H181" s="8"/>
      <c r="I181" s="8"/>
      <c r="J181" s="8"/>
      <c r="K181" s="8"/>
      <c r="L181" s="8"/>
      <c r="M181" s="8"/>
      <c r="N181" s="8"/>
      <c r="O181" s="8"/>
      <c r="P181" s="8"/>
      <c r="Q181" s="8"/>
      <c r="R181" s="8"/>
      <c r="S181" s="8"/>
      <c r="T181" s="8"/>
      <c r="U181" s="8"/>
      <c r="V181" s="52"/>
      <c r="W181" s="8"/>
      <c r="X181" s="5"/>
    </row>
    <row r="182" spans="1:256" ht="15.6" x14ac:dyDescent="0.3">
      <c r="A182" s="24"/>
      <c r="B182" s="25" t="s">
        <v>57</v>
      </c>
      <c r="C182" s="25"/>
      <c r="D182" s="25"/>
      <c r="E182" s="25"/>
      <c r="F182" s="25"/>
      <c r="G182" s="25"/>
      <c r="H182" s="25"/>
      <c r="I182" s="25"/>
      <c r="J182" s="25"/>
      <c r="K182" s="25"/>
      <c r="L182" s="25"/>
      <c r="M182" s="25"/>
      <c r="N182" s="25"/>
      <c r="O182" s="25"/>
      <c r="P182" s="25"/>
      <c r="Q182" s="25"/>
      <c r="R182" s="25"/>
      <c r="S182" s="25"/>
      <c r="T182" s="25"/>
      <c r="U182" s="25"/>
      <c r="V182" s="53">
        <f>V72</f>
        <v>1321379</v>
      </c>
      <c r="W182" s="25"/>
      <c r="X182" s="5"/>
    </row>
    <row r="183" spans="1:256" ht="15.6" x14ac:dyDescent="0.3">
      <c r="A183" s="24"/>
      <c r="B183" s="25" t="s">
        <v>58</v>
      </c>
      <c r="C183" s="25"/>
      <c r="D183" s="25"/>
      <c r="E183" s="25"/>
      <c r="F183" s="25"/>
      <c r="G183" s="25"/>
      <c r="H183" s="25"/>
      <c r="I183" s="25"/>
      <c r="J183" s="25"/>
      <c r="K183" s="25"/>
      <c r="L183" s="25"/>
      <c r="M183" s="25"/>
      <c r="N183" s="25"/>
      <c r="O183" s="25"/>
      <c r="P183" s="25"/>
      <c r="Q183" s="25"/>
      <c r="R183" s="25"/>
      <c r="S183" s="25"/>
      <c r="T183" s="25"/>
      <c r="U183" s="25"/>
      <c r="V183" s="53">
        <f>V85</f>
        <v>1321379</v>
      </c>
      <c r="W183" s="25"/>
      <c r="X183" s="5"/>
    </row>
    <row r="184" spans="1:256" ht="16.2" thickBot="1" x14ac:dyDescent="0.35">
      <c r="A184" s="24"/>
      <c r="B184" s="25"/>
      <c r="C184" s="25"/>
      <c r="D184" s="25"/>
      <c r="E184" s="25"/>
      <c r="F184" s="25"/>
      <c r="G184" s="25"/>
      <c r="H184" s="25"/>
      <c r="I184" s="25"/>
      <c r="J184" s="25"/>
      <c r="K184" s="25"/>
      <c r="L184" s="25"/>
      <c r="M184" s="25"/>
      <c r="N184" s="25"/>
      <c r="O184" s="25"/>
      <c r="P184" s="25"/>
      <c r="Q184" s="25"/>
      <c r="R184" s="25"/>
      <c r="S184" s="25"/>
      <c r="T184" s="25"/>
      <c r="U184" s="25"/>
      <c r="V184" s="61"/>
      <c r="W184" s="25"/>
      <c r="X184" s="5"/>
    </row>
    <row r="185" spans="1:256" ht="15.6" x14ac:dyDescent="0.3">
      <c r="A185" s="2"/>
      <c r="B185" s="4"/>
      <c r="C185" s="4"/>
      <c r="D185" s="4"/>
      <c r="E185" s="4"/>
      <c r="F185" s="4"/>
      <c r="G185" s="4"/>
      <c r="H185" s="4"/>
      <c r="I185" s="4"/>
      <c r="J185" s="4"/>
      <c r="K185" s="4"/>
      <c r="L185" s="4"/>
      <c r="M185" s="4"/>
      <c r="N185" s="4"/>
      <c r="O185" s="4"/>
      <c r="P185" s="4"/>
      <c r="Q185" s="4"/>
      <c r="R185" s="4"/>
      <c r="S185" s="4"/>
      <c r="T185" s="4"/>
      <c r="U185" s="4"/>
      <c r="V185" s="50"/>
      <c r="W185" s="4"/>
      <c r="X185" s="5"/>
    </row>
    <row r="186" spans="1:256" ht="15.6" x14ac:dyDescent="0.3">
      <c r="A186" s="6"/>
      <c r="B186" s="119" t="s">
        <v>59</v>
      </c>
      <c r="C186" s="117"/>
      <c r="D186" s="117"/>
      <c r="E186" s="117"/>
      <c r="F186" s="117"/>
      <c r="G186" s="117"/>
      <c r="H186" s="120"/>
      <c r="I186" s="120"/>
      <c r="J186" s="120"/>
      <c r="K186" s="120"/>
      <c r="L186" s="120"/>
      <c r="M186" s="120"/>
      <c r="N186" s="120"/>
      <c r="O186" s="120"/>
      <c r="P186" s="120"/>
      <c r="Q186" s="120"/>
      <c r="R186" s="120"/>
      <c r="S186" s="120" t="s">
        <v>101</v>
      </c>
      <c r="T186" s="120" t="s">
        <v>176</v>
      </c>
      <c r="U186" s="111"/>
      <c r="V186" s="121" t="s">
        <v>114</v>
      </c>
      <c r="W186" s="10"/>
      <c r="X186" s="5"/>
    </row>
    <row r="187" spans="1:256" ht="15.6" x14ac:dyDescent="0.3">
      <c r="A187" s="24"/>
      <c r="B187" s="25" t="s">
        <v>60</v>
      </c>
      <c r="C187" s="25"/>
      <c r="D187" s="25"/>
      <c r="E187" s="25"/>
      <c r="F187" s="25"/>
      <c r="G187" s="25"/>
      <c r="H187" s="25"/>
      <c r="I187" s="25"/>
      <c r="J187" s="25"/>
      <c r="K187" s="25"/>
      <c r="L187" s="25"/>
      <c r="M187" s="25"/>
      <c r="N187" s="25"/>
      <c r="O187" s="25"/>
      <c r="P187" s="25"/>
      <c r="Q187" s="25"/>
      <c r="R187" s="25"/>
      <c r="S187" s="53">
        <f>+V34*0.16</f>
        <v>240044</v>
      </c>
      <c r="T187" s="40"/>
      <c r="U187" s="25"/>
      <c r="V187" s="53"/>
      <c r="W187" s="25"/>
      <c r="X187" s="5"/>
    </row>
    <row r="188" spans="1:256" ht="15.6" x14ac:dyDescent="0.3">
      <c r="A188" s="24"/>
      <c r="B188" s="25" t="s">
        <v>61</v>
      </c>
      <c r="C188" s="25"/>
      <c r="D188" s="25"/>
      <c r="E188" s="25"/>
      <c r="F188" s="25"/>
      <c r="G188" s="25"/>
      <c r="H188" s="25"/>
      <c r="I188" s="25"/>
      <c r="J188" s="25"/>
      <c r="K188" s="25"/>
      <c r="L188" s="25"/>
      <c r="M188" s="25"/>
      <c r="N188" s="25"/>
      <c r="O188" s="25"/>
      <c r="P188" s="25"/>
      <c r="Q188" s="25"/>
      <c r="R188" s="25"/>
      <c r="S188" s="53">
        <f>+'May 08'!S190</f>
        <v>18187</v>
      </c>
      <c r="T188" s="53">
        <f>+'May 08'!T190</f>
        <v>5588</v>
      </c>
      <c r="U188" s="25"/>
      <c r="V188" s="53">
        <f>S188+T188</f>
        <v>23775</v>
      </c>
      <c r="W188" s="25"/>
      <c r="X188" s="5"/>
    </row>
    <row r="189" spans="1:256" ht="15.6" x14ac:dyDescent="0.3">
      <c r="A189" s="24"/>
      <c r="B189" s="25" t="s">
        <v>62</v>
      </c>
      <c r="C189" s="25"/>
      <c r="D189" s="25"/>
      <c r="E189" s="25"/>
      <c r="F189" s="25"/>
      <c r="G189" s="25"/>
      <c r="H189" s="25"/>
      <c r="I189" s="25"/>
      <c r="J189" s="25"/>
      <c r="K189" s="25"/>
      <c r="L189" s="25"/>
      <c r="M189" s="25"/>
      <c r="N189" s="25"/>
      <c r="O189" s="25"/>
      <c r="P189" s="25"/>
      <c r="Q189" s="25"/>
      <c r="R189" s="25"/>
      <c r="S189" s="34">
        <f>1087+382</f>
        <v>1469</v>
      </c>
      <c r="T189" s="34">
        <v>224</v>
      </c>
      <c r="U189" s="25"/>
      <c r="V189" s="53">
        <f>S189+T189</f>
        <v>1693</v>
      </c>
      <c r="W189" s="25"/>
      <c r="X189" s="5"/>
    </row>
    <row r="190" spans="1:256" ht="15.6" x14ac:dyDescent="0.3">
      <c r="A190" s="24"/>
      <c r="B190" s="25" t="s">
        <v>63</v>
      </c>
      <c r="C190" s="25"/>
      <c r="D190" s="25"/>
      <c r="E190" s="25"/>
      <c r="F190" s="25"/>
      <c r="G190" s="25"/>
      <c r="H190" s="25"/>
      <c r="I190" s="25"/>
      <c r="J190" s="25"/>
      <c r="K190" s="25"/>
      <c r="L190" s="25"/>
      <c r="M190" s="25"/>
      <c r="N190" s="25"/>
      <c r="O190" s="25"/>
      <c r="P190" s="25"/>
      <c r="Q190" s="25"/>
      <c r="R190" s="25"/>
      <c r="S190" s="53">
        <f>S188+S189</f>
        <v>19656</v>
      </c>
      <c r="T190" s="53">
        <f>T189+T188</f>
        <v>5812</v>
      </c>
      <c r="U190" s="25"/>
      <c r="V190" s="53">
        <f>S190+T190</f>
        <v>25468</v>
      </c>
      <c r="W190" s="25"/>
      <c r="X190" s="5"/>
    </row>
    <row r="191" spans="1:256" ht="15.6" x14ac:dyDescent="0.3">
      <c r="A191" s="24"/>
      <c r="B191" s="25" t="s">
        <v>64</v>
      </c>
      <c r="C191" s="25"/>
      <c r="D191" s="25"/>
      <c r="E191" s="25"/>
      <c r="F191" s="25"/>
      <c r="G191" s="25"/>
      <c r="H191" s="25"/>
      <c r="I191" s="25"/>
      <c r="J191" s="25"/>
      <c r="K191" s="25"/>
      <c r="L191" s="25"/>
      <c r="M191" s="25"/>
      <c r="N191" s="25"/>
      <c r="O191" s="25"/>
      <c r="P191" s="25"/>
      <c r="Q191" s="25"/>
      <c r="R191" s="25"/>
      <c r="S191" s="53">
        <f>S187-S190-T190</f>
        <v>214576</v>
      </c>
      <c r="T191" s="40"/>
      <c r="U191" s="25"/>
      <c r="V191" s="53"/>
      <c r="W191" s="25"/>
      <c r="X191" s="5"/>
    </row>
    <row r="192" spans="1:256" ht="16.2" thickBot="1" x14ac:dyDescent="0.35">
      <c r="A192" s="24"/>
      <c r="B192" s="25"/>
      <c r="C192" s="25"/>
      <c r="D192" s="25"/>
      <c r="E192" s="25"/>
      <c r="F192" s="25"/>
      <c r="G192" s="25"/>
      <c r="H192" s="25"/>
      <c r="I192" s="25"/>
      <c r="J192" s="25"/>
      <c r="K192" s="25"/>
      <c r="L192" s="25"/>
      <c r="M192" s="25"/>
      <c r="N192" s="25"/>
      <c r="O192" s="25"/>
      <c r="P192" s="25"/>
      <c r="Q192" s="25"/>
      <c r="R192" s="25"/>
      <c r="S192" s="25"/>
      <c r="T192" s="25"/>
      <c r="U192" s="25"/>
      <c r="V192" s="61"/>
      <c r="W192" s="25"/>
      <c r="X192" s="5"/>
    </row>
    <row r="193" spans="1:24" ht="15.6" x14ac:dyDescent="0.3">
      <c r="A193" s="2"/>
      <c r="B193" s="4"/>
      <c r="C193" s="4"/>
      <c r="D193" s="4"/>
      <c r="E193" s="4"/>
      <c r="F193" s="4"/>
      <c r="G193" s="4"/>
      <c r="H193" s="4"/>
      <c r="I193" s="4"/>
      <c r="J193" s="4"/>
      <c r="K193" s="4"/>
      <c r="L193" s="4"/>
      <c r="M193" s="4"/>
      <c r="N193" s="4"/>
      <c r="O193" s="4"/>
      <c r="P193" s="4"/>
      <c r="Q193" s="4"/>
      <c r="R193" s="4"/>
      <c r="S193" s="4"/>
      <c r="T193" s="4"/>
      <c r="U193" s="4"/>
      <c r="V193" s="50"/>
      <c r="W193" s="4"/>
      <c r="X193" s="5"/>
    </row>
    <row r="194" spans="1:24" ht="15.6" x14ac:dyDescent="0.3">
      <c r="A194" s="6"/>
      <c r="B194" s="119" t="s">
        <v>65</v>
      </c>
      <c r="C194" s="8"/>
      <c r="D194" s="8"/>
      <c r="E194" s="8"/>
      <c r="F194" s="8"/>
      <c r="G194" s="8"/>
      <c r="H194" s="8"/>
      <c r="I194" s="8"/>
      <c r="J194" s="8"/>
      <c r="K194" s="8"/>
      <c r="L194" s="8"/>
      <c r="M194" s="8"/>
      <c r="N194" s="8"/>
      <c r="O194" s="8"/>
      <c r="P194" s="8"/>
      <c r="Q194" s="8"/>
      <c r="R194" s="8"/>
      <c r="S194" s="8"/>
      <c r="T194" s="8"/>
      <c r="U194" s="8"/>
      <c r="V194" s="65"/>
      <c r="W194" s="8"/>
      <c r="X194" s="5"/>
    </row>
    <row r="195" spans="1:24" ht="15.6" x14ac:dyDescent="0.3">
      <c r="A195" s="24"/>
      <c r="B195" s="25" t="s">
        <v>66</v>
      </c>
      <c r="C195" s="25"/>
      <c r="D195" s="25"/>
      <c r="E195" s="25"/>
      <c r="F195" s="25"/>
      <c r="G195" s="25"/>
      <c r="H195" s="25"/>
      <c r="I195" s="25"/>
      <c r="J195" s="25"/>
      <c r="K195" s="25"/>
      <c r="L195" s="25"/>
      <c r="M195" s="25"/>
      <c r="N195" s="25"/>
      <c r="O195" s="25"/>
      <c r="P195" s="25"/>
      <c r="Q195" s="25"/>
      <c r="R195" s="25"/>
      <c r="S195" s="25"/>
      <c r="T195" s="25"/>
      <c r="U195" s="25"/>
      <c r="V195" s="59">
        <f>(V102+V104+V105+V106+V107)/-(V108+V109)</f>
        <v>1.4645100686901897</v>
      </c>
      <c r="W195" s="25" t="s">
        <v>115</v>
      </c>
      <c r="X195" s="5"/>
    </row>
    <row r="196" spans="1:24" ht="15.6" x14ac:dyDescent="0.3">
      <c r="A196" s="24"/>
      <c r="B196" s="25" t="s">
        <v>67</v>
      </c>
      <c r="C196" s="25"/>
      <c r="D196" s="25"/>
      <c r="E196" s="25"/>
      <c r="F196" s="25"/>
      <c r="G196" s="25"/>
      <c r="H196" s="25"/>
      <c r="I196" s="25"/>
      <c r="J196" s="25"/>
      <c r="K196" s="25"/>
      <c r="L196" s="25"/>
      <c r="M196" s="25"/>
      <c r="N196" s="25"/>
      <c r="O196" s="25"/>
      <c r="P196" s="25"/>
      <c r="Q196" s="25"/>
      <c r="R196" s="25"/>
      <c r="S196" s="25"/>
      <c r="T196" s="25"/>
      <c r="U196" s="25"/>
      <c r="V196" s="66">
        <v>1.36</v>
      </c>
      <c r="W196" s="25" t="s">
        <v>115</v>
      </c>
      <c r="X196" s="5"/>
    </row>
    <row r="197" spans="1:24" ht="15.6" x14ac:dyDescent="0.3">
      <c r="A197" s="24"/>
      <c r="B197" s="25" t="s">
        <v>68</v>
      </c>
      <c r="C197" s="25"/>
      <c r="D197" s="25"/>
      <c r="E197" s="25"/>
      <c r="F197" s="25"/>
      <c r="G197" s="25"/>
      <c r="H197" s="25"/>
      <c r="I197" s="25"/>
      <c r="J197" s="25"/>
      <c r="K197" s="25"/>
      <c r="L197" s="25"/>
      <c r="M197" s="25"/>
      <c r="N197" s="25"/>
      <c r="O197" s="25"/>
      <c r="P197" s="25"/>
      <c r="Q197" s="25"/>
      <c r="R197" s="25"/>
      <c r="S197" s="25"/>
      <c r="T197" s="25"/>
      <c r="U197" s="25"/>
      <c r="V197" s="59">
        <f>(V102+V104+V105+V106+V107+V108+V109)/-(V111+V112)</f>
        <v>4.5813549507817024</v>
      </c>
      <c r="W197" s="25" t="s">
        <v>115</v>
      </c>
      <c r="X197" s="5"/>
    </row>
    <row r="198" spans="1:24" ht="15.6" x14ac:dyDescent="0.3">
      <c r="A198" s="24"/>
      <c r="B198" s="25" t="s">
        <v>69</v>
      </c>
      <c r="C198" s="25"/>
      <c r="D198" s="25"/>
      <c r="E198" s="25"/>
      <c r="F198" s="25"/>
      <c r="G198" s="25"/>
      <c r="H198" s="25"/>
      <c r="I198" s="25"/>
      <c r="J198" s="25"/>
      <c r="K198" s="25"/>
      <c r="L198" s="25"/>
      <c r="M198" s="25"/>
      <c r="N198" s="25"/>
      <c r="O198" s="25"/>
      <c r="P198" s="25"/>
      <c r="Q198" s="25"/>
      <c r="R198" s="25"/>
      <c r="S198" s="25"/>
      <c r="T198" s="25"/>
      <c r="U198" s="25"/>
      <c r="V198" s="66">
        <v>3.85</v>
      </c>
      <c r="W198" s="25" t="s">
        <v>115</v>
      </c>
      <c r="X198" s="5"/>
    </row>
    <row r="199" spans="1:24" ht="15.6" x14ac:dyDescent="0.3">
      <c r="A199" s="24"/>
      <c r="B199" s="25" t="s">
        <v>198</v>
      </c>
      <c r="C199" s="25"/>
      <c r="D199" s="25"/>
      <c r="E199" s="25"/>
      <c r="F199" s="25"/>
      <c r="G199" s="25"/>
      <c r="H199" s="25"/>
      <c r="I199" s="25"/>
      <c r="J199" s="25"/>
      <c r="K199" s="25"/>
      <c r="L199" s="25"/>
      <c r="M199" s="25"/>
      <c r="N199" s="25"/>
      <c r="O199" s="25"/>
      <c r="P199" s="25"/>
      <c r="Q199" s="25"/>
      <c r="R199" s="25"/>
      <c r="S199" s="25"/>
      <c r="T199" s="25"/>
      <c r="U199" s="25"/>
      <c r="V199" s="59">
        <f>(V102+V104+V105+V106+V107+V108+V109+V111+V112)/-(V113+V114)</f>
        <v>3.4533780011166946</v>
      </c>
      <c r="W199" s="25" t="s">
        <v>115</v>
      </c>
      <c r="X199" s="5"/>
    </row>
    <row r="200" spans="1:24" ht="15.6" x14ac:dyDescent="0.3">
      <c r="A200" s="24"/>
      <c r="B200" s="25" t="s">
        <v>199</v>
      </c>
      <c r="C200" s="25"/>
      <c r="D200" s="25"/>
      <c r="E200" s="25"/>
      <c r="F200" s="25"/>
      <c r="G200" s="25"/>
      <c r="H200" s="25"/>
      <c r="I200" s="25"/>
      <c r="J200" s="25"/>
      <c r="K200" s="25"/>
      <c r="L200" s="25"/>
      <c r="M200" s="25"/>
      <c r="N200" s="25"/>
      <c r="O200" s="25"/>
      <c r="P200" s="25"/>
      <c r="Q200" s="25"/>
      <c r="R200" s="25"/>
      <c r="S200" s="25"/>
      <c r="T200" s="25"/>
      <c r="U200" s="25"/>
      <c r="V200" s="66">
        <v>2.75</v>
      </c>
      <c r="W200" s="25" t="s">
        <v>115</v>
      </c>
      <c r="X200" s="5"/>
    </row>
    <row r="201" spans="1:24" ht="15.6" x14ac:dyDescent="0.3">
      <c r="A201" s="24"/>
      <c r="B201" s="25"/>
      <c r="C201" s="25"/>
      <c r="D201" s="25"/>
      <c r="E201" s="25"/>
      <c r="F201" s="25"/>
      <c r="G201" s="25"/>
      <c r="H201" s="25"/>
      <c r="I201" s="25"/>
      <c r="J201" s="25"/>
      <c r="K201" s="25"/>
      <c r="L201" s="25"/>
      <c r="M201" s="25"/>
      <c r="N201" s="25"/>
      <c r="O201" s="25"/>
      <c r="P201" s="25"/>
      <c r="Q201" s="25"/>
      <c r="R201" s="25"/>
      <c r="S201" s="25"/>
      <c r="T201" s="25"/>
      <c r="U201" s="25"/>
      <c r="V201" s="25"/>
      <c r="W201" s="25"/>
      <c r="X201" s="5"/>
    </row>
    <row r="202" spans="1:24" ht="15.6" x14ac:dyDescent="0.3">
      <c r="A202" s="24"/>
      <c r="B202" s="25"/>
      <c r="C202" s="25"/>
      <c r="D202" s="25"/>
      <c r="E202" s="25"/>
      <c r="F202" s="25"/>
      <c r="G202" s="25"/>
      <c r="H202" s="25"/>
      <c r="I202" s="25"/>
      <c r="J202" s="25"/>
      <c r="K202" s="25"/>
      <c r="L202" s="25"/>
      <c r="M202" s="25"/>
      <c r="N202" s="25"/>
      <c r="O202" s="25"/>
      <c r="P202" s="25"/>
      <c r="Q202" s="25"/>
      <c r="R202" s="25"/>
      <c r="S202" s="25"/>
      <c r="T202" s="25"/>
      <c r="U202" s="25"/>
      <c r="V202" s="25"/>
      <c r="W202" s="25"/>
      <c r="X202" s="5"/>
    </row>
    <row r="203" spans="1:24" ht="15.6" x14ac:dyDescent="0.3">
      <c r="A203" s="6"/>
      <c r="B203" s="8"/>
      <c r="C203" s="8"/>
      <c r="D203" s="8"/>
      <c r="E203" s="8"/>
      <c r="F203" s="8"/>
      <c r="G203" s="8"/>
      <c r="H203" s="8"/>
      <c r="I203" s="8"/>
      <c r="J203" s="8"/>
      <c r="K203" s="8"/>
      <c r="L203" s="8"/>
      <c r="M203" s="8"/>
      <c r="N203" s="8"/>
      <c r="O203" s="8"/>
      <c r="P203" s="8"/>
      <c r="Q203" s="8"/>
      <c r="R203" s="8"/>
      <c r="S203" s="8"/>
      <c r="T203" s="8"/>
      <c r="U203" s="8"/>
      <c r="V203" s="8"/>
      <c r="W203" s="8"/>
      <c r="X203" s="5"/>
    </row>
    <row r="204" spans="1:24" ht="18" thickBot="1" x14ac:dyDescent="0.35">
      <c r="A204" s="101"/>
      <c r="B204" s="102" t="str">
        <f>B139</f>
        <v>PM14 INVESTOR REPORT QUARTER ENDING AUGUST 2008</v>
      </c>
      <c r="C204" s="176"/>
      <c r="D204" s="176"/>
      <c r="E204" s="176"/>
      <c r="F204" s="176"/>
      <c r="G204" s="176"/>
      <c r="H204" s="176"/>
      <c r="I204" s="176"/>
      <c r="J204" s="176"/>
      <c r="K204" s="176"/>
      <c r="L204" s="176"/>
      <c r="M204" s="176"/>
      <c r="N204" s="176"/>
      <c r="O204" s="176"/>
      <c r="P204" s="176"/>
      <c r="Q204" s="176"/>
      <c r="R204" s="176"/>
      <c r="S204" s="176"/>
      <c r="T204" s="176"/>
      <c r="U204" s="176"/>
      <c r="V204" s="176"/>
      <c r="W204" s="177"/>
      <c r="X204" s="5"/>
    </row>
    <row r="205" spans="1:24" ht="15.6" x14ac:dyDescent="0.3">
      <c r="A205" s="67"/>
      <c r="B205" s="60" t="s">
        <v>70</v>
      </c>
      <c r="C205" s="68"/>
      <c r="D205" s="68"/>
      <c r="E205" s="68"/>
      <c r="F205" s="68"/>
      <c r="G205" s="69"/>
      <c r="H205" s="69"/>
      <c r="I205" s="69"/>
      <c r="J205" s="69"/>
      <c r="K205" s="69"/>
      <c r="L205" s="69"/>
      <c r="M205" s="69"/>
      <c r="N205" s="69"/>
      <c r="O205" s="69"/>
      <c r="P205" s="69"/>
      <c r="Q205" s="69"/>
      <c r="R205" s="69"/>
      <c r="S205" s="69"/>
      <c r="T205" s="70">
        <v>39691</v>
      </c>
      <c r="U205" s="4"/>
      <c r="V205" s="4"/>
      <c r="W205" s="4"/>
      <c r="X205" s="5"/>
    </row>
    <row r="206" spans="1:24" ht="15.6" x14ac:dyDescent="0.3">
      <c r="A206" s="71"/>
      <c r="B206" s="72"/>
      <c r="C206" s="73"/>
      <c r="D206" s="73"/>
      <c r="E206" s="73"/>
      <c r="F206" s="73"/>
      <c r="G206" s="74"/>
      <c r="H206" s="74"/>
      <c r="I206" s="74"/>
      <c r="J206" s="74"/>
      <c r="K206" s="74"/>
      <c r="L206" s="74"/>
      <c r="M206" s="74"/>
      <c r="N206" s="74"/>
      <c r="O206" s="74"/>
      <c r="P206" s="74"/>
      <c r="Q206" s="74"/>
      <c r="R206" s="74"/>
      <c r="S206" s="74"/>
      <c r="T206" s="74"/>
      <c r="U206" s="8"/>
      <c r="V206" s="8"/>
      <c r="W206" s="8"/>
      <c r="X206" s="5"/>
    </row>
    <row r="207" spans="1:24" ht="15.6" x14ac:dyDescent="0.3">
      <c r="A207" s="75"/>
      <c r="B207" s="76" t="s">
        <v>71</v>
      </c>
      <c r="C207" s="77"/>
      <c r="D207" s="77"/>
      <c r="E207" s="77"/>
      <c r="F207" s="77"/>
      <c r="G207" s="64"/>
      <c r="H207" s="64"/>
      <c r="I207" s="64"/>
      <c r="J207" s="64"/>
      <c r="K207" s="64"/>
      <c r="L207" s="64"/>
      <c r="M207" s="64"/>
      <c r="N207" s="64"/>
      <c r="O207" s="64"/>
      <c r="P207" s="64"/>
      <c r="Q207" s="64"/>
      <c r="R207" s="64"/>
      <c r="S207" s="64"/>
      <c r="T207" s="78">
        <v>5.2819999999999999E-2</v>
      </c>
      <c r="U207" s="25"/>
      <c r="V207" s="25"/>
      <c r="W207" s="25"/>
      <c r="X207" s="5"/>
    </row>
    <row r="208" spans="1:24" ht="15.6" x14ac:dyDescent="0.3">
      <c r="A208" s="75"/>
      <c r="B208" s="76" t="s">
        <v>151</v>
      </c>
      <c r="C208" s="77"/>
      <c r="D208" s="77"/>
      <c r="E208" s="77"/>
      <c r="F208" s="77"/>
      <c r="G208" s="64"/>
      <c r="H208" s="64"/>
      <c r="I208" s="64"/>
      <c r="J208" s="64"/>
      <c r="K208" s="64"/>
      <c r="L208" s="64"/>
      <c r="M208" s="64"/>
      <c r="N208" s="64"/>
      <c r="O208" s="64"/>
      <c r="P208" s="64"/>
      <c r="Q208" s="64"/>
      <c r="R208" s="64"/>
      <c r="S208" s="64"/>
      <c r="T208" s="39">
        <v>5.7799999999999997E-2</v>
      </c>
      <c r="U208" s="25"/>
      <c r="V208" s="25"/>
      <c r="W208" s="25"/>
      <c r="X208" s="5"/>
    </row>
    <row r="209" spans="1:24" ht="15.6" x14ac:dyDescent="0.3">
      <c r="A209" s="75"/>
      <c r="B209" s="76" t="s">
        <v>72</v>
      </c>
      <c r="C209" s="77"/>
      <c r="D209" s="77"/>
      <c r="E209" s="77"/>
      <c r="F209" s="77"/>
      <c r="G209" s="64"/>
      <c r="H209" s="64"/>
      <c r="I209" s="64"/>
      <c r="J209" s="64"/>
      <c r="K209" s="64"/>
      <c r="L209" s="64"/>
      <c r="M209" s="64"/>
      <c r="N209" s="64"/>
      <c r="O209" s="64"/>
      <c r="P209" s="64"/>
      <c r="Q209" s="64"/>
      <c r="R209" s="64"/>
      <c r="S209" s="64"/>
      <c r="T209" s="78">
        <f>T207-T208</f>
        <v>-4.9799999999999983E-3</v>
      </c>
      <c r="U209" s="25"/>
      <c r="V209" s="25"/>
      <c r="W209" s="25"/>
      <c r="X209" s="5"/>
    </row>
    <row r="210" spans="1:24" ht="15.6" x14ac:dyDescent="0.3">
      <c r="A210" s="75"/>
      <c r="B210" s="76" t="s">
        <v>73</v>
      </c>
      <c r="C210" s="77"/>
      <c r="D210" s="77"/>
      <c r="E210" s="77"/>
      <c r="F210" s="77"/>
      <c r="G210" s="64"/>
      <c r="H210" s="64"/>
      <c r="I210" s="64"/>
      <c r="J210" s="64"/>
      <c r="K210" s="64"/>
      <c r="L210" s="64"/>
      <c r="M210" s="64"/>
      <c r="N210" s="64"/>
      <c r="O210" s="64"/>
      <c r="P210" s="64"/>
      <c r="Q210" s="64"/>
      <c r="R210" s="64"/>
      <c r="S210" s="64"/>
      <c r="T210" s="78">
        <v>5.5E-2</v>
      </c>
      <c r="U210" s="25"/>
      <c r="V210" s="25"/>
      <c r="W210" s="25"/>
      <c r="X210" s="5"/>
    </row>
    <row r="211" spans="1:24" ht="15.6" x14ac:dyDescent="0.3">
      <c r="A211" s="75"/>
      <c r="B211" s="76" t="s">
        <v>219</v>
      </c>
      <c r="C211" s="77"/>
      <c r="D211" s="77"/>
      <c r="E211" s="77"/>
      <c r="F211" s="77"/>
      <c r="G211" s="64"/>
      <c r="H211" s="64"/>
      <c r="I211" s="64"/>
      <c r="J211" s="64"/>
      <c r="K211" s="64"/>
      <c r="L211" s="64"/>
      <c r="M211" s="64"/>
      <c r="N211" s="64"/>
      <c r="O211" s="64"/>
      <c r="P211" s="64"/>
      <c r="Q211" s="64"/>
      <c r="R211" s="64"/>
      <c r="S211" s="64"/>
      <c r="T211" s="78">
        <f>V43</f>
        <v>6.1136750874903181E-2</v>
      </c>
      <c r="U211" s="25"/>
      <c r="V211" s="25"/>
      <c r="W211" s="25"/>
      <c r="X211" s="5"/>
    </row>
    <row r="212" spans="1:24" ht="15.6" x14ac:dyDescent="0.3">
      <c r="A212" s="75"/>
      <c r="B212" s="76" t="s">
        <v>74</v>
      </c>
      <c r="C212" s="77"/>
      <c r="D212" s="77"/>
      <c r="E212" s="77"/>
      <c r="F212" s="77"/>
      <c r="G212" s="64"/>
      <c r="H212" s="64"/>
      <c r="I212" s="64"/>
      <c r="J212" s="64"/>
      <c r="K212" s="64"/>
      <c r="L212" s="64"/>
      <c r="M212" s="64"/>
      <c r="N212" s="64"/>
      <c r="O212" s="64"/>
      <c r="P212" s="64"/>
      <c r="Q212" s="64"/>
      <c r="R212" s="64"/>
      <c r="S212" s="64"/>
      <c r="T212" s="78">
        <f>T210-T211</f>
        <v>-6.136750874903181E-3</v>
      </c>
      <c r="U212" s="25"/>
      <c r="V212" s="25"/>
      <c r="W212" s="25"/>
      <c r="X212" s="5"/>
    </row>
    <row r="213" spans="1:24" ht="15.6" x14ac:dyDescent="0.3">
      <c r="A213" s="75"/>
      <c r="B213" s="76" t="s">
        <v>242</v>
      </c>
      <c r="C213" s="77"/>
      <c r="D213" s="77"/>
      <c r="E213" s="77"/>
      <c r="F213" s="77"/>
      <c r="G213" s="64"/>
      <c r="H213" s="64"/>
      <c r="I213" s="64"/>
      <c r="J213" s="64"/>
      <c r="K213" s="64"/>
      <c r="L213" s="64"/>
      <c r="M213" s="64"/>
      <c r="N213" s="64"/>
      <c r="O213" s="64"/>
      <c r="P213" s="64"/>
      <c r="Q213" s="64"/>
      <c r="R213" s="64"/>
      <c r="S213" s="64"/>
      <c r="T213" s="78">
        <f>V102/N72</f>
        <v>1.875700448657994E-2</v>
      </c>
      <c r="U213" s="25"/>
      <c r="V213" s="25"/>
      <c r="W213" s="25"/>
      <c r="X213" s="5"/>
    </row>
    <row r="214" spans="1:24" ht="15.6" x14ac:dyDescent="0.3">
      <c r="A214" s="75"/>
      <c r="B214" s="76" t="s">
        <v>208</v>
      </c>
      <c r="C214" s="77"/>
      <c r="D214" s="77"/>
      <c r="E214" s="77"/>
      <c r="F214" s="77"/>
      <c r="G214" s="64"/>
      <c r="H214" s="64"/>
      <c r="I214" s="64"/>
      <c r="J214" s="64"/>
      <c r="K214" s="64"/>
      <c r="L214" s="64"/>
      <c r="M214" s="64"/>
      <c r="N214" s="64"/>
      <c r="O214" s="64"/>
      <c r="P214" s="64"/>
      <c r="Q214" s="64"/>
      <c r="R214" s="64"/>
      <c r="S214" s="64"/>
      <c r="T214" s="129">
        <v>51014</v>
      </c>
      <c r="U214" s="25"/>
      <c r="V214" s="25"/>
      <c r="W214" s="25"/>
      <c r="X214" s="5"/>
    </row>
    <row r="215" spans="1:24" ht="15.6" x14ac:dyDescent="0.3">
      <c r="A215" s="75"/>
      <c r="B215" s="76" t="s">
        <v>209</v>
      </c>
      <c r="C215" s="77"/>
      <c r="D215" s="77"/>
      <c r="E215" s="77"/>
      <c r="F215" s="77"/>
      <c r="G215" s="64"/>
      <c r="H215" s="64"/>
      <c r="I215" s="64"/>
      <c r="J215" s="64"/>
      <c r="K215" s="64"/>
      <c r="L215" s="64"/>
      <c r="M215" s="64"/>
      <c r="N215" s="64"/>
      <c r="O215" s="64"/>
      <c r="P215" s="64"/>
      <c r="Q215" s="64"/>
      <c r="R215" s="64"/>
      <c r="S215" s="64"/>
      <c r="T215" s="129">
        <v>51014</v>
      </c>
      <c r="U215" s="25"/>
      <c r="V215" s="25"/>
      <c r="W215" s="25"/>
      <c r="X215" s="5"/>
    </row>
    <row r="216" spans="1:24" ht="15.6" x14ac:dyDescent="0.3">
      <c r="A216" s="75"/>
      <c r="B216" s="76" t="s">
        <v>210</v>
      </c>
      <c r="C216" s="77"/>
      <c r="D216" s="77"/>
      <c r="E216" s="77"/>
      <c r="F216" s="77"/>
      <c r="G216" s="64"/>
      <c r="H216" s="64"/>
      <c r="I216" s="64"/>
      <c r="J216" s="64"/>
      <c r="K216" s="64"/>
      <c r="L216" s="64"/>
      <c r="M216" s="64"/>
      <c r="N216" s="64"/>
      <c r="O216" s="64"/>
      <c r="P216" s="64"/>
      <c r="Q216" s="64"/>
      <c r="R216" s="64"/>
      <c r="S216" s="64"/>
      <c r="T216" s="129">
        <v>51014</v>
      </c>
      <c r="U216" s="25"/>
      <c r="V216" s="25"/>
      <c r="W216" s="25"/>
      <c r="X216" s="5"/>
    </row>
    <row r="217" spans="1:24" ht="15.6" x14ac:dyDescent="0.3">
      <c r="A217" s="75"/>
      <c r="B217" s="76" t="s">
        <v>75</v>
      </c>
      <c r="C217" s="77"/>
      <c r="D217" s="77"/>
      <c r="E217" s="77"/>
      <c r="F217" s="77"/>
      <c r="G217" s="64"/>
      <c r="H217" s="64"/>
      <c r="I217" s="64"/>
      <c r="J217" s="64"/>
      <c r="K217" s="64"/>
      <c r="L217" s="64"/>
      <c r="M217" s="64"/>
      <c r="N217" s="64"/>
      <c r="O217" s="64"/>
      <c r="P217" s="64"/>
      <c r="Q217" s="64"/>
      <c r="R217" s="64"/>
      <c r="S217" s="64"/>
      <c r="T217" s="133">
        <v>20.66</v>
      </c>
      <c r="U217" s="25" t="s">
        <v>110</v>
      </c>
      <c r="V217" s="25"/>
      <c r="W217" s="25"/>
      <c r="X217" s="5"/>
    </row>
    <row r="218" spans="1:24" ht="15.6" x14ac:dyDescent="0.3">
      <c r="A218" s="75"/>
      <c r="B218" s="76" t="s">
        <v>76</v>
      </c>
      <c r="C218" s="77"/>
      <c r="D218" s="77"/>
      <c r="E218" s="77"/>
      <c r="F218" s="77"/>
      <c r="G218" s="64"/>
      <c r="H218" s="64"/>
      <c r="I218" s="64"/>
      <c r="J218" s="64"/>
      <c r="K218" s="64"/>
      <c r="L218" s="64"/>
      <c r="M218" s="64"/>
      <c r="N218" s="64"/>
      <c r="O218" s="64"/>
      <c r="P218" s="64"/>
      <c r="Q218" s="64"/>
      <c r="R218" s="64"/>
      <c r="S218" s="64"/>
      <c r="T218" s="133">
        <v>19.82</v>
      </c>
      <c r="U218" s="25" t="s">
        <v>110</v>
      </c>
      <c r="V218" s="25"/>
      <c r="W218" s="25"/>
      <c r="X218" s="5"/>
    </row>
    <row r="219" spans="1:24" ht="15.6" x14ac:dyDescent="0.3">
      <c r="A219" s="75"/>
      <c r="B219" s="76" t="s">
        <v>77</v>
      </c>
      <c r="C219" s="77"/>
      <c r="D219" s="77"/>
      <c r="E219" s="77"/>
      <c r="F219" s="77"/>
      <c r="G219" s="64"/>
      <c r="H219" s="64"/>
      <c r="I219" s="64"/>
      <c r="J219" s="64"/>
      <c r="K219" s="64"/>
      <c r="L219" s="64"/>
      <c r="M219" s="64"/>
      <c r="N219" s="64"/>
      <c r="O219" s="64"/>
      <c r="P219" s="64"/>
      <c r="Q219" s="64"/>
      <c r="R219" s="64"/>
      <c r="S219" s="64"/>
      <c r="T219" s="78">
        <f>+P69/N69</f>
        <v>2.1335916448296043E-2</v>
      </c>
      <c r="U219" s="25"/>
      <c r="V219" s="25"/>
      <c r="W219" s="25"/>
      <c r="X219" s="5"/>
    </row>
    <row r="220" spans="1:24" ht="15.6" x14ac:dyDescent="0.3">
      <c r="A220" s="75"/>
      <c r="B220" s="76" t="s">
        <v>78</v>
      </c>
      <c r="C220" s="77"/>
      <c r="D220" s="77"/>
      <c r="E220" s="77"/>
      <c r="F220" s="77"/>
      <c r="G220" s="64"/>
      <c r="H220" s="64"/>
      <c r="I220" s="64"/>
      <c r="J220" s="64"/>
      <c r="K220" s="64"/>
      <c r="L220" s="64"/>
      <c r="M220" s="64"/>
      <c r="N220" s="64"/>
      <c r="O220" s="64"/>
      <c r="P220" s="64"/>
      <c r="Q220" s="64"/>
      <c r="R220" s="64"/>
      <c r="S220" s="64"/>
      <c r="T220" s="78">
        <v>9.5600000000000004E-2</v>
      </c>
      <c r="U220" s="25"/>
      <c r="V220" s="25"/>
      <c r="W220" s="25"/>
      <c r="X220" s="5"/>
    </row>
    <row r="221" spans="1:24" ht="15.6" x14ac:dyDescent="0.3">
      <c r="A221" s="75"/>
      <c r="B221" s="76"/>
      <c r="C221" s="76"/>
      <c r="D221" s="76"/>
      <c r="E221" s="76"/>
      <c r="F221" s="76"/>
      <c r="G221" s="25"/>
      <c r="H221" s="25"/>
      <c r="I221" s="25"/>
      <c r="J221" s="25"/>
      <c r="K221" s="25"/>
      <c r="L221" s="25"/>
      <c r="M221" s="25"/>
      <c r="N221" s="25"/>
      <c r="O221" s="25"/>
      <c r="P221" s="25"/>
      <c r="Q221" s="25"/>
      <c r="R221" s="25"/>
      <c r="S221" s="25"/>
      <c r="T221" s="61"/>
      <c r="U221" s="25"/>
      <c r="V221" s="79"/>
      <c r="W221" s="25"/>
      <c r="X221" s="5"/>
    </row>
    <row r="222" spans="1:24" ht="15.6" x14ac:dyDescent="0.3">
      <c r="A222" s="80"/>
      <c r="B222" s="14" t="s">
        <v>79</v>
      </c>
      <c r="C222" s="81"/>
      <c r="D222" s="81"/>
      <c r="E222" s="81"/>
      <c r="F222" s="82"/>
      <c r="G222" s="81"/>
      <c r="H222" s="17"/>
      <c r="I222" s="17"/>
      <c r="J222" s="17"/>
      <c r="K222" s="17"/>
      <c r="L222" s="17"/>
      <c r="M222" s="17"/>
      <c r="N222" s="17"/>
      <c r="O222" s="17"/>
      <c r="P222" s="17"/>
      <c r="Q222" s="17"/>
      <c r="R222" s="17"/>
      <c r="S222" s="17" t="s">
        <v>102</v>
      </c>
      <c r="T222" s="83" t="s">
        <v>108</v>
      </c>
      <c r="U222" s="8"/>
      <c r="V222" s="8"/>
      <c r="W222" s="8"/>
      <c r="X222" s="5"/>
    </row>
    <row r="223" spans="1:24" ht="15.6" x14ac:dyDescent="0.3">
      <c r="A223" s="84"/>
      <c r="B223" s="76" t="s">
        <v>80</v>
      </c>
      <c r="C223" s="54"/>
      <c r="D223" s="54"/>
      <c r="E223" s="54"/>
      <c r="F223" s="25"/>
      <c r="G223" s="25"/>
      <c r="H223" s="30"/>
      <c r="I223" s="30"/>
      <c r="J223" s="30"/>
      <c r="K223" s="30"/>
      <c r="L223" s="30"/>
      <c r="M223" s="30"/>
      <c r="N223" s="30"/>
      <c r="O223" s="30"/>
      <c r="P223" s="30"/>
      <c r="Q223" s="30"/>
      <c r="R223" s="30"/>
      <c r="S223" s="30">
        <v>2</v>
      </c>
      <c r="T223" s="85">
        <v>573</v>
      </c>
      <c r="U223" s="25"/>
      <c r="V223" s="79"/>
      <c r="W223" s="86"/>
      <c r="X223" s="5"/>
    </row>
    <row r="224" spans="1:24" ht="15.6" x14ac:dyDescent="0.3">
      <c r="A224" s="84"/>
      <c r="B224" s="76" t="s">
        <v>145</v>
      </c>
      <c r="C224" s="54"/>
      <c r="D224" s="54"/>
      <c r="E224" s="54"/>
      <c r="F224" s="25"/>
      <c r="G224" s="25"/>
      <c r="H224" s="30"/>
      <c r="I224" s="30"/>
      <c r="J224" s="30"/>
      <c r="K224" s="30"/>
      <c r="L224" s="30"/>
      <c r="M224" s="30"/>
      <c r="N224" s="30"/>
      <c r="O224" s="30"/>
      <c r="P224" s="30"/>
      <c r="Q224" s="30"/>
      <c r="R224" s="30"/>
      <c r="S224" s="150">
        <f>+R264</f>
        <v>75</v>
      </c>
      <c r="T224" s="85">
        <f>+T264</f>
        <v>11759</v>
      </c>
      <c r="U224" s="25"/>
      <c r="V224" s="79"/>
      <c r="W224" s="86"/>
      <c r="X224" s="5"/>
    </row>
    <row r="225" spans="1:24" ht="15.6" x14ac:dyDescent="0.3">
      <c r="A225" s="84"/>
      <c r="B225" s="76" t="s">
        <v>81</v>
      </c>
      <c r="C225" s="54"/>
      <c r="D225" s="54"/>
      <c r="E225" s="54"/>
      <c r="F225" s="25"/>
      <c r="G225" s="25"/>
      <c r="H225" s="30"/>
      <c r="I225" s="30"/>
      <c r="J225" s="30"/>
      <c r="K225" s="30"/>
      <c r="L225" s="30"/>
      <c r="M225" s="30"/>
      <c r="N225" s="30"/>
      <c r="O225" s="30"/>
      <c r="P225" s="30"/>
      <c r="Q225" s="30"/>
      <c r="R225" s="30"/>
      <c r="S225" s="30">
        <v>0</v>
      </c>
      <c r="T225" s="85">
        <v>0</v>
      </c>
      <c r="U225" s="25"/>
      <c r="V225" s="79"/>
      <c r="W225" s="86"/>
      <c r="X225" s="5"/>
    </row>
    <row r="226" spans="1:24" ht="15.6" x14ac:dyDescent="0.3">
      <c r="A226" s="84"/>
      <c r="B226" s="122" t="s">
        <v>82</v>
      </c>
      <c r="C226" s="54"/>
      <c r="D226" s="54"/>
      <c r="E226" s="54"/>
      <c r="F226" s="25"/>
      <c r="G226" s="25"/>
      <c r="H226" s="25"/>
      <c r="I226" s="25"/>
      <c r="J226" s="25"/>
      <c r="K226" s="25"/>
      <c r="L226" s="25"/>
      <c r="M226" s="25"/>
      <c r="N226" s="25"/>
      <c r="O226" s="25"/>
      <c r="P226" s="25"/>
      <c r="Q226" s="25"/>
      <c r="R226" s="25"/>
      <c r="S226" s="25"/>
      <c r="T226" s="85">
        <v>0</v>
      </c>
      <c r="U226" s="25"/>
      <c r="V226" s="79"/>
      <c r="W226" s="86"/>
      <c r="X226" s="5"/>
    </row>
    <row r="227" spans="1:24" ht="15.6" x14ac:dyDescent="0.3">
      <c r="A227" s="84"/>
      <c r="B227" s="122" t="s">
        <v>243</v>
      </c>
      <c r="C227" s="54"/>
      <c r="D227" s="54"/>
      <c r="E227" s="54"/>
      <c r="F227" s="25"/>
      <c r="G227" s="25"/>
      <c r="H227" s="25"/>
      <c r="I227" s="25"/>
      <c r="J227" s="25"/>
      <c r="K227" s="25"/>
      <c r="L227" s="25"/>
      <c r="M227" s="25"/>
      <c r="N227" s="25"/>
      <c r="O227" s="25"/>
      <c r="P227" s="25"/>
      <c r="Q227" s="25"/>
      <c r="R227" s="25"/>
      <c r="S227" s="25"/>
      <c r="T227" s="85">
        <f>+N82</f>
        <v>0</v>
      </c>
      <c r="U227" s="25"/>
      <c r="V227" s="79"/>
      <c r="W227" s="86"/>
      <c r="X227" s="5"/>
    </row>
    <row r="228" spans="1:24" ht="15.6" x14ac:dyDescent="0.3">
      <c r="A228" s="87"/>
      <c r="B228" s="122" t="s">
        <v>83</v>
      </c>
      <c r="C228" s="76"/>
      <c r="D228" s="76"/>
      <c r="E228" s="76"/>
      <c r="F228" s="76"/>
      <c r="G228" s="25"/>
      <c r="H228" s="25"/>
      <c r="I228" s="25"/>
      <c r="J228" s="25"/>
      <c r="K228" s="25"/>
      <c r="L228" s="25"/>
      <c r="M228" s="25"/>
      <c r="N228" s="25"/>
      <c r="O228" s="25"/>
      <c r="P228" s="25"/>
      <c r="Q228" s="25"/>
      <c r="R228" s="25"/>
      <c r="S228" s="25"/>
      <c r="T228" s="85"/>
      <c r="U228" s="25"/>
      <c r="V228" s="79"/>
      <c r="W228" s="88"/>
      <c r="X228" s="5"/>
    </row>
    <row r="229" spans="1:24" ht="15.6" x14ac:dyDescent="0.3">
      <c r="A229" s="87"/>
      <c r="B229" s="131" t="s">
        <v>84</v>
      </c>
      <c r="C229" s="76"/>
      <c r="D229" s="76"/>
      <c r="E229" s="76"/>
      <c r="F229" s="76"/>
      <c r="G229" s="25"/>
      <c r="H229" s="25"/>
      <c r="I229" s="25"/>
      <c r="J229" s="25"/>
      <c r="K229" s="25"/>
      <c r="L229" s="25"/>
      <c r="M229" s="25"/>
      <c r="N229" s="25"/>
      <c r="O229" s="25"/>
      <c r="P229" s="25"/>
      <c r="Q229" s="25"/>
      <c r="R229" s="25"/>
      <c r="S229" s="30"/>
      <c r="T229" s="85">
        <f>V168</f>
        <v>26</v>
      </c>
      <c r="U229" s="25"/>
      <c r="V229" s="79"/>
      <c r="W229" s="88"/>
      <c r="X229" s="5"/>
    </row>
    <row r="230" spans="1:24" ht="15.6" x14ac:dyDescent="0.3">
      <c r="A230" s="84"/>
      <c r="B230" s="76" t="s">
        <v>85</v>
      </c>
      <c r="C230" s="54"/>
      <c r="D230" s="54"/>
      <c r="E230" s="54"/>
      <c r="F230" s="54"/>
      <c r="G230" s="25"/>
      <c r="H230" s="25"/>
      <c r="I230" s="25"/>
      <c r="J230" s="25"/>
      <c r="K230" s="25"/>
      <c r="L230" s="25"/>
      <c r="M230" s="25"/>
      <c r="N230" s="25"/>
      <c r="O230" s="25"/>
      <c r="P230" s="25"/>
      <c r="Q230" s="25"/>
      <c r="R230" s="25"/>
      <c r="S230" s="30"/>
      <c r="T230" s="85">
        <f>'May 08'!T230+T229</f>
        <v>29</v>
      </c>
      <c r="U230" s="25"/>
      <c r="V230" s="79"/>
      <c r="W230" s="88"/>
      <c r="X230" s="5"/>
    </row>
    <row r="231" spans="1:24" ht="15.6" x14ac:dyDescent="0.3">
      <c r="A231" s="87"/>
      <c r="B231" s="122" t="s">
        <v>295</v>
      </c>
      <c r="C231" s="76"/>
      <c r="D231" s="76"/>
      <c r="E231" s="76"/>
      <c r="F231" s="76"/>
      <c r="G231" s="25"/>
      <c r="H231" s="25"/>
      <c r="I231" s="25"/>
      <c r="J231" s="25"/>
      <c r="K231" s="25"/>
      <c r="L231" s="25"/>
      <c r="M231" s="25"/>
      <c r="N231" s="25"/>
      <c r="O231" s="25"/>
      <c r="P231" s="25"/>
      <c r="Q231" s="25"/>
      <c r="R231" s="25"/>
      <c r="S231" s="30"/>
      <c r="T231" s="85"/>
      <c r="U231" s="25"/>
      <c r="V231" s="79"/>
      <c r="W231" s="88"/>
      <c r="X231" s="5"/>
    </row>
    <row r="232" spans="1:24" ht="15.6" x14ac:dyDescent="0.3">
      <c r="A232" s="87"/>
      <c r="B232" s="76" t="s">
        <v>291</v>
      </c>
      <c r="C232" s="76"/>
      <c r="D232" s="76"/>
      <c r="E232" s="76"/>
      <c r="F232" s="76"/>
      <c r="G232" s="25"/>
      <c r="H232" s="25"/>
      <c r="I232" s="25"/>
      <c r="J232" s="25"/>
      <c r="K232" s="25"/>
      <c r="L232" s="25"/>
      <c r="M232" s="25"/>
      <c r="N232" s="25"/>
      <c r="O232" s="25"/>
      <c r="P232" s="25"/>
      <c r="Q232" s="25"/>
      <c r="R232" s="25"/>
      <c r="S232" s="30">
        <v>2</v>
      </c>
      <c r="T232" s="85">
        <v>238</v>
      </c>
      <c r="U232" s="25"/>
      <c r="V232" s="79"/>
      <c r="W232" s="88"/>
      <c r="X232" s="5"/>
    </row>
    <row r="233" spans="1:24" ht="15.6" x14ac:dyDescent="0.3">
      <c r="A233" s="84"/>
      <c r="B233" s="76" t="s">
        <v>86</v>
      </c>
      <c r="C233" s="89"/>
      <c r="D233" s="89"/>
      <c r="E233" s="89"/>
      <c r="F233" s="90"/>
      <c r="G233" s="25"/>
      <c r="H233" s="25"/>
      <c r="I233" s="25"/>
      <c r="J233" s="25"/>
      <c r="K233" s="25"/>
      <c r="L233" s="25"/>
      <c r="M233" s="25"/>
      <c r="N233" s="25"/>
      <c r="O233" s="25"/>
      <c r="P233" s="25"/>
      <c r="Q233" s="25"/>
      <c r="R233" s="25"/>
      <c r="S233" s="25"/>
      <c r="T233" s="62">
        <v>8.68</v>
      </c>
      <c r="U233" s="25"/>
      <c r="V233" s="79"/>
      <c r="W233" s="88"/>
      <c r="X233" s="5"/>
    </row>
    <row r="234" spans="1:24" ht="15.6" x14ac:dyDescent="0.3">
      <c r="A234" s="84"/>
      <c r="B234" s="76" t="s">
        <v>87</v>
      </c>
      <c r="C234" s="89"/>
      <c r="D234" s="89"/>
      <c r="E234" s="89"/>
      <c r="F234" s="90"/>
      <c r="G234" s="25"/>
      <c r="H234" s="25"/>
      <c r="I234" s="25"/>
      <c r="J234" s="25"/>
      <c r="K234" s="25"/>
      <c r="L234" s="25"/>
      <c r="M234" s="25"/>
      <c r="N234" s="25"/>
      <c r="O234" s="25"/>
      <c r="P234" s="25"/>
      <c r="Q234" s="25"/>
      <c r="R234" s="25"/>
      <c r="S234" s="25"/>
      <c r="T234" s="62">
        <v>9.84</v>
      </c>
      <c r="U234" s="25"/>
      <c r="V234" s="79"/>
      <c r="W234" s="88"/>
      <c r="X234" s="5"/>
    </row>
    <row r="235" spans="1:24" ht="15.6" x14ac:dyDescent="0.3">
      <c r="A235" s="84"/>
      <c r="B235" s="122" t="s">
        <v>217</v>
      </c>
      <c r="C235" s="89"/>
      <c r="D235" s="89"/>
      <c r="E235" s="89"/>
      <c r="F235" s="90"/>
      <c r="G235" s="25"/>
      <c r="H235" s="25"/>
      <c r="I235" s="25"/>
      <c r="J235" s="25"/>
      <c r="K235" s="25"/>
      <c r="L235" s="25"/>
      <c r="M235" s="25"/>
      <c r="N235" s="25"/>
      <c r="O235" s="25"/>
      <c r="P235" s="25"/>
      <c r="Q235" s="25"/>
      <c r="R235" s="25"/>
      <c r="S235" s="25"/>
      <c r="T235" s="91"/>
      <c r="U235" s="25"/>
      <c r="V235" s="79"/>
      <c r="W235" s="88"/>
      <c r="X235" s="5"/>
    </row>
    <row r="236" spans="1:24" ht="15.6" x14ac:dyDescent="0.3">
      <c r="A236" s="84"/>
      <c r="B236" s="76" t="s">
        <v>291</v>
      </c>
      <c r="C236" s="89"/>
      <c r="D236" s="89"/>
      <c r="E236" s="89"/>
      <c r="F236" s="90"/>
      <c r="G236" s="25"/>
      <c r="H236" s="25"/>
      <c r="I236" s="25"/>
      <c r="J236" s="25"/>
      <c r="K236" s="25"/>
      <c r="L236" s="25"/>
      <c r="M236" s="25"/>
      <c r="N236" s="25"/>
      <c r="O236" s="25"/>
      <c r="P236" s="25"/>
      <c r="Q236" s="25"/>
      <c r="R236" s="25"/>
      <c r="S236" s="30">
        <v>1</v>
      </c>
      <c r="T236" s="85">
        <v>86</v>
      </c>
      <c r="U236" s="25"/>
      <c r="V236" s="79"/>
      <c r="W236" s="88"/>
      <c r="X236" s="5"/>
    </row>
    <row r="237" spans="1:24" ht="15.6" x14ac:dyDescent="0.3">
      <c r="A237" s="84"/>
      <c r="B237" s="76" t="s">
        <v>218</v>
      </c>
      <c r="C237" s="89"/>
      <c r="D237" s="89"/>
      <c r="E237" s="89"/>
      <c r="F237" s="90"/>
      <c r="G237" s="25"/>
      <c r="H237" s="25"/>
      <c r="I237" s="25"/>
      <c r="J237" s="25"/>
      <c r="K237" s="25"/>
      <c r="L237" s="25"/>
      <c r="M237" s="25"/>
      <c r="N237" s="25"/>
      <c r="O237" s="25"/>
      <c r="P237" s="25"/>
      <c r="Q237" s="25"/>
      <c r="R237" s="25"/>
      <c r="S237" s="25"/>
      <c r="T237" s="62">
        <v>10.5</v>
      </c>
      <c r="U237" s="25"/>
      <c r="V237" s="79"/>
      <c r="W237" s="88"/>
      <c r="X237" s="5"/>
    </row>
    <row r="238" spans="1:24" ht="15.6" x14ac:dyDescent="0.3">
      <c r="A238" s="84"/>
      <c r="B238" s="76"/>
      <c r="C238" s="89"/>
      <c r="D238" s="89"/>
      <c r="E238" s="89"/>
      <c r="F238" s="90"/>
      <c r="G238" s="25"/>
      <c r="H238" s="25"/>
      <c r="I238" s="25"/>
      <c r="J238" s="25"/>
      <c r="K238" s="25"/>
      <c r="L238" s="25"/>
      <c r="M238" s="25"/>
      <c r="N238" s="25"/>
      <c r="O238" s="25"/>
      <c r="P238" s="25"/>
      <c r="Q238" s="25"/>
      <c r="R238" s="25"/>
      <c r="S238" s="25"/>
      <c r="T238" s="91"/>
      <c r="U238" s="25"/>
      <c r="V238" s="79"/>
      <c r="W238" s="88"/>
      <c r="X238" s="5"/>
    </row>
    <row r="239" spans="1:24" ht="15.6" x14ac:dyDescent="0.3">
      <c r="A239" s="84"/>
      <c r="B239" s="76"/>
      <c r="C239" s="89"/>
      <c r="D239" s="89"/>
      <c r="E239" s="89"/>
      <c r="F239" s="90"/>
      <c r="G239" s="25"/>
      <c r="H239" s="25"/>
      <c r="I239" s="25"/>
      <c r="J239" s="25"/>
      <c r="K239" s="25"/>
      <c r="L239" s="25"/>
      <c r="M239" s="25"/>
      <c r="N239" s="25"/>
      <c r="O239" s="25"/>
      <c r="P239" s="25"/>
      <c r="Q239" s="25"/>
      <c r="R239" s="25"/>
      <c r="S239" s="25"/>
      <c r="T239" s="91"/>
      <c r="U239" s="25"/>
      <c r="V239" s="79"/>
      <c r="W239" s="88"/>
      <c r="X239" s="5"/>
    </row>
    <row r="240" spans="1:24" ht="17.399999999999999" x14ac:dyDescent="0.3">
      <c r="A240" s="84"/>
      <c r="B240" s="147" t="s">
        <v>168</v>
      </c>
      <c r="C240" s="89"/>
      <c r="D240" s="89"/>
      <c r="E240" s="89"/>
      <c r="F240" s="90"/>
      <c r="G240" s="25"/>
      <c r="H240" s="25"/>
      <c r="I240" s="25"/>
      <c r="J240" s="25"/>
      <c r="K240" s="25"/>
      <c r="L240" s="25"/>
      <c r="M240" s="25"/>
      <c r="N240" s="25"/>
      <c r="O240" s="25"/>
      <c r="P240" s="148" t="s">
        <v>167</v>
      </c>
      <c r="Q240" s="25"/>
      <c r="R240" s="25"/>
      <c r="S240" s="25"/>
      <c r="T240" s="91"/>
      <c r="U240" s="25"/>
      <c r="V240" s="79"/>
      <c r="W240" s="88"/>
      <c r="X240" s="5"/>
    </row>
    <row r="241" spans="1:25" ht="15.6" x14ac:dyDescent="0.3">
      <c r="A241" s="84"/>
      <c r="B241" s="76"/>
      <c r="C241" s="89"/>
      <c r="D241" s="89"/>
      <c r="E241" s="89"/>
      <c r="F241" s="90"/>
      <c r="G241" s="25"/>
      <c r="H241" s="25"/>
      <c r="I241" s="25"/>
      <c r="J241" s="25"/>
      <c r="K241" s="25"/>
      <c r="L241" s="25"/>
      <c r="M241" s="25"/>
      <c r="N241" s="25"/>
      <c r="O241" s="25"/>
      <c r="P241" s="25"/>
      <c r="Q241" s="25"/>
      <c r="R241" s="25"/>
      <c r="S241" s="25"/>
      <c r="T241" s="91"/>
      <c r="U241" s="25"/>
      <c r="V241" s="79"/>
      <c r="W241" s="88"/>
      <c r="X241" s="5"/>
    </row>
    <row r="242" spans="1:25" ht="15.6" x14ac:dyDescent="0.3">
      <c r="A242" s="6"/>
      <c r="B242" s="14" t="s">
        <v>162</v>
      </c>
      <c r="C242" s="81"/>
      <c r="D242" s="81"/>
      <c r="E242" s="81"/>
      <c r="F242" s="82"/>
      <c r="G242" s="81"/>
      <c r="H242" s="17"/>
      <c r="I242" s="17"/>
      <c r="J242" s="17"/>
      <c r="K242" s="17"/>
      <c r="L242" s="17"/>
      <c r="M242" s="17"/>
      <c r="N242" s="17"/>
      <c r="O242" s="17"/>
      <c r="P242" s="17"/>
      <c r="Q242" s="17"/>
      <c r="R242" s="83" t="s">
        <v>102</v>
      </c>
      <c r="S242" s="17" t="s">
        <v>103</v>
      </c>
      <c r="T242" s="83" t="s">
        <v>109</v>
      </c>
      <c r="U242" s="17" t="s">
        <v>103</v>
      </c>
      <c r="V242" s="8"/>
      <c r="W242" s="92"/>
      <c r="X242" s="5"/>
    </row>
    <row r="243" spans="1:25" ht="15.6" x14ac:dyDescent="0.3">
      <c r="A243" s="24"/>
      <c r="B243" s="54" t="s">
        <v>88</v>
      </c>
      <c r="C243" s="93"/>
      <c r="D243" s="93"/>
      <c r="E243" s="93"/>
      <c r="F243" s="25"/>
      <c r="G243" s="93"/>
      <c r="H243" s="93"/>
      <c r="I243" s="93"/>
      <c r="J243" s="93"/>
      <c r="K243" s="93"/>
      <c r="L243" s="93"/>
      <c r="M243" s="93"/>
      <c r="N243" s="93"/>
      <c r="O243" s="93"/>
      <c r="P243" s="93"/>
      <c r="Q243" s="93"/>
      <c r="R243" s="54">
        <v>8980</v>
      </c>
      <c r="S243" s="94">
        <f t="shared" ref="S243:S250" si="1">R243/$R$252</f>
        <v>0.98942265315116795</v>
      </c>
      <c r="T243" s="53">
        <v>1295973</v>
      </c>
      <c r="U243" s="132">
        <f t="shared" ref="U243:U250" si="2">T243/$T$252</f>
        <v>0.989579419984423</v>
      </c>
      <c r="V243" s="79"/>
      <c r="W243" s="88"/>
      <c r="X243" s="5"/>
    </row>
    <row r="244" spans="1:25" ht="15.6" x14ac:dyDescent="0.3">
      <c r="A244" s="24"/>
      <c r="B244" s="54" t="s">
        <v>89</v>
      </c>
      <c r="C244" s="93"/>
      <c r="D244" s="93"/>
      <c r="E244" s="93"/>
      <c r="F244" s="25"/>
      <c r="G244" s="94"/>
      <c r="H244" s="93"/>
      <c r="I244" s="93"/>
      <c r="J244" s="93"/>
      <c r="K244" s="93"/>
      <c r="L244" s="93"/>
      <c r="M244" s="93"/>
      <c r="N244" s="93"/>
      <c r="O244" s="93"/>
      <c r="P244" s="93"/>
      <c r="Q244" s="93"/>
      <c r="R244" s="54">
        <v>62</v>
      </c>
      <c r="S244" s="94">
        <f t="shared" si="1"/>
        <v>6.8312031732040545E-3</v>
      </c>
      <c r="T244" s="53">
        <v>8167</v>
      </c>
      <c r="U244" s="132">
        <f t="shared" si="2"/>
        <v>6.2361601075121027E-3</v>
      </c>
      <c r="V244" s="79"/>
      <c r="W244" s="88"/>
      <c r="X244" s="5"/>
      <c r="Y244" s="109"/>
    </row>
    <row r="245" spans="1:25" ht="15.6" x14ac:dyDescent="0.3">
      <c r="A245" s="24"/>
      <c r="B245" s="54" t="s">
        <v>90</v>
      </c>
      <c r="C245" s="93"/>
      <c r="D245" s="93"/>
      <c r="E245" s="93"/>
      <c r="F245" s="25"/>
      <c r="G245" s="94"/>
      <c r="H245" s="93"/>
      <c r="I245" s="93"/>
      <c r="J245" s="93"/>
      <c r="K245" s="93"/>
      <c r="L245" s="93"/>
      <c r="M245" s="93"/>
      <c r="N245" s="93"/>
      <c r="O245" s="93"/>
      <c r="P245" s="93"/>
      <c r="Q245" s="93"/>
      <c r="R245" s="54">
        <v>28</v>
      </c>
      <c r="S245" s="94">
        <f t="shared" si="1"/>
        <v>3.0850594975760249E-3</v>
      </c>
      <c r="T245" s="53">
        <v>4260</v>
      </c>
      <c r="U245" s="132">
        <f t="shared" si="2"/>
        <v>3.2528519723278508E-3</v>
      </c>
      <c r="V245" s="79"/>
      <c r="W245" s="88"/>
      <c r="X245" s="5"/>
    </row>
    <row r="246" spans="1:25" ht="15.6" x14ac:dyDescent="0.3">
      <c r="A246" s="24"/>
      <c r="B246" s="54" t="s">
        <v>156</v>
      </c>
      <c r="C246" s="93"/>
      <c r="D246" s="93"/>
      <c r="E246" s="93"/>
      <c r="F246" s="25"/>
      <c r="G246" s="94"/>
      <c r="H246" s="93"/>
      <c r="I246" s="93"/>
      <c r="J246" s="93"/>
      <c r="K246" s="93"/>
      <c r="L246" s="93"/>
      <c r="M246" s="93"/>
      <c r="N246" s="93"/>
      <c r="O246" s="93"/>
      <c r="P246" s="93"/>
      <c r="Q246" s="93"/>
      <c r="R246" s="54">
        <v>3</v>
      </c>
      <c r="S246" s="94">
        <f t="shared" si="1"/>
        <v>3.3054208902600263E-4</v>
      </c>
      <c r="T246" s="53">
        <v>603</v>
      </c>
      <c r="U246" s="132">
        <f t="shared" si="2"/>
        <v>4.604389059421817E-4</v>
      </c>
      <c r="V246" s="79"/>
      <c r="W246" s="88"/>
      <c r="X246" s="5"/>
      <c r="Y246" s="109"/>
    </row>
    <row r="247" spans="1:25" ht="15.6" x14ac:dyDescent="0.3">
      <c r="A247" s="24"/>
      <c r="B247" s="54" t="s">
        <v>157</v>
      </c>
      <c r="C247" s="93"/>
      <c r="D247" s="93"/>
      <c r="E247" s="93"/>
      <c r="F247" s="25"/>
      <c r="G247" s="94"/>
      <c r="H247" s="93"/>
      <c r="I247" s="93"/>
      <c r="J247" s="93"/>
      <c r="K247" s="93"/>
      <c r="L247" s="93"/>
      <c r="M247" s="93"/>
      <c r="N247" s="93"/>
      <c r="O247" s="93"/>
      <c r="P247" s="93"/>
      <c r="Q247" s="93"/>
      <c r="R247" s="54">
        <v>1</v>
      </c>
      <c r="S247" s="94">
        <f t="shared" si="1"/>
        <v>1.1018069634200089E-4</v>
      </c>
      <c r="T247" s="53">
        <v>99</v>
      </c>
      <c r="U247" s="132">
        <f t="shared" si="2"/>
        <v>7.559444724423879E-5</v>
      </c>
      <c r="V247" s="79"/>
      <c r="W247" s="88"/>
      <c r="X247" s="5"/>
    </row>
    <row r="248" spans="1:25" ht="15.6" x14ac:dyDescent="0.3">
      <c r="A248" s="24"/>
      <c r="B248" s="54" t="s">
        <v>158</v>
      </c>
      <c r="C248" s="93"/>
      <c r="D248" s="93"/>
      <c r="E248" s="93"/>
      <c r="F248" s="25"/>
      <c r="G248" s="94"/>
      <c r="H248" s="93"/>
      <c r="I248" s="93"/>
      <c r="J248" s="93"/>
      <c r="K248" s="93"/>
      <c r="L248" s="93"/>
      <c r="M248" s="93"/>
      <c r="N248" s="93"/>
      <c r="O248" s="93"/>
      <c r="P248" s="93"/>
      <c r="Q248" s="93"/>
      <c r="R248" s="54">
        <v>0</v>
      </c>
      <c r="S248" s="94">
        <f t="shared" si="1"/>
        <v>0</v>
      </c>
      <c r="T248" s="53">
        <v>0</v>
      </c>
      <c r="U248" s="132">
        <f t="shared" si="2"/>
        <v>0</v>
      </c>
      <c r="V248" s="79"/>
      <c r="W248" s="88"/>
      <c r="X248" s="5"/>
      <c r="Y248" s="109"/>
    </row>
    <row r="249" spans="1:25" ht="15.6" x14ac:dyDescent="0.3">
      <c r="A249" s="24"/>
      <c r="B249" s="54" t="s">
        <v>159</v>
      </c>
      <c r="C249" s="93"/>
      <c r="D249" s="93"/>
      <c r="E249" s="93"/>
      <c r="F249" s="25"/>
      <c r="G249" s="94"/>
      <c r="H249" s="93"/>
      <c r="I249" s="93"/>
      <c r="J249" s="93"/>
      <c r="K249" s="93"/>
      <c r="L249" s="93"/>
      <c r="M249" s="93"/>
      <c r="N249" s="93"/>
      <c r="O249" s="93"/>
      <c r="P249" s="93"/>
      <c r="Q249" s="93"/>
      <c r="R249" s="54">
        <v>1</v>
      </c>
      <c r="S249" s="94">
        <f t="shared" si="1"/>
        <v>1.1018069634200089E-4</v>
      </c>
      <c r="T249" s="53">
        <v>385</v>
      </c>
      <c r="U249" s="132">
        <f t="shared" si="2"/>
        <v>2.9397840594981751E-4</v>
      </c>
      <c r="V249" s="79"/>
      <c r="W249" s="88"/>
      <c r="X249" s="5"/>
    </row>
    <row r="250" spans="1:25" ht="15.6" x14ac:dyDescent="0.3">
      <c r="A250" s="24"/>
      <c r="B250" s="54" t="s">
        <v>160</v>
      </c>
      <c r="C250" s="93"/>
      <c r="D250" s="93"/>
      <c r="E250" s="93"/>
      <c r="F250" s="25"/>
      <c r="G250" s="94"/>
      <c r="H250" s="93"/>
      <c r="I250" s="93"/>
      <c r="J250" s="93"/>
      <c r="K250" s="93"/>
      <c r="L250" s="93"/>
      <c r="M250" s="93"/>
      <c r="N250" s="93"/>
      <c r="O250" s="93"/>
      <c r="P250" s="93"/>
      <c r="Q250" s="93"/>
      <c r="R250" s="54">
        <v>1</v>
      </c>
      <c r="S250" s="94">
        <f t="shared" si="1"/>
        <v>1.1018069634200089E-4</v>
      </c>
      <c r="T250" s="53">
        <v>133</v>
      </c>
      <c r="U250" s="132">
        <f t="shared" si="2"/>
        <v>1.0155617660084605E-4</v>
      </c>
      <c r="V250" s="79"/>
      <c r="W250" s="88"/>
      <c r="X250" s="5"/>
      <c r="Y250" s="109"/>
    </row>
    <row r="251" spans="1:25" ht="15.6" x14ac:dyDescent="0.3">
      <c r="A251" s="24"/>
      <c r="B251" s="54"/>
      <c r="C251" s="93"/>
      <c r="D251" s="93"/>
      <c r="E251" s="93"/>
      <c r="F251" s="25"/>
      <c r="G251" s="94"/>
      <c r="H251" s="93"/>
      <c r="I251" s="93"/>
      <c r="J251" s="93"/>
      <c r="K251" s="93"/>
      <c r="L251" s="93"/>
      <c r="M251" s="93"/>
      <c r="N251" s="93"/>
      <c r="O251" s="93"/>
      <c r="P251" s="93"/>
      <c r="Q251" s="93"/>
      <c r="R251" s="54"/>
      <c r="S251" s="94"/>
      <c r="T251" s="53"/>
      <c r="U251" s="132"/>
      <c r="V251" s="79"/>
      <c r="W251" s="88"/>
      <c r="X251" s="5"/>
    </row>
    <row r="252" spans="1:25" ht="15.6" x14ac:dyDescent="0.3">
      <c r="A252" s="24"/>
      <c r="B252" s="25"/>
      <c r="C252" s="25"/>
      <c r="D252" s="25"/>
      <c r="E252" s="25"/>
      <c r="F252" s="25"/>
      <c r="G252" s="25"/>
      <c r="H252" s="95"/>
      <c r="I252" s="95"/>
      <c r="J252" s="95"/>
      <c r="K252" s="95"/>
      <c r="L252" s="95"/>
      <c r="M252" s="95"/>
      <c r="N252" s="95"/>
      <c r="O252" s="95"/>
      <c r="P252" s="95"/>
      <c r="Q252" s="95"/>
      <c r="R252" s="34">
        <f>SUM(R243:R251)</f>
        <v>9076</v>
      </c>
      <c r="S252" s="132">
        <f>SUM(S243:S251)</f>
        <v>1.0000000000000002</v>
      </c>
      <c r="T252" s="53">
        <f>SUM(T243:T251)</f>
        <v>1309620</v>
      </c>
      <c r="U252" s="132">
        <f>SUM(U243:U251)</f>
        <v>1</v>
      </c>
      <c r="V252" s="25"/>
      <c r="W252" s="25"/>
      <c r="X252" s="5"/>
    </row>
    <row r="253" spans="1:25" ht="15.6" x14ac:dyDescent="0.3">
      <c r="A253" s="24"/>
      <c r="B253" s="25"/>
      <c r="C253" s="25"/>
      <c r="D253" s="25"/>
      <c r="E253" s="25"/>
      <c r="F253" s="25"/>
      <c r="G253" s="25"/>
      <c r="H253" s="95"/>
      <c r="I253" s="95"/>
      <c r="J253" s="95"/>
      <c r="K253" s="95"/>
      <c r="L253" s="95"/>
      <c r="M253" s="95"/>
      <c r="N253" s="95"/>
      <c r="O253" s="95"/>
      <c r="P253" s="95"/>
      <c r="Q253" s="95"/>
      <c r="R253" s="34"/>
      <c r="S253" s="132"/>
      <c r="T253" s="53"/>
      <c r="U253" s="132"/>
      <c r="V253" s="25"/>
      <c r="W253" s="25"/>
      <c r="X253" s="5"/>
    </row>
    <row r="254" spans="1:25" ht="15.6" x14ac:dyDescent="0.3">
      <c r="A254" s="139"/>
      <c r="B254" s="14" t="s">
        <v>275</v>
      </c>
      <c r="C254" s="81"/>
      <c r="D254" s="81"/>
      <c r="E254" s="81"/>
      <c r="F254" s="82"/>
      <c r="G254" s="81"/>
      <c r="H254" s="17"/>
      <c r="I254" s="17"/>
      <c r="J254" s="17"/>
      <c r="K254" s="17"/>
      <c r="L254" s="17"/>
      <c r="M254" s="17"/>
      <c r="N254" s="17"/>
      <c r="O254" s="17"/>
      <c r="P254" s="17"/>
      <c r="Q254" s="17"/>
      <c r="R254" s="83" t="s">
        <v>102</v>
      </c>
      <c r="S254" s="17" t="s">
        <v>103</v>
      </c>
      <c r="T254" s="83" t="s">
        <v>109</v>
      </c>
      <c r="U254" s="17" t="s">
        <v>103</v>
      </c>
      <c r="V254" s="137"/>
      <c r="W254" s="138"/>
      <c r="X254" s="5"/>
    </row>
    <row r="255" spans="1:25" ht="15.6" x14ac:dyDescent="0.3">
      <c r="A255" s="24"/>
      <c r="B255" s="54" t="s">
        <v>88</v>
      </c>
      <c r="C255" s="93"/>
      <c r="D255" s="93"/>
      <c r="E255" s="93"/>
      <c r="F255" s="25"/>
      <c r="G255" s="93"/>
      <c r="H255" s="93"/>
      <c r="I255" s="93"/>
      <c r="J255" s="93"/>
      <c r="K255" s="93"/>
      <c r="L255" s="93"/>
      <c r="M255" s="93"/>
      <c r="N255" s="93"/>
      <c r="O255" s="93"/>
      <c r="P255" s="93"/>
      <c r="Q255" s="93"/>
      <c r="R255" s="54">
        <v>20</v>
      </c>
      <c r="S255" s="94">
        <f t="shared" ref="S255:S262" si="3">R255/$R$264</f>
        <v>0.26666666666666666</v>
      </c>
      <c r="T255" s="53">
        <v>3522</v>
      </c>
      <c r="U255" s="132">
        <f t="shared" ref="U255:U262" si="4">T255/$T$264</f>
        <v>0.29951526490347818</v>
      </c>
      <c r="V255" s="25"/>
      <c r="W255" s="25"/>
      <c r="X255" s="5"/>
    </row>
    <row r="256" spans="1:25" ht="15.6" x14ac:dyDescent="0.3">
      <c r="A256" s="24"/>
      <c r="B256" s="54" t="s">
        <v>89</v>
      </c>
      <c r="C256" s="93"/>
      <c r="D256" s="93"/>
      <c r="E256" s="93"/>
      <c r="F256" s="25"/>
      <c r="G256" s="94"/>
      <c r="H256" s="93"/>
      <c r="I256" s="93"/>
      <c r="J256" s="93"/>
      <c r="K256" s="93"/>
      <c r="L256" s="93"/>
      <c r="M256" s="93"/>
      <c r="N256" s="93"/>
      <c r="O256" s="93"/>
      <c r="P256" s="93"/>
      <c r="Q256" s="93"/>
      <c r="R256" s="54">
        <v>9</v>
      </c>
      <c r="S256" s="94">
        <f t="shared" si="3"/>
        <v>0.12</v>
      </c>
      <c r="T256" s="53">
        <v>1152</v>
      </c>
      <c r="U256" s="132">
        <f t="shared" si="4"/>
        <v>9.7967514244408541E-2</v>
      </c>
      <c r="V256" s="25"/>
      <c r="W256" s="25"/>
      <c r="X256" s="5"/>
    </row>
    <row r="257" spans="1:24" ht="15.6" x14ac:dyDescent="0.3">
      <c r="A257" s="24"/>
      <c r="B257" s="54" t="s">
        <v>90</v>
      </c>
      <c r="C257" s="93"/>
      <c r="D257" s="93"/>
      <c r="E257" s="93"/>
      <c r="F257" s="25"/>
      <c r="G257" s="94"/>
      <c r="H257" s="93"/>
      <c r="I257" s="93"/>
      <c r="J257" s="93"/>
      <c r="K257" s="93"/>
      <c r="L257" s="93"/>
      <c r="M257" s="93"/>
      <c r="N257" s="93"/>
      <c r="O257" s="93"/>
      <c r="P257" s="93"/>
      <c r="Q257" s="93"/>
      <c r="R257" s="54">
        <v>7</v>
      </c>
      <c r="S257" s="94">
        <f t="shared" si="3"/>
        <v>9.3333333333333338E-2</v>
      </c>
      <c r="T257" s="53">
        <v>980</v>
      </c>
      <c r="U257" s="132">
        <f t="shared" si="4"/>
        <v>8.3340420103750312E-2</v>
      </c>
      <c r="V257" s="25"/>
      <c r="W257" s="25"/>
      <c r="X257" s="5"/>
    </row>
    <row r="258" spans="1:24" ht="15.6" x14ac:dyDescent="0.3">
      <c r="A258" s="24"/>
      <c r="B258" s="54" t="s">
        <v>156</v>
      </c>
      <c r="C258" s="93"/>
      <c r="D258" s="93"/>
      <c r="E258" s="93"/>
      <c r="F258" s="25"/>
      <c r="G258" s="94"/>
      <c r="H258" s="93"/>
      <c r="I258" s="93"/>
      <c r="J258" s="93"/>
      <c r="K258" s="93"/>
      <c r="L258" s="93"/>
      <c r="M258" s="93"/>
      <c r="N258" s="93"/>
      <c r="O258" s="93"/>
      <c r="P258" s="93"/>
      <c r="Q258" s="93"/>
      <c r="R258" s="54">
        <v>5</v>
      </c>
      <c r="S258" s="94">
        <f t="shared" si="3"/>
        <v>6.6666666666666666E-2</v>
      </c>
      <c r="T258" s="53">
        <v>1006</v>
      </c>
      <c r="U258" s="132">
        <f t="shared" si="4"/>
        <v>8.5551492473849813E-2</v>
      </c>
      <c r="V258" s="25"/>
      <c r="W258" s="25"/>
      <c r="X258" s="5"/>
    </row>
    <row r="259" spans="1:24" ht="15.6" x14ac:dyDescent="0.3">
      <c r="A259" s="24"/>
      <c r="B259" s="54" t="s">
        <v>157</v>
      </c>
      <c r="C259" s="93"/>
      <c r="D259" s="93"/>
      <c r="E259" s="93"/>
      <c r="F259" s="25"/>
      <c r="G259" s="94"/>
      <c r="H259" s="93"/>
      <c r="I259" s="93"/>
      <c r="J259" s="93"/>
      <c r="K259" s="93"/>
      <c r="L259" s="93"/>
      <c r="M259" s="93"/>
      <c r="N259" s="93"/>
      <c r="O259" s="93"/>
      <c r="P259" s="93"/>
      <c r="Q259" s="93"/>
      <c r="R259" s="54">
        <v>1</v>
      </c>
      <c r="S259" s="94">
        <f t="shared" si="3"/>
        <v>1.3333333333333334E-2</v>
      </c>
      <c r="T259" s="53">
        <v>85</v>
      </c>
      <c r="U259" s="132">
        <f t="shared" si="4"/>
        <v>7.2285058253252826E-3</v>
      </c>
      <c r="V259" s="25"/>
      <c r="W259" s="25"/>
      <c r="X259" s="5"/>
    </row>
    <row r="260" spans="1:24" ht="15.6" x14ac:dyDescent="0.3">
      <c r="A260" s="24"/>
      <c r="B260" s="54" t="s">
        <v>158</v>
      </c>
      <c r="C260" s="93"/>
      <c r="D260" s="93"/>
      <c r="E260" s="93"/>
      <c r="F260" s="25"/>
      <c r="G260" s="94"/>
      <c r="H260" s="93"/>
      <c r="I260" s="93"/>
      <c r="J260" s="93"/>
      <c r="K260" s="93"/>
      <c r="L260" s="93"/>
      <c r="M260" s="93"/>
      <c r="N260" s="93"/>
      <c r="O260" s="93"/>
      <c r="P260" s="93"/>
      <c r="Q260" s="93"/>
      <c r="R260" s="54">
        <v>5</v>
      </c>
      <c r="S260" s="94">
        <f t="shared" si="3"/>
        <v>6.6666666666666666E-2</v>
      </c>
      <c r="T260" s="53">
        <v>766</v>
      </c>
      <c r="U260" s="132">
        <f t="shared" si="4"/>
        <v>6.5141593672931375E-2</v>
      </c>
      <c r="V260" s="25"/>
      <c r="W260" s="25"/>
      <c r="X260" s="5"/>
    </row>
    <row r="261" spans="1:24" ht="15.6" x14ac:dyDescent="0.3">
      <c r="A261" s="24"/>
      <c r="B261" s="54" t="s">
        <v>159</v>
      </c>
      <c r="C261" s="93"/>
      <c r="D261" s="93"/>
      <c r="E261" s="93"/>
      <c r="F261" s="25"/>
      <c r="G261" s="94"/>
      <c r="H261" s="93"/>
      <c r="I261" s="93"/>
      <c r="J261" s="93"/>
      <c r="K261" s="93"/>
      <c r="L261" s="93"/>
      <c r="M261" s="93"/>
      <c r="N261" s="93"/>
      <c r="O261" s="93"/>
      <c r="P261" s="93"/>
      <c r="Q261" s="93"/>
      <c r="R261" s="54">
        <v>24</v>
      </c>
      <c r="S261" s="94">
        <f t="shared" si="3"/>
        <v>0.32</v>
      </c>
      <c r="T261" s="53">
        <v>3733</v>
      </c>
      <c r="U261" s="132">
        <f t="shared" si="4"/>
        <v>0.31745896759928566</v>
      </c>
      <c r="V261" s="25"/>
      <c r="W261" s="25"/>
      <c r="X261" s="5"/>
    </row>
    <row r="262" spans="1:24" ht="15.6" x14ac:dyDescent="0.3">
      <c r="A262" s="24"/>
      <c r="B262" s="54" t="s">
        <v>160</v>
      </c>
      <c r="C262" s="93"/>
      <c r="D262" s="93"/>
      <c r="E262" s="93"/>
      <c r="F262" s="25"/>
      <c r="G262" s="94"/>
      <c r="H262" s="93"/>
      <c r="I262" s="93"/>
      <c r="J262" s="93"/>
      <c r="K262" s="93"/>
      <c r="L262" s="93"/>
      <c r="M262" s="93"/>
      <c r="N262" s="93"/>
      <c r="O262" s="93"/>
      <c r="P262" s="93"/>
      <c r="Q262" s="93"/>
      <c r="R262" s="54">
        <v>4</v>
      </c>
      <c r="S262" s="94">
        <f t="shared" si="3"/>
        <v>5.3333333333333337E-2</v>
      </c>
      <c r="T262" s="53">
        <v>515</v>
      </c>
      <c r="U262" s="132">
        <f t="shared" si="4"/>
        <v>4.3796241176970833E-2</v>
      </c>
      <c r="V262" s="25"/>
      <c r="W262" s="25"/>
      <c r="X262" s="5"/>
    </row>
    <row r="263" spans="1:24" ht="15.6" x14ac:dyDescent="0.3">
      <c r="A263" s="24"/>
      <c r="B263" s="54"/>
      <c r="C263" s="93"/>
      <c r="D263" s="93"/>
      <c r="E263" s="93"/>
      <c r="F263" s="25"/>
      <c r="G263" s="94"/>
      <c r="H263" s="93"/>
      <c r="I263" s="93"/>
      <c r="J263" s="93"/>
      <c r="K263" s="93"/>
      <c r="L263" s="93"/>
      <c r="M263" s="93"/>
      <c r="N263" s="93"/>
      <c r="O263" s="93"/>
      <c r="P263" s="93"/>
      <c r="Q263" s="93"/>
      <c r="R263" s="54"/>
      <c r="S263" s="94"/>
      <c r="T263" s="53"/>
      <c r="U263" s="132"/>
      <c r="V263" s="25"/>
      <c r="W263" s="25"/>
      <c r="X263" s="5"/>
    </row>
    <row r="264" spans="1:24" ht="15.6" x14ac:dyDescent="0.3">
      <c r="A264" s="24"/>
      <c r="B264" s="25"/>
      <c r="C264" s="25"/>
      <c r="D264" s="25"/>
      <c r="E264" s="25"/>
      <c r="F264" s="25"/>
      <c r="G264" s="25"/>
      <c r="H264" s="95"/>
      <c r="I264" s="95"/>
      <c r="J264" s="95"/>
      <c r="K264" s="95"/>
      <c r="L264" s="95"/>
      <c r="M264" s="95"/>
      <c r="N264" s="95"/>
      <c r="O264" s="95"/>
      <c r="P264" s="95"/>
      <c r="Q264" s="95"/>
      <c r="R264" s="34">
        <f>SUM(R255:R263)</f>
        <v>75</v>
      </c>
      <c r="S264" s="132">
        <f>SUM(S255:S263)</f>
        <v>0.99999999999999989</v>
      </c>
      <c r="T264" s="53">
        <f>SUM(T255:T263)</f>
        <v>11759</v>
      </c>
      <c r="U264" s="132">
        <f>SUM(U255:U263)</f>
        <v>1</v>
      </c>
      <c r="V264" s="25"/>
      <c r="W264" s="25"/>
      <c r="X264" s="5"/>
    </row>
    <row r="265" spans="1:24" ht="15.6" x14ac:dyDescent="0.3">
      <c r="A265" s="24"/>
      <c r="B265" s="25"/>
      <c r="C265" s="25"/>
      <c r="D265" s="25"/>
      <c r="E265" s="25"/>
      <c r="F265" s="25"/>
      <c r="G265" s="25"/>
      <c r="H265" s="95"/>
      <c r="I265" s="95"/>
      <c r="J265" s="95"/>
      <c r="K265" s="95"/>
      <c r="L265" s="95"/>
      <c r="M265" s="95"/>
      <c r="N265" s="95"/>
      <c r="O265" s="95"/>
      <c r="P265" s="95"/>
      <c r="Q265" s="95"/>
      <c r="R265" s="34"/>
      <c r="S265" s="132"/>
      <c r="T265" s="53"/>
      <c r="U265" s="132"/>
      <c r="V265" s="25"/>
      <c r="W265" s="25"/>
      <c r="X265" s="5"/>
    </row>
    <row r="266" spans="1:24" ht="15.6" x14ac:dyDescent="0.3">
      <c r="A266" s="139"/>
      <c r="B266" s="14" t="s">
        <v>163</v>
      </c>
      <c r="C266" s="137"/>
      <c r="D266" s="137"/>
      <c r="E266" s="137"/>
      <c r="F266" s="137"/>
      <c r="G266" s="137"/>
      <c r="H266" s="143"/>
      <c r="I266" s="143"/>
      <c r="J266" s="143"/>
      <c r="K266" s="143"/>
      <c r="L266" s="143"/>
      <c r="M266" s="143"/>
      <c r="N266" s="143"/>
      <c r="O266" s="143"/>
      <c r="P266" s="143"/>
      <c r="Q266" s="143"/>
      <c r="R266" s="83" t="s">
        <v>102</v>
      </c>
      <c r="S266" s="17" t="s">
        <v>103</v>
      </c>
      <c r="T266" s="83" t="s">
        <v>109</v>
      </c>
      <c r="U266" s="17" t="s">
        <v>103</v>
      </c>
      <c r="V266" s="137"/>
      <c r="W266" s="138"/>
      <c r="X266" s="5"/>
    </row>
    <row r="267" spans="1:24" ht="15.6" x14ac:dyDescent="0.3">
      <c r="A267" s="24"/>
      <c r="B267" s="54" t="s">
        <v>88</v>
      </c>
      <c r="C267" s="25"/>
      <c r="D267" s="25"/>
      <c r="E267" s="25"/>
      <c r="F267" s="25"/>
      <c r="G267" s="25"/>
      <c r="H267" s="95"/>
      <c r="I267" s="95"/>
      <c r="J267" s="95"/>
      <c r="K267" s="95"/>
      <c r="L267" s="95"/>
      <c r="M267" s="95"/>
      <c r="N267" s="95"/>
      <c r="O267" s="95"/>
      <c r="P267" s="95"/>
      <c r="Q267" s="95"/>
      <c r="R267" s="54">
        <v>0</v>
      </c>
      <c r="S267" s="94">
        <v>0</v>
      </c>
      <c r="T267" s="53">
        <v>0</v>
      </c>
      <c r="U267" s="132">
        <v>0</v>
      </c>
      <c r="V267" s="25"/>
      <c r="W267" s="25"/>
      <c r="X267" s="5"/>
    </row>
    <row r="268" spans="1:24" ht="15.6" x14ac:dyDescent="0.3">
      <c r="A268" s="24"/>
      <c r="B268" s="54" t="s">
        <v>89</v>
      </c>
      <c r="C268" s="25"/>
      <c r="D268" s="25"/>
      <c r="E268" s="25"/>
      <c r="F268" s="25"/>
      <c r="G268" s="25"/>
      <c r="H268" s="95"/>
      <c r="I268" s="95"/>
      <c r="J268" s="95"/>
      <c r="K268" s="95"/>
      <c r="L268" s="95"/>
      <c r="M268" s="95"/>
      <c r="N268" s="95"/>
      <c r="O268" s="95"/>
      <c r="P268" s="95"/>
      <c r="Q268" s="95"/>
      <c r="R268" s="54">
        <v>0</v>
      </c>
      <c r="S268" s="94">
        <v>0</v>
      </c>
      <c r="T268" s="53">
        <v>0</v>
      </c>
      <c r="U268" s="132">
        <v>0</v>
      </c>
      <c r="V268" s="25"/>
      <c r="W268" s="25"/>
      <c r="X268" s="5"/>
    </row>
    <row r="269" spans="1:24" ht="15.6" x14ac:dyDescent="0.3">
      <c r="A269" s="24"/>
      <c r="B269" s="54" t="s">
        <v>90</v>
      </c>
      <c r="C269" s="25"/>
      <c r="D269" s="25"/>
      <c r="E269" s="25"/>
      <c r="F269" s="25"/>
      <c r="G269" s="25"/>
      <c r="H269" s="95"/>
      <c r="I269" s="95"/>
      <c r="J269" s="95"/>
      <c r="K269" s="95"/>
      <c r="L269" s="95"/>
      <c r="M269" s="95"/>
      <c r="N269" s="95"/>
      <c r="O269" s="95"/>
      <c r="P269" s="95"/>
      <c r="Q269" s="95"/>
      <c r="R269" s="54">
        <v>0</v>
      </c>
      <c r="S269" s="94">
        <v>0</v>
      </c>
      <c r="T269" s="53">
        <v>0</v>
      </c>
      <c r="U269" s="132">
        <v>0</v>
      </c>
      <c r="V269" s="25"/>
      <c r="W269" s="25"/>
      <c r="X269" s="5"/>
    </row>
    <row r="270" spans="1:24" ht="15.6" x14ac:dyDescent="0.3">
      <c r="A270" s="24"/>
      <c r="B270" s="54" t="s">
        <v>156</v>
      </c>
      <c r="C270" s="25"/>
      <c r="D270" s="25"/>
      <c r="E270" s="25"/>
      <c r="F270" s="25"/>
      <c r="G270" s="25"/>
      <c r="H270" s="95"/>
      <c r="I270" s="95"/>
      <c r="J270" s="95"/>
      <c r="K270" s="95"/>
      <c r="L270" s="95"/>
      <c r="M270" s="95"/>
      <c r="N270" s="95"/>
      <c r="O270" s="95"/>
      <c r="P270" s="95"/>
      <c r="Q270" s="95"/>
      <c r="R270" s="54">
        <v>0</v>
      </c>
      <c r="S270" s="94">
        <v>0</v>
      </c>
      <c r="T270" s="53">
        <v>0</v>
      </c>
      <c r="U270" s="132">
        <v>0</v>
      </c>
      <c r="V270" s="25"/>
      <c r="W270" s="25"/>
      <c r="X270" s="5"/>
    </row>
    <row r="271" spans="1:24" ht="15.6" x14ac:dyDescent="0.3">
      <c r="A271" s="24"/>
      <c r="B271" s="54" t="s">
        <v>157</v>
      </c>
      <c r="C271" s="25"/>
      <c r="D271" s="25"/>
      <c r="E271" s="25"/>
      <c r="F271" s="25"/>
      <c r="G271" s="25"/>
      <c r="H271" s="95"/>
      <c r="I271" s="95"/>
      <c r="J271" s="95"/>
      <c r="K271" s="95"/>
      <c r="L271" s="95"/>
      <c r="M271" s="95"/>
      <c r="N271" s="95"/>
      <c r="O271" s="95"/>
      <c r="P271" s="95"/>
      <c r="Q271" s="95"/>
      <c r="R271" s="54">
        <v>0</v>
      </c>
      <c r="S271" s="94">
        <v>0</v>
      </c>
      <c r="T271" s="53">
        <v>0</v>
      </c>
      <c r="U271" s="132">
        <v>0</v>
      </c>
      <c r="V271" s="25"/>
      <c r="W271" s="25"/>
      <c r="X271" s="5"/>
    </row>
    <row r="272" spans="1:24" ht="15.6" x14ac:dyDescent="0.3">
      <c r="A272" s="24"/>
      <c r="B272" s="54" t="s">
        <v>158</v>
      </c>
      <c r="C272" s="25"/>
      <c r="D272" s="25"/>
      <c r="E272" s="25"/>
      <c r="F272" s="25"/>
      <c r="G272" s="25"/>
      <c r="H272" s="95"/>
      <c r="I272" s="95"/>
      <c r="J272" s="95"/>
      <c r="K272" s="95"/>
      <c r="L272" s="95"/>
      <c r="M272" s="95"/>
      <c r="N272" s="95"/>
      <c r="O272" s="95"/>
      <c r="P272" s="95"/>
      <c r="Q272" s="95"/>
      <c r="R272" s="54">
        <v>0</v>
      </c>
      <c r="S272" s="94">
        <v>0</v>
      </c>
      <c r="T272" s="53">
        <v>0</v>
      </c>
      <c r="U272" s="132">
        <v>0</v>
      </c>
      <c r="V272" s="25"/>
      <c r="W272" s="25"/>
      <c r="X272" s="5"/>
    </row>
    <row r="273" spans="1:24" ht="15.6" x14ac:dyDescent="0.3">
      <c r="A273" s="24"/>
      <c r="B273" s="54" t="s">
        <v>159</v>
      </c>
      <c r="C273" s="25"/>
      <c r="D273" s="25"/>
      <c r="E273" s="25"/>
      <c r="F273" s="25"/>
      <c r="G273" s="25"/>
      <c r="H273" s="95"/>
      <c r="I273" s="95"/>
      <c r="J273" s="95"/>
      <c r="K273" s="95"/>
      <c r="L273" s="95"/>
      <c r="M273" s="95"/>
      <c r="N273" s="95"/>
      <c r="O273" s="95"/>
      <c r="P273" s="95"/>
      <c r="Q273" s="95"/>
      <c r="R273" s="54">
        <v>0</v>
      </c>
      <c r="S273" s="94">
        <v>0</v>
      </c>
      <c r="T273" s="53">
        <v>0</v>
      </c>
      <c r="U273" s="132">
        <v>0</v>
      </c>
      <c r="V273" s="25"/>
      <c r="W273" s="25"/>
      <c r="X273" s="5"/>
    </row>
    <row r="274" spans="1:24" ht="15.6" x14ac:dyDescent="0.3">
      <c r="A274" s="24"/>
      <c r="B274" s="54" t="s">
        <v>160</v>
      </c>
      <c r="C274" s="25"/>
      <c r="D274" s="25"/>
      <c r="E274" s="25"/>
      <c r="F274" s="25"/>
      <c r="G274" s="25"/>
      <c r="H274" s="95"/>
      <c r="I274" s="95"/>
      <c r="J274" s="95"/>
      <c r="K274" s="95"/>
      <c r="L274" s="95"/>
      <c r="M274" s="95"/>
      <c r="N274" s="95"/>
      <c r="O274" s="95"/>
      <c r="P274" s="95"/>
      <c r="Q274" s="95"/>
      <c r="R274" s="54">
        <v>0</v>
      </c>
      <c r="S274" s="94">
        <v>0</v>
      </c>
      <c r="T274" s="53">
        <v>0</v>
      </c>
      <c r="U274" s="132">
        <v>0</v>
      </c>
      <c r="V274" s="25"/>
      <c r="W274" s="25"/>
      <c r="X274" s="5"/>
    </row>
    <row r="275" spans="1:24" ht="15.6" x14ac:dyDescent="0.3">
      <c r="A275" s="24"/>
      <c r="B275" s="54"/>
      <c r="C275" s="25"/>
      <c r="D275" s="25"/>
      <c r="E275" s="25"/>
      <c r="F275" s="25"/>
      <c r="G275" s="25"/>
      <c r="H275" s="95"/>
      <c r="I275" s="95"/>
      <c r="J275" s="95"/>
      <c r="K275" s="95"/>
      <c r="L275" s="95"/>
      <c r="M275" s="95"/>
      <c r="N275" s="95"/>
      <c r="O275" s="95"/>
      <c r="P275" s="95"/>
      <c r="Q275" s="95"/>
      <c r="R275" s="54"/>
      <c r="S275" s="94"/>
      <c r="T275" s="53"/>
      <c r="U275" s="132"/>
      <c r="V275" s="25"/>
      <c r="W275" s="25"/>
      <c r="X275" s="5"/>
    </row>
    <row r="276" spans="1:24" ht="15.6" x14ac:dyDescent="0.3">
      <c r="A276" s="24"/>
      <c r="B276" s="25" t="s">
        <v>114</v>
      </c>
      <c r="C276" s="25"/>
      <c r="D276" s="25"/>
      <c r="E276" s="25"/>
      <c r="F276" s="25"/>
      <c r="G276" s="25"/>
      <c r="H276" s="95"/>
      <c r="I276" s="95"/>
      <c r="J276" s="95"/>
      <c r="K276" s="95"/>
      <c r="L276" s="95"/>
      <c r="M276" s="95"/>
      <c r="N276" s="95"/>
      <c r="O276" s="95"/>
      <c r="P276" s="95"/>
      <c r="Q276" s="95"/>
      <c r="R276" s="34">
        <f>SUM(R267:R274)</f>
        <v>0</v>
      </c>
      <c r="S276" s="132">
        <f>SUM(S267:S275)</f>
        <v>0</v>
      </c>
      <c r="T276" s="53">
        <f>SUM(T267:T274)</f>
        <v>0</v>
      </c>
      <c r="U276" s="132">
        <f>SUM(U267:U275)</f>
        <v>0</v>
      </c>
      <c r="V276" s="25"/>
      <c r="W276" s="25"/>
      <c r="X276" s="5"/>
    </row>
    <row r="277" spans="1:24" ht="15.6" x14ac:dyDescent="0.3">
      <c r="A277" s="24"/>
      <c r="B277" s="25"/>
      <c r="C277" s="25"/>
      <c r="D277" s="25"/>
      <c r="E277" s="25"/>
      <c r="F277" s="25"/>
      <c r="G277" s="25"/>
      <c r="H277" s="95"/>
      <c r="I277" s="95"/>
      <c r="J277" s="95"/>
      <c r="K277" s="95"/>
      <c r="L277" s="95"/>
      <c r="M277" s="95"/>
      <c r="N277" s="95"/>
      <c r="O277" s="95"/>
      <c r="P277" s="95"/>
      <c r="Q277" s="95"/>
      <c r="R277" s="34"/>
      <c r="S277" s="132"/>
      <c r="T277" s="53"/>
      <c r="U277" s="132"/>
      <c r="V277" s="25"/>
      <c r="W277" s="25"/>
      <c r="X277" s="5"/>
    </row>
    <row r="278" spans="1:24" ht="15.6" x14ac:dyDescent="0.3">
      <c r="A278" s="24"/>
      <c r="B278" s="140" t="s">
        <v>164</v>
      </c>
      <c r="C278" s="25"/>
      <c r="D278" s="25"/>
      <c r="E278" s="25"/>
      <c r="F278" s="25"/>
      <c r="G278" s="25"/>
      <c r="H278" s="95"/>
      <c r="I278" s="95"/>
      <c r="J278" s="95"/>
      <c r="K278" s="95"/>
      <c r="L278" s="95"/>
      <c r="M278" s="95"/>
      <c r="N278" s="95"/>
      <c r="O278" s="95"/>
      <c r="P278" s="95"/>
      <c r="Q278" s="95"/>
      <c r="R278" s="159">
        <f>R276+R264+R252</f>
        <v>9151</v>
      </c>
      <c r="S278" s="141"/>
      <c r="T278" s="142">
        <f>+T276+T264+T252</f>
        <v>1321379</v>
      </c>
      <c r="U278" s="141"/>
      <c r="V278" s="25"/>
      <c r="W278" s="25"/>
      <c r="X278" s="5"/>
    </row>
    <row r="279" spans="1:24" ht="15.6" x14ac:dyDescent="0.3">
      <c r="A279" s="24"/>
      <c r="B279" s="25"/>
      <c r="C279" s="25"/>
      <c r="D279" s="25"/>
      <c r="E279" s="25"/>
      <c r="F279" s="25"/>
      <c r="G279" s="25"/>
      <c r="H279" s="95"/>
      <c r="I279" s="95"/>
      <c r="J279" s="95"/>
      <c r="K279" s="95"/>
      <c r="L279" s="95"/>
      <c r="M279" s="95"/>
      <c r="N279" s="95"/>
      <c r="O279" s="95"/>
      <c r="P279" s="95"/>
      <c r="Q279" s="95"/>
      <c r="R279" s="95"/>
      <c r="S279" s="95"/>
      <c r="T279" s="53"/>
      <c r="U279" s="95"/>
      <c r="V279" s="25"/>
      <c r="W279" s="25"/>
      <c r="X279" s="5"/>
    </row>
    <row r="280" spans="1:24" ht="15.6" x14ac:dyDescent="0.3">
      <c r="A280" s="6"/>
      <c r="B280" s="8"/>
      <c r="C280" s="8"/>
      <c r="D280" s="8"/>
      <c r="E280" s="8"/>
      <c r="F280" s="8"/>
      <c r="G280" s="8"/>
      <c r="H280" s="96"/>
      <c r="I280" s="96"/>
      <c r="J280" s="96"/>
      <c r="K280" s="96"/>
      <c r="L280" s="96"/>
      <c r="M280" s="96"/>
      <c r="N280" s="96"/>
      <c r="O280" s="96"/>
      <c r="P280" s="96"/>
      <c r="Q280" s="96"/>
      <c r="R280" s="96"/>
      <c r="S280" s="96"/>
      <c r="T280" s="97"/>
      <c r="U280" s="96"/>
      <c r="V280" s="8"/>
      <c r="W280" s="8"/>
      <c r="X280" s="5"/>
    </row>
    <row r="281" spans="1:24" ht="15.6" x14ac:dyDescent="0.3">
      <c r="A281" s="178"/>
      <c r="B281" s="14" t="s">
        <v>91</v>
      </c>
      <c r="C281" s="15"/>
      <c r="D281" s="15"/>
      <c r="E281" s="15"/>
      <c r="F281" s="17" t="s">
        <v>97</v>
      </c>
      <c r="G281" s="15"/>
      <c r="H281" s="14" t="s">
        <v>99</v>
      </c>
      <c r="I281" s="14"/>
      <c r="J281" s="14"/>
      <c r="K281" s="173"/>
      <c r="L281" s="173"/>
      <c r="M281" s="173"/>
      <c r="N281" s="173"/>
      <c r="O281" s="173"/>
      <c r="P281" s="173"/>
      <c r="Q281" s="173"/>
      <c r="R281" s="173"/>
      <c r="S281" s="173"/>
      <c r="T281" s="173"/>
      <c r="U281" s="173"/>
      <c r="V281" s="173"/>
      <c r="W281" s="173"/>
      <c r="X281" s="5"/>
    </row>
    <row r="282" spans="1:24" ht="15.6" x14ac:dyDescent="0.3">
      <c r="A282" s="178"/>
      <c r="B282" s="173"/>
      <c r="C282" s="8"/>
      <c r="D282" s="8"/>
      <c r="E282" s="8"/>
      <c r="F282" s="8"/>
      <c r="G282" s="8"/>
      <c r="H282" s="8"/>
      <c r="I282" s="8"/>
      <c r="J282" s="8"/>
      <c r="K282" s="173"/>
      <c r="L282" s="173"/>
      <c r="M282" s="173"/>
      <c r="N282" s="173"/>
      <c r="O282" s="173"/>
      <c r="P282" s="173"/>
      <c r="Q282" s="173"/>
      <c r="R282" s="173"/>
      <c r="S282" s="173"/>
      <c r="T282" s="173"/>
      <c r="U282" s="173"/>
      <c r="V282" s="173"/>
      <c r="W282" s="173"/>
      <c r="X282" s="5"/>
    </row>
    <row r="283" spans="1:24" ht="15.6" x14ac:dyDescent="0.3">
      <c r="A283" s="178"/>
      <c r="B283" s="13" t="s">
        <v>92</v>
      </c>
      <c r="C283" s="13"/>
      <c r="D283" s="13"/>
      <c r="E283" s="13"/>
      <c r="F283" s="130" t="s">
        <v>148</v>
      </c>
      <c r="G283" s="13"/>
      <c r="H283" s="13" t="s">
        <v>152</v>
      </c>
      <c r="I283" s="13"/>
      <c r="J283" s="13"/>
      <c r="K283" s="173"/>
      <c r="L283" s="173"/>
      <c r="M283" s="173"/>
      <c r="N283" s="173"/>
      <c r="O283" s="173"/>
      <c r="P283" s="173"/>
      <c r="Q283" s="173"/>
      <c r="R283" s="173"/>
      <c r="S283" s="173"/>
      <c r="T283" s="173"/>
      <c r="U283" s="173"/>
      <c r="V283" s="173"/>
      <c r="W283" s="173"/>
      <c r="X283" s="5"/>
    </row>
    <row r="284" spans="1:24" ht="15.6" x14ac:dyDescent="0.3">
      <c r="A284" s="178"/>
      <c r="B284" s="13" t="s">
        <v>277</v>
      </c>
      <c r="C284" s="13"/>
      <c r="D284" s="13"/>
      <c r="E284" s="13"/>
      <c r="F284" s="130" t="s">
        <v>278</v>
      </c>
      <c r="G284" s="13"/>
      <c r="H284" s="13" t="s">
        <v>279</v>
      </c>
      <c r="I284" s="173"/>
      <c r="J284" s="13"/>
      <c r="K284" s="173"/>
      <c r="L284" s="173"/>
      <c r="M284" s="173"/>
      <c r="N284" s="173"/>
      <c r="O284" s="173"/>
      <c r="P284" s="173"/>
      <c r="Q284" s="173"/>
      <c r="R284" s="173"/>
      <c r="S284" s="173"/>
      <c r="T284" s="173"/>
      <c r="U284" s="173"/>
      <c r="V284" s="173"/>
      <c r="W284" s="173"/>
      <c r="X284" s="5"/>
    </row>
    <row r="285" spans="1:24" ht="15.6" x14ac:dyDescent="0.3">
      <c r="A285" s="178"/>
      <c r="B285" s="13" t="s">
        <v>93</v>
      </c>
      <c r="C285" s="13"/>
      <c r="D285" s="13"/>
      <c r="E285" s="13"/>
      <c r="F285" s="130" t="s">
        <v>147</v>
      </c>
      <c r="G285" s="13"/>
      <c r="H285" s="13" t="s">
        <v>153</v>
      </c>
      <c r="I285" s="13"/>
      <c r="J285" s="13"/>
      <c r="K285" s="173"/>
      <c r="L285" s="173"/>
      <c r="M285" s="173"/>
      <c r="N285" s="173"/>
      <c r="O285" s="173"/>
      <c r="P285" s="173"/>
      <c r="Q285" s="173"/>
      <c r="R285" s="173"/>
      <c r="S285" s="173"/>
      <c r="T285" s="173"/>
      <c r="U285" s="173"/>
      <c r="V285" s="173"/>
      <c r="W285" s="173"/>
      <c r="X285" s="5"/>
    </row>
    <row r="286" spans="1:24" ht="15.6" x14ac:dyDescent="0.3">
      <c r="A286" s="178"/>
      <c r="B286" s="13"/>
      <c r="C286" s="13"/>
      <c r="D286" s="13"/>
      <c r="E286" s="13"/>
      <c r="F286" s="13"/>
      <c r="G286" s="99"/>
      <c r="H286" s="173"/>
      <c r="I286" s="173"/>
      <c r="J286" s="173"/>
      <c r="K286" s="173"/>
      <c r="L286" s="173"/>
      <c r="M286" s="173"/>
      <c r="N286" s="173"/>
      <c r="O286" s="173"/>
      <c r="P286" s="173"/>
      <c r="Q286" s="173"/>
      <c r="R286" s="173"/>
      <c r="S286" s="173"/>
      <c r="T286" s="173"/>
      <c r="U286" s="173"/>
      <c r="V286" s="173"/>
      <c r="W286" s="173"/>
      <c r="X286" s="5"/>
    </row>
    <row r="287" spans="1:24" ht="15.6" x14ac:dyDescent="0.3">
      <c r="A287" s="178"/>
      <c r="B287" s="13"/>
      <c r="C287" s="13"/>
      <c r="D287" s="13"/>
      <c r="E287" s="13"/>
      <c r="F287" s="13"/>
      <c r="G287" s="99"/>
      <c r="H287" s="173"/>
      <c r="I287" s="173"/>
      <c r="J287" s="173"/>
      <c r="K287" s="173"/>
      <c r="L287" s="173"/>
      <c r="M287" s="173"/>
      <c r="N287" s="173"/>
      <c r="O287" s="173"/>
      <c r="P287" s="173"/>
      <c r="Q287" s="173"/>
      <c r="R287" s="173"/>
      <c r="S287" s="173"/>
      <c r="T287" s="173"/>
      <c r="U287" s="173"/>
      <c r="V287" s="173"/>
      <c r="W287" s="173"/>
      <c r="X287" s="5"/>
    </row>
    <row r="288" spans="1:24" ht="18" thickBot="1" x14ac:dyDescent="0.35">
      <c r="A288" s="178"/>
      <c r="B288" s="49" t="str">
        <f>B204</f>
        <v>PM14 INVESTOR REPORT QUARTER ENDING AUGUST 2008</v>
      </c>
      <c r="C288" s="13"/>
      <c r="D288" s="13"/>
      <c r="E288" s="13"/>
      <c r="F288" s="13"/>
      <c r="G288" s="99"/>
      <c r="H288" s="173"/>
      <c r="I288" s="173"/>
      <c r="J288" s="173"/>
      <c r="K288" s="173"/>
      <c r="L288" s="173"/>
      <c r="M288" s="173"/>
      <c r="N288" s="173"/>
      <c r="O288" s="173"/>
      <c r="P288" s="173"/>
      <c r="Q288" s="173"/>
      <c r="R288" s="173"/>
      <c r="S288" s="173"/>
      <c r="T288" s="173"/>
      <c r="U288" s="173"/>
      <c r="V288" s="173"/>
      <c r="W288" s="173"/>
      <c r="X288" s="5"/>
    </row>
    <row r="289" spans="1:23" x14ac:dyDescent="0.25">
      <c r="A289" s="100"/>
      <c r="B289" s="100"/>
      <c r="C289" s="100"/>
      <c r="D289" s="100"/>
      <c r="E289" s="100"/>
      <c r="F289" s="100"/>
      <c r="G289" s="100"/>
      <c r="H289" s="100"/>
      <c r="I289" s="100"/>
      <c r="J289" s="100"/>
      <c r="K289" s="100"/>
      <c r="L289" s="100"/>
      <c r="M289" s="100"/>
      <c r="N289" s="100"/>
      <c r="O289" s="100"/>
      <c r="P289" s="100"/>
      <c r="Q289" s="100"/>
      <c r="R289" s="100"/>
      <c r="S289" s="100"/>
      <c r="T289" s="100"/>
      <c r="U289" s="100"/>
      <c r="V289" s="100"/>
      <c r="W289" s="100"/>
    </row>
  </sheetData>
  <phoneticPr fontId="0" type="noConversion"/>
  <hyperlinks>
    <hyperlink ref="P240" r:id="rId1" xr:uid="{00000000-0004-0000-0400-000000000000}"/>
    <hyperlink ref="I9" r:id="rId2" xr:uid="{00000000-0004-0000-04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9" max="14" man="1"/>
    <brk id="204" max="14" man="1"/>
  </rowBreaks>
  <drawing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F5D4E-3D3A-4A51-AD05-EFA08A368967}">
  <sheetPr>
    <tabColor rgb="FF89CB31"/>
  </sheetPr>
  <dimension ref="A1:IV307"/>
  <sheetViews>
    <sheetView showGridLines="0" showOutlineSymbols="0" zoomScale="70" zoomScaleNormal="70" workbookViewId="0"/>
  </sheetViews>
  <sheetFormatPr defaultColWidth="9.81640625" defaultRowHeight="15.6" x14ac:dyDescent="0.3"/>
  <cols>
    <col min="1" max="1" width="4" style="416" customWidth="1"/>
    <col min="2" max="2" width="71.08984375" style="416" customWidth="1"/>
    <col min="3" max="3" width="2.08984375" style="416" customWidth="1"/>
    <col min="4" max="4" width="19.1796875" style="416" customWidth="1"/>
    <col min="5" max="5" width="2.08984375" style="416" customWidth="1"/>
    <col min="6" max="6" width="25.08984375" style="416" customWidth="1"/>
    <col min="7" max="7" width="2.08984375" style="416" customWidth="1"/>
    <col min="8" max="8" width="16.08984375" style="416" customWidth="1"/>
    <col min="9" max="9" width="2.81640625" style="416" customWidth="1"/>
    <col min="10" max="10" width="16.08984375" style="416" customWidth="1"/>
    <col min="11" max="11" width="2.08984375" style="416" customWidth="1"/>
    <col min="12" max="12" width="17.81640625" style="416" customWidth="1"/>
    <col min="13" max="13" width="2.1796875" style="416" customWidth="1"/>
    <col min="14" max="14" width="14.81640625" style="416" customWidth="1"/>
    <col min="15" max="15" width="2.1796875" style="416" customWidth="1"/>
    <col min="16" max="16" width="15.54296875" style="416" customWidth="1"/>
    <col min="17" max="17" width="2.08984375" style="416" customWidth="1"/>
    <col min="18" max="18" width="15.54296875" style="416" customWidth="1"/>
    <col min="19" max="20" width="12.81640625" style="416" customWidth="1"/>
    <col min="21" max="21" width="7.81640625" style="416" customWidth="1"/>
    <col min="22" max="22" width="14.81640625" style="416" customWidth="1"/>
    <col min="23" max="23" width="11.81640625" style="416" customWidth="1"/>
    <col min="24" max="16384" width="9.81640625" style="416"/>
  </cols>
  <sheetData>
    <row r="1" spans="1:24" ht="21" x14ac:dyDescent="0.4">
      <c r="A1" s="413"/>
      <c r="B1" s="537" t="s">
        <v>244</v>
      </c>
      <c r="C1" s="414"/>
      <c r="D1" s="414"/>
      <c r="E1" s="414"/>
      <c r="F1" s="414"/>
      <c r="G1" s="414"/>
      <c r="H1" s="414"/>
      <c r="I1" s="414"/>
      <c r="J1" s="414"/>
      <c r="K1" s="414"/>
      <c r="L1" s="414"/>
      <c r="M1" s="414"/>
      <c r="N1" s="414"/>
      <c r="O1" s="414"/>
      <c r="P1" s="414"/>
      <c r="Q1" s="414"/>
      <c r="R1" s="414"/>
      <c r="S1" s="414"/>
      <c r="T1" s="414"/>
      <c r="U1" s="414"/>
      <c r="V1" s="414"/>
      <c r="W1" s="414"/>
      <c r="X1" s="415"/>
    </row>
    <row r="2" spans="1:24" x14ac:dyDescent="0.3">
      <c r="A2" s="417"/>
      <c r="B2" s="418"/>
      <c r="C2" s="419"/>
      <c r="D2" s="419"/>
      <c r="E2" s="419"/>
      <c r="F2" s="419"/>
      <c r="G2" s="419"/>
      <c r="H2" s="419"/>
      <c r="I2" s="419"/>
      <c r="J2" s="419"/>
      <c r="K2" s="419"/>
      <c r="L2" s="419"/>
      <c r="M2" s="419"/>
      <c r="N2" s="419"/>
      <c r="O2" s="419"/>
      <c r="P2" s="419"/>
      <c r="Q2" s="419"/>
      <c r="R2" s="419"/>
      <c r="S2" s="419"/>
      <c r="T2" s="419"/>
      <c r="U2" s="419"/>
      <c r="V2" s="419"/>
      <c r="W2" s="419"/>
      <c r="X2" s="415"/>
    </row>
    <row r="3" spans="1:24" x14ac:dyDescent="0.3">
      <c r="A3" s="420"/>
      <c r="B3" s="421" t="s">
        <v>245</v>
      </c>
      <c r="C3" s="419"/>
      <c r="D3" s="419"/>
      <c r="E3" s="419"/>
      <c r="F3" s="419"/>
      <c r="G3" s="419"/>
      <c r="H3" s="419"/>
      <c r="I3" s="419"/>
      <c r="J3" s="419"/>
      <c r="K3" s="419"/>
      <c r="L3" s="419"/>
      <c r="M3" s="419"/>
      <c r="N3" s="419"/>
      <c r="O3" s="419"/>
      <c r="P3" s="419"/>
      <c r="Q3" s="419"/>
      <c r="R3" s="419"/>
      <c r="S3" s="419"/>
      <c r="T3" s="419"/>
      <c r="U3" s="419"/>
      <c r="V3" s="419"/>
      <c r="W3" s="419"/>
      <c r="X3" s="415"/>
    </row>
    <row r="4" spans="1:24" x14ac:dyDescent="0.3">
      <c r="A4" s="417"/>
      <c r="B4" s="418"/>
      <c r="C4" s="419"/>
      <c r="D4" s="419"/>
      <c r="E4" s="419"/>
      <c r="F4" s="419"/>
      <c r="G4" s="419"/>
      <c r="H4" s="419"/>
      <c r="I4" s="419"/>
      <c r="J4" s="419"/>
      <c r="K4" s="419"/>
      <c r="L4" s="419"/>
      <c r="M4" s="419"/>
      <c r="N4" s="419"/>
      <c r="O4" s="419"/>
      <c r="P4" s="419"/>
      <c r="Q4" s="419"/>
      <c r="R4" s="419"/>
      <c r="S4" s="419"/>
      <c r="T4" s="419"/>
      <c r="U4" s="419"/>
      <c r="V4" s="419"/>
      <c r="W4" s="419"/>
      <c r="X4" s="415"/>
    </row>
    <row r="5" spans="1:24" x14ac:dyDescent="0.3">
      <c r="A5" s="417"/>
      <c r="B5" s="538" t="s">
        <v>137</v>
      </c>
      <c r="C5" s="419"/>
      <c r="D5" s="419"/>
      <c r="E5" s="419"/>
      <c r="F5" s="419"/>
      <c r="G5" s="419"/>
      <c r="H5" s="419"/>
      <c r="I5" s="419"/>
      <c r="J5" s="419"/>
      <c r="K5" s="419"/>
      <c r="L5" s="419"/>
      <c r="M5" s="419"/>
      <c r="N5" s="419"/>
      <c r="O5" s="419"/>
      <c r="P5" s="419"/>
      <c r="Q5" s="419"/>
      <c r="R5" s="419"/>
      <c r="S5" s="419"/>
      <c r="T5" s="419"/>
      <c r="U5" s="419"/>
      <c r="V5" s="419"/>
      <c r="W5" s="419"/>
      <c r="X5" s="415"/>
    </row>
    <row r="6" spans="1:24" x14ac:dyDescent="0.3">
      <c r="A6" s="417"/>
      <c r="B6" s="538" t="s">
        <v>139</v>
      </c>
      <c r="C6" s="419"/>
      <c r="D6" s="419"/>
      <c r="E6" s="419"/>
      <c r="F6" s="419"/>
      <c r="G6" s="419"/>
      <c r="H6" s="419"/>
      <c r="I6" s="419"/>
      <c r="J6" s="419"/>
      <c r="K6" s="419"/>
      <c r="L6" s="419"/>
      <c r="M6" s="419"/>
      <c r="N6" s="419"/>
      <c r="O6" s="419"/>
      <c r="P6" s="419"/>
      <c r="Q6" s="419"/>
      <c r="R6" s="419"/>
      <c r="S6" s="419"/>
      <c r="T6" s="419"/>
      <c r="U6" s="419"/>
      <c r="V6" s="419"/>
      <c r="W6" s="419"/>
      <c r="X6" s="415"/>
    </row>
    <row r="7" spans="1:24" x14ac:dyDescent="0.3">
      <c r="A7" s="417"/>
      <c r="B7" s="538" t="s">
        <v>138</v>
      </c>
      <c r="C7" s="419"/>
      <c r="D7" s="419"/>
      <c r="E7" s="419"/>
      <c r="F7" s="419"/>
      <c r="G7" s="419"/>
      <c r="H7" s="419"/>
      <c r="I7" s="419"/>
      <c r="J7" s="419"/>
      <c r="K7" s="419"/>
      <c r="L7" s="419"/>
      <c r="M7" s="419"/>
      <c r="N7" s="419"/>
      <c r="O7" s="419"/>
      <c r="P7" s="419"/>
      <c r="Q7" s="419"/>
      <c r="R7" s="419"/>
      <c r="S7" s="419"/>
      <c r="T7" s="419"/>
      <c r="U7" s="419"/>
      <c r="V7" s="419"/>
      <c r="W7" s="419"/>
      <c r="X7" s="415"/>
    </row>
    <row r="8" spans="1:24" x14ac:dyDescent="0.3">
      <c r="A8" s="417"/>
      <c r="B8" s="422"/>
      <c r="C8" s="419"/>
      <c r="D8" s="419"/>
      <c r="E8" s="419"/>
      <c r="F8" s="419"/>
      <c r="G8" s="419"/>
      <c r="H8" s="419"/>
      <c r="I8" s="419"/>
      <c r="J8" s="419"/>
      <c r="K8" s="419"/>
      <c r="L8" s="419"/>
      <c r="M8" s="419"/>
      <c r="N8" s="419"/>
      <c r="O8" s="419"/>
      <c r="P8" s="419"/>
      <c r="Q8" s="419"/>
      <c r="R8" s="419"/>
      <c r="S8" s="419"/>
      <c r="T8" s="419"/>
      <c r="U8" s="419"/>
      <c r="V8" s="419"/>
      <c r="W8" s="419"/>
      <c r="X8" s="415"/>
    </row>
    <row r="9" spans="1:24" ht="18" x14ac:dyDescent="0.35">
      <c r="A9" s="417"/>
      <c r="B9" s="423" t="s">
        <v>166</v>
      </c>
      <c r="C9" s="419"/>
      <c r="D9" s="419"/>
      <c r="E9" s="419"/>
      <c r="F9" s="419"/>
      <c r="G9" s="419"/>
      <c r="H9" s="419"/>
      <c r="I9" s="412" t="s">
        <v>371</v>
      </c>
      <c r="J9" s="419"/>
      <c r="K9" s="419"/>
      <c r="L9" s="424"/>
      <c r="M9" s="419"/>
      <c r="N9" s="424"/>
      <c r="O9" s="419"/>
      <c r="P9" s="419"/>
      <c r="Q9" s="419"/>
      <c r="R9" s="419"/>
      <c r="S9" s="419"/>
      <c r="T9" s="419"/>
      <c r="U9" s="419"/>
      <c r="V9" s="419"/>
      <c r="W9" s="419"/>
      <c r="X9" s="415"/>
    </row>
    <row r="10" spans="1:24" x14ac:dyDescent="0.3">
      <c r="A10" s="417"/>
      <c r="B10" s="422"/>
      <c r="C10" s="425"/>
      <c r="D10" s="425"/>
      <c r="E10" s="425"/>
      <c r="F10" s="419"/>
      <c r="G10" s="419"/>
      <c r="H10" s="419"/>
      <c r="I10" s="419"/>
      <c r="J10" s="419"/>
      <c r="K10" s="419"/>
      <c r="L10" s="419"/>
      <c r="M10" s="419"/>
      <c r="N10" s="419"/>
      <c r="O10" s="419"/>
      <c r="P10" s="419"/>
      <c r="Q10" s="419"/>
      <c r="R10" s="419"/>
      <c r="S10" s="419"/>
      <c r="T10" s="419"/>
      <c r="U10" s="419"/>
      <c r="V10" s="419"/>
      <c r="W10" s="419"/>
      <c r="X10" s="415"/>
    </row>
    <row r="11" spans="1:24" x14ac:dyDescent="0.3">
      <c r="A11" s="417"/>
      <c r="B11" s="539" t="s">
        <v>0</v>
      </c>
      <c r="C11" s="419"/>
      <c r="D11" s="419"/>
      <c r="E11" s="419"/>
      <c r="F11" s="419"/>
      <c r="G11" s="419"/>
      <c r="H11" s="419"/>
      <c r="I11" s="419"/>
      <c r="J11" s="419"/>
      <c r="K11" s="419"/>
      <c r="L11" s="419"/>
      <c r="M11" s="419"/>
      <c r="N11" s="419"/>
      <c r="O11" s="419"/>
      <c r="P11" s="419"/>
      <c r="Q11" s="419"/>
      <c r="R11" s="419"/>
      <c r="S11" s="419"/>
      <c r="T11" s="419"/>
      <c r="U11" s="419"/>
      <c r="V11" s="419"/>
      <c r="W11" s="419"/>
      <c r="X11" s="415"/>
    </row>
    <row r="12" spans="1:24" ht="16.2" thickBot="1" x14ac:dyDescent="0.35">
      <c r="A12" s="417"/>
      <c r="B12" s="425"/>
      <c r="C12" s="419"/>
      <c r="D12" s="419"/>
      <c r="E12" s="419"/>
      <c r="F12" s="419"/>
      <c r="G12" s="419"/>
      <c r="H12" s="419"/>
      <c r="I12" s="419"/>
      <c r="J12" s="419"/>
      <c r="K12" s="419"/>
      <c r="L12" s="419"/>
      <c r="M12" s="419"/>
      <c r="N12" s="419"/>
      <c r="O12" s="419"/>
      <c r="P12" s="419"/>
      <c r="Q12" s="419"/>
      <c r="R12" s="419"/>
      <c r="S12" s="419"/>
      <c r="T12" s="419"/>
      <c r="U12" s="419"/>
      <c r="V12" s="419"/>
      <c r="W12" s="419"/>
      <c r="X12" s="415"/>
    </row>
    <row r="13" spans="1:24" x14ac:dyDescent="0.3">
      <c r="A13" s="413"/>
      <c r="B13" s="414"/>
      <c r="C13" s="414"/>
      <c r="D13" s="414"/>
      <c r="E13" s="414"/>
      <c r="F13" s="414"/>
      <c r="G13" s="414"/>
      <c r="H13" s="414"/>
      <c r="I13" s="414"/>
      <c r="J13" s="414"/>
      <c r="K13" s="414"/>
      <c r="L13" s="414"/>
      <c r="M13" s="414"/>
      <c r="N13" s="414"/>
      <c r="O13" s="414"/>
      <c r="P13" s="414"/>
      <c r="Q13" s="414"/>
      <c r="R13" s="414"/>
      <c r="S13" s="414"/>
      <c r="T13" s="414"/>
      <c r="U13" s="414"/>
      <c r="V13" s="414"/>
      <c r="W13" s="414"/>
      <c r="X13" s="415"/>
    </row>
    <row r="14" spans="1:24" s="544" customFormat="1" x14ac:dyDescent="0.3">
      <c r="A14" s="540"/>
      <c r="B14" s="539" t="s">
        <v>1</v>
      </c>
      <c r="C14" s="541"/>
      <c r="D14" s="541"/>
      <c r="E14" s="541"/>
      <c r="F14" s="541"/>
      <c r="G14" s="541"/>
      <c r="H14" s="541"/>
      <c r="I14" s="541"/>
      <c r="J14" s="541"/>
      <c r="K14" s="541"/>
      <c r="L14" s="541"/>
      <c r="M14" s="541"/>
      <c r="N14" s="541"/>
      <c r="O14" s="541"/>
      <c r="P14" s="541"/>
      <c r="Q14" s="541"/>
      <c r="R14" s="541"/>
      <c r="S14" s="541"/>
      <c r="T14" s="541"/>
      <c r="U14" s="541"/>
      <c r="V14" s="542" t="s">
        <v>246</v>
      </c>
      <c r="W14" s="541"/>
      <c r="X14" s="543"/>
    </row>
    <row r="15" spans="1:24" s="544" customFormat="1" x14ac:dyDescent="0.3">
      <c r="A15" s="540"/>
      <c r="B15" s="539" t="s">
        <v>2</v>
      </c>
      <c r="C15" s="541"/>
      <c r="D15" s="541"/>
      <c r="E15" s="541"/>
      <c r="F15" s="541"/>
      <c r="G15" s="541"/>
      <c r="H15" s="545"/>
      <c r="I15" s="545"/>
      <c r="J15" s="545"/>
      <c r="K15" s="545"/>
      <c r="L15" s="545"/>
      <c r="M15" s="545"/>
      <c r="N15" s="545"/>
      <c r="O15" s="545"/>
      <c r="P15" s="545"/>
      <c r="Q15" s="545"/>
      <c r="R15" s="545" t="s">
        <v>104</v>
      </c>
      <c r="S15" s="546">
        <v>0.38300000000000001</v>
      </c>
      <c r="T15" s="547" t="s">
        <v>140</v>
      </c>
      <c r="U15" s="546">
        <v>0.61699999999999999</v>
      </c>
      <c r="V15" s="542"/>
      <c r="W15" s="541"/>
      <c r="X15" s="543"/>
    </row>
    <row r="16" spans="1:24" s="544" customFormat="1" x14ac:dyDescent="0.3">
      <c r="A16" s="540"/>
      <c r="B16" s="539" t="s">
        <v>3</v>
      </c>
      <c r="C16" s="541"/>
      <c r="D16" s="541"/>
      <c r="E16" s="541"/>
      <c r="F16" s="541"/>
      <c r="G16" s="541"/>
      <c r="H16" s="545"/>
      <c r="I16" s="545"/>
      <c r="J16" s="545"/>
      <c r="K16" s="545"/>
      <c r="L16" s="545"/>
      <c r="M16" s="545"/>
      <c r="N16" s="545"/>
      <c r="O16" s="545"/>
      <c r="P16" s="545"/>
      <c r="Q16" s="545"/>
      <c r="R16" s="545" t="s">
        <v>104</v>
      </c>
      <c r="S16" s="546">
        <v>0.51</v>
      </c>
      <c r="T16" s="547" t="s">
        <v>140</v>
      </c>
      <c r="U16" s="546">
        <v>0.49</v>
      </c>
      <c r="V16" s="542"/>
      <c r="W16" s="541"/>
      <c r="X16" s="543"/>
    </row>
    <row r="17" spans="1:24" s="544" customFormat="1" x14ac:dyDescent="0.3">
      <c r="A17" s="540"/>
      <c r="B17" s="539" t="s">
        <v>4</v>
      </c>
      <c r="C17" s="541"/>
      <c r="D17" s="541"/>
      <c r="E17" s="541"/>
      <c r="F17" s="541"/>
      <c r="G17" s="541"/>
      <c r="H17" s="541"/>
      <c r="I17" s="541"/>
      <c r="J17" s="541"/>
      <c r="K17" s="541"/>
      <c r="L17" s="541"/>
      <c r="M17" s="541"/>
      <c r="N17" s="541"/>
      <c r="O17" s="541"/>
      <c r="P17" s="541"/>
      <c r="Q17" s="541"/>
      <c r="R17" s="541"/>
      <c r="S17" s="541"/>
      <c r="T17" s="541"/>
      <c r="U17" s="541"/>
      <c r="V17" s="548">
        <v>39163</v>
      </c>
      <c r="W17" s="541"/>
      <c r="X17" s="543"/>
    </row>
    <row r="18" spans="1:24" s="544" customFormat="1" x14ac:dyDescent="0.3">
      <c r="A18" s="540"/>
      <c r="B18" s="539" t="s">
        <v>5</v>
      </c>
      <c r="C18" s="541"/>
      <c r="D18" s="541"/>
      <c r="E18" s="541"/>
      <c r="F18" s="541"/>
      <c r="G18" s="541"/>
      <c r="H18" s="541"/>
      <c r="I18" s="541"/>
      <c r="J18" s="541"/>
      <c r="K18" s="541"/>
      <c r="L18" s="541"/>
      <c r="M18" s="541"/>
      <c r="N18" s="541"/>
      <c r="O18" s="541"/>
      <c r="P18" s="541"/>
      <c r="Q18" s="541"/>
      <c r="R18" s="541"/>
      <c r="S18" s="541"/>
      <c r="T18" s="541"/>
      <c r="U18" s="541"/>
      <c r="V18" s="548">
        <v>43818</v>
      </c>
      <c r="W18" s="541"/>
      <c r="X18" s="543"/>
    </row>
    <row r="19" spans="1:24" s="544" customFormat="1" x14ac:dyDescent="0.3">
      <c r="A19" s="540"/>
      <c r="B19" s="541"/>
      <c r="C19" s="541"/>
      <c r="D19" s="541"/>
      <c r="E19" s="541"/>
      <c r="F19" s="541"/>
      <c r="G19" s="541"/>
      <c r="H19" s="541"/>
      <c r="I19" s="541"/>
      <c r="J19" s="541"/>
      <c r="K19" s="541"/>
      <c r="L19" s="541"/>
      <c r="M19" s="541"/>
      <c r="N19" s="541"/>
      <c r="O19" s="541"/>
      <c r="P19" s="541"/>
      <c r="Q19" s="541"/>
      <c r="R19" s="541"/>
      <c r="S19" s="541"/>
      <c r="T19" s="541"/>
      <c r="U19" s="541"/>
      <c r="V19" s="549"/>
      <c r="W19" s="541"/>
      <c r="X19" s="543"/>
    </row>
    <row r="20" spans="1:24" s="544" customFormat="1" x14ac:dyDescent="0.3">
      <c r="A20" s="540"/>
      <c r="B20" s="550" t="s">
        <v>6</v>
      </c>
      <c r="C20" s="541"/>
      <c r="D20" s="541"/>
      <c r="E20" s="541"/>
      <c r="F20" s="541"/>
      <c r="G20" s="541"/>
      <c r="H20" s="541"/>
      <c r="I20" s="541"/>
      <c r="J20" s="541"/>
      <c r="K20" s="541"/>
      <c r="L20" s="541"/>
      <c r="M20" s="541"/>
      <c r="N20" s="541"/>
      <c r="O20" s="541"/>
      <c r="P20" s="541"/>
      <c r="Q20" s="541"/>
      <c r="R20" s="541"/>
      <c r="S20" s="541"/>
      <c r="T20" s="549" t="s">
        <v>105</v>
      </c>
      <c r="U20" s="541"/>
      <c r="V20" s="541"/>
      <c r="W20" s="541"/>
      <c r="X20" s="543"/>
    </row>
    <row r="21" spans="1:24" x14ac:dyDescent="0.3">
      <c r="A21" s="417"/>
      <c r="B21" s="419"/>
      <c r="C21" s="419"/>
      <c r="D21" s="419"/>
      <c r="E21" s="419"/>
      <c r="F21" s="419"/>
      <c r="G21" s="419"/>
      <c r="H21" s="419"/>
      <c r="I21" s="419"/>
      <c r="J21" s="419"/>
      <c r="K21" s="419"/>
      <c r="L21" s="419"/>
      <c r="M21" s="419"/>
      <c r="N21" s="419"/>
      <c r="O21" s="419"/>
      <c r="P21" s="419"/>
      <c r="Q21" s="419"/>
      <c r="R21" s="419"/>
      <c r="S21" s="419"/>
      <c r="T21" s="419"/>
      <c r="U21" s="419"/>
      <c r="V21" s="430"/>
      <c r="W21" s="419"/>
      <c r="X21" s="415"/>
    </row>
    <row r="22" spans="1:24" x14ac:dyDescent="0.3">
      <c r="A22" s="515"/>
      <c r="B22" s="517"/>
      <c r="C22" s="518"/>
      <c r="D22" s="518" t="s">
        <v>177</v>
      </c>
      <c r="E22" s="518"/>
      <c r="F22" s="518" t="s">
        <v>178</v>
      </c>
      <c r="G22" s="518"/>
      <c r="H22" s="518" t="s">
        <v>179</v>
      </c>
      <c r="I22" s="518"/>
      <c r="J22" s="518" t="s">
        <v>220</v>
      </c>
      <c r="K22" s="518"/>
      <c r="L22" s="518" t="s">
        <v>180</v>
      </c>
      <c r="M22" s="518"/>
      <c r="N22" s="518" t="s">
        <v>181</v>
      </c>
      <c r="O22" s="518"/>
      <c r="P22" s="518" t="s">
        <v>221</v>
      </c>
      <c r="Q22" s="518"/>
      <c r="R22" s="518" t="s">
        <v>182</v>
      </c>
      <c r="S22" s="519"/>
      <c r="T22" s="519"/>
      <c r="U22" s="517"/>
      <c r="V22" s="517"/>
      <c r="W22" s="520"/>
      <c r="X22" s="415"/>
    </row>
    <row r="23" spans="1:24" s="544" customFormat="1" x14ac:dyDescent="0.3">
      <c r="A23" s="551"/>
      <c r="B23" s="552" t="s">
        <v>7</v>
      </c>
      <c r="C23" s="553"/>
      <c r="D23" s="553" t="s">
        <v>213</v>
      </c>
      <c r="E23" s="553"/>
      <c r="F23" s="553" t="s">
        <v>141</v>
      </c>
      <c r="G23" s="553"/>
      <c r="H23" s="553" t="s">
        <v>141</v>
      </c>
      <c r="I23" s="553"/>
      <c r="J23" s="553" t="s">
        <v>141</v>
      </c>
      <c r="K23" s="553"/>
      <c r="L23" s="553" t="s">
        <v>183</v>
      </c>
      <c r="M23" s="553"/>
      <c r="N23" s="553" t="s">
        <v>183</v>
      </c>
      <c r="O23" s="553"/>
      <c r="P23" s="553" t="s">
        <v>142</v>
      </c>
      <c r="Q23" s="553"/>
      <c r="R23" s="553" t="s">
        <v>142</v>
      </c>
      <c r="S23" s="553"/>
      <c r="T23" s="553"/>
      <c r="U23" s="552"/>
      <c r="V23" s="552"/>
      <c r="W23" s="554"/>
      <c r="X23" s="543"/>
    </row>
    <row r="24" spans="1:24" s="544" customFormat="1" x14ac:dyDescent="0.3">
      <c r="A24" s="555"/>
      <c r="B24" s="556" t="s">
        <v>8</v>
      </c>
      <c r="C24" s="557"/>
      <c r="D24" s="557" t="s">
        <v>214</v>
      </c>
      <c r="E24" s="557"/>
      <c r="F24" s="557" t="s">
        <v>143</v>
      </c>
      <c r="G24" s="557"/>
      <c r="H24" s="557" t="s">
        <v>143</v>
      </c>
      <c r="I24" s="557"/>
      <c r="J24" s="557" t="s">
        <v>143</v>
      </c>
      <c r="K24" s="557"/>
      <c r="L24" s="557" t="s">
        <v>165</v>
      </c>
      <c r="M24" s="557"/>
      <c r="N24" s="557" t="s">
        <v>165</v>
      </c>
      <c r="O24" s="557"/>
      <c r="P24" s="557" t="s">
        <v>144</v>
      </c>
      <c r="Q24" s="557"/>
      <c r="R24" s="557" t="s">
        <v>144</v>
      </c>
      <c r="S24" s="557"/>
      <c r="T24" s="557"/>
      <c r="U24" s="556"/>
      <c r="V24" s="556"/>
      <c r="W24" s="558"/>
      <c r="X24" s="543"/>
    </row>
    <row r="25" spans="1:24" s="544" customFormat="1" x14ac:dyDescent="0.3">
      <c r="A25" s="559"/>
      <c r="B25" s="556" t="s">
        <v>190</v>
      </c>
      <c r="C25" s="560"/>
      <c r="D25" s="557" t="s">
        <v>215</v>
      </c>
      <c r="E25" s="557"/>
      <c r="F25" s="557" t="s">
        <v>143</v>
      </c>
      <c r="G25" s="557"/>
      <c r="H25" s="557" t="s">
        <v>143</v>
      </c>
      <c r="I25" s="557"/>
      <c r="J25" s="557" t="s">
        <v>143</v>
      </c>
      <c r="K25" s="557"/>
      <c r="L25" s="557" t="s">
        <v>293</v>
      </c>
      <c r="M25" s="557"/>
      <c r="N25" s="557" t="s">
        <v>293</v>
      </c>
      <c r="O25" s="557"/>
      <c r="P25" s="557" t="s">
        <v>144</v>
      </c>
      <c r="Q25" s="557"/>
      <c r="R25" s="557" t="s">
        <v>144</v>
      </c>
      <c r="S25" s="560"/>
      <c r="T25" s="557"/>
      <c r="U25" s="556"/>
      <c r="V25" s="556"/>
      <c r="W25" s="558"/>
      <c r="X25" s="543"/>
    </row>
    <row r="26" spans="1:24" s="544" customFormat="1" x14ac:dyDescent="0.3">
      <c r="A26" s="559"/>
      <c r="B26" s="561" t="s">
        <v>9</v>
      </c>
      <c r="C26" s="560"/>
      <c r="D26" s="560" t="s">
        <v>333</v>
      </c>
      <c r="E26" s="560"/>
      <c r="F26" s="560" t="s">
        <v>333</v>
      </c>
      <c r="G26" s="560"/>
      <c r="H26" s="560" t="s">
        <v>333</v>
      </c>
      <c r="I26" s="560"/>
      <c r="J26" s="560" t="s">
        <v>333</v>
      </c>
      <c r="K26" s="560"/>
      <c r="L26" s="560" t="s">
        <v>333</v>
      </c>
      <c r="M26" s="560"/>
      <c r="N26" s="560" t="s">
        <v>333</v>
      </c>
      <c r="O26" s="560"/>
      <c r="P26" s="560" t="s">
        <v>334</v>
      </c>
      <c r="Q26" s="560"/>
      <c r="R26" s="560" t="s">
        <v>334</v>
      </c>
      <c r="S26" s="560"/>
      <c r="T26" s="557"/>
      <c r="U26" s="556"/>
      <c r="V26" s="556"/>
      <c r="W26" s="558"/>
      <c r="X26" s="543"/>
    </row>
    <row r="27" spans="1:24" s="544" customFormat="1" x14ac:dyDescent="0.3">
      <c r="A27" s="555"/>
      <c r="B27" s="561" t="s">
        <v>191</v>
      </c>
      <c r="C27" s="557"/>
      <c r="D27" s="560" t="s">
        <v>143</v>
      </c>
      <c r="E27" s="560"/>
      <c r="F27" s="560" t="s">
        <v>143</v>
      </c>
      <c r="G27" s="560"/>
      <c r="H27" s="560" t="s">
        <v>143</v>
      </c>
      <c r="I27" s="560"/>
      <c r="J27" s="560" t="s">
        <v>143</v>
      </c>
      <c r="K27" s="560"/>
      <c r="L27" s="560" t="s">
        <v>293</v>
      </c>
      <c r="M27" s="560"/>
      <c r="N27" s="560" t="s">
        <v>293</v>
      </c>
      <c r="O27" s="560"/>
      <c r="P27" s="560" t="s">
        <v>383</v>
      </c>
      <c r="Q27" s="560"/>
      <c r="R27" s="560" t="s">
        <v>383</v>
      </c>
      <c r="S27" s="557"/>
      <c r="T27" s="562"/>
      <c r="U27" s="556"/>
      <c r="V27" s="556"/>
      <c r="W27" s="558"/>
      <c r="X27" s="543"/>
    </row>
    <row r="28" spans="1:24" s="544" customFormat="1" x14ac:dyDescent="0.3">
      <c r="A28" s="555"/>
      <c r="B28" s="561" t="s">
        <v>192</v>
      </c>
      <c r="C28" s="557"/>
      <c r="D28" s="560" t="s">
        <v>143</v>
      </c>
      <c r="E28" s="560"/>
      <c r="F28" s="560" t="s">
        <v>143</v>
      </c>
      <c r="G28" s="560"/>
      <c r="H28" s="560" t="s">
        <v>143</v>
      </c>
      <c r="I28" s="560"/>
      <c r="J28" s="560" t="s">
        <v>143</v>
      </c>
      <c r="K28" s="560"/>
      <c r="L28" s="560" t="s">
        <v>143</v>
      </c>
      <c r="M28" s="560"/>
      <c r="N28" s="560" t="s">
        <v>143</v>
      </c>
      <c r="O28" s="560"/>
      <c r="P28" s="560" t="s">
        <v>144</v>
      </c>
      <c r="Q28" s="560"/>
      <c r="R28" s="560" t="s">
        <v>144</v>
      </c>
      <c r="S28" s="557"/>
      <c r="T28" s="562"/>
      <c r="U28" s="556"/>
      <c r="V28" s="556"/>
      <c r="W28" s="558"/>
      <c r="X28" s="543"/>
    </row>
    <row r="29" spans="1:24" s="544" customFormat="1" x14ac:dyDescent="0.3">
      <c r="A29" s="555"/>
      <c r="B29" s="556" t="s">
        <v>10</v>
      </c>
      <c r="C29" s="563"/>
      <c r="D29" s="557" t="s">
        <v>249</v>
      </c>
      <c r="E29" s="557"/>
      <c r="F29" s="562" t="s">
        <v>250</v>
      </c>
      <c r="G29" s="557"/>
      <c r="H29" s="557" t="s">
        <v>251</v>
      </c>
      <c r="I29" s="557"/>
      <c r="J29" s="557" t="s">
        <v>253</v>
      </c>
      <c r="K29" s="557"/>
      <c r="L29" s="557" t="s">
        <v>254</v>
      </c>
      <c r="M29" s="557"/>
      <c r="N29" s="557" t="s">
        <v>255</v>
      </c>
      <c r="O29" s="557"/>
      <c r="P29" s="557" t="s">
        <v>256</v>
      </c>
      <c r="Q29" s="557"/>
      <c r="R29" s="557" t="s">
        <v>257</v>
      </c>
      <c r="S29" s="564"/>
      <c r="T29" s="564"/>
      <c r="U29" s="563"/>
      <c r="V29" s="564"/>
      <c r="W29" s="565"/>
      <c r="X29" s="543"/>
    </row>
    <row r="30" spans="1:24" s="544" customFormat="1" x14ac:dyDescent="0.3">
      <c r="A30" s="555"/>
      <c r="B30" s="556" t="s">
        <v>10</v>
      </c>
      <c r="C30" s="563"/>
      <c r="D30" s="557" t="s">
        <v>248</v>
      </c>
      <c r="E30" s="557"/>
      <c r="F30" s="562" t="s">
        <v>118</v>
      </c>
      <c r="G30" s="557"/>
      <c r="H30" s="557" t="s">
        <v>118</v>
      </c>
      <c r="I30" s="557"/>
      <c r="J30" s="557" t="s">
        <v>252</v>
      </c>
      <c r="K30" s="557"/>
      <c r="L30" s="557" t="s">
        <v>118</v>
      </c>
      <c r="M30" s="557"/>
      <c r="N30" s="557" t="s">
        <v>118</v>
      </c>
      <c r="O30" s="557"/>
      <c r="P30" s="557" t="s">
        <v>118</v>
      </c>
      <c r="Q30" s="557"/>
      <c r="R30" s="557" t="s">
        <v>118</v>
      </c>
      <c r="S30" s="564"/>
      <c r="T30" s="564"/>
      <c r="U30" s="563"/>
      <c r="V30" s="564"/>
      <c r="W30" s="565"/>
      <c r="X30" s="543"/>
    </row>
    <row r="31" spans="1:24" s="544" customFormat="1" x14ac:dyDescent="0.3">
      <c r="A31" s="559"/>
      <c r="B31" s="556" t="s">
        <v>133</v>
      </c>
      <c r="C31" s="566"/>
      <c r="D31" s="567">
        <v>1500000</v>
      </c>
      <c r="E31" s="563"/>
      <c r="F31" s="564">
        <v>125000</v>
      </c>
      <c r="G31" s="564"/>
      <c r="H31" s="568">
        <v>246000</v>
      </c>
      <c r="I31" s="568"/>
      <c r="J31" s="567">
        <v>400000</v>
      </c>
      <c r="K31" s="564"/>
      <c r="L31" s="564">
        <v>51900</v>
      </c>
      <c r="M31" s="564"/>
      <c r="N31" s="568">
        <v>88800</v>
      </c>
      <c r="O31" s="564"/>
      <c r="P31" s="564">
        <v>20000</v>
      </c>
      <c r="Q31" s="564"/>
      <c r="R31" s="568">
        <v>135500</v>
      </c>
      <c r="S31" s="569"/>
      <c r="T31" s="569"/>
      <c r="U31" s="566"/>
      <c r="V31" s="569"/>
      <c r="W31" s="565"/>
      <c r="X31" s="543"/>
    </row>
    <row r="32" spans="1:24" s="544" customFormat="1" x14ac:dyDescent="0.3">
      <c r="A32" s="555"/>
      <c r="B32" s="556" t="s">
        <v>132</v>
      </c>
      <c r="C32" s="563"/>
      <c r="D32" s="570">
        <f>D34*D38</f>
        <v>321818.68832399999</v>
      </c>
      <c r="E32" s="563"/>
      <c r="F32" s="564">
        <f>F31*F38</f>
        <v>51893.525000000001</v>
      </c>
      <c r="G32" s="564"/>
      <c r="H32" s="568">
        <f>H31*H38</f>
        <v>102126.4572</v>
      </c>
      <c r="I32" s="568"/>
      <c r="J32" s="567">
        <f>J31*J38</f>
        <v>166058.4</v>
      </c>
      <c r="K32" s="564"/>
      <c r="L32" s="564">
        <f>+L31</f>
        <v>51900</v>
      </c>
      <c r="M32" s="564"/>
      <c r="N32" s="568">
        <f>+N31</f>
        <v>88800</v>
      </c>
      <c r="O32" s="564"/>
      <c r="P32" s="564">
        <f>+P31</f>
        <v>20000</v>
      </c>
      <c r="Q32" s="564"/>
      <c r="R32" s="568">
        <f>+R31</f>
        <v>135500</v>
      </c>
      <c r="S32" s="564"/>
      <c r="T32" s="564"/>
      <c r="U32" s="563"/>
      <c r="V32" s="564"/>
      <c r="W32" s="565"/>
      <c r="X32" s="543"/>
    </row>
    <row r="33" spans="1:24" s="544" customFormat="1" x14ac:dyDescent="0.3">
      <c r="A33" s="555"/>
      <c r="B33" s="561" t="s">
        <v>134</v>
      </c>
      <c r="C33" s="563"/>
      <c r="D33" s="571">
        <f>D34*D37</f>
        <v>314420.54686559999</v>
      </c>
      <c r="E33" s="566"/>
      <c r="F33" s="569">
        <f>F37*F31</f>
        <v>50700.574999999997</v>
      </c>
      <c r="G33" s="569"/>
      <c r="H33" s="572">
        <f>H31*H37</f>
        <v>99778.731599999999</v>
      </c>
      <c r="I33" s="572"/>
      <c r="J33" s="573">
        <f>J37*J31</f>
        <v>162240.95999999999</v>
      </c>
      <c r="K33" s="569"/>
      <c r="L33" s="569">
        <f>L31*L37</f>
        <v>51900</v>
      </c>
      <c r="M33" s="569"/>
      <c r="N33" s="572">
        <f>N31*N37</f>
        <v>88800</v>
      </c>
      <c r="O33" s="569"/>
      <c r="P33" s="569">
        <f>P31*P37</f>
        <v>20000</v>
      </c>
      <c r="Q33" s="569"/>
      <c r="R33" s="572">
        <f>R31*R37</f>
        <v>135500</v>
      </c>
      <c r="S33" s="564"/>
      <c r="T33" s="564"/>
      <c r="U33" s="563"/>
      <c r="V33" s="564"/>
      <c r="W33" s="565"/>
      <c r="X33" s="543"/>
    </row>
    <row r="34" spans="1:24" s="544" customFormat="1" x14ac:dyDescent="0.3">
      <c r="A34" s="559"/>
      <c r="B34" s="556" t="s">
        <v>296</v>
      </c>
      <c r="C34" s="566"/>
      <c r="D34" s="564">
        <v>775194</v>
      </c>
      <c r="E34" s="563"/>
      <c r="F34" s="564">
        <v>125000</v>
      </c>
      <c r="G34" s="564"/>
      <c r="H34" s="564">
        <v>168148</v>
      </c>
      <c r="I34" s="564"/>
      <c r="J34" s="564">
        <v>206718</v>
      </c>
      <c r="K34" s="564"/>
      <c r="L34" s="564">
        <v>51900</v>
      </c>
      <c r="M34" s="564"/>
      <c r="N34" s="564">
        <v>60697</v>
      </c>
      <c r="O34" s="564"/>
      <c r="P34" s="564">
        <v>20000</v>
      </c>
      <c r="Q34" s="564"/>
      <c r="R34" s="564">
        <v>92618</v>
      </c>
      <c r="S34" s="569"/>
      <c r="T34" s="569"/>
      <c r="U34" s="566"/>
      <c r="V34" s="564">
        <f>SUM(C34:R34)</f>
        <v>1500275</v>
      </c>
      <c r="W34" s="565"/>
      <c r="X34" s="543"/>
    </row>
    <row r="35" spans="1:24" s="544" customFormat="1" x14ac:dyDescent="0.3">
      <c r="A35" s="559"/>
      <c r="B35" s="556" t="s">
        <v>297</v>
      </c>
      <c r="C35" s="566"/>
      <c r="D35" s="564">
        <f>D34*D38</f>
        <v>321818.68832399999</v>
      </c>
      <c r="E35" s="563"/>
      <c r="F35" s="564">
        <f>F34*F38</f>
        <v>51893.525000000001</v>
      </c>
      <c r="G35" s="564"/>
      <c r="H35" s="564">
        <f>H34*H38</f>
        <v>69806.33953360001</v>
      </c>
      <c r="I35" s="564"/>
      <c r="J35" s="564">
        <f>J34*J38</f>
        <v>85818.150827999998</v>
      </c>
      <c r="K35" s="564"/>
      <c r="L35" s="564">
        <f>+L34</f>
        <v>51900</v>
      </c>
      <c r="M35" s="564"/>
      <c r="N35" s="564">
        <f>+N34</f>
        <v>60697</v>
      </c>
      <c r="O35" s="564"/>
      <c r="P35" s="564">
        <f>+P34</f>
        <v>20000</v>
      </c>
      <c r="Q35" s="564"/>
      <c r="R35" s="564">
        <f>+R34</f>
        <v>92618</v>
      </c>
      <c r="S35" s="564"/>
      <c r="T35" s="564"/>
      <c r="U35" s="563"/>
      <c r="V35" s="564">
        <f>SUM(C35:R35)</f>
        <v>754551.70368560008</v>
      </c>
      <c r="W35" s="565"/>
      <c r="X35" s="543"/>
    </row>
    <row r="36" spans="1:24" s="544" customFormat="1" x14ac:dyDescent="0.3">
      <c r="A36" s="559"/>
      <c r="B36" s="561" t="s">
        <v>298</v>
      </c>
      <c r="C36" s="566"/>
      <c r="D36" s="569">
        <f>D34*D37</f>
        <v>314420.54686559999</v>
      </c>
      <c r="E36" s="566"/>
      <c r="F36" s="569">
        <f>F34*F37</f>
        <v>50700.574999999997</v>
      </c>
      <c r="G36" s="569"/>
      <c r="H36" s="569">
        <f>H34*H37</f>
        <v>68201.602280799998</v>
      </c>
      <c r="I36" s="569"/>
      <c r="J36" s="569">
        <f>J34*J37</f>
        <v>83845.316923199993</v>
      </c>
      <c r="K36" s="569"/>
      <c r="L36" s="569">
        <f>L34*L37</f>
        <v>51900</v>
      </c>
      <c r="M36" s="569"/>
      <c r="N36" s="569">
        <f>N34*N37</f>
        <v>60697</v>
      </c>
      <c r="O36" s="569"/>
      <c r="P36" s="569">
        <f>P34*P37</f>
        <v>20000</v>
      </c>
      <c r="Q36" s="569"/>
      <c r="R36" s="569">
        <f>R34*R37</f>
        <v>92618</v>
      </c>
      <c r="S36" s="574"/>
      <c r="T36" s="574"/>
      <c r="U36" s="563"/>
      <c r="V36" s="569">
        <f>SUM(C36:R36)</f>
        <v>742383.04106960003</v>
      </c>
      <c r="W36" s="565"/>
      <c r="X36" s="543"/>
    </row>
    <row r="37" spans="1:24" s="499" customFormat="1" x14ac:dyDescent="0.3">
      <c r="A37" s="492"/>
      <c r="B37" s="493" t="s">
        <v>130</v>
      </c>
      <c r="C37" s="494"/>
      <c r="D37" s="495">
        <v>0.40560239999999997</v>
      </c>
      <c r="E37" s="495"/>
      <c r="F37" s="495">
        <v>0.40560459999999998</v>
      </c>
      <c r="G37" s="495"/>
      <c r="H37" s="495">
        <v>0.40560459999999998</v>
      </c>
      <c r="I37" s="495"/>
      <c r="J37" s="495">
        <v>0.40560239999999997</v>
      </c>
      <c r="K37" s="495"/>
      <c r="L37" s="495">
        <v>1</v>
      </c>
      <c r="M37" s="495"/>
      <c r="N37" s="495">
        <v>1</v>
      </c>
      <c r="O37" s="495"/>
      <c r="P37" s="495">
        <v>1</v>
      </c>
      <c r="Q37" s="495"/>
      <c r="R37" s="495">
        <v>1</v>
      </c>
      <c r="S37" s="496"/>
      <c r="T37" s="496"/>
      <c r="U37" s="494"/>
      <c r="V37" s="494"/>
      <c r="W37" s="497"/>
      <c r="X37" s="498"/>
    </row>
    <row r="38" spans="1:24" s="499" customFormat="1" x14ac:dyDescent="0.3">
      <c r="A38" s="492"/>
      <c r="B38" s="493" t="s">
        <v>131</v>
      </c>
      <c r="C38" s="494"/>
      <c r="D38" s="495">
        <v>0.41514600000000002</v>
      </c>
      <c r="E38" s="495"/>
      <c r="F38" s="495">
        <v>0.41514820000000002</v>
      </c>
      <c r="G38" s="495"/>
      <c r="H38" s="495">
        <v>0.41514820000000002</v>
      </c>
      <c r="I38" s="495"/>
      <c r="J38" s="495">
        <v>0.41514600000000002</v>
      </c>
      <c r="K38" s="495"/>
      <c r="L38" s="495">
        <v>1</v>
      </c>
      <c r="M38" s="495"/>
      <c r="N38" s="495">
        <v>1</v>
      </c>
      <c r="O38" s="495"/>
      <c r="P38" s="495">
        <v>1</v>
      </c>
      <c r="Q38" s="495"/>
      <c r="R38" s="495">
        <v>1</v>
      </c>
      <c r="S38" s="500"/>
      <c r="T38" s="501"/>
      <c r="U38" s="494"/>
      <c r="V38" s="500"/>
      <c r="W38" s="497"/>
      <c r="X38" s="498"/>
    </row>
    <row r="39" spans="1:24" s="544" customFormat="1" x14ac:dyDescent="0.3">
      <c r="A39" s="555"/>
      <c r="B39" s="556" t="s">
        <v>11</v>
      </c>
      <c r="C39" s="556"/>
      <c r="D39" s="562" t="s">
        <v>321</v>
      </c>
      <c r="E39" s="556"/>
      <c r="F39" s="562" t="s">
        <v>231</v>
      </c>
      <c r="G39" s="562"/>
      <c r="H39" s="562" t="s">
        <v>231</v>
      </c>
      <c r="I39" s="562"/>
      <c r="J39" s="562" t="s">
        <v>231</v>
      </c>
      <c r="K39" s="562"/>
      <c r="L39" s="562" t="s">
        <v>265</v>
      </c>
      <c r="M39" s="562"/>
      <c r="N39" s="562" t="s">
        <v>265</v>
      </c>
      <c r="O39" s="562"/>
      <c r="P39" s="562" t="s">
        <v>266</v>
      </c>
      <c r="Q39" s="562"/>
      <c r="R39" s="562" t="s">
        <v>266</v>
      </c>
      <c r="S39" s="575"/>
      <c r="T39" s="576"/>
      <c r="U39" s="556"/>
      <c r="V39" s="556"/>
      <c r="W39" s="558"/>
      <c r="X39" s="543"/>
    </row>
    <row r="40" spans="1:24" s="544" customFormat="1" x14ac:dyDescent="0.3">
      <c r="A40" s="555"/>
      <c r="B40" s="556" t="s">
        <v>12</v>
      </c>
      <c r="C40" s="556"/>
      <c r="D40" s="576">
        <v>9.8137999999999993E-3</v>
      </c>
      <c r="E40" s="556"/>
      <c r="F40" s="576">
        <v>9.8137999999999993E-3</v>
      </c>
      <c r="G40" s="575"/>
      <c r="H40" s="576">
        <v>0</v>
      </c>
      <c r="I40" s="576"/>
      <c r="J40" s="576">
        <v>2.3185000000000001E-2</v>
      </c>
      <c r="K40" s="575"/>
      <c r="L40" s="576">
        <v>1.14138E-2</v>
      </c>
      <c r="M40" s="575"/>
      <c r="N40" s="576">
        <v>0</v>
      </c>
      <c r="O40" s="575"/>
      <c r="P40" s="576">
        <v>1.54138E-2</v>
      </c>
      <c r="Q40" s="575"/>
      <c r="R40" s="576">
        <v>3.2699999999999999E-3</v>
      </c>
      <c r="S40" s="575"/>
      <c r="T40" s="576"/>
      <c r="U40" s="556"/>
      <c r="V40" s="562"/>
      <c r="W40" s="558"/>
      <c r="X40" s="543"/>
    </row>
    <row r="41" spans="1:24" s="544" customFormat="1" x14ac:dyDescent="0.3">
      <c r="A41" s="555"/>
      <c r="B41" s="556" t="s">
        <v>13</v>
      </c>
      <c r="C41" s="556"/>
      <c r="D41" s="576">
        <v>9.8612999999999999E-3</v>
      </c>
      <c r="E41" s="556"/>
      <c r="F41" s="576">
        <v>9.8612999999999999E-3</v>
      </c>
      <c r="G41" s="575"/>
      <c r="H41" s="576">
        <v>0</v>
      </c>
      <c r="I41" s="576"/>
      <c r="J41" s="576">
        <v>2.6102500000000001E-2</v>
      </c>
      <c r="K41" s="575"/>
      <c r="L41" s="576">
        <v>1.1461300000000001E-2</v>
      </c>
      <c r="M41" s="575"/>
      <c r="N41" s="576">
        <v>4.2000000000000002E-4</v>
      </c>
      <c r="O41" s="575"/>
      <c r="P41" s="576">
        <v>1.5461300000000001E-2</v>
      </c>
      <c r="Q41" s="575"/>
      <c r="R41" s="576">
        <v>4.4200000000000003E-3</v>
      </c>
      <c r="S41" s="575"/>
      <c r="T41" s="576"/>
      <c r="U41" s="556"/>
      <c r="V41" s="575" t="s">
        <v>193</v>
      </c>
      <c r="W41" s="558"/>
      <c r="X41" s="543"/>
    </row>
    <row r="42" spans="1:24" s="544" customFormat="1" x14ac:dyDescent="0.3">
      <c r="A42" s="555"/>
      <c r="B42" s="556" t="s">
        <v>299</v>
      </c>
      <c r="C42" s="556"/>
      <c r="D42" s="562" t="s">
        <v>321</v>
      </c>
      <c r="E42" s="556"/>
      <c r="F42" s="562" t="s">
        <v>231</v>
      </c>
      <c r="G42" s="562"/>
      <c r="H42" s="562" t="s">
        <v>323</v>
      </c>
      <c r="I42" s="562"/>
      <c r="J42" s="562" t="s">
        <v>324</v>
      </c>
      <c r="K42" s="562"/>
      <c r="L42" s="562" t="s">
        <v>265</v>
      </c>
      <c r="M42" s="562"/>
      <c r="N42" s="562" t="s">
        <v>234</v>
      </c>
      <c r="O42" s="562"/>
      <c r="P42" s="562" t="s">
        <v>266</v>
      </c>
      <c r="Q42" s="562"/>
      <c r="R42" s="562" t="s">
        <v>264</v>
      </c>
      <c r="S42" s="575"/>
      <c r="T42" s="576"/>
      <c r="U42" s="556"/>
      <c r="V42" s="556"/>
      <c r="W42" s="558"/>
      <c r="X42" s="543"/>
    </row>
    <row r="43" spans="1:24" s="544" customFormat="1" x14ac:dyDescent="0.3">
      <c r="A43" s="555"/>
      <c r="B43" s="556" t="s">
        <v>300</v>
      </c>
      <c r="C43" s="577"/>
      <c r="D43" s="576">
        <f>D40</f>
        <v>9.8137999999999993E-3</v>
      </c>
      <c r="E43" s="576"/>
      <c r="F43" s="576">
        <f>+F40</f>
        <v>9.8137999999999993E-3</v>
      </c>
      <c r="G43" s="576"/>
      <c r="H43" s="576">
        <v>1.00938E-2</v>
      </c>
      <c r="I43" s="576"/>
      <c r="J43" s="576">
        <v>1.05398E-2</v>
      </c>
      <c r="K43" s="576"/>
      <c r="L43" s="576">
        <f>+L40</f>
        <v>1.14138E-2</v>
      </c>
      <c r="M43" s="576"/>
      <c r="N43" s="576">
        <v>1.20058E-2</v>
      </c>
      <c r="O43" s="576"/>
      <c r="P43" s="576">
        <f>+P40</f>
        <v>1.54138E-2</v>
      </c>
      <c r="Q43" s="575"/>
      <c r="R43" s="576">
        <v>1.6479799999999999E-2</v>
      </c>
      <c r="S43" s="562"/>
      <c r="T43" s="562"/>
      <c r="U43" s="556"/>
      <c r="V43" s="575">
        <f>SUMPRODUCT(D43:R43,D35:R35)/V35</f>
        <v>1.117530930354084E-2</v>
      </c>
      <c r="W43" s="558"/>
      <c r="X43" s="543"/>
    </row>
    <row r="44" spans="1:24" s="544" customFormat="1" x14ac:dyDescent="0.3">
      <c r="A44" s="555"/>
      <c r="B44" s="556" t="s">
        <v>301</v>
      </c>
      <c r="C44" s="577"/>
      <c r="D44" s="576">
        <f>D41</f>
        <v>9.8612999999999999E-3</v>
      </c>
      <c r="E44" s="576"/>
      <c r="F44" s="576">
        <f>+F41</f>
        <v>9.8612999999999999E-3</v>
      </c>
      <c r="G44" s="576"/>
      <c r="H44" s="576">
        <v>1.0141300000000001E-2</v>
      </c>
      <c r="I44" s="576"/>
      <c r="J44" s="576">
        <v>1.0587299999999999E-2</v>
      </c>
      <c r="K44" s="576"/>
      <c r="L44" s="576">
        <f>+L41</f>
        <v>1.1461300000000001E-2</v>
      </c>
      <c r="M44" s="576"/>
      <c r="N44" s="576">
        <v>1.2053299999999999E-2</v>
      </c>
      <c r="O44" s="576"/>
      <c r="P44" s="576">
        <f>+P41</f>
        <v>1.5461300000000001E-2</v>
      </c>
      <c r="Q44" s="575"/>
      <c r="R44" s="576">
        <v>1.6527300000000002E-2</v>
      </c>
      <c r="S44" s="562"/>
      <c r="T44" s="562"/>
      <c r="U44" s="556"/>
      <c r="V44" s="556"/>
      <c r="W44" s="558"/>
      <c r="X44" s="543"/>
    </row>
    <row r="45" spans="1:24" s="544" customFormat="1" x14ac:dyDescent="0.3">
      <c r="A45" s="555"/>
      <c r="B45" s="556" t="s">
        <v>14</v>
      </c>
      <c r="C45" s="556"/>
      <c r="D45" s="577">
        <v>40617</v>
      </c>
      <c r="E45" s="577"/>
      <c r="F45" s="577">
        <v>40617</v>
      </c>
      <c r="G45" s="577"/>
      <c r="H45" s="577">
        <v>40617</v>
      </c>
      <c r="I45" s="577"/>
      <c r="J45" s="577">
        <v>40617</v>
      </c>
      <c r="K45" s="577"/>
      <c r="L45" s="577">
        <v>40617</v>
      </c>
      <c r="M45" s="577"/>
      <c r="N45" s="577">
        <v>40617</v>
      </c>
      <c r="O45" s="577"/>
      <c r="P45" s="577">
        <v>40617</v>
      </c>
      <c r="Q45" s="577"/>
      <c r="R45" s="577">
        <v>40617</v>
      </c>
      <c r="S45" s="562"/>
      <c r="T45" s="562"/>
      <c r="U45" s="556"/>
      <c r="V45" s="556"/>
      <c r="W45" s="558"/>
      <c r="X45" s="543"/>
    </row>
    <row r="46" spans="1:24" s="544" customFormat="1" x14ac:dyDescent="0.3">
      <c r="A46" s="555"/>
      <c r="B46" s="556" t="s">
        <v>15</v>
      </c>
      <c r="C46" s="556"/>
      <c r="D46" s="577">
        <v>40983</v>
      </c>
      <c r="E46" s="577"/>
      <c r="F46" s="577">
        <v>40983</v>
      </c>
      <c r="G46" s="577"/>
      <c r="H46" s="577">
        <v>40983</v>
      </c>
      <c r="I46" s="577"/>
      <c r="J46" s="577">
        <v>40983</v>
      </c>
      <c r="K46" s="562"/>
      <c r="L46" s="577">
        <v>40983</v>
      </c>
      <c r="M46" s="562"/>
      <c r="N46" s="577">
        <v>40983</v>
      </c>
      <c r="O46" s="562"/>
      <c r="P46" s="577">
        <v>40983</v>
      </c>
      <c r="Q46" s="562"/>
      <c r="R46" s="577">
        <v>40983</v>
      </c>
      <c r="S46" s="562"/>
      <c r="T46" s="562"/>
      <c r="U46" s="556"/>
      <c r="V46" s="556"/>
      <c r="W46" s="558"/>
      <c r="X46" s="543"/>
    </row>
    <row r="47" spans="1:24" s="544" customFormat="1" x14ac:dyDescent="0.3">
      <c r="A47" s="555"/>
      <c r="B47" s="556" t="s">
        <v>119</v>
      </c>
      <c r="C47" s="556"/>
      <c r="D47" s="562" t="s">
        <v>231</v>
      </c>
      <c r="E47" s="556"/>
      <c r="F47" s="562" t="s">
        <v>231</v>
      </c>
      <c r="G47" s="562"/>
      <c r="H47" s="562" t="s">
        <v>231</v>
      </c>
      <c r="I47" s="562"/>
      <c r="J47" s="562" t="s">
        <v>231</v>
      </c>
      <c r="K47" s="562"/>
      <c r="L47" s="562" t="s">
        <v>265</v>
      </c>
      <c r="M47" s="562"/>
      <c r="N47" s="562" t="s">
        <v>265</v>
      </c>
      <c r="O47" s="562"/>
      <c r="P47" s="562" t="s">
        <v>266</v>
      </c>
      <c r="Q47" s="562"/>
      <c r="R47" s="562" t="s">
        <v>266</v>
      </c>
      <c r="S47" s="578"/>
      <c r="T47" s="578"/>
      <c r="U47" s="578"/>
      <c r="V47" s="578"/>
      <c r="W47" s="558"/>
      <c r="X47" s="543"/>
    </row>
    <row r="48" spans="1:24" s="544" customFormat="1" x14ac:dyDescent="0.3">
      <c r="A48" s="555"/>
      <c r="B48" s="556" t="s">
        <v>302</v>
      </c>
      <c r="C48" s="556"/>
      <c r="D48" s="562" t="s">
        <v>325</v>
      </c>
      <c r="E48" s="556"/>
      <c r="F48" s="562" t="s">
        <v>231</v>
      </c>
      <c r="G48" s="562"/>
      <c r="H48" s="562" t="s">
        <v>262</v>
      </c>
      <c r="I48" s="562"/>
      <c r="J48" s="562" t="s">
        <v>263</v>
      </c>
      <c r="K48" s="562"/>
      <c r="L48" s="562" t="s">
        <v>265</v>
      </c>
      <c r="M48" s="562"/>
      <c r="N48" s="562" t="s">
        <v>234</v>
      </c>
      <c r="O48" s="562"/>
      <c r="P48" s="562" t="s">
        <v>266</v>
      </c>
      <c r="Q48" s="562"/>
      <c r="R48" s="562" t="s">
        <v>264</v>
      </c>
      <c r="S48" s="556"/>
      <c r="T48" s="556"/>
      <c r="U48" s="556"/>
      <c r="V48" s="575"/>
      <c r="W48" s="558"/>
      <c r="X48" s="543"/>
    </row>
    <row r="49" spans="1:25" s="544" customFormat="1" x14ac:dyDescent="0.3">
      <c r="A49" s="555"/>
      <c r="B49" s="556"/>
      <c r="C49" s="556"/>
      <c r="D49" s="562"/>
      <c r="E49" s="556"/>
      <c r="F49" s="562"/>
      <c r="G49" s="562"/>
      <c r="H49" s="562"/>
      <c r="I49" s="562"/>
      <c r="J49" s="562"/>
      <c r="K49" s="562"/>
      <c r="L49" s="562"/>
      <c r="M49" s="562"/>
      <c r="N49" s="562"/>
      <c r="O49" s="562"/>
      <c r="P49" s="562"/>
      <c r="Q49" s="562"/>
      <c r="R49" s="562"/>
      <c r="S49" s="556"/>
      <c r="T49" s="556"/>
      <c r="U49" s="556"/>
      <c r="V49" s="575" t="s">
        <v>193</v>
      </c>
      <c r="W49" s="558"/>
      <c r="X49" s="543"/>
    </row>
    <row r="50" spans="1:25" s="544" customFormat="1" x14ac:dyDescent="0.3">
      <c r="A50" s="555"/>
      <c r="B50" s="556" t="s">
        <v>169</v>
      </c>
      <c r="C50" s="556"/>
      <c r="D50" s="562"/>
      <c r="E50" s="556"/>
      <c r="F50" s="562"/>
      <c r="G50" s="562"/>
      <c r="H50" s="562"/>
      <c r="I50" s="562"/>
      <c r="J50" s="562"/>
      <c r="K50" s="562"/>
      <c r="L50" s="562"/>
      <c r="M50" s="562"/>
      <c r="N50" s="562"/>
      <c r="O50" s="562"/>
      <c r="P50" s="562"/>
      <c r="Q50" s="562"/>
      <c r="R50" s="562"/>
      <c r="S50" s="556"/>
      <c r="T50" s="556"/>
      <c r="U50" s="556"/>
      <c r="V50" s="575">
        <f>SUM(L34:R34)/SUM(D34:J34)</f>
        <v>0.17663090364375009</v>
      </c>
      <c r="W50" s="558"/>
      <c r="X50" s="543"/>
    </row>
    <row r="51" spans="1:25" s="544" customFormat="1" x14ac:dyDescent="0.3">
      <c r="A51" s="555"/>
      <c r="B51" s="556" t="s">
        <v>170</v>
      </c>
      <c r="C51" s="556"/>
      <c r="D51" s="556"/>
      <c r="E51" s="556"/>
      <c r="F51" s="579"/>
      <c r="G51" s="556"/>
      <c r="H51" s="556"/>
      <c r="I51" s="556"/>
      <c r="J51" s="556"/>
      <c r="K51" s="556"/>
      <c r="L51" s="556"/>
      <c r="M51" s="556"/>
      <c r="N51" s="556"/>
      <c r="O51" s="556"/>
      <c r="P51" s="556"/>
      <c r="Q51" s="556"/>
      <c r="R51" s="556"/>
      <c r="S51" s="556"/>
      <c r="T51" s="556"/>
      <c r="U51" s="556"/>
      <c r="V51" s="575">
        <f>SUM(L36:R36)/SUM(D36:J36)</f>
        <v>0.43547741181804928</v>
      </c>
      <c r="W51" s="558"/>
      <c r="X51" s="543"/>
    </row>
    <row r="52" spans="1:25" s="544" customFormat="1" x14ac:dyDescent="0.3">
      <c r="A52" s="555"/>
      <c r="B52" s="556" t="s">
        <v>171</v>
      </c>
      <c r="C52" s="556"/>
      <c r="D52" s="556"/>
      <c r="E52" s="556"/>
      <c r="F52" s="556"/>
      <c r="G52" s="556"/>
      <c r="H52" s="556"/>
      <c r="I52" s="556"/>
      <c r="J52" s="556"/>
      <c r="K52" s="556"/>
      <c r="L52" s="556"/>
      <c r="M52" s="556"/>
      <c r="N52" s="556"/>
      <c r="O52" s="556"/>
      <c r="P52" s="556"/>
      <c r="Q52" s="556"/>
      <c r="R52" s="556"/>
      <c r="S52" s="556"/>
      <c r="T52" s="562"/>
      <c r="U52" s="562"/>
      <c r="V52" s="564" t="s">
        <v>276</v>
      </c>
      <c r="W52" s="558"/>
      <c r="X52" s="543"/>
    </row>
    <row r="53" spans="1:25" s="544" customFormat="1" x14ac:dyDescent="0.3">
      <c r="A53" s="555"/>
      <c r="B53" s="556"/>
      <c r="C53" s="556"/>
      <c r="D53" s="556"/>
      <c r="E53" s="556"/>
      <c r="F53" s="556"/>
      <c r="G53" s="556"/>
      <c r="H53" s="556"/>
      <c r="I53" s="556"/>
      <c r="J53" s="556"/>
      <c r="K53" s="556"/>
      <c r="L53" s="556"/>
      <c r="M53" s="556"/>
      <c r="N53" s="556"/>
      <c r="O53" s="556"/>
      <c r="P53" s="556"/>
      <c r="Q53" s="556"/>
      <c r="R53" s="556"/>
      <c r="S53" s="556"/>
      <c r="T53" s="556"/>
      <c r="U53" s="556"/>
      <c r="V53" s="580"/>
      <c r="W53" s="558"/>
      <c r="X53" s="543"/>
    </row>
    <row r="54" spans="1:25" s="544" customFormat="1" x14ac:dyDescent="0.3">
      <c r="A54" s="555"/>
      <c r="B54" s="556" t="s">
        <v>361</v>
      </c>
      <c r="C54" s="556"/>
      <c r="D54" s="556"/>
      <c r="E54" s="556"/>
      <c r="F54" s="556"/>
      <c r="G54" s="556"/>
      <c r="H54" s="556"/>
      <c r="I54" s="556"/>
      <c r="J54" s="556"/>
      <c r="K54" s="556"/>
      <c r="L54" s="556"/>
      <c r="M54" s="556"/>
      <c r="N54" s="556"/>
      <c r="O54" s="556"/>
      <c r="P54" s="556"/>
      <c r="Q54" s="556"/>
      <c r="R54" s="556"/>
      <c r="S54" s="556"/>
      <c r="T54" s="562"/>
      <c r="U54" s="562"/>
      <c r="V54" s="581" t="s">
        <v>111</v>
      </c>
      <c r="W54" s="558"/>
      <c r="X54" s="543"/>
    </row>
    <row r="55" spans="1:25" s="544" customFormat="1" x14ac:dyDescent="0.3">
      <c r="A55" s="555"/>
      <c r="B55" s="561" t="s">
        <v>201</v>
      </c>
      <c r="C55" s="561"/>
      <c r="D55" s="561"/>
      <c r="E55" s="561"/>
      <c r="F55" s="561"/>
      <c r="G55" s="561"/>
      <c r="H55" s="561"/>
      <c r="I55" s="561"/>
      <c r="J55" s="561"/>
      <c r="K55" s="561"/>
      <c r="L55" s="561"/>
      <c r="M55" s="561"/>
      <c r="N55" s="561"/>
      <c r="O55" s="561"/>
      <c r="P55" s="561"/>
      <c r="Q55" s="561"/>
      <c r="R55" s="561"/>
      <c r="S55" s="561"/>
      <c r="T55" s="582"/>
      <c r="U55" s="582"/>
      <c r="V55" s="583">
        <v>43815</v>
      </c>
      <c r="W55" s="558"/>
      <c r="X55" s="543"/>
    </row>
    <row r="56" spans="1:25" s="544" customFormat="1" x14ac:dyDescent="0.3">
      <c r="A56" s="555"/>
      <c r="B56" s="556" t="s">
        <v>121</v>
      </c>
      <c r="C56" s="556"/>
      <c r="D56" s="556"/>
      <c r="E56" s="556"/>
      <c r="F56" s="556"/>
      <c r="G56" s="556"/>
      <c r="H56" s="584"/>
      <c r="I56" s="584"/>
      <c r="J56" s="584"/>
      <c r="K56" s="584"/>
      <c r="L56" s="584"/>
      <c r="M56" s="584"/>
      <c r="N56" s="584"/>
      <c r="O56" s="584"/>
      <c r="P56" s="584"/>
      <c r="Q56" s="584"/>
      <c r="R56" s="556">
        <f>+V56-T56+1</f>
        <v>91</v>
      </c>
      <c r="S56" s="584"/>
      <c r="T56" s="585">
        <v>43633</v>
      </c>
      <c r="U56" s="586"/>
      <c r="V56" s="585">
        <v>43723</v>
      </c>
      <c r="W56" s="558"/>
      <c r="X56" s="543"/>
    </row>
    <row r="57" spans="1:25" s="544" customFormat="1" x14ac:dyDescent="0.3">
      <c r="A57" s="555"/>
      <c r="B57" s="556" t="s">
        <v>122</v>
      </c>
      <c r="C57" s="556"/>
      <c r="D57" s="556"/>
      <c r="E57" s="556"/>
      <c r="F57" s="556"/>
      <c r="G57" s="556"/>
      <c r="H57" s="556"/>
      <c r="I57" s="556"/>
      <c r="J57" s="556"/>
      <c r="K57" s="556"/>
      <c r="L57" s="556"/>
      <c r="M57" s="556"/>
      <c r="N57" s="556"/>
      <c r="O57" s="556"/>
      <c r="P57" s="556"/>
      <c r="Q57" s="556"/>
      <c r="R57" s="556">
        <f>+V57-T57+1</f>
        <v>91</v>
      </c>
      <c r="S57" s="556"/>
      <c r="T57" s="585">
        <v>43724</v>
      </c>
      <c r="U57" s="586"/>
      <c r="V57" s="585">
        <v>43814</v>
      </c>
      <c r="W57" s="558"/>
      <c r="X57" s="543"/>
    </row>
    <row r="58" spans="1:25" s="544" customFormat="1" x14ac:dyDescent="0.3">
      <c r="A58" s="555"/>
      <c r="B58" s="556" t="s">
        <v>360</v>
      </c>
      <c r="C58" s="556"/>
      <c r="D58" s="556"/>
      <c r="E58" s="556"/>
      <c r="F58" s="556"/>
      <c r="G58" s="556"/>
      <c r="H58" s="556"/>
      <c r="I58" s="556"/>
      <c r="J58" s="556"/>
      <c r="K58" s="556"/>
      <c r="L58" s="556"/>
      <c r="M58" s="556"/>
      <c r="N58" s="556"/>
      <c r="O58" s="556"/>
      <c r="P58" s="556"/>
      <c r="Q58" s="556"/>
      <c r="R58" s="556"/>
      <c r="S58" s="556"/>
      <c r="T58" s="585"/>
      <c r="U58" s="586"/>
      <c r="V58" s="585" t="s">
        <v>120</v>
      </c>
      <c r="W58" s="558"/>
      <c r="X58" s="543"/>
    </row>
    <row r="59" spans="1:25" s="544" customFormat="1" x14ac:dyDescent="0.3">
      <c r="A59" s="555"/>
      <c r="B59" s="556" t="s">
        <v>359</v>
      </c>
      <c r="C59" s="556"/>
      <c r="D59" s="556"/>
      <c r="E59" s="556"/>
      <c r="F59" s="556"/>
      <c r="G59" s="556"/>
      <c r="H59" s="556"/>
      <c r="I59" s="556"/>
      <c r="J59" s="556"/>
      <c r="K59" s="556"/>
      <c r="L59" s="556"/>
      <c r="M59" s="556"/>
      <c r="N59" s="556"/>
      <c r="O59" s="556"/>
      <c r="P59" s="556"/>
      <c r="Q59" s="556"/>
      <c r="R59" s="556"/>
      <c r="S59" s="556"/>
      <c r="T59" s="585"/>
      <c r="U59" s="586"/>
      <c r="V59" s="585" t="s">
        <v>154</v>
      </c>
      <c r="W59" s="558"/>
      <c r="X59" s="543"/>
      <c r="Y59" s="587"/>
    </row>
    <row r="60" spans="1:25" s="544" customFormat="1" x14ac:dyDescent="0.3">
      <c r="A60" s="555"/>
      <c r="B60" s="556" t="s">
        <v>16</v>
      </c>
      <c r="C60" s="556"/>
      <c r="D60" s="556"/>
      <c r="E60" s="556"/>
      <c r="F60" s="556"/>
      <c r="G60" s="556"/>
      <c r="H60" s="556"/>
      <c r="I60" s="556"/>
      <c r="J60" s="556"/>
      <c r="K60" s="556"/>
      <c r="L60" s="556"/>
      <c r="M60" s="556"/>
      <c r="N60" s="556"/>
      <c r="O60" s="556"/>
      <c r="P60" s="556"/>
      <c r="Q60" s="556"/>
      <c r="R60" s="556"/>
      <c r="S60" s="556"/>
      <c r="T60" s="585"/>
      <c r="U60" s="586"/>
      <c r="V60" s="585">
        <v>43801</v>
      </c>
      <c r="W60" s="558"/>
      <c r="X60" s="543"/>
    </row>
    <row r="61" spans="1:25" s="544" customFormat="1" x14ac:dyDescent="0.3">
      <c r="A61" s="540"/>
      <c r="B61" s="588"/>
      <c r="C61" s="588"/>
      <c r="D61" s="588"/>
      <c r="E61" s="588"/>
      <c r="F61" s="588"/>
      <c r="G61" s="588"/>
      <c r="H61" s="588"/>
      <c r="I61" s="588"/>
      <c r="J61" s="588"/>
      <c r="K61" s="588"/>
      <c r="L61" s="588"/>
      <c r="M61" s="588"/>
      <c r="N61" s="588"/>
      <c r="O61" s="588"/>
      <c r="P61" s="588"/>
      <c r="Q61" s="588"/>
      <c r="R61" s="588"/>
      <c r="S61" s="588"/>
      <c r="T61" s="589"/>
      <c r="U61" s="590"/>
      <c r="V61" s="589"/>
      <c r="W61" s="588"/>
      <c r="X61" s="543"/>
    </row>
    <row r="62" spans="1:25" s="544" customFormat="1" x14ac:dyDescent="0.3">
      <c r="A62" s="540"/>
      <c r="B62" s="541"/>
      <c r="C62" s="541"/>
      <c r="D62" s="541"/>
      <c r="E62" s="541"/>
      <c r="F62" s="541"/>
      <c r="G62" s="541"/>
      <c r="H62" s="541"/>
      <c r="I62" s="541"/>
      <c r="J62" s="541"/>
      <c r="K62" s="541"/>
      <c r="L62" s="541"/>
      <c r="M62" s="541"/>
      <c r="N62" s="541"/>
      <c r="O62" s="541"/>
      <c r="P62" s="541"/>
      <c r="Q62" s="541"/>
      <c r="R62" s="541"/>
      <c r="S62" s="541"/>
      <c r="T62" s="591"/>
      <c r="U62" s="592"/>
      <c r="V62" s="591"/>
      <c r="W62" s="541"/>
      <c r="X62" s="543"/>
    </row>
    <row r="63" spans="1:25" s="544" customFormat="1" ht="18.600000000000001" thickBot="1" x14ac:dyDescent="0.4">
      <c r="A63" s="593"/>
      <c r="B63" s="594" t="s">
        <v>389</v>
      </c>
      <c r="C63" s="595"/>
      <c r="D63" s="595"/>
      <c r="E63" s="595"/>
      <c r="F63" s="595"/>
      <c r="G63" s="595"/>
      <c r="H63" s="595"/>
      <c r="I63" s="595"/>
      <c r="J63" s="595"/>
      <c r="K63" s="595"/>
      <c r="L63" s="595"/>
      <c r="M63" s="595"/>
      <c r="N63" s="595"/>
      <c r="O63" s="595"/>
      <c r="P63" s="595"/>
      <c r="Q63" s="595"/>
      <c r="R63" s="595"/>
      <c r="S63" s="595"/>
      <c r="T63" s="595"/>
      <c r="U63" s="595"/>
      <c r="V63" s="596"/>
      <c r="W63" s="597"/>
      <c r="X63" s="543"/>
    </row>
    <row r="64" spans="1:25" x14ac:dyDescent="0.3">
      <c r="A64" s="515"/>
      <c r="B64" s="521" t="s">
        <v>17</v>
      </c>
      <c r="C64" s="516"/>
      <c r="D64" s="516"/>
      <c r="E64" s="516"/>
      <c r="F64" s="516"/>
      <c r="G64" s="516"/>
      <c r="H64" s="516"/>
      <c r="I64" s="516"/>
      <c r="J64" s="516"/>
      <c r="K64" s="516"/>
      <c r="L64" s="516"/>
      <c r="M64" s="516"/>
      <c r="N64" s="516"/>
      <c r="O64" s="516"/>
      <c r="P64" s="516"/>
      <c r="Q64" s="516"/>
      <c r="R64" s="516"/>
      <c r="S64" s="516"/>
      <c r="T64" s="516"/>
      <c r="U64" s="516"/>
      <c r="V64" s="522"/>
      <c r="W64" s="516"/>
      <c r="X64" s="415"/>
    </row>
    <row r="65" spans="1:24" x14ac:dyDescent="0.3">
      <c r="A65" s="417"/>
      <c r="B65" s="425"/>
      <c r="C65" s="419"/>
      <c r="D65" s="419"/>
      <c r="E65" s="419"/>
      <c r="F65" s="419"/>
      <c r="G65" s="419"/>
      <c r="H65" s="419"/>
      <c r="I65" s="419"/>
      <c r="J65" s="419"/>
      <c r="K65" s="419"/>
      <c r="L65" s="419"/>
      <c r="M65" s="419"/>
      <c r="N65" s="419"/>
      <c r="O65" s="419"/>
      <c r="P65" s="419"/>
      <c r="Q65" s="419"/>
      <c r="R65" s="419"/>
      <c r="S65" s="419"/>
      <c r="T65" s="419"/>
      <c r="U65" s="419"/>
      <c r="V65" s="439"/>
      <c r="W65" s="419"/>
      <c r="X65" s="415"/>
    </row>
    <row r="66" spans="1:24" s="499" customFormat="1" ht="46.8" x14ac:dyDescent="0.3">
      <c r="A66" s="502"/>
      <c r="B66" s="503" t="s">
        <v>18</v>
      </c>
      <c r="C66" s="504"/>
      <c r="D66" s="504"/>
      <c r="E66" s="504"/>
      <c r="F66" s="504"/>
      <c r="G66" s="504"/>
      <c r="H66" s="504"/>
      <c r="I66" s="504"/>
      <c r="J66" s="504"/>
      <c r="K66" s="504"/>
      <c r="L66" s="504" t="s">
        <v>94</v>
      </c>
      <c r="M66" s="504"/>
      <c r="N66" s="504" t="s">
        <v>96</v>
      </c>
      <c r="O66" s="504"/>
      <c r="P66" s="504" t="s">
        <v>98</v>
      </c>
      <c r="Q66" s="504"/>
      <c r="R66" s="504" t="s">
        <v>100</v>
      </c>
      <c r="S66" s="504"/>
      <c r="T66" s="504" t="s">
        <v>106</v>
      </c>
      <c r="U66" s="504"/>
      <c r="V66" s="505" t="s">
        <v>112</v>
      </c>
      <c r="W66" s="506"/>
      <c r="X66" s="498"/>
    </row>
    <row r="67" spans="1:24" s="544" customFormat="1" x14ac:dyDescent="0.3">
      <c r="A67" s="555"/>
      <c r="B67" s="556" t="s">
        <v>19</v>
      </c>
      <c r="C67" s="598"/>
      <c r="D67" s="598"/>
      <c r="E67" s="598"/>
      <c r="F67" s="598"/>
      <c r="G67" s="598"/>
      <c r="H67" s="598"/>
      <c r="I67" s="598"/>
      <c r="J67" s="598"/>
      <c r="K67" s="598"/>
      <c r="L67" s="598">
        <v>1158015</v>
      </c>
      <c r="M67" s="598"/>
      <c r="N67" s="599">
        <v>754552</v>
      </c>
      <c r="O67" s="598"/>
      <c r="P67" s="598">
        <v>12169</v>
      </c>
      <c r="Q67" s="598"/>
      <c r="R67" s="598">
        <v>0</v>
      </c>
      <c r="S67" s="598"/>
      <c r="T67" s="598">
        <v>0</v>
      </c>
      <c r="U67" s="598"/>
      <c r="V67" s="599">
        <f>+N67-P67+R67-T67</f>
        <v>742383</v>
      </c>
      <c r="W67" s="558"/>
      <c r="X67" s="543"/>
    </row>
    <row r="68" spans="1:24" s="544" customFormat="1" x14ac:dyDescent="0.3">
      <c r="A68" s="555"/>
      <c r="B68" s="556" t="s">
        <v>20</v>
      </c>
      <c r="C68" s="598"/>
      <c r="D68" s="598"/>
      <c r="E68" s="598"/>
      <c r="F68" s="598"/>
      <c r="G68" s="598"/>
      <c r="H68" s="598"/>
      <c r="I68" s="598"/>
      <c r="J68" s="598"/>
      <c r="K68" s="598"/>
      <c r="L68" s="598">
        <v>15</v>
      </c>
      <c r="M68" s="598"/>
      <c r="N68" s="599">
        <v>0</v>
      </c>
      <c r="O68" s="598"/>
      <c r="P68" s="598">
        <v>0</v>
      </c>
      <c r="Q68" s="598"/>
      <c r="R68" s="598">
        <v>0</v>
      </c>
      <c r="S68" s="598"/>
      <c r="T68" s="598">
        <v>0</v>
      </c>
      <c r="U68" s="598"/>
      <c r="V68" s="599">
        <v>0</v>
      </c>
      <c r="W68" s="558"/>
      <c r="X68" s="543"/>
    </row>
    <row r="69" spans="1:24" s="544" customFormat="1" x14ac:dyDescent="0.3">
      <c r="A69" s="555"/>
      <c r="B69" s="556"/>
      <c r="C69" s="598"/>
      <c r="D69" s="598"/>
      <c r="E69" s="598"/>
      <c r="F69" s="598"/>
      <c r="G69" s="598"/>
      <c r="H69" s="598"/>
      <c r="I69" s="598"/>
      <c r="J69" s="598"/>
      <c r="K69" s="598"/>
      <c r="L69" s="598"/>
      <c r="M69" s="598"/>
      <c r="N69" s="599"/>
      <c r="O69" s="598"/>
      <c r="P69" s="598"/>
      <c r="Q69" s="598"/>
      <c r="R69" s="598"/>
      <c r="S69" s="598"/>
      <c r="T69" s="598"/>
      <c r="U69" s="598"/>
      <c r="V69" s="599"/>
      <c r="W69" s="558"/>
      <c r="X69" s="543"/>
    </row>
    <row r="70" spans="1:24" s="544" customFormat="1" x14ac:dyDescent="0.3">
      <c r="A70" s="555"/>
      <c r="B70" s="556" t="s">
        <v>21</v>
      </c>
      <c r="C70" s="598"/>
      <c r="D70" s="598"/>
      <c r="E70" s="598"/>
      <c r="F70" s="598"/>
      <c r="G70" s="598"/>
      <c r="H70" s="598"/>
      <c r="I70" s="598"/>
      <c r="J70" s="598"/>
      <c r="K70" s="598"/>
      <c r="L70" s="598">
        <f>SUM(L67:L69)</f>
        <v>1158030</v>
      </c>
      <c r="M70" s="598"/>
      <c r="N70" s="598">
        <f>N67+N68</f>
        <v>754552</v>
      </c>
      <c r="O70" s="598"/>
      <c r="P70" s="598">
        <f>SUM(P67:P69)</f>
        <v>12169</v>
      </c>
      <c r="Q70" s="598"/>
      <c r="R70" s="598">
        <f>SUM(R67:R69)</f>
        <v>0</v>
      </c>
      <c r="S70" s="598"/>
      <c r="T70" s="598">
        <f>SUM(T67:T69)</f>
        <v>0</v>
      </c>
      <c r="U70" s="598"/>
      <c r="V70" s="598">
        <f>SUM(V67:V69)</f>
        <v>742383</v>
      </c>
      <c r="W70" s="558"/>
      <c r="X70" s="543"/>
    </row>
    <row r="71" spans="1:24" x14ac:dyDescent="0.3">
      <c r="A71" s="417"/>
      <c r="B71" s="441"/>
      <c r="C71" s="442"/>
      <c r="D71" s="442"/>
      <c r="E71" s="442"/>
      <c r="F71" s="442"/>
      <c r="G71" s="442"/>
      <c r="H71" s="442"/>
      <c r="I71" s="442"/>
      <c r="J71" s="442"/>
      <c r="K71" s="442"/>
      <c r="L71" s="442"/>
      <c r="M71" s="442"/>
      <c r="N71" s="442"/>
      <c r="O71" s="442"/>
      <c r="P71" s="442"/>
      <c r="Q71" s="442"/>
      <c r="R71" s="442"/>
      <c r="S71" s="442"/>
      <c r="T71" s="442"/>
      <c r="U71" s="442"/>
      <c r="V71" s="443"/>
      <c r="W71" s="441"/>
      <c r="X71" s="415"/>
    </row>
    <row r="72" spans="1:24" x14ac:dyDescent="0.3">
      <c r="A72" s="417"/>
      <c r="B72" s="421" t="s">
        <v>22</v>
      </c>
      <c r="C72" s="444"/>
      <c r="D72" s="444"/>
      <c r="E72" s="444"/>
      <c r="F72" s="444"/>
      <c r="G72" s="444"/>
      <c r="H72" s="444"/>
      <c r="I72" s="444"/>
      <c r="J72" s="444"/>
      <c r="K72" s="444"/>
      <c r="L72" s="444"/>
      <c r="M72" s="444"/>
      <c r="N72" s="444"/>
      <c r="O72" s="444"/>
      <c r="P72" s="444"/>
      <c r="Q72" s="444"/>
      <c r="R72" s="444"/>
      <c r="S72" s="444"/>
      <c r="T72" s="444"/>
      <c r="U72" s="444"/>
      <c r="V72" s="445"/>
      <c r="W72" s="419"/>
      <c r="X72" s="415"/>
    </row>
    <row r="73" spans="1:24" x14ac:dyDescent="0.3">
      <c r="A73" s="417"/>
      <c r="B73" s="419"/>
      <c r="C73" s="444"/>
      <c r="D73" s="444"/>
      <c r="E73" s="444"/>
      <c r="F73" s="444"/>
      <c r="G73" s="444"/>
      <c r="H73" s="444"/>
      <c r="I73" s="444"/>
      <c r="J73" s="444"/>
      <c r="K73" s="444"/>
      <c r="L73" s="444"/>
      <c r="M73" s="444"/>
      <c r="N73" s="444"/>
      <c r="O73" s="444"/>
      <c r="P73" s="444"/>
      <c r="Q73" s="444"/>
      <c r="R73" s="444"/>
      <c r="S73" s="444"/>
      <c r="T73" s="444"/>
      <c r="U73" s="444"/>
      <c r="V73" s="445"/>
      <c r="W73" s="419"/>
      <c r="X73" s="415"/>
    </row>
    <row r="74" spans="1:24" s="544" customFormat="1" x14ac:dyDescent="0.3">
      <c r="A74" s="555"/>
      <c r="B74" s="556" t="s">
        <v>19</v>
      </c>
      <c r="C74" s="598"/>
      <c r="D74" s="598"/>
      <c r="E74" s="598"/>
      <c r="F74" s="598"/>
      <c r="G74" s="598"/>
      <c r="H74" s="598"/>
      <c r="I74" s="598"/>
      <c r="J74" s="598"/>
      <c r="K74" s="598"/>
      <c r="L74" s="598"/>
      <c r="M74" s="598"/>
      <c r="N74" s="598"/>
      <c r="O74" s="598"/>
      <c r="P74" s="598"/>
      <c r="Q74" s="598"/>
      <c r="R74" s="598"/>
      <c r="S74" s="598"/>
      <c r="T74" s="598"/>
      <c r="U74" s="598"/>
      <c r="V74" s="598"/>
      <c r="W74" s="558"/>
      <c r="X74" s="543"/>
    </row>
    <row r="75" spans="1:24" s="544" customFormat="1" x14ac:dyDescent="0.3">
      <c r="A75" s="555"/>
      <c r="B75" s="556" t="s">
        <v>20</v>
      </c>
      <c r="C75" s="598"/>
      <c r="D75" s="598"/>
      <c r="E75" s="598"/>
      <c r="F75" s="598"/>
      <c r="G75" s="598"/>
      <c r="H75" s="598"/>
      <c r="I75" s="598"/>
      <c r="J75" s="598"/>
      <c r="K75" s="598"/>
      <c r="L75" s="598"/>
      <c r="M75" s="598"/>
      <c r="N75" s="598"/>
      <c r="O75" s="598"/>
      <c r="P75" s="598"/>
      <c r="Q75" s="598"/>
      <c r="R75" s="598"/>
      <c r="S75" s="598"/>
      <c r="T75" s="598"/>
      <c r="U75" s="598"/>
      <c r="V75" s="598"/>
      <c r="W75" s="558"/>
      <c r="X75" s="543"/>
    </row>
    <row r="76" spans="1:24" s="544" customFormat="1" x14ac:dyDescent="0.3">
      <c r="A76" s="555"/>
      <c r="B76" s="556"/>
      <c r="C76" s="598"/>
      <c r="D76" s="598"/>
      <c r="E76" s="598"/>
      <c r="F76" s="598"/>
      <c r="G76" s="598"/>
      <c r="H76" s="598"/>
      <c r="I76" s="598"/>
      <c r="J76" s="598"/>
      <c r="K76" s="598"/>
      <c r="L76" s="598"/>
      <c r="M76" s="598"/>
      <c r="N76" s="598"/>
      <c r="O76" s="598"/>
      <c r="P76" s="598"/>
      <c r="Q76" s="598"/>
      <c r="R76" s="598"/>
      <c r="S76" s="598"/>
      <c r="T76" s="598"/>
      <c r="U76" s="598"/>
      <c r="V76" s="598"/>
      <c r="W76" s="558"/>
      <c r="X76" s="543"/>
    </row>
    <row r="77" spans="1:24" s="544" customFormat="1" x14ac:dyDescent="0.3">
      <c r="A77" s="555"/>
      <c r="B77" s="556" t="s">
        <v>21</v>
      </c>
      <c r="C77" s="598"/>
      <c r="D77" s="598"/>
      <c r="E77" s="598"/>
      <c r="F77" s="598"/>
      <c r="G77" s="598"/>
      <c r="H77" s="598"/>
      <c r="I77" s="598"/>
      <c r="J77" s="598"/>
      <c r="K77" s="598"/>
      <c r="L77" s="598"/>
      <c r="M77" s="598"/>
      <c r="N77" s="598"/>
      <c r="O77" s="598"/>
      <c r="P77" s="598"/>
      <c r="Q77" s="598"/>
      <c r="R77" s="598"/>
      <c r="S77" s="598"/>
      <c r="T77" s="598"/>
      <c r="U77" s="598"/>
      <c r="V77" s="598"/>
      <c r="W77" s="558"/>
      <c r="X77" s="543"/>
    </row>
    <row r="78" spans="1:24" s="544" customFormat="1" x14ac:dyDescent="0.3">
      <c r="A78" s="555"/>
      <c r="B78" s="556"/>
      <c r="C78" s="598"/>
      <c r="D78" s="598"/>
      <c r="E78" s="598"/>
      <c r="F78" s="598"/>
      <c r="G78" s="598"/>
      <c r="H78" s="598"/>
      <c r="I78" s="598"/>
      <c r="J78" s="598"/>
      <c r="K78" s="598"/>
      <c r="L78" s="598"/>
      <c r="M78" s="598"/>
      <c r="N78" s="598"/>
      <c r="O78" s="598"/>
      <c r="P78" s="598"/>
      <c r="Q78" s="598"/>
      <c r="R78" s="598"/>
      <c r="S78" s="598"/>
      <c r="T78" s="598"/>
      <c r="U78" s="598"/>
      <c r="V78" s="598"/>
      <c r="W78" s="558"/>
      <c r="X78" s="543"/>
    </row>
    <row r="79" spans="1:24" s="544" customFormat="1" x14ac:dyDescent="0.3">
      <c r="A79" s="555"/>
      <c r="B79" s="556" t="s">
        <v>23</v>
      </c>
      <c r="C79" s="598"/>
      <c r="D79" s="598"/>
      <c r="E79" s="598"/>
      <c r="F79" s="598"/>
      <c r="G79" s="598"/>
      <c r="H79" s="598"/>
      <c r="I79" s="598"/>
      <c r="J79" s="598"/>
      <c r="K79" s="598"/>
      <c r="L79" s="598">
        <v>0</v>
      </c>
      <c r="M79" s="598"/>
      <c r="N79" s="598">
        <v>0</v>
      </c>
      <c r="O79" s="598"/>
      <c r="P79" s="598"/>
      <c r="Q79" s="598"/>
      <c r="R79" s="598"/>
      <c r="S79" s="598"/>
      <c r="T79" s="598"/>
      <c r="U79" s="598"/>
      <c r="V79" s="599">
        <v>0</v>
      </c>
      <c r="W79" s="558"/>
      <c r="X79" s="543"/>
    </row>
    <row r="80" spans="1:24" s="544" customFormat="1" x14ac:dyDescent="0.3">
      <c r="A80" s="555"/>
      <c r="B80" s="556" t="s">
        <v>117</v>
      </c>
      <c r="C80" s="598"/>
      <c r="D80" s="598"/>
      <c r="E80" s="598"/>
      <c r="F80" s="598"/>
      <c r="G80" s="598"/>
      <c r="H80" s="598"/>
      <c r="I80" s="598"/>
      <c r="J80" s="598"/>
      <c r="K80" s="598"/>
      <c r="L80" s="598">
        <v>342245</v>
      </c>
      <c r="M80" s="598"/>
      <c r="N80" s="598">
        <v>0</v>
      </c>
      <c r="O80" s="598"/>
      <c r="P80" s="598">
        <v>0</v>
      </c>
      <c r="Q80" s="598"/>
      <c r="R80" s="598"/>
      <c r="S80" s="598"/>
      <c r="T80" s="598"/>
      <c r="U80" s="598"/>
      <c r="V80" s="598">
        <f>SUM(N80:R80)</f>
        <v>0</v>
      </c>
      <c r="W80" s="558"/>
      <c r="X80" s="543"/>
    </row>
    <row r="81" spans="1:24" s="544" customFormat="1" x14ac:dyDescent="0.3">
      <c r="A81" s="555"/>
      <c r="B81" s="556" t="s">
        <v>146</v>
      </c>
      <c r="C81" s="598"/>
      <c r="D81" s="598"/>
      <c r="E81" s="598"/>
      <c r="F81" s="598"/>
      <c r="G81" s="598"/>
      <c r="H81" s="598"/>
      <c r="I81" s="598"/>
      <c r="J81" s="598"/>
      <c r="K81" s="598"/>
      <c r="L81" s="598">
        <v>0</v>
      </c>
      <c r="M81" s="598"/>
      <c r="N81" s="598">
        <v>0</v>
      </c>
      <c r="O81" s="598"/>
      <c r="P81" s="598">
        <v>0</v>
      </c>
      <c r="Q81" s="598"/>
      <c r="R81" s="598"/>
      <c r="S81" s="598"/>
      <c r="T81" s="598"/>
      <c r="U81" s="598"/>
      <c r="V81" s="598">
        <f>+N81+P81</f>
        <v>0</v>
      </c>
      <c r="W81" s="558"/>
      <c r="X81" s="543"/>
    </row>
    <row r="82" spans="1:24" s="544" customFormat="1" x14ac:dyDescent="0.3">
      <c r="A82" s="555"/>
      <c r="B82" s="556" t="s">
        <v>25</v>
      </c>
      <c r="C82" s="598"/>
      <c r="D82" s="598"/>
      <c r="E82" s="598"/>
      <c r="F82" s="598"/>
      <c r="G82" s="598"/>
      <c r="H82" s="598"/>
      <c r="I82" s="598"/>
      <c r="J82" s="598"/>
      <c r="K82" s="598"/>
      <c r="L82" s="598">
        <v>0</v>
      </c>
      <c r="M82" s="598"/>
      <c r="N82" s="598">
        <v>0</v>
      </c>
      <c r="O82" s="598"/>
      <c r="P82" s="598"/>
      <c r="Q82" s="598"/>
      <c r="R82" s="598"/>
      <c r="S82" s="598"/>
      <c r="T82" s="598"/>
      <c r="U82" s="598"/>
      <c r="V82" s="598">
        <v>0</v>
      </c>
      <c r="W82" s="558"/>
      <c r="X82" s="543"/>
    </row>
    <row r="83" spans="1:24" s="544" customFormat="1" x14ac:dyDescent="0.3">
      <c r="A83" s="555"/>
      <c r="B83" s="556" t="s">
        <v>26</v>
      </c>
      <c r="C83" s="598"/>
      <c r="D83" s="598"/>
      <c r="E83" s="598"/>
      <c r="F83" s="598"/>
      <c r="G83" s="598"/>
      <c r="H83" s="598"/>
      <c r="I83" s="598"/>
      <c r="J83" s="598"/>
      <c r="K83" s="598"/>
      <c r="L83" s="598">
        <f>SUM(L70:L82)</f>
        <v>1500275</v>
      </c>
      <c r="M83" s="598"/>
      <c r="N83" s="598">
        <f>SUM(N70:N82)</f>
        <v>754552</v>
      </c>
      <c r="O83" s="598"/>
      <c r="P83" s="598"/>
      <c r="Q83" s="598"/>
      <c r="R83" s="598"/>
      <c r="S83" s="598"/>
      <c r="T83" s="598"/>
      <c r="U83" s="598"/>
      <c r="V83" s="598">
        <f>SUM(V70:V82)</f>
        <v>742383</v>
      </c>
      <c r="W83" s="558"/>
      <c r="X83" s="543"/>
    </row>
    <row r="84" spans="1:24" x14ac:dyDescent="0.3">
      <c r="A84" s="446"/>
      <c r="B84" s="437"/>
      <c r="C84" s="447"/>
      <c r="D84" s="447"/>
      <c r="E84" s="447"/>
      <c r="F84" s="447"/>
      <c r="G84" s="447"/>
      <c r="H84" s="447"/>
      <c r="I84" s="447"/>
      <c r="J84" s="447"/>
      <c r="K84" s="447"/>
      <c r="L84" s="447"/>
      <c r="M84" s="447"/>
      <c r="N84" s="447"/>
      <c r="O84" s="447"/>
      <c r="P84" s="447"/>
      <c r="Q84" s="447"/>
      <c r="R84" s="447"/>
      <c r="S84" s="447"/>
      <c r="T84" s="447"/>
      <c r="U84" s="447"/>
      <c r="V84" s="447"/>
      <c r="W84" s="437"/>
      <c r="X84" s="415"/>
    </row>
    <row r="85" spans="1:24" x14ac:dyDescent="0.3">
      <c r="A85" s="446"/>
      <c r="B85" s="427"/>
      <c r="C85" s="427"/>
      <c r="D85" s="427"/>
      <c r="E85" s="427"/>
      <c r="F85" s="427"/>
      <c r="G85" s="427"/>
      <c r="H85" s="427"/>
      <c r="I85" s="427"/>
      <c r="J85" s="427"/>
      <c r="K85" s="427"/>
      <c r="L85" s="427"/>
      <c r="M85" s="427"/>
      <c r="N85" s="427"/>
      <c r="O85" s="427"/>
      <c r="P85" s="427"/>
      <c r="Q85" s="427"/>
      <c r="R85" s="427"/>
      <c r="S85" s="427"/>
      <c r="T85" s="427"/>
      <c r="U85" s="427"/>
      <c r="V85" s="427"/>
      <c r="W85" s="427"/>
      <c r="X85" s="415"/>
    </row>
    <row r="86" spans="1:24" x14ac:dyDescent="0.3">
      <c r="A86" s="515"/>
      <c r="B86" s="523" t="s">
        <v>27</v>
      </c>
      <c r="C86" s="523"/>
      <c r="D86" s="523"/>
      <c r="E86" s="523"/>
      <c r="F86" s="523"/>
      <c r="G86" s="523"/>
      <c r="H86" s="524"/>
      <c r="I86" s="524"/>
      <c r="J86" s="524"/>
      <c r="K86" s="524"/>
      <c r="L86" s="525" t="s">
        <v>95</v>
      </c>
      <c r="M86" s="524"/>
      <c r="N86" s="526">
        <f>+T207</f>
        <v>43798</v>
      </c>
      <c r="O86" s="524"/>
      <c r="P86" s="524"/>
      <c r="Q86" s="524"/>
      <c r="R86" s="524"/>
      <c r="S86" s="524"/>
      <c r="T86" s="524" t="s">
        <v>107</v>
      </c>
      <c r="U86" s="524"/>
      <c r="V86" s="524" t="s">
        <v>113</v>
      </c>
      <c r="W86" s="520"/>
      <c r="X86" s="415"/>
    </row>
    <row r="87" spans="1:24" s="544" customFormat="1" x14ac:dyDescent="0.3">
      <c r="A87" s="540"/>
      <c r="B87" s="588" t="s">
        <v>28</v>
      </c>
      <c r="C87" s="588"/>
      <c r="D87" s="588"/>
      <c r="E87" s="588"/>
      <c r="F87" s="588"/>
      <c r="G87" s="588"/>
      <c r="H87" s="588"/>
      <c r="I87" s="588"/>
      <c r="J87" s="588"/>
      <c r="K87" s="588"/>
      <c r="L87" s="588"/>
      <c r="M87" s="588"/>
      <c r="N87" s="588"/>
      <c r="O87" s="588"/>
      <c r="P87" s="588"/>
      <c r="Q87" s="588"/>
      <c r="R87" s="588"/>
      <c r="S87" s="588"/>
      <c r="T87" s="600">
        <v>0</v>
      </c>
      <c r="U87" s="588"/>
      <c r="V87" s="601">
        <v>0</v>
      </c>
      <c r="W87" s="588"/>
      <c r="X87" s="543"/>
    </row>
    <row r="88" spans="1:24" s="544" customFormat="1" x14ac:dyDescent="0.3">
      <c r="A88" s="555"/>
      <c r="B88" s="556" t="s">
        <v>29</v>
      </c>
      <c r="C88" s="556"/>
      <c r="D88" s="556"/>
      <c r="E88" s="556"/>
      <c r="F88" s="556"/>
      <c r="G88" s="556"/>
      <c r="H88" s="578"/>
      <c r="I88" s="578"/>
      <c r="J88" s="578"/>
      <c r="K88" s="602"/>
      <c r="L88" s="578"/>
      <c r="M88" s="556"/>
      <c r="N88" s="603"/>
      <c r="O88" s="556"/>
      <c r="P88" s="556"/>
      <c r="Q88" s="556"/>
      <c r="R88" s="556"/>
      <c r="S88" s="556"/>
      <c r="T88" s="598">
        <f>12169-62</f>
        <v>12107</v>
      </c>
      <c r="U88" s="556"/>
      <c r="V88" s="599"/>
      <c r="W88" s="558"/>
      <c r="X88" s="543"/>
    </row>
    <row r="89" spans="1:24" s="544" customFormat="1" x14ac:dyDescent="0.3">
      <c r="A89" s="555"/>
      <c r="B89" s="556" t="s">
        <v>216</v>
      </c>
      <c r="C89" s="556"/>
      <c r="D89" s="556"/>
      <c r="E89" s="556"/>
      <c r="F89" s="556"/>
      <c r="G89" s="556"/>
      <c r="H89" s="578"/>
      <c r="I89" s="578"/>
      <c r="J89" s="578"/>
      <c r="K89" s="602"/>
      <c r="L89" s="578"/>
      <c r="M89" s="556"/>
      <c r="N89" s="603"/>
      <c r="O89" s="556"/>
      <c r="P89" s="556"/>
      <c r="Q89" s="556"/>
      <c r="R89" s="556"/>
      <c r="S89" s="556"/>
      <c r="T89" s="598"/>
      <c r="U89" s="556"/>
      <c r="V89" s="599">
        <f>3037+3487-557-808</f>
        <v>5159</v>
      </c>
      <c r="W89" s="558"/>
      <c r="X89" s="543"/>
    </row>
    <row r="90" spans="1:24" s="544" customFormat="1" x14ac:dyDescent="0.3">
      <c r="A90" s="555"/>
      <c r="B90" s="556" t="s">
        <v>211</v>
      </c>
      <c r="C90" s="556"/>
      <c r="D90" s="556"/>
      <c r="E90" s="556"/>
      <c r="F90" s="556"/>
      <c r="G90" s="556"/>
      <c r="H90" s="578"/>
      <c r="I90" s="578"/>
      <c r="J90" s="578"/>
      <c r="K90" s="602"/>
      <c r="L90" s="578"/>
      <c r="M90" s="556"/>
      <c r="N90" s="603"/>
      <c r="O90" s="556"/>
      <c r="P90" s="556"/>
      <c r="Q90" s="556"/>
      <c r="R90" s="556"/>
      <c r="S90" s="556"/>
      <c r="T90" s="598"/>
      <c r="U90" s="556"/>
      <c r="V90" s="599">
        <f>34+35</f>
        <v>69</v>
      </c>
      <c r="W90" s="558"/>
      <c r="X90" s="543"/>
    </row>
    <row r="91" spans="1:24" s="544" customFormat="1" x14ac:dyDescent="0.3">
      <c r="A91" s="555"/>
      <c r="B91" s="556" t="s">
        <v>212</v>
      </c>
      <c r="C91" s="556"/>
      <c r="D91" s="556"/>
      <c r="E91" s="556"/>
      <c r="F91" s="556"/>
      <c r="G91" s="556"/>
      <c r="H91" s="578"/>
      <c r="I91" s="578"/>
      <c r="J91" s="578"/>
      <c r="K91" s="602"/>
      <c r="L91" s="578"/>
      <c r="M91" s="556"/>
      <c r="N91" s="603"/>
      <c r="O91" s="556"/>
      <c r="P91" s="556"/>
      <c r="Q91" s="556"/>
      <c r="R91" s="556"/>
      <c r="S91" s="556"/>
      <c r="T91" s="598"/>
      <c r="U91" s="556"/>
      <c r="V91" s="599">
        <v>74</v>
      </c>
      <c r="W91" s="558"/>
      <c r="X91" s="543"/>
    </row>
    <row r="92" spans="1:24" s="544" customFormat="1" x14ac:dyDescent="0.3">
      <c r="A92" s="555"/>
      <c r="B92" s="556" t="s">
        <v>272</v>
      </c>
      <c r="C92" s="556"/>
      <c r="D92" s="556"/>
      <c r="E92" s="556"/>
      <c r="F92" s="556"/>
      <c r="G92" s="556"/>
      <c r="H92" s="578"/>
      <c r="I92" s="578"/>
      <c r="J92" s="578"/>
      <c r="K92" s="602"/>
      <c r="L92" s="578"/>
      <c r="M92" s="556"/>
      <c r="N92" s="603"/>
      <c r="O92" s="556"/>
      <c r="P92" s="556"/>
      <c r="Q92" s="556"/>
      <c r="R92" s="556"/>
      <c r="S92" s="556"/>
      <c r="T92" s="598"/>
      <c r="U92" s="556"/>
      <c r="V92" s="599">
        <v>0</v>
      </c>
      <c r="W92" s="558"/>
      <c r="X92" s="543"/>
    </row>
    <row r="93" spans="1:24" s="544" customFormat="1" x14ac:dyDescent="0.3">
      <c r="A93" s="555"/>
      <c r="B93" s="556" t="s">
        <v>274</v>
      </c>
      <c r="C93" s="556"/>
      <c r="D93" s="556"/>
      <c r="E93" s="556"/>
      <c r="F93" s="556"/>
      <c r="G93" s="556"/>
      <c r="H93" s="578"/>
      <c r="I93" s="578"/>
      <c r="J93" s="578"/>
      <c r="K93" s="602"/>
      <c r="L93" s="578"/>
      <c r="M93" s="556"/>
      <c r="N93" s="603"/>
      <c r="O93" s="556"/>
      <c r="P93" s="556"/>
      <c r="Q93" s="556"/>
      <c r="R93" s="556"/>
      <c r="S93" s="556"/>
      <c r="T93" s="598"/>
      <c r="U93" s="556"/>
      <c r="V93" s="599">
        <v>0</v>
      </c>
      <c r="W93" s="558"/>
      <c r="X93" s="543"/>
    </row>
    <row r="94" spans="1:24" s="544" customFormat="1" x14ac:dyDescent="0.3">
      <c r="A94" s="555"/>
      <c r="B94" s="556" t="s">
        <v>135</v>
      </c>
      <c r="C94" s="556"/>
      <c r="D94" s="556"/>
      <c r="E94" s="556"/>
      <c r="F94" s="556"/>
      <c r="G94" s="556"/>
      <c r="H94" s="556"/>
      <c r="I94" s="556"/>
      <c r="J94" s="556"/>
      <c r="K94" s="556"/>
      <c r="L94" s="556"/>
      <c r="M94" s="556"/>
      <c r="N94" s="556"/>
      <c r="O94" s="556"/>
      <c r="P94" s="556"/>
      <c r="Q94" s="556"/>
      <c r="R94" s="556"/>
      <c r="S94" s="556"/>
      <c r="T94" s="598"/>
      <c r="U94" s="556"/>
      <c r="V94" s="599">
        <v>0</v>
      </c>
      <c r="W94" s="558"/>
      <c r="X94" s="543"/>
    </row>
    <row r="95" spans="1:24" s="544" customFormat="1" x14ac:dyDescent="0.3">
      <c r="A95" s="555"/>
      <c r="B95" s="556" t="s">
        <v>268</v>
      </c>
      <c r="C95" s="556"/>
      <c r="D95" s="556"/>
      <c r="E95" s="556"/>
      <c r="F95" s="556"/>
      <c r="G95" s="556"/>
      <c r="H95" s="556"/>
      <c r="I95" s="556"/>
      <c r="J95" s="556"/>
      <c r="K95" s="556"/>
      <c r="L95" s="556"/>
      <c r="M95" s="556"/>
      <c r="N95" s="556"/>
      <c r="O95" s="556"/>
      <c r="P95" s="556"/>
      <c r="Q95" s="556"/>
      <c r="R95" s="556"/>
      <c r="S95" s="556"/>
      <c r="T95" s="598"/>
      <c r="U95" s="556"/>
      <c r="V95" s="599">
        <v>128</v>
      </c>
      <c r="W95" s="558"/>
      <c r="X95" s="543"/>
    </row>
    <row r="96" spans="1:24" s="544" customFormat="1" x14ac:dyDescent="0.3">
      <c r="A96" s="555"/>
      <c r="B96" s="556" t="s">
        <v>30</v>
      </c>
      <c r="C96" s="556"/>
      <c r="D96" s="556"/>
      <c r="E96" s="556"/>
      <c r="F96" s="556"/>
      <c r="G96" s="556"/>
      <c r="H96" s="556"/>
      <c r="I96" s="556"/>
      <c r="J96" s="556"/>
      <c r="K96" s="556"/>
      <c r="L96" s="556"/>
      <c r="M96" s="556"/>
      <c r="N96" s="556"/>
      <c r="O96" s="556"/>
      <c r="P96" s="556"/>
      <c r="Q96" s="556"/>
      <c r="R96" s="556"/>
      <c r="S96" s="556"/>
      <c r="T96" s="598">
        <f>SUM(T87:T95)</f>
        <v>12107</v>
      </c>
      <c r="U96" s="556"/>
      <c r="V96" s="598">
        <f>SUM(V87:V95)</f>
        <v>5430</v>
      </c>
      <c r="W96" s="558"/>
      <c r="X96" s="543"/>
    </row>
    <row r="97" spans="1:25" s="544" customFormat="1" x14ac:dyDescent="0.3">
      <c r="A97" s="555"/>
      <c r="B97" s="556" t="s">
        <v>161</v>
      </c>
      <c r="C97" s="556"/>
      <c r="D97" s="556"/>
      <c r="E97" s="556"/>
      <c r="F97" s="556"/>
      <c r="G97" s="556"/>
      <c r="H97" s="556"/>
      <c r="I97" s="556"/>
      <c r="J97" s="556"/>
      <c r="K97" s="556"/>
      <c r="L97" s="556"/>
      <c r="M97" s="556"/>
      <c r="N97" s="556"/>
      <c r="O97" s="556"/>
      <c r="P97" s="556"/>
      <c r="Q97" s="556"/>
      <c r="R97" s="556"/>
      <c r="S97" s="556"/>
      <c r="T97" s="598">
        <f>-V97</f>
        <v>0</v>
      </c>
      <c r="U97" s="556"/>
      <c r="V97" s="598">
        <v>0</v>
      </c>
      <c r="W97" s="558"/>
      <c r="X97" s="543"/>
    </row>
    <row r="98" spans="1:25" s="544" customFormat="1" x14ac:dyDescent="0.3">
      <c r="A98" s="555"/>
      <c r="B98" s="556" t="s">
        <v>31</v>
      </c>
      <c r="C98" s="556"/>
      <c r="D98" s="556"/>
      <c r="E98" s="556"/>
      <c r="F98" s="556"/>
      <c r="G98" s="556"/>
      <c r="H98" s="556"/>
      <c r="I98" s="556"/>
      <c r="J98" s="556"/>
      <c r="K98" s="556"/>
      <c r="L98" s="556"/>
      <c r="M98" s="556"/>
      <c r="N98" s="556"/>
      <c r="O98" s="556"/>
      <c r="P98" s="556"/>
      <c r="Q98" s="556"/>
      <c r="R98" s="556"/>
      <c r="S98" s="556"/>
      <c r="T98" s="598">
        <f>-V98</f>
        <v>0</v>
      </c>
      <c r="U98" s="556"/>
      <c r="V98" s="599">
        <v>0</v>
      </c>
      <c r="W98" s="558"/>
      <c r="X98" s="543"/>
    </row>
    <row r="99" spans="1:25" s="544" customFormat="1" x14ac:dyDescent="0.3">
      <c r="A99" s="555"/>
      <c r="B99" s="556" t="s">
        <v>283</v>
      </c>
      <c r="C99" s="556"/>
      <c r="D99" s="556"/>
      <c r="E99" s="556"/>
      <c r="F99" s="556"/>
      <c r="G99" s="556"/>
      <c r="H99" s="556"/>
      <c r="I99" s="556"/>
      <c r="J99" s="556"/>
      <c r="K99" s="556"/>
      <c r="L99" s="556"/>
      <c r="M99" s="556"/>
      <c r="N99" s="556"/>
      <c r="O99" s="556"/>
      <c r="P99" s="556"/>
      <c r="Q99" s="556"/>
      <c r="R99" s="556"/>
      <c r="S99" s="556"/>
      <c r="T99" s="598"/>
      <c r="U99" s="556"/>
      <c r="V99" s="599">
        <v>-97</v>
      </c>
      <c r="W99" s="558"/>
      <c r="X99" s="543"/>
    </row>
    <row r="100" spans="1:25" s="544" customFormat="1" x14ac:dyDescent="0.3">
      <c r="A100" s="555"/>
      <c r="B100" s="556" t="s">
        <v>32</v>
      </c>
      <c r="C100" s="556"/>
      <c r="D100" s="556"/>
      <c r="E100" s="556"/>
      <c r="F100" s="556"/>
      <c r="G100" s="556"/>
      <c r="H100" s="556"/>
      <c r="I100" s="556"/>
      <c r="J100" s="556"/>
      <c r="K100" s="556"/>
      <c r="L100" s="556"/>
      <c r="M100" s="556"/>
      <c r="N100" s="556"/>
      <c r="O100" s="556"/>
      <c r="P100" s="556"/>
      <c r="Q100" s="556"/>
      <c r="R100" s="556"/>
      <c r="S100" s="556"/>
      <c r="T100" s="598">
        <f>T96+T98+T97</f>
        <v>12107</v>
      </c>
      <c r="U100" s="556"/>
      <c r="V100" s="598">
        <f>V96+V98+V97+V99</f>
        <v>5333</v>
      </c>
      <c r="W100" s="558"/>
      <c r="X100" s="543"/>
    </row>
    <row r="101" spans="1:25" x14ac:dyDescent="0.3">
      <c r="A101" s="431"/>
      <c r="B101" s="507" t="s">
        <v>33</v>
      </c>
      <c r="C101" s="434"/>
      <c r="D101" s="434"/>
      <c r="E101" s="434"/>
      <c r="F101" s="434"/>
      <c r="G101" s="434"/>
      <c r="H101" s="434"/>
      <c r="I101" s="434"/>
      <c r="J101" s="434"/>
      <c r="K101" s="434"/>
      <c r="L101" s="434"/>
      <c r="M101" s="434"/>
      <c r="N101" s="434"/>
      <c r="O101" s="434"/>
      <c r="P101" s="434"/>
      <c r="Q101" s="434"/>
      <c r="R101" s="434"/>
      <c r="S101" s="434"/>
      <c r="T101" s="448"/>
      <c r="U101" s="434"/>
      <c r="V101" s="449"/>
      <c r="W101" s="436"/>
      <c r="X101" s="415"/>
    </row>
    <row r="102" spans="1:25" s="544" customFormat="1" x14ac:dyDescent="0.3">
      <c r="A102" s="555">
        <v>1</v>
      </c>
      <c r="B102" s="556" t="s">
        <v>34</v>
      </c>
      <c r="C102" s="556"/>
      <c r="D102" s="556"/>
      <c r="E102" s="556"/>
      <c r="F102" s="556"/>
      <c r="G102" s="556"/>
      <c r="H102" s="556"/>
      <c r="I102" s="556"/>
      <c r="J102" s="556"/>
      <c r="K102" s="556"/>
      <c r="L102" s="556"/>
      <c r="M102" s="556"/>
      <c r="N102" s="556"/>
      <c r="O102" s="556"/>
      <c r="P102" s="556"/>
      <c r="Q102" s="556"/>
      <c r="R102" s="556"/>
      <c r="S102" s="556"/>
      <c r="T102" s="556"/>
      <c r="U102" s="556"/>
      <c r="V102" s="599">
        <v>0</v>
      </c>
      <c r="W102" s="558"/>
      <c r="X102" s="543"/>
    </row>
    <row r="103" spans="1:25" s="544" customFormat="1" x14ac:dyDescent="0.3">
      <c r="A103" s="555">
        <f>+A102+1</f>
        <v>2</v>
      </c>
      <c r="B103" s="556" t="s">
        <v>330</v>
      </c>
      <c r="C103" s="556"/>
      <c r="D103" s="556"/>
      <c r="E103" s="556"/>
      <c r="F103" s="556"/>
      <c r="G103" s="556"/>
      <c r="H103" s="556"/>
      <c r="I103" s="556"/>
      <c r="J103" s="556"/>
      <c r="K103" s="556"/>
      <c r="L103" s="556"/>
      <c r="M103" s="556"/>
      <c r="N103" s="556"/>
      <c r="O103" s="556"/>
      <c r="P103" s="556"/>
      <c r="Q103" s="556"/>
      <c r="R103" s="556"/>
      <c r="S103" s="556"/>
      <c r="T103" s="556"/>
      <c r="U103" s="556"/>
      <c r="V103" s="599">
        <v>-2</v>
      </c>
      <c r="W103" s="558"/>
      <c r="X103" s="543"/>
    </row>
    <row r="104" spans="1:25" s="544" customFormat="1" x14ac:dyDescent="0.3">
      <c r="A104" s="555">
        <f>+A103+1</f>
        <v>3</v>
      </c>
      <c r="B104" s="556" t="s">
        <v>331</v>
      </c>
      <c r="C104" s="556"/>
      <c r="D104" s="556"/>
      <c r="E104" s="556"/>
      <c r="F104" s="556"/>
      <c r="G104" s="556"/>
      <c r="H104" s="556"/>
      <c r="I104" s="556"/>
      <c r="J104" s="556"/>
      <c r="K104" s="556"/>
      <c r="L104" s="556"/>
      <c r="M104" s="556"/>
      <c r="N104" s="556"/>
      <c r="O104" s="556"/>
      <c r="P104" s="556"/>
      <c r="Q104" s="556"/>
      <c r="R104" s="556"/>
      <c r="S104" s="556"/>
      <c r="T104" s="556"/>
      <c r="U104" s="556"/>
      <c r="V104" s="599">
        <f>-95-136-9</f>
        <v>-240</v>
      </c>
      <c r="W104" s="558"/>
      <c r="X104" s="543"/>
    </row>
    <row r="105" spans="1:25" s="544" customFormat="1" x14ac:dyDescent="0.3">
      <c r="A105" s="555" t="s">
        <v>127</v>
      </c>
      <c r="B105" s="556" t="s">
        <v>116</v>
      </c>
      <c r="C105" s="556"/>
      <c r="D105" s="556"/>
      <c r="E105" s="556"/>
      <c r="F105" s="556"/>
      <c r="G105" s="556"/>
      <c r="H105" s="556"/>
      <c r="I105" s="556"/>
      <c r="J105" s="556"/>
      <c r="K105" s="556"/>
      <c r="L105" s="556"/>
      <c r="M105" s="556"/>
      <c r="N105" s="556"/>
      <c r="O105" s="556"/>
      <c r="P105" s="556"/>
      <c r="Q105" s="556"/>
      <c r="R105" s="556"/>
      <c r="S105" s="556"/>
      <c r="T105" s="556"/>
      <c r="U105" s="556"/>
      <c r="V105" s="599">
        <v>0</v>
      </c>
      <c r="W105" s="558"/>
      <c r="X105" s="543"/>
    </row>
    <row r="106" spans="1:25" s="544" customFormat="1" x14ac:dyDescent="0.3">
      <c r="A106" s="555" t="s">
        <v>128</v>
      </c>
      <c r="B106" s="556" t="s">
        <v>363</v>
      </c>
      <c r="C106" s="556"/>
      <c r="D106" s="556"/>
      <c r="E106" s="556"/>
      <c r="F106" s="556"/>
      <c r="G106" s="556"/>
      <c r="H106" s="556"/>
      <c r="I106" s="556"/>
      <c r="J106" s="556"/>
      <c r="K106" s="556"/>
      <c r="L106" s="556"/>
      <c r="M106" s="556"/>
      <c r="N106" s="556"/>
      <c r="O106" s="556"/>
      <c r="P106" s="556"/>
      <c r="Q106" s="556"/>
      <c r="R106" s="556"/>
      <c r="S106" s="556"/>
      <c r="T106" s="556"/>
      <c r="U106" s="556"/>
      <c r="V106" s="599">
        <f>-787-127</f>
        <v>-914</v>
      </c>
      <c r="W106" s="558"/>
      <c r="X106" s="543"/>
      <c r="Y106" s="604"/>
    </row>
    <row r="107" spans="1:25" s="544" customFormat="1" x14ac:dyDescent="0.3">
      <c r="A107" s="555" t="s">
        <v>150</v>
      </c>
      <c r="B107" s="556" t="s">
        <v>364</v>
      </c>
      <c r="C107" s="556"/>
      <c r="D107" s="556"/>
      <c r="E107" s="556"/>
      <c r="F107" s="556"/>
      <c r="G107" s="556"/>
      <c r="H107" s="556"/>
      <c r="I107" s="556"/>
      <c r="J107" s="556"/>
      <c r="K107" s="556"/>
      <c r="L107" s="556"/>
      <c r="M107" s="556"/>
      <c r="N107" s="556"/>
      <c r="O107" s="556"/>
      <c r="P107" s="556"/>
      <c r="Q107" s="556"/>
      <c r="R107" s="556"/>
      <c r="S107" s="556"/>
      <c r="T107" s="556"/>
      <c r="U107" s="556"/>
      <c r="V107" s="599">
        <f>-176-226</f>
        <v>-402</v>
      </c>
      <c r="W107" s="558"/>
      <c r="X107" s="543"/>
      <c r="Y107" s="604"/>
    </row>
    <row r="108" spans="1:25" s="544" customFormat="1" x14ac:dyDescent="0.3">
      <c r="A108" s="555" t="s">
        <v>236</v>
      </c>
      <c r="B108" s="556" t="s">
        <v>238</v>
      </c>
      <c r="C108" s="556"/>
      <c r="D108" s="556"/>
      <c r="E108" s="556"/>
      <c r="F108" s="556"/>
      <c r="G108" s="556"/>
      <c r="H108" s="556"/>
      <c r="I108" s="556"/>
      <c r="J108" s="556"/>
      <c r="K108" s="556"/>
      <c r="L108" s="556"/>
      <c r="M108" s="556"/>
      <c r="N108" s="556"/>
      <c r="O108" s="556"/>
      <c r="P108" s="556"/>
      <c r="Q108" s="556"/>
      <c r="R108" s="556"/>
      <c r="S108" s="556"/>
      <c r="T108" s="556"/>
      <c r="U108" s="556"/>
      <c r="V108" s="599">
        <v>0</v>
      </c>
      <c r="W108" s="558"/>
      <c r="X108" s="543"/>
    </row>
    <row r="109" spans="1:25" s="544" customFormat="1" x14ac:dyDescent="0.3">
      <c r="A109" s="555" t="s">
        <v>205</v>
      </c>
      <c r="B109" s="556" t="s">
        <v>185</v>
      </c>
      <c r="C109" s="556"/>
      <c r="D109" s="556"/>
      <c r="E109" s="556"/>
      <c r="F109" s="556"/>
      <c r="G109" s="556"/>
      <c r="H109" s="556"/>
      <c r="I109" s="556"/>
      <c r="J109" s="556"/>
      <c r="K109" s="556"/>
      <c r="L109" s="556"/>
      <c r="M109" s="556"/>
      <c r="N109" s="556"/>
      <c r="O109" s="556"/>
      <c r="P109" s="556"/>
      <c r="Q109" s="556"/>
      <c r="R109" s="556"/>
      <c r="S109" s="556"/>
      <c r="T109" s="556"/>
      <c r="U109" s="556"/>
      <c r="V109" s="599">
        <v>-182</v>
      </c>
      <c r="W109" s="558"/>
      <c r="X109" s="543"/>
      <c r="Y109" s="604"/>
    </row>
    <row r="110" spans="1:25" s="544" customFormat="1" x14ac:dyDescent="0.3">
      <c r="A110" s="555" t="s">
        <v>206</v>
      </c>
      <c r="B110" s="556" t="s">
        <v>186</v>
      </c>
      <c r="C110" s="556"/>
      <c r="D110" s="556"/>
      <c r="E110" s="556"/>
      <c r="F110" s="556"/>
      <c r="G110" s="556"/>
      <c r="H110" s="556"/>
      <c r="I110" s="556"/>
      <c r="J110" s="556"/>
      <c r="K110" s="556"/>
      <c r="L110" s="556"/>
      <c r="M110" s="556"/>
      <c r="N110" s="556"/>
      <c r="O110" s="556"/>
      <c r="P110" s="556"/>
      <c r="Q110" s="556"/>
      <c r="R110" s="556"/>
      <c r="S110" s="556"/>
      <c r="T110" s="556"/>
      <c r="U110" s="556"/>
      <c r="V110" s="599">
        <v>-148</v>
      </c>
      <c r="W110" s="558"/>
      <c r="X110" s="605"/>
      <c r="Y110" s="604"/>
    </row>
    <row r="111" spans="1:25" s="544" customFormat="1" x14ac:dyDescent="0.3">
      <c r="A111" s="555" t="s">
        <v>207</v>
      </c>
      <c r="B111" s="556" t="s">
        <v>196</v>
      </c>
      <c r="C111" s="556"/>
      <c r="D111" s="556"/>
      <c r="E111" s="556"/>
      <c r="F111" s="556"/>
      <c r="G111" s="556"/>
      <c r="H111" s="556"/>
      <c r="I111" s="556"/>
      <c r="J111" s="556"/>
      <c r="K111" s="556"/>
      <c r="L111" s="556"/>
      <c r="M111" s="556"/>
      <c r="N111" s="556"/>
      <c r="O111" s="556"/>
      <c r="P111" s="556"/>
      <c r="Q111" s="556"/>
      <c r="R111" s="556"/>
      <c r="S111" s="556"/>
      <c r="T111" s="556"/>
      <c r="U111" s="556"/>
      <c r="V111" s="599">
        <v>-381</v>
      </c>
      <c r="W111" s="558"/>
      <c r="X111" s="543"/>
      <c r="Y111" s="604"/>
    </row>
    <row r="112" spans="1:25" s="544" customFormat="1" x14ac:dyDescent="0.3">
      <c r="A112" s="555" t="s">
        <v>224</v>
      </c>
      <c r="B112" s="556" t="s">
        <v>223</v>
      </c>
      <c r="C112" s="556"/>
      <c r="D112" s="556"/>
      <c r="E112" s="556"/>
      <c r="F112" s="556"/>
      <c r="G112" s="556"/>
      <c r="H112" s="556"/>
      <c r="I112" s="556"/>
      <c r="J112" s="556"/>
      <c r="K112" s="556"/>
      <c r="L112" s="556"/>
      <c r="M112" s="556"/>
      <c r="N112" s="556"/>
      <c r="O112" s="556"/>
      <c r="P112" s="556"/>
      <c r="Q112" s="556"/>
      <c r="R112" s="556"/>
      <c r="S112" s="556"/>
      <c r="T112" s="556"/>
      <c r="U112" s="556"/>
      <c r="V112" s="599">
        <v>-77</v>
      </c>
      <c r="W112" s="558"/>
      <c r="X112" s="543"/>
      <c r="Y112" s="604"/>
    </row>
    <row r="113" spans="1:24" s="544" customFormat="1" x14ac:dyDescent="0.3">
      <c r="A113" s="555">
        <v>7</v>
      </c>
      <c r="B113" s="556" t="s">
        <v>35</v>
      </c>
      <c r="C113" s="556"/>
      <c r="D113" s="556"/>
      <c r="E113" s="556"/>
      <c r="F113" s="556"/>
      <c r="G113" s="556"/>
      <c r="H113" s="556"/>
      <c r="I113" s="556"/>
      <c r="J113" s="556"/>
      <c r="K113" s="556"/>
      <c r="L113" s="556"/>
      <c r="M113" s="556"/>
      <c r="N113" s="556"/>
      <c r="O113" s="556"/>
      <c r="P113" s="556"/>
      <c r="Q113" s="556"/>
      <c r="R113" s="556"/>
      <c r="S113" s="556"/>
      <c r="T113" s="556"/>
      <c r="U113" s="556"/>
      <c r="V113" s="599">
        <v>-9</v>
      </c>
      <c r="W113" s="558"/>
      <c r="X113" s="543"/>
    </row>
    <row r="114" spans="1:24" s="544" customFormat="1" x14ac:dyDescent="0.3">
      <c r="A114" s="555">
        <f t="shared" ref="A114:A123" si="0">+A113+1</f>
        <v>8</v>
      </c>
      <c r="B114" s="556" t="s">
        <v>45</v>
      </c>
      <c r="C114" s="556"/>
      <c r="D114" s="556"/>
      <c r="E114" s="556"/>
      <c r="F114" s="556"/>
      <c r="G114" s="556"/>
      <c r="H114" s="556"/>
      <c r="I114" s="556"/>
      <c r="J114" s="556"/>
      <c r="K114" s="556"/>
      <c r="L114" s="556"/>
      <c r="M114" s="556"/>
      <c r="N114" s="556"/>
      <c r="O114" s="556"/>
      <c r="P114" s="556"/>
      <c r="Q114" s="556"/>
      <c r="R114" s="556"/>
      <c r="S114" s="556"/>
      <c r="T114" s="598">
        <f>-V114</f>
        <v>62</v>
      </c>
      <c r="U114" s="556"/>
      <c r="V114" s="599">
        <v>-62</v>
      </c>
      <c r="W114" s="558"/>
      <c r="X114" s="543"/>
    </row>
    <row r="115" spans="1:24" s="544" customFormat="1" x14ac:dyDescent="0.3">
      <c r="A115" s="555">
        <f t="shared" si="0"/>
        <v>9</v>
      </c>
      <c r="B115" s="556" t="s">
        <v>125</v>
      </c>
      <c r="C115" s="556"/>
      <c r="D115" s="556"/>
      <c r="E115" s="556"/>
      <c r="F115" s="556"/>
      <c r="G115" s="556"/>
      <c r="H115" s="556"/>
      <c r="I115" s="556"/>
      <c r="J115" s="556"/>
      <c r="K115" s="556"/>
      <c r="L115" s="556"/>
      <c r="M115" s="556"/>
      <c r="N115" s="556"/>
      <c r="O115" s="556"/>
      <c r="P115" s="556"/>
      <c r="Q115" s="556"/>
      <c r="R115" s="556"/>
      <c r="S115" s="556"/>
      <c r="T115" s="556"/>
      <c r="U115" s="556"/>
      <c r="V115" s="599">
        <v>0</v>
      </c>
      <c r="W115" s="558"/>
      <c r="X115" s="543"/>
    </row>
    <row r="116" spans="1:24" s="544" customFormat="1" x14ac:dyDescent="0.3">
      <c r="A116" s="555">
        <f t="shared" si="0"/>
        <v>10</v>
      </c>
      <c r="B116" s="556" t="s">
        <v>240</v>
      </c>
      <c r="C116" s="556"/>
      <c r="D116" s="556"/>
      <c r="E116" s="556"/>
      <c r="F116" s="556"/>
      <c r="G116" s="556"/>
      <c r="H116" s="556"/>
      <c r="I116" s="556"/>
      <c r="J116" s="556"/>
      <c r="K116" s="556"/>
      <c r="L116" s="556"/>
      <c r="M116" s="556"/>
      <c r="N116" s="556"/>
      <c r="O116" s="556"/>
      <c r="P116" s="556"/>
      <c r="Q116" s="556"/>
      <c r="R116" s="556"/>
      <c r="S116" s="556"/>
      <c r="T116" s="556"/>
      <c r="U116" s="556"/>
      <c r="V116" s="599">
        <v>0</v>
      </c>
      <c r="W116" s="558"/>
      <c r="X116" s="543"/>
    </row>
    <row r="117" spans="1:24" s="544" customFormat="1" x14ac:dyDescent="0.3">
      <c r="A117" s="555">
        <f t="shared" si="0"/>
        <v>11</v>
      </c>
      <c r="B117" s="556" t="s">
        <v>36</v>
      </c>
      <c r="C117" s="556"/>
      <c r="D117" s="556"/>
      <c r="E117" s="556"/>
      <c r="F117" s="556"/>
      <c r="G117" s="556"/>
      <c r="H117" s="556"/>
      <c r="I117" s="556"/>
      <c r="J117" s="556"/>
      <c r="K117" s="556"/>
      <c r="L117" s="556"/>
      <c r="M117" s="556"/>
      <c r="N117" s="556"/>
      <c r="O117" s="556"/>
      <c r="P117" s="556"/>
      <c r="Q117" s="556"/>
      <c r="R117" s="556"/>
      <c r="S117" s="556"/>
      <c r="T117" s="556"/>
      <c r="U117" s="556"/>
      <c r="V117" s="599">
        <v>0</v>
      </c>
      <c r="W117" s="558"/>
      <c r="X117" s="543"/>
    </row>
    <row r="118" spans="1:24" s="544" customFormat="1" x14ac:dyDescent="0.3">
      <c r="A118" s="555">
        <f t="shared" si="0"/>
        <v>12</v>
      </c>
      <c r="B118" s="556" t="s">
        <v>239</v>
      </c>
      <c r="C118" s="556"/>
      <c r="D118" s="556"/>
      <c r="E118" s="556"/>
      <c r="F118" s="556"/>
      <c r="G118" s="556"/>
      <c r="H118" s="556"/>
      <c r="I118" s="556"/>
      <c r="J118" s="556"/>
      <c r="K118" s="556"/>
      <c r="L118" s="556"/>
      <c r="M118" s="556"/>
      <c r="N118" s="556"/>
      <c r="O118" s="556"/>
      <c r="P118" s="556"/>
      <c r="Q118" s="556"/>
      <c r="R118" s="556"/>
      <c r="S118" s="556"/>
      <c r="T118" s="556"/>
      <c r="U118" s="556"/>
      <c r="V118" s="599">
        <v>0</v>
      </c>
      <c r="W118" s="558"/>
      <c r="X118" s="543"/>
    </row>
    <row r="119" spans="1:24" s="544" customFormat="1" x14ac:dyDescent="0.3">
      <c r="A119" s="555">
        <f t="shared" si="0"/>
        <v>13</v>
      </c>
      <c r="B119" s="556" t="s">
        <v>149</v>
      </c>
      <c r="C119" s="556"/>
      <c r="D119" s="556"/>
      <c r="E119" s="556"/>
      <c r="F119" s="556"/>
      <c r="G119" s="556"/>
      <c r="H119" s="556"/>
      <c r="I119" s="556"/>
      <c r="J119" s="556"/>
      <c r="K119" s="556"/>
      <c r="L119" s="556"/>
      <c r="M119" s="556"/>
      <c r="N119" s="556"/>
      <c r="O119" s="556"/>
      <c r="P119" s="556"/>
      <c r="Q119" s="556"/>
      <c r="R119" s="556"/>
      <c r="S119" s="556"/>
      <c r="T119" s="556"/>
      <c r="U119" s="556"/>
      <c r="V119" s="599">
        <v>-477</v>
      </c>
      <c r="W119" s="558"/>
      <c r="X119" s="543"/>
    </row>
    <row r="120" spans="1:24" s="544" customFormat="1" x14ac:dyDescent="0.3">
      <c r="A120" s="555">
        <f t="shared" si="0"/>
        <v>14</v>
      </c>
      <c r="B120" s="641" t="s">
        <v>387</v>
      </c>
      <c r="C120" s="556"/>
      <c r="D120" s="556"/>
      <c r="E120" s="556"/>
      <c r="F120" s="556"/>
      <c r="G120" s="556"/>
      <c r="H120" s="556"/>
      <c r="I120" s="556"/>
      <c r="J120" s="556"/>
      <c r="K120" s="556"/>
      <c r="L120" s="556"/>
      <c r="M120" s="556"/>
      <c r="N120" s="556"/>
      <c r="O120" s="556"/>
      <c r="P120" s="556"/>
      <c r="Q120" s="556"/>
      <c r="R120" s="556"/>
      <c r="S120" s="556"/>
      <c r="T120" s="556"/>
      <c r="U120" s="556"/>
      <c r="V120" s="599">
        <v>-340</v>
      </c>
      <c r="W120" s="558"/>
      <c r="X120" s="543"/>
    </row>
    <row r="121" spans="1:24" s="544" customFormat="1" x14ac:dyDescent="0.3">
      <c r="A121" s="555">
        <f t="shared" si="0"/>
        <v>15</v>
      </c>
      <c r="B121" s="642" t="s">
        <v>384</v>
      </c>
      <c r="C121" s="556"/>
      <c r="D121" s="556"/>
      <c r="E121" s="556"/>
      <c r="F121" s="556"/>
      <c r="G121" s="556"/>
      <c r="H121" s="556"/>
      <c r="I121" s="556"/>
      <c r="J121" s="556"/>
      <c r="K121" s="556"/>
      <c r="L121" s="556"/>
      <c r="M121" s="556"/>
      <c r="N121" s="556"/>
      <c r="O121" s="556"/>
      <c r="P121" s="556"/>
      <c r="Q121" s="556"/>
      <c r="R121" s="556"/>
      <c r="S121" s="556"/>
      <c r="T121" s="556"/>
      <c r="U121" s="556"/>
      <c r="V121" s="599">
        <v>-128</v>
      </c>
      <c r="W121" s="558"/>
      <c r="X121" s="543"/>
    </row>
    <row r="122" spans="1:24" s="544" customFormat="1" x14ac:dyDescent="0.3">
      <c r="A122" s="555">
        <f t="shared" si="0"/>
        <v>16</v>
      </c>
      <c r="B122" s="642" t="s">
        <v>386</v>
      </c>
      <c r="C122" s="556"/>
      <c r="D122" s="556"/>
      <c r="E122" s="556"/>
      <c r="F122" s="556"/>
      <c r="G122" s="556"/>
      <c r="H122" s="556"/>
      <c r="I122" s="556"/>
      <c r="J122" s="556"/>
      <c r="K122" s="556"/>
      <c r="L122" s="556"/>
      <c r="M122" s="556"/>
      <c r="N122" s="556"/>
      <c r="O122" s="556"/>
      <c r="P122" s="556"/>
      <c r="Q122" s="556"/>
      <c r="R122" s="556"/>
      <c r="S122" s="556"/>
      <c r="T122" s="556"/>
      <c r="U122" s="556"/>
      <c r="V122" s="599">
        <v>0</v>
      </c>
      <c r="W122" s="558"/>
      <c r="X122" s="543"/>
    </row>
    <row r="123" spans="1:24" s="544" customFormat="1" x14ac:dyDescent="0.3">
      <c r="A123" s="555">
        <f t="shared" si="0"/>
        <v>17</v>
      </c>
      <c r="B123" s="642" t="s">
        <v>385</v>
      </c>
      <c r="C123" s="556"/>
      <c r="D123" s="556"/>
      <c r="E123" s="556"/>
      <c r="F123" s="556"/>
      <c r="G123" s="556"/>
      <c r="H123" s="556"/>
      <c r="I123" s="556"/>
      <c r="J123" s="556"/>
      <c r="K123" s="556"/>
      <c r="L123" s="556"/>
      <c r="M123" s="556"/>
      <c r="N123" s="556"/>
      <c r="O123" s="556"/>
      <c r="P123" s="556"/>
      <c r="Q123" s="556"/>
      <c r="R123" s="556"/>
      <c r="S123" s="556"/>
      <c r="T123" s="556"/>
      <c r="U123" s="556"/>
      <c r="V123" s="599">
        <f>-V100-SUM(V102:V122)</f>
        <v>-1971</v>
      </c>
      <c r="W123" s="558"/>
      <c r="X123" s="543"/>
    </row>
    <row r="124" spans="1:24" x14ac:dyDescent="0.3">
      <c r="A124" s="431"/>
      <c r="B124" s="507" t="s">
        <v>37</v>
      </c>
      <c r="C124" s="434"/>
      <c r="D124" s="434"/>
      <c r="E124" s="434"/>
      <c r="F124" s="434"/>
      <c r="G124" s="434"/>
      <c r="H124" s="434"/>
      <c r="I124" s="434"/>
      <c r="J124" s="434"/>
      <c r="K124" s="434"/>
      <c r="L124" s="434"/>
      <c r="M124" s="434"/>
      <c r="N124" s="434"/>
      <c r="O124" s="434"/>
      <c r="P124" s="434"/>
      <c r="Q124" s="434"/>
      <c r="R124" s="434"/>
      <c r="S124" s="434"/>
      <c r="T124" s="434"/>
      <c r="U124" s="434"/>
      <c r="V124" s="450"/>
      <c r="W124" s="436"/>
      <c r="X124" s="415"/>
    </row>
    <row r="125" spans="1:24" s="544" customFormat="1" x14ac:dyDescent="0.3">
      <c r="A125" s="555"/>
      <c r="B125" s="556" t="s">
        <v>173</v>
      </c>
      <c r="C125" s="556"/>
      <c r="D125" s="556"/>
      <c r="E125" s="556"/>
      <c r="F125" s="556"/>
      <c r="G125" s="556"/>
      <c r="H125" s="556"/>
      <c r="I125" s="556"/>
      <c r="J125" s="556"/>
      <c r="K125" s="556"/>
      <c r="L125" s="556"/>
      <c r="M125" s="556"/>
      <c r="N125" s="556"/>
      <c r="O125" s="556"/>
      <c r="P125" s="556"/>
      <c r="Q125" s="556"/>
      <c r="R125" s="556"/>
      <c r="S125" s="556"/>
      <c r="T125" s="598">
        <f>-T191</f>
        <v>0</v>
      </c>
      <c r="U125" s="598"/>
      <c r="V125" s="599"/>
      <c r="W125" s="558"/>
      <c r="X125" s="543"/>
    </row>
    <row r="126" spans="1:24" s="544" customFormat="1" x14ac:dyDescent="0.3">
      <c r="A126" s="555"/>
      <c r="B126" s="556" t="s">
        <v>174</v>
      </c>
      <c r="C126" s="556"/>
      <c r="D126" s="556"/>
      <c r="E126" s="556"/>
      <c r="F126" s="556"/>
      <c r="G126" s="556"/>
      <c r="H126" s="556"/>
      <c r="I126" s="556"/>
      <c r="J126" s="556"/>
      <c r="K126" s="556"/>
      <c r="L126" s="556"/>
      <c r="M126" s="556"/>
      <c r="N126" s="556"/>
      <c r="O126" s="556"/>
      <c r="P126" s="556"/>
      <c r="Q126" s="556"/>
      <c r="R126" s="556"/>
      <c r="S126" s="556"/>
      <c r="T126" s="598">
        <v>0</v>
      </c>
      <c r="U126" s="598"/>
      <c r="V126" s="599"/>
      <c r="W126" s="558"/>
      <c r="X126" s="543"/>
    </row>
    <row r="127" spans="1:24" s="544" customFormat="1" x14ac:dyDescent="0.3">
      <c r="A127" s="555"/>
      <c r="B127" s="556" t="s">
        <v>38</v>
      </c>
      <c r="C127" s="556"/>
      <c r="D127" s="556"/>
      <c r="E127" s="556"/>
      <c r="F127" s="556"/>
      <c r="G127" s="556"/>
      <c r="H127" s="556"/>
      <c r="I127" s="556"/>
      <c r="J127" s="556"/>
      <c r="K127" s="556"/>
      <c r="L127" s="556"/>
      <c r="M127" s="556"/>
      <c r="N127" s="556"/>
      <c r="O127" s="556"/>
      <c r="P127" s="556"/>
      <c r="Q127" s="556"/>
      <c r="R127" s="556"/>
      <c r="S127" s="556"/>
      <c r="T127" s="598">
        <f>-S191</f>
        <v>0</v>
      </c>
      <c r="U127" s="598"/>
      <c r="V127" s="599"/>
      <c r="W127" s="558"/>
      <c r="X127" s="543"/>
    </row>
    <row r="128" spans="1:24" s="544" customFormat="1" x14ac:dyDescent="0.3">
      <c r="A128" s="555"/>
      <c r="B128" s="556" t="s">
        <v>388</v>
      </c>
      <c r="C128" s="556"/>
      <c r="D128" s="556"/>
      <c r="E128" s="556"/>
      <c r="F128" s="556"/>
      <c r="G128" s="556"/>
      <c r="H128" s="556"/>
      <c r="I128" s="556"/>
      <c r="J128" s="556"/>
      <c r="K128" s="556"/>
      <c r="L128" s="556"/>
      <c r="M128" s="556"/>
      <c r="N128" s="556"/>
      <c r="O128" s="556"/>
      <c r="P128" s="556"/>
      <c r="Q128" s="556"/>
      <c r="R128" s="556"/>
      <c r="S128" s="556"/>
      <c r="T128" s="598">
        <v>-7398</v>
      </c>
      <c r="U128" s="598"/>
      <c r="V128" s="599"/>
      <c r="W128" s="558"/>
      <c r="X128" s="543"/>
    </row>
    <row r="129" spans="1:24" s="544" customFormat="1" x14ac:dyDescent="0.3">
      <c r="A129" s="555"/>
      <c r="B129" s="556" t="s">
        <v>195</v>
      </c>
      <c r="C129" s="556"/>
      <c r="D129" s="556"/>
      <c r="E129" s="556"/>
      <c r="F129" s="556"/>
      <c r="G129" s="556"/>
      <c r="H129" s="556"/>
      <c r="I129" s="556"/>
      <c r="J129" s="556"/>
      <c r="K129" s="556"/>
      <c r="L129" s="556"/>
      <c r="M129" s="556"/>
      <c r="N129" s="556"/>
      <c r="O129" s="556"/>
      <c r="P129" s="556"/>
      <c r="Q129" s="556"/>
      <c r="R129" s="556"/>
      <c r="S129" s="556"/>
      <c r="T129" s="598">
        <v>-1193</v>
      </c>
      <c r="U129" s="598"/>
      <c r="V129" s="599"/>
      <c r="W129" s="558"/>
      <c r="X129" s="543"/>
    </row>
    <row r="130" spans="1:24" s="544" customFormat="1" x14ac:dyDescent="0.3">
      <c r="A130" s="555"/>
      <c r="B130" s="556" t="s">
        <v>194</v>
      </c>
      <c r="C130" s="556"/>
      <c r="D130" s="556"/>
      <c r="E130" s="556"/>
      <c r="F130" s="556"/>
      <c r="G130" s="556"/>
      <c r="H130" s="556"/>
      <c r="I130" s="556"/>
      <c r="J130" s="556"/>
      <c r="K130" s="556"/>
      <c r="L130" s="556"/>
      <c r="M130" s="556"/>
      <c r="N130" s="556"/>
      <c r="O130" s="556"/>
      <c r="P130" s="556"/>
      <c r="Q130" s="556"/>
      <c r="R130" s="556"/>
      <c r="S130" s="556"/>
      <c r="T130" s="598">
        <v>-1605</v>
      </c>
      <c r="U130" s="598"/>
      <c r="V130" s="599"/>
      <c r="W130" s="558"/>
      <c r="X130" s="543"/>
    </row>
    <row r="131" spans="1:24" s="544" customFormat="1" x14ac:dyDescent="0.3">
      <c r="A131" s="555"/>
      <c r="B131" s="556" t="s">
        <v>226</v>
      </c>
      <c r="C131" s="556"/>
      <c r="D131" s="556"/>
      <c r="E131" s="556"/>
      <c r="F131" s="556"/>
      <c r="G131" s="556"/>
      <c r="H131" s="556"/>
      <c r="I131" s="556"/>
      <c r="J131" s="556"/>
      <c r="K131" s="556"/>
      <c r="L131" s="556"/>
      <c r="M131" s="556"/>
      <c r="N131" s="556"/>
      <c r="O131" s="556"/>
      <c r="P131" s="556"/>
      <c r="Q131" s="556"/>
      <c r="R131" s="556"/>
      <c r="S131" s="556"/>
      <c r="T131" s="598">
        <v>-1973</v>
      </c>
      <c r="U131" s="598"/>
      <c r="V131" s="599"/>
      <c r="W131" s="558"/>
      <c r="X131" s="543"/>
    </row>
    <row r="132" spans="1:24" s="544" customFormat="1" x14ac:dyDescent="0.3">
      <c r="A132" s="555"/>
      <c r="B132" s="556" t="s">
        <v>189</v>
      </c>
      <c r="C132" s="556"/>
      <c r="D132" s="556"/>
      <c r="E132" s="556"/>
      <c r="F132" s="556"/>
      <c r="G132" s="556"/>
      <c r="H132" s="556"/>
      <c r="I132" s="556"/>
      <c r="J132" s="556"/>
      <c r="K132" s="556"/>
      <c r="L132" s="556"/>
      <c r="M132" s="556"/>
      <c r="N132" s="556"/>
      <c r="O132" s="556"/>
      <c r="P132" s="556"/>
      <c r="Q132" s="556"/>
      <c r="R132" s="556"/>
      <c r="S132" s="556"/>
      <c r="T132" s="598">
        <v>0</v>
      </c>
      <c r="U132" s="598"/>
      <c r="V132" s="599"/>
      <c r="W132" s="558"/>
      <c r="X132" s="543"/>
    </row>
    <row r="133" spans="1:24" s="544" customFormat="1" x14ac:dyDescent="0.3">
      <c r="A133" s="555"/>
      <c r="B133" s="556" t="s">
        <v>188</v>
      </c>
      <c r="C133" s="556"/>
      <c r="D133" s="556"/>
      <c r="E133" s="556"/>
      <c r="F133" s="556"/>
      <c r="G133" s="556"/>
      <c r="H133" s="556"/>
      <c r="I133" s="556"/>
      <c r="J133" s="556"/>
      <c r="K133" s="556"/>
      <c r="L133" s="556"/>
      <c r="M133" s="556"/>
      <c r="N133" s="556"/>
      <c r="O133" s="556"/>
      <c r="P133" s="556"/>
      <c r="Q133" s="556"/>
      <c r="R133" s="556"/>
      <c r="S133" s="556"/>
      <c r="T133" s="598">
        <v>0</v>
      </c>
      <c r="U133" s="598"/>
      <c r="V133" s="599"/>
      <c r="W133" s="558"/>
      <c r="X133" s="543"/>
    </row>
    <row r="134" spans="1:24" s="544" customFormat="1" x14ac:dyDescent="0.3">
      <c r="A134" s="555"/>
      <c r="B134" s="556" t="s">
        <v>227</v>
      </c>
      <c r="C134" s="556"/>
      <c r="D134" s="556"/>
      <c r="E134" s="556"/>
      <c r="F134" s="556"/>
      <c r="G134" s="556"/>
      <c r="H134" s="556"/>
      <c r="I134" s="556"/>
      <c r="J134" s="556"/>
      <c r="K134" s="556"/>
      <c r="L134" s="556"/>
      <c r="M134" s="556"/>
      <c r="N134" s="556"/>
      <c r="O134" s="556"/>
      <c r="P134" s="556"/>
      <c r="Q134" s="556"/>
      <c r="R134" s="556"/>
      <c r="S134" s="556"/>
      <c r="T134" s="598">
        <v>0</v>
      </c>
      <c r="U134" s="598"/>
      <c r="V134" s="599"/>
      <c r="W134" s="558"/>
      <c r="X134" s="543"/>
    </row>
    <row r="135" spans="1:24" s="544" customFormat="1" x14ac:dyDescent="0.3">
      <c r="A135" s="555"/>
      <c r="B135" s="556" t="s">
        <v>187</v>
      </c>
      <c r="C135" s="556"/>
      <c r="D135" s="556"/>
      <c r="E135" s="556"/>
      <c r="F135" s="556"/>
      <c r="G135" s="556"/>
      <c r="H135" s="556"/>
      <c r="I135" s="556"/>
      <c r="J135" s="556"/>
      <c r="K135" s="556"/>
      <c r="L135" s="556"/>
      <c r="M135" s="556"/>
      <c r="N135" s="556"/>
      <c r="O135" s="556"/>
      <c r="P135" s="556"/>
      <c r="Q135" s="556"/>
      <c r="R135" s="556"/>
      <c r="S135" s="556"/>
      <c r="T135" s="598">
        <v>0</v>
      </c>
      <c r="U135" s="598"/>
      <c r="V135" s="599"/>
      <c r="W135" s="558"/>
      <c r="X135" s="543"/>
    </row>
    <row r="136" spans="1:24" s="544" customFormat="1" x14ac:dyDescent="0.3">
      <c r="A136" s="555"/>
      <c r="B136" s="556" t="s">
        <v>39</v>
      </c>
      <c r="C136" s="556"/>
      <c r="D136" s="556"/>
      <c r="E136" s="556"/>
      <c r="F136" s="556"/>
      <c r="G136" s="556"/>
      <c r="H136" s="556"/>
      <c r="I136" s="556"/>
      <c r="J136" s="556"/>
      <c r="K136" s="556"/>
      <c r="L136" s="556"/>
      <c r="M136" s="556"/>
      <c r="N136" s="556"/>
      <c r="O136" s="556"/>
      <c r="P136" s="556"/>
      <c r="Q136" s="556"/>
      <c r="R136" s="556"/>
      <c r="S136" s="556"/>
      <c r="T136" s="598">
        <f>SUM(T125:T135)</f>
        <v>-12169</v>
      </c>
      <c r="U136" s="598"/>
      <c r="V136" s="598">
        <f>SUM(V101:V133)</f>
        <v>-5333</v>
      </c>
      <c r="W136" s="558"/>
      <c r="X136" s="543"/>
    </row>
    <row r="137" spans="1:24" s="544" customFormat="1" x14ac:dyDescent="0.3">
      <c r="A137" s="555"/>
      <c r="B137" s="556" t="s">
        <v>40</v>
      </c>
      <c r="C137" s="556"/>
      <c r="D137" s="556"/>
      <c r="E137" s="556"/>
      <c r="F137" s="556"/>
      <c r="G137" s="556"/>
      <c r="H137" s="556"/>
      <c r="I137" s="556"/>
      <c r="J137" s="556"/>
      <c r="K137" s="556"/>
      <c r="L137" s="556"/>
      <c r="M137" s="556"/>
      <c r="N137" s="556"/>
      <c r="O137" s="556"/>
      <c r="P137" s="556"/>
      <c r="Q137" s="556"/>
      <c r="R137" s="556"/>
      <c r="S137" s="556"/>
      <c r="T137" s="598">
        <f>T100+T136+T114</f>
        <v>0</v>
      </c>
      <c r="U137" s="598"/>
      <c r="V137" s="598">
        <f>V100+V136</f>
        <v>0</v>
      </c>
      <c r="W137" s="558"/>
      <c r="X137" s="543"/>
    </row>
    <row r="138" spans="1:24" s="544" customFormat="1" x14ac:dyDescent="0.3">
      <c r="A138" s="540"/>
      <c r="B138" s="588"/>
      <c r="C138" s="588"/>
      <c r="D138" s="588"/>
      <c r="E138" s="588"/>
      <c r="F138" s="588"/>
      <c r="G138" s="588"/>
      <c r="H138" s="588"/>
      <c r="I138" s="588"/>
      <c r="J138" s="588"/>
      <c r="K138" s="588"/>
      <c r="L138" s="588"/>
      <c r="M138" s="588"/>
      <c r="N138" s="588"/>
      <c r="O138" s="588"/>
      <c r="P138" s="588"/>
      <c r="Q138" s="588"/>
      <c r="R138" s="588"/>
      <c r="S138" s="588"/>
      <c r="T138" s="600"/>
      <c r="U138" s="600"/>
      <c r="V138" s="600"/>
      <c r="W138" s="588"/>
      <c r="X138" s="543"/>
    </row>
    <row r="139" spans="1:24" s="544" customFormat="1" x14ac:dyDescent="0.3">
      <c r="A139" s="540"/>
      <c r="B139" s="541"/>
      <c r="C139" s="541"/>
      <c r="D139" s="541"/>
      <c r="E139" s="541"/>
      <c r="F139" s="541"/>
      <c r="G139" s="541"/>
      <c r="H139" s="541"/>
      <c r="I139" s="541"/>
      <c r="J139" s="541"/>
      <c r="K139" s="541"/>
      <c r="L139" s="541"/>
      <c r="M139" s="541"/>
      <c r="N139" s="541"/>
      <c r="O139" s="541"/>
      <c r="P139" s="541"/>
      <c r="Q139" s="541"/>
      <c r="R139" s="541"/>
      <c r="S139" s="541"/>
      <c r="T139" s="541"/>
      <c r="U139" s="541"/>
      <c r="V139" s="606"/>
      <c r="W139" s="541"/>
      <c r="X139" s="543"/>
    </row>
    <row r="140" spans="1:24" s="544" customFormat="1" ht="18.600000000000001" thickBot="1" x14ac:dyDescent="0.4">
      <c r="A140" s="593"/>
      <c r="B140" s="594" t="str">
        <f>B63</f>
        <v>PM14 INVESTOR REPORT QUARTER ENDING NOVEMBER 2019</v>
      </c>
      <c r="C140" s="595"/>
      <c r="D140" s="595"/>
      <c r="E140" s="595"/>
      <c r="F140" s="595"/>
      <c r="G140" s="595"/>
      <c r="H140" s="595"/>
      <c r="I140" s="595"/>
      <c r="J140" s="595"/>
      <c r="K140" s="595"/>
      <c r="L140" s="595"/>
      <c r="M140" s="595"/>
      <c r="N140" s="595"/>
      <c r="O140" s="595"/>
      <c r="P140" s="595"/>
      <c r="Q140" s="595"/>
      <c r="R140" s="595"/>
      <c r="S140" s="595"/>
      <c r="T140" s="595"/>
      <c r="U140" s="595"/>
      <c r="V140" s="607"/>
      <c r="W140" s="597"/>
      <c r="X140" s="543"/>
    </row>
    <row r="141" spans="1:24" x14ac:dyDescent="0.3">
      <c r="A141" s="527"/>
      <c r="B141" s="528" t="s">
        <v>41</v>
      </c>
      <c r="C141" s="529"/>
      <c r="D141" s="529"/>
      <c r="E141" s="529"/>
      <c r="F141" s="529"/>
      <c r="G141" s="529"/>
      <c r="H141" s="529"/>
      <c r="I141" s="529"/>
      <c r="J141" s="529"/>
      <c r="K141" s="529"/>
      <c r="L141" s="529"/>
      <c r="M141" s="529"/>
      <c r="N141" s="529"/>
      <c r="O141" s="529"/>
      <c r="P141" s="529"/>
      <c r="Q141" s="529"/>
      <c r="R141" s="529"/>
      <c r="S141" s="529"/>
      <c r="T141" s="529"/>
      <c r="U141" s="529"/>
      <c r="V141" s="530"/>
      <c r="W141" s="529"/>
      <c r="X141" s="415"/>
    </row>
    <row r="142" spans="1:24" x14ac:dyDescent="0.3">
      <c r="A142" s="417"/>
      <c r="B142" s="451"/>
      <c r="C142" s="419"/>
      <c r="D142" s="419"/>
      <c r="E142" s="419"/>
      <c r="F142" s="419"/>
      <c r="G142" s="419"/>
      <c r="H142" s="419"/>
      <c r="I142" s="419"/>
      <c r="J142" s="419"/>
      <c r="K142" s="419"/>
      <c r="L142" s="419"/>
      <c r="M142" s="419"/>
      <c r="N142" s="419"/>
      <c r="O142" s="419"/>
      <c r="P142" s="419"/>
      <c r="Q142" s="419"/>
      <c r="R142" s="419"/>
      <c r="S142" s="419"/>
      <c r="T142" s="419"/>
      <c r="U142" s="419"/>
      <c r="V142" s="439"/>
      <c r="W142" s="419"/>
      <c r="X142" s="415"/>
    </row>
    <row r="143" spans="1:24" x14ac:dyDescent="0.3">
      <c r="A143" s="417"/>
      <c r="B143" s="508" t="s">
        <v>42</v>
      </c>
      <c r="C143" s="419"/>
      <c r="D143" s="419"/>
      <c r="E143" s="419"/>
      <c r="F143" s="419"/>
      <c r="G143" s="419"/>
      <c r="H143" s="419"/>
      <c r="I143" s="419"/>
      <c r="J143" s="419"/>
      <c r="K143" s="419"/>
      <c r="L143" s="419"/>
      <c r="M143" s="419"/>
      <c r="N143" s="419"/>
      <c r="O143" s="419"/>
      <c r="P143" s="419"/>
      <c r="Q143" s="419"/>
      <c r="R143" s="419"/>
      <c r="S143" s="419"/>
      <c r="T143" s="419"/>
      <c r="U143" s="419"/>
      <c r="V143" s="439"/>
      <c r="W143" s="419"/>
      <c r="X143" s="415"/>
    </row>
    <row r="144" spans="1:24" s="544" customFormat="1" x14ac:dyDescent="0.3">
      <c r="A144" s="555"/>
      <c r="B144" s="556" t="s">
        <v>43</v>
      </c>
      <c r="C144" s="556"/>
      <c r="D144" s="556"/>
      <c r="E144" s="556"/>
      <c r="F144" s="556"/>
      <c r="G144" s="556"/>
      <c r="H144" s="556"/>
      <c r="I144" s="556"/>
      <c r="J144" s="556"/>
      <c r="K144" s="556"/>
      <c r="L144" s="556"/>
      <c r="M144" s="556"/>
      <c r="N144" s="556"/>
      <c r="O144" s="556"/>
      <c r="P144" s="556"/>
      <c r="Q144" s="556"/>
      <c r="R144" s="556"/>
      <c r="S144" s="556"/>
      <c r="T144" s="556"/>
      <c r="U144" s="556"/>
      <c r="V144" s="599">
        <f>+V34*0.019</f>
        <v>28505.224999999999</v>
      </c>
      <c r="W144" s="558"/>
      <c r="X144" s="543"/>
    </row>
    <row r="145" spans="1:25" s="544" customFormat="1" x14ac:dyDescent="0.3">
      <c r="A145" s="555"/>
      <c r="B145" s="556" t="s">
        <v>44</v>
      </c>
      <c r="C145" s="556"/>
      <c r="D145" s="556"/>
      <c r="E145" s="556"/>
      <c r="F145" s="556"/>
      <c r="G145" s="556"/>
      <c r="H145" s="556"/>
      <c r="I145" s="556"/>
      <c r="J145" s="556"/>
      <c r="K145" s="556"/>
      <c r="L145" s="556"/>
      <c r="M145" s="556"/>
      <c r="N145" s="556"/>
      <c r="O145" s="556"/>
      <c r="P145" s="556"/>
      <c r="Q145" s="556"/>
      <c r="R145" s="556"/>
      <c r="S145" s="556"/>
      <c r="T145" s="556"/>
      <c r="U145" s="556"/>
      <c r="V145" s="599">
        <v>28505</v>
      </c>
      <c r="W145" s="558"/>
      <c r="X145" s="543"/>
    </row>
    <row r="146" spans="1:25" s="544" customFormat="1" x14ac:dyDescent="0.3">
      <c r="A146" s="555"/>
      <c r="B146" s="556" t="s">
        <v>136</v>
      </c>
      <c r="C146" s="556"/>
      <c r="D146" s="556"/>
      <c r="E146" s="556"/>
      <c r="F146" s="556"/>
      <c r="G146" s="556"/>
      <c r="H146" s="556"/>
      <c r="I146" s="556"/>
      <c r="J146" s="556"/>
      <c r="K146" s="556"/>
      <c r="L146" s="556"/>
      <c r="M146" s="556"/>
      <c r="N146" s="556"/>
      <c r="O146" s="556"/>
      <c r="P146" s="556"/>
      <c r="Q146" s="556"/>
      <c r="R146" s="556"/>
      <c r="S146" s="556"/>
      <c r="T146" s="556"/>
      <c r="U146" s="556"/>
      <c r="V146" s="599"/>
      <c r="W146" s="558"/>
      <c r="X146" s="543"/>
    </row>
    <row r="147" spans="1:25" s="544" customFormat="1" x14ac:dyDescent="0.3">
      <c r="A147" s="555"/>
      <c r="B147" s="556" t="s">
        <v>123</v>
      </c>
      <c r="C147" s="556"/>
      <c r="D147" s="556"/>
      <c r="E147" s="556"/>
      <c r="F147" s="556"/>
      <c r="G147" s="556"/>
      <c r="H147" s="556"/>
      <c r="I147" s="556"/>
      <c r="J147" s="556"/>
      <c r="K147" s="556"/>
      <c r="L147" s="556"/>
      <c r="M147" s="556"/>
      <c r="N147" s="556"/>
      <c r="O147" s="556"/>
      <c r="P147" s="556"/>
      <c r="Q147" s="556"/>
      <c r="R147" s="556"/>
      <c r="S147" s="556"/>
      <c r="T147" s="556"/>
      <c r="U147" s="556"/>
      <c r="V147" s="599">
        <v>0</v>
      </c>
      <c r="W147" s="558"/>
      <c r="X147" s="543"/>
    </row>
    <row r="148" spans="1:25" s="544" customFormat="1" x14ac:dyDescent="0.3">
      <c r="A148" s="555"/>
      <c r="B148" s="556" t="s">
        <v>124</v>
      </c>
      <c r="C148" s="556"/>
      <c r="D148" s="556"/>
      <c r="E148" s="556"/>
      <c r="F148" s="556"/>
      <c r="G148" s="556"/>
      <c r="H148" s="556"/>
      <c r="I148" s="556"/>
      <c r="J148" s="556"/>
      <c r="K148" s="556"/>
      <c r="L148" s="556"/>
      <c r="M148" s="556"/>
      <c r="N148" s="556"/>
      <c r="O148" s="556"/>
      <c r="P148" s="556"/>
      <c r="Q148" s="556"/>
      <c r="R148" s="556"/>
      <c r="S148" s="556"/>
      <c r="T148" s="556"/>
      <c r="U148" s="556"/>
      <c r="V148" s="599">
        <v>0</v>
      </c>
      <c r="W148" s="558"/>
      <c r="X148" s="543"/>
    </row>
    <row r="149" spans="1:25" s="544" customFormat="1" x14ac:dyDescent="0.3">
      <c r="A149" s="555"/>
      <c r="B149" s="556" t="s">
        <v>175</v>
      </c>
      <c r="C149" s="556"/>
      <c r="D149" s="556"/>
      <c r="E149" s="556"/>
      <c r="F149" s="556"/>
      <c r="G149" s="556"/>
      <c r="H149" s="556"/>
      <c r="I149" s="556"/>
      <c r="J149" s="556"/>
      <c r="K149" s="556"/>
      <c r="L149" s="556"/>
      <c r="M149" s="556"/>
      <c r="N149" s="556"/>
      <c r="O149" s="556"/>
      <c r="P149" s="556"/>
      <c r="Q149" s="556"/>
      <c r="R149" s="556"/>
      <c r="S149" s="556"/>
      <c r="T149" s="556"/>
      <c r="U149" s="556"/>
      <c r="V149" s="599">
        <v>0</v>
      </c>
      <c r="W149" s="558"/>
      <c r="X149" s="543"/>
    </row>
    <row r="150" spans="1:25" s="544" customFormat="1" x14ac:dyDescent="0.3">
      <c r="A150" s="555"/>
      <c r="B150" s="556" t="s">
        <v>45</v>
      </c>
      <c r="C150" s="556"/>
      <c r="D150" s="556"/>
      <c r="E150" s="556"/>
      <c r="F150" s="556"/>
      <c r="G150" s="556"/>
      <c r="H150" s="556"/>
      <c r="I150" s="556"/>
      <c r="J150" s="556"/>
      <c r="K150" s="556"/>
      <c r="L150" s="556"/>
      <c r="M150" s="556"/>
      <c r="N150" s="556"/>
      <c r="O150" s="556"/>
      <c r="P150" s="556"/>
      <c r="Q150" s="556"/>
      <c r="R150" s="556"/>
      <c r="S150" s="556"/>
      <c r="T150" s="556"/>
      <c r="U150" s="556"/>
      <c r="V150" s="599">
        <v>0</v>
      </c>
      <c r="W150" s="558"/>
      <c r="X150" s="543"/>
    </row>
    <row r="151" spans="1:25" s="544" customFormat="1" x14ac:dyDescent="0.3">
      <c r="A151" s="555"/>
      <c r="B151" s="556" t="s">
        <v>129</v>
      </c>
      <c r="C151" s="556"/>
      <c r="D151" s="556"/>
      <c r="E151" s="556"/>
      <c r="F151" s="556"/>
      <c r="G151" s="556"/>
      <c r="H151" s="556"/>
      <c r="I151" s="556"/>
      <c r="J151" s="556"/>
      <c r="K151" s="556"/>
      <c r="L151" s="556"/>
      <c r="M151" s="556"/>
      <c r="N151" s="556"/>
      <c r="O151" s="556"/>
      <c r="P151" s="556"/>
      <c r="Q151" s="556"/>
      <c r="R151" s="556"/>
      <c r="S151" s="556"/>
      <c r="T151" s="556"/>
      <c r="U151" s="556"/>
      <c r="V151" s="599">
        <v>0</v>
      </c>
      <c r="W151" s="558"/>
      <c r="X151" s="543"/>
    </row>
    <row r="152" spans="1:25" s="544" customFormat="1" x14ac:dyDescent="0.3">
      <c r="A152" s="555"/>
      <c r="B152" s="556" t="s">
        <v>267</v>
      </c>
      <c r="C152" s="556"/>
      <c r="D152" s="556"/>
      <c r="E152" s="556"/>
      <c r="F152" s="556"/>
      <c r="G152" s="556"/>
      <c r="H152" s="556"/>
      <c r="I152" s="556"/>
      <c r="J152" s="556"/>
      <c r="K152" s="556"/>
      <c r="L152" s="556"/>
      <c r="M152" s="556"/>
      <c r="N152" s="556"/>
      <c r="O152" s="556"/>
      <c r="P152" s="556"/>
      <c r="Q152" s="556"/>
      <c r="R152" s="556"/>
      <c r="S152" s="556"/>
      <c r="T152" s="556"/>
      <c r="U152" s="556"/>
      <c r="V152" s="599">
        <v>0</v>
      </c>
      <c r="W152" s="558"/>
      <c r="X152" s="543"/>
      <c r="Y152" s="604"/>
    </row>
    <row r="153" spans="1:25" s="544" customFormat="1" x14ac:dyDescent="0.3">
      <c r="A153" s="555"/>
      <c r="B153" s="556" t="s">
        <v>46</v>
      </c>
      <c r="C153" s="556"/>
      <c r="D153" s="556"/>
      <c r="E153" s="556"/>
      <c r="F153" s="556"/>
      <c r="G153" s="556"/>
      <c r="H153" s="556"/>
      <c r="I153" s="556"/>
      <c r="J153" s="556"/>
      <c r="K153" s="556"/>
      <c r="L153" s="556"/>
      <c r="M153" s="556"/>
      <c r="N153" s="556"/>
      <c r="O153" s="556"/>
      <c r="P153" s="556"/>
      <c r="Q153" s="556"/>
      <c r="R153" s="556"/>
      <c r="S153" s="556"/>
      <c r="T153" s="556"/>
      <c r="U153" s="556"/>
      <c r="V153" s="599">
        <f>SUM(V145:V152)</f>
        <v>28505</v>
      </c>
      <c r="W153" s="558"/>
      <c r="X153" s="543"/>
    </row>
    <row r="154" spans="1:25" x14ac:dyDescent="0.3">
      <c r="A154" s="431"/>
      <c r="B154" s="434"/>
      <c r="C154" s="434"/>
      <c r="D154" s="434"/>
      <c r="E154" s="434"/>
      <c r="F154" s="434"/>
      <c r="G154" s="434"/>
      <c r="H154" s="434"/>
      <c r="I154" s="434"/>
      <c r="J154" s="434"/>
      <c r="K154" s="434"/>
      <c r="L154" s="434"/>
      <c r="M154" s="434"/>
      <c r="N154" s="434"/>
      <c r="O154" s="434"/>
      <c r="P154" s="434"/>
      <c r="Q154" s="434"/>
      <c r="R154" s="434"/>
      <c r="S154" s="434"/>
      <c r="T154" s="434"/>
      <c r="U154" s="434"/>
      <c r="V154" s="449"/>
      <c r="W154" s="436"/>
      <c r="X154" s="415"/>
    </row>
    <row r="155" spans="1:25" x14ac:dyDescent="0.3">
      <c r="A155" s="431"/>
      <c r="B155" s="507" t="s">
        <v>237</v>
      </c>
      <c r="C155" s="434"/>
      <c r="D155" s="434"/>
      <c r="E155" s="434"/>
      <c r="F155" s="434"/>
      <c r="G155" s="434"/>
      <c r="H155" s="434"/>
      <c r="I155" s="434"/>
      <c r="J155" s="434"/>
      <c r="K155" s="434"/>
      <c r="L155" s="434"/>
      <c r="M155" s="434"/>
      <c r="N155" s="434"/>
      <c r="O155" s="434"/>
      <c r="P155" s="434"/>
      <c r="Q155" s="434"/>
      <c r="R155" s="434"/>
      <c r="S155" s="434"/>
      <c r="T155" s="434"/>
      <c r="U155" s="434"/>
      <c r="V155" s="449"/>
      <c r="W155" s="436"/>
      <c r="X155" s="415"/>
    </row>
    <row r="156" spans="1:25" s="544" customFormat="1" x14ac:dyDescent="0.3">
      <c r="A156" s="555"/>
      <c r="B156" s="556" t="s">
        <v>155</v>
      </c>
      <c r="C156" s="556"/>
      <c r="D156" s="556"/>
      <c r="E156" s="556"/>
      <c r="F156" s="556"/>
      <c r="G156" s="556"/>
      <c r="H156" s="556"/>
      <c r="I156" s="556"/>
      <c r="J156" s="556"/>
      <c r="K156" s="556"/>
      <c r="L156" s="556"/>
      <c r="M156" s="556"/>
      <c r="N156" s="556"/>
      <c r="O156" s="556"/>
      <c r="P156" s="556"/>
      <c r="Q156" s="556"/>
      <c r="R156" s="556"/>
      <c r="S156" s="556"/>
      <c r="T156" s="556"/>
      <c r="U156" s="556"/>
      <c r="V156" s="599">
        <v>7500</v>
      </c>
      <c r="W156" s="558"/>
      <c r="X156" s="543"/>
    </row>
    <row r="157" spans="1:25" s="544" customFormat="1" x14ac:dyDescent="0.3">
      <c r="A157" s="555"/>
      <c r="B157" s="556" t="s">
        <v>172</v>
      </c>
      <c r="C157" s="556"/>
      <c r="D157" s="556"/>
      <c r="E157" s="556"/>
      <c r="F157" s="556"/>
      <c r="G157" s="556"/>
      <c r="H157" s="556"/>
      <c r="I157" s="556"/>
      <c r="J157" s="556"/>
      <c r="K157" s="556"/>
      <c r="L157" s="556"/>
      <c r="M157" s="556"/>
      <c r="N157" s="556"/>
      <c r="O157" s="556"/>
      <c r="P157" s="556"/>
      <c r="Q157" s="556"/>
      <c r="R157" s="556"/>
      <c r="S157" s="556"/>
      <c r="T157" s="556"/>
      <c r="U157" s="556"/>
      <c r="V157" s="599">
        <v>0</v>
      </c>
      <c r="W157" s="558"/>
      <c r="X157" s="543"/>
    </row>
    <row r="158" spans="1:25" s="544" customFormat="1" x14ac:dyDescent="0.3">
      <c r="A158" s="555"/>
      <c r="B158" s="556" t="s">
        <v>344</v>
      </c>
      <c r="C158" s="556"/>
      <c r="D158" s="556"/>
      <c r="E158" s="556"/>
      <c r="F158" s="556"/>
      <c r="G158" s="556"/>
      <c r="H158" s="556"/>
      <c r="I158" s="556"/>
      <c r="J158" s="556"/>
      <c r="K158" s="556"/>
      <c r="L158" s="556"/>
      <c r="M158" s="556"/>
      <c r="N158" s="556"/>
      <c r="O158" s="556"/>
      <c r="P158" s="556"/>
      <c r="Q158" s="556"/>
      <c r="R158" s="556"/>
      <c r="S158" s="556"/>
      <c r="T158" s="556"/>
      <c r="U158" s="556"/>
      <c r="V158" s="599">
        <v>0</v>
      </c>
      <c r="W158" s="558"/>
      <c r="X158" s="543"/>
    </row>
    <row r="159" spans="1:25" x14ac:dyDescent="0.3">
      <c r="A159" s="431"/>
      <c r="B159" s="432"/>
      <c r="C159" s="432"/>
      <c r="D159" s="432"/>
      <c r="E159" s="432"/>
      <c r="F159" s="432"/>
      <c r="G159" s="432"/>
      <c r="H159" s="432"/>
      <c r="I159" s="432"/>
      <c r="J159" s="432"/>
      <c r="K159" s="432"/>
      <c r="L159" s="432"/>
      <c r="M159" s="432"/>
      <c r="N159" s="432"/>
      <c r="O159" s="432"/>
      <c r="P159" s="432"/>
      <c r="Q159" s="432"/>
      <c r="R159" s="432"/>
      <c r="S159" s="432"/>
      <c r="T159" s="432"/>
      <c r="U159" s="432"/>
      <c r="V159" s="440"/>
      <c r="W159" s="433"/>
      <c r="X159" s="415"/>
    </row>
    <row r="160" spans="1:25" x14ac:dyDescent="0.3">
      <c r="A160" s="417"/>
      <c r="B160" s="441"/>
      <c r="C160" s="441"/>
      <c r="D160" s="441"/>
      <c r="E160" s="441"/>
      <c r="F160" s="441"/>
      <c r="G160" s="441"/>
      <c r="H160" s="441"/>
      <c r="I160" s="441"/>
      <c r="J160" s="441"/>
      <c r="K160" s="441"/>
      <c r="L160" s="441"/>
      <c r="M160" s="441"/>
      <c r="N160" s="441"/>
      <c r="O160" s="441"/>
      <c r="P160" s="441"/>
      <c r="Q160" s="441"/>
      <c r="R160" s="441"/>
      <c r="S160" s="441"/>
      <c r="T160" s="441"/>
      <c r="U160" s="441"/>
      <c r="V160" s="452"/>
      <c r="W160" s="441"/>
      <c r="X160" s="415"/>
    </row>
    <row r="161" spans="1:256" x14ac:dyDescent="0.3">
      <c r="A161" s="417"/>
      <c r="B161" s="508" t="s">
        <v>24</v>
      </c>
      <c r="C161" s="419"/>
      <c r="D161" s="419"/>
      <c r="E161" s="419"/>
      <c r="F161" s="419"/>
      <c r="G161" s="419"/>
      <c r="H161" s="419"/>
      <c r="I161" s="419"/>
      <c r="J161" s="419"/>
      <c r="K161" s="419"/>
      <c r="L161" s="419"/>
      <c r="M161" s="419"/>
      <c r="N161" s="419"/>
      <c r="O161" s="419"/>
      <c r="P161" s="419"/>
      <c r="Q161" s="419"/>
      <c r="R161" s="419"/>
      <c r="S161" s="419"/>
      <c r="T161" s="419"/>
      <c r="U161" s="419"/>
      <c r="V161" s="439"/>
      <c r="W161" s="419"/>
      <c r="X161" s="415"/>
    </row>
    <row r="162" spans="1:256" s="544" customFormat="1" x14ac:dyDescent="0.3">
      <c r="A162" s="555"/>
      <c r="B162" s="556" t="s">
        <v>47</v>
      </c>
      <c r="C162" s="556"/>
      <c r="D162" s="556"/>
      <c r="E162" s="556"/>
      <c r="F162" s="556"/>
      <c r="G162" s="556"/>
      <c r="H162" s="556"/>
      <c r="I162" s="556"/>
      <c r="J162" s="556"/>
      <c r="K162" s="556"/>
      <c r="L162" s="556"/>
      <c r="M162" s="556"/>
      <c r="N162" s="556"/>
      <c r="O162" s="556"/>
      <c r="P162" s="556"/>
      <c r="Q162" s="556"/>
      <c r="R162" s="556"/>
      <c r="S162" s="556"/>
      <c r="T162" s="556"/>
      <c r="U162" s="556"/>
      <c r="V162" s="608" t="s">
        <v>118</v>
      </c>
      <c r="W162" s="558"/>
      <c r="X162" s="543"/>
    </row>
    <row r="163" spans="1:256" s="544" customFormat="1" x14ac:dyDescent="0.3">
      <c r="A163" s="555"/>
      <c r="B163" s="556" t="s">
        <v>48</v>
      </c>
      <c r="C163" s="556"/>
      <c r="D163" s="556"/>
      <c r="E163" s="556"/>
      <c r="F163" s="556"/>
      <c r="G163" s="556"/>
      <c r="H163" s="556"/>
      <c r="I163" s="556"/>
      <c r="J163" s="556"/>
      <c r="K163" s="556"/>
      <c r="L163" s="556"/>
      <c r="M163" s="556"/>
      <c r="N163" s="556"/>
      <c r="O163" s="556"/>
      <c r="P163" s="556"/>
      <c r="Q163" s="556"/>
      <c r="R163" s="556"/>
      <c r="S163" s="556"/>
      <c r="T163" s="556"/>
      <c r="U163" s="556"/>
      <c r="V163" s="608" t="s">
        <v>118</v>
      </c>
      <c r="W163" s="558"/>
      <c r="X163" s="543"/>
    </row>
    <row r="164" spans="1:256" s="544" customFormat="1" x14ac:dyDescent="0.3">
      <c r="A164" s="555"/>
      <c r="B164" s="556" t="s">
        <v>49</v>
      </c>
      <c r="C164" s="556"/>
      <c r="D164" s="556"/>
      <c r="E164" s="556"/>
      <c r="F164" s="556"/>
      <c r="G164" s="556"/>
      <c r="H164" s="556"/>
      <c r="I164" s="556"/>
      <c r="J164" s="556"/>
      <c r="K164" s="556"/>
      <c r="L164" s="556"/>
      <c r="M164" s="556"/>
      <c r="N164" s="556"/>
      <c r="O164" s="556"/>
      <c r="P164" s="556"/>
      <c r="Q164" s="556"/>
      <c r="R164" s="556"/>
      <c r="S164" s="556"/>
      <c r="T164" s="556"/>
      <c r="U164" s="556"/>
      <c r="V164" s="608" t="s">
        <v>118</v>
      </c>
      <c r="W164" s="558"/>
      <c r="X164" s="543"/>
    </row>
    <row r="165" spans="1:256" s="544" customFormat="1" x14ac:dyDescent="0.3">
      <c r="A165" s="555"/>
      <c r="B165" s="556" t="s">
        <v>50</v>
      </c>
      <c r="C165" s="556"/>
      <c r="D165" s="556"/>
      <c r="E165" s="556"/>
      <c r="F165" s="556"/>
      <c r="G165" s="556"/>
      <c r="H165" s="556"/>
      <c r="I165" s="556"/>
      <c r="J165" s="556"/>
      <c r="K165" s="556"/>
      <c r="L165" s="556"/>
      <c r="M165" s="556"/>
      <c r="N165" s="556"/>
      <c r="O165" s="556"/>
      <c r="P165" s="556"/>
      <c r="Q165" s="556"/>
      <c r="R165" s="556"/>
      <c r="S165" s="556"/>
      <c r="T165" s="556"/>
      <c r="U165" s="556"/>
      <c r="V165" s="608" t="s">
        <v>118</v>
      </c>
      <c r="W165" s="558"/>
      <c r="X165" s="543"/>
    </row>
    <row r="166" spans="1:256" x14ac:dyDescent="0.3">
      <c r="A166" s="417"/>
      <c r="B166" s="441"/>
      <c r="C166" s="441"/>
      <c r="D166" s="441"/>
      <c r="E166" s="441"/>
      <c r="F166" s="441"/>
      <c r="G166" s="441"/>
      <c r="H166" s="441"/>
      <c r="I166" s="441"/>
      <c r="J166" s="441"/>
      <c r="K166" s="441"/>
      <c r="L166" s="441"/>
      <c r="M166" s="441"/>
      <c r="N166" s="441"/>
      <c r="O166" s="441"/>
      <c r="P166" s="441"/>
      <c r="Q166" s="441"/>
      <c r="R166" s="441"/>
      <c r="S166" s="441"/>
      <c r="T166" s="441"/>
      <c r="U166" s="441"/>
      <c r="V166" s="452"/>
      <c r="W166" s="441"/>
      <c r="X166" s="415"/>
    </row>
    <row r="167" spans="1:256" x14ac:dyDescent="0.3">
      <c r="A167" s="417"/>
      <c r="B167" s="508" t="s">
        <v>51</v>
      </c>
      <c r="C167" s="419"/>
      <c r="D167" s="419"/>
      <c r="E167" s="419"/>
      <c r="F167" s="419"/>
      <c r="G167" s="419"/>
      <c r="H167" s="419"/>
      <c r="I167" s="419"/>
      <c r="J167" s="419"/>
      <c r="K167" s="419"/>
      <c r="L167" s="419"/>
      <c r="M167" s="419"/>
      <c r="N167" s="419"/>
      <c r="O167" s="419"/>
      <c r="P167" s="419"/>
      <c r="Q167" s="419"/>
      <c r="R167" s="419"/>
      <c r="S167" s="419"/>
      <c r="T167" s="419"/>
      <c r="U167" s="419"/>
      <c r="V167" s="453"/>
      <c r="W167" s="419"/>
      <c r="X167" s="415"/>
    </row>
    <row r="168" spans="1:256" s="544" customFormat="1" x14ac:dyDescent="0.3">
      <c r="A168" s="555"/>
      <c r="B168" s="556" t="s">
        <v>52</v>
      </c>
      <c r="C168" s="556"/>
      <c r="D168" s="556"/>
      <c r="E168" s="556"/>
      <c r="F168" s="556"/>
      <c r="G168" s="556"/>
      <c r="H168" s="556"/>
      <c r="I168" s="556"/>
      <c r="J168" s="556"/>
      <c r="K168" s="556"/>
      <c r="L168" s="556"/>
      <c r="M168" s="556"/>
      <c r="N168" s="556"/>
      <c r="O168" s="556"/>
      <c r="P168" s="556"/>
      <c r="Q168" s="556"/>
      <c r="R168" s="556"/>
      <c r="S168" s="556"/>
      <c r="T168" s="556"/>
      <c r="U168" s="556"/>
      <c r="V168" s="599">
        <v>0</v>
      </c>
      <c r="W168" s="558"/>
      <c r="X168" s="543"/>
    </row>
    <row r="169" spans="1:256" s="544" customFormat="1" x14ac:dyDescent="0.3">
      <c r="A169" s="555"/>
      <c r="B169" s="556" t="s">
        <v>53</v>
      </c>
      <c r="C169" s="556"/>
      <c r="D169" s="556"/>
      <c r="E169" s="556"/>
      <c r="F169" s="556"/>
      <c r="G169" s="556"/>
      <c r="H169" s="556"/>
      <c r="I169" s="556"/>
      <c r="J169" s="556"/>
      <c r="K169" s="556"/>
      <c r="L169" s="556"/>
      <c r="M169" s="556"/>
      <c r="N169" s="556"/>
      <c r="O169" s="556"/>
      <c r="P169" s="556"/>
      <c r="Q169" s="556"/>
      <c r="R169" s="556"/>
      <c r="S169" s="556"/>
      <c r="T169" s="556"/>
      <c r="U169" s="556"/>
      <c r="V169" s="599">
        <v>62</v>
      </c>
      <c r="W169" s="558"/>
      <c r="X169" s="543"/>
    </row>
    <row r="170" spans="1:256" s="544" customFormat="1" x14ac:dyDescent="0.3">
      <c r="A170" s="555"/>
      <c r="B170" s="556" t="s">
        <v>54</v>
      </c>
      <c r="C170" s="556"/>
      <c r="D170" s="556"/>
      <c r="E170" s="556"/>
      <c r="F170" s="556"/>
      <c r="G170" s="556"/>
      <c r="H170" s="556"/>
      <c r="I170" s="556"/>
      <c r="J170" s="556"/>
      <c r="K170" s="556"/>
      <c r="L170" s="556"/>
      <c r="M170" s="556"/>
      <c r="N170" s="556"/>
      <c r="O170" s="556"/>
      <c r="P170" s="556"/>
      <c r="Q170" s="556"/>
      <c r="R170" s="556"/>
      <c r="S170" s="556"/>
      <c r="T170" s="556"/>
      <c r="U170" s="556"/>
      <c r="V170" s="599">
        <f>V169+V168</f>
        <v>62</v>
      </c>
      <c r="W170" s="558"/>
      <c r="X170" s="543"/>
    </row>
    <row r="171" spans="1:256" s="544" customFormat="1" x14ac:dyDescent="0.3">
      <c r="A171" s="555"/>
      <c r="B171" s="556" t="s">
        <v>315</v>
      </c>
      <c r="C171" s="556"/>
      <c r="D171" s="556"/>
      <c r="E171" s="556"/>
      <c r="F171" s="556"/>
      <c r="G171" s="556"/>
      <c r="H171" s="556"/>
      <c r="I171" s="556"/>
      <c r="J171" s="556"/>
      <c r="K171" s="556"/>
      <c r="L171" s="556"/>
      <c r="M171" s="556"/>
      <c r="N171" s="556"/>
      <c r="O171" s="556"/>
      <c r="P171" s="556"/>
      <c r="Q171" s="556"/>
      <c r="R171" s="556"/>
      <c r="S171" s="556"/>
      <c r="T171" s="556"/>
      <c r="U171" s="556"/>
      <c r="V171" s="599">
        <f>V114</f>
        <v>-62</v>
      </c>
      <c r="W171" s="558"/>
      <c r="X171" s="543"/>
    </row>
    <row r="172" spans="1:256" s="544" customFormat="1" x14ac:dyDescent="0.3">
      <c r="A172" s="555"/>
      <c r="B172" s="556" t="s">
        <v>55</v>
      </c>
      <c r="C172" s="556"/>
      <c r="D172" s="556"/>
      <c r="E172" s="556"/>
      <c r="F172" s="556"/>
      <c r="G172" s="556"/>
      <c r="H172" s="556"/>
      <c r="I172" s="556"/>
      <c r="J172" s="556"/>
      <c r="K172" s="556"/>
      <c r="L172" s="556"/>
      <c r="M172" s="556"/>
      <c r="N172" s="556"/>
      <c r="O172" s="556"/>
      <c r="P172" s="556"/>
      <c r="Q172" s="556"/>
      <c r="R172" s="556"/>
      <c r="S172" s="556"/>
      <c r="T172" s="556"/>
      <c r="U172" s="556"/>
      <c r="V172" s="599">
        <f>V170+V171</f>
        <v>0</v>
      </c>
      <c r="W172" s="558"/>
      <c r="X172" s="543"/>
    </row>
    <row r="173" spans="1:256" s="544" customFormat="1" x14ac:dyDescent="0.3">
      <c r="A173" s="555"/>
      <c r="B173" s="556" t="s">
        <v>283</v>
      </c>
      <c r="C173" s="556"/>
      <c r="D173" s="556"/>
      <c r="E173" s="556"/>
      <c r="F173" s="556"/>
      <c r="G173" s="556"/>
      <c r="H173" s="556"/>
      <c r="I173" s="556"/>
      <c r="J173" s="556"/>
      <c r="K173" s="556"/>
      <c r="L173" s="556"/>
      <c r="M173" s="556"/>
      <c r="N173" s="556"/>
      <c r="O173" s="556"/>
      <c r="P173" s="556"/>
      <c r="Q173" s="556"/>
      <c r="R173" s="556"/>
      <c r="S173" s="556"/>
      <c r="T173" s="556"/>
      <c r="U173" s="556"/>
      <c r="V173" s="599">
        <f>-V99</f>
        <v>97</v>
      </c>
      <c r="W173" s="558"/>
      <c r="X173" s="543"/>
    </row>
    <row r="174" spans="1:256" ht="16.2" thickBot="1" x14ac:dyDescent="0.35">
      <c r="A174" s="417"/>
      <c r="B174" s="437"/>
      <c r="C174" s="437"/>
      <c r="D174" s="437"/>
      <c r="E174" s="437"/>
      <c r="F174" s="437"/>
      <c r="G174" s="437"/>
      <c r="H174" s="437"/>
      <c r="I174" s="437"/>
      <c r="J174" s="437"/>
      <c r="K174" s="437"/>
      <c r="L174" s="437"/>
      <c r="M174" s="437"/>
      <c r="N174" s="437"/>
      <c r="O174" s="437"/>
      <c r="P174" s="437"/>
      <c r="Q174" s="437"/>
      <c r="R174" s="437"/>
      <c r="S174" s="437"/>
      <c r="T174" s="437"/>
      <c r="U174" s="437"/>
      <c r="V174" s="454"/>
      <c r="W174" s="437"/>
      <c r="X174" s="415"/>
    </row>
    <row r="175" spans="1:256" x14ac:dyDescent="0.3">
      <c r="A175" s="413"/>
      <c r="B175" s="455"/>
      <c r="C175" s="455"/>
      <c r="D175" s="455"/>
      <c r="E175" s="455"/>
      <c r="F175" s="455"/>
      <c r="G175" s="455"/>
      <c r="H175" s="455"/>
      <c r="I175" s="455"/>
      <c r="J175" s="455"/>
      <c r="K175" s="455"/>
      <c r="L175" s="455"/>
      <c r="M175" s="455"/>
      <c r="N175" s="455"/>
      <c r="O175" s="455"/>
      <c r="P175" s="455"/>
      <c r="Q175" s="455"/>
      <c r="R175" s="455"/>
      <c r="S175" s="455"/>
      <c r="T175" s="455"/>
      <c r="U175" s="455"/>
      <c r="V175" s="456"/>
      <c r="W175" s="455"/>
      <c r="X175" s="415"/>
    </row>
    <row r="176" spans="1:256" s="458" customFormat="1" x14ac:dyDescent="0.3">
      <c r="A176" s="417"/>
      <c r="B176" s="508" t="s">
        <v>269</v>
      </c>
      <c r="C176" s="441"/>
      <c r="D176" s="441"/>
      <c r="E176" s="441"/>
      <c r="F176" s="441"/>
      <c r="G176" s="441"/>
      <c r="H176" s="441"/>
      <c r="I176" s="441"/>
      <c r="J176" s="441"/>
      <c r="K176" s="441"/>
      <c r="L176" s="441"/>
      <c r="M176" s="441"/>
      <c r="N176" s="441"/>
      <c r="O176" s="441"/>
      <c r="P176" s="441"/>
      <c r="Q176" s="441"/>
      <c r="R176" s="441"/>
      <c r="S176" s="441"/>
      <c r="T176" s="441"/>
      <c r="U176" s="441"/>
      <c r="V176" s="457"/>
      <c r="W176" s="441"/>
      <c r="X176" s="415"/>
      <c r="Y176" s="416"/>
      <c r="Z176" s="416"/>
      <c r="AA176" s="416"/>
      <c r="AB176" s="416"/>
      <c r="AC176" s="416"/>
      <c r="AD176" s="416"/>
      <c r="AE176" s="416"/>
      <c r="AF176" s="416"/>
      <c r="AG176" s="416"/>
      <c r="AH176" s="416"/>
      <c r="AI176" s="416"/>
      <c r="AJ176" s="416"/>
      <c r="AK176" s="416"/>
      <c r="AL176" s="416"/>
      <c r="AM176" s="416"/>
      <c r="AN176" s="416"/>
      <c r="AO176" s="416"/>
      <c r="AP176" s="416"/>
      <c r="AQ176" s="416"/>
      <c r="AR176" s="416"/>
      <c r="AS176" s="416"/>
      <c r="AT176" s="416"/>
      <c r="AU176" s="416"/>
      <c r="AV176" s="416"/>
      <c r="AW176" s="416"/>
      <c r="AX176" s="416"/>
      <c r="AY176" s="416"/>
      <c r="AZ176" s="416"/>
      <c r="BA176" s="416"/>
      <c r="BB176" s="416"/>
      <c r="BC176" s="416"/>
      <c r="BD176" s="416"/>
      <c r="BE176" s="416"/>
      <c r="BF176" s="416"/>
      <c r="BG176" s="416"/>
      <c r="BH176" s="416"/>
      <c r="BI176" s="416"/>
      <c r="BJ176" s="416"/>
      <c r="BK176" s="416"/>
      <c r="BL176" s="416"/>
      <c r="BM176" s="416"/>
      <c r="BN176" s="416"/>
      <c r="BO176" s="416"/>
      <c r="BP176" s="416"/>
      <c r="BQ176" s="416"/>
      <c r="BR176" s="416"/>
      <c r="BS176" s="416"/>
      <c r="BT176" s="416"/>
      <c r="BU176" s="416"/>
      <c r="BV176" s="416"/>
      <c r="BW176" s="416"/>
      <c r="BX176" s="416"/>
      <c r="BY176" s="416"/>
      <c r="BZ176" s="416"/>
      <c r="CA176" s="416"/>
      <c r="CB176" s="416"/>
      <c r="CC176" s="416"/>
      <c r="CD176" s="416"/>
      <c r="CE176" s="416"/>
      <c r="CF176" s="416"/>
      <c r="CG176" s="416"/>
      <c r="CH176" s="416"/>
      <c r="CI176" s="416"/>
      <c r="CJ176" s="416"/>
      <c r="CK176" s="416"/>
      <c r="CL176" s="416"/>
      <c r="CM176" s="416"/>
      <c r="CN176" s="416"/>
      <c r="CO176" s="416"/>
      <c r="CP176" s="416"/>
      <c r="CQ176" s="416"/>
      <c r="CR176" s="416"/>
      <c r="CS176" s="416"/>
      <c r="CT176" s="416"/>
      <c r="CU176" s="416"/>
      <c r="CV176" s="416"/>
      <c r="CW176" s="416"/>
      <c r="CX176" s="416"/>
      <c r="CY176" s="416"/>
      <c r="CZ176" s="416"/>
      <c r="DA176" s="416"/>
      <c r="DB176" s="416"/>
      <c r="DC176" s="416"/>
      <c r="DD176" s="416"/>
      <c r="DE176" s="416"/>
      <c r="DF176" s="416"/>
      <c r="DG176" s="416"/>
      <c r="DH176" s="416"/>
      <c r="DI176" s="416"/>
      <c r="DJ176" s="416"/>
      <c r="DK176" s="416"/>
      <c r="DL176" s="416"/>
      <c r="DM176" s="416"/>
      <c r="DN176" s="416"/>
      <c r="DO176" s="416"/>
      <c r="DP176" s="416"/>
      <c r="DQ176" s="416"/>
      <c r="DR176" s="416"/>
      <c r="DS176" s="416"/>
      <c r="DT176" s="416"/>
      <c r="DU176" s="416"/>
      <c r="DV176" s="416"/>
      <c r="DW176" s="416"/>
      <c r="DX176" s="416"/>
      <c r="DY176" s="416"/>
      <c r="DZ176" s="416"/>
      <c r="EA176" s="416"/>
      <c r="EB176" s="416"/>
      <c r="EC176" s="416"/>
      <c r="ED176" s="416"/>
      <c r="EE176" s="416"/>
      <c r="EF176" s="416"/>
      <c r="EG176" s="416"/>
      <c r="EH176" s="416"/>
      <c r="EI176" s="416"/>
      <c r="EJ176" s="416"/>
      <c r="EK176" s="416"/>
      <c r="EL176" s="416"/>
      <c r="EM176" s="416"/>
      <c r="EN176" s="416"/>
      <c r="EO176" s="416"/>
      <c r="EP176" s="416"/>
      <c r="EQ176" s="416"/>
      <c r="ER176" s="416"/>
      <c r="ES176" s="416"/>
      <c r="ET176" s="416"/>
      <c r="EU176" s="416"/>
      <c r="EV176" s="416"/>
      <c r="EW176" s="416"/>
      <c r="EX176" s="416"/>
      <c r="EY176" s="416"/>
      <c r="EZ176" s="416"/>
      <c r="FA176" s="416"/>
      <c r="FB176" s="416"/>
      <c r="FC176" s="416"/>
      <c r="FD176" s="416"/>
      <c r="FE176" s="416"/>
      <c r="FF176" s="416"/>
      <c r="FG176" s="416"/>
      <c r="FH176" s="416"/>
      <c r="FI176" s="416"/>
      <c r="FJ176" s="416"/>
      <c r="FK176" s="416"/>
      <c r="FL176" s="416"/>
      <c r="FM176" s="416"/>
      <c r="FN176" s="416"/>
      <c r="FO176" s="416"/>
      <c r="FP176" s="416"/>
      <c r="FQ176" s="416"/>
      <c r="FR176" s="416"/>
      <c r="FS176" s="416"/>
      <c r="FT176" s="416"/>
      <c r="FU176" s="416"/>
      <c r="FV176" s="416"/>
      <c r="FW176" s="416"/>
      <c r="FX176" s="416"/>
      <c r="FY176" s="416"/>
      <c r="FZ176" s="416"/>
      <c r="GA176" s="416"/>
      <c r="GB176" s="416"/>
      <c r="GC176" s="416"/>
      <c r="GD176" s="416"/>
      <c r="GE176" s="416"/>
      <c r="GF176" s="416"/>
      <c r="GG176" s="416"/>
      <c r="GH176" s="416"/>
      <c r="GI176" s="416"/>
      <c r="GJ176" s="416"/>
      <c r="GK176" s="416"/>
      <c r="GL176" s="416"/>
      <c r="GM176" s="416"/>
      <c r="GN176" s="416"/>
      <c r="GO176" s="416"/>
      <c r="GP176" s="416"/>
      <c r="GQ176" s="416"/>
      <c r="GR176" s="416"/>
      <c r="GS176" s="416"/>
      <c r="GT176" s="416"/>
      <c r="GU176" s="416"/>
      <c r="GV176" s="416"/>
      <c r="GW176" s="416"/>
      <c r="GX176" s="416"/>
      <c r="GY176" s="416"/>
      <c r="GZ176" s="416"/>
      <c r="HA176" s="416"/>
      <c r="HB176" s="416"/>
      <c r="HC176" s="416"/>
      <c r="HD176" s="416"/>
      <c r="HE176" s="416"/>
      <c r="HF176" s="416"/>
      <c r="HG176" s="416"/>
      <c r="HH176" s="416"/>
      <c r="HI176" s="416"/>
      <c r="HJ176" s="416"/>
      <c r="HK176" s="416"/>
      <c r="HL176" s="416"/>
      <c r="HM176" s="416"/>
      <c r="HN176" s="416"/>
      <c r="HO176" s="416"/>
      <c r="HP176" s="416"/>
      <c r="HQ176" s="416"/>
      <c r="HR176" s="416"/>
      <c r="HS176" s="416"/>
      <c r="HT176" s="416"/>
      <c r="HU176" s="416"/>
      <c r="HV176" s="416"/>
      <c r="HW176" s="416"/>
      <c r="HX176" s="416"/>
      <c r="HY176" s="416"/>
      <c r="HZ176" s="416"/>
      <c r="IA176" s="416"/>
      <c r="IB176" s="416"/>
      <c r="IC176" s="416"/>
      <c r="ID176" s="416"/>
      <c r="IE176" s="416"/>
      <c r="IF176" s="416"/>
      <c r="IG176" s="416"/>
      <c r="IH176" s="416"/>
      <c r="II176" s="416"/>
      <c r="IJ176" s="416"/>
      <c r="IK176" s="416"/>
      <c r="IL176" s="416"/>
      <c r="IM176" s="416"/>
      <c r="IN176" s="416"/>
      <c r="IO176" s="416"/>
      <c r="IP176" s="416"/>
      <c r="IQ176" s="416"/>
      <c r="IR176" s="416"/>
      <c r="IS176" s="416"/>
      <c r="IT176" s="416"/>
      <c r="IU176" s="416"/>
      <c r="IV176" s="416"/>
    </row>
    <row r="177" spans="1:256" s="609" customFormat="1" x14ac:dyDescent="0.3">
      <c r="A177" s="555"/>
      <c r="B177" s="556" t="s">
        <v>270</v>
      </c>
      <c r="C177" s="556"/>
      <c r="D177" s="556"/>
      <c r="E177" s="556"/>
      <c r="F177" s="556"/>
      <c r="G177" s="556"/>
      <c r="H177" s="556"/>
      <c r="I177" s="556"/>
      <c r="J177" s="556"/>
      <c r="K177" s="556"/>
      <c r="L177" s="556"/>
      <c r="M177" s="556"/>
      <c r="N177" s="556"/>
      <c r="O177" s="556"/>
      <c r="P177" s="556"/>
      <c r="Q177" s="556"/>
      <c r="R177" s="556"/>
      <c r="S177" s="556"/>
      <c r="T177" s="556"/>
      <c r="U177" s="556"/>
      <c r="V177" s="599">
        <f>+'Aug 08'!V177</f>
        <v>0</v>
      </c>
      <c r="W177" s="558"/>
      <c r="X177" s="543"/>
      <c r="Y177" s="544"/>
      <c r="Z177" s="544"/>
      <c r="AA177" s="544"/>
      <c r="AB177" s="544"/>
      <c r="AC177" s="544"/>
      <c r="AD177" s="544"/>
      <c r="AE177" s="544"/>
      <c r="AF177" s="544"/>
      <c r="AG177" s="544"/>
      <c r="AH177" s="544"/>
      <c r="AI177" s="544"/>
      <c r="AJ177" s="544"/>
      <c r="AK177" s="544"/>
      <c r="AL177" s="544"/>
      <c r="AM177" s="544"/>
      <c r="AN177" s="544"/>
      <c r="AO177" s="544"/>
      <c r="AP177" s="544"/>
      <c r="AQ177" s="544"/>
      <c r="AR177" s="544"/>
      <c r="AS177" s="544"/>
      <c r="AT177" s="544"/>
      <c r="AU177" s="544"/>
      <c r="AV177" s="544"/>
      <c r="AW177" s="544"/>
      <c r="AX177" s="544"/>
      <c r="AY177" s="544"/>
      <c r="AZ177" s="544"/>
      <c r="BA177" s="544"/>
      <c r="BB177" s="544"/>
      <c r="BC177" s="544"/>
      <c r="BD177" s="544"/>
      <c r="BE177" s="544"/>
      <c r="BF177" s="544"/>
      <c r="BG177" s="544"/>
      <c r="BH177" s="544"/>
      <c r="BI177" s="544"/>
      <c r="BJ177" s="544"/>
      <c r="BK177" s="544"/>
      <c r="BL177" s="544"/>
      <c r="BM177" s="544"/>
      <c r="BN177" s="544"/>
      <c r="BO177" s="544"/>
      <c r="BP177" s="544"/>
      <c r="BQ177" s="544"/>
      <c r="BR177" s="544"/>
      <c r="BS177" s="544"/>
      <c r="BT177" s="544"/>
      <c r="BU177" s="544"/>
      <c r="BV177" s="544"/>
      <c r="BW177" s="544"/>
      <c r="BX177" s="544"/>
      <c r="BY177" s="544"/>
      <c r="BZ177" s="544"/>
      <c r="CA177" s="544"/>
      <c r="CB177" s="544"/>
      <c r="CC177" s="544"/>
      <c r="CD177" s="544"/>
      <c r="CE177" s="544"/>
      <c r="CF177" s="544"/>
      <c r="CG177" s="544"/>
      <c r="CH177" s="544"/>
      <c r="CI177" s="544"/>
      <c r="CJ177" s="544"/>
      <c r="CK177" s="544"/>
      <c r="CL177" s="544"/>
      <c r="CM177" s="544"/>
      <c r="CN177" s="544"/>
      <c r="CO177" s="544"/>
      <c r="CP177" s="544"/>
      <c r="CQ177" s="544"/>
      <c r="CR177" s="544"/>
      <c r="CS177" s="544"/>
      <c r="CT177" s="544"/>
      <c r="CU177" s="544"/>
      <c r="CV177" s="544"/>
      <c r="CW177" s="544"/>
      <c r="CX177" s="544"/>
      <c r="CY177" s="544"/>
      <c r="CZ177" s="544"/>
      <c r="DA177" s="544"/>
      <c r="DB177" s="544"/>
      <c r="DC177" s="544"/>
      <c r="DD177" s="544"/>
      <c r="DE177" s="544"/>
      <c r="DF177" s="544"/>
      <c r="DG177" s="544"/>
      <c r="DH177" s="544"/>
      <c r="DI177" s="544"/>
      <c r="DJ177" s="544"/>
      <c r="DK177" s="544"/>
      <c r="DL177" s="544"/>
      <c r="DM177" s="544"/>
      <c r="DN177" s="544"/>
      <c r="DO177" s="544"/>
      <c r="DP177" s="544"/>
      <c r="DQ177" s="544"/>
      <c r="DR177" s="544"/>
      <c r="DS177" s="544"/>
      <c r="DT177" s="544"/>
      <c r="DU177" s="544"/>
      <c r="DV177" s="544"/>
      <c r="DW177" s="544"/>
      <c r="DX177" s="544"/>
      <c r="DY177" s="544"/>
      <c r="DZ177" s="544"/>
      <c r="EA177" s="544"/>
      <c r="EB177" s="544"/>
      <c r="EC177" s="544"/>
      <c r="ED177" s="544"/>
      <c r="EE177" s="544"/>
      <c r="EF177" s="544"/>
      <c r="EG177" s="544"/>
      <c r="EH177" s="544"/>
      <c r="EI177" s="544"/>
      <c r="EJ177" s="544"/>
      <c r="EK177" s="544"/>
      <c r="EL177" s="544"/>
      <c r="EM177" s="544"/>
      <c r="EN177" s="544"/>
      <c r="EO177" s="544"/>
      <c r="EP177" s="544"/>
      <c r="EQ177" s="544"/>
      <c r="ER177" s="544"/>
      <c r="ES177" s="544"/>
      <c r="ET177" s="544"/>
      <c r="EU177" s="544"/>
      <c r="EV177" s="544"/>
      <c r="EW177" s="544"/>
      <c r="EX177" s="544"/>
      <c r="EY177" s="544"/>
      <c r="EZ177" s="544"/>
      <c r="FA177" s="544"/>
      <c r="FB177" s="544"/>
      <c r="FC177" s="544"/>
      <c r="FD177" s="544"/>
      <c r="FE177" s="544"/>
      <c r="FF177" s="544"/>
      <c r="FG177" s="544"/>
      <c r="FH177" s="544"/>
      <c r="FI177" s="544"/>
      <c r="FJ177" s="544"/>
      <c r="FK177" s="544"/>
      <c r="FL177" s="544"/>
      <c r="FM177" s="544"/>
      <c r="FN177" s="544"/>
      <c r="FO177" s="544"/>
      <c r="FP177" s="544"/>
      <c r="FQ177" s="544"/>
      <c r="FR177" s="544"/>
      <c r="FS177" s="544"/>
      <c r="FT177" s="544"/>
      <c r="FU177" s="544"/>
      <c r="FV177" s="544"/>
      <c r="FW177" s="544"/>
      <c r="FX177" s="544"/>
      <c r="FY177" s="544"/>
      <c r="FZ177" s="544"/>
      <c r="GA177" s="544"/>
      <c r="GB177" s="544"/>
      <c r="GC177" s="544"/>
      <c r="GD177" s="544"/>
      <c r="GE177" s="544"/>
      <c r="GF177" s="544"/>
      <c r="GG177" s="544"/>
      <c r="GH177" s="544"/>
      <c r="GI177" s="544"/>
      <c r="GJ177" s="544"/>
      <c r="GK177" s="544"/>
      <c r="GL177" s="544"/>
      <c r="GM177" s="544"/>
      <c r="GN177" s="544"/>
      <c r="GO177" s="544"/>
      <c r="GP177" s="544"/>
      <c r="GQ177" s="544"/>
      <c r="GR177" s="544"/>
      <c r="GS177" s="544"/>
      <c r="GT177" s="544"/>
      <c r="GU177" s="544"/>
      <c r="GV177" s="544"/>
      <c r="GW177" s="544"/>
      <c r="GX177" s="544"/>
      <c r="GY177" s="544"/>
      <c r="GZ177" s="544"/>
      <c r="HA177" s="544"/>
      <c r="HB177" s="544"/>
      <c r="HC177" s="544"/>
      <c r="HD177" s="544"/>
      <c r="HE177" s="544"/>
      <c r="HF177" s="544"/>
      <c r="HG177" s="544"/>
      <c r="HH177" s="544"/>
      <c r="HI177" s="544"/>
      <c r="HJ177" s="544"/>
      <c r="HK177" s="544"/>
      <c r="HL177" s="544"/>
      <c r="HM177" s="544"/>
      <c r="HN177" s="544"/>
      <c r="HO177" s="544"/>
      <c r="HP177" s="544"/>
      <c r="HQ177" s="544"/>
      <c r="HR177" s="544"/>
      <c r="HS177" s="544"/>
      <c r="HT177" s="544"/>
      <c r="HU177" s="544"/>
      <c r="HV177" s="544"/>
      <c r="HW177" s="544"/>
      <c r="HX177" s="544"/>
      <c r="HY177" s="544"/>
      <c r="HZ177" s="544"/>
      <c r="IA177" s="544"/>
      <c r="IB177" s="544"/>
      <c r="IC177" s="544"/>
      <c r="ID177" s="544"/>
      <c r="IE177" s="544"/>
      <c r="IF177" s="544"/>
      <c r="IG177" s="544"/>
      <c r="IH177" s="544"/>
      <c r="II177" s="544"/>
      <c r="IJ177" s="544"/>
      <c r="IK177" s="544"/>
      <c r="IL177" s="544"/>
      <c r="IM177" s="544"/>
      <c r="IN177" s="544"/>
      <c r="IO177" s="544"/>
      <c r="IP177" s="544"/>
      <c r="IQ177" s="544"/>
      <c r="IR177" s="544"/>
      <c r="IS177" s="544"/>
      <c r="IT177" s="544"/>
      <c r="IU177" s="544"/>
      <c r="IV177" s="544"/>
    </row>
    <row r="178" spans="1:256" s="609" customFormat="1" x14ac:dyDescent="0.3">
      <c r="A178" s="555"/>
      <c r="B178" s="556" t="s">
        <v>273</v>
      </c>
      <c r="C178" s="556"/>
      <c r="D178" s="556"/>
      <c r="E178" s="556"/>
      <c r="F178" s="556"/>
      <c r="G178" s="556"/>
      <c r="H178" s="556"/>
      <c r="I178" s="556"/>
      <c r="J178" s="556"/>
      <c r="K178" s="556"/>
      <c r="L178" s="556"/>
      <c r="M178" s="556"/>
      <c r="N178" s="556"/>
      <c r="O178" s="556"/>
      <c r="P178" s="556"/>
      <c r="Q178" s="556"/>
      <c r="R178" s="556"/>
      <c r="S178" s="556"/>
      <c r="T178" s="556"/>
      <c r="U178" s="556"/>
      <c r="V178" s="599">
        <f>+V93</f>
        <v>0</v>
      </c>
      <c r="W178" s="558"/>
      <c r="X178" s="543"/>
      <c r="Y178" s="544"/>
      <c r="Z178" s="544"/>
      <c r="AA178" s="544"/>
      <c r="AB178" s="544"/>
      <c r="AC178" s="544"/>
      <c r="AD178" s="544"/>
      <c r="AE178" s="544"/>
      <c r="AF178" s="544"/>
      <c r="AG178" s="544"/>
      <c r="AH178" s="544"/>
      <c r="AI178" s="544"/>
      <c r="AJ178" s="544"/>
      <c r="AK178" s="544"/>
      <c r="AL178" s="544"/>
      <c r="AM178" s="544"/>
      <c r="AN178" s="544"/>
      <c r="AO178" s="544"/>
      <c r="AP178" s="544"/>
      <c r="AQ178" s="544"/>
      <c r="AR178" s="544"/>
      <c r="AS178" s="544"/>
      <c r="AT178" s="544"/>
      <c r="AU178" s="544"/>
      <c r="AV178" s="544"/>
      <c r="AW178" s="544"/>
      <c r="AX178" s="544"/>
      <c r="AY178" s="544"/>
      <c r="AZ178" s="544"/>
      <c r="BA178" s="544"/>
      <c r="BB178" s="544"/>
      <c r="BC178" s="544"/>
      <c r="BD178" s="544"/>
      <c r="BE178" s="544"/>
      <c r="BF178" s="544"/>
      <c r="BG178" s="544"/>
      <c r="BH178" s="544"/>
      <c r="BI178" s="544"/>
      <c r="BJ178" s="544"/>
      <c r="BK178" s="544"/>
      <c r="BL178" s="544"/>
      <c r="BM178" s="544"/>
      <c r="BN178" s="544"/>
      <c r="BO178" s="544"/>
      <c r="BP178" s="544"/>
      <c r="BQ178" s="544"/>
      <c r="BR178" s="544"/>
      <c r="BS178" s="544"/>
      <c r="BT178" s="544"/>
      <c r="BU178" s="544"/>
      <c r="BV178" s="544"/>
      <c r="BW178" s="544"/>
      <c r="BX178" s="544"/>
      <c r="BY178" s="544"/>
      <c r="BZ178" s="544"/>
      <c r="CA178" s="544"/>
      <c r="CB178" s="544"/>
      <c r="CC178" s="544"/>
      <c r="CD178" s="544"/>
      <c r="CE178" s="544"/>
      <c r="CF178" s="544"/>
      <c r="CG178" s="544"/>
      <c r="CH178" s="544"/>
      <c r="CI178" s="544"/>
      <c r="CJ178" s="544"/>
      <c r="CK178" s="544"/>
      <c r="CL178" s="544"/>
      <c r="CM178" s="544"/>
      <c r="CN178" s="544"/>
      <c r="CO178" s="544"/>
      <c r="CP178" s="544"/>
      <c r="CQ178" s="544"/>
      <c r="CR178" s="544"/>
      <c r="CS178" s="544"/>
      <c r="CT178" s="544"/>
      <c r="CU178" s="544"/>
      <c r="CV178" s="544"/>
      <c r="CW178" s="544"/>
      <c r="CX178" s="544"/>
      <c r="CY178" s="544"/>
      <c r="CZ178" s="544"/>
      <c r="DA178" s="544"/>
      <c r="DB178" s="544"/>
      <c r="DC178" s="544"/>
      <c r="DD178" s="544"/>
      <c r="DE178" s="544"/>
      <c r="DF178" s="544"/>
      <c r="DG178" s="544"/>
      <c r="DH178" s="544"/>
      <c r="DI178" s="544"/>
      <c r="DJ178" s="544"/>
      <c r="DK178" s="544"/>
      <c r="DL178" s="544"/>
      <c r="DM178" s="544"/>
      <c r="DN178" s="544"/>
      <c r="DO178" s="544"/>
      <c r="DP178" s="544"/>
      <c r="DQ178" s="544"/>
      <c r="DR178" s="544"/>
      <c r="DS178" s="544"/>
      <c r="DT178" s="544"/>
      <c r="DU178" s="544"/>
      <c r="DV178" s="544"/>
      <c r="DW178" s="544"/>
      <c r="DX178" s="544"/>
      <c r="DY178" s="544"/>
      <c r="DZ178" s="544"/>
      <c r="EA178" s="544"/>
      <c r="EB178" s="544"/>
      <c r="EC178" s="544"/>
      <c r="ED178" s="544"/>
      <c r="EE178" s="544"/>
      <c r="EF178" s="544"/>
      <c r="EG178" s="544"/>
      <c r="EH178" s="544"/>
      <c r="EI178" s="544"/>
      <c r="EJ178" s="544"/>
      <c r="EK178" s="544"/>
      <c r="EL178" s="544"/>
      <c r="EM178" s="544"/>
      <c r="EN178" s="544"/>
      <c r="EO178" s="544"/>
      <c r="EP178" s="544"/>
      <c r="EQ178" s="544"/>
      <c r="ER178" s="544"/>
      <c r="ES178" s="544"/>
      <c r="ET178" s="544"/>
      <c r="EU178" s="544"/>
      <c r="EV178" s="544"/>
      <c r="EW178" s="544"/>
      <c r="EX178" s="544"/>
      <c r="EY178" s="544"/>
      <c r="EZ178" s="544"/>
      <c r="FA178" s="544"/>
      <c r="FB178" s="544"/>
      <c r="FC178" s="544"/>
      <c r="FD178" s="544"/>
      <c r="FE178" s="544"/>
      <c r="FF178" s="544"/>
      <c r="FG178" s="544"/>
      <c r="FH178" s="544"/>
      <c r="FI178" s="544"/>
      <c r="FJ178" s="544"/>
      <c r="FK178" s="544"/>
      <c r="FL178" s="544"/>
      <c r="FM178" s="544"/>
      <c r="FN178" s="544"/>
      <c r="FO178" s="544"/>
      <c r="FP178" s="544"/>
      <c r="FQ178" s="544"/>
      <c r="FR178" s="544"/>
      <c r="FS178" s="544"/>
      <c r="FT178" s="544"/>
      <c r="FU178" s="544"/>
      <c r="FV178" s="544"/>
      <c r="FW178" s="544"/>
      <c r="FX178" s="544"/>
      <c r="FY178" s="544"/>
      <c r="FZ178" s="544"/>
      <c r="GA178" s="544"/>
      <c r="GB178" s="544"/>
      <c r="GC178" s="544"/>
      <c r="GD178" s="544"/>
      <c r="GE178" s="544"/>
      <c r="GF178" s="544"/>
      <c r="GG178" s="544"/>
      <c r="GH178" s="544"/>
      <c r="GI178" s="544"/>
      <c r="GJ178" s="544"/>
      <c r="GK178" s="544"/>
      <c r="GL178" s="544"/>
      <c r="GM178" s="544"/>
      <c r="GN178" s="544"/>
      <c r="GO178" s="544"/>
      <c r="GP178" s="544"/>
      <c r="GQ178" s="544"/>
      <c r="GR178" s="544"/>
      <c r="GS178" s="544"/>
      <c r="GT178" s="544"/>
      <c r="GU178" s="544"/>
      <c r="GV178" s="544"/>
      <c r="GW178" s="544"/>
      <c r="GX178" s="544"/>
      <c r="GY178" s="544"/>
      <c r="GZ178" s="544"/>
      <c r="HA178" s="544"/>
      <c r="HB178" s="544"/>
      <c r="HC178" s="544"/>
      <c r="HD178" s="544"/>
      <c r="HE178" s="544"/>
      <c r="HF178" s="544"/>
      <c r="HG178" s="544"/>
      <c r="HH178" s="544"/>
      <c r="HI178" s="544"/>
      <c r="HJ178" s="544"/>
      <c r="HK178" s="544"/>
      <c r="HL178" s="544"/>
      <c r="HM178" s="544"/>
      <c r="HN178" s="544"/>
      <c r="HO178" s="544"/>
      <c r="HP178" s="544"/>
      <c r="HQ178" s="544"/>
      <c r="HR178" s="544"/>
      <c r="HS178" s="544"/>
      <c r="HT178" s="544"/>
      <c r="HU178" s="544"/>
      <c r="HV178" s="544"/>
      <c r="HW178" s="544"/>
      <c r="HX178" s="544"/>
      <c r="HY178" s="544"/>
      <c r="HZ178" s="544"/>
      <c r="IA178" s="544"/>
      <c r="IB178" s="544"/>
      <c r="IC178" s="544"/>
      <c r="ID178" s="544"/>
      <c r="IE178" s="544"/>
      <c r="IF178" s="544"/>
      <c r="IG178" s="544"/>
      <c r="IH178" s="544"/>
      <c r="II178" s="544"/>
      <c r="IJ178" s="544"/>
      <c r="IK178" s="544"/>
      <c r="IL178" s="544"/>
      <c r="IM178" s="544"/>
      <c r="IN178" s="544"/>
      <c r="IO178" s="544"/>
      <c r="IP178" s="544"/>
      <c r="IQ178" s="544"/>
      <c r="IR178" s="544"/>
      <c r="IS178" s="544"/>
      <c r="IT178" s="544"/>
      <c r="IU178" s="544"/>
      <c r="IV178" s="544"/>
    </row>
    <row r="179" spans="1:256" s="609" customFormat="1" x14ac:dyDescent="0.3">
      <c r="A179" s="555"/>
      <c r="B179" s="556" t="s">
        <v>271</v>
      </c>
      <c r="C179" s="556"/>
      <c r="D179" s="556"/>
      <c r="E179" s="556"/>
      <c r="F179" s="556"/>
      <c r="G179" s="556"/>
      <c r="H179" s="556"/>
      <c r="I179" s="556"/>
      <c r="J179" s="556"/>
      <c r="K179" s="556"/>
      <c r="L179" s="556"/>
      <c r="M179" s="556"/>
      <c r="N179" s="556"/>
      <c r="O179" s="556"/>
      <c r="P179" s="556"/>
      <c r="Q179" s="556"/>
      <c r="R179" s="556"/>
      <c r="S179" s="556"/>
      <c r="T179" s="556"/>
      <c r="U179" s="556"/>
      <c r="V179" s="599">
        <f>+V177-V178</f>
        <v>0</v>
      </c>
      <c r="W179" s="558"/>
      <c r="X179" s="543"/>
      <c r="Y179" s="544"/>
      <c r="Z179" s="544"/>
      <c r="AA179" s="544"/>
      <c r="AB179" s="544"/>
      <c r="AC179" s="544"/>
      <c r="AD179" s="544"/>
      <c r="AE179" s="544"/>
      <c r="AF179" s="544"/>
      <c r="AG179" s="544"/>
      <c r="AH179" s="544"/>
      <c r="AI179" s="544"/>
      <c r="AJ179" s="544"/>
      <c r="AK179" s="544"/>
      <c r="AL179" s="544"/>
      <c r="AM179" s="544"/>
      <c r="AN179" s="544"/>
      <c r="AO179" s="544"/>
      <c r="AP179" s="544"/>
      <c r="AQ179" s="544"/>
      <c r="AR179" s="544"/>
      <c r="AS179" s="544"/>
      <c r="AT179" s="544"/>
      <c r="AU179" s="544"/>
      <c r="AV179" s="544"/>
      <c r="AW179" s="544"/>
      <c r="AX179" s="544"/>
      <c r="AY179" s="544"/>
      <c r="AZ179" s="544"/>
      <c r="BA179" s="544"/>
      <c r="BB179" s="544"/>
      <c r="BC179" s="544"/>
      <c r="BD179" s="544"/>
      <c r="BE179" s="544"/>
      <c r="BF179" s="544"/>
      <c r="BG179" s="544"/>
      <c r="BH179" s="544"/>
      <c r="BI179" s="544"/>
      <c r="BJ179" s="544"/>
      <c r="BK179" s="544"/>
      <c r="BL179" s="544"/>
      <c r="BM179" s="544"/>
      <c r="BN179" s="544"/>
      <c r="BO179" s="544"/>
      <c r="BP179" s="544"/>
      <c r="BQ179" s="544"/>
      <c r="BR179" s="544"/>
      <c r="BS179" s="544"/>
      <c r="BT179" s="544"/>
      <c r="BU179" s="544"/>
      <c r="BV179" s="544"/>
      <c r="BW179" s="544"/>
      <c r="BX179" s="544"/>
      <c r="BY179" s="544"/>
      <c r="BZ179" s="544"/>
      <c r="CA179" s="544"/>
      <c r="CB179" s="544"/>
      <c r="CC179" s="544"/>
      <c r="CD179" s="544"/>
      <c r="CE179" s="544"/>
      <c r="CF179" s="544"/>
      <c r="CG179" s="544"/>
      <c r="CH179" s="544"/>
      <c r="CI179" s="544"/>
      <c r="CJ179" s="544"/>
      <c r="CK179" s="544"/>
      <c r="CL179" s="544"/>
      <c r="CM179" s="544"/>
      <c r="CN179" s="544"/>
      <c r="CO179" s="544"/>
      <c r="CP179" s="544"/>
      <c r="CQ179" s="544"/>
      <c r="CR179" s="544"/>
      <c r="CS179" s="544"/>
      <c r="CT179" s="544"/>
      <c r="CU179" s="544"/>
      <c r="CV179" s="544"/>
      <c r="CW179" s="544"/>
      <c r="CX179" s="544"/>
      <c r="CY179" s="544"/>
      <c r="CZ179" s="544"/>
      <c r="DA179" s="544"/>
      <c r="DB179" s="544"/>
      <c r="DC179" s="544"/>
      <c r="DD179" s="544"/>
      <c r="DE179" s="544"/>
      <c r="DF179" s="544"/>
      <c r="DG179" s="544"/>
      <c r="DH179" s="544"/>
      <c r="DI179" s="544"/>
      <c r="DJ179" s="544"/>
      <c r="DK179" s="544"/>
      <c r="DL179" s="544"/>
      <c r="DM179" s="544"/>
      <c r="DN179" s="544"/>
      <c r="DO179" s="544"/>
      <c r="DP179" s="544"/>
      <c r="DQ179" s="544"/>
      <c r="DR179" s="544"/>
      <c r="DS179" s="544"/>
      <c r="DT179" s="544"/>
      <c r="DU179" s="544"/>
      <c r="DV179" s="544"/>
      <c r="DW179" s="544"/>
      <c r="DX179" s="544"/>
      <c r="DY179" s="544"/>
      <c r="DZ179" s="544"/>
      <c r="EA179" s="544"/>
      <c r="EB179" s="544"/>
      <c r="EC179" s="544"/>
      <c r="ED179" s="544"/>
      <c r="EE179" s="544"/>
      <c r="EF179" s="544"/>
      <c r="EG179" s="544"/>
      <c r="EH179" s="544"/>
      <c r="EI179" s="544"/>
      <c r="EJ179" s="544"/>
      <c r="EK179" s="544"/>
      <c r="EL179" s="544"/>
      <c r="EM179" s="544"/>
      <c r="EN179" s="544"/>
      <c r="EO179" s="544"/>
      <c r="EP179" s="544"/>
      <c r="EQ179" s="544"/>
      <c r="ER179" s="544"/>
      <c r="ES179" s="544"/>
      <c r="ET179" s="544"/>
      <c r="EU179" s="544"/>
      <c r="EV179" s="544"/>
      <c r="EW179" s="544"/>
      <c r="EX179" s="544"/>
      <c r="EY179" s="544"/>
      <c r="EZ179" s="544"/>
      <c r="FA179" s="544"/>
      <c r="FB179" s="544"/>
      <c r="FC179" s="544"/>
      <c r="FD179" s="544"/>
      <c r="FE179" s="544"/>
      <c r="FF179" s="544"/>
      <c r="FG179" s="544"/>
      <c r="FH179" s="544"/>
      <c r="FI179" s="544"/>
      <c r="FJ179" s="544"/>
      <c r="FK179" s="544"/>
      <c r="FL179" s="544"/>
      <c r="FM179" s="544"/>
      <c r="FN179" s="544"/>
      <c r="FO179" s="544"/>
      <c r="FP179" s="544"/>
      <c r="FQ179" s="544"/>
      <c r="FR179" s="544"/>
      <c r="FS179" s="544"/>
      <c r="FT179" s="544"/>
      <c r="FU179" s="544"/>
      <c r="FV179" s="544"/>
      <c r="FW179" s="544"/>
      <c r="FX179" s="544"/>
      <c r="FY179" s="544"/>
      <c r="FZ179" s="544"/>
      <c r="GA179" s="544"/>
      <c r="GB179" s="544"/>
      <c r="GC179" s="544"/>
      <c r="GD179" s="544"/>
      <c r="GE179" s="544"/>
      <c r="GF179" s="544"/>
      <c r="GG179" s="544"/>
      <c r="GH179" s="544"/>
      <c r="GI179" s="544"/>
      <c r="GJ179" s="544"/>
      <c r="GK179" s="544"/>
      <c r="GL179" s="544"/>
      <c r="GM179" s="544"/>
      <c r="GN179" s="544"/>
      <c r="GO179" s="544"/>
      <c r="GP179" s="544"/>
      <c r="GQ179" s="544"/>
      <c r="GR179" s="544"/>
      <c r="GS179" s="544"/>
      <c r="GT179" s="544"/>
      <c r="GU179" s="544"/>
      <c r="GV179" s="544"/>
      <c r="GW179" s="544"/>
      <c r="GX179" s="544"/>
      <c r="GY179" s="544"/>
      <c r="GZ179" s="544"/>
      <c r="HA179" s="544"/>
      <c r="HB179" s="544"/>
      <c r="HC179" s="544"/>
      <c r="HD179" s="544"/>
      <c r="HE179" s="544"/>
      <c r="HF179" s="544"/>
      <c r="HG179" s="544"/>
      <c r="HH179" s="544"/>
      <c r="HI179" s="544"/>
      <c r="HJ179" s="544"/>
      <c r="HK179" s="544"/>
      <c r="HL179" s="544"/>
      <c r="HM179" s="544"/>
      <c r="HN179" s="544"/>
      <c r="HO179" s="544"/>
      <c r="HP179" s="544"/>
      <c r="HQ179" s="544"/>
      <c r="HR179" s="544"/>
      <c r="HS179" s="544"/>
      <c r="HT179" s="544"/>
      <c r="HU179" s="544"/>
      <c r="HV179" s="544"/>
      <c r="HW179" s="544"/>
      <c r="HX179" s="544"/>
      <c r="HY179" s="544"/>
      <c r="HZ179" s="544"/>
      <c r="IA179" s="544"/>
      <c r="IB179" s="544"/>
      <c r="IC179" s="544"/>
      <c r="ID179" s="544"/>
      <c r="IE179" s="544"/>
      <c r="IF179" s="544"/>
      <c r="IG179" s="544"/>
      <c r="IH179" s="544"/>
      <c r="II179" s="544"/>
      <c r="IJ179" s="544"/>
      <c r="IK179" s="544"/>
      <c r="IL179" s="544"/>
      <c r="IM179" s="544"/>
      <c r="IN179" s="544"/>
      <c r="IO179" s="544"/>
      <c r="IP179" s="544"/>
      <c r="IQ179" s="544"/>
      <c r="IR179" s="544"/>
      <c r="IS179" s="544"/>
      <c r="IT179" s="544"/>
      <c r="IU179" s="544"/>
      <c r="IV179" s="544"/>
    </row>
    <row r="180" spans="1:256" s="459" customFormat="1" ht="16.2" thickBot="1" x14ac:dyDescent="0.35">
      <c r="A180" s="438"/>
      <c r="B180" s="441"/>
      <c r="C180" s="441"/>
      <c r="D180" s="441"/>
      <c r="E180" s="441"/>
      <c r="F180" s="441"/>
      <c r="G180" s="441"/>
      <c r="H180" s="441"/>
      <c r="I180" s="441"/>
      <c r="J180" s="441"/>
      <c r="K180" s="441"/>
      <c r="L180" s="441"/>
      <c r="M180" s="441"/>
      <c r="N180" s="441"/>
      <c r="O180" s="441"/>
      <c r="P180" s="441"/>
      <c r="Q180" s="441"/>
      <c r="R180" s="441"/>
      <c r="S180" s="441"/>
      <c r="T180" s="441"/>
      <c r="U180" s="441"/>
      <c r="V180" s="452"/>
      <c r="W180" s="441"/>
      <c r="X180" s="415"/>
      <c r="Y180" s="416"/>
      <c r="Z180" s="416"/>
      <c r="AA180" s="416"/>
      <c r="AB180" s="416"/>
      <c r="AC180" s="416"/>
      <c r="AD180" s="416"/>
      <c r="AE180" s="416"/>
      <c r="AF180" s="416"/>
      <c r="AG180" s="416"/>
      <c r="AH180" s="416"/>
      <c r="AI180" s="416"/>
      <c r="AJ180" s="416"/>
      <c r="AK180" s="416"/>
      <c r="AL180" s="416"/>
      <c r="AM180" s="416"/>
      <c r="AN180" s="416"/>
      <c r="AO180" s="416"/>
      <c r="AP180" s="416"/>
      <c r="AQ180" s="416"/>
      <c r="AR180" s="416"/>
      <c r="AS180" s="416"/>
      <c r="AT180" s="416"/>
      <c r="AU180" s="416"/>
      <c r="AV180" s="416"/>
      <c r="AW180" s="416"/>
      <c r="AX180" s="416"/>
      <c r="AY180" s="416"/>
      <c r="AZ180" s="416"/>
      <c r="BA180" s="416"/>
      <c r="BB180" s="416"/>
      <c r="BC180" s="416"/>
      <c r="BD180" s="416"/>
      <c r="BE180" s="416"/>
      <c r="BF180" s="416"/>
      <c r="BG180" s="416"/>
      <c r="BH180" s="416"/>
      <c r="BI180" s="416"/>
      <c r="BJ180" s="416"/>
      <c r="BK180" s="416"/>
      <c r="BL180" s="416"/>
      <c r="BM180" s="416"/>
      <c r="BN180" s="416"/>
      <c r="BO180" s="416"/>
      <c r="BP180" s="416"/>
      <c r="BQ180" s="416"/>
      <c r="BR180" s="416"/>
      <c r="BS180" s="416"/>
      <c r="BT180" s="416"/>
      <c r="BU180" s="416"/>
      <c r="BV180" s="416"/>
      <c r="BW180" s="416"/>
      <c r="BX180" s="416"/>
      <c r="BY180" s="416"/>
      <c r="BZ180" s="416"/>
      <c r="CA180" s="416"/>
      <c r="CB180" s="416"/>
      <c r="CC180" s="416"/>
      <c r="CD180" s="416"/>
      <c r="CE180" s="416"/>
      <c r="CF180" s="416"/>
      <c r="CG180" s="416"/>
      <c r="CH180" s="416"/>
      <c r="CI180" s="416"/>
      <c r="CJ180" s="416"/>
      <c r="CK180" s="416"/>
      <c r="CL180" s="416"/>
      <c r="CM180" s="416"/>
      <c r="CN180" s="416"/>
      <c r="CO180" s="416"/>
      <c r="CP180" s="416"/>
      <c r="CQ180" s="416"/>
      <c r="CR180" s="416"/>
      <c r="CS180" s="416"/>
      <c r="CT180" s="416"/>
      <c r="CU180" s="416"/>
      <c r="CV180" s="416"/>
      <c r="CW180" s="416"/>
      <c r="CX180" s="416"/>
      <c r="CY180" s="416"/>
      <c r="CZ180" s="416"/>
      <c r="DA180" s="416"/>
      <c r="DB180" s="416"/>
      <c r="DC180" s="416"/>
      <c r="DD180" s="416"/>
      <c r="DE180" s="416"/>
      <c r="DF180" s="416"/>
      <c r="DG180" s="416"/>
      <c r="DH180" s="416"/>
      <c r="DI180" s="416"/>
      <c r="DJ180" s="416"/>
      <c r="DK180" s="416"/>
      <c r="DL180" s="416"/>
      <c r="DM180" s="416"/>
      <c r="DN180" s="416"/>
      <c r="DO180" s="416"/>
      <c r="DP180" s="416"/>
      <c r="DQ180" s="416"/>
      <c r="DR180" s="416"/>
      <c r="DS180" s="416"/>
      <c r="DT180" s="416"/>
      <c r="DU180" s="416"/>
      <c r="DV180" s="416"/>
      <c r="DW180" s="416"/>
      <c r="DX180" s="416"/>
      <c r="DY180" s="416"/>
      <c r="DZ180" s="416"/>
      <c r="EA180" s="416"/>
      <c r="EB180" s="416"/>
      <c r="EC180" s="416"/>
      <c r="ED180" s="416"/>
      <c r="EE180" s="416"/>
      <c r="EF180" s="416"/>
      <c r="EG180" s="416"/>
      <c r="EH180" s="416"/>
      <c r="EI180" s="416"/>
      <c r="EJ180" s="416"/>
      <c r="EK180" s="416"/>
      <c r="EL180" s="416"/>
      <c r="EM180" s="416"/>
      <c r="EN180" s="416"/>
      <c r="EO180" s="416"/>
      <c r="EP180" s="416"/>
      <c r="EQ180" s="416"/>
      <c r="ER180" s="416"/>
      <c r="ES180" s="416"/>
      <c r="ET180" s="416"/>
      <c r="EU180" s="416"/>
      <c r="EV180" s="416"/>
      <c r="EW180" s="416"/>
      <c r="EX180" s="416"/>
      <c r="EY180" s="416"/>
      <c r="EZ180" s="416"/>
      <c r="FA180" s="416"/>
      <c r="FB180" s="416"/>
      <c r="FC180" s="416"/>
      <c r="FD180" s="416"/>
      <c r="FE180" s="416"/>
      <c r="FF180" s="416"/>
      <c r="FG180" s="416"/>
      <c r="FH180" s="416"/>
      <c r="FI180" s="416"/>
      <c r="FJ180" s="416"/>
      <c r="FK180" s="416"/>
      <c r="FL180" s="416"/>
      <c r="FM180" s="416"/>
      <c r="FN180" s="416"/>
      <c r="FO180" s="416"/>
      <c r="FP180" s="416"/>
      <c r="FQ180" s="416"/>
      <c r="FR180" s="416"/>
      <c r="FS180" s="416"/>
      <c r="FT180" s="416"/>
      <c r="FU180" s="416"/>
      <c r="FV180" s="416"/>
      <c r="FW180" s="416"/>
      <c r="FX180" s="416"/>
      <c r="FY180" s="416"/>
      <c r="FZ180" s="416"/>
      <c r="GA180" s="416"/>
      <c r="GB180" s="416"/>
      <c r="GC180" s="416"/>
      <c r="GD180" s="416"/>
      <c r="GE180" s="416"/>
      <c r="GF180" s="416"/>
      <c r="GG180" s="416"/>
      <c r="GH180" s="416"/>
      <c r="GI180" s="416"/>
      <c r="GJ180" s="416"/>
      <c r="GK180" s="416"/>
      <c r="GL180" s="416"/>
      <c r="GM180" s="416"/>
      <c r="GN180" s="416"/>
      <c r="GO180" s="416"/>
      <c r="GP180" s="416"/>
      <c r="GQ180" s="416"/>
      <c r="GR180" s="416"/>
      <c r="GS180" s="416"/>
      <c r="GT180" s="416"/>
      <c r="GU180" s="416"/>
      <c r="GV180" s="416"/>
      <c r="GW180" s="416"/>
      <c r="GX180" s="416"/>
      <c r="GY180" s="416"/>
      <c r="GZ180" s="416"/>
      <c r="HA180" s="416"/>
      <c r="HB180" s="416"/>
      <c r="HC180" s="416"/>
      <c r="HD180" s="416"/>
      <c r="HE180" s="416"/>
      <c r="HF180" s="416"/>
      <c r="HG180" s="416"/>
      <c r="HH180" s="416"/>
      <c r="HI180" s="416"/>
      <c r="HJ180" s="416"/>
      <c r="HK180" s="416"/>
      <c r="HL180" s="416"/>
      <c r="HM180" s="416"/>
      <c r="HN180" s="416"/>
      <c r="HO180" s="416"/>
      <c r="HP180" s="416"/>
      <c r="HQ180" s="416"/>
      <c r="HR180" s="416"/>
      <c r="HS180" s="416"/>
      <c r="HT180" s="416"/>
      <c r="HU180" s="416"/>
      <c r="HV180" s="416"/>
      <c r="HW180" s="416"/>
      <c r="HX180" s="416"/>
      <c r="HY180" s="416"/>
      <c r="HZ180" s="416"/>
      <c r="IA180" s="416"/>
      <c r="IB180" s="416"/>
      <c r="IC180" s="416"/>
      <c r="ID180" s="416"/>
      <c r="IE180" s="416"/>
      <c r="IF180" s="416"/>
      <c r="IG180" s="416"/>
      <c r="IH180" s="416"/>
      <c r="II180" s="416"/>
      <c r="IJ180" s="416"/>
      <c r="IK180" s="416"/>
      <c r="IL180" s="416"/>
      <c r="IM180" s="416"/>
      <c r="IN180" s="416"/>
      <c r="IO180" s="416"/>
      <c r="IP180" s="416"/>
      <c r="IQ180" s="416"/>
      <c r="IR180" s="416"/>
      <c r="IS180" s="416"/>
      <c r="IT180" s="416"/>
      <c r="IU180" s="416"/>
      <c r="IV180" s="416"/>
    </row>
    <row r="181" spans="1:256" s="461" customFormat="1" x14ac:dyDescent="0.3">
      <c r="A181" s="413"/>
      <c r="B181" s="414"/>
      <c r="C181" s="414"/>
      <c r="D181" s="414"/>
      <c r="E181" s="414"/>
      <c r="F181" s="414"/>
      <c r="G181" s="414"/>
      <c r="H181" s="414"/>
      <c r="I181" s="414"/>
      <c r="J181" s="414"/>
      <c r="K181" s="414"/>
      <c r="L181" s="414"/>
      <c r="M181" s="414"/>
      <c r="N181" s="414"/>
      <c r="O181" s="414"/>
      <c r="P181" s="414"/>
      <c r="Q181" s="414"/>
      <c r="R181" s="414"/>
      <c r="S181" s="414"/>
      <c r="T181" s="414"/>
      <c r="U181" s="414"/>
      <c r="V181" s="460"/>
      <c r="W181" s="414"/>
      <c r="X181" s="415"/>
      <c r="Y181" s="416"/>
      <c r="Z181" s="416"/>
      <c r="AA181" s="416"/>
      <c r="AB181" s="416"/>
      <c r="AC181" s="416"/>
      <c r="AD181" s="416"/>
      <c r="AE181" s="416"/>
      <c r="AF181" s="416"/>
      <c r="AG181" s="416"/>
      <c r="AH181" s="416"/>
      <c r="AI181" s="416"/>
      <c r="AJ181" s="416"/>
      <c r="AK181" s="416"/>
      <c r="AL181" s="416"/>
      <c r="AM181" s="416"/>
      <c r="AN181" s="416"/>
      <c r="AO181" s="416"/>
      <c r="AP181" s="416"/>
      <c r="AQ181" s="416"/>
      <c r="AR181" s="416"/>
      <c r="AS181" s="416"/>
      <c r="AT181" s="416"/>
      <c r="AU181" s="416"/>
      <c r="AV181" s="416"/>
      <c r="AW181" s="416"/>
      <c r="AX181" s="416"/>
      <c r="AY181" s="416"/>
      <c r="AZ181" s="416"/>
      <c r="BA181" s="416"/>
      <c r="BB181" s="416"/>
      <c r="BC181" s="416"/>
      <c r="BD181" s="416"/>
      <c r="BE181" s="416"/>
      <c r="BF181" s="416"/>
      <c r="BG181" s="416"/>
      <c r="BH181" s="416"/>
      <c r="BI181" s="416"/>
      <c r="BJ181" s="416"/>
      <c r="BK181" s="416"/>
      <c r="BL181" s="416"/>
      <c r="BM181" s="416"/>
      <c r="BN181" s="416"/>
      <c r="BO181" s="416"/>
      <c r="BP181" s="416"/>
      <c r="BQ181" s="416"/>
      <c r="BR181" s="416"/>
      <c r="BS181" s="416"/>
      <c r="BT181" s="416"/>
      <c r="BU181" s="416"/>
      <c r="BV181" s="416"/>
      <c r="BW181" s="416"/>
      <c r="BX181" s="416"/>
      <c r="BY181" s="416"/>
      <c r="BZ181" s="416"/>
      <c r="CA181" s="416"/>
      <c r="CB181" s="416"/>
      <c r="CC181" s="416"/>
      <c r="CD181" s="416"/>
      <c r="CE181" s="416"/>
      <c r="CF181" s="416"/>
      <c r="CG181" s="416"/>
      <c r="CH181" s="416"/>
      <c r="CI181" s="416"/>
      <c r="CJ181" s="416"/>
      <c r="CK181" s="416"/>
      <c r="CL181" s="416"/>
      <c r="CM181" s="416"/>
      <c r="CN181" s="416"/>
      <c r="CO181" s="416"/>
      <c r="CP181" s="416"/>
      <c r="CQ181" s="416"/>
      <c r="CR181" s="416"/>
      <c r="CS181" s="416"/>
      <c r="CT181" s="416"/>
      <c r="CU181" s="416"/>
      <c r="CV181" s="416"/>
      <c r="CW181" s="416"/>
      <c r="CX181" s="416"/>
      <c r="CY181" s="416"/>
      <c r="CZ181" s="416"/>
      <c r="DA181" s="416"/>
      <c r="DB181" s="416"/>
      <c r="DC181" s="416"/>
      <c r="DD181" s="416"/>
      <c r="DE181" s="416"/>
      <c r="DF181" s="416"/>
      <c r="DG181" s="416"/>
      <c r="DH181" s="416"/>
      <c r="DI181" s="416"/>
      <c r="DJ181" s="416"/>
      <c r="DK181" s="416"/>
      <c r="DL181" s="416"/>
      <c r="DM181" s="416"/>
      <c r="DN181" s="416"/>
      <c r="DO181" s="416"/>
      <c r="DP181" s="416"/>
      <c r="DQ181" s="416"/>
      <c r="DR181" s="416"/>
      <c r="DS181" s="416"/>
      <c r="DT181" s="416"/>
      <c r="DU181" s="416"/>
      <c r="DV181" s="416"/>
      <c r="DW181" s="416"/>
      <c r="DX181" s="416"/>
      <c r="DY181" s="416"/>
      <c r="DZ181" s="416"/>
      <c r="EA181" s="416"/>
      <c r="EB181" s="416"/>
      <c r="EC181" s="416"/>
      <c r="ED181" s="416"/>
      <c r="EE181" s="416"/>
      <c r="EF181" s="416"/>
      <c r="EG181" s="416"/>
      <c r="EH181" s="416"/>
      <c r="EI181" s="416"/>
      <c r="EJ181" s="416"/>
      <c r="EK181" s="416"/>
      <c r="EL181" s="416"/>
      <c r="EM181" s="416"/>
      <c r="EN181" s="416"/>
      <c r="EO181" s="416"/>
      <c r="EP181" s="416"/>
      <c r="EQ181" s="416"/>
      <c r="ER181" s="416"/>
      <c r="ES181" s="416"/>
      <c r="ET181" s="416"/>
      <c r="EU181" s="416"/>
      <c r="EV181" s="416"/>
      <c r="EW181" s="416"/>
      <c r="EX181" s="416"/>
      <c r="EY181" s="416"/>
      <c r="EZ181" s="416"/>
      <c r="FA181" s="416"/>
      <c r="FB181" s="416"/>
      <c r="FC181" s="416"/>
      <c r="FD181" s="416"/>
      <c r="FE181" s="416"/>
      <c r="FF181" s="416"/>
      <c r="FG181" s="416"/>
      <c r="FH181" s="416"/>
      <c r="FI181" s="416"/>
      <c r="FJ181" s="416"/>
      <c r="FK181" s="416"/>
      <c r="FL181" s="416"/>
      <c r="FM181" s="416"/>
      <c r="FN181" s="416"/>
      <c r="FO181" s="416"/>
      <c r="FP181" s="416"/>
      <c r="FQ181" s="416"/>
      <c r="FR181" s="416"/>
      <c r="FS181" s="416"/>
      <c r="FT181" s="416"/>
      <c r="FU181" s="416"/>
      <c r="FV181" s="416"/>
      <c r="FW181" s="416"/>
      <c r="FX181" s="416"/>
      <c r="FY181" s="416"/>
      <c r="FZ181" s="416"/>
      <c r="GA181" s="416"/>
      <c r="GB181" s="416"/>
      <c r="GC181" s="416"/>
      <c r="GD181" s="416"/>
      <c r="GE181" s="416"/>
      <c r="GF181" s="416"/>
      <c r="GG181" s="416"/>
      <c r="GH181" s="416"/>
      <c r="GI181" s="416"/>
      <c r="GJ181" s="416"/>
      <c r="GK181" s="416"/>
      <c r="GL181" s="416"/>
      <c r="GM181" s="416"/>
      <c r="GN181" s="416"/>
      <c r="GO181" s="416"/>
      <c r="GP181" s="416"/>
      <c r="GQ181" s="416"/>
      <c r="GR181" s="416"/>
      <c r="GS181" s="416"/>
      <c r="GT181" s="416"/>
      <c r="GU181" s="416"/>
      <c r="GV181" s="416"/>
      <c r="GW181" s="416"/>
      <c r="GX181" s="416"/>
      <c r="GY181" s="416"/>
      <c r="GZ181" s="416"/>
      <c r="HA181" s="416"/>
      <c r="HB181" s="416"/>
      <c r="HC181" s="416"/>
      <c r="HD181" s="416"/>
      <c r="HE181" s="416"/>
      <c r="HF181" s="416"/>
      <c r="HG181" s="416"/>
      <c r="HH181" s="416"/>
      <c r="HI181" s="416"/>
      <c r="HJ181" s="416"/>
      <c r="HK181" s="416"/>
      <c r="HL181" s="416"/>
      <c r="HM181" s="416"/>
      <c r="HN181" s="416"/>
      <c r="HO181" s="416"/>
      <c r="HP181" s="416"/>
      <c r="HQ181" s="416"/>
      <c r="HR181" s="416"/>
      <c r="HS181" s="416"/>
      <c r="HT181" s="416"/>
      <c r="HU181" s="416"/>
      <c r="HV181" s="416"/>
      <c r="HW181" s="416"/>
      <c r="HX181" s="416"/>
      <c r="HY181" s="416"/>
      <c r="HZ181" s="416"/>
      <c r="IA181" s="416"/>
      <c r="IB181" s="416"/>
      <c r="IC181" s="416"/>
      <c r="ID181" s="416"/>
      <c r="IE181" s="416"/>
      <c r="IF181" s="416"/>
      <c r="IG181" s="416"/>
      <c r="IH181" s="416"/>
      <c r="II181" s="416"/>
      <c r="IJ181" s="416"/>
      <c r="IK181" s="416"/>
      <c r="IL181" s="416"/>
      <c r="IM181" s="416"/>
      <c r="IN181" s="416"/>
      <c r="IO181" s="416"/>
      <c r="IP181" s="416"/>
      <c r="IQ181" s="416"/>
      <c r="IR181" s="416"/>
      <c r="IS181" s="416"/>
      <c r="IT181" s="416"/>
      <c r="IU181" s="416"/>
      <c r="IV181" s="416"/>
    </row>
    <row r="182" spans="1:256" x14ac:dyDescent="0.3">
      <c r="A182" s="417"/>
      <c r="B182" s="508" t="s">
        <v>56</v>
      </c>
      <c r="C182" s="419"/>
      <c r="D182" s="419"/>
      <c r="E182" s="419"/>
      <c r="F182" s="419"/>
      <c r="G182" s="419"/>
      <c r="H182" s="419"/>
      <c r="I182" s="419"/>
      <c r="J182" s="419"/>
      <c r="K182" s="419"/>
      <c r="L182" s="419"/>
      <c r="M182" s="419"/>
      <c r="N182" s="419"/>
      <c r="O182" s="419"/>
      <c r="P182" s="419"/>
      <c r="Q182" s="419"/>
      <c r="R182" s="419"/>
      <c r="S182" s="419"/>
      <c r="T182" s="419"/>
      <c r="U182" s="419"/>
      <c r="V182" s="439"/>
      <c r="W182" s="419"/>
      <c r="X182" s="415"/>
    </row>
    <row r="183" spans="1:256" x14ac:dyDescent="0.3">
      <c r="A183" s="417"/>
      <c r="B183" s="451"/>
      <c r="C183" s="419"/>
      <c r="D183" s="419"/>
      <c r="E183" s="419"/>
      <c r="F183" s="419"/>
      <c r="G183" s="419"/>
      <c r="H183" s="419"/>
      <c r="I183" s="419"/>
      <c r="J183" s="419"/>
      <c r="K183" s="419"/>
      <c r="L183" s="419"/>
      <c r="M183" s="419"/>
      <c r="N183" s="419"/>
      <c r="O183" s="419"/>
      <c r="P183" s="419"/>
      <c r="Q183" s="419"/>
      <c r="R183" s="419"/>
      <c r="S183" s="419"/>
      <c r="T183" s="419"/>
      <c r="U183" s="419"/>
      <c r="V183" s="439"/>
      <c r="W183" s="419"/>
      <c r="X183" s="415"/>
    </row>
    <row r="184" spans="1:256" s="544" customFormat="1" x14ac:dyDescent="0.3">
      <c r="A184" s="555"/>
      <c r="B184" s="556" t="s">
        <v>57</v>
      </c>
      <c r="C184" s="556"/>
      <c r="D184" s="556"/>
      <c r="E184" s="556"/>
      <c r="F184" s="556"/>
      <c r="G184" s="556"/>
      <c r="H184" s="556"/>
      <c r="I184" s="556"/>
      <c r="J184" s="556"/>
      <c r="K184" s="556"/>
      <c r="L184" s="556"/>
      <c r="M184" s="556"/>
      <c r="N184" s="556"/>
      <c r="O184" s="556"/>
      <c r="P184" s="556"/>
      <c r="Q184" s="556"/>
      <c r="R184" s="556"/>
      <c r="S184" s="556"/>
      <c r="T184" s="556"/>
      <c r="U184" s="556"/>
      <c r="V184" s="599">
        <f>V70</f>
        <v>742383</v>
      </c>
      <c r="W184" s="558"/>
      <c r="X184" s="543"/>
    </row>
    <row r="185" spans="1:256" s="544" customFormat="1" x14ac:dyDescent="0.3">
      <c r="A185" s="555"/>
      <c r="B185" s="556" t="s">
        <v>58</v>
      </c>
      <c r="C185" s="556"/>
      <c r="D185" s="556"/>
      <c r="E185" s="556"/>
      <c r="F185" s="556"/>
      <c r="G185" s="556"/>
      <c r="H185" s="556"/>
      <c r="I185" s="556"/>
      <c r="J185" s="556"/>
      <c r="K185" s="556"/>
      <c r="L185" s="556"/>
      <c r="M185" s="556"/>
      <c r="N185" s="556"/>
      <c r="O185" s="556"/>
      <c r="P185" s="556"/>
      <c r="Q185" s="556"/>
      <c r="R185" s="556"/>
      <c r="S185" s="556"/>
      <c r="T185" s="556"/>
      <c r="U185" s="556"/>
      <c r="V185" s="599">
        <f>V83</f>
        <v>742383</v>
      </c>
      <c r="W185" s="558"/>
      <c r="X185" s="543"/>
    </row>
    <row r="186" spans="1:256" ht="16.2" thickBot="1" x14ac:dyDescent="0.35">
      <c r="A186" s="417"/>
      <c r="B186" s="441"/>
      <c r="C186" s="441"/>
      <c r="D186" s="441"/>
      <c r="E186" s="441"/>
      <c r="F186" s="441"/>
      <c r="G186" s="441"/>
      <c r="H186" s="441"/>
      <c r="I186" s="441"/>
      <c r="J186" s="441"/>
      <c r="K186" s="441"/>
      <c r="L186" s="441"/>
      <c r="M186" s="441"/>
      <c r="N186" s="441"/>
      <c r="O186" s="441"/>
      <c r="P186" s="441"/>
      <c r="Q186" s="441"/>
      <c r="R186" s="441"/>
      <c r="S186" s="441"/>
      <c r="T186" s="441"/>
      <c r="U186" s="441"/>
      <c r="V186" s="452"/>
      <c r="W186" s="441"/>
      <c r="X186" s="415"/>
    </row>
    <row r="187" spans="1:256" x14ac:dyDescent="0.3">
      <c r="A187" s="413"/>
      <c r="B187" s="414"/>
      <c r="C187" s="414"/>
      <c r="D187" s="414"/>
      <c r="E187" s="414"/>
      <c r="F187" s="414"/>
      <c r="G187" s="414"/>
      <c r="H187" s="414"/>
      <c r="I187" s="414"/>
      <c r="J187" s="414"/>
      <c r="K187" s="414"/>
      <c r="L187" s="414"/>
      <c r="M187" s="414"/>
      <c r="N187" s="414"/>
      <c r="O187" s="414"/>
      <c r="P187" s="414"/>
      <c r="Q187" s="414"/>
      <c r="R187" s="414"/>
      <c r="S187" s="414"/>
      <c r="T187" s="414"/>
      <c r="U187" s="414"/>
      <c r="V187" s="460"/>
      <c r="W187" s="414"/>
      <c r="X187" s="415"/>
    </row>
    <row r="188" spans="1:256" s="499" customFormat="1" x14ac:dyDescent="0.3">
      <c r="A188" s="502"/>
      <c r="B188" s="508" t="s">
        <v>59</v>
      </c>
      <c r="C188" s="506"/>
      <c r="D188" s="506"/>
      <c r="E188" s="506"/>
      <c r="F188" s="506"/>
      <c r="G188" s="506"/>
      <c r="H188" s="509"/>
      <c r="I188" s="509"/>
      <c r="J188" s="509"/>
      <c r="K188" s="509"/>
      <c r="L188" s="509"/>
      <c r="M188" s="509"/>
      <c r="N188" s="509"/>
      <c r="O188" s="509"/>
      <c r="P188" s="509"/>
      <c r="Q188" s="509"/>
      <c r="R188" s="509"/>
      <c r="S188" s="509" t="s">
        <v>101</v>
      </c>
      <c r="T188" s="509" t="s">
        <v>176</v>
      </c>
      <c r="U188" s="421"/>
      <c r="V188" s="510" t="s">
        <v>114</v>
      </c>
      <c r="W188" s="421"/>
      <c r="X188" s="498"/>
    </row>
    <row r="189" spans="1:256" s="544" customFormat="1" x14ac:dyDescent="0.3">
      <c r="A189" s="555"/>
      <c r="B189" s="556" t="s">
        <v>60</v>
      </c>
      <c r="C189" s="556"/>
      <c r="D189" s="556"/>
      <c r="E189" s="556"/>
      <c r="F189" s="556"/>
      <c r="G189" s="556"/>
      <c r="H189" s="556"/>
      <c r="I189" s="556"/>
      <c r="J189" s="556"/>
      <c r="K189" s="556"/>
      <c r="L189" s="556"/>
      <c r="M189" s="556"/>
      <c r="N189" s="556"/>
      <c r="O189" s="556"/>
      <c r="P189" s="556"/>
      <c r="Q189" s="556"/>
      <c r="R189" s="556"/>
      <c r="S189" s="599">
        <f>+V34*0.16</f>
        <v>240044</v>
      </c>
      <c r="T189" s="578"/>
      <c r="U189" s="556"/>
      <c r="V189" s="599"/>
      <c r="W189" s="558"/>
      <c r="X189" s="543"/>
    </row>
    <row r="190" spans="1:256" s="544" customFormat="1" x14ac:dyDescent="0.3">
      <c r="A190" s="555"/>
      <c r="B190" s="556" t="s">
        <v>61</v>
      </c>
      <c r="C190" s="556"/>
      <c r="D190" s="556"/>
      <c r="E190" s="556"/>
      <c r="F190" s="556"/>
      <c r="G190" s="556"/>
      <c r="H190" s="556"/>
      <c r="I190" s="556"/>
      <c r="J190" s="556"/>
      <c r="K190" s="556"/>
      <c r="L190" s="556"/>
      <c r="M190" s="556"/>
      <c r="N190" s="556"/>
      <c r="O190" s="556"/>
      <c r="P190" s="556"/>
      <c r="Q190" s="556"/>
      <c r="R190" s="556"/>
      <c r="S190" s="599">
        <f>+'Aug 19'!S192</f>
        <v>33453</v>
      </c>
      <c r="T190" s="599">
        <f>+'Aug 19'!T192</f>
        <v>6019</v>
      </c>
      <c r="U190" s="556"/>
      <c r="V190" s="599">
        <f>S190+T190</f>
        <v>39472</v>
      </c>
      <c r="W190" s="558"/>
      <c r="X190" s="543"/>
    </row>
    <row r="191" spans="1:256" s="544" customFormat="1" x14ac:dyDescent="0.3">
      <c r="A191" s="555"/>
      <c r="B191" s="556" t="s">
        <v>62</v>
      </c>
      <c r="C191" s="556"/>
      <c r="D191" s="556"/>
      <c r="E191" s="556"/>
      <c r="F191" s="556"/>
      <c r="G191" s="556"/>
      <c r="H191" s="556"/>
      <c r="I191" s="556"/>
      <c r="J191" s="556"/>
      <c r="K191" s="556"/>
      <c r="L191" s="556"/>
      <c r="M191" s="556"/>
      <c r="N191" s="556"/>
      <c r="O191" s="556"/>
      <c r="P191" s="556"/>
      <c r="Q191" s="556"/>
      <c r="R191" s="556"/>
      <c r="S191" s="598">
        <v>0</v>
      </c>
      <c r="T191" s="598">
        <v>0</v>
      </c>
      <c r="U191" s="556"/>
      <c r="V191" s="599">
        <f>S191+T191</f>
        <v>0</v>
      </c>
      <c r="W191" s="558"/>
      <c r="X191" s="543"/>
    </row>
    <row r="192" spans="1:256" s="544" customFormat="1" x14ac:dyDescent="0.3">
      <c r="A192" s="555"/>
      <c r="B192" s="556" t="s">
        <v>63</v>
      </c>
      <c r="C192" s="556"/>
      <c r="D192" s="556"/>
      <c r="E192" s="556"/>
      <c r="F192" s="556"/>
      <c r="G192" s="556"/>
      <c r="H192" s="556"/>
      <c r="I192" s="556"/>
      <c r="J192" s="556"/>
      <c r="K192" s="556"/>
      <c r="L192" s="556"/>
      <c r="M192" s="556"/>
      <c r="N192" s="556"/>
      <c r="O192" s="556"/>
      <c r="P192" s="556"/>
      <c r="Q192" s="556"/>
      <c r="R192" s="556"/>
      <c r="S192" s="599">
        <f>S190+S191</f>
        <v>33453</v>
      </c>
      <c r="T192" s="599">
        <f>T191+T190</f>
        <v>6019</v>
      </c>
      <c r="U192" s="556"/>
      <c r="V192" s="599">
        <f>S192+T192</f>
        <v>39472</v>
      </c>
      <c r="W192" s="558"/>
      <c r="X192" s="543"/>
    </row>
    <row r="193" spans="1:24" s="544" customFormat="1" x14ac:dyDescent="0.3">
      <c r="A193" s="555"/>
      <c r="B193" s="556" t="s">
        <v>64</v>
      </c>
      <c r="C193" s="556"/>
      <c r="D193" s="556"/>
      <c r="E193" s="556"/>
      <c r="F193" s="556"/>
      <c r="G193" s="556"/>
      <c r="H193" s="556"/>
      <c r="I193" s="556"/>
      <c r="J193" s="556"/>
      <c r="K193" s="556"/>
      <c r="L193" s="556"/>
      <c r="M193" s="556"/>
      <c r="N193" s="556"/>
      <c r="O193" s="556"/>
      <c r="P193" s="556"/>
      <c r="Q193" s="556"/>
      <c r="R193" s="556"/>
      <c r="S193" s="599">
        <f>S189-S192-T192</f>
        <v>200572</v>
      </c>
      <c r="T193" s="578"/>
      <c r="U193" s="556"/>
      <c r="V193" s="599"/>
      <c r="W193" s="558"/>
      <c r="X193" s="543"/>
    </row>
    <row r="194" spans="1:24" ht="16.2" thickBot="1" x14ac:dyDescent="0.35">
      <c r="A194" s="417"/>
      <c r="B194" s="441"/>
      <c r="C194" s="441"/>
      <c r="D194" s="441"/>
      <c r="E194" s="441"/>
      <c r="F194" s="441"/>
      <c r="G194" s="441"/>
      <c r="H194" s="441"/>
      <c r="I194" s="441"/>
      <c r="J194" s="441"/>
      <c r="K194" s="441"/>
      <c r="L194" s="441"/>
      <c r="M194" s="441"/>
      <c r="N194" s="441"/>
      <c r="O194" s="441"/>
      <c r="P194" s="441"/>
      <c r="Q194" s="441"/>
      <c r="R194" s="441"/>
      <c r="S194" s="441"/>
      <c r="T194" s="441"/>
      <c r="U194" s="441"/>
      <c r="V194" s="452"/>
      <c r="W194" s="441"/>
      <c r="X194" s="415"/>
    </row>
    <row r="195" spans="1:24" x14ac:dyDescent="0.3">
      <c r="A195" s="413"/>
      <c r="B195" s="414"/>
      <c r="C195" s="414"/>
      <c r="D195" s="414"/>
      <c r="E195" s="414"/>
      <c r="F195" s="414"/>
      <c r="G195" s="414"/>
      <c r="H195" s="414"/>
      <c r="I195" s="414"/>
      <c r="J195" s="414"/>
      <c r="K195" s="414"/>
      <c r="L195" s="414"/>
      <c r="M195" s="414"/>
      <c r="N195" s="414"/>
      <c r="O195" s="414"/>
      <c r="P195" s="414"/>
      <c r="Q195" s="414"/>
      <c r="R195" s="414"/>
      <c r="S195" s="414"/>
      <c r="T195" s="414"/>
      <c r="U195" s="414"/>
      <c r="V195" s="460"/>
      <c r="W195" s="414"/>
      <c r="X195" s="415"/>
    </row>
    <row r="196" spans="1:24" x14ac:dyDescent="0.3">
      <c r="A196" s="417"/>
      <c r="B196" s="508" t="s">
        <v>65</v>
      </c>
      <c r="C196" s="419"/>
      <c r="D196" s="419"/>
      <c r="E196" s="419"/>
      <c r="F196" s="419"/>
      <c r="G196" s="419"/>
      <c r="H196" s="419"/>
      <c r="I196" s="419"/>
      <c r="J196" s="419"/>
      <c r="K196" s="419"/>
      <c r="L196" s="419"/>
      <c r="M196" s="419"/>
      <c r="N196" s="419"/>
      <c r="O196" s="419"/>
      <c r="P196" s="419"/>
      <c r="Q196" s="419"/>
      <c r="R196" s="419"/>
      <c r="S196" s="419"/>
      <c r="T196" s="419"/>
      <c r="U196" s="419"/>
      <c r="V196" s="462"/>
      <c r="W196" s="419"/>
      <c r="X196" s="415"/>
    </row>
    <row r="197" spans="1:24" s="544" customFormat="1" x14ac:dyDescent="0.3">
      <c r="A197" s="555"/>
      <c r="B197" s="556" t="s">
        <v>66</v>
      </c>
      <c r="C197" s="556"/>
      <c r="D197" s="556"/>
      <c r="E197" s="556"/>
      <c r="F197" s="556"/>
      <c r="G197" s="556"/>
      <c r="H197" s="556"/>
      <c r="I197" s="556"/>
      <c r="J197" s="556"/>
      <c r="K197" s="556"/>
      <c r="L197" s="556"/>
      <c r="M197" s="556"/>
      <c r="N197" s="556"/>
      <c r="O197" s="556"/>
      <c r="P197" s="556"/>
      <c r="Q197" s="556"/>
      <c r="R197" s="556"/>
      <c r="S197" s="556"/>
      <c r="T197" s="556"/>
      <c r="U197" s="556"/>
      <c r="V197" s="608">
        <f>(V100+V102+V103+V104+V105)/-(V106+V107)</f>
        <v>3.8685410334346506</v>
      </c>
      <c r="W197" s="558" t="s">
        <v>115</v>
      </c>
      <c r="X197" s="543"/>
    </row>
    <row r="198" spans="1:24" s="544" customFormat="1" x14ac:dyDescent="0.3">
      <c r="A198" s="555"/>
      <c r="B198" s="556" t="s">
        <v>67</v>
      </c>
      <c r="C198" s="556"/>
      <c r="D198" s="556"/>
      <c r="E198" s="556"/>
      <c r="F198" s="556"/>
      <c r="G198" s="556"/>
      <c r="H198" s="556"/>
      <c r="I198" s="556"/>
      <c r="J198" s="556"/>
      <c r="K198" s="556"/>
      <c r="L198" s="556"/>
      <c r="M198" s="556"/>
      <c r="N198" s="556"/>
      <c r="O198" s="556"/>
      <c r="P198" s="556"/>
      <c r="Q198" s="556"/>
      <c r="R198" s="556"/>
      <c r="S198" s="556"/>
      <c r="T198" s="556"/>
      <c r="U198" s="556"/>
      <c r="V198" s="610">
        <v>2.1800000000000002</v>
      </c>
      <c r="W198" s="558" t="s">
        <v>115</v>
      </c>
      <c r="X198" s="543"/>
    </row>
    <row r="199" spans="1:24" s="544" customFormat="1" x14ac:dyDescent="0.3">
      <c r="A199" s="555"/>
      <c r="B199" s="556" t="s">
        <v>68</v>
      </c>
      <c r="C199" s="556"/>
      <c r="D199" s="556"/>
      <c r="E199" s="556"/>
      <c r="F199" s="556"/>
      <c r="G199" s="556"/>
      <c r="H199" s="556"/>
      <c r="I199" s="556"/>
      <c r="J199" s="556"/>
      <c r="K199" s="556"/>
      <c r="L199" s="556"/>
      <c r="M199" s="556"/>
      <c r="N199" s="556"/>
      <c r="O199" s="556"/>
      <c r="P199" s="556"/>
      <c r="Q199" s="556"/>
      <c r="R199" s="556"/>
      <c r="S199" s="556"/>
      <c r="T199" s="556"/>
      <c r="U199" s="556"/>
      <c r="V199" s="608">
        <f>(V100+V102+V103+V104+V105+V106+V107)/-(V109+V110)</f>
        <v>11.439393939393939</v>
      </c>
      <c r="W199" s="558" t="s">
        <v>115</v>
      </c>
      <c r="X199" s="543"/>
    </row>
    <row r="200" spans="1:24" s="544" customFormat="1" x14ac:dyDescent="0.3">
      <c r="A200" s="555"/>
      <c r="B200" s="556" t="s">
        <v>69</v>
      </c>
      <c r="C200" s="556"/>
      <c r="D200" s="556"/>
      <c r="E200" s="556"/>
      <c r="F200" s="556"/>
      <c r="G200" s="556"/>
      <c r="H200" s="556"/>
      <c r="I200" s="556"/>
      <c r="J200" s="556"/>
      <c r="K200" s="556"/>
      <c r="L200" s="556"/>
      <c r="M200" s="556"/>
      <c r="N200" s="556"/>
      <c r="O200" s="556"/>
      <c r="P200" s="556"/>
      <c r="Q200" s="556"/>
      <c r="R200" s="556"/>
      <c r="S200" s="556"/>
      <c r="T200" s="556"/>
      <c r="U200" s="556"/>
      <c r="V200" s="610">
        <v>9.8699999999999992</v>
      </c>
      <c r="W200" s="558" t="s">
        <v>115</v>
      </c>
      <c r="X200" s="543"/>
    </row>
    <row r="201" spans="1:24" s="544" customFormat="1" x14ac:dyDescent="0.3">
      <c r="A201" s="555"/>
      <c r="B201" s="556" t="s">
        <v>198</v>
      </c>
      <c r="C201" s="556"/>
      <c r="D201" s="556"/>
      <c r="E201" s="556"/>
      <c r="F201" s="556"/>
      <c r="G201" s="556"/>
      <c r="H201" s="556"/>
      <c r="I201" s="556"/>
      <c r="J201" s="556"/>
      <c r="K201" s="556"/>
      <c r="L201" s="556"/>
      <c r="M201" s="556"/>
      <c r="N201" s="556"/>
      <c r="O201" s="556"/>
      <c r="P201" s="556"/>
      <c r="Q201" s="556"/>
      <c r="R201" s="556"/>
      <c r="S201" s="556"/>
      <c r="T201" s="556"/>
      <c r="U201" s="556"/>
      <c r="V201" s="608">
        <f>(V100+V102+V103+V104+V105+V106+V107+V109+V110)/-(V111+V112)</f>
        <v>7.5218340611353716</v>
      </c>
      <c r="W201" s="558" t="s">
        <v>115</v>
      </c>
      <c r="X201" s="543"/>
    </row>
    <row r="202" spans="1:24" s="544" customFormat="1" x14ac:dyDescent="0.3">
      <c r="A202" s="555"/>
      <c r="B202" s="556" t="s">
        <v>199</v>
      </c>
      <c r="C202" s="556"/>
      <c r="D202" s="556"/>
      <c r="E202" s="556"/>
      <c r="F202" s="556"/>
      <c r="G202" s="556"/>
      <c r="H202" s="556"/>
      <c r="I202" s="556"/>
      <c r="J202" s="556"/>
      <c r="K202" s="556"/>
      <c r="L202" s="556"/>
      <c r="M202" s="556"/>
      <c r="N202" s="556"/>
      <c r="O202" s="556"/>
      <c r="P202" s="556"/>
      <c r="Q202" s="556"/>
      <c r="R202" s="556"/>
      <c r="S202" s="556"/>
      <c r="T202" s="556"/>
      <c r="U202" s="556"/>
      <c r="V202" s="610">
        <v>7.35</v>
      </c>
      <c r="W202" s="558" t="s">
        <v>115</v>
      </c>
      <c r="X202" s="543"/>
    </row>
    <row r="203" spans="1:24" s="544" customFormat="1" x14ac:dyDescent="0.3">
      <c r="A203" s="555"/>
      <c r="B203" s="556"/>
      <c r="C203" s="556"/>
      <c r="D203" s="556"/>
      <c r="E203" s="556"/>
      <c r="F203" s="556"/>
      <c r="G203" s="556"/>
      <c r="H203" s="556"/>
      <c r="I203" s="556"/>
      <c r="J203" s="556"/>
      <c r="K203" s="556"/>
      <c r="L203" s="556"/>
      <c r="M203" s="556"/>
      <c r="N203" s="556"/>
      <c r="O203" s="556"/>
      <c r="P203" s="556"/>
      <c r="Q203" s="556"/>
      <c r="R203" s="556"/>
      <c r="S203" s="556"/>
      <c r="T203" s="556"/>
      <c r="U203" s="556"/>
      <c r="V203" s="556"/>
      <c r="W203" s="558"/>
      <c r="X203" s="543"/>
    </row>
    <row r="204" spans="1:24" s="544" customFormat="1" x14ac:dyDescent="0.3">
      <c r="A204" s="540"/>
      <c r="B204" s="588"/>
      <c r="C204" s="588"/>
      <c r="D204" s="588"/>
      <c r="E204" s="588"/>
      <c r="F204" s="588"/>
      <c r="G204" s="588"/>
      <c r="H204" s="588"/>
      <c r="I204" s="588"/>
      <c r="J204" s="588"/>
      <c r="K204" s="588"/>
      <c r="L204" s="588"/>
      <c r="M204" s="588"/>
      <c r="N204" s="588"/>
      <c r="O204" s="588"/>
      <c r="P204" s="588"/>
      <c r="Q204" s="588"/>
      <c r="R204" s="588"/>
      <c r="S204" s="588"/>
      <c r="T204" s="588"/>
      <c r="U204" s="588"/>
      <c r="V204" s="588"/>
      <c r="W204" s="588"/>
      <c r="X204" s="543"/>
    </row>
    <row r="205" spans="1:24" s="544" customFormat="1" x14ac:dyDescent="0.3">
      <c r="A205" s="540"/>
      <c r="B205" s="541"/>
      <c r="C205" s="541"/>
      <c r="D205" s="541"/>
      <c r="E205" s="541"/>
      <c r="F205" s="541"/>
      <c r="G205" s="541"/>
      <c r="H205" s="541"/>
      <c r="I205" s="541"/>
      <c r="J205" s="541"/>
      <c r="K205" s="541"/>
      <c r="L205" s="541"/>
      <c r="M205" s="541"/>
      <c r="N205" s="541"/>
      <c r="O205" s="541"/>
      <c r="P205" s="541"/>
      <c r="Q205" s="541"/>
      <c r="R205" s="541"/>
      <c r="S205" s="541"/>
      <c r="T205" s="541"/>
      <c r="U205" s="541"/>
      <c r="V205" s="541"/>
      <c r="W205" s="541"/>
      <c r="X205" s="543"/>
    </row>
    <row r="206" spans="1:24" s="544" customFormat="1" ht="18.600000000000001" thickBot="1" x14ac:dyDescent="0.4">
      <c r="A206" s="593"/>
      <c r="B206" s="594" t="str">
        <f>B140</f>
        <v>PM14 INVESTOR REPORT QUARTER ENDING NOVEMBER 2019</v>
      </c>
      <c r="C206" s="595"/>
      <c r="D206" s="595"/>
      <c r="E206" s="595"/>
      <c r="F206" s="595"/>
      <c r="G206" s="595"/>
      <c r="H206" s="595"/>
      <c r="I206" s="595"/>
      <c r="J206" s="595"/>
      <c r="K206" s="595"/>
      <c r="L206" s="595"/>
      <c r="M206" s="595"/>
      <c r="N206" s="595"/>
      <c r="O206" s="595"/>
      <c r="P206" s="595"/>
      <c r="Q206" s="595"/>
      <c r="R206" s="595"/>
      <c r="S206" s="595"/>
      <c r="T206" s="595"/>
      <c r="U206" s="595"/>
      <c r="V206" s="595"/>
      <c r="W206" s="597"/>
      <c r="X206" s="543"/>
    </row>
    <row r="207" spans="1:24" x14ac:dyDescent="0.3">
      <c r="A207" s="527"/>
      <c r="B207" s="528" t="s">
        <v>70</v>
      </c>
      <c r="C207" s="531"/>
      <c r="D207" s="531"/>
      <c r="E207" s="531"/>
      <c r="F207" s="531"/>
      <c r="G207" s="532"/>
      <c r="H207" s="532"/>
      <c r="I207" s="532"/>
      <c r="J207" s="532"/>
      <c r="K207" s="532"/>
      <c r="L207" s="532"/>
      <c r="M207" s="532"/>
      <c r="N207" s="532"/>
      <c r="O207" s="532"/>
      <c r="P207" s="532"/>
      <c r="Q207" s="532"/>
      <c r="R207" s="532"/>
      <c r="S207" s="532"/>
      <c r="T207" s="532">
        <v>43798</v>
      </c>
      <c r="U207" s="529"/>
      <c r="V207" s="529"/>
      <c r="W207" s="529"/>
      <c r="X207" s="415"/>
    </row>
    <row r="208" spans="1:24" x14ac:dyDescent="0.3">
      <c r="A208" s="463"/>
      <c r="B208" s="429"/>
      <c r="C208" s="464"/>
      <c r="D208" s="464"/>
      <c r="E208" s="464"/>
      <c r="F208" s="464"/>
      <c r="G208" s="428"/>
      <c r="H208" s="428"/>
      <c r="I208" s="428"/>
      <c r="J208" s="428"/>
      <c r="K208" s="428"/>
      <c r="L208" s="428"/>
      <c r="M208" s="428"/>
      <c r="N208" s="428"/>
      <c r="O208" s="428"/>
      <c r="P208" s="428"/>
      <c r="Q208" s="428"/>
      <c r="R208" s="428"/>
      <c r="S208" s="428"/>
      <c r="T208" s="428"/>
      <c r="U208" s="427"/>
      <c r="V208" s="427"/>
      <c r="W208" s="427"/>
      <c r="X208" s="415"/>
    </row>
    <row r="209" spans="1:24" s="544" customFormat="1" x14ac:dyDescent="0.3">
      <c r="A209" s="555"/>
      <c r="B209" s="556" t="s">
        <v>71</v>
      </c>
      <c r="C209" s="611"/>
      <c r="D209" s="611"/>
      <c r="E209" s="611"/>
      <c r="F209" s="611"/>
      <c r="G209" s="582"/>
      <c r="H209" s="582"/>
      <c r="I209" s="582"/>
      <c r="J209" s="582"/>
      <c r="K209" s="582"/>
      <c r="L209" s="582"/>
      <c r="M209" s="582"/>
      <c r="N209" s="582"/>
      <c r="O209" s="582"/>
      <c r="P209" s="582"/>
      <c r="Q209" s="582"/>
      <c r="R209" s="582"/>
      <c r="S209" s="582"/>
      <c r="T209" s="575">
        <v>5.2819999999999999E-2</v>
      </c>
      <c r="U209" s="556"/>
      <c r="V209" s="556"/>
      <c r="W209" s="558"/>
      <c r="X209" s="543"/>
    </row>
    <row r="210" spans="1:24" s="544" customFormat="1" x14ac:dyDescent="0.3">
      <c r="A210" s="555"/>
      <c r="B210" s="556" t="s">
        <v>151</v>
      </c>
      <c r="C210" s="611"/>
      <c r="D210" s="611"/>
      <c r="E210" s="611"/>
      <c r="F210" s="611"/>
      <c r="G210" s="582"/>
      <c r="H210" s="582"/>
      <c r="I210" s="582"/>
      <c r="J210" s="582"/>
      <c r="K210" s="582"/>
      <c r="L210" s="582"/>
      <c r="M210" s="582"/>
      <c r="N210" s="582"/>
      <c r="O210" s="582"/>
      <c r="P210" s="582"/>
      <c r="Q210" s="582"/>
      <c r="R210" s="582"/>
      <c r="S210" s="582"/>
      <c r="T210" s="575">
        <v>5.7799999999999997E-2</v>
      </c>
      <c r="U210" s="556"/>
      <c r="V210" s="556"/>
      <c r="W210" s="558"/>
      <c r="X210" s="543"/>
    </row>
    <row r="211" spans="1:24" s="544" customFormat="1" x14ac:dyDescent="0.3">
      <c r="A211" s="555"/>
      <c r="B211" s="556" t="s">
        <v>72</v>
      </c>
      <c r="C211" s="611"/>
      <c r="D211" s="611"/>
      <c r="E211" s="611"/>
      <c r="F211" s="611"/>
      <c r="G211" s="582"/>
      <c r="H211" s="582"/>
      <c r="I211" s="582"/>
      <c r="J211" s="582"/>
      <c r="K211" s="582"/>
      <c r="L211" s="582"/>
      <c r="M211" s="582"/>
      <c r="N211" s="582"/>
      <c r="O211" s="582"/>
      <c r="P211" s="582"/>
      <c r="Q211" s="582"/>
      <c r="R211" s="582"/>
      <c r="S211" s="582"/>
      <c r="T211" s="575">
        <f>T209-T210</f>
        <v>-4.9799999999999983E-3</v>
      </c>
      <c r="U211" s="556"/>
      <c r="V211" s="556"/>
      <c r="W211" s="558"/>
      <c r="X211" s="543"/>
    </row>
    <row r="212" spans="1:24" s="544" customFormat="1" x14ac:dyDescent="0.3">
      <c r="A212" s="555"/>
      <c r="B212" s="556" t="s">
        <v>73</v>
      </c>
      <c r="C212" s="611"/>
      <c r="D212" s="611"/>
      <c r="E212" s="611"/>
      <c r="F212" s="611"/>
      <c r="G212" s="582"/>
      <c r="H212" s="582"/>
      <c r="I212" s="582"/>
      <c r="J212" s="582"/>
      <c r="K212" s="582"/>
      <c r="L212" s="582"/>
      <c r="M212" s="582"/>
      <c r="N212" s="582"/>
      <c r="O212" s="582"/>
      <c r="P212" s="582"/>
      <c r="Q212" s="582"/>
      <c r="R212" s="582"/>
      <c r="S212" s="582"/>
      <c r="T212" s="575">
        <v>2.6370000000000001E-2</v>
      </c>
      <c r="U212" s="556"/>
      <c r="V212" s="556"/>
      <c r="W212" s="558"/>
      <c r="X212" s="543"/>
    </row>
    <row r="213" spans="1:24" s="544" customFormat="1" x14ac:dyDescent="0.3">
      <c r="A213" s="555"/>
      <c r="B213" s="556" t="s">
        <v>219</v>
      </c>
      <c r="C213" s="611"/>
      <c r="D213" s="611"/>
      <c r="E213" s="611"/>
      <c r="F213" s="611"/>
      <c r="G213" s="582"/>
      <c r="H213" s="582"/>
      <c r="I213" s="582"/>
      <c r="J213" s="582"/>
      <c r="K213" s="582"/>
      <c r="L213" s="582"/>
      <c r="M213" s="582"/>
      <c r="N213" s="582"/>
      <c r="O213" s="582"/>
      <c r="P213" s="582"/>
      <c r="Q213" s="582"/>
      <c r="R213" s="582"/>
      <c r="S213" s="582"/>
      <c r="T213" s="575">
        <f>V43</f>
        <v>1.117530930354084E-2</v>
      </c>
      <c r="U213" s="556"/>
      <c r="V213" s="556"/>
      <c r="W213" s="558"/>
      <c r="X213" s="543"/>
    </row>
    <row r="214" spans="1:24" s="544" customFormat="1" x14ac:dyDescent="0.3">
      <c r="A214" s="555"/>
      <c r="B214" s="556" t="s">
        <v>74</v>
      </c>
      <c r="C214" s="611"/>
      <c r="D214" s="611"/>
      <c r="E214" s="611"/>
      <c r="F214" s="611"/>
      <c r="G214" s="582"/>
      <c r="H214" s="582"/>
      <c r="I214" s="582"/>
      <c r="J214" s="582"/>
      <c r="K214" s="582"/>
      <c r="L214" s="582"/>
      <c r="M214" s="582"/>
      <c r="N214" s="582"/>
      <c r="O214" s="582"/>
      <c r="P214" s="582"/>
      <c r="Q214" s="582"/>
      <c r="R214" s="582"/>
      <c r="S214" s="582"/>
      <c r="T214" s="575">
        <f>T212-T213</f>
        <v>1.5194690696459161E-2</v>
      </c>
      <c r="U214" s="556"/>
      <c r="V214" s="556"/>
      <c r="W214" s="558"/>
      <c r="X214" s="543"/>
    </row>
    <row r="215" spans="1:24" s="544" customFormat="1" x14ac:dyDescent="0.3">
      <c r="A215" s="555"/>
      <c r="B215" s="556" t="s">
        <v>242</v>
      </c>
      <c r="C215" s="611"/>
      <c r="D215" s="611"/>
      <c r="E215" s="611"/>
      <c r="F215" s="611"/>
      <c r="G215" s="582"/>
      <c r="H215" s="582"/>
      <c r="I215" s="582"/>
      <c r="J215" s="582"/>
      <c r="K215" s="582"/>
      <c r="L215" s="582"/>
      <c r="M215" s="582"/>
      <c r="N215" s="582"/>
      <c r="O215" s="582"/>
      <c r="P215" s="582"/>
      <c r="Q215" s="582"/>
      <c r="R215" s="582"/>
      <c r="S215" s="582"/>
      <c r="T215" s="575">
        <f>V100/N70</f>
        <v>7.0677700145251755E-3</v>
      </c>
      <c r="U215" s="556"/>
      <c r="V215" s="556"/>
      <c r="W215" s="558"/>
      <c r="X215" s="543"/>
    </row>
    <row r="216" spans="1:24" s="544" customFormat="1" x14ac:dyDescent="0.3">
      <c r="A216" s="555"/>
      <c r="B216" s="556" t="s">
        <v>208</v>
      </c>
      <c r="C216" s="611"/>
      <c r="D216" s="611"/>
      <c r="E216" s="611"/>
      <c r="F216" s="611"/>
      <c r="G216" s="582"/>
      <c r="H216" s="582"/>
      <c r="I216" s="582"/>
      <c r="J216" s="582"/>
      <c r="K216" s="582"/>
      <c r="L216" s="582"/>
      <c r="M216" s="582"/>
      <c r="N216" s="582"/>
      <c r="O216" s="582"/>
      <c r="P216" s="582"/>
      <c r="Q216" s="582"/>
      <c r="R216" s="582"/>
      <c r="S216" s="582"/>
      <c r="T216" s="612">
        <v>51014</v>
      </c>
      <c r="U216" s="556"/>
      <c r="V216" s="556"/>
      <c r="W216" s="558"/>
      <c r="X216" s="543"/>
    </row>
    <row r="217" spans="1:24" s="544" customFormat="1" x14ac:dyDescent="0.3">
      <c r="A217" s="555"/>
      <c r="B217" s="556" t="s">
        <v>209</v>
      </c>
      <c r="C217" s="611"/>
      <c r="D217" s="611"/>
      <c r="E217" s="611"/>
      <c r="F217" s="611"/>
      <c r="G217" s="582"/>
      <c r="H217" s="582"/>
      <c r="I217" s="582"/>
      <c r="J217" s="582"/>
      <c r="K217" s="582"/>
      <c r="L217" s="582"/>
      <c r="M217" s="582"/>
      <c r="N217" s="582"/>
      <c r="O217" s="582"/>
      <c r="P217" s="582"/>
      <c r="Q217" s="582"/>
      <c r="R217" s="582"/>
      <c r="S217" s="582"/>
      <c r="T217" s="612">
        <v>51014</v>
      </c>
      <c r="U217" s="556"/>
      <c r="V217" s="556"/>
      <c r="W217" s="558"/>
      <c r="X217" s="543"/>
    </row>
    <row r="218" spans="1:24" s="544" customFormat="1" x14ac:dyDescent="0.3">
      <c r="A218" s="555"/>
      <c r="B218" s="556" t="s">
        <v>210</v>
      </c>
      <c r="C218" s="611"/>
      <c r="D218" s="611"/>
      <c r="E218" s="611"/>
      <c r="F218" s="611"/>
      <c r="G218" s="582"/>
      <c r="H218" s="582"/>
      <c r="I218" s="582"/>
      <c r="J218" s="582"/>
      <c r="K218" s="582"/>
      <c r="L218" s="582"/>
      <c r="M218" s="582"/>
      <c r="N218" s="582"/>
      <c r="O218" s="582"/>
      <c r="P218" s="582"/>
      <c r="Q218" s="582"/>
      <c r="R218" s="582"/>
      <c r="S218" s="582"/>
      <c r="T218" s="612">
        <v>51014</v>
      </c>
      <c r="U218" s="556"/>
      <c r="V218" s="556"/>
      <c r="W218" s="558"/>
      <c r="X218" s="543"/>
    </row>
    <row r="219" spans="1:24" s="544" customFormat="1" x14ac:dyDescent="0.3">
      <c r="A219" s="555"/>
      <c r="B219" s="556" t="s">
        <v>75</v>
      </c>
      <c r="C219" s="611"/>
      <c r="D219" s="611"/>
      <c r="E219" s="611"/>
      <c r="F219" s="611"/>
      <c r="G219" s="582"/>
      <c r="H219" s="582"/>
      <c r="I219" s="582"/>
      <c r="J219" s="582"/>
      <c r="K219" s="582"/>
      <c r="L219" s="582"/>
      <c r="M219" s="582"/>
      <c r="N219" s="582"/>
      <c r="O219" s="582"/>
      <c r="P219" s="582"/>
      <c r="Q219" s="582"/>
      <c r="R219" s="582"/>
      <c r="S219" s="582"/>
      <c r="T219" s="580">
        <v>20.66</v>
      </c>
      <c r="U219" s="556" t="s">
        <v>110</v>
      </c>
      <c r="V219" s="556"/>
      <c r="W219" s="558"/>
      <c r="X219" s="543"/>
    </row>
    <row r="220" spans="1:24" s="544" customFormat="1" x14ac:dyDescent="0.3">
      <c r="A220" s="555"/>
      <c r="B220" s="556" t="s">
        <v>76</v>
      </c>
      <c r="C220" s="611"/>
      <c r="D220" s="611"/>
      <c r="E220" s="611"/>
      <c r="F220" s="611"/>
      <c r="G220" s="582"/>
      <c r="H220" s="582"/>
      <c r="I220" s="582"/>
      <c r="J220" s="582"/>
      <c r="K220" s="582"/>
      <c r="L220" s="582"/>
      <c r="M220" s="582"/>
      <c r="N220" s="582"/>
      <c r="O220" s="582"/>
      <c r="P220" s="582"/>
      <c r="Q220" s="582"/>
      <c r="R220" s="582"/>
      <c r="S220" s="582"/>
      <c r="T220" s="580">
        <v>9.49</v>
      </c>
      <c r="U220" s="556" t="s">
        <v>110</v>
      </c>
      <c r="V220" s="556"/>
      <c r="W220" s="558"/>
      <c r="X220" s="543"/>
    </row>
    <row r="221" spans="1:24" s="544" customFormat="1" x14ac:dyDescent="0.3">
      <c r="A221" s="555"/>
      <c r="B221" s="556" t="s">
        <v>77</v>
      </c>
      <c r="C221" s="611"/>
      <c r="D221" s="611"/>
      <c r="E221" s="611"/>
      <c r="F221" s="611"/>
      <c r="G221" s="582"/>
      <c r="H221" s="582"/>
      <c r="I221" s="582"/>
      <c r="J221" s="582"/>
      <c r="K221" s="582"/>
      <c r="L221" s="582"/>
      <c r="M221" s="582"/>
      <c r="N221" s="582"/>
      <c r="O221" s="582"/>
      <c r="P221" s="582"/>
      <c r="Q221" s="582"/>
      <c r="R221" s="582"/>
      <c r="S221" s="582"/>
      <c r="T221" s="575">
        <f>+P67/N67</f>
        <v>1.6127450460670701E-2</v>
      </c>
      <c r="U221" s="556"/>
      <c r="V221" s="556"/>
      <c r="W221" s="558"/>
      <c r="X221" s="543"/>
    </row>
    <row r="222" spans="1:24" s="544" customFormat="1" x14ac:dyDescent="0.3">
      <c r="A222" s="555"/>
      <c r="B222" s="556" t="s">
        <v>78</v>
      </c>
      <c r="C222" s="611"/>
      <c r="D222" s="611"/>
      <c r="E222" s="611"/>
      <c r="F222" s="611"/>
      <c r="G222" s="582"/>
      <c r="H222" s="582"/>
      <c r="I222" s="582"/>
      <c r="J222" s="582"/>
      <c r="K222" s="582"/>
      <c r="L222" s="582"/>
      <c r="M222" s="582"/>
      <c r="N222" s="582"/>
      <c r="O222" s="582"/>
      <c r="P222" s="582"/>
      <c r="Q222" s="582"/>
      <c r="R222" s="582"/>
      <c r="S222" s="582"/>
      <c r="T222" s="575">
        <v>5.6300000000000003E-2</v>
      </c>
      <c r="U222" s="556"/>
      <c r="V222" s="556"/>
      <c r="W222" s="558"/>
      <c r="X222" s="543"/>
    </row>
    <row r="223" spans="1:24" x14ac:dyDescent="0.3">
      <c r="A223" s="463"/>
      <c r="B223" s="437"/>
      <c r="C223" s="437"/>
      <c r="D223" s="437"/>
      <c r="E223" s="437"/>
      <c r="F223" s="437"/>
      <c r="G223" s="437"/>
      <c r="H223" s="437"/>
      <c r="I223" s="437"/>
      <c r="J223" s="437"/>
      <c r="K223" s="437"/>
      <c r="L223" s="437"/>
      <c r="M223" s="437"/>
      <c r="N223" s="437"/>
      <c r="O223" s="437"/>
      <c r="P223" s="437"/>
      <c r="Q223" s="437"/>
      <c r="R223" s="437"/>
      <c r="S223" s="437"/>
      <c r="T223" s="454"/>
      <c r="U223" s="437"/>
      <c r="V223" s="465"/>
      <c r="W223" s="437"/>
      <c r="X223" s="415"/>
    </row>
    <row r="224" spans="1:24" x14ac:dyDescent="0.3">
      <c r="A224" s="533"/>
      <c r="B224" s="523" t="s">
        <v>79</v>
      </c>
      <c r="C224" s="524"/>
      <c r="D224" s="524"/>
      <c r="E224" s="524"/>
      <c r="F224" s="534"/>
      <c r="G224" s="524"/>
      <c r="H224" s="524"/>
      <c r="I224" s="524"/>
      <c r="J224" s="524"/>
      <c r="K224" s="524"/>
      <c r="L224" s="524"/>
      <c r="M224" s="524"/>
      <c r="N224" s="524"/>
      <c r="O224" s="524"/>
      <c r="P224" s="524"/>
      <c r="Q224" s="524"/>
      <c r="R224" s="524"/>
      <c r="S224" s="524" t="s">
        <v>102</v>
      </c>
      <c r="T224" s="534" t="s">
        <v>108</v>
      </c>
      <c r="U224" s="517"/>
      <c r="V224" s="517"/>
      <c r="W224" s="520"/>
      <c r="X224" s="415"/>
    </row>
    <row r="225" spans="1:24" s="544" customFormat="1" x14ac:dyDescent="0.3">
      <c r="A225" s="613"/>
      <c r="B225" s="588" t="s">
        <v>80</v>
      </c>
      <c r="C225" s="600"/>
      <c r="D225" s="600"/>
      <c r="E225" s="600"/>
      <c r="F225" s="588"/>
      <c r="G225" s="588"/>
      <c r="H225" s="614"/>
      <c r="I225" s="614"/>
      <c r="J225" s="614"/>
      <c r="K225" s="614"/>
      <c r="L225" s="614"/>
      <c r="M225" s="614"/>
      <c r="N225" s="614"/>
      <c r="O225" s="614"/>
      <c r="P225" s="614"/>
      <c r="Q225" s="614"/>
      <c r="R225" s="614"/>
      <c r="S225" s="614">
        <v>4</v>
      </c>
      <c r="T225" s="615">
        <v>626</v>
      </c>
      <c r="U225" s="588"/>
      <c r="V225" s="616"/>
      <c r="W225" s="617"/>
      <c r="X225" s="543"/>
    </row>
    <row r="226" spans="1:24" s="544" customFormat="1" x14ac:dyDescent="0.3">
      <c r="A226" s="618"/>
      <c r="B226" s="556" t="s">
        <v>145</v>
      </c>
      <c r="C226" s="598"/>
      <c r="D226" s="598"/>
      <c r="E226" s="598"/>
      <c r="F226" s="556"/>
      <c r="G226" s="556"/>
      <c r="H226" s="562"/>
      <c r="I226" s="562"/>
      <c r="J226" s="562"/>
      <c r="K226" s="562"/>
      <c r="L226" s="562"/>
      <c r="M226" s="562"/>
      <c r="N226" s="562"/>
      <c r="O226" s="562"/>
      <c r="P226" s="562"/>
      <c r="Q226" s="562"/>
      <c r="R226" s="562"/>
      <c r="S226" s="619">
        <f>+R278</f>
        <v>122</v>
      </c>
      <c r="T226" s="620">
        <f>+T278</f>
        <v>19219</v>
      </c>
      <c r="U226" s="556"/>
      <c r="V226" s="621"/>
      <c r="W226" s="622"/>
      <c r="X226" s="543"/>
    </row>
    <row r="227" spans="1:24" s="544" customFormat="1" x14ac:dyDescent="0.3">
      <c r="A227" s="618"/>
      <c r="B227" s="556" t="s">
        <v>81</v>
      </c>
      <c r="C227" s="598"/>
      <c r="D227" s="598"/>
      <c r="E227" s="598"/>
      <c r="F227" s="556"/>
      <c r="G227" s="556"/>
      <c r="H227" s="562"/>
      <c r="I227" s="562"/>
      <c r="J227" s="562"/>
      <c r="K227" s="562"/>
      <c r="L227" s="562"/>
      <c r="M227" s="562"/>
      <c r="N227" s="562"/>
      <c r="O227" s="562"/>
      <c r="P227" s="562"/>
      <c r="Q227" s="562"/>
      <c r="R227" s="562"/>
      <c r="S227" s="619">
        <f>+R290</f>
        <v>1</v>
      </c>
      <c r="T227" s="620">
        <f>+T290</f>
        <v>89</v>
      </c>
      <c r="U227" s="556"/>
      <c r="V227" s="621"/>
      <c r="W227" s="622"/>
      <c r="X227" s="543"/>
    </row>
    <row r="228" spans="1:24" x14ac:dyDescent="0.3">
      <c r="A228" s="466"/>
      <c r="B228" s="493" t="s">
        <v>82</v>
      </c>
      <c r="C228" s="467"/>
      <c r="D228" s="467"/>
      <c r="E228" s="467"/>
      <c r="F228" s="434"/>
      <c r="G228" s="434"/>
      <c r="H228" s="434"/>
      <c r="I228" s="434"/>
      <c r="J228" s="434"/>
      <c r="K228" s="434"/>
      <c r="L228" s="434"/>
      <c r="M228" s="434"/>
      <c r="N228" s="434"/>
      <c r="O228" s="434"/>
      <c r="P228" s="434"/>
      <c r="Q228" s="434"/>
      <c r="R228" s="434"/>
      <c r="S228" s="434"/>
      <c r="T228" s="620">
        <v>0</v>
      </c>
      <c r="U228" s="434"/>
      <c r="V228" s="468"/>
      <c r="W228" s="469"/>
      <c r="X228" s="415"/>
    </row>
    <row r="229" spans="1:24" x14ac:dyDescent="0.3">
      <c r="A229" s="466"/>
      <c r="B229" s="493" t="s">
        <v>243</v>
      </c>
      <c r="C229" s="467"/>
      <c r="D229" s="467"/>
      <c r="E229" s="467"/>
      <c r="F229" s="434"/>
      <c r="G229" s="434"/>
      <c r="H229" s="434"/>
      <c r="I229" s="434"/>
      <c r="J229" s="434"/>
      <c r="K229" s="434"/>
      <c r="L229" s="434"/>
      <c r="M229" s="434"/>
      <c r="N229" s="434"/>
      <c r="O229" s="434"/>
      <c r="P229" s="434"/>
      <c r="Q229" s="434"/>
      <c r="R229" s="434"/>
      <c r="S229" s="434"/>
      <c r="T229" s="620">
        <f>+N80</f>
        <v>0</v>
      </c>
      <c r="U229" s="434"/>
      <c r="V229" s="468"/>
      <c r="W229" s="469"/>
      <c r="X229" s="415"/>
    </row>
    <row r="230" spans="1:24" x14ac:dyDescent="0.3">
      <c r="A230" s="470"/>
      <c r="B230" s="493" t="s">
        <v>83</v>
      </c>
      <c r="C230" s="471"/>
      <c r="D230" s="471"/>
      <c r="E230" s="471"/>
      <c r="F230" s="471"/>
      <c r="G230" s="434"/>
      <c r="H230" s="434"/>
      <c r="I230" s="434"/>
      <c r="J230" s="434"/>
      <c r="K230" s="434"/>
      <c r="L230" s="434"/>
      <c r="M230" s="434"/>
      <c r="N230" s="434"/>
      <c r="O230" s="434"/>
      <c r="P230" s="434"/>
      <c r="Q230" s="434"/>
      <c r="R230" s="434"/>
      <c r="S230" s="434"/>
      <c r="T230" s="472"/>
      <c r="U230" s="434"/>
      <c r="V230" s="468"/>
      <c r="W230" s="473"/>
      <c r="X230" s="415"/>
    </row>
    <row r="231" spans="1:24" s="544" customFormat="1" x14ac:dyDescent="0.3">
      <c r="A231" s="623"/>
      <c r="B231" s="556" t="s">
        <v>84</v>
      </c>
      <c r="C231" s="556"/>
      <c r="D231" s="556"/>
      <c r="E231" s="556"/>
      <c r="F231" s="556"/>
      <c r="G231" s="556"/>
      <c r="H231" s="556"/>
      <c r="I231" s="556"/>
      <c r="J231" s="556"/>
      <c r="K231" s="556"/>
      <c r="L231" s="556"/>
      <c r="M231" s="556"/>
      <c r="N231" s="556"/>
      <c r="O231" s="556"/>
      <c r="P231" s="556"/>
      <c r="Q231" s="556"/>
      <c r="R231" s="556"/>
      <c r="S231" s="562"/>
      <c r="T231" s="620">
        <f>V169</f>
        <v>62</v>
      </c>
      <c r="U231" s="556"/>
      <c r="V231" s="621"/>
      <c r="W231" s="624"/>
      <c r="X231" s="543"/>
    </row>
    <row r="232" spans="1:24" s="544" customFormat="1" x14ac:dyDescent="0.3">
      <c r="A232" s="618"/>
      <c r="B232" s="556" t="s">
        <v>85</v>
      </c>
      <c r="C232" s="598"/>
      <c r="D232" s="598"/>
      <c r="E232" s="598"/>
      <c r="F232" s="598"/>
      <c r="G232" s="556"/>
      <c r="H232" s="556"/>
      <c r="I232" s="556"/>
      <c r="J232" s="556"/>
      <c r="K232" s="556"/>
      <c r="L232" s="556"/>
      <c r="M232" s="556"/>
      <c r="N232" s="556"/>
      <c r="O232" s="556"/>
      <c r="P232" s="556"/>
      <c r="Q232" s="556"/>
      <c r="R232" s="556"/>
      <c r="S232" s="562"/>
      <c r="T232" s="620">
        <f>'Aug 19'!T232+T231</f>
        <v>8897</v>
      </c>
      <c r="U232" s="556"/>
      <c r="V232" s="621"/>
      <c r="W232" s="624"/>
      <c r="X232" s="543"/>
    </row>
    <row r="233" spans="1:24" x14ac:dyDescent="0.3">
      <c r="A233" s="470"/>
      <c r="B233" s="493" t="s">
        <v>295</v>
      </c>
      <c r="C233" s="471"/>
      <c r="D233" s="471"/>
      <c r="E233" s="471"/>
      <c r="F233" s="471"/>
      <c r="G233" s="434"/>
      <c r="H233" s="434"/>
      <c r="I233" s="434"/>
      <c r="J233" s="434"/>
      <c r="K233" s="434"/>
      <c r="L233" s="434"/>
      <c r="M233" s="434"/>
      <c r="N233" s="434"/>
      <c r="O233" s="434"/>
      <c r="P233" s="434"/>
      <c r="Q233" s="434"/>
      <c r="R233" s="434"/>
      <c r="S233" s="435"/>
      <c r="T233" s="472"/>
      <c r="U233" s="434"/>
      <c r="V233" s="468"/>
      <c r="W233" s="473"/>
      <c r="X233" s="415"/>
    </row>
    <row r="234" spans="1:24" s="544" customFormat="1" x14ac:dyDescent="0.3">
      <c r="A234" s="623"/>
      <c r="B234" s="556" t="s">
        <v>291</v>
      </c>
      <c r="C234" s="556"/>
      <c r="D234" s="556"/>
      <c r="E234" s="556"/>
      <c r="F234" s="556"/>
      <c r="G234" s="556"/>
      <c r="H234" s="556"/>
      <c r="I234" s="556"/>
      <c r="J234" s="556"/>
      <c r="K234" s="556"/>
      <c r="L234" s="556"/>
      <c r="M234" s="556"/>
      <c r="N234" s="556"/>
      <c r="O234" s="556"/>
      <c r="P234" s="556"/>
      <c r="Q234" s="556"/>
      <c r="R234" s="556"/>
      <c r="S234" s="562">
        <v>0</v>
      </c>
      <c r="T234" s="620">
        <v>0</v>
      </c>
      <c r="U234" s="556"/>
      <c r="V234" s="621"/>
      <c r="W234" s="624"/>
      <c r="X234" s="543"/>
    </row>
    <row r="235" spans="1:24" s="544" customFormat="1" x14ac:dyDescent="0.3">
      <c r="A235" s="618"/>
      <c r="B235" s="556" t="s">
        <v>86</v>
      </c>
      <c r="C235" s="578"/>
      <c r="D235" s="578"/>
      <c r="E235" s="578"/>
      <c r="F235" s="625"/>
      <c r="G235" s="556"/>
      <c r="H235" s="556"/>
      <c r="I235" s="556"/>
      <c r="J235" s="556"/>
      <c r="K235" s="556"/>
      <c r="L235" s="556"/>
      <c r="M235" s="556"/>
      <c r="N235" s="556"/>
      <c r="O235" s="556"/>
      <c r="P235" s="556"/>
      <c r="Q235" s="556"/>
      <c r="R235" s="556"/>
      <c r="S235" s="556"/>
      <c r="T235" s="626">
        <v>0</v>
      </c>
      <c r="U235" s="556"/>
      <c r="V235" s="621"/>
      <c r="W235" s="624"/>
      <c r="X235" s="543"/>
    </row>
    <row r="236" spans="1:24" s="544" customFormat="1" x14ac:dyDescent="0.3">
      <c r="A236" s="618"/>
      <c r="B236" s="556" t="s">
        <v>87</v>
      </c>
      <c r="C236" s="578"/>
      <c r="D236" s="578"/>
      <c r="E236" s="578"/>
      <c r="F236" s="625"/>
      <c r="G236" s="556"/>
      <c r="H236" s="556"/>
      <c r="I236" s="556"/>
      <c r="J236" s="556"/>
      <c r="K236" s="556"/>
      <c r="L236" s="556"/>
      <c r="M236" s="556"/>
      <c r="N236" s="556"/>
      <c r="O236" s="556"/>
      <c r="P236" s="556"/>
      <c r="Q236" s="556"/>
      <c r="R236" s="556"/>
      <c r="S236" s="556"/>
      <c r="T236" s="626">
        <v>0</v>
      </c>
      <c r="U236" s="556"/>
      <c r="V236" s="621"/>
      <c r="W236" s="624"/>
      <c r="X236" s="543"/>
    </row>
    <row r="237" spans="1:24" x14ac:dyDescent="0.3">
      <c r="A237" s="466"/>
      <c r="B237" s="493" t="s">
        <v>217</v>
      </c>
      <c r="C237" s="474"/>
      <c r="D237" s="474"/>
      <c r="E237" s="474"/>
      <c r="F237" s="475"/>
      <c r="G237" s="434"/>
      <c r="H237" s="434"/>
      <c r="I237" s="434"/>
      <c r="J237" s="434"/>
      <c r="K237" s="434"/>
      <c r="L237" s="434"/>
      <c r="M237" s="434"/>
      <c r="N237" s="434"/>
      <c r="O237" s="434"/>
      <c r="P237" s="434"/>
      <c r="Q237" s="434"/>
      <c r="R237" s="434"/>
      <c r="S237" s="434"/>
      <c r="T237" s="476"/>
      <c r="U237" s="434"/>
      <c r="V237" s="468"/>
      <c r="W237" s="473"/>
      <c r="X237" s="415"/>
    </row>
    <row r="238" spans="1:24" s="544" customFormat="1" x14ac:dyDescent="0.3">
      <c r="A238" s="618"/>
      <c r="B238" s="556" t="s">
        <v>291</v>
      </c>
      <c r="C238" s="578"/>
      <c r="D238" s="578"/>
      <c r="E238" s="578"/>
      <c r="F238" s="625"/>
      <c r="G238" s="556"/>
      <c r="H238" s="556"/>
      <c r="I238" s="556"/>
      <c r="J238" s="556"/>
      <c r="K238" s="556"/>
      <c r="L238" s="556"/>
      <c r="M238" s="556"/>
      <c r="N238" s="556"/>
      <c r="O238" s="556"/>
      <c r="P238" s="556"/>
      <c r="Q238" s="556"/>
      <c r="R238" s="556"/>
      <c r="S238" s="562">
        <v>5</v>
      </c>
      <c r="T238" s="620">
        <v>802</v>
      </c>
      <c r="U238" s="556"/>
      <c r="V238" s="621"/>
      <c r="W238" s="624"/>
      <c r="X238" s="543"/>
    </row>
    <row r="239" spans="1:24" s="544" customFormat="1" x14ac:dyDescent="0.3">
      <c r="A239" s="618"/>
      <c r="B239" s="556" t="s">
        <v>218</v>
      </c>
      <c r="C239" s="578"/>
      <c r="D239" s="578"/>
      <c r="E239" s="578"/>
      <c r="F239" s="625"/>
      <c r="G239" s="556"/>
      <c r="H239" s="556"/>
      <c r="I239" s="556"/>
      <c r="J239" s="556"/>
      <c r="K239" s="556"/>
      <c r="L239" s="556"/>
      <c r="M239" s="556"/>
      <c r="N239" s="556"/>
      <c r="O239" s="556"/>
      <c r="P239" s="556"/>
      <c r="Q239" s="556"/>
      <c r="R239" s="556"/>
      <c r="S239" s="556"/>
      <c r="T239" s="626">
        <v>7.22</v>
      </c>
      <c r="U239" s="556"/>
      <c r="V239" s="621"/>
      <c r="W239" s="624"/>
      <c r="X239" s="543"/>
    </row>
    <row r="240" spans="1:24" x14ac:dyDescent="0.3">
      <c r="A240" s="466"/>
      <c r="B240" s="471"/>
      <c r="C240" s="474"/>
      <c r="D240" s="474"/>
      <c r="E240" s="474"/>
      <c r="F240" s="475"/>
      <c r="G240" s="434"/>
      <c r="H240" s="434"/>
      <c r="I240" s="434"/>
      <c r="J240" s="434"/>
      <c r="K240" s="434"/>
      <c r="L240" s="434"/>
      <c r="M240" s="434"/>
      <c r="N240" s="434"/>
      <c r="O240" s="434"/>
      <c r="P240" s="434"/>
      <c r="Q240" s="434"/>
      <c r="R240" s="434"/>
      <c r="S240" s="434"/>
      <c r="T240" s="476"/>
      <c r="U240" s="434"/>
      <c r="V240" s="468"/>
      <c r="W240" s="473"/>
      <c r="X240" s="415"/>
    </row>
    <row r="241" spans="1:25" x14ac:dyDescent="0.3">
      <c r="A241" s="466"/>
      <c r="B241" s="471"/>
      <c r="C241" s="474"/>
      <c r="D241" s="474"/>
      <c r="E241" s="474"/>
      <c r="F241" s="475"/>
      <c r="G241" s="434"/>
      <c r="H241" s="434"/>
      <c r="I241" s="434"/>
      <c r="J241" s="434"/>
      <c r="K241" s="434"/>
      <c r="L241" s="434"/>
      <c r="M241" s="434"/>
      <c r="N241" s="434"/>
      <c r="O241" s="434"/>
      <c r="P241" s="434"/>
      <c r="Q241" s="434"/>
      <c r="R241" s="434"/>
      <c r="S241" s="434"/>
      <c r="T241" s="476"/>
      <c r="U241" s="434"/>
      <c r="V241" s="468"/>
      <c r="W241" s="473"/>
      <c r="X241" s="415"/>
    </row>
    <row r="242" spans="1:25" ht="18" x14ac:dyDescent="0.35">
      <c r="A242" s="466"/>
      <c r="B242" s="512" t="s">
        <v>168</v>
      </c>
      <c r="C242" s="474"/>
      <c r="D242" s="474"/>
      <c r="E242" s="474"/>
      <c r="F242" s="475"/>
      <c r="G242" s="434"/>
      <c r="H242" s="434"/>
      <c r="I242" s="434"/>
      <c r="J242" s="434"/>
      <c r="K242" s="434"/>
      <c r="L242" s="434"/>
      <c r="M242" s="434"/>
      <c r="N242" s="434"/>
      <c r="O242" s="434"/>
      <c r="P242" s="513" t="s">
        <v>371</v>
      </c>
      <c r="Q242" s="434"/>
      <c r="R242" s="434"/>
      <c r="S242" s="434"/>
      <c r="T242" s="476"/>
      <c r="U242" s="434"/>
      <c r="V242" s="468"/>
      <c r="W242" s="473"/>
      <c r="X242" s="415"/>
    </row>
    <row r="243" spans="1:25" x14ac:dyDescent="0.3">
      <c r="A243" s="477"/>
      <c r="B243" s="511"/>
      <c r="C243" s="478"/>
      <c r="D243" s="478"/>
      <c r="E243" s="478"/>
      <c r="F243" s="479"/>
      <c r="G243" s="441"/>
      <c r="H243" s="441"/>
      <c r="I243" s="441"/>
      <c r="J243" s="441"/>
      <c r="K243" s="441"/>
      <c r="L243" s="441"/>
      <c r="M243" s="441"/>
      <c r="N243" s="441"/>
      <c r="O243" s="441"/>
      <c r="P243" s="441"/>
      <c r="Q243" s="441"/>
      <c r="R243" s="441"/>
      <c r="S243" s="441"/>
      <c r="T243" s="480"/>
      <c r="U243" s="441"/>
      <c r="V243" s="481"/>
      <c r="W243" s="482"/>
      <c r="X243" s="415"/>
    </row>
    <row r="244" spans="1:25" x14ac:dyDescent="0.3">
      <c r="A244" s="515"/>
      <c r="B244" s="523" t="s">
        <v>308</v>
      </c>
      <c r="C244" s="524"/>
      <c r="D244" s="524"/>
      <c r="E244" s="524"/>
      <c r="F244" s="534"/>
      <c r="G244" s="524"/>
      <c r="H244" s="524"/>
      <c r="I244" s="524"/>
      <c r="J244" s="524"/>
      <c r="K244" s="524"/>
      <c r="L244" s="524"/>
      <c r="M244" s="524"/>
      <c r="N244" s="524"/>
      <c r="O244" s="524"/>
      <c r="P244" s="524"/>
      <c r="Q244" s="524"/>
      <c r="R244" s="534" t="s">
        <v>102</v>
      </c>
      <c r="S244" s="524" t="s">
        <v>103</v>
      </c>
      <c r="T244" s="534" t="s">
        <v>109</v>
      </c>
      <c r="U244" s="524" t="s">
        <v>103</v>
      </c>
      <c r="V244" s="517"/>
      <c r="W244" s="535"/>
      <c r="X244" s="415"/>
    </row>
    <row r="245" spans="1:25" s="544" customFormat="1" x14ac:dyDescent="0.3">
      <c r="A245" s="540"/>
      <c r="B245" s="600" t="s">
        <v>88</v>
      </c>
      <c r="C245" s="627"/>
      <c r="D245" s="627"/>
      <c r="E245" s="627"/>
      <c r="F245" s="588"/>
      <c r="G245" s="627"/>
      <c r="H245" s="627"/>
      <c r="I245" s="627"/>
      <c r="J245" s="627"/>
      <c r="K245" s="627"/>
      <c r="L245" s="627"/>
      <c r="M245" s="627"/>
      <c r="N245" s="627"/>
      <c r="O245" s="627"/>
      <c r="P245" s="627"/>
      <c r="Q245" s="627"/>
      <c r="R245" s="600">
        <f t="shared" ref="R245:R252" si="1">+R257+R269+R281</f>
        <v>5423</v>
      </c>
      <c r="S245" s="628">
        <f t="shared" ref="S245:S252" si="2">R245/$R$254</f>
        <v>0.99249633967789164</v>
      </c>
      <c r="T245" s="601">
        <f t="shared" ref="T245:T252" si="3">+T257+T269+T281</f>
        <v>735009</v>
      </c>
      <c r="U245" s="628">
        <f t="shared" ref="U245:U252" si="4">T245/$T$254</f>
        <v>0.99006712168786193</v>
      </c>
      <c r="V245" s="616"/>
      <c r="W245" s="629"/>
      <c r="X245" s="543"/>
    </row>
    <row r="246" spans="1:25" s="544" customFormat="1" x14ac:dyDescent="0.3">
      <c r="A246" s="555"/>
      <c r="B246" s="598" t="s">
        <v>89</v>
      </c>
      <c r="C246" s="630"/>
      <c r="D246" s="630"/>
      <c r="E246" s="630"/>
      <c r="F246" s="556"/>
      <c r="G246" s="631"/>
      <c r="H246" s="630"/>
      <c r="I246" s="630"/>
      <c r="J246" s="630"/>
      <c r="K246" s="630"/>
      <c r="L246" s="630"/>
      <c r="M246" s="630"/>
      <c r="N246" s="630"/>
      <c r="O246" s="630"/>
      <c r="P246" s="630"/>
      <c r="Q246" s="630"/>
      <c r="R246" s="598">
        <f t="shared" si="1"/>
        <v>13</v>
      </c>
      <c r="S246" s="631">
        <f t="shared" si="2"/>
        <v>2.3792093704245974E-3</v>
      </c>
      <c r="T246" s="599">
        <f t="shared" si="3"/>
        <v>1843</v>
      </c>
      <c r="U246" s="631">
        <f t="shared" si="4"/>
        <v>2.4825460712327736E-3</v>
      </c>
      <c r="V246" s="621"/>
      <c r="W246" s="624"/>
      <c r="X246" s="543"/>
      <c r="Y246" s="604"/>
    </row>
    <row r="247" spans="1:25" s="544" customFormat="1" x14ac:dyDescent="0.3">
      <c r="A247" s="555"/>
      <c r="B247" s="598" t="s">
        <v>90</v>
      </c>
      <c r="C247" s="630"/>
      <c r="D247" s="630"/>
      <c r="E247" s="630"/>
      <c r="F247" s="556"/>
      <c r="G247" s="631"/>
      <c r="H247" s="630"/>
      <c r="I247" s="630"/>
      <c r="J247" s="630"/>
      <c r="K247" s="630"/>
      <c r="L247" s="630"/>
      <c r="M247" s="630"/>
      <c r="N247" s="630"/>
      <c r="O247" s="630"/>
      <c r="P247" s="630"/>
      <c r="Q247" s="630"/>
      <c r="R247" s="598">
        <f t="shared" si="1"/>
        <v>14</v>
      </c>
      <c r="S247" s="631">
        <f t="shared" si="2"/>
        <v>2.5622254758418742E-3</v>
      </c>
      <c r="T247" s="599">
        <f t="shared" si="3"/>
        <v>2163</v>
      </c>
      <c r="U247" s="631">
        <f t="shared" si="4"/>
        <v>2.9135904243496953E-3</v>
      </c>
      <c r="V247" s="621"/>
      <c r="W247" s="624"/>
      <c r="X247" s="543"/>
    </row>
    <row r="248" spans="1:25" s="544" customFormat="1" x14ac:dyDescent="0.3">
      <c r="A248" s="555"/>
      <c r="B248" s="598" t="s">
        <v>156</v>
      </c>
      <c r="C248" s="630"/>
      <c r="D248" s="630"/>
      <c r="E248" s="630"/>
      <c r="F248" s="556"/>
      <c r="G248" s="631"/>
      <c r="H248" s="630"/>
      <c r="I248" s="630"/>
      <c r="J248" s="630"/>
      <c r="K248" s="630"/>
      <c r="L248" s="630"/>
      <c r="M248" s="630"/>
      <c r="N248" s="630"/>
      <c r="O248" s="630"/>
      <c r="P248" s="630"/>
      <c r="Q248" s="630"/>
      <c r="R248" s="598">
        <f t="shared" si="1"/>
        <v>1</v>
      </c>
      <c r="S248" s="631">
        <f t="shared" si="2"/>
        <v>1.8301610541727673E-4</v>
      </c>
      <c r="T248" s="599">
        <f t="shared" si="3"/>
        <v>122</v>
      </c>
      <c r="U248" s="631">
        <f t="shared" si="4"/>
        <v>1.6433565962582655E-4</v>
      </c>
      <c r="V248" s="621"/>
      <c r="W248" s="624"/>
      <c r="X248" s="543"/>
      <c r="Y248" s="604"/>
    </row>
    <row r="249" spans="1:25" s="544" customFormat="1" x14ac:dyDescent="0.3">
      <c r="A249" s="555"/>
      <c r="B249" s="598" t="s">
        <v>157</v>
      </c>
      <c r="C249" s="630"/>
      <c r="D249" s="630"/>
      <c r="E249" s="630"/>
      <c r="F249" s="556"/>
      <c r="G249" s="631"/>
      <c r="H249" s="630"/>
      <c r="I249" s="630"/>
      <c r="J249" s="630"/>
      <c r="K249" s="630"/>
      <c r="L249" s="630"/>
      <c r="M249" s="630"/>
      <c r="N249" s="630"/>
      <c r="O249" s="630"/>
      <c r="P249" s="630"/>
      <c r="Q249" s="630"/>
      <c r="R249" s="598">
        <f t="shared" si="1"/>
        <v>1</v>
      </c>
      <c r="S249" s="631">
        <f t="shared" si="2"/>
        <v>1.8301610541727673E-4</v>
      </c>
      <c r="T249" s="599">
        <f t="shared" si="3"/>
        <v>101</v>
      </c>
      <c r="U249" s="631">
        <f t="shared" si="4"/>
        <v>1.3604837395252855E-4</v>
      </c>
      <c r="V249" s="621"/>
      <c r="W249" s="624"/>
      <c r="X249" s="543"/>
    </row>
    <row r="250" spans="1:25" s="544" customFormat="1" x14ac:dyDescent="0.3">
      <c r="A250" s="555"/>
      <c r="B250" s="598" t="s">
        <v>158</v>
      </c>
      <c r="C250" s="630"/>
      <c r="D250" s="630"/>
      <c r="E250" s="630"/>
      <c r="F250" s="556"/>
      <c r="G250" s="631"/>
      <c r="H250" s="630"/>
      <c r="I250" s="630"/>
      <c r="J250" s="630"/>
      <c r="K250" s="630"/>
      <c r="L250" s="630"/>
      <c r="M250" s="630"/>
      <c r="N250" s="630"/>
      <c r="O250" s="630"/>
      <c r="P250" s="630"/>
      <c r="Q250" s="630"/>
      <c r="R250" s="598">
        <f t="shared" si="1"/>
        <v>4</v>
      </c>
      <c r="S250" s="631">
        <f t="shared" si="2"/>
        <v>7.320644216691069E-4</v>
      </c>
      <c r="T250" s="599">
        <f t="shared" si="3"/>
        <v>1996</v>
      </c>
      <c r="U250" s="631">
        <f t="shared" si="4"/>
        <v>2.6886391525668017E-3</v>
      </c>
      <c r="V250" s="621"/>
      <c r="W250" s="624"/>
      <c r="X250" s="543"/>
      <c r="Y250" s="604"/>
    </row>
    <row r="251" spans="1:25" s="544" customFormat="1" x14ac:dyDescent="0.3">
      <c r="A251" s="555"/>
      <c r="B251" s="598" t="s">
        <v>159</v>
      </c>
      <c r="C251" s="630"/>
      <c r="D251" s="630"/>
      <c r="E251" s="630"/>
      <c r="F251" s="556"/>
      <c r="G251" s="631"/>
      <c r="H251" s="630"/>
      <c r="I251" s="630"/>
      <c r="J251" s="630"/>
      <c r="K251" s="630"/>
      <c r="L251" s="630"/>
      <c r="M251" s="630"/>
      <c r="N251" s="630"/>
      <c r="O251" s="630"/>
      <c r="P251" s="630"/>
      <c r="Q251" s="630"/>
      <c r="R251" s="598">
        <f t="shared" si="1"/>
        <v>8</v>
      </c>
      <c r="S251" s="631">
        <f t="shared" si="2"/>
        <v>1.4641288433382138E-3</v>
      </c>
      <c r="T251" s="599">
        <f t="shared" si="3"/>
        <v>1149</v>
      </c>
      <c r="U251" s="631">
        <f t="shared" si="4"/>
        <v>1.5477186304104485E-3</v>
      </c>
      <c r="V251" s="621"/>
      <c r="W251" s="624"/>
      <c r="X251" s="543"/>
    </row>
    <row r="252" spans="1:25" s="544" customFormat="1" x14ac:dyDescent="0.3">
      <c r="A252" s="555"/>
      <c r="B252" s="598" t="s">
        <v>160</v>
      </c>
      <c r="C252" s="630"/>
      <c r="D252" s="630"/>
      <c r="E252" s="630"/>
      <c r="F252" s="556"/>
      <c r="G252" s="631"/>
      <c r="H252" s="630"/>
      <c r="I252" s="630"/>
      <c r="J252" s="630"/>
      <c r="K252" s="630"/>
      <c r="L252" s="630"/>
      <c r="M252" s="630"/>
      <c r="N252" s="630"/>
      <c r="O252" s="630"/>
      <c r="P252" s="630"/>
      <c r="Q252" s="630"/>
      <c r="R252" s="600">
        <f t="shared" si="1"/>
        <v>0</v>
      </c>
      <c r="S252" s="628">
        <f t="shared" si="2"/>
        <v>0</v>
      </c>
      <c r="T252" s="601">
        <f t="shared" si="3"/>
        <v>0</v>
      </c>
      <c r="U252" s="628">
        <f t="shared" si="4"/>
        <v>0</v>
      </c>
      <c r="V252" s="621"/>
      <c r="W252" s="624"/>
      <c r="X252" s="543"/>
      <c r="Y252" s="604"/>
    </row>
    <row r="253" spans="1:25" s="544" customFormat="1" x14ac:dyDescent="0.3">
      <c r="A253" s="555"/>
      <c r="B253" s="598"/>
      <c r="C253" s="630"/>
      <c r="D253" s="630"/>
      <c r="E253" s="630"/>
      <c r="F253" s="556"/>
      <c r="G253" s="631"/>
      <c r="H253" s="630"/>
      <c r="I253" s="630"/>
      <c r="J253" s="630"/>
      <c r="K253" s="630"/>
      <c r="L253" s="630"/>
      <c r="M253" s="630"/>
      <c r="N253" s="630"/>
      <c r="O253" s="630"/>
      <c r="P253" s="630"/>
      <c r="Q253" s="630"/>
      <c r="R253" s="598"/>
      <c r="S253" s="631"/>
      <c r="T253" s="599"/>
      <c r="U253" s="631"/>
      <c r="V253" s="621"/>
      <c r="W253" s="624"/>
      <c r="X253" s="543"/>
    </row>
    <row r="254" spans="1:25" s="544" customFormat="1" x14ac:dyDescent="0.3">
      <c r="A254" s="555"/>
      <c r="B254" s="556"/>
      <c r="C254" s="556"/>
      <c r="D254" s="556"/>
      <c r="E254" s="556"/>
      <c r="F254" s="556"/>
      <c r="G254" s="556"/>
      <c r="H254" s="632"/>
      <c r="I254" s="632"/>
      <c r="J254" s="632"/>
      <c r="K254" s="632"/>
      <c r="L254" s="632"/>
      <c r="M254" s="632"/>
      <c r="N254" s="632"/>
      <c r="O254" s="632"/>
      <c r="P254" s="632"/>
      <c r="Q254" s="632"/>
      <c r="R254" s="598">
        <f>SUM(R245:R253)</f>
        <v>5464</v>
      </c>
      <c r="S254" s="631">
        <f>SUM(S245:S253)</f>
        <v>0.99999999999999989</v>
      </c>
      <c r="T254" s="599">
        <f>SUM(T245:T253)</f>
        <v>742383</v>
      </c>
      <c r="U254" s="631">
        <f>SUM(U245:U253)</f>
        <v>1</v>
      </c>
      <c r="V254" s="556"/>
      <c r="W254" s="558"/>
      <c r="X254" s="543"/>
    </row>
    <row r="255" spans="1:25" x14ac:dyDescent="0.3">
      <c r="A255" s="417"/>
      <c r="B255" s="441"/>
      <c r="C255" s="441"/>
      <c r="D255" s="441"/>
      <c r="E255" s="441"/>
      <c r="F255" s="441"/>
      <c r="G255" s="441"/>
      <c r="H255" s="485"/>
      <c r="I255" s="485"/>
      <c r="J255" s="485"/>
      <c r="K255" s="485"/>
      <c r="L255" s="485"/>
      <c r="M255" s="485"/>
      <c r="N255" s="485"/>
      <c r="O255" s="485"/>
      <c r="P255" s="485"/>
      <c r="Q255" s="485"/>
      <c r="R255" s="442"/>
      <c r="S255" s="486"/>
      <c r="T255" s="487"/>
      <c r="U255" s="486"/>
      <c r="V255" s="441"/>
      <c r="W255" s="441"/>
      <c r="X255" s="415"/>
    </row>
    <row r="256" spans="1:25" x14ac:dyDescent="0.3">
      <c r="A256" s="515"/>
      <c r="B256" s="523" t="s">
        <v>162</v>
      </c>
      <c r="C256" s="524"/>
      <c r="D256" s="524"/>
      <c r="E256" s="524"/>
      <c r="F256" s="534"/>
      <c r="G256" s="524"/>
      <c r="H256" s="524"/>
      <c r="I256" s="524"/>
      <c r="J256" s="524"/>
      <c r="K256" s="524"/>
      <c r="L256" s="524"/>
      <c r="M256" s="524"/>
      <c r="N256" s="524"/>
      <c r="O256" s="524"/>
      <c r="P256" s="524"/>
      <c r="Q256" s="524"/>
      <c r="R256" s="534" t="s">
        <v>102</v>
      </c>
      <c r="S256" s="524" t="s">
        <v>103</v>
      </c>
      <c r="T256" s="534" t="s">
        <v>109</v>
      </c>
      <c r="U256" s="524" t="s">
        <v>103</v>
      </c>
      <c r="V256" s="517"/>
      <c r="W256" s="535"/>
      <c r="X256" s="415"/>
    </row>
    <row r="257" spans="1:25" s="544" customFormat="1" x14ac:dyDescent="0.3">
      <c r="A257" s="540"/>
      <c r="B257" s="600" t="s">
        <v>88</v>
      </c>
      <c r="C257" s="627"/>
      <c r="D257" s="627"/>
      <c r="E257" s="627"/>
      <c r="F257" s="588"/>
      <c r="G257" s="627"/>
      <c r="H257" s="627"/>
      <c r="I257" s="627"/>
      <c r="J257" s="627"/>
      <c r="K257" s="627"/>
      <c r="L257" s="627"/>
      <c r="M257" s="627"/>
      <c r="N257" s="627"/>
      <c r="O257" s="627"/>
      <c r="P257" s="627"/>
      <c r="Q257" s="627"/>
      <c r="R257" s="600">
        <v>5328</v>
      </c>
      <c r="S257" s="628">
        <f t="shared" ref="S257:S264" si="5">R257/$R$266</f>
        <v>0.9975659988766149</v>
      </c>
      <c r="T257" s="601">
        <v>721418</v>
      </c>
      <c r="U257" s="628">
        <f t="shared" ref="U257:U264" si="6">T257/$T$266</f>
        <v>0.99770839816063339</v>
      </c>
      <c r="V257" s="616"/>
      <c r="W257" s="629"/>
      <c r="X257" s="543"/>
    </row>
    <row r="258" spans="1:25" s="544" customFormat="1" x14ac:dyDescent="0.3">
      <c r="A258" s="555"/>
      <c r="B258" s="598" t="s">
        <v>89</v>
      </c>
      <c r="C258" s="630"/>
      <c r="D258" s="630"/>
      <c r="E258" s="630"/>
      <c r="F258" s="556"/>
      <c r="G258" s="631"/>
      <c r="H258" s="630"/>
      <c r="I258" s="630"/>
      <c r="J258" s="630"/>
      <c r="K258" s="630"/>
      <c r="L258" s="630"/>
      <c r="M258" s="630"/>
      <c r="N258" s="630"/>
      <c r="O258" s="630"/>
      <c r="P258" s="630"/>
      <c r="Q258" s="630"/>
      <c r="R258" s="598">
        <v>6</v>
      </c>
      <c r="S258" s="631">
        <f t="shared" si="5"/>
        <v>1.1233851338700617E-3</v>
      </c>
      <c r="T258" s="599">
        <v>745</v>
      </c>
      <c r="U258" s="631">
        <f t="shared" si="6"/>
        <v>1.0303218891539606E-3</v>
      </c>
      <c r="V258" s="621"/>
      <c r="W258" s="624"/>
      <c r="X258" s="543"/>
      <c r="Y258" s="604"/>
    </row>
    <row r="259" spans="1:25" s="544" customFormat="1" x14ac:dyDescent="0.3">
      <c r="A259" s="555"/>
      <c r="B259" s="598" t="s">
        <v>90</v>
      </c>
      <c r="C259" s="630"/>
      <c r="D259" s="630"/>
      <c r="E259" s="630"/>
      <c r="F259" s="556"/>
      <c r="G259" s="631"/>
      <c r="H259" s="630"/>
      <c r="I259" s="630"/>
      <c r="J259" s="630"/>
      <c r="K259" s="630"/>
      <c r="L259" s="630"/>
      <c r="M259" s="630"/>
      <c r="N259" s="630"/>
      <c r="O259" s="630"/>
      <c r="P259" s="630"/>
      <c r="Q259" s="630"/>
      <c r="R259" s="598">
        <v>6</v>
      </c>
      <c r="S259" s="631">
        <f t="shared" si="5"/>
        <v>1.1233851338700617E-3</v>
      </c>
      <c r="T259" s="599">
        <v>709</v>
      </c>
      <c r="U259" s="631">
        <f t="shared" si="6"/>
        <v>9.8053452269819866E-4</v>
      </c>
      <c r="V259" s="621"/>
      <c r="W259" s="624"/>
      <c r="X259" s="543"/>
    </row>
    <row r="260" spans="1:25" s="544" customFormat="1" x14ac:dyDescent="0.3">
      <c r="A260" s="555"/>
      <c r="B260" s="598" t="s">
        <v>156</v>
      </c>
      <c r="C260" s="630"/>
      <c r="D260" s="630"/>
      <c r="E260" s="630"/>
      <c r="F260" s="556"/>
      <c r="G260" s="631"/>
      <c r="H260" s="630"/>
      <c r="I260" s="630"/>
      <c r="J260" s="630"/>
      <c r="K260" s="630"/>
      <c r="L260" s="630"/>
      <c r="M260" s="630"/>
      <c r="N260" s="630"/>
      <c r="O260" s="630"/>
      <c r="P260" s="630"/>
      <c r="Q260" s="630"/>
      <c r="R260" s="598">
        <v>0</v>
      </c>
      <c r="S260" s="631">
        <f t="shared" si="5"/>
        <v>0</v>
      </c>
      <c r="T260" s="599">
        <v>0</v>
      </c>
      <c r="U260" s="631">
        <f t="shared" si="6"/>
        <v>0</v>
      </c>
      <c r="V260" s="621"/>
      <c r="W260" s="624"/>
      <c r="X260" s="543"/>
      <c r="Y260" s="604"/>
    </row>
    <row r="261" spans="1:25" s="544" customFormat="1" x14ac:dyDescent="0.3">
      <c r="A261" s="555"/>
      <c r="B261" s="598" t="s">
        <v>157</v>
      </c>
      <c r="C261" s="630"/>
      <c r="D261" s="630"/>
      <c r="E261" s="630"/>
      <c r="F261" s="556"/>
      <c r="G261" s="631"/>
      <c r="H261" s="630"/>
      <c r="I261" s="630"/>
      <c r="J261" s="630"/>
      <c r="K261" s="630"/>
      <c r="L261" s="630"/>
      <c r="M261" s="630"/>
      <c r="N261" s="630"/>
      <c r="O261" s="630"/>
      <c r="P261" s="630"/>
      <c r="Q261" s="630"/>
      <c r="R261" s="598">
        <v>0</v>
      </c>
      <c r="S261" s="631">
        <f t="shared" si="5"/>
        <v>0</v>
      </c>
      <c r="T261" s="599">
        <v>0</v>
      </c>
      <c r="U261" s="631">
        <f t="shared" si="6"/>
        <v>0</v>
      </c>
      <c r="V261" s="621"/>
      <c r="W261" s="624"/>
      <c r="X261" s="543"/>
    </row>
    <row r="262" spans="1:25" s="544" customFormat="1" x14ac:dyDescent="0.3">
      <c r="A262" s="555"/>
      <c r="B262" s="598" t="s">
        <v>158</v>
      </c>
      <c r="C262" s="630"/>
      <c r="D262" s="630"/>
      <c r="E262" s="630"/>
      <c r="F262" s="556"/>
      <c r="G262" s="631"/>
      <c r="H262" s="630"/>
      <c r="I262" s="630"/>
      <c r="J262" s="630"/>
      <c r="K262" s="630"/>
      <c r="L262" s="630"/>
      <c r="M262" s="630"/>
      <c r="N262" s="630"/>
      <c r="O262" s="630"/>
      <c r="P262" s="630"/>
      <c r="Q262" s="630"/>
      <c r="R262" s="598">
        <v>1</v>
      </c>
      <c r="S262" s="631">
        <f t="shared" si="5"/>
        <v>1.8723085564501031E-4</v>
      </c>
      <c r="T262" s="599">
        <v>203</v>
      </c>
      <c r="U262" s="631">
        <f t="shared" si="6"/>
        <v>2.8074542751443487E-4</v>
      </c>
      <c r="V262" s="621"/>
      <c r="W262" s="624"/>
      <c r="X262" s="543"/>
      <c r="Y262" s="604"/>
    </row>
    <row r="263" spans="1:25" s="544" customFormat="1" x14ac:dyDescent="0.3">
      <c r="A263" s="555"/>
      <c r="B263" s="598" t="s">
        <v>159</v>
      </c>
      <c r="C263" s="630"/>
      <c r="D263" s="630"/>
      <c r="E263" s="630"/>
      <c r="F263" s="556"/>
      <c r="G263" s="631"/>
      <c r="H263" s="630"/>
      <c r="I263" s="630"/>
      <c r="J263" s="630"/>
      <c r="K263" s="630"/>
      <c r="L263" s="630"/>
      <c r="M263" s="630"/>
      <c r="N263" s="630"/>
      <c r="O263" s="630"/>
      <c r="P263" s="630"/>
      <c r="Q263" s="630"/>
      <c r="R263" s="598">
        <v>0</v>
      </c>
      <c r="S263" s="631">
        <f t="shared" si="5"/>
        <v>0</v>
      </c>
      <c r="T263" s="599">
        <v>0</v>
      </c>
      <c r="U263" s="631">
        <f t="shared" si="6"/>
        <v>0</v>
      </c>
      <c r="V263" s="621"/>
      <c r="W263" s="624"/>
      <c r="X263" s="543"/>
    </row>
    <row r="264" spans="1:25" s="544" customFormat="1" x14ac:dyDescent="0.3">
      <c r="A264" s="555"/>
      <c r="B264" s="598" t="s">
        <v>160</v>
      </c>
      <c r="C264" s="630"/>
      <c r="D264" s="630"/>
      <c r="E264" s="630"/>
      <c r="F264" s="556"/>
      <c r="G264" s="631"/>
      <c r="H264" s="630"/>
      <c r="I264" s="630"/>
      <c r="J264" s="630"/>
      <c r="K264" s="630"/>
      <c r="L264" s="630"/>
      <c r="M264" s="630"/>
      <c r="N264" s="630"/>
      <c r="O264" s="630"/>
      <c r="P264" s="630"/>
      <c r="Q264" s="630"/>
      <c r="R264" s="598">
        <v>0</v>
      </c>
      <c r="S264" s="631">
        <f t="shared" si="5"/>
        <v>0</v>
      </c>
      <c r="T264" s="599">
        <v>0</v>
      </c>
      <c r="U264" s="631">
        <f t="shared" si="6"/>
        <v>0</v>
      </c>
      <c r="V264" s="621"/>
      <c r="W264" s="624"/>
      <c r="X264" s="543"/>
      <c r="Y264" s="604"/>
    </row>
    <row r="265" spans="1:25" s="544" customFormat="1" x14ac:dyDescent="0.3">
      <c r="A265" s="555"/>
      <c r="B265" s="598"/>
      <c r="C265" s="630"/>
      <c r="D265" s="630"/>
      <c r="E265" s="630"/>
      <c r="F265" s="556"/>
      <c r="G265" s="631"/>
      <c r="H265" s="630"/>
      <c r="I265" s="630"/>
      <c r="J265" s="630"/>
      <c r="K265" s="630"/>
      <c r="L265" s="630"/>
      <c r="M265" s="630"/>
      <c r="N265" s="630"/>
      <c r="O265" s="630"/>
      <c r="P265" s="630"/>
      <c r="Q265" s="630"/>
      <c r="R265" s="598"/>
      <c r="S265" s="631"/>
      <c r="T265" s="599"/>
      <c r="U265" s="631"/>
      <c r="V265" s="621"/>
      <c r="W265" s="624"/>
      <c r="X265" s="543"/>
    </row>
    <row r="266" spans="1:25" s="544" customFormat="1" x14ac:dyDescent="0.3">
      <c r="A266" s="555"/>
      <c r="B266" s="556"/>
      <c r="C266" s="556"/>
      <c r="D266" s="556"/>
      <c r="E266" s="556"/>
      <c r="F266" s="556"/>
      <c r="G266" s="556"/>
      <c r="H266" s="632"/>
      <c r="I266" s="632"/>
      <c r="J266" s="632"/>
      <c r="K266" s="632"/>
      <c r="L266" s="632"/>
      <c r="M266" s="632"/>
      <c r="N266" s="632"/>
      <c r="O266" s="632"/>
      <c r="P266" s="632"/>
      <c r="Q266" s="632"/>
      <c r="R266" s="598">
        <f>SUM(R257:R265)</f>
        <v>5341</v>
      </c>
      <c r="S266" s="631">
        <f>SUM(S257:S265)</f>
        <v>1.0000000000000002</v>
      </c>
      <c r="T266" s="599">
        <f>SUM(T257:T265)</f>
        <v>723075</v>
      </c>
      <c r="U266" s="631">
        <f>SUM(U257:U265)</f>
        <v>1</v>
      </c>
      <c r="V266" s="556"/>
      <c r="W266" s="558"/>
      <c r="X266" s="543"/>
    </row>
    <row r="267" spans="1:25" x14ac:dyDescent="0.3">
      <c r="A267" s="417"/>
      <c r="B267" s="441"/>
      <c r="C267" s="441"/>
      <c r="D267" s="441"/>
      <c r="E267" s="441"/>
      <c r="F267" s="441"/>
      <c r="G267" s="441"/>
      <c r="H267" s="485"/>
      <c r="I267" s="485"/>
      <c r="J267" s="485"/>
      <c r="K267" s="485"/>
      <c r="L267" s="485"/>
      <c r="M267" s="485"/>
      <c r="N267" s="485"/>
      <c r="O267" s="485"/>
      <c r="P267" s="485"/>
      <c r="Q267" s="485"/>
      <c r="R267" s="442"/>
      <c r="S267" s="486"/>
      <c r="T267" s="487"/>
      <c r="U267" s="486"/>
      <c r="V267" s="441"/>
      <c r="W267" s="441"/>
      <c r="X267" s="415"/>
    </row>
    <row r="268" spans="1:25" x14ac:dyDescent="0.3">
      <c r="A268" s="515"/>
      <c r="B268" s="523" t="s">
        <v>275</v>
      </c>
      <c r="C268" s="524"/>
      <c r="D268" s="524"/>
      <c r="E268" s="524"/>
      <c r="F268" s="534"/>
      <c r="G268" s="524"/>
      <c r="H268" s="524"/>
      <c r="I268" s="524"/>
      <c r="J268" s="524"/>
      <c r="K268" s="524"/>
      <c r="L268" s="524"/>
      <c r="M268" s="524"/>
      <c r="N268" s="524"/>
      <c r="O268" s="524"/>
      <c r="P268" s="524"/>
      <c r="Q268" s="524"/>
      <c r="R268" s="534" t="s">
        <v>102</v>
      </c>
      <c r="S268" s="524" t="s">
        <v>103</v>
      </c>
      <c r="T268" s="534" t="s">
        <v>109</v>
      </c>
      <c r="U268" s="524" t="s">
        <v>103</v>
      </c>
      <c r="V268" s="517"/>
      <c r="W268" s="520"/>
      <c r="X268" s="415"/>
    </row>
    <row r="269" spans="1:25" s="544" customFormat="1" x14ac:dyDescent="0.3">
      <c r="A269" s="540"/>
      <c r="B269" s="600" t="s">
        <v>88</v>
      </c>
      <c r="C269" s="627"/>
      <c r="D269" s="627"/>
      <c r="E269" s="627"/>
      <c r="F269" s="588"/>
      <c r="G269" s="627"/>
      <c r="H269" s="627"/>
      <c r="I269" s="627"/>
      <c r="J269" s="627"/>
      <c r="K269" s="627"/>
      <c r="L269" s="627"/>
      <c r="M269" s="627"/>
      <c r="N269" s="627"/>
      <c r="O269" s="627"/>
      <c r="P269" s="627"/>
      <c r="Q269" s="627"/>
      <c r="R269" s="600">
        <v>95</v>
      </c>
      <c r="S269" s="628">
        <f t="shared" ref="S269:S276" si="7">R269/$R$278</f>
        <v>0.77868852459016391</v>
      </c>
      <c r="T269" s="601">
        <v>13591</v>
      </c>
      <c r="U269" s="628">
        <f t="shared" ref="U269:U276" si="8">T269/$T$278</f>
        <v>0.70716478484832712</v>
      </c>
      <c r="V269" s="588"/>
      <c r="W269" s="588"/>
      <c r="X269" s="543"/>
    </row>
    <row r="270" spans="1:25" s="544" customFormat="1" x14ac:dyDescent="0.3">
      <c r="A270" s="555"/>
      <c r="B270" s="598" t="s">
        <v>89</v>
      </c>
      <c r="C270" s="630"/>
      <c r="D270" s="630"/>
      <c r="E270" s="630"/>
      <c r="F270" s="556"/>
      <c r="G270" s="631"/>
      <c r="H270" s="630"/>
      <c r="I270" s="630"/>
      <c r="J270" s="630"/>
      <c r="K270" s="630"/>
      <c r="L270" s="630"/>
      <c r="M270" s="630"/>
      <c r="N270" s="630"/>
      <c r="O270" s="630"/>
      <c r="P270" s="630"/>
      <c r="Q270" s="630"/>
      <c r="R270" s="598">
        <v>7</v>
      </c>
      <c r="S270" s="631">
        <f t="shared" si="7"/>
        <v>5.737704918032787E-2</v>
      </c>
      <c r="T270" s="599">
        <v>1098</v>
      </c>
      <c r="U270" s="631">
        <f t="shared" si="8"/>
        <v>5.7130964150059839E-2</v>
      </c>
      <c r="V270" s="556"/>
      <c r="W270" s="558"/>
      <c r="X270" s="543"/>
    </row>
    <row r="271" spans="1:25" s="544" customFormat="1" x14ac:dyDescent="0.3">
      <c r="A271" s="555"/>
      <c r="B271" s="598" t="s">
        <v>90</v>
      </c>
      <c r="C271" s="630"/>
      <c r="D271" s="630"/>
      <c r="E271" s="630"/>
      <c r="F271" s="556"/>
      <c r="G271" s="631"/>
      <c r="H271" s="630"/>
      <c r="I271" s="630"/>
      <c r="J271" s="630"/>
      <c r="K271" s="630"/>
      <c r="L271" s="630"/>
      <c r="M271" s="630"/>
      <c r="N271" s="630"/>
      <c r="O271" s="630"/>
      <c r="P271" s="630"/>
      <c r="Q271" s="630"/>
      <c r="R271" s="598">
        <v>8</v>
      </c>
      <c r="S271" s="631">
        <f t="shared" si="7"/>
        <v>6.5573770491803282E-2</v>
      </c>
      <c r="T271" s="599">
        <v>1454</v>
      </c>
      <c r="U271" s="631">
        <f t="shared" si="8"/>
        <v>7.5654300431864302E-2</v>
      </c>
      <c r="V271" s="556"/>
      <c r="W271" s="558"/>
      <c r="X271" s="543"/>
    </row>
    <row r="272" spans="1:25" s="544" customFormat="1" x14ac:dyDescent="0.3">
      <c r="A272" s="555"/>
      <c r="B272" s="598" t="s">
        <v>156</v>
      </c>
      <c r="C272" s="630"/>
      <c r="D272" s="630"/>
      <c r="E272" s="630"/>
      <c r="F272" s="556"/>
      <c r="G272" s="631"/>
      <c r="H272" s="630"/>
      <c r="I272" s="630"/>
      <c r="J272" s="630"/>
      <c r="K272" s="630"/>
      <c r="L272" s="630"/>
      <c r="M272" s="630"/>
      <c r="N272" s="630"/>
      <c r="O272" s="630"/>
      <c r="P272" s="630"/>
      <c r="Q272" s="630"/>
      <c r="R272" s="598">
        <v>1</v>
      </c>
      <c r="S272" s="631">
        <f t="shared" si="7"/>
        <v>8.1967213114754103E-3</v>
      </c>
      <c r="T272" s="599">
        <v>122</v>
      </c>
      <c r="U272" s="631">
        <f t="shared" si="8"/>
        <v>6.347884905562204E-3</v>
      </c>
      <c r="V272" s="556"/>
      <c r="W272" s="558"/>
      <c r="X272" s="543"/>
    </row>
    <row r="273" spans="1:24" s="544" customFormat="1" x14ac:dyDescent="0.3">
      <c r="A273" s="555"/>
      <c r="B273" s="598" t="s">
        <v>157</v>
      </c>
      <c r="C273" s="630"/>
      <c r="D273" s="630"/>
      <c r="E273" s="630"/>
      <c r="F273" s="556"/>
      <c r="G273" s="631"/>
      <c r="H273" s="630"/>
      <c r="I273" s="630"/>
      <c r="J273" s="630"/>
      <c r="K273" s="630"/>
      <c r="L273" s="630"/>
      <c r="M273" s="630"/>
      <c r="N273" s="630"/>
      <c r="O273" s="630"/>
      <c r="P273" s="630"/>
      <c r="Q273" s="630"/>
      <c r="R273" s="598">
        <v>1</v>
      </c>
      <c r="S273" s="631">
        <f t="shared" si="7"/>
        <v>8.1967213114754103E-3</v>
      </c>
      <c r="T273" s="599">
        <v>101</v>
      </c>
      <c r="U273" s="631">
        <f t="shared" si="8"/>
        <v>5.2552161923096934E-3</v>
      </c>
      <c r="V273" s="556"/>
      <c r="W273" s="558"/>
      <c r="X273" s="543"/>
    </row>
    <row r="274" spans="1:24" s="544" customFormat="1" x14ac:dyDescent="0.3">
      <c r="A274" s="555"/>
      <c r="B274" s="598" t="s">
        <v>158</v>
      </c>
      <c r="C274" s="630"/>
      <c r="D274" s="630"/>
      <c r="E274" s="630"/>
      <c r="F274" s="556"/>
      <c r="G274" s="631"/>
      <c r="H274" s="630"/>
      <c r="I274" s="630"/>
      <c r="J274" s="630"/>
      <c r="K274" s="630"/>
      <c r="L274" s="630"/>
      <c r="M274" s="630"/>
      <c r="N274" s="630"/>
      <c r="O274" s="630"/>
      <c r="P274" s="630"/>
      <c r="Q274" s="630"/>
      <c r="R274" s="598">
        <v>3</v>
      </c>
      <c r="S274" s="631">
        <f t="shared" si="7"/>
        <v>2.4590163934426229E-2</v>
      </c>
      <c r="T274" s="599">
        <v>1793</v>
      </c>
      <c r="U274" s="631">
        <f t="shared" si="8"/>
        <v>9.3293095374369112E-2</v>
      </c>
      <c r="V274" s="556"/>
      <c r="W274" s="558"/>
      <c r="X274" s="543"/>
    </row>
    <row r="275" spans="1:24" s="544" customFormat="1" x14ac:dyDescent="0.3">
      <c r="A275" s="555"/>
      <c r="B275" s="598" t="s">
        <v>159</v>
      </c>
      <c r="C275" s="630"/>
      <c r="D275" s="630"/>
      <c r="E275" s="630"/>
      <c r="F275" s="556"/>
      <c r="G275" s="631"/>
      <c r="H275" s="630"/>
      <c r="I275" s="630"/>
      <c r="J275" s="630"/>
      <c r="K275" s="630"/>
      <c r="L275" s="630"/>
      <c r="M275" s="630"/>
      <c r="N275" s="630"/>
      <c r="O275" s="630"/>
      <c r="P275" s="630"/>
      <c r="Q275" s="630"/>
      <c r="R275" s="598">
        <v>7</v>
      </c>
      <c r="S275" s="631">
        <f t="shared" si="7"/>
        <v>5.737704918032787E-2</v>
      </c>
      <c r="T275" s="599">
        <v>1060</v>
      </c>
      <c r="U275" s="631">
        <f t="shared" si="8"/>
        <v>5.5153754097507675E-2</v>
      </c>
      <c r="V275" s="556"/>
      <c r="W275" s="558"/>
      <c r="X275" s="543"/>
    </row>
    <row r="276" spans="1:24" s="544" customFormat="1" x14ac:dyDescent="0.3">
      <c r="A276" s="555"/>
      <c r="B276" s="598" t="s">
        <v>160</v>
      </c>
      <c r="C276" s="630"/>
      <c r="D276" s="630"/>
      <c r="E276" s="630"/>
      <c r="F276" s="556"/>
      <c r="G276" s="631"/>
      <c r="H276" s="630"/>
      <c r="I276" s="630"/>
      <c r="J276" s="630"/>
      <c r="K276" s="630"/>
      <c r="L276" s="630"/>
      <c r="M276" s="630"/>
      <c r="N276" s="630"/>
      <c r="O276" s="630"/>
      <c r="P276" s="630"/>
      <c r="Q276" s="630"/>
      <c r="R276" s="598">
        <v>0</v>
      </c>
      <c r="S276" s="631">
        <f t="shared" si="7"/>
        <v>0</v>
      </c>
      <c r="T276" s="599">
        <v>0</v>
      </c>
      <c r="U276" s="631">
        <f t="shared" si="8"/>
        <v>0</v>
      </c>
      <c r="V276" s="556"/>
      <c r="W276" s="558"/>
      <c r="X276" s="543"/>
    </row>
    <row r="277" spans="1:24" s="544" customFormat="1" x14ac:dyDescent="0.3">
      <c r="A277" s="555"/>
      <c r="B277" s="598"/>
      <c r="C277" s="630"/>
      <c r="D277" s="630"/>
      <c r="E277" s="630"/>
      <c r="F277" s="556"/>
      <c r="G277" s="631"/>
      <c r="H277" s="630"/>
      <c r="I277" s="630"/>
      <c r="J277" s="630"/>
      <c r="K277" s="630"/>
      <c r="L277" s="630"/>
      <c r="M277" s="630"/>
      <c r="N277" s="630"/>
      <c r="O277" s="630"/>
      <c r="P277" s="630"/>
      <c r="Q277" s="630"/>
      <c r="R277" s="598"/>
      <c r="S277" s="631"/>
      <c r="T277" s="599"/>
      <c r="U277" s="631"/>
      <c r="V277" s="556"/>
      <c r="W277" s="558"/>
      <c r="X277" s="543"/>
    </row>
    <row r="278" spans="1:24" s="544" customFormat="1" x14ac:dyDescent="0.3">
      <c r="A278" s="555"/>
      <c r="B278" s="556"/>
      <c r="C278" s="556"/>
      <c r="D278" s="556"/>
      <c r="E278" s="556"/>
      <c r="F278" s="556"/>
      <c r="G278" s="556"/>
      <c r="H278" s="632"/>
      <c r="I278" s="632"/>
      <c r="J278" s="632"/>
      <c r="K278" s="632"/>
      <c r="L278" s="632"/>
      <c r="M278" s="632"/>
      <c r="N278" s="632"/>
      <c r="O278" s="632"/>
      <c r="P278" s="632"/>
      <c r="Q278" s="632"/>
      <c r="R278" s="598">
        <f>SUM(R269:R277)</f>
        <v>122</v>
      </c>
      <c r="S278" s="631">
        <f>SUM(S269:S277)</f>
        <v>0.99999999999999989</v>
      </c>
      <c r="T278" s="599">
        <f>SUM(T269:T277)</f>
        <v>19219</v>
      </c>
      <c r="U278" s="631">
        <f>SUM(U269:U277)</f>
        <v>0.99999999999999989</v>
      </c>
      <c r="V278" s="556"/>
      <c r="W278" s="558"/>
      <c r="X278" s="543"/>
    </row>
    <row r="279" spans="1:24" x14ac:dyDescent="0.3">
      <c r="A279" s="417"/>
      <c r="B279" s="437"/>
      <c r="C279" s="437"/>
      <c r="D279" s="437"/>
      <c r="E279" s="437"/>
      <c r="F279" s="437"/>
      <c r="G279" s="437"/>
      <c r="H279" s="488"/>
      <c r="I279" s="488"/>
      <c r="J279" s="488"/>
      <c r="K279" s="488"/>
      <c r="L279" s="488"/>
      <c r="M279" s="488"/>
      <c r="N279" s="488"/>
      <c r="O279" s="488"/>
      <c r="P279" s="488"/>
      <c r="Q279" s="488"/>
      <c r="R279" s="447"/>
      <c r="S279" s="483"/>
      <c r="T279" s="484"/>
      <c r="U279" s="483"/>
      <c r="V279" s="437"/>
      <c r="W279" s="437"/>
      <c r="X279" s="415"/>
    </row>
    <row r="280" spans="1:24" x14ac:dyDescent="0.3">
      <c r="A280" s="515"/>
      <c r="B280" s="523" t="s">
        <v>163</v>
      </c>
      <c r="C280" s="517"/>
      <c r="D280" s="517"/>
      <c r="E280" s="517"/>
      <c r="F280" s="517"/>
      <c r="G280" s="517"/>
      <c r="H280" s="536"/>
      <c r="I280" s="536"/>
      <c r="J280" s="536"/>
      <c r="K280" s="536"/>
      <c r="L280" s="536"/>
      <c r="M280" s="536"/>
      <c r="N280" s="536"/>
      <c r="O280" s="536"/>
      <c r="P280" s="536"/>
      <c r="Q280" s="536"/>
      <c r="R280" s="534" t="s">
        <v>102</v>
      </c>
      <c r="S280" s="524" t="s">
        <v>103</v>
      </c>
      <c r="T280" s="534" t="s">
        <v>109</v>
      </c>
      <c r="U280" s="524" t="s">
        <v>103</v>
      </c>
      <c r="V280" s="517"/>
      <c r="W280" s="520"/>
      <c r="X280" s="415"/>
    </row>
    <row r="281" spans="1:24" s="544" customFormat="1" x14ac:dyDescent="0.3">
      <c r="A281" s="540"/>
      <c r="B281" s="600" t="s">
        <v>88</v>
      </c>
      <c r="C281" s="588"/>
      <c r="D281" s="588"/>
      <c r="E281" s="588"/>
      <c r="F281" s="588"/>
      <c r="G281" s="588"/>
      <c r="H281" s="633"/>
      <c r="I281" s="633"/>
      <c r="J281" s="633"/>
      <c r="K281" s="633"/>
      <c r="L281" s="633"/>
      <c r="M281" s="633"/>
      <c r="N281" s="633"/>
      <c r="O281" s="633"/>
      <c r="P281" s="633"/>
      <c r="Q281" s="633"/>
      <c r="R281" s="600">
        <v>0</v>
      </c>
      <c r="S281" s="628">
        <v>0</v>
      </c>
      <c r="T281" s="601">
        <v>0</v>
      </c>
      <c r="U281" s="628">
        <v>0</v>
      </c>
      <c r="V281" s="588"/>
      <c r="W281" s="588"/>
      <c r="X281" s="543"/>
    </row>
    <row r="282" spans="1:24" s="544" customFormat="1" x14ac:dyDescent="0.3">
      <c r="A282" s="555"/>
      <c r="B282" s="598" t="s">
        <v>89</v>
      </c>
      <c r="C282" s="556"/>
      <c r="D282" s="556"/>
      <c r="E282" s="556"/>
      <c r="F282" s="556"/>
      <c r="G282" s="556"/>
      <c r="H282" s="632"/>
      <c r="I282" s="632"/>
      <c r="J282" s="632"/>
      <c r="K282" s="632"/>
      <c r="L282" s="632"/>
      <c r="M282" s="632"/>
      <c r="N282" s="632"/>
      <c r="O282" s="632"/>
      <c r="P282" s="632"/>
      <c r="Q282" s="632"/>
      <c r="R282" s="598">
        <v>0</v>
      </c>
      <c r="S282" s="631">
        <v>0</v>
      </c>
      <c r="T282" s="599">
        <v>0</v>
      </c>
      <c r="U282" s="631">
        <v>0</v>
      </c>
      <c r="V282" s="556"/>
      <c r="W282" s="558"/>
      <c r="X282" s="543"/>
    </row>
    <row r="283" spans="1:24" s="544" customFormat="1" x14ac:dyDescent="0.3">
      <c r="A283" s="555"/>
      <c r="B283" s="598" t="s">
        <v>90</v>
      </c>
      <c r="C283" s="556"/>
      <c r="D283" s="556"/>
      <c r="E283" s="556"/>
      <c r="F283" s="556"/>
      <c r="G283" s="556"/>
      <c r="H283" s="632"/>
      <c r="I283" s="632"/>
      <c r="J283" s="632"/>
      <c r="K283" s="632"/>
      <c r="L283" s="632"/>
      <c r="M283" s="632"/>
      <c r="N283" s="632"/>
      <c r="O283" s="632"/>
      <c r="P283" s="632"/>
      <c r="Q283" s="632"/>
      <c r="R283" s="598">
        <v>0</v>
      </c>
      <c r="S283" s="631">
        <v>0</v>
      </c>
      <c r="T283" s="599">
        <v>0</v>
      </c>
      <c r="U283" s="631">
        <v>0</v>
      </c>
      <c r="V283" s="556"/>
      <c r="W283" s="558"/>
      <c r="X283" s="543"/>
    </row>
    <row r="284" spans="1:24" s="544" customFormat="1" x14ac:dyDescent="0.3">
      <c r="A284" s="555"/>
      <c r="B284" s="598" t="s">
        <v>156</v>
      </c>
      <c r="C284" s="556"/>
      <c r="D284" s="556"/>
      <c r="E284" s="556"/>
      <c r="F284" s="556"/>
      <c r="G284" s="556"/>
      <c r="H284" s="632"/>
      <c r="I284" s="632"/>
      <c r="J284" s="632"/>
      <c r="K284" s="632"/>
      <c r="L284" s="632"/>
      <c r="M284" s="632"/>
      <c r="N284" s="632"/>
      <c r="O284" s="632"/>
      <c r="P284" s="632"/>
      <c r="Q284" s="632"/>
      <c r="R284" s="598">
        <v>0</v>
      </c>
      <c r="S284" s="631">
        <v>0</v>
      </c>
      <c r="T284" s="599">
        <v>0</v>
      </c>
      <c r="U284" s="631">
        <v>0</v>
      </c>
      <c r="V284" s="556"/>
      <c r="W284" s="558"/>
      <c r="X284" s="543"/>
    </row>
    <row r="285" spans="1:24" s="544" customFormat="1" x14ac:dyDescent="0.3">
      <c r="A285" s="555"/>
      <c r="B285" s="598" t="s">
        <v>157</v>
      </c>
      <c r="C285" s="556"/>
      <c r="D285" s="556"/>
      <c r="E285" s="556"/>
      <c r="F285" s="556"/>
      <c r="G285" s="556"/>
      <c r="H285" s="632"/>
      <c r="I285" s="632"/>
      <c r="J285" s="632"/>
      <c r="K285" s="632"/>
      <c r="L285" s="632"/>
      <c r="M285" s="632"/>
      <c r="N285" s="632"/>
      <c r="O285" s="632"/>
      <c r="P285" s="632"/>
      <c r="Q285" s="632"/>
      <c r="R285" s="598">
        <v>0</v>
      </c>
      <c r="S285" s="631">
        <v>0</v>
      </c>
      <c r="T285" s="599">
        <v>0</v>
      </c>
      <c r="U285" s="631">
        <v>0</v>
      </c>
      <c r="V285" s="556"/>
      <c r="W285" s="558"/>
      <c r="X285" s="543"/>
    </row>
    <row r="286" spans="1:24" s="544" customFormat="1" x14ac:dyDescent="0.3">
      <c r="A286" s="555"/>
      <c r="B286" s="598" t="s">
        <v>158</v>
      </c>
      <c r="C286" s="556"/>
      <c r="D286" s="556"/>
      <c r="E286" s="556"/>
      <c r="F286" s="556"/>
      <c r="G286" s="556"/>
      <c r="H286" s="632"/>
      <c r="I286" s="632"/>
      <c r="J286" s="632"/>
      <c r="K286" s="632"/>
      <c r="L286" s="632"/>
      <c r="M286" s="632"/>
      <c r="N286" s="632"/>
      <c r="O286" s="632"/>
      <c r="P286" s="632"/>
      <c r="Q286" s="632"/>
      <c r="R286" s="598">
        <v>0</v>
      </c>
      <c r="S286" s="631">
        <v>0</v>
      </c>
      <c r="T286" s="599">
        <v>0</v>
      </c>
      <c r="U286" s="631">
        <v>0</v>
      </c>
      <c r="V286" s="556"/>
      <c r="W286" s="558"/>
      <c r="X286" s="543"/>
    </row>
    <row r="287" spans="1:24" s="544" customFormat="1" x14ac:dyDescent="0.3">
      <c r="A287" s="555"/>
      <c r="B287" s="598" t="s">
        <v>159</v>
      </c>
      <c r="C287" s="556"/>
      <c r="D287" s="556"/>
      <c r="E287" s="556"/>
      <c r="F287" s="556"/>
      <c r="G287" s="556"/>
      <c r="H287" s="632"/>
      <c r="I287" s="632"/>
      <c r="J287" s="632"/>
      <c r="K287" s="632"/>
      <c r="L287" s="632"/>
      <c r="M287" s="632"/>
      <c r="N287" s="632"/>
      <c r="O287" s="632"/>
      <c r="P287" s="632"/>
      <c r="Q287" s="632"/>
      <c r="R287" s="598">
        <v>1</v>
      </c>
      <c r="S287" s="631">
        <v>1</v>
      </c>
      <c r="T287" s="599">
        <v>89</v>
      </c>
      <c r="U287" s="631">
        <v>1</v>
      </c>
      <c r="V287" s="556"/>
      <c r="W287" s="558"/>
      <c r="X287" s="543"/>
    </row>
    <row r="288" spans="1:24" s="544" customFormat="1" x14ac:dyDescent="0.3">
      <c r="A288" s="555"/>
      <c r="B288" s="598" t="s">
        <v>160</v>
      </c>
      <c r="C288" s="556"/>
      <c r="D288" s="556"/>
      <c r="E288" s="556"/>
      <c r="F288" s="556"/>
      <c r="G288" s="556"/>
      <c r="H288" s="632"/>
      <c r="I288" s="632"/>
      <c r="J288" s="632"/>
      <c r="K288" s="632"/>
      <c r="L288" s="632"/>
      <c r="M288" s="632"/>
      <c r="N288" s="632"/>
      <c r="O288" s="632"/>
      <c r="P288" s="632"/>
      <c r="Q288" s="632"/>
      <c r="R288" s="598">
        <v>0</v>
      </c>
      <c r="S288" s="631">
        <v>0</v>
      </c>
      <c r="T288" s="599">
        <v>0</v>
      </c>
      <c r="U288" s="631">
        <v>0</v>
      </c>
      <c r="V288" s="556"/>
      <c r="W288" s="558"/>
      <c r="X288" s="543"/>
    </row>
    <row r="289" spans="1:24" s="544" customFormat="1" x14ac:dyDescent="0.3">
      <c r="A289" s="555"/>
      <c r="B289" s="598"/>
      <c r="C289" s="556"/>
      <c r="D289" s="556"/>
      <c r="E289" s="556"/>
      <c r="F289" s="556"/>
      <c r="G289" s="556"/>
      <c r="H289" s="632"/>
      <c r="I289" s="632"/>
      <c r="J289" s="632"/>
      <c r="K289" s="632"/>
      <c r="L289" s="632"/>
      <c r="M289" s="632"/>
      <c r="N289" s="632"/>
      <c r="O289" s="632"/>
      <c r="P289" s="632"/>
      <c r="Q289" s="632"/>
      <c r="R289" s="598"/>
      <c r="S289" s="631"/>
      <c r="T289" s="599"/>
      <c r="U289" s="631"/>
      <c r="V289" s="556"/>
      <c r="W289" s="558"/>
      <c r="X289" s="543"/>
    </row>
    <row r="290" spans="1:24" s="544" customFormat="1" x14ac:dyDescent="0.3">
      <c r="A290" s="555"/>
      <c r="B290" s="556" t="s">
        <v>114</v>
      </c>
      <c r="C290" s="556"/>
      <c r="D290" s="556"/>
      <c r="E290" s="556"/>
      <c r="F290" s="556"/>
      <c r="G290" s="556"/>
      <c r="H290" s="632"/>
      <c r="I290" s="632"/>
      <c r="J290" s="632"/>
      <c r="K290" s="632"/>
      <c r="L290" s="632"/>
      <c r="M290" s="632"/>
      <c r="N290" s="632"/>
      <c r="O290" s="632"/>
      <c r="P290" s="632"/>
      <c r="Q290" s="632"/>
      <c r="R290" s="598">
        <f>SUM(R281:R288)</f>
        <v>1</v>
      </c>
      <c r="S290" s="631">
        <f>SUM(S281:S289)</f>
        <v>1</v>
      </c>
      <c r="T290" s="599">
        <f>SUM(T281:T288)</f>
        <v>89</v>
      </c>
      <c r="U290" s="631">
        <f>SUM(U281:U289)</f>
        <v>1</v>
      </c>
      <c r="V290" s="556"/>
      <c r="W290" s="558"/>
      <c r="X290" s="543"/>
    </row>
    <row r="291" spans="1:24" s="544" customFormat="1" x14ac:dyDescent="0.3">
      <c r="A291" s="555"/>
      <c r="B291" s="556"/>
      <c r="C291" s="556"/>
      <c r="D291" s="556"/>
      <c r="E291" s="556"/>
      <c r="F291" s="556"/>
      <c r="G291" s="556"/>
      <c r="H291" s="632"/>
      <c r="I291" s="632"/>
      <c r="J291" s="632"/>
      <c r="K291" s="632"/>
      <c r="L291" s="632"/>
      <c r="M291" s="632"/>
      <c r="N291" s="632"/>
      <c r="O291" s="632"/>
      <c r="P291" s="632"/>
      <c r="Q291" s="632"/>
      <c r="R291" s="598"/>
      <c r="S291" s="631"/>
      <c r="T291" s="599"/>
      <c r="U291" s="631"/>
      <c r="V291" s="556"/>
      <c r="W291" s="558"/>
      <c r="X291" s="543"/>
    </row>
    <row r="292" spans="1:24" s="544" customFormat="1" x14ac:dyDescent="0.3">
      <c r="A292" s="555"/>
      <c r="B292" s="561" t="s">
        <v>164</v>
      </c>
      <c r="C292" s="556"/>
      <c r="D292" s="556"/>
      <c r="E292" s="556"/>
      <c r="F292" s="556"/>
      <c r="G292" s="556"/>
      <c r="H292" s="632"/>
      <c r="I292" s="632"/>
      <c r="J292" s="632"/>
      <c r="K292" s="632"/>
      <c r="L292" s="632"/>
      <c r="M292" s="632"/>
      <c r="N292" s="632"/>
      <c r="O292" s="632"/>
      <c r="P292" s="632"/>
      <c r="Q292" s="632"/>
      <c r="R292" s="634">
        <f>R290+R278+R266</f>
        <v>5464</v>
      </c>
      <c r="S292" s="631"/>
      <c r="T292" s="635">
        <f>+T290+T278+T266</f>
        <v>742383</v>
      </c>
      <c r="U292" s="631"/>
      <c r="V292" s="556"/>
      <c r="W292" s="558"/>
      <c r="X292" s="543"/>
    </row>
    <row r="293" spans="1:24" s="544" customFormat="1" x14ac:dyDescent="0.3">
      <c r="A293" s="540"/>
      <c r="B293" s="588"/>
      <c r="C293" s="588"/>
      <c r="D293" s="588"/>
      <c r="E293" s="588"/>
      <c r="F293" s="588"/>
      <c r="G293" s="588"/>
      <c r="H293" s="633"/>
      <c r="I293" s="633"/>
      <c r="J293" s="633"/>
      <c r="K293" s="633"/>
      <c r="L293" s="633"/>
      <c r="M293" s="633"/>
      <c r="N293" s="633"/>
      <c r="O293" s="633"/>
      <c r="P293" s="633"/>
      <c r="Q293" s="633"/>
      <c r="R293" s="633"/>
      <c r="S293" s="633"/>
      <c r="T293" s="601"/>
      <c r="U293" s="633"/>
      <c r="V293" s="588"/>
      <c r="W293" s="588"/>
      <c r="X293" s="543"/>
    </row>
    <row r="294" spans="1:24" s="544" customFormat="1" x14ac:dyDescent="0.3">
      <c r="A294" s="540"/>
      <c r="B294" s="541"/>
      <c r="C294" s="541"/>
      <c r="D294" s="541"/>
      <c r="E294" s="541"/>
      <c r="F294" s="541"/>
      <c r="G294" s="541"/>
      <c r="H294" s="636"/>
      <c r="I294" s="636"/>
      <c r="J294" s="636"/>
      <c r="K294" s="636"/>
      <c r="L294" s="636"/>
      <c r="M294" s="636"/>
      <c r="N294" s="636"/>
      <c r="O294" s="636"/>
      <c r="P294" s="636"/>
      <c r="Q294" s="636"/>
      <c r="R294" s="636"/>
      <c r="S294" s="636"/>
      <c r="T294" s="637"/>
      <c r="U294" s="636"/>
      <c r="V294" s="541"/>
      <c r="W294" s="541"/>
      <c r="X294" s="543"/>
    </row>
    <row r="295" spans="1:24" s="544" customFormat="1" x14ac:dyDescent="0.3">
      <c r="A295" s="540"/>
      <c r="B295" s="539" t="s">
        <v>91</v>
      </c>
      <c r="C295" s="541"/>
      <c r="D295" s="541"/>
      <c r="E295" s="541"/>
      <c r="F295" s="547" t="s">
        <v>97</v>
      </c>
      <c r="G295" s="541"/>
      <c r="H295" s="539" t="s">
        <v>99</v>
      </c>
      <c r="I295" s="539"/>
      <c r="J295" s="539"/>
      <c r="K295" s="541"/>
      <c r="L295" s="541"/>
      <c r="M295" s="541"/>
      <c r="N295" s="541"/>
      <c r="O295" s="541"/>
      <c r="P295" s="541"/>
      <c r="Q295" s="541"/>
      <c r="R295" s="541"/>
      <c r="S295" s="541"/>
      <c r="T295" s="541"/>
      <c r="U295" s="541"/>
      <c r="V295" s="541"/>
      <c r="W295" s="541"/>
      <c r="X295" s="543"/>
    </row>
    <row r="296" spans="1:24" s="544" customFormat="1" x14ac:dyDescent="0.3">
      <c r="A296" s="540"/>
      <c r="B296" s="539" t="s">
        <v>339</v>
      </c>
      <c r="C296" s="539"/>
      <c r="D296" s="539"/>
      <c r="E296" s="539"/>
      <c r="F296" s="638" t="s">
        <v>278</v>
      </c>
      <c r="G296" s="539"/>
      <c r="H296" s="639" t="s">
        <v>372</v>
      </c>
      <c r="I296" s="541"/>
      <c r="J296" s="539"/>
      <c r="K296" s="541"/>
      <c r="L296" s="541"/>
      <c r="M296" s="541"/>
      <c r="N296" s="541"/>
      <c r="O296" s="541"/>
      <c r="P296" s="541"/>
      <c r="Q296" s="541"/>
      <c r="R296" s="541"/>
      <c r="S296" s="541"/>
      <c r="T296" s="541"/>
      <c r="U296" s="541"/>
      <c r="V296" s="541"/>
      <c r="W296" s="541"/>
      <c r="X296" s="543"/>
    </row>
    <row r="297" spans="1:24" s="544" customFormat="1" x14ac:dyDescent="0.3">
      <c r="A297" s="540"/>
      <c r="B297" s="539" t="s">
        <v>340</v>
      </c>
      <c r="C297" s="539"/>
      <c r="D297" s="539"/>
      <c r="E297" s="539"/>
      <c r="F297" s="638" t="s">
        <v>147</v>
      </c>
      <c r="G297" s="539"/>
      <c r="H297" s="639" t="s">
        <v>373</v>
      </c>
      <c r="I297" s="539"/>
      <c r="J297" s="539"/>
      <c r="K297" s="541"/>
      <c r="L297" s="541"/>
      <c r="M297" s="541"/>
      <c r="N297" s="541"/>
      <c r="O297" s="541"/>
      <c r="P297" s="541"/>
      <c r="Q297" s="541"/>
      <c r="R297" s="541"/>
      <c r="S297" s="541"/>
      <c r="T297" s="541"/>
      <c r="U297" s="541"/>
      <c r="V297" s="541"/>
      <c r="W297" s="541"/>
      <c r="X297" s="543"/>
    </row>
    <row r="298" spans="1:24" s="544" customFormat="1" x14ac:dyDescent="0.3">
      <c r="A298" s="540"/>
      <c r="B298" s="539"/>
      <c r="C298" s="539"/>
      <c r="D298" s="539"/>
      <c r="E298" s="539"/>
      <c r="F298" s="638"/>
      <c r="G298" s="539"/>
      <c r="H298" s="539"/>
      <c r="I298" s="539"/>
      <c r="J298" s="539"/>
      <c r="K298" s="541"/>
      <c r="L298" s="541"/>
      <c r="M298" s="541"/>
      <c r="N298" s="541"/>
      <c r="O298" s="541"/>
      <c r="P298" s="541"/>
      <c r="Q298" s="541"/>
      <c r="R298" s="541"/>
      <c r="S298" s="541"/>
      <c r="T298" s="541"/>
      <c r="U298" s="541"/>
      <c r="V298" s="541"/>
      <c r="W298" s="541"/>
      <c r="X298" s="543"/>
    </row>
    <row r="299" spans="1:24" s="544" customFormat="1" x14ac:dyDescent="0.3">
      <c r="A299" s="540"/>
      <c r="B299" s="588" t="s">
        <v>368</v>
      </c>
      <c r="C299" s="539"/>
      <c r="D299" s="539"/>
      <c r="E299" s="539"/>
      <c r="F299" s="638"/>
      <c r="G299" s="539"/>
      <c r="H299" s="539"/>
      <c r="I299" s="539"/>
      <c r="J299" s="539"/>
      <c r="K299" s="541"/>
      <c r="L299" s="541"/>
      <c r="M299" s="541"/>
      <c r="N299" s="541"/>
      <c r="O299" s="541"/>
      <c r="P299" s="541"/>
      <c r="Q299" s="541"/>
      <c r="R299" s="541"/>
      <c r="S299" s="541"/>
      <c r="T299" s="541"/>
      <c r="U299" s="541"/>
      <c r="V299" s="541"/>
      <c r="W299" s="541"/>
      <c r="X299" s="543"/>
    </row>
    <row r="300" spans="1:24" s="544" customFormat="1" x14ac:dyDescent="0.3">
      <c r="A300" s="540"/>
      <c r="B300" s="588" t="s">
        <v>374</v>
      </c>
      <c r="C300" s="539"/>
      <c r="D300" s="539"/>
      <c r="E300" s="539"/>
      <c r="F300" s="638"/>
      <c r="G300" s="539"/>
      <c r="H300" s="539"/>
      <c r="I300" s="539"/>
      <c r="J300" s="539"/>
      <c r="K300" s="541"/>
      <c r="L300" s="541"/>
      <c r="M300" s="541"/>
      <c r="N300" s="541"/>
      <c r="O300" s="541"/>
      <c r="P300" s="541"/>
      <c r="Q300" s="541"/>
      <c r="R300" s="541"/>
      <c r="S300" s="541"/>
      <c r="T300" s="541"/>
      <c r="U300" s="541"/>
      <c r="V300" s="541"/>
      <c r="W300" s="541"/>
      <c r="X300" s="543"/>
    </row>
    <row r="301" spans="1:24" s="544" customFormat="1" x14ac:dyDescent="0.3">
      <c r="A301" s="540"/>
      <c r="B301" s="588" t="s">
        <v>365</v>
      </c>
      <c r="C301" s="539"/>
      <c r="D301" s="539"/>
      <c r="E301" s="539"/>
      <c r="F301" s="638"/>
      <c r="G301" s="539"/>
      <c r="H301" s="539"/>
      <c r="I301" s="539"/>
      <c r="J301" s="539"/>
      <c r="K301" s="541"/>
      <c r="L301" s="541"/>
      <c r="M301" s="541"/>
      <c r="N301" s="541"/>
      <c r="O301" s="541"/>
      <c r="P301" s="541"/>
      <c r="Q301" s="541"/>
      <c r="R301" s="541"/>
      <c r="S301" s="541"/>
      <c r="T301" s="541"/>
      <c r="U301" s="541"/>
      <c r="V301" s="541"/>
      <c r="W301" s="541"/>
      <c r="X301" s="543"/>
    </row>
    <row r="302" spans="1:24" s="544" customFormat="1" x14ac:dyDescent="0.3">
      <c r="A302" s="540"/>
      <c r="B302" s="588" t="s">
        <v>366</v>
      </c>
      <c r="C302" s="539"/>
      <c r="D302" s="539"/>
      <c r="E302" s="539"/>
      <c r="F302" s="638"/>
      <c r="G302" s="539"/>
      <c r="H302" s="539"/>
      <c r="I302" s="539"/>
      <c r="J302" s="539"/>
      <c r="K302" s="541"/>
      <c r="L302" s="541"/>
      <c r="M302" s="541"/>
      <c r="N302" s="541"/>
      <c r="O302" s="541"/>
      <c r="P302" s="541"/>
      <c r="Q302" s="541"/>
      <c r="R302" s="541"/>
      <c r="S302" s="541"/>
      <c r="T302" s="541"/>
      <c r="U302" s="541"/>
      <c r="V302" s="541"/>
      <c r="W302" s="541"/>
      <c r="X302" s="543"/>
    </row>
    <row r="303" spans="1:24" x14ac:dyDescent="0.3">
      <c r="A303" s="417"/>
      <c r="B303" s="426"/>
      <c r="C303" s="426"/>
      <c r="D303" s="426"/>
      <c r="E303" s="426"/>
      <c r="F303" s="489"/>
      <c r="G303" s="426"/>
      <c r="H303" s="426"/>
      <c r="I303" s="426"/>
      <c r="J303" s="426"/>
      <c r="K303" s="427"/>
      <c r="L303" s="427"/>
      <c r="M303" s="427"/>
      <c r="N303" s="427"/>
      <c r="O303" s="427"/>
      <c r="P303" s="427"/>
      <c r="Q303" s="427"/>
      <c r="R303" s="427"/>
      <c r="S303" s="427"/>
      <c r="T303" s="427"/>
      <c r="U303" s="427"/>
      <c r="V303" s="427"/>
      <c r="W303" s="427"/>
      <c r="X303" s="415"/>
    </row>
    <row r="304" spans="1:24" ht="18" x14ac:dyDescent="0.35">
      <c r="A304" s="417"/>
      <c r="B304" s="514" t="s">
        <v>369</v>
      </c>
      <c r="C304" s="426"/>
      <c r="D304" s="426"/>
      <c r="E304" s="426"/>
      <c r="F304" s="426"/>
      <c r="G304" s="426"/>
      <c r="H304" s="427"/>
      <c r="I304" s="427"/>
      <c r="J304" s="427"/>
      <c r="K304" s="427"/>
      <c r="L304" s="419"/>
      <c r="M304" s="419"/>
      <c r="N304" s="490"/>
      <c r="O304" s="419"/>
      <c r="P304" s="412" t="s">
        <v>371</v>
      </c>
      <c r="Q304" s="427"/>
      <c r="R304" s="427"/>
      <c r="S304" s="427"/>
      <c r="T304" s="427"/>
      <c r="U304" s="427"/>
      <c r="V304" s="427"/>
      <c r="W304" s="427"/>
      <c r="X304" s="415"/>
    </row>
    <row r="305" spans="1:24" x14ac:dyDescent="0.3">
      <c r="A305" s="417"/>
      <c r="B305" s="426"/>
      <c r="C305" s="426"/>
      <c r="D305" s="426"/>
      <c r="E305" s="426"/>
      <c r="F305" s="426"/>
      <c r="G305" s="426"/>
      <c r="H305" s="427"/>
      <c r="I305" s="427"/>
      <c r="J305" s="427"/>
      <c r="K305" s="427"/>
      <c r="L305" s="427"/>
      <c r="M305" s="427"/>
      <c r="N305" s="427"/>
      <c r="O305" s="427"/>
      <c r="P305" s="427"/>
      <c r="Q305" s="427"/>
      <c r="R305" s="427"/>
      <c r="S305" s="427"/>
      <c r="T305" s="427"/>
      <c r="U305" s="427"/>
      <c r="V305" s="427"/>
      <c r="W305" s="427"/>
      <c r="X305" s="415"/>
    </row>
    <row r="306" spans="1:24" ht="18.600000000000001" thickBot="1" x14ac:dyDescent="0.4">
      <c r="A306" s="417"/>
      <c r="B306" s="640" t="str">
        <f>B206</f>
        <v>PM14 INVESTOR REPORT QUARTER ENDING NOVEMBER 2019</v>
      </c>
      <c r="C306" s="426"/>
      <c r="D306" s="426"/>
      <c r="E306" s="426"/>
      <c r="F306" s="426"/>
      <c r="G306" s="426"/>
      <c r="H306" s="427"/>
      <c r="I306" s="427"/>
      <c r="J306" s="427"/>
      <c r="K306" s="427"/>
      <c r="L306" s="427"/>
      <c r="M306" s="427"/>
      <c r="N306" s="427"/>
      <c r="O306" s="427"/>
      <c r="P306" s="427"/>
      <c r="Q306" s="427"/>
      <c r="R306" s="427"/>
      <c r="S306" s="427"/>
      <c r="T306" s="427"/>
      <c r="U306" s="427"/>
      <c r="V306" s="427"/>
      <c r="W306" s="427"/>
      <c r="X306" s="415"/>
    </row>
    <row r="307" spans="1:24" x14ac:dyDescent="0.3">
      <c r="A307" s="491"/>
      <c r="B307" s="491"/>
      <c r="C307" s="491"/>
      <c r="D307" s="491"/>
      <c r="E307" s="491"/>
      <c r="F307" s="491"/>
      <c r="G307" s="491"/>
      <c r="H307" s="491"/>
      <c r="I307" s="491"/>
      <c r="J307" s="491"/>
      <c r="K307" s="491"/>
      <c r="L307" s="491"/>
      <c r="M307" s="491"/>
      <c r="N307" s="491"/>
      <c r="O307" s="491"/>
      <c r="P307" s="491"/>
      <c r="Q307" s="491"/>
      <c r="R307" s="491"/>
      <c r="S307" s="491"/>
      <c r="T307" s="491"/>
      <c r="U307" s="491"/>
      <c r="V307" s="491"/>
      <c r="W307" s="491"/>
    </row>
  </sheetData>
  <hyperlinks>
    <hyperlink ref="I9" r:id="rId1" xr:uid="{CAC8E5D6-8F69-48B3-96ED-9E22A4C4DAD5}"/>
    <hyperlink ref="P242" r:id="rId2" xr:uid="{65485D88-D330-46F3-AFC5-7EFF7902C453}"/>
    <hyperlink ref="P304" r:id="rId3" xr:uid="{410ED43C-B859-4FBA-84C2-BFAA577197B8}"/>
  </hyperlinks>
  <printOptions horizontalCentered="1" verticalCentered="1"/>
  <pageMargins left="0.19685039370078741" right="0.19685039370078741" top="0.27559055118110237" bottom="0.27559055118110237" header="0" footer="0"/>
  <pageSetup scale="37" orientation="landscape" r:id="rId4"/>
  <headerFooter alignWithMargins="0"/>
  <rowBreaks count="3" manualBreakCount="3">
    <brk id="63" max="23" man="1"/>
    <brk id="140" max="14" man="1"/>
    <brk id="206" max="14" man="1"/>
  </rowBreaks>
  <drawing r:id="rId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E099E-559C-4FC9-86D6-3FED4049E1D7}">
  <sheetPr>
    <tabColor theme="1"/>
  </sheetPr>
  <dimension ref="A1:IV307"/>
  <sheetViews>
    <sheetView showGridLines="0" showOutlineSymbols="0" zoomScale="70" zoomScaleNormal="70" workbookViewId="0"/>
  </sheetViews>
  <sheetFormatPr defaultColWidth="9.81640625" defaultRowHeight="15.6" x14ac:dyDescent="0.3"/>
  <cols>
    <col min="1" max="1" width="4" style="416" customWidth="1"/>
    <col min="2" max="2" width="71.08984375" style="416" customWidth="1"/>
    <col min="3" max="3" width="2.08984375" style="416" customWidth="1"/>
    <col min="4" max="4" width="19.1796875" style="416" customWidth="1"/>
    <col min="5" max="5" width="2.08984375" style="416" customWidth="1"/>
    <col min="6" max="6" width="25.08984375" style="416" customWidth="1"/>
    <col min="7" max="7" width="2.08984375" style="416" customWidth="1"/>
    <col min="8" max="8" width="16.08984375" style="416" customWidth="1"/>
    <col min="9" max="9" width="2.81640625" style="416" customWidth="1"/>
    <col min="10" max="10" width="16.08984375" style="416" customWidth="1"/>
    <col min="11" max="11" width="2.08984375" style="416" customWidth="1"/>
    <col min="12" max="12" width="17.81640625" style="416" customWidth="1"/>
    <col min="13" max="13" width="2.1796875" style="416" customWidth="1"/>
    <col min="14" max="14" width="14.81640625" style="416" customWidth="1"/>
    <col min="15" max="15" width="2.1796875" style="416" customWidth="1"/>
    <col min="16" max="16" width="15.54296875" style="416" customWidth="1"/>
    <col min="17" max="17" width="2.08984375" style="416" customWidth="1"/>
    <col min="18" max="18" width="15.54296875" style="416" customWidth="1"/>
    <col min="19" max="20" width="12.81640625" style="416" customWidth="1"/>
    <col min="21" max="21" width="7.81640625" style="416" customWidth="1"/>
    <col min="22" max="22" width="14.81640625" style="416" customWidth="1"/>
    <col min="23" max="23" width="11.81640625" style="416" customWidth="1"/>
    <col min="24" max="16384" width="9.81640625" style="416"/>
  </cols>
  <sheetData>
    <row r="1" spans="1:24" ht="21" x14ac:dyDescent="0.4">
      <c r="A1" s="413"/>
      <c r="B1" s="537" t="s">
        <v>244</v>
      </c>
      <c r="C1" s="414"/>
      <c r="D1" s="414"/>
      <c r="E1" s="414"/>
      <c r="F1" s="414"/>
      <c r="G1" s="414"/>
      <c r="H1" s="414"/>
      <c r="I1" s="414"/>
      <c r="J1" s="414"/>
      <c r="K1" s="414"/>
      <c r="L1" s="414"/>
      <c r="M1" s="414"/>
      <c r="N1" s="414"/>
      <c r="O1" s="414"/>
      <c r="P1" s="414"/>
      <c r="Q1" s="414"/>
      <c r="R1" s="414"/>
      <c r="S1" s="414"/>
      <c r="T1" s="414"/>
      <c r="U1" s="414"/>
      <c r="V1" s="414"/>
      <c r="W1" s="414"/>
      <c r="X1" s="415"/>
    </row>
    <row r="2" spans="1:24" x14ac:dyDescent="0.3">
      <c r="A2" s="417"/>
      <c r="B2" s="418"/>
      <c r="C2" s="419"/>
      <c r="D2" s="419"/>
      <c r="E2" s="419"/>
      <c r="F2" s="419"/>
      <c r="G2" s="419"/>
      <c r="H2" s="419"/>
      <c r="I2" s="419"/>
      <c r="J2" s="419"/>
      <c r="K2" s="419"/>
      <c r="L2" s="419"/>
      <c r="M2" s="419"/>
      <c r="N2" s="419"/>
      <c r="O2" s="419"/>
      <c r="P2" s="419"/>
      <c r="Q2" s="419"/>
      <c r="R2" s="419"/>
      <c r="S2" s="419"/>
      <c r="T2" s="419"/>
      <c r="U2" s="419"/>
      <c r="V2" s="419"/>
      <c r="W2" s="419"/>
      <c r="X2" s="415"/>
    </row>
    <row r="3" spans="1:24" x14ac:dyDescent="0.3">
      <c r="A3" s="420"/>
      <c r="B3" s="421" t="s">
        <v>245</v>
      </c>
      <c r="C3" s="419"/>
      <c r="D3" s="419"/>
      <c r="E3" s="419"/>
      <c r="F3" s="419"/>
      <c r="G3" s="419"/>
      <c r="H3" s="419"/>
      <c r="I3" s="419"/>
      <c r="J3" s="419"/>
      <c r="K3" s="419"/>
      <c r="L3" s="419"/>
      <c r="M3" s="419"/>
      <c r="N3" s="419"/>
      <c r="O3" s="419"/>
      <c r="P3" s="419"/>
      <c r="Q3" s="419"/>
      <c r="R3" s="419"/>
      <c r="S3" s="419"/>
      <c r="T3" s="419"/>
      <c r="U3" s="419"/>
      <c r="V3" s="419"/>
      <c r="W3" s="419"/>
      <c r="X3" s="415"/>
    </row>
    <row r="4" spans="1:24" x14ac:dyDescent="0.3">
      <c r="A4" s="417"/>
      <c r="B4" s="418"/>
      <c r="C4" s="419"/>
      <c r="D4" s="419"/>
      <c r="E4" s="419"/>
      <c r="F4" s="419"/>
      <c r="G4" s="419"/>
      <c r="H4" s="419"/>
      <c r="I4" s="419"/>
      <c r="J4" s="419"/>
      <c r="K4" s="419"/>
      <c r="L4" s="419"/>
      <c r="M4" s="419"/>
      <c r="N4" s="419"/>
      <c r="O4" s="419"/>
      <c r="P4" s="419"/>
      <c r="Q4" s="419"/>
      <c r="R4" s="419"/>
      <c r="S4" s="419"/>
      <c r="T4" s="419"/>
      <c r="U4" s="419"/>
      <c r="V4" s="419"/>
      <c r="W4" s="419"/>
      <c r="X4" s="415"/>
    </row>
    <row r="5" spans="1:24" x14ac:dyDescent="0.3">
      <c r="A5" s="417"/>
      <c r="B5" s="538" t="s">
        <v>137</v>
      </c>
      <c r="C5" s="419"/>
      <c r="D5" s="419"/>
      <c r="E5" s="419"/>
      <c r="F5" s="419"/>
      <c r="G5" s="419"/>
      <c r="H5" s="419"/>
      <c r="I5" s="419"/>
      <c r="J5" s="419"/>
      <c r="K5" s="419"/>
      <c r="L5" s="419"/>
      <c r="M5" s="419"/>
      <c r="N5" s="419"/>
      <c r="O5" s="419"/>
      <c r="P5" s="419"/>
      <c r="Q5" s="419"/>
      <c r="R5" s="419"/>
      <c r="S5" s="419"/>
      <c r="T5" s="419"/>
      <c r="U5" s="419"/>
      <c r="V5" s="419"/>
      <c r="W5" s="419"/>
      <c r="X5" s="415"/>
    </row>
    <row r="6" spans="1:24" x14ac:dyDescent="0.3">
      <c r="A6" s="417"/>
      <c r="B6" s="538" t="s">
        <v>139</v>
      </c>
      <c r="C6" s="419"/>
      <c r="D6" s="419"/>
      <c r="E6" s="419"/>
      <c r="F6" s="419"/>
      <c r="G6" s="419"/>
      <c r="H6" s="419"/>
      <c r="I6" s="419"/>
      <c r="J6" s="419"/>
      <c r="K6" s="419"/>
      <c r="L6" s="419"/>
      <c r="M6" s="419"/>
      <c r="N6" s="419"/>
      <c r="O6" s="419"/>
      <c r="P6" s="419"/>
      <c r="Q6" s="419"/>
      <c r="R6" s="419"/>
      <c r="S6" s="419"/>
      <c r="T6" s="419"/>
      <c r="U6" s="419"/>
      <c r="V6" s="419"/>
      <c r="W6" s="419"/>
      <c r="X6" s="415"/>
    </row>
    <row r="7" spans="1:24" x14ac:dyDescent="0.3">
      <c r="A7" s="417"/>
      <c r="B7" s="538" t="s">
        <v>138</v>
      </c>
      <c r="C7" s="419"/>
      <c r="D7" s="419"/>
      <c r="E7" s="419"/>
      <c r="F7" s="419"/>
      <c r="G7" s="419"/>
      <c r="H7" s="419"/>
      <c r="I7" s="419"/>
      <c r="J7" s="419"/>
      <c r="K7" s="419"/>
      <c r="L7" s="419"/>
      <c r="M7" s="419"/>
      <c r="N7" s="419"/>
      <c r="O7" s="419"/>
      <c r="P7" s="419"/>
      <c r="Q7" s="419"/>
      <c r="R7" s="419"/>
      <c r="S7" s="419"/>
      <c r="T7" s="419"/>
      <c r="U7" s="419"/>
      <c r="V7" s="419"/>
      <c r="W7" s="419"/>
      <c r="X7" s="415"/>
    </row>
    <row r="8" spans="1:24" x14ac:dyDescent="0.3">
      <c r="A8" s="417"/>
      <c r="B8" s="422"/>
      <c r="C8" s="419"/>
      <c r="D8" s="419"/>
      <c r="E8" s="419"/>
      <c r="F8" s="419"/>
      <c r="G8" s="419"/>
      <c r="H8" s="419"/>
      <c r="I8" s="419"/>
      <c r="J8" s="419"/>
      <c r="K8" s="419"/>
      <c r="L8" s="419"/>
      <c r="M8" s="419"/>
      <c r="N8" s="419"/>
      <c r="O8" s="419"/>
      <c r="P8" s="419"/>
      <c r="Q8" s="419"/>
      <c r="R8" s="419"/>
      <c r="S8" s="419"/>
      <c r="T8" s="419"/>
      <c r="U8" s="419"/>
      <c r="V8" s="419"/>
      <c r="W8" s="419"/>
      <c r="X8" s="415"/>
    </row>
    <row r="9" spans="1:24" ht="18" x14ac:dyDescent="0.35">
      <c r="A9" s="417"/>
      <c r="B9" s="423" t="s">
        <v>166</v>
      </c>
      <c r="C9" s="419"/>
      <c r="D9" s="419"/>
      <c r="E9" s="419"/>
      <c r="F9" s="419"/>
      <c r="G9" s="419"/>
      <c r="H9" s="419"/>
      <c r="I9" s="412" t="s">
        <v>371</v>
      </c>
      <c r="J9" s="419"/>
      <c r="K9" s="419"/>
      <c r="L9" s="424"/>
      <c r="M9" s="419"/>
      <c r="N9" s="424"/>
      <c r="O9" s="419"/>
      <c r="P9" s="419"/>
      <c r="Q9" s="419"/>
      <c r="R9" s="419"/>
      <c r="S9" s="419"/>
      <c r="T9" s="419"/>
      <c r="U9" s="419"/>
      <c r="V9" s="419"/>
      <c r="W9" s="419"/>
      <c r="X9" s="415"/>
    </row>
    <row r="10" spans="1:24" x14ac:dyDescent="0.3">
      <c r="A10" s="417"/>
      <c r="B10" s="422"/>
      <c r="C10" s="425"/>
      <c r="D10" s="425"/>
      <c r="E10" s="425"/>
      <c r="F10" s="419"/>
      <c r="G10" s="419"/>
      <c r="H10" s="419"/>
      <c r="I10" s="419"/>
      <c r="J10" s="419"/>
      <c r="K10" s="419"/>
      <c r="L10" s="419"/>
      <c r="M10" s="419"/>
      <c r="N10" s="419"/>
      <c r="O10" s="419"/>
      <c r="P10" s="419"/>
      <c r="Q10" s="419"/>
      <c r="R10" s="419"/>
      <c r="S10" s="419"/>
      <c r="T10" s="419"/>
      <c r="U10" s="419"/>
      <c r="V10" s="419"/>
      <c r="W10" s="419"/>
      <c r="X10" s="415"/>
    </row>
    <row r="11" spans="1:24" x14ac:dyDescent="0.3">
      <c r="A11" s="417"/>
      <c r="B11" s="539" t="s">
        <v>0</v>
      </c>
      <c r="C11" s="419"/>
      <c r="D11" s="419"/>
      <c r="E11" s="419"/>
      <c r="F11" s="419"/>
      <c r="G11" s="419"/>
      <c r="H11" s="419"/>
      <c r="I11" s="419"/>
      <c r="J11" s="419"/>
      <c r="K11" s="419"/>
      <c r="L11" s="419"/>
      <c r="M11" s="419"/>
      <c r="N11" s="419"/>
      <c r="O11" s="419"/>
      <c r="P11" s="419"/>
      <c r="Q11" s="419"/>
      <c r="R11" s="419"/>
      <c r="S11" s="419"/>
      <c r="T11" s="419"/>
      <c r="U11" s="419"/>
      <c r="V11" s="419"/>
      <c r="W11" s="419"/>
      <c r="X11" s="415"/>
    </row>
    <row r="12" spans="1:24" ht="16.2" thickBot="1" x14ac:dyDescent="0.35">
      <c r="A12" s="417"/>
      <c r="B12" s="425"/>
      <c r="C12" s="419"/>
      <c r="D12" s="419"/>
      <c r="E12" s="419"/>
      <c r="F12" s="419"/>
      <c r="G12" s="419"/>
      <c r="H12" s="419"/>
      <c r="I12" s="419"/>
      <c r="J12" s="419"/>
      <c r="K12" s="419"/>
      <c r="L12" s="419"/>
      <c r="M12" s="419"/>
      <c r="N12" s="419"/>
      <c r="O12" s="419"/>
      <c r="P12" s="419"/>
      <c r="Q12" s="419"/>
      <c r="R12" s="419"/>
      <c r="S12" s="419"/>
      <c r="T12" s="419"/>
      <c r="U12" s="419"/>
      <c r="V12" s="419"/>
      <c r="W12" s="419"/>
      <c r="X12" s="415"/>
    </row>
    <row r="13" spans="1:24" x14ac:dyDescent="0.3">
      <c r="A13" s="413"/>
      <c r="B13" s="414"/>
      <c r="C13" s="414"/>
      <c r="D13" s="414"/>
      <c r="E13" s="414"/>
      <c r="F13" s="414"/>
      <c r="G13" s="414"/>
      <c r="H13" s="414"/>
      <c r="I13" s="414"/>
      <c r="J13" s="414"/>
      <c r="K13" s="414"/>
      <c r="L13" s="414"/>
      <c r="M13" s="414"/>
      <c r="N13" s="414"/>
      <c r="O13" s="414"/>
      <c r="P13" s="414"/>
      <c r="Q13" s="414"/>
      <c r="R13" s="414"/>
      <c r="S13" s="414"/>
      <c r="T13" s="414"/>
      <c r="U13" s="414"/>
      <c r="V13" s="414"/>
      <c r="W13" s="414"/>
      <c r="X13" s="415"/>
    </row>
    <row r="14" spans="1:24" s="544" customFormat="1" x14ac:dyDescent="0.3">
      <c r="A14" s="540"/>
      <c r="B14" s="539" t="s">
        <v>1</v>
      </c>
      <c r="C14" s="541"/>
      <c r="D14" s="541"/>
      <c r="E14" s="541"/>
      <c r="F14" s="541"/>
      <c r="G14" s="541"/>
      <c r="H14" s="541"/>
      <c r="I14" s="541"/>
      <c r="J14" s="541"/>
      <c r="K14" s="541"/>
      <c r="L14" s="541"/>
      <c r="M14" s="541"/>
      <c r="N14" s="541"/>
      <c r="O14" s="541"/>
      <c r="P14" s="541"/>
      <c r="Q14" s="541"/>
      <c r="R14" s="541"/>
      <c r="S14" s="541"/>
      <c r="T14" s="541"/>
      <c r="U14" s="541"/>
      <c r="V14" s="542" t="s">
        <v>246</v>
      </c>
      <c r="W14" s="541"/>
      <c r="X14" s="543"/>
    </row>
    <row r="15" spans="1:24" s="544" customFormat="1" x14ac:dyDescent="0.3">
      <c r="A15" s="540"/>
      <c r="B15" s="539" t="s">
        <v>2</v>
      </c>
      <c r="C15" s="541"/>
      <c r="D15" s="541"/>
      <c r="E15" s="541"/>
      <c r="F15" s="541"/>
      <c r="G15" s="541"/>
      <c r="H15" s="545"/>
      <c r="I15" s="545"/>
      <c r="J15" s="545"/>
      <c r="K15" s="545"/>
      <c r="L15" s="545"/>
      <c r="M15" s="545"/>
      <c r="N15" s="545"/>
      <c r="O15" s="545"/>
      <c r="P15" s="545"/>
      <c r="Q15" s="545"/>
      <c r="R15" s="545" t="s">
        <v>104</v>
      </c>
      <c r="S15" s="546">
        <v>0.38300000000000001</v>
      </c>
      <c r="T15" s="547" t="s">
        <v>140</v>
      </c>
      <c r="U15" s="546">
        <v>0.61699999999999999</v>
      </c>
      <c r="V15" s="542"/>
      <c r="W15" s="541"/>
      <c r="X15" s="543"/>
    </row>
    <row r="16" spans="1:24" s="544" customFormat="1" x14ac:dyDescent="0.3">
      <c r="A16" s="540"/>
      <c r="B16" s="539" t="s">
        <v>3</v>
      </c>
      <c r="C16" s="541"/>
      <c r="D16" s="541"/>
      <c r="E16" s="541"/>
      <c r="F16" s="541"/>
      <c r="G16" s="541"/>
      <c r="H16" s="545"/>
      <c r="I16" s="545"/>
      <c r="J16" s="545"/>
      <c r="K16" s="545"/>
      <c r="L16" s="545"/>
      <c r="M16" s="545"/>
      <c r="N16" s="545"/>
      <c r="O16" s="545"/>
      <c r="P16" s="545"/>
      <c r="Q16" s="545"/>
      <c r="R16" s="545" t="s">
        <v>104</v>
      </c>
      <c r="S16" s="546">
        <v>0.51170000000000004</v>
      </c>
      <c r="T16" s="547" t="s">
        <v>140</v>
      </c>
      <c r="U16" s="546">
        <v>0.48830000000000001</v>
      </c>
      <c r="V16" s="542"/>
      <c r="W16" s="541"/>
      <c r="X16" s="543"/>
    </row>
    <row r="17" spans="1:24" s="544" customFormat="1" x14ac:dyDescent="0.3">
      <c r="A17" s="540"/>
      <c r="B17" s="539" t="s">
        <v>4</v>
      </c>
      <c r="C17" s="541"/>
      <c r="D17" s="541"/>
      <c r="E17" s="541"/>
      <c r="F17" s="541"/>
      <c r="G17" s="541"/>
      <c r="H17" s="541"/>
      <c r="I17" s="541"/>
      <c r="J17" s="541"/>
      <c r="K17" s="541"/>
      <c r="L17" s="541"/>
      <c r="M17" s="541"/>
      <c r="N17" s="541"/>
      <c r="O17" s="541"/>
      <c r="P17" s="541"/>
      <c r="Q17" s="541"/>
      <c r="R17" s="541"/>
      <c r="S17" s="541"/>
      <c r="T17" s="541"/>
      <c r="U17" s="541"/>
      <c r="V17" s="548">
        <v>39163</v>
      </c>
      <c r="W17" s="541"/>
      <c r="X17" s="543"/>
    </row>
    <row r="18" spans="1:24" s="544" customFormat="1" x14ac:dyDescent="0.3">
      <c r="A18" s="540"/>
      <c r="B18" s="539" t="s">
        <v>5</v>
      </c>
      <c r="C18" s="541"/>
      <c r="D18" s="541"/>
      <c r="E18" s="541"/>
      <c r="F18" s="541"/>
      <c r="G18" s="541"/>
      <c r="H18" s="541"/>
      <c r="I18" s="541"/>
      <c r="J18" s="541"/>
      <c r="K18" s="541"/>
      <c r="L18" s="541"/>
      <c r="M18" s="541"/>
      <c r="N18" s="541"/>
      <c r="O18" s="541"/>
      <c r="P18" s="541"/>
      <c r="Q18" s="541"/>
      <c r="R18" s="541"/>
      <c r="S18" s="541"/>
      <c r="T18" s="541"/>
      <c r="U18" s="541"/>
      <c r="V18" s="548">
        <v>43906</v>
      </c>
      <c r="W18" s="541"/>
      <c r="X18" s="543"/>
    </row>
    <row r="19" spans="1:24" s="544" customFormat="1" x14ac:dyDescent="0.3">
      <c r="A19" s="540"/>
      <c r="B19" s="541"/>
      <c r="C19" s="541"/>
      <c r="D19" s="541"/>
      <c r="E19" s="541"/>
      <c r="F19" s="541"/>
      <c r="G19" s="541"/>
      <c r="H19" s="541"/>
      <c r="I19" s="541"/>
      <c r="J19" s="541"/>
      <c r="K19" s="541"/>
      <c r="L19" s="541"/>
      <c r="M19" s="541"/>
      <c r="N19" s="541"/>
      <c r="O19" s="541"/>
      <c r="P19" s="541"/>
      <c r="Q19" s="541"/>
      <c r="R19" s="541"/>
      <c r="S19" s="541"/>
      <c r="T19" s="541"/>
      <c r="U19" s="541"/>
      <c r="V19" s="549"/>
      <c r="W19" s="541"/>
      <c r="X19" s="543"/>
    </row>
    <row r="20" spans="1:24" s="544" customFormat="1" x14ac:dyDescent="0.3">
      <c r="A20" s="540"/>
      <c r="B20" s="550" t="s">
        <v>6</v>
      </c>
      <c r="C20" s="541"/>
      <c r="D20" s="541"/>
      <c r="E20" s="541"/>
      <c r="F20" s="541"/>
      <c r="G20" s="541"/>
      <c r="H20" s="541"/>
      <c r="I20" s="541"/>
      <c r="J20" s="541"/>
      <c r="K20" s="541"/>
      <c r="L20" s="541"/>
      <c r="M20" s="541"/>
      <c r="N20" s="541"/>
      <c r="O20" s="541"/>
      <c r="P20" s="541"/>
      <c r="Q20" s="541"/>
      <c r="R20" s="541"/>
      <c r="S20" s="541"/>
      <c r="T20" s="549" t="s">
        <v>105</v>
      </c>
      <c r="U20" s="541"/>
      <c r="V20" s="541"/>
      <c r="W20" s="541"/>
      <c r="X20" s="543"/>
    </row>
    <row r="21" spans="1:24" x14ac:dyDescent="0.3">
      <c r="A21" s="417"/>
      <c r="B21" s="419"/>
      <c r="C21" s="419"/>
      <c r="D21" s="419"/>
      <c r="E21" s="419"/>
      <c r="F21" s="419"/>
      <c r="G21" s="419"/>
      <c r="H21" s="419"/>
      <c r="I21" s="419"/>
      <c r="J21" s="419"/>
      <c r="K21" s="419"/>
      <c r="L21" s="419"/>
      <c r="M21" s="419"/>
      <c r="N21" s="419"/>
      <c r="O21" s="419"/>
      <c r="P21" s="419"/>
      <c r="Q21" s="419"/>
      <c r="R21" s="419"/>
      <c r="S21" s="419"/>
      <c r="T21" s="419"/>
      <c r="U21" s="419"/>
      <c r="V21" s="430"/>
      <c r="W21" s="419"/>
      <c r="X21" s="415"/>
    </row>
    <row r="22" spans="1:24" x14ac:dyDescent="0.3">
      <c r="A22" s="515"/>
      <c r="B22" s="517"/>
      <c r="C22" s="518"/>
      <c r="D22" s="518" t="s">
        <v>177</v>
      </c>
      <c r="E22" s="518"/>
      <c r="F22" s="518" t="s">
        <v>178</v>
      </c>
      <c r="G22" s="518"/>
      <c r="H22" s="518" t="s">
        <v>179</v>
      </c>
      <c r="I22" s="518"/>
      <c r="J22" s="518" t="s">
        <v>220</v>
      </c>
      <c r="K22" s="518"/>
      <c r="L22" s="518" t="s">
        <v>180</v>
      </c>
      <c r="M22" s="518"/>
      <c r="N22" s="518" t="s">
        <v>181</v>
      </c>
      <c r="O22" s="518"/>
      <c r="P22" s="518" t="s">
        <v>221</v>
      </c>
      <c r="Q22" s="518"/>
      <c r="R22" s="518" t="s">
        <v>182</v>
      </c>
      <c r="S22" s="519"/>
      <c r="T22" s="519"/>
      <c r="U22" s="517"/>
      <c r="V22" s="517"/>
      <c r="W22" s="520"/>
      <c r="X22" s="415"/>
    </row>
    <row r="23" spans="1:24" s="544" customFormat="1" x14ac:dyDescent="0.3">
      <c r="A23" s="551"/>
      <c r="B23" s="552" t="s">
        <v>7</v>
      </c>
      <c r="C23" s="553"/>
      <c r="D23" s="553" t="s">
        <v>213</v>
      </c>
      <c r="E23" s="553"/>
      <c r="F23" s="553" t="s">
        <v>141</v>
      </c>
      <c r="G23" s="553"/>
      <c r="H23" s="553" t="s">
        <v>141</v>
      </c>
      <c r="I23" s="553"/>
      <c r="J23" s="553" t="s">
        <v>141</v>
      </c>
      <c r="K23" s="553"/>
      <c r="L23" s="553" t="s">
        <v>183</v>
      </c>
      <c r="M23" s="553"/>
      <c r="N23" s="553" t="s">
        <v>183</v>
      </c>
      <c r="O23" s="553"/>
      <c r="P23" s="553" t="s">
        <v>142</v>
      </c>
      <c r="Q23" s="553"/>
      <c r="R23" s="553" t="s">
        <v>142</v>
      </c>
      <c r="S23" s="553"/>
      <c r="T23" s="553"/>
      <c r="U23" s="552"/>
      <c r="V23" s="552"/>
      <c r="W23" s="554"/>
      <c r="X23" s="543"/>
    </row>
    <row r="24" spans="1:24" s="544" customFormat="1" x14ac:dyDescent="0.3">
      <c r="A24" s="555"/>
      <c r="B24" s="556" t="s">
        <v>8</v>
      </c>
      <c r="C24" s="557"/>
      <c r="D24" s="557" t="s">
        <v>214</v>
      </c>
      <c r="E24" s="557"/>
      <c r="F24" s="557" t="s">
        <v>143</v>
      </c>
      <c r="G24" s="557"/>
      <c r="H24" s="557" t="s">
        <v>143</v>
      </c>
      <c r="I24" s="557"/>
      <c r="J24" s="557" t="s">
        <v>143</v>
      </c>
      <c r="K24" s="557"/>
      <c r="L24" s="557" t="s">
        <v>165</v>
      </c>
      <c r="M24" s="557"/>
      <c r="N24" s="557" t="s">
        <v>165</v>
      </c>
      <c r="O24" s="557"/>
      <c r="P24" s="557" t="s">
        <v>144</v>
      </c>
      <c r="Q24" s="557"/>
      <c r="R24" s="557" t="s">
        <v>144</v>
      </c>
      <c r="S24" s="557"/>
      <c r="T24" s="557"/>
      <c r="U24" s="556"/>
      <c r="V24" s="556"/>
      <c r="W24" s="558"/>
      <c r="X24" s="543"/>
    </row>
    <row r="25" spans="1:24" s="544" customFormat="1" x14ac:dyDescent="0.3">
      <c r="A25" s="559"/>
      <c r="B25" s="556" t="s">
        <v>190</v>
      </c>
      <c r="C25" s="560"/>
      <c r="D25" s="557" t="s">
        <v>215</v>
      </c>
      <c r="E25" s="557"/>
      <c r="F25" s="557" t="s">
        <v>143</v>
      </c>
      <c r="G25" s="557"/>
      <c r="H25" s="557" t="s">
        <v>143</v>
      </c>
      <c r="I25" s="557"/>
      <c r="J25" s="557" t="s">
        <v>143</v>
      </c>
      <c r="K25" s="557"/>
      <c r="L25" s="557" t="s">
        <v>293</v>
      </c>
      <c r="M25" s="557"/>
      <c r="N25" s="557" t="s">
        <v>293</v>
      </c>
      <c r="O25" s="557"/>
      <c r="P25" s="557" t="s">
        <v>144</v>
      </c>
      <c r="Q25" s="557"/>
      <c r="R25" s="557" t="s">
        <v>144</v>
      </c>
      <c r="S25" s="560"/>
      <c r="T25" s="557"/>
      <c r="U25" s="556"/>
      <c r="V25" s="556"/>
      <c r="W25" s="558"/>
      <c r="X25" s="543"/>
    </row>
    <row r="26" spans="1:24" s="544" customFormat="1" x14ac:dyDescent="0.3">
      <c r="A26" s="559"/>
      <c r="B26" s="561" t="s">
        <v>9</v>
      </c>
      <c r="C26" s="560"/>
      <c r="D26" s="560" t="s">
        <v>333</v>
      </c>
      <c r="E26" s="560"/>
      <c r="F26" s="560" t="s">
        <v>333</v>
      </c>
      <c r="G26" s="560"/>
      <c r="H26" s="560" t="s">
        <v>333</v>
      </c>
      <c r="I26" s="560"/>
      <c r="J26" s="560" t="s">
        <v>333</v>
      </c>
      <c r="K26" s="560"/>
      <c r="L26" s="560" t="s">
        <v>333</v>
      </c>
      <c r="M26" s="560"/>
      <c r="N26" s="560" t="s">
        <v>333</v>
      </c>
      <c r="O26" s="560"/>
      <c r="P26" s="560" t="s">
        <v>334</v>
      </c>
      <c r="Q26" s="560"/>
      <c r="R26" s="560" t="s">
        <v>334</v>
      </c>
      <c r="S26" s="560"/>
      <c r="T26" s="557"/>
      <c r="U26" s="556"/>
      <c r="V26" s="556"/>
      <c r="W26" s="558"/>
      <c r="X26" s="543"/>
    </row>
    <row r="27" spans="1:24" s="544" customFormat="1" x14ac:dyDescent="0.3">
      <c r="A27" s="555"/>
      <c r="B27" s="561" t="s">
        <v>191</v>
      </c>
      <c r="C27" s="557"/>
      <c r="D27" s="560" t="s">
        <v>143</v>
      </c>
      <c r="E27" s="560"/>
      <c r="F27" s="560" t="s">
        <v>143</v>
      </c>
      <c r="G27" s="560"/>
      <c r="H27" s="560" t="s">
        <v>143</v>
      </c>
      <c r="I27" s="560"/>
      <c r="J27" s="560" t="s">
        <v>143</v>
      </c>
      <c r="K27" s="560"/>
      <c r="L27" s="560" t="s">
        <v>293</v>
      </c>
      <c r="M27" s="560"/>
      <c r="N27" s="560" t="s">
        <v>293</v>
      </c>
      <c r="O27" s="560"/>
      <c r="P27" s="560" t="s">
        <v>383</v>
      </c>
      <c r="Q27" s="560"/>
      <c r="R27" s="560" t="s">
        <v>383</v>
      </c>
      <c r="S27" s="557"/>
      <c r="T27" s="562"/>
      <c r="U27" s="556"/>
      <c r="V27" s="556"/>
      <c r="W27" s="558"/>
      <c r="X27" s="543"/>
    </row>
    <row r="28" spans="1:24" s="544" customFormat="1" x14ac:dyDescent="0.3">
      <c r="A28" s="555"/>
      <c r="B28" s="561" t="s">
        <v>192</v>
      </c>
      <c r="C28" s="557"/>
      <c r="D28" s="560" t="s">
        <v>143</v>
      </c>
      <c r="E28" s="560"/>
      <c r="F28" s="560" t="s">
        <v>143</v>
      </c>
      <c r="G28" s="560"/>
      <c r="H28" s="560" t="s">
        <v>143</v>
      </c>
      <c r="I28" s="560"/>
      <c r="J28" s="560" t="s">
        <v>143</v>
      </c>
      <c r="K28" s="560"/>
      <c r="L28" s="560" t="s">
        <v>143</v>
      </c>
      <c r="M28" s="560"/>
      <c r="N28" s="560" t="s">
        <v>143</v>
      </c>
      <c r="O28" s="560"/>
      <c r="P28" s="560" t="s">
        <v>383</v>
      </c>
      <c r="Q28" s="560"/>
      <c r="R28" s="560" t="s">
        <v>383</v>
      </c>
      <c r="S28" s="557"/>
      <c r="T28" s="562"/>
      <c r="U28" s="556"/>
      <c r="V28" s="556"/>
      <c r="W28" s="558"/>
      <c r="X28" s="543"/>
    </row>
    <row r="29" spans="1:24" s="544" customFormat="1" x14ac:dyDescent="0.3">
      <c r="A29" s="555"/>
      <c r="B29" s="556" t="s">
        <v>10</v>
      </c>
      <c r="C29" s="563"/>
      <c r="D29" s="557" t="s">
        <v>249</v>
      </c>
      <c r="E29" s="557"/>
      <c r="F29" s="562" t="s">
        <v>250</v>
      </c>
      <c r="G29" s="557"/>
      <c r="H29" s="557" t="s">
        <v>251</v>
      </c>
      <c r="I29" s="557"/>
      <c r="J29" s="557" t="s">
        <v>253</v>
      </c>
      <c r="K29" s="557"/>
      <c r="L29" s="557" t="s">
        <v>254</v>
      </c>
      <c r="M29" s="557"/>
      <c r="N29" s="557" t="s">
        <v>255</v>
      </c>
      <c r="O29" s="557"/>
      <c r="P29" s="557" t="s">
        <v>256</v>
      </c>
      <c r="Q29" s="557"/>
      <c r="R29" s="557" t="s">
        <v>257</v>
      </c>
      <c r="S29" s="564"/>
      <c r="T29" s="564"/>
      <c r="U29" s="563"/>
      <c r="V29" s="564"/>
      <c r="W29" s="565"/>
      <c r="X29" s="543"/>
    </row>
    <row r="30" spans="1:24" s="544" customFormat="1" x14ac:dyDescent="0.3">
      <c r="A30" s="555"/>
      <c r="B30" s="556" t="s">
        <v>10</v>
      </c>
      <c r="C30" s="563"/>
      <c r="D30" s="557" t="s">
        <v>248</v>
      </c>
      <c r="E30" s="557"/>
      <c r="F30" s="562" t="s">
        <v>118</v>
      </c>
      <c r="G30" s="557"/>
      <c r="H30" s="557" t="s">
        <v>118</v>
      </c>
      <c r="I30" s="557"/>
      <c r="J30" s="557" t="s">
        <v>252</v>
      </c>
      <c r="K30" s="557"/>
      <c r="L30" s="557" t="s">
        <v>118</v>
      </c>
      <c r="M30" s="557"/>
      <c r="N30" s="557" t="s">
        <v>118</v>
      </c>
      <c r="O30" s="557"/>
      <c r="P30" s="557" t="s">
        <v>118</v>
      </c>
      <c r="Q30" s="557"/>
      <c r="R30" s="557" t="s">
        <v>118</v>
      </c>
      <c r="S30" s="564"/>
      <c r="T30" s="564"/>
      <c r="U30" s="563"/>
      <c r="V30" s="564"/>
      <c r="W30" s="565"/>
      <c r="X30" s="543"/>
    </row>
    <row r="31" spans="1:24" s="544" customFormat="1" x14ac:dyDescent="0.3">
      <c r="A31" s="559"/>
      <c r="B31" s="556" t="s">
        <v>133</v>
      </c>
      <c r="C31" s="566"/>
      <c r="D31" s="567">
        <v>1500000</v>
      </c>
      <c r="E31" s="563"/>
      <c r="F31" s="564">
        <v>125000</v>
      </c>
      <c r="G31" s="564"/>
      <c r="H31" s="568">
        <v>246000</v>
      </c>
      <c r="I31" s="568"/>
      <c r="J31" s="567">
        <v>400000</v>
      </c>
      <c r="K31" s="564"/>
      <c r="L31" s="564">
        <v>51900</v>
      </c>
      <c r="M31" s="564"/>
      <c r="N31" s="568">
        <v>88800</v>
      </c>
      <c r="O31" s="564"/>
      <c r="P31" s="564">
        <v>20000</v>
      </c>
      <c r="Q31" s="564"/>
      <c r="R31" s="568">
        <v>135500</v>
      </c>
      <c r="S31" s="569"/>
      <c r="T31" s="569"/>
      <c r="U31" s="566"/>
      <c r="V31" s="569"/>
      <c r="W31" s="565"/>
      <c r="X31" s="543"/>
    </row>
    <row r="32" spans="1:24" s="544" customFormat="1" x14ac:dyDescent="0.3">
      <c r="A32" s="555"/>
      <c r="B32" s="556" t="s">
        <v>132</v>
      </c>
      <c r="C32" s="563"/>
      <c r="D32" s="570">
        <f>D34*D38</f>
        <v>314420.54686559999</v>
      </c>
      <c r="E32" s="563"/>
      <c r="F32" s="564">
        <f>F31*F38</f>
        <v>50700.574999999997</v>
      </c>
      <c r="G32" s="564"/>
      <c r="H32" s="568">
        <f>H31*H38</f>
        <v>99778.731599999999</v>
      </c>
      <c r="I32" s="568"/>
      <c r="J32" s="567">
        <f>J31*J38</f>
        <v>162240.95999999999</v>
      </c>
      <c r="K32" s="564"/>
      <c r="L32" s="564">
        <f>+L31</f>
        <v>51900</v>
      </c>
      <c r="M32" s="564"/>
      <c r="N32" s="568">
        <f>+N31</f>
        <v>88800</v>
      </c>
      <c r="O32" s="564"/>
      <c r="P32" s="564">
        <f>+P31</f>
        <v>20000</v>
      </c>
      <c r="Q32" s="564"/>
      <c r="R32" s="568">
        <f>+R31</f>
        <v>135500</v>
      </c>
      <c r="S32" s="564"/>
      <c r="T32" s="564"/>
      <c r="U32" s="563"/>
      <c r="V32" s="564"/>
      <c r="W32" s="565"/>
      <c r="X32" s="543"/>
    </row>
    <row r="33" spans="1:24" s="544" customFormat="1" x14ac:dyDescent="0.3">
      <c r="A33" s="555"/>
      <c r="B33" s="561" t="s">
        <v>134</v>
      </c>
      <c r="C33" s="563"/>
      <c r="D33" s="571">
        <f>D34*D37</f>
        <v>306086.20361339999</v>
      </c>
      <c r="E33" s="566"/>
      <c r="F33" s="569">
        <f>F37*F31</f>
        <v>49356.675000000003</v>
      </c>
      <c r="G33" s="569"/>
      <c r="H33" s="572">
        <f>H31*H37</f>
        <v>97133.936400000006</v>
      </c>
      <c r="I33" s="572"/>
      <c r="J33" s="573">
        <f>J37*J31</f>
        <v>157940.44</v>
      </c>
      <c r="K33" s="569"/>
      <c r="L33" s="569">
        <f>L31*L37</f>
        <v>51900</v>
      </c>
      <c r="M33" s="569"/>
      <c r="N33" s="572">
        <f>N31*N37</f>
        <v>88800</v>
      </c>
      <c r="O33" s="569"/>
      <c r="P33" s="569">
        <f>P31*P37</f>
        <v>20000</v>
      </c>
      <c r="Q33" s="569"/>
      <c r="R33" s="572">
        <f>R31*R37</f>
        <v>135500</v>
      </c>
      <c r="S33" s="564"/>
      <c r="T33" s="564"/>
      <c r="U33" s="563"/>
      <c r="V33" s="564"/>
      <c r="W33" s="565"/>
      <c r="X33" s="543"/>
    </row>
    <row r="34" spans="1:24" s="544" customFormat="1" x14ac:dyDescent="0.3">
      <c r="A34" s="559"/>
      <c r="B34" s="556" t="s">
        <v>296</v>
      </c>
      <c r="C34" s="566"/>
      <c r="D34" s="564">
        <v>775194</v>
      </c>
      <c r="E34" s="563"/>
      <c r="F34" s="564">
        <v>125000</v>
      </c>
      <c r="G34" s="564"/>
      <c r="H34" s="564">
        <v>168148</v>
      </c>
      <c r="I34" s="564"/>
      <c r="J34" s="564">
        <v>206718</v>
      </c>
      <c r="K34" s="564"/>
      <c r="L34" s="564">
        <v>51900</v>
      </c>
      <c r="M34" s="564"/>
      <c r="N34" s="564">
        <v>60697</v>
      </c>
      <c r="O34" s="564"/>
      <c r="P34" s="564">
        <v>20000</v>
      </c>
      <c r="Q34" s="564"/>
      <c r="R34" s="564">
        <v>92618</v>
      </c>
      <c r="S34" s="569"/>
      <c r="T34" s="569"/>
      <c r="U34" s="566"/>
      <c r="V34" s="564">
        <f>SUM(C34:R34)</f>
        <v>1500275</v>
      </c>
      <c r="W34" s="565"/>
      <c r="X34" s="543"/>
    </row>
    <row r="35" spans="1:24" s="544" customFormat="1" x14ac:dyDescent="0.3">
      <c r="A35" s="559"/>
      <c r="B35" s="556" t="s">
        <v>297</v>
      </c>
      <c r="C35" s="566"/>
      <c r="D35" s="564">
        <f>D34*D38</f>
        <v>314420.54686559999</v>
      </c>
      <c r="E35" s="563"/>
      <c r="F35" s="564">
        <f>F34*F38</f>
        <v>50700.574999999997</v>
      </c>
      <c r="G35" s="564"/>
      <c r="H35" s="564">
        <f>H34*H38</f>
        <v>68201.602280799998</v>
      </c>
      <c r="I35" s="564"/>
      <c r="J35" s="564">
        <f>J34*J38</f>
        <v>83845.316923199993</v>
      </c>
      <c r="K35" s="564"/>
      <c r="L35" s="564">
        <f>+L34</f>
        <v>51900</v>
      </c>
      <c r="M35" s="564"/>
      <c r="N35" s="564">
        <f>+N34</f>
        <v>60697</v>
      </c>
      <c r="O35" s="564"/>
      <c r="P35" s="564">
        <f>+P34</f>
        <v>20000</v>
      </c>
      <c r="Q35" s="564"/>
      <c r="R35" s="564">
        <f>+R34</f>
        <v>92618</v>
      </c>
      <c r="S35" s="564"/>
      <c r="T35" s="564"/>
      <c r="U35" s="563"/>
      <c r="V35" s="564">
        <f>SUM(C35:R35)</f>
        <v>742383.04106960003</v>
      </c>
      <c r="W35" s="565"/>
      <c r="X35" s="543"/>
    </row>
    <row r="36" spans="1:24" s="544" customFormat="1" x14ac:dyDescent="0.3">
      <c r="A36" s="559"/>
      <c r="B36" s="561" t="s">
        <v>298</v>
      </c>
      <c r="C36" s="566"/>
      <c r="D36" s="569">
        <f>D34*D37</f>
        <v>306086.20361339999</v>
      </c>
      <c r="E36" s="566"/>
      <c r="F36" s="569">
        <f>F34*F37</f>
        <v>49356.675000000003</v>
      </c>
      <c r="G36" s="569"/>
      <c r="H36" s="569">
        <f>H34*H37</f>
        <v>66393.809503199998</v>
      </c>
      <c r="I36" s="569"/>
      <c r="J36" s="569">
        <f>J34*J37</f>
        <v>81622.829689799997</v>
      </c>
      <c r="K36" s="569"/>
      <c r="L36" s="569">
        <f>L34*L37</f>
        <v>51900</v>
      </c>
      <c r="M36" s="569"/>
      <c r="N36" s="569">
        <f>N34*N37</f>
        <v>60697</v>
      </c>
      <c r="O36" s="569"/>
      <c r="P36" s="569">
        <f>P34*P37</f>
        <v>20000</v>
      </c>
      <c r="Q36" s="569"/>
      <c r="R36" s="569">
        <f>R34*R37</f>
        <v>92618</v>
      </c>
      <c r="S36" s="574"/>
      <c r="T36" s="574"/>
      <c r="U36" s="563"/>
      <c r="V36" s="569">
        <f>SUM(C36:R36)</f>
        <v>728674.51780639996</v>
      </c>
      <c r="W36" s="565"/>
      <c r="X36" s="543"/>
    </row>
    <row r="37" spans="1:24" s="499" customFormat="1" x14ac:dyDescent="0.3">
      <c r="A37" s="492"/>
      <c r="B37" s="493" t="s">
        <v>130</v>
      </c>
      <c r="C37" s="494"/>
      <c r="D37" s="495">
        <v>0.39485110000000001</v>
      </c>
      <c r="E37" s="495"/>
      <c r="F37" s="495">
        <v>0.39485340000000002</v>
      </c>
      <c r="G37" s="495"/>
      <c r="H37" s="495">
        <v>0.39485340000000002</v>
      </c>
      <c r="I37" s="495"/>
      <c r="J37" s="495">
        <v>0.39485110000000001</v>
      </c>
      <c r="K37" s="495"/>
      <c r="L37" s="495">
        <v>1</v>
      </c>
      <c r="M37" s="495"/>
      <c r="N37" s="495">
        <v>1</v>
      </c>
      <c r="O37" s="495"/>
      <c r="P37" s="495">
        <v>1</v>
      </c>
      <c r="Q37" s="495"/>
      <c r="R37" s="495">
        <v>1</v>
      </c>
      <c r="S37" s="496"/>
      <c r="T37" s="496"/>
      <c r="U37" s="494"/>
      <c r="V37" s="494"/>
      <c r="W37" s="497"/>
      <c r="X37" s="498"/>
    </row>
    <row r="38" spans="1:24" s="499" customFormat="1" x14ac:dyDescent="0.3">
      <c r="A38" s="492"/>
      <c r="B38" s="493" t="s">
        <v>131</v>
      </c>
      <c r="C38" s="494"/>
      <c r="D38" s="495">
        <v>0.40560239999999997</v>
      </c>
      <c r="E38" s="495"/>
      <c r="F38" s="495">
        <v>0.40560459999999998</v>
      </c>
      <c r="G38" s="495"/>
      <c r="H38" s="495">
        <v>0.40560459999999998</v>
      </c>
      <c r="I38" s="495"/>
      <c r="J38" s="495">
        <v>0.40560239999999997</v>
      </c>
      <c r="K38" s="495"/>
      <c r="L38" s="495">
        <v>1</v>
      </c>
      <c r="M38" s="495"/>
      <c r="N38" s="495">
        <v>1</v>
      </c>
      <c r="O38" s="495"/>
      <c r="P38" s="495">
        <v>1</v>
      </c>
      <c r="Q38" s="495"/>
      <c r="R38" s="495">
        <v>1</v>
      </c>
      <c r="S38" s="500"/>
      <c r="T38" s="501"/>
      <c r="U38" s="494"/>
      <c r="V38" s="500"/>
      <c r="W38" s="497"/>
      <c r="X38" s="498"/>
    </row>
    <row r="39" spans="1:24" s="544" customFormat="1" x14ac:dyDescent="0.3">
      <c r="A39" s="555"/>
      <c r="B39" s="556" t="s">
        <v>11</v>
      </c>
      <c r="C39" s="556"/>
      <c r="D39" s="562" t="s">
        <v>321</v>
      </c>
      <c r="E39" s="556"/>
      <c r="F39" s="562" t="s">
        <v>231</v>
      </c>
      <c r="G39" s="562"/>
      <c r="H39" s="562" t="s">
        <v>231</v>
      </c>
      <c r="I39" s="562"/>
      <c r="J39" s="562" t="s">
        <v>231</v>
      </c>
      <c r="K39" s="562"/>
      <c r="L39" s="562" t="s">
        <v>265</v>
      </c>
      <c r="M39" s="562"/>
      <c r="N39" s="562" t="s">
        <v>265</v>
      </c>
      <c r="O39" s="562"/>
      <c r="P39" s="562" t="s">
        <v>266</v>
      </c>
      <c r="Q39" s="562"/>
      <c r="R39" s="562" t="s">
        <v>266</v>
      </c>
      <c r="S39" s="575"/>
      <c r="T39" s="576"/>
      <c r="U39" s="556"/>
      <c r="V39" s="556"/>
      <c r="W39" s="558"/>
      <c r="X39" s="543"/>
    </row>
    <row r="40" spans="1:24" s="544" customFormat="1" x14ac:dyDescent="0.3">
      <c r="A40" s="555"/>
      <c r="B40" s="556" t="s">
        <v>12</v>
      </c>
      <c r="C40" s="556"/>
      <c r="D40" s="576">
        <v>9.9749999999999995E-3</v>
      </c>
      <c r="E40" s="556"/>
      <c r="F40" s="576">
        <v>9.9749999999999995E-3</v>
      </c>
      <c r="G40" s="575"/>
      <c r="H40" s="576">
        <v>0</v>
      </c>
      <c r="I40" s="576"/>
      <c r="J40" s="576">
        <v>2.0936300000000001E-2</v>
      </c>
      <c r="K40" s="575"/>
      <c r="L40" s="576">
        <v>1.1575E-2</v>
      </c>
      <c r="M40" s="575"/>
      <c r="N40" s="576">
        <v>0</v>
      </c>
      <c r="O40" s="575"/>
      <c r="P40" s="576">
        <v>1.5575E-2</v>
      </c>
      <c r="Q40" s="575"/>
      <c r="R40" s="576">
        <v>3.65E-3</v>
      </c>
      <c r="S40" s="575"/>
      <c r="T40" s="576"/>
      <c r="U40" s="556"/>
      <c r="V40" s="562"/>
      <c r="W40" s="558"/>
      <c r="X40" s="543"/>
    </row>
    <row r="41" spans="1:24" s="544" customFormat="1" x14ac:dyDescent="0.3">
      <c r="A41" s="555"/>
      <c r="B41" s="556" t="s">
        <v>13</v>
      </c>
      <c r="C41" s="556"/>
      <c r="D41" s="576">
        <v>9.8137999999999993E-3</v>
      </c>
      <c r="E41" s="556"/>
      <c r="F41" s="576">
        <v>9.8137999999999993E-3</v>
      </c>
      <c r="G41" s="575"/>
      <c r="H41" s="576">
        <v>0</v>
      </c>
      <c r="I41" s="576"/>
      <c r="J41" s="576">
        <v>2.3185000000000001E-2</v>
      </c>
      <c r="K41" s="575"/>
      <c r="L41" s="576">
        <v>1.14138E-2</v>
      </c>
      <c r="M41" s="575"/>
      <c r="N41" s="576">
        <v>0</v>
      </c>
      <c r="O41" s="575"/>
      <c r="P41" s="576">
        <v>1.54138E-2</v>
      </c>
      <c r="Q41" s="575"/>
      <c r="R41" s="576">
        <v>3.2699999999999999E-3</v>
      </c>
      <c r="S41" s="575"/>
      <c r="T41" s="576"/>
      <c r="U41" s="556"/>
      <c r="V41" s="575" t="s">
        <v>193</v>
      </c>
      <c r="W41" s="558"/>
      <c r="X41" s="543"/>
    </row>
    <row r="42" spans="1:24" s="544" customFormat="1" x14ac:dyDescent="0.3">
      <c r="A42" s="555"/>
      <c r="B42" s="556" t="s">
        <v>299</v>
      </c>
      <c r="C42" s="556"/>
      <c r="D42" s="562" t="s">
        <v>321</v>
      </c>
      <c r="E42" s="556"/>
      <c r="F42" s="562" t="s">
        <v>231</v>
      </c>
      <c r="G42" s="562"/>
      <c r="H42" s="562" t="s">
        <v>323</v>
      </c>
      <c r="I42" s="562"/>
      <c r="J42" s="562" t="s">
        <v>324</v>
      </c>
      <c r="K42" s="562"/>
      <c r="L42" s="562" t="s">
        <v>265</v>
      </c>
      <c r="M42" s="562"/>
      <c r="N42" s="562" t="s">
        <v>234</v>
      </c>
      <c r="O42" s="562"/>
      <c r="P42" s="562" t="s">
        <v>266</v>
      </c>
      <c r="Q42" s="562"/>
      <c r="R42" s="562" t="s">
        <v>264</v>
      </c>
      <c r="S42" s="575"/>
      <c r="T42" s="576"/>
      <c r="U42" s="556"/>
      <c r="V42" s="556"/>
      <c r="W42" s="558"/>
      <c r="X42" s="543"/>
    </row>
    <row r="43" spans="1:24" s="544" customFormat="1" x14ac:dyDescent="0.3">
      <c r="A43" s="555"/>
      <c r="B43" s="556" t="s">
        <v>300</v>
      </c>
      <c r="C43" s="577"/>
      <c r="D43" s="576">
        <f>D40</f>
        <v>9.9749999999999995E-3</v>
      </c>
      <c r="E43" s="576"/>
      <c r="F43" s="576">
        <f>+F40</f>
        <v>9.9749999999999995E-3</v>
      </c>
      <c r="G43" s="576"/>
      <c r="H43" s="576">
        <v>1.0255E-2</v>
      </c>
      <c r="I43" s="576"/>
      <c r="J43" s="576">
        <v>1.0701E-2</v>
      </c>
      <c r="K43" s="576"/>
      <c r="L43" s="576">
        <f>+L40</f>
        <v>1.1575E-2</v>
      </c>
      <c r="M43" s="576"/>
      <c r="N43" s="576">
        <v>1.2167000000000001E-2</v>
      </c>
      <c r="O43" s="576"/>
      <c r="P43" s="576">
        <f>+P40</f>
        <v>1.5575E-2</v>
      </c>
      <c r="Q43" s="575"/>
      <c r="R43" s="576">
        <v>1.6641E-2</v>
      </c>
      <c r="S43" s="562"/>
      <c r="T43" s="562"/>
      <c r="U43" s="556"/>
      <c r="V43" s="575">
        <f>SUMPRODUCT(D43:R43,D35:R35)/V35</f>
        <v>1.1356291737547559E-2</v>
      </c>
      <c r="W43" s="558"/>
      <c r="X43" s="543"/>
    </row>
    <row r="44" spans="1:24" s="544" customFormat="1" x14ac:dyDescent="0.3">
      <c r="A44" s="555"/>
      <c r="B44" s="556" t="s">
        <v>301</v>
      </c>
      <c r="C44" s="577"/>
      <c r="D44" s="576">
        <f>D41</f>
        <v>9.8137999999999993E-3</v>
      </c>
      <c r="E44" s="576"/>
      <c r="F44" s="576">
        <f>+F41</f>
        <v>9.8137999999999993E-3</v>
      </c>
      <c r="G44" s="576"/>
      <c r="H44" s="576">
        <v>1.00938E-2</v>
      </c>
      <c r="I44" s="576"/>
      <c r="J44" s="576">
        <v>1.05398E-2</v>
      </c>
      <c r="K44" s="576"/>
      <c r="L44" s="576">
        <f>+L41</f>
        <v>1.14138E-2</v>
      </c>
      <c r="M44" s="576"/>
      <c r="N44" s="576">
        <v>1.20058E-2</v>
      </c>
      <c r="O44" s="576"/>
      <c r="P44" s="576">
        <f>+P41</f>
        <v>1.54138E-2</v>
      </c>
      <c r="Q44" s="575"/>
      <c r="R44" s="576">
        <v>1.6479799999999999E-2</v>
      </c>
      <c r="S44" s="562"/>
      <c r="T44" s="562"/>
      <c r="U44" s="556"/>
      <c r="V44" s="556"/>
      <c r="W44" s="558"/>
      <c r="X44" s="543"/>
    </row>
    <row r="45" spans="1:24" s="544" customFormat="1" x14ac:dyDescent="0.3">
      <c r="A45" s="555"/>
      <c r="B45" s="556" t="s">
        <v>14</v>
      </c>
      <c r="C45" s="556"/>
      <c r="D45" s="577">
        <v>40617</v>
      </c>
      <c r="E45" s="577"/>
      <c r="F45" s="577">
        <v>40617</v>
      </c>
      <c r="G45" s="577"/>
      <c r="H45" s="577">
        <v>40617</v>
      </c>
      <c r="I45" s="577"/>
      <c r="J45" s="577">
        <v>40617</v>
      </c>
      <c r="K45" s="577"/>
      <c r="L45" s="577">
        <v>40617</v>
      </c>
      <c r="M45" s="577"/>
      <c r="N45" s="577">
        <v>40617</v>
      </c>
      <c r="O45" s="577"/>
      <c r="P45" s="577">
        <v>40617</v>
      </c>
      <c r="Q45" s="577"/>
      <c r="R45" s="577">
        <v>40617</v>
      </c>
      <c r="S45" s="562"/>
      <c r="T45" s="562"/>
      <c r="U45" s="556"/>
      <c r="V45" s="556"/>
      <c r="W45" s="558"/>
      <c r="X45" s="543"/>
    </row>
    <row r="46" spans="1:24" s="544" customFormat="1" x14ac:dyDescent="0.3">
      <c r="A46" s="555"/>
      <c r="B46" s="556" t="s">
        <v>15</v>
      </c>
      <c r="C46" s="556"/>
      <c r="D46" s="577">
        <v>40983</v>
      </c>
      <c r="E46" s="577"/>
      <c r="F46" s="577">
        <v>40983</v>
      </c>
      <c r="G46" s="577"/>
      <c r="H46" s="577">
        <v>40983</v>
      </c>
      <c r="I46" s="577"/>
      <c r="J46" s="577">
        <v>40983</v>
      </c>
      <c r="K46" s="562"/>
      <c r="L46" s="577">
        <v>40983</v>
      </c>
      <c r="M46" s="562"/>
      <c r="N46" s="577">
        <v>40983</v>
      </c>
      <c r="O46" s="562"/>
      <c r="P46" s="577">
        <v>40983</v>
      </c>
      <c r="Q46" s="562"/>
      <c r="R46" s="577">
        <v>40983</v>
      </c>
      <c r="S46" s="562"/>
      <c r="T46" s="562"/>
      <c r="U46" s="556"/>
      <c r="V46" s="556"/>
      <c r="W46" s="558"/>
      <c r="X46" s="543"/>
    </row>
    <row r="47" spans="1:24" s="544" customFormat="1" x14ac:dyDescent="0.3">
      <c r="A47" s="555"/>
      <c r="B47" s="556" t="s">
        <v>119</v>
      </c>
      <c r="C47" s="556"/>
      <c r="D47" s="562" t="s">
        <v>231</v>
      </c>
      <c r="E47" s="556"/>
      <c r="F47" s="562" t="s">
        <v>231</v>
      </c>
      <c r="G47" s="562"/>
      <c r="H47" s="562" t="s">
        <v>231</v>
      </c>
      <c r="I47" s="562"/>
      <c r="J47" s="562" t="s">
        <v>231</v>
      </c>
      <c r="K47" s="562"/>
      <c r="L47" s="562" t="s">
        <v>265</v>
      </c>
      <c r="M47" s="562"/>
      <c r="N47" s="562" t="s">
        <v>265</v>
      </c>
      <c r="O47" s="562"/>
      <c r="P47" s="562" t="s">
        <v>266</v>
      </c>
      <c r="Q47" s="562"/>
      <c r="R47" s="562" t="s">
        <v>266</v>
      </c>
      <c r="S47" s="578"/>
      <c r="T47" s="578"/>
      <c r="U47" s="578"/>
      <c r="V47" s="578"/>
      <c r="W47" s="558"/>
      <c r="X47" s="543"/>
    </row>
    <row r="48" spans="1:24" s="544" customFormat="1" x14ac:dyDescent="0.3">
      <c r="A48" s="555"/>
      <c r="B48" s="556" t="s">
        <v>302</v>
      </c>
      <c r="C48" s="556"/>
      <c r="D48" s="562" t="s">
        <v>325</v>
      </c>
      <c r="E48" s="556"/>
      <c r="F48" s="562" t="s">
        <v>231</v>
      </c>
      <c r="G48" s="562"/>
      <c r="H48" s="562" t="s">
        <v>262</v>
      </c>
      <c r="I48" s="562"/>
      <c r="J48" s="562" t="s">
        <v>263</v>
      </c>
      <c r="K48" s="562"/>
      <c r="L48" s="562" t="s">
        <v>265</v>
      </c>
      <c r="M48" s="562"/>
      <c r="N48" s="562" t="s">
        <v>234</v>
      </c>
      <c r="O48" s="562"/>
      <c r="P48" s="562" t="s">
        <v>266</v>
      </c>
      <c r="Q48" s="562"/>
      <c r="R48" s="562" t="s">
        <v>264</v>
      </c>
      <c r="S48" s="556"/>
      <c r="T48" s="556"/>
      <c r="U48" s="556"/>
      <c r="V48" s="575"/>
      <c r="W48" s="558"/>
      <c r="X48" s="543"/>
    </row>
    <row r="49" spans="1:25" s="544" customFormat="1" x14ac:dyDescent="0.3">
      <c r="A49" s="555"/>
      <c r="B49" s="556"/>
      <c r="C49" s="556"/>
      <c r="D49" s="562"/>
      <c r="E49" s="556"/>
      <c r="F49" s="562"/>
      <c r="G49" s="562"/>
      <c r="H49" s="562"/>
      <c r="I49" s="562"/>
      <c r="J49" s="562"/>
      <c r="K49" s="562"/>
      <c r="L49" s="562"/>
      <c r="M49" s="562"/>
      <c r="N49" s="562"/>
      <c r="O49" s="562"/>
      <c r="P49" s="562"/>
      <c r="Q49" s="562"/>
      <c r="R49" s="562"/>
      <c r="S49" s="556"/>
      <c r="T49" s="556"/>
      <c r="U49" s="556"/>
      <c r="V49" s="575" t="s">
        <v>193</v>
      </c>
      <c r="W49" s="558"/>
      <c r="X49" s="543"/>
    </row>
    <row r="50" spans="1:25" s="544" customFormat="1" x14ac:dyDescent="0.3">
      <c r="A50" s="555"/>
      <c r="B50" s="556" t="s">
        <v>169</v>
      </c>
      <c r="C50" s="556"/>
      <c r="D50" s="562"/>
      <c r="E50" s="556"/>
      <c r="F50" s="562"/>
      <c r="G50" s="562"/>
      <c r="H50" s="562"/>
      <c r="I50" s="562"/>
      <c r="J50" s="562"/>
      <c r="K50" s="562"/>
      <c r="L50" s="562"/>
      <c r="M50" s="562"/>
      <c r="N50" s="562"/>
      <c r="O50" s="562"/>
      <c r="P50" s="562"/>
      <c r="Q50" s="562"/>
      <c r="R50" s="562"/>
      <c r="S50" s="556"/>
      <c r="T50" s="556"/>
      <c r="U50" s="556"/>
      <c r="V50" s="575">
        <f>SUM(L34:R34)/SUM(D34:J34)</f>
        <v>0.17663090364375009</v>
      </c>
      <c r="W50" s="558"/>
      <c r="X50" s="543"/>
    </row>
    <row r="51" spans="1:25" s="544" customFormat="1" x14ac:dyDescent="0.3">
      <c r="A51" s="555"/>
      <c r="B51" s="556" t="s">
        <v>170</v>
      </c>
      <c r="C51" s="556"/>
      <c r="D51" s="556"/>
      <c r="E51" s="556"/>
      <c r="F51" s="579"/>
      <c r="G51" s="556"/>
      <c r="H51" s="556"/>
      <c r="I51" s="556"/>
      <c r="J51" s="556"/>
      <c r="K51" s="556"/>
      <c r="L51" s="556"/>
      <c r="M51" s="556"/>
      <c r="N51" s="556"/>
      <c r="O51" s="556"/>
      <c r="P51" s="556"/>
      <c r="Q51" s="556"/>
      <c r="R51" s="556"/>
      <c r="S51" s="556"/>
      <c r="T51" s="556"/>
      <c r="U51" s="556"/>
      <c r="V51" s="575">
        <f>SUM(L36:R36)/SUM(D36:J36)</f>
        <v>0.44733487407542477</v>
      </c>
      <c r="W51" s="558"/>
      <c r="X51" s="543"/>
    </row>
    <row r="52" spans="1:25" s="544" customFormat="1" x14ac:dyDescent="0.3">
      <c r="A52" s="555"/>
      <c r="B52" s="556" t="s">
        <v>171</v>
      </c>
      <c r="C52" s="556"/>
      <c r="D52" s="556"/>
      <c r="E52" s="556"/>
      <c r="F52" s="556"/>
      <c r="G52" s="556"/>
      <c r="H52" s="556"/>
      <c r="I52" s="556"/>
      <c r="J52" s="556"/>
      <c r="K52" s="556"/>
      <c r="L52" s="556"/>
      <c r="M52" s="556"/>
      <c r="N52" s="556"/>
      <c r="O52" s="556"/>
      <c r="P52" s="556"/>
      <c r="Q52" s="556"/>
      <c r="R52" s="556"/>
      <c r="S52" s="556"/>
      <c r="T52" s="562"/>
      <c r="U52" s="562"/>
      <c r="V52" s="564" t="s">
        <v>276</v>
      </c>
      <c r="W52" s="558"/>
      <c r="X52" s="543"/>
    </row>
    <row r="53" spans="1:25" s="544" customFormat="1" x14ac:dyDescent="0.3">
      <c r="A53" s="555"/>
      <c r="B53" s="556"/>
      <c r="C53" s="556"/>
      <c r="D53" s="556"/>
      <c r="E53" s="556"/>
      <c r="F53" s="556"/>
      <c r="G53" s="556"/>
      <c r="H53" s="556"/>
      <c r="I53" s="556"/>
      <c r="J53" s="556"/>
      <c r="K53" s="556"/>
      <c r="L53" s="556"/>
      <c r="M53" s="556"/>
      <c r="N53" s="556"/>
      <c r="O53" s="556"/>
      <c r="P53" s="556"/>
      <c r="Q53" s="556"/>
      <c r="R53" s="556"/>
      <c r="S53" s="556"/>
      <c r="T53" s="556"/>
      <c r="U53" s="556"/>
      <c r="V53" s="580"/>
      <c r="W53" s="558"/>
      <c r="X53" s="543"/>
    </row>
    <row r="54" spans="1:25" s="544" customFormat="1" x14ac:dyDescent="0.3">
      <c r="A54" s="555"/>
      <c r="B54" s="556" t="s">
        <v>361</v>
      </c>
      <c r="C54" s="556"/>
      <c r="D54" s="556"/>
      <c r="E54" s="556"/>
      <c r="F54" s="556"/>
      <c r="G54" s="556"/>
      <c r="H54" s="556"/>
      <c r="I54" s="556"/>
      <c r="J54" s="556"/>
      <c r="K54" s="556"/>
      <c r="L54" s="556"/>
      <c r="M54" s="556"/>
      <c r="N54" s="556"/>
      <c r="O54" s="556"/>
      <c r="P54" s="556"/>
      <c r="Q54" s="556"/>
      <c r="R54" s="556"/>
      <c r="S54" s="556"/>
      <c r="T54" s="562"/>
      <c r="U54" s="562"/>
      <c r="V54" s="581" t="s">
        <v>111</v>
      </c>
      <c r="W54" s="558"/>
      <c r="X54" s="543"/>
    </row>
    <row r="55" spans="1:25" s="544" customFormat="1" x14ac:dyDescent="0.3">
      <c r="A55" s="555"/>
      <c r="B55" s="561" t="s">
        <v>201</v>
      </c>
      <c r="C55" s="561"/>
      <c r="D55" s="561"/>
      <c r="E55" s="561"/>
      <c r="F55" s="561"/>
      <c r="G55" s="561"/>
      <c r="H55" s="561"/>
      <c r="I55" s="561"/>
      <c r="J55" s="561"/>
      <c r="K55" s="561"/>
      <c r="L55" s="561"/>
      <c r="M55" s="561"/>
      <c r="N55" s="561"/>
      <c r="O55" s="561"/>
      <c r="P55" s="561"/>
      <c r="Q55" s="561"/>
      <c r="R55" s="561"/>
      <c r="S55" s="561"/>
      <c r="T55" s="582"/>
      <c r="U55" s="582"/>
      <c r="V55" s="583">
        <v>43906</v>
      </c>
      <c r="W55" s="558"/>
      <c r="X55" s="543"/>
    </row>
    <row r="56" spans="1:25" s="544" customFormat="1" x14ac:dyDescent="0.3">
      <c r="A56" s="555"/>
      <c r="B56" s="556" t="s">
        <v>121</v>
      </c>
      <c r="C56" s="556"/>
      <c r="D56" s="556"/>
      <c r="E56" s="556"/>
      <c r="F56" s="556"/>
      <c r="G56" s="556"/>
      <c r="H56" s="584"/>
      <c r="I56" s="584"/>
      <c r="J56" s="584"/>
      <c r="K56" s="584"/>
      <c r="L56" s="584"/>
      <c r="M56" s="584"/>
      <c r="N56" s="584"/>
      <c r="O56" s="584"/>
      <c r="P56" s="584"/>
      <c r="Q56" s="584"/>
      <c r="R56" s="556">
        <f>+V56-T56+1</f>
        <v>91</v>
      </c>
      <c r="S56" s="584"/>
      <c r="T56" s="585">
        <v>43724</v>
      </c>
      <c r="U56" s="586"/>
      <c r="V56" s="585">
        <v>43814</v>
      </c>
      <c r="W56" s="558"/>
      <c r="X56" s="543"/>
    </row>
    <row r="57" spans="1:25" s="544" customFormat="1" x14ac:dyDescent="0.3">
      <c r="A57" s="555"/>
      <c r="B57" s="556" t="s">
        <v>122</v>
      </c>
      <c r="C57" s="556"/>
      <c r="D57" s="556"/>
      <c r="E57" s="556"/>
      <c r="F57" s="556"/>
      <c r="G57" s="556"/>
      <c r="H57" s="556"/>
      <c r="I57" s="556"/>
      <c r="J57" s="556"/>
      <c r="K57" s="556"/>
      <c r="L57" s="556"/>
      <c r="M57" s="556"/>
      <c r="N57" s="556"/>
      <c r="O57" s="556"/>
      <c r="P57" s="556"/>
      <c r="Q57" s="556"/>
      <c r="R57" s="556">
        <f>+V57-T57+1</f>
        <v>91</v>
      </c>
      <c r="S57" s="556"/>
      <c r="T57" s="585">
        <v>43815</v>
      </c>
      <c r="U57" s="586"/>
      <c r="V57" s="585">
        <v>43905</v>
      </c>
      <c r="W57" s="558"/>
      <c r="X57" s="543"/>
    </row>
    <row r="58" spans="1:25" s="544" customFormat="1" x14ac:dyDescent="0.3">
      <c r="A58" s="555"/>
      <c r="B58" s="556" t="s">
        <v>360</v>
      </c>
      <c r="C58" s="556"/>
      <c r="D58" s="556"/>
      <c r="E58" s="556"/>
      <c r="F58" s="556"/>
      <c r="G58" s="556"/>
      <c r="H58" s="556"/>
      <c r="I58" s="556"/>
      <c r="J58" s="556"/>
      <c r="K58" s="556"/>
      <c r="L58" s="556"/>
      <c r="M58" s="556"/>
      <c r="N58" s="556"/>
      <c r="O58" s="556"/>
      <c r="P58" s="556"/>
      <c r="Q58" s="556"/>
      <c r="R58" s="556"/>
      <c r="S58" s="556"/>
      <c r="T58" s="585"/>
      <c r="U58" s="586"/>
      <c r="V58" s="585" t="s">
        <v>120</v>
      </c>
      <c r="W58" s="558"/>
      <c r="X58" s="543"/>
    </row>
    <row r="59" spans="1:25" s="544" customFormat="1" x14ac:dyDescent="0.3">
      <c r="A59" s="555"/>
      <c r="B59" s="556" t="s">
        <v>359</v>
      </c>
      <c r="C59" s="556"/>
      <c r="D59" s="556"/>
      <c r="E59" s="556"/>
      <c r="F59" s="556"/>
      <c r="G59" s="556"/>
      <c r="H59" s="556"/>
      <c r="I59" s="556"/>
      <c r="J59" s="556"/>
      <c r="K59" s="556"/>
      <c r="L59" s="556"/>
      <c r="M59" s="556"/>
      <c r="N59" s="556"/>
      <c r="O59" s="556"/>
      <c r="P59" s="556"/>
      <c r="Q59" s="556"/>
      <c r="R59" s="556"/>
      <c r="S59" s="556"/>
      <c r="T59" s="585"/>
      <c r="U59" s="586"/>
      <c r="V59" s="585" t="s">
        <v>154</v>
      </c>
      <c r="W59" s="558"/>
      <c r="X59" s="543"/>
      <c r="Y59" s="587"/>
    </row>
    <row r="60" spans="1:25" s="544" customFormat="1" x14ac:dyDescent="0.3">
      <c r="A60" s="555"/>
      <c r="B60" s="556" t="s">
        <v>16</v>
      </c>
      <c r="C60" s="556"/>
      <c r="D60" s="556"/>
      <c r="E60" s="556"/>
      <c r="F60" s="556"/>
      <c r="G60" s="556"/>
      <c r="H60" s="556"/>
      <c r="I60" s="556"/>
      <c r="J60" s="556"/>
      <c r="K60" s="556"/>
      <c r="L60" s="556"/>
      <c r="M60" s="556"/>
      <c r="N60" s="556"/>
      <c r="O60" s="556"/>
      <c r="P60" s="556"/>
      <c r="Q60" s="556"/>
      <c r="R60" s="556"/>
      <c r="S60" s="556"/>
      <c r="T60" s="585"/>
      <c r="U60" s="586"/>
      <c r="V60" s="585">
        <v>43892</v>
      </c>
      <c r="W60" s="558"/>
      <c r="X60" s="543"/>
    </row>
    <row r="61" spans="1:25" s="544" customFormat="1" x14ac:dyDescent="0.3">
      <c r="A61" s="540"/>
      <c r="B61" s="588"/>
      <c r="C61" s="588"/>
      <c r="D61" s="588"/>
      <c r="E61" s="588"/>
      <c r="F61" s="588"/>
      <c r="G61" s="588"/>
      <c r="H61" s="588"/>
      <c r="I61" s="588"/>
      <c r="J61" s="588"/>
      <c r="K61" s="588"/>
      <c r="L61" s="588"/>
      <c r="M61" s="588"/>
      <c r="N61" s="588"/>
      <c r="O61" s="588"/>
      <c r="P61" s="588"/>
      <c r="Q61" s="588"/>
      <c r="R61" s="588"/>
      <c r="S61" s="588"/>
      <c r="T61" s="589"/>
      <c r="U61" s="590"/>
      <c r="V61" s="589"/>
      <c r="W61" s="588"/>
      <c r="X61" s="543"/>
    </row>
    <row r="62" spans="1:25" s="544" customFormat="1" x14ac:dyDescent="0.3">
      <c r="A62" s="540"/>
      <c r="B62" s="541"/>
      <c r="C62" s="541"/>
      <c r="D62" s="541"/>
      <c r="E62" s="541"/>
      <c r="F62" s="541"/>
      <c r="G62" s="541"/>
      <c r="H62" s="541"/>
      <c r="I62" s="541"/>
      <c r="J62" s="541"/>
      <c r="K62" s="541"/>
      <c r="L62" s="541"/>
      <c r="M62" s="541"/>
      <c r="N62" s="541"/>
      <c r="O62" s="541"/>
      <c r="P62" s="541"/>
      <c r="Q62" s="541"/>
      <c r="R62" s="541"/>
      <c r="S62" s="541"/>
      <c r="T62" s="591"/>
      <c r="U62" s="592"/>
      <c r="V62" s="591"/>
      <c r="W62" s="541"/>
      <c r="X62" s="543"/>
    </row>
    <row r="63" spans="1:25" s="544" customFormat="1" ht="18.600000000000001" thickBot="1" x14ac:dyDescent="0.4">
      <c r="A63" s="593"/>
      <c r="B63" s="594" t="s">
        <v>390</v>
      </c>
      <c r="C63" s="595"/>
      <c r="D63" s="595"/>
      <c r="E63" s="595"/>
      <c r="F63" s="595"/>
      <c r="G63" s="595"/>
      <c r="H63" s="595"/>
      <c r="I63" s="595"/>
      <c r="J63" s="595"/>
      <c r="K63" s="595"/>
      <c r="L63" s="595"/>
      <c r="M63" s="595"/>
      <c r="N63" s="595"/>
      <c r="O63" s="595"/>
      <c r="P63" s="595"/>
      <c r="Q63" s="595"/>
      <c r="R63" s="595"/>
      <c r="S63" s="595"/>
      <c r="T63" s="595"/>
      <c r="U63" s="595"/>
      <c r="V63" s="596"/>
      <c r="W63" s="597"/>
      <c r="X63" s="543"/>
    </row>
    <row r="64" spans="1:25" x14ac:dyDescent="0.3">
      <c r="A64" s="515"/>
      <c r="B64" s="521" t="s">
        <v>17</v>
      </c>
      <c r="C64" s="516"/>
      <c r="D64" s="516"/>
      <c r="E64" s="516"/>
      <c r="F64" s="516"/>
      <c r="G64" s="516"/>
      <c r="H64" s="516"/>
      <c r="I64" s="516"/>
      <c r="J64" s="516"/>
      <c r="K64" s="516"/>
      <c r="L64" s="516"/>
      <c r="M64" s="516"/>
      <c r="N64" s="516"/>
      <c r="O64" s="516"/>
      <c r="P64" s="516"/>
      <c r="Q64" s="516"/>
      <c r="R64" s="516"/>
      <c r="S64" s="516"/>
      <c r="T64" s="516"/>
      <c r="U64" s="516"/>
      <c r="V64" s="522"/>
      <c r="W64" s="516"/>
      <c r="X64" s="415"/>
    </row>
    <row r="65" spans="1:24" x14ac:dyDescent="0.3">
      <c r="A65" s="417"/>
      <c r="B65" s="425"/>
      <c r="C65" s="419"/>
      <c r="D65" s="419"/>
      <c r="E65" s="419"/>
      <c r="F65" s="419"/>
      <c r="G65" s="419"/>
      <c r="H65" s="419"/>
      <c r="I65" s="419"/>
      <c r="J65" s="419"/>
      <c r="K65" s="419"/>
      <c r="L65" s="419"/>
      <c r="M65" s="419"/>
      <c r="N65" s="419"/>
      <c r="O65" s="419"/>
      <c r="P65" s="419"/>
      <c r="Q65" s="419"/>
      <c r="R65" s="419"/>
      <c r="S65" s="419"/>
      <c r="T65" s="419"/>
      <c r="U65" s="419"/>
      <c r="V65" s="439"/>
      <c r="W65" s="419"/>
      <c r="X65" s="415"/>
    </row>
    <row r="66" spans="1:24" s="499" customFormat="1" ht="46.8" x14ac:dyDescent="0.3">
      <c r="A66" s="502"/>
      <c r="B66" s="503" t="s">
        <v>18</v>
      </c>
      <c r="C66" s="504"/>
      <c r="D66" s="504"/>
      <c r="E66" s="504"/>
      <c r="F66" s="504"/>
      <c r="G66" s="504"/>
      <c r="H66" s="504"/>
      <c r="I66" s="504"/>
      <c r="J66" s="504"/>
      <c r="K66" s="504"/>
      <c r="L66" s="504" t="s">
        <v>94</v>
      </c>
      <c r="M66" s="504"/>
      <c r="N66" s="504" t="s">
        <v>96</v>
      </c>
      <c r="O66" s="504"/>
      <c r="P66" s="504" t="s">
        <v>98</v>
      </c>
      <c r="Q66" s="504"/>
      <c r="R66" s="504" t="s">
        <v>100</v>
      </c>
      <c r="S66" s="504"/>
      <c r="T66" s="504" t="s">
        <v>106</v>
      </c>
      <c r="U66" s="504"/>
      <c r="V66" s="505" t="s">
        <v>112</v>
      </c>
      <c r="W66" s="506"/>
      <c r="X66" s="498"/>
    </row>
    <row r="67" spans="1:24" s="544" customFormat="1" x14ac:dyDescent="0.3">
      <c r="A67" s="555"/>
      <c r="B67" s="556" t="s">
        <v>19</v>
      </c>
      <c r="C67" s="598"/>
      <c r="D67" s="598"/>
      <c r="E67" s="598"/>
      <c r="F67" s="598"/>
      <c r="G67" s="598"/>
      <c r="H67" s="598"/>
      <c r="I67" s="598"/>
      <c r="J67" s="598"/>
      <c r="K67" s="598"/>
      <c r="L67" s="598">
        <v>1158015</v>
      </c>
      <c r="M67" s="598"/>
      <c r="N67" s="599">
        <v>742383</v>
      </c>
      <c r="O67" s="598"/>
      <c r="P67" s="598">
        <v>13708</v>
      </c>
      <c r="Q67" s="598"/>
      <c r="R67" s="598">
        <v>0</v>
      </c>
      <c r="S67" s="598"/>
      <c r="T67" s="598">
        <v>0</v>
      </c>
      <c r="U67" s="598"/>
      <c r="V67" s="599">
        <f>+N67-P67+R67-T67</f>
        <v>728675</v>
      </c>
      <c r="W67" s="558"/>
      <c r="X67" s="543"/>
    </row>
    <row r="68" spans="1:24" s="544" customFormat="1" x14ac:dyDescent="0.3">
      <c r="A68" s="555"/>
      <c r="B68" s="556" t="s">
        <v>20</v>
      </c>
      <c r="C68" s="598"/>
      <c r="D68" s="598"/>
      <c r="E68" s="598"/>
      <c r="F68" s="598"/>
      <c r="G68" s="598"/>
      <c r="H68" s="598"/>
      <c r="I68" s="598"/>
      <c r="J68" s="598"/>
      <c r="K68" s="598"/>
      <c r="L68" s="598">
        <v>15</v>
      </c>
      <c r="M68" s="598"/>
      <c r="N68" s="599">
        <v>0</v>
      </c>
      <c r="O68" s="598"/>
      <c r="P68" s="598">
        <v>0</v>
      </c>
      <c r="Q68" s="598"/>
      <c r="R68" s="598">
        <v>0</v>
      </c>
      <c r="S68" s="598"/>
      <c r="T68" s="598">
        <v>0</v>
      </c>
      <c r="U68" s="598"/>
      <c r="V68" s="599">
        <v>0</v>
      </c>
      <c r="W68" s="558"/>
      <c r="X68" s="543"/>
    </row>
    <row r="69" spans="1:24" s="544" customFormat="1" x14ac:dyDescent="0.3">
      <c r="A69" s="555"/>
      <c r="B69" s="556"/>
      <c r="C69" s="598"/>
      <c r="D69" s="598"/>
      <c r="E69" s="598"/>
      <c r="F69" s="598"/>
      <c r="G69" s="598"/>
      <c r="H69" s="598"/>
      <c r="I69" s="598"/>
      <c r="J69" s="598"/>
      <c r="K69" s="598"/>
      <c r="L69" s="598"/>
      <c r="M69" s="598"/>
      <c r="N69" s="599"/>
      <c r="O69" s="598"/>
      <c r="P69" s="598"/>
      <c r="Q69" s="598"/>
      <c r="R69" s="598"/>
      <c r="S69" s="598"/>
      <c r="T69" s="598"/>
      <c r="U69" s="598"/>
      <c r="V69" s="599"/>
      <c r="W69" s="558"/>
      <c r="X69" s="543"/>
    </row>
    <row r="70" spans="1:24" s="544" customFormat="1" x14ac:dyDescent="0.3">
      <c r="A70" s="555"/>
      <c r="B70" s="556" t="s">
        <v>21</v>
      </c>
      <c r="C70" s="598"/>
      <c r="D70" s="598"/>
      <c r="E70" s="598"/>
      <c r="F70" s="598"/>
      <c r="G70" s="598"/>
      <c r="H70" s="598"/>
      <c r="I70" s="598"/>
      <c r="J70" s="598"/>
      <c r="K70" s="598"/>
      <c r="L70" s="598">
        <f>SUM(L67:L69)</f>
        <v>1158030</v>
      </c>
      <c r="M70" s="598"/>
      <c r="N70" s="598">
        <f>N67+N68</f>
        <v>742383</v>
      </c>
      <c r="O70" s="598"/>
      <c r="P70" s="598">
        <f>SUM(P67:P69)</f>
        <v>13708</v>
      </c>
      <c r="Q70" s="598"/>
      <c r="R70" s="598">
        <f>SUM(R67:R69)</f>
        <v>0</v>
      </c>
      <c r="S70" s="598"/>
      <c r="T70" s="598">
        <f>SUM(T67:T69)</f>
        <v>0</v>
      </c>
      <c r="U70" s="598"/>
      <c r="V70" s="598">
        <f>SUM(V67:V69)</f>
        <v>728675</v>
      </c>
      <c r="W70" s="558"/>
      <c r="X70" s="543"/>
    </row>
    <row r="71" spans="1:24" x14ac:dyDescent="0.3">
      <c r="A71" s="417"/>
      <c r="B71" s="441"/>
      <c r="C71" s="442"/>
      <c r="D71" s="442"/>
      <c r="E71" s="442"/>
      <c r="F71" s="442"/>
      <c r="G71" s="442"/>
      <c r="H71" s="442"/>
      <c r="I71" s="442"/>
      <c r="J71" s="442"/>
      <c r="K71" s="442"/>
      <c r="L71" s="442"/>
      <c r="M71" s="442"/>
      <c r="N71" s="442"/>
      <c r="O71" s="442"/>
      <c r="P71" s="442"/>
      <c r="Q71" s="442"/>
      <c r="R71" s="442"/>
      <c r="S71" s="442"/>
      <c r="T71" s="442"/>
      <c r="U71" s="442"/>
      <c r="V71" s="443"/>
      <c r="W71" s="441"/>
      <c r="X71" s="415"/>
    </row>
    <row r="72" spans="1:24" x14ac:dyDescent="0.3">
      <c r="A72" s="417"/>
      <c r="B72" s="421" t="s">
        <v>22</v>
      </c>
      <c r="C72" s="444"/>
      <c r="D72" s="444"/>
      <c r="E72" s="444"/>
      <c r="F72" s="444"/>
      <c r="G72" s="444"/>
      <c r="H72" s="444"/>
      <c r="I72" s="444"/>
      <c r="J72" s="444"/>
      <c r="K72" s="444"/>
      <c r="L72" s="444"/>
      <c r="M72" s="444"/>
      <c r="N72" s="444"/>
      <c r="O72" s="444"/>
      <c r="P72" s="444"/>
      <c r="Q72" s="444"/>
      <c r="R72" s="444"/>
      <c r="S72" s="444"/>
      <c r="T72" s="444"/>
      <c r="U72" s="444"/>
      <c r="V72" s="445"/>
      <c r="W72" s="419"/>
      <c r="X72" s="415"/>
    </row>
    <row r="73" spans="1:24" x14ac:dyDescent="0.3">
      <c r="A73" s="417"/>
      <c r="B73" s="419"/>
      <c r="C73" s="444"/>
      <c r="D73" s="444"/>
      <c r="E73" s="444"/>
      <c r="F73" s="444"/>
      <c r="G73" s="444"/>
      <c r="H73" s="444"/>
      <c r="I73" s="444"/>
      <c r="J73" s="444"/>
      <c r="K73" s="444"/>
      <c r="L73" s="444"/>
      <c r="M73" s="444"/>
      <c r="N73" s="444"/>
      <c r="O73" s="444"/>
      <c r="P73" s="444"/>
      <c r="Q73" s="444"/>
      <c r="R73" s="444"/>
      <c r="S73" s="444"/>
      <c r="T73" s="444"/>
      <c r="U73" s="444"/>
      <c r="V73" s="445"/>
      <c r="W73" s="419"/>
      <c r="X73" s="415"/>
    </row>
    <row r="74" spans="1:24" s="544" customFormat="1" x14ac:dyDescent="0.3">
      <c r="A74" s="555"/>
      <c r="B74" s="556" t="s">
        <v>19</v>
      </c>
      <c r="C74" s="598"/>
      <c r="D74" s="598"/>
      <c r="E74" s="598"/>
      <c r="F74" s="598"/>
      <c r="G74" s="598"/>
      <c r="H74" s="598"/>
      <c r="I74" s="598"/>
      <c r="J74" s="598"/>
      <c r="K74" s="598"/>
      <c r="L74" s="598"/>
      <c r="M74" s="598"/>
      <c r="N74" s="598"/>
      <c r="O74" s="598"/>
      <c r="P74" s="598"/>
      <c r="Q74" s="598"/>
      <c r="R74" s="598"/>
      <c r="S74" s="598"/>
      <c r="T74" s="598"/>
      <c r="U74" s="598"/>
      <c r="V74" s="598"/>
      <c r="W74" s="558"/>
      <c r="X74" s="543"/>
    </row>
    <row r="75" spans="1:24" s="544" customFormat="1" x14ac:dyDescent="0.3">
      <c r="A75" s="555"/>
      <c r="B75" s="556" t="s">
        <v>20</v>
      </c>
      <c r="C75" s="598"/>
      <c r="D75" s="598"/>
      <c r="E75" s="598"/>
      <c r="F75" s="598"/>
      <c r="G75" s="598"/>
      <c r="H75" s="598"/>
      <c r="I75" s="598"/>
      <c r="J75" s="598"/>
      <c r="K75" s="598"/>
      <c r="L75" s="598"/>
      <c r="M75" s="598"/>
      <c r="N75" s="598"/>
      <c r="O75" s="598"/>
      <c r="P75" s="598"/>
      <c r="Q75" s="598"/>
      <c r="R75" s="598"/>
      <c r="S75" s="598"/>
      <c r="T75" s="598"/>
      <c r="U75" s="598"/>
      <c r="V75" s="598"/>
      <c r="W75" s="558"/>
      <c r="X75" s="543"/>
    </row>
    <row r="76" spans="1:24" s="544" customFormat="1" x14ac:dyDescent="0.3">
      <c r="A76" s="555"/>
      <c r="B76" s="556"/>
      <c r="C76" s="598"/>
      <c r="D76" s="598"/>
      <c r="E76" s="598"/>
      <c r="F76" s="598"/>
      <c r="G76" s="598"/>
      <c r="H76" s="598"/>
      <c r="I76" s="598"/>
      <c r="J76" s="598"/>
      <c r="K76" s="598"/>
      <c r="L76" s="598"/>
      <c r="M76" s="598"/>
      <c r="N76" s="598"/>
      <c r="O76" s="598"/>
      <c r="P76" s="598"/>
      <c r="Q76" s="598"/>
      <c r="R76" s="598"/>
      <c r="S76" s="598"/>
      <c r="T76" s="598"/>
      <c r="U76" s="598"/>
      <c r="V76" s="598"/>
      <c r="W76" s="558"/>
      <c r="X76" s="543"/>
    </row>
    <row r="77" spans="1:24" s="544" customFormat="1" x14ac:dyDescent="0.3">
      <c r="A77" s="555"/>
      <c r="B77" s="556" t="s">
        <v>21</v>
      </c>
      <c r="C77" s="598"/>
      <c r="D77" s="598"/>
      <c r="E77" s="598"/>
      <c r="F77" s="598"/>
      <c r="G77" s="598"/>
      <c r="H77" s="598"/>
      <c r="I77" s="598"/>
      <c r="J77" s="598"/>
      <c r="K77" s="598"/>
      <c r="L77" s="598"/>
      <c r="M77" s="598"/>
      <c r="N77" s="598"/>
      <c r="O77" s="598"/>
      <c r="P77" s="598"/>
      <c r="Q77" s="598"/>
      <c r="R77" s="598"/>
      <c r="S77" s="598"/>
      <c r="T77" s="598"/>
      <c r="U77" s="598"/>
      <c r="V77" s="598"/>
      <c r="W77" s="558"/>
      <c r="X77" s="543"/>
    </row>
    <row r="78" spans="1:24" s="544" customFormat="1" x14ac:dyDescent="0.3">
      <c r="A78" s="555"/>
      <c r="B78" s="556"/>
      <c r="C78" s="598"/>
      <c r="D78" s="598"/>
      <c r="E78" s="598"/>
      <c r="F78" s="598"/>
      <c r="G78" s="598"/>
      <c r="H78" s="598"/>
      <c r="I78" s="598"/>
      <c r="J78" s="598"/>
      <c r="K78" s="598"/>
      <c r="L78" s="598"/>
      <c r="M78" s="598"/>
      <c r="N78" s="598"/>
      <c r="O78" s="598"/>
      <c r="P78" s="598"/>
      <c r="Q78" s="598"/>
      <c r="R78" s="598"/>
      <c r="S78" s="598"/>
      <c r="T78" s="598"/>
      <c r="U78" s="598"/>
      <c r="V78" s="598"/>
      <c r="W78" s="558"/>
      <c r="X78" s="543"/>
    </row>
    <row r="79" spans="1:24" s="544" customFormat="1" x14ac:dyDescent="0.3">
      <c r="A79" s="555"/>
      <c r="B79" s="556" t="s">
        <v>23</v>
      </c>
      <c r="C79" s="598"/>
      <c r="D79" s="598"/>
      <c r="E79" s="598"/>
      <c r="F79" s="598"/>
      <c r="G79" s="598"/>
      <c r="H79" s="598"/>
      <c r="I79" s="598"/>
      <c r="J79" s="598"/>
      <c r="K79" s="598"/>
      <c r="L79" s="598">
        <v>0</v>
      </c>
      <c r="M79" s="598"/>
      <c r="N79" s="598">
        <v>0</v>
      </c>
      <c r="O79" s="598"/>
      <c r="P79" s="598"/>
      <c r="Q79" s="598"/>
      <c r="R79" s="598"/>
      <c r="S79" s="598"/>
      <c r="T79" s="598"/>
      <c r="U79" s="598"/>
      <c r="V79" s="599">
        <v>0</v>
      </c>
      <c r="W79" s="558"/>
      <c r="X79" s="543"/>
    </row>
    <row r="80" spans="1:24" s="544" customFormat="1" x14ac:dyDescent="0.3">
      <c r="A80" s="555"/>
      <c r="B80" s="556" t="s">
        <v>117</v>
      </c>
      <c r="C80" s="598"/>
      <c r="D80" s="598"/>
      <c r="E80" s="598"/>
      <c r="F80" s="598"/>
      <c r="G80" s="598"/>
      <c r="H80" s="598"/>
      <c r="I80" s="598"/>
      <c r="J80" s="598"/>
      <c r="K80" s="598"/>
      <c r="L80" s="598">
        <v>342245</v>
      </c>
      <c r="M80" s="598"/>
      <c r="N80" s="598">
        <v>0</v>
      </c>
      <c r="O80" s="598"/>
      <c r="P80" s="598">
        <v>0</v>
      </c>
      <c r="Q80" s="598"/>
      <c r="R80" s="598"/>
      <c r="S80" s="598"/>
      <c r="T80" s="598"/>
      <c r="U80" s="598"/>
      <c r="V80" s="598">
        <f>SUM(N80:R80)</f>
        <v>0</v>
      </c>
      <c r="W80" s="558"/>
      <c r="X80" s="543"/>
    </row>
    <row r="81" spans="1:24" s="544" customFormat="1" x14ac:dyDescent="0.3">
      <c r="A81" s="555"/>
      <c r="B81" s="556" t="s">
        <v>146</v>
      </c>
      <c r="C81" s="598"/>
      <c r="D81" s="598"/>
      <c r="E81" s="598"/>
      <c r="F81" s="598"/>
      <c r="G81" s="598"/>
      <c r="H81" s="598"/>
      <c r="I81" s="598"/>
      <c r="J81" s="598"/>
      <c r="K81" s="598"/>
      <c r="L81" s="598">
        <v>0</v>
      </c>
      <c r="M81" s="598"/>
      <c r="N81" s="598">
        <v>0</v>
      </c>
      <c r="O81" s="598"/>
      <c r="P81" s="598">
        <v>0</v>
      </c>
      <c r="Q81" s="598"/>
      <c r="R81" s="598"/>
      <c r="S81" s="598"/>
      <c r="T81" s="598"/>
      <c r="U81" s="598"/>
      <c r="V81" s="598">
        <f>+N81+P81</f>
        <v>0</v>
      </c>
      <c r="W81" s="558"/>
      <c r="X81" s="543"/>
    </row>
    <row r="82" spans="1:24" s="544" customFormat="1" x14ac:dyDescent="0.3">
      <c r="A82" s="555"/>
      <c r="B82" s="556" t="s">
        <v>25</v>
      </c>
      <c r="C82" s="598"/>
      <c r="D82" s="598"/>
      <c r="E82" s="598"/>
      <c r="F82" s="598"/>
      <c r="G82" s="598"/>
      <c r="H82" s="598"/>
      <c r="I82" s="598"/>
      <c r="J82" s="598"/>
      <c r="K82" s="598"/>
      <c r="L82" s="598">
        <v>0</v>
      </c>
      <c r="M82" s="598"/>
      <c r="N82" s="598">
        <v>0</v>
      </c>
      <c r="O82" s="598"/>
      <c r="P82" s="598"/>
      <c r="Q82" s="598"/>
      <c r="R82" s="598"/>
      <c r="S82" s="598"/>
      <c r="T82" s="598"/>
      <c r="U82" s="598"/>
      <c r="V82" s="598">
        <v>0</v>
      </c>
      <c r="W82" s="558"/>
      <c r="X82" s="543"/>
    </row>
    <row r="83" spans="1:24" s="544" customFormat="1" x14ac:dyDescent="0.3">
      <c r="A83" s="555"/>
      <c r="B83" s="556" t="s">
        <v>26</v>
      </c>
      <c r="C83" s="598"/>
      <c r="D83" s="598"/>
      <c r="E83" s="598"/>
      <c r="F83" s="598"/>
      <c r="G83" s="598"/>
      <c r="H83" s="598"/>
      <c r="I83" s="598"/>
      <c r="J83" s="598"/>
      <c r="K83" s="598"/>
      <c r="L83" s="598">
        <f>SUM(L70:L82)</f>
        <v>1500275</v>
      </c>
      <c r="M83" s="598"/>
      <c r="N83" s="598">
        <f>SUM(N70:N82)</f>
        <v>742383</v>
      </c>
      <c r="O83" s="598"/>
      <c r="P83" s="598"/>
      <c r="Q83" s="598"/>
      <c r="R83" s="598"/>
      <c r="S83" s="598"/>
      <c r="T83" s="598"/>
      <c r="U83" s="598"/>
      <c r="V83" s="598">
        <f>SUM(V70:V82)</f>
        <v>728675</v>
      </c>
      <c r="W83" s="558"/>
      <c r="X83" s="543"/>
    </row>
    <row r="84" spans="1:24" x14ac:dyDescent="0.3">
      <c r="A84" s="446"/>
      <c r="B84" s="437"/>
      <c r="C84" s="447"/>
      <c r="D84" s="447"/>
      <c r="E84" s="447"/>
      <c r="F84" s="447"/>
      <c r="G84" s="447"/>
      <c r="H84" s="447"/>
      <c r="I84" s="447"/>
      <c r="J84" s="447"/>
      <c r="K84" s="447"/>
      <c r="L84" s="447"/>
      <c r="M84" s="447"/>
      <c r="N84" s="447"/>
      <c r="O84" s="447"/>
      <c r="P84" s="447"/>
      <c r="Q84" s="447"/>
      <c r="R84" s="447"/>
      <c r="S84" s="447"/>
      <c r="T84" s="447"/>
      <c r="U84" s="447"/>
      <c r="V84" s="447"/>
      <c r="W84" s="437"/>
      <c r="X84" s="415"/>
    </row>
    <row r="85" spans="1:24" x14ac:dyDescent="0.3">
      <c r="A85" s="446"/>
      <c r="B85" s="427"/>
      <c r="C85" s="427"/>
      <c r="D85" s="427"/>
      <c r="E85" s="427"/>
      <c r="F85" s="427"/>
      <c r="G85" s="427"/>
      <c r="H85" s="427"/>
      <c r="I85" s="427"/>
      <c r="J85" s="427"/>
      <c r="K85" s="427"/>
      <c r="L85" s="427"/>
      <c r="M85" s="427"/>
      <c r="N85" s="427"/>
      <c r="O85" s="427"/>
      <c r="P85" s="427"/>
      <c r="Q85" s="427"/>
      <c r="R85" s="427"/>
      <c r="S85" s="427"/>
      <c r="T85" s="427"/>
      <c r="U85" s="427"/>
      <c r="V85" s="427"/>
      <c r="W85" s="427"/>
      <c r="X85" s="415"/>
    </row>
    <row r="86" spans="1:24" x14ac:dyDescent="0.3">
      <c r="A86" s="515"/>
      <c r="B86" s="523" t="s">
        <v>27</v>
      </c>
      <c r="C86" s="523"/>
      <c r="D86" s="523"/>
      <c r="E86" s="523"/>
      <c r="F86" s="523"/>
      <c r="G86" s="523"/>
      <c r="H86" s="524"/>
      <c r="I86" s="524"/>
      <c r="J86" s="524"/>
      <c r="K86" s="524"/>
      <c r="L86" s="525" t="s">
        <v>95</v>
      </c>
      <c r="M86" s="524"/>
      <c r="N86" s="526">
        <f>+T207</f>
        <v>43889</v>
      </c>
      <c r="O86" s="524"/>
      <c r="P86" s="524"/>
      <c r="Q86" s="524"/>
      <c r="R86" s="524"/>
      <c r="S86" s="524"/>
      <c r="T86" s="524" t="s">
        <v>107</v>
      </c>
      <c r="U86" s="524"/>
      <c r="V86" s="524" t="s">
        <v>113</v>
      </c>
      <c r="W86" s="520"/>
      <c r="X86" s="415"/>
    </row>
    <row r="87" spans="1:24" s="544" customFormat="1" x14ac:dyDescent="0.3">
      <c r="A87" s="540"/>
      <c r="B87" s="588" t="s">
        <v>28</v>
      </c>
      <c r="C87" s="588"/>
      <c r="D87" s="588"/>
      <c r="E87" s="588"/>
      <c r="F87" s="588"/>
      <c r="G87" s="588"/>
      <c r="H87" s="588"/>
      <c r="I87" s="588"/>
      <c r="J87" s="588"/>
      <c r="K87" s="588"/>
      <c r="L87" s="588"/>
      <c r="M87" s="588"/>
      <c r="N87" s="588"/>
      <c r="O87" s="588"/>
      <c r="P87" s="588"/>
      <c r="Q87" s="588"/>
      <c r="R87" s="588"/>
      <c r="S87" s="588"/>
      <c r="T87" s="600">
        <v>0</v>
      </c>
      <c r="U87" s="588"/>
      <c r="V87" s="601">
        <v>0</v>
      </c>
      <c r="W87" s="588"/>
      <c r="X87" s="543"/>
    </row>
    <row r="88" spans="1:24" s="544" customFormat="1" x14ac:dyDescent="0.3">
      <c r="A88" s="555"/>
      <c r="B88" s="556" t="s">
        <v>29</v>
      </c>
      <c r="C88" s="556"/>
      <c r="D88" s="556"/>
      <c r="E88" s="556"/>
      <c r="F88" s="556"/>
      <c r="G88" s="556"/>
      <c r="H88" s="578"/>
      <c r="I88" s="578"/>
      <c r="J88" s="578"/>
      <c r="K88" s="602"/>
      <c r="L88" s="578"/>
      <c r="M88" s="556"/>
      <c r="N88" s="603"/>
      <c r="O88" s="556"/>
      <c r="P88" s="556"/>
      <c r="Q88" s="556"/>
      <c r="R88" s="556"/>
      <c r="S88" s="556"/>
      <c r="T88" s="598">
        <f>13708-260</f>
        <v>13448</v>
      </c>
      <c r="U88" s="556"/>
      <c r="V88" s="599"/>
      <c r="W88" s="558"/>
      <c r="X88" s="543"/>
    </row>
    <row r="89" spans="1:24" s="544" customFormat="1" x14ac:dyDescent="0.3">
      <c r="A89" s="555"/>
      <c r="B89" s="556" t="s">
        <v>216</v>
      </c>
      <c r="C89" s="556"/>
      <c r="D89" s="556"/>
      <c r="E89" s="556"/>
      <c r="F89" s="556"/>
      <c r="G89" s="556"/>
      <c r="H89" s="578"/>
      <c r="I89" s="578"/>
      <c r="J89" s="578"/>
      <c r="K89" s="602"/>
      <c r="L89" s="578"/>
      <c r="M89" s="556"/>
      <c r="N89" s="603"/>
      <c r="O89" s="556"/>
      <c r="P89" s="556"/>
      <c r="Q89" s="556"/>
      <c r="R89" s="556"/>
      <c r="S89" s="556"/>
      <c r="T89" s="598"/>
      <c r="U89" s="556"/>
      <c r="V89" s="599">
        <f>2944+3172-466-751</f>
        <v>4899</v>
      </c>
      <c r="W89" s="558"/>
      <c r="X89" s="543"/>
    </row>
    <row r="90" spans="1:24" s="544" customFormat="1" x14ac:dyDescent="0.3">
      <c r="A90" s="555"/>
      <c r="B90" s="556" t="s">
        <v>211</v>
      </c>
      <c r="C90" s="556"/>
      <c r="D90" s="556"/>
      <c r="E90" s="556"/>
      <c r="F90" s="556"/>
      <c r="G90" s="556"/>
      <c r="H90" s="578"/>
      <c r="I90" s="578"/>
      <c r="J90" s="578"/>
      <c r="K90" s="602"/>
      <c r="L90" s="578"/>
      <c r="M90" s="556"/>
      <c r="N90" s="603"/>
      <c r="O90" s="556"/>
      <c r="P90" s="556"/>
      <c r="Q90" s="556"/>
      <c r="R90" s="556"/>
      <c r="S90" s="556"/>
      <c r="T90" s="598"/>
      <c r="U90" s="556"/>
      <c r="V90" s="599">
        <f>115+31</f>
        <v>146</v>
      </c>
      <c r="W90" s="558"/>
      <c r="X90" s="543"/>
    </row>
    <row r="91" spans="1:24" s="544" customFormat="1" x14ac:dyDescent="0.3">
      <c r="A91" s="555"/>
      <c r="B91" s="556" t="s">
        <v>212</v>
      </c>
      <c r="C91" s="556"/>
      <c r="D91" s="556"/>
      <c r="E91" s="556"/>
      <c r="F91" s="556"/>
      <c r="G91" s="556"/>
      <c r="H91" s="578"/>
      <c r="I91" s="578"/>
      <c r="J91" s="578"/>
      <c r="K91" s="602"/>
      <c r="L91" s="578"/>
      <c r="M91" s="556"/>
      <c r="N91" s="603"/>
      <c r="O91" s="556"/>
      <c r="P91" s="556"/>
      <c r="Q91" s="556"/>
      <c r="R91" s="556"/>
      <c r="S91" s="556"/>
      <c r="T91" s="598"/>
      <c r="U91" s="556"/>
      <c r="V91" s="599">
        <v>70</v>
      </c>
      <c r="W91" s="558"/>
      <c r="X91" s="543"/>
    </row>
    <row r="92" spans="1:24" s="544" customFormat="1" x14ac:dyDescent="0.3">
      <c r="A92" s="555"/>
      <c r="B92" s="556" t="s">
        <v>272</v>
      </c>
      <c r="C92" s="556"/>
      <c r="D92" s="556"/>
      <c r="E92" s="556"/>
      <c r="F92" s="556"/>
      <c r="G92" s="556"/>
      <c r="H92" s="578"/>
      <c r="I92" s="578"/>
      <c r="J92" s="578"/>
      <c r="K92" s="602"/>
      <c r="L92" s="578"/>
      <c r="M92" s="556"/>
      <c r="N92" s="603"/>
      <c r="O92" s="556"/>
      <c r="P92" s="556"/>
      <c r="Q92" s="556"/>
      <c r="R92" s="556"/>
      <c r="S92" s="556"/>
      <c r="T92" s="598"/>
      <c r="U92" s="556"/>
      <c r="V92" s="599">
        <v>0</v>
      </c>
      <c r="W92" s="558"/>
      <c r="X92" s="543"/>
    </row>
    <row r="93" spans="1:24" s="544" customFormat="1" x14ac:dyDescent="0.3">
      <c r="A93" s="555"/>
      <c r="B93" s="556" t="s">
        <v>274</v>
      </c>
      <c r="C93" s="556"/>
      <c r="D93" s="556"/>
      <c r="E93" s="556"/>
      <c r="F93" s="556"/>
      <c r="G93" s="556"/>
      <c r="H93" s="578"/>
      <c r="I93" s="578"/>
      <c r="J93" s="578"/>
      <c r="K93" s="602"/>
      <c r="L93" s="578"/>
      <c r="M93" s="556"/>
      <c r="N93" s="603"/>
      <c r="O93" s="556"/>
      <c r="P93" s="556"/>
      <c r="Q93" s="556"/>
      <c r="R93" s="556"/>
      <c r="S93" s="556"/>
      <c r="T93" s="598"/>
      <c r="U93" s="556"/>
      <c r="V93" s="599">
        <v>0</v>
      </c>
      <c r="W93" s="558"/>
      <c r="X93" s="543"/>
    </row>
    <row r="94" spans="1:24" s="544" customFormat="1" x14ac:dyDescent="0.3">
      <c r="A94" s="555"/>
      <c r="B94" s="556" t="s">
        <v>135</v>
      </c>
      <c r="C94" s="556"/>
      <c r="D94" s="556"/>
      <c r="E94" s="556"/>
      <c r="F94" s="556"/>
      <c r="G94" s="556"/>
      <c r="H94" s="556"/>
      <c r="I94" s="556"/>
      <c r="J94" s="556"/>
      <c r="K94" s="556"/>
      <c r="L94" s="556"/>
      <c r="M94" s="556"/>
      <c r="N94" s="556"/>
      <c r="O94" s="556"/>
      <c r="P94" s="556"/>
      <c r="Q94" s="556"/>
      <c r="R94" s="556"/>
      <c r="S94" s="556"/>
      <c r="T94" s="598"/>
      <c r="U94" s="556"/>
      <c r="V94" s="599">
        <v>0</v>
      </c>
      <c r="W94" s="558"/>
      <c r="X94" s="543"/>
    </row>
    <row r="95" spans="1:24" s="544" customFormat="1" x14ac:dyDescent="0.3">
      <c r="A95" s="555"/>
      <c r="B95" s="556" t="s">
        <v>268</v>
      </c>
      <c r="C95" s="556"/>
      <c r="D95" s="556"/>
      <c r="E95" s="556"/>
      <c r="F95" s="556"/>
      <c r="G95" s="556"/>
      <c r="H95" s="556"/>
      <c r="I95" s="556"/>
      <c r="J95" s="556"/>
      <c r="K95" s="556"/>
      <c r="L95" s="556"/>
      <c r="M95" s="556"/>
      <c r="N95" s="556"/>
      <c r="O95" s="556"/>
      <c r="P95" s="556"/>
      <c r="Q95" s="556"/>
      <c r="R95" s="556"/>
      <c r="S95" s="556"/>
      <c r="T95" s="598"/>
      <c r="U95" s="556"/>
      <c r="V95" s="599">
        <v>63</v>
      </c>
      <c r="W95" s="558"/>
      <c r="X95" s="543"/>
    </row>
    <row r="96" spans="1:24" s="544" customFormat="1" x14ac:dyDescent="0.3">
      <c r="A96" s="555"/>
      <c r="B96" s="556" t="s">
        <v>30</v>
      </c>
      <c r="C96" s="556"/>
      <c r="D96" s="556"/>
      <c r="E96" s="556"/>
      <c r="F96" s="556"/>
      <c r="G96" s="556"/>
      <c r="H96" s="556"/>
      <c r="I96" s="556"/>
      <c r="J96" s="556"/>
      <c r="K96" s="556"/>
      <c r="L96" s="556"/>
      <c r="M96" s="556"/>
      <c r="N96" s="556"/>
      <c r="O96" s="556"/>
      <c r="P96" s="556"/>
      <c r="Q96" s="556"/>
      <c r="R96" s="556"/>
      <c r="S96" s="556"/>
      <c r="T96" s="598">
        <f>SUM(T87:T95)</f>
        <v>13448</v>
      </c>
      <c r="U96" s="556"/>
      <c r="V96" s="598">
        <f>SUM(V87:V95)</f>
        <v>5178</v>
      </c>
      <c r="W96" s="558"/>
      <c r="X96" s="543"/>
    </row>
    <row r="97" spans="1:25" s="544" customFormat="1" x14ac:dyDescent="0.3">
      <c r="A97" s="555"/>
      <c r="B97" s="556" t="s">
        <v>161</v>
      </c>
      <c r="C97" s="556"/>
      <c r="D97" s="556"/>
      <c r="E97" s="556"/>
      <c r="F97" s="556"/>
      <c r="G97" s="556"/>
      <c r="H97" s="556"/>
      <c r="I97" s="556"/>
      <c r="J97" s="556"/>
      <c r="K97" s="556"/>
      <c r="L97" s="556"/>
      <c r="M97" s="556"/>
      <c r="N97" s="556"/>
      <c r="O97" s="556"/>
      <c r="P97" s="556"/>
      <c r="Q97" s="556"/>
      <c r="R97" s="556"/>
      <c r="S97" s="556"/>
      <c r="T97" s="598">
        <f>-V97</f>
        <v>0</v>
      </c>
      <c r="U97" s="556"/>
      <c r="V97" s="598">
        <v>0</v>
      </c>
      <c r="W97" s="558"/>
      <c r="X97" s="543"/>
    </row>
    <row r="98" spans="1:25" s="544" customFormat="1" x14ac:dyDescent="0.3">
      <c r="A98" s="555"/>
      <c r="B98" s="556" t="s">
        <v>31</v>
      </c>
      <c r="C98" s="556"/>
      <c r="D98" s="556"/>
      <c r="E98" s="556"/>
      <c r="F98" s="556"/>
      <c r="G98" s="556"/>
      <c r="H98" s="556"/>
      <c r="I98" s="556"/>
      <c r="J98" s="556"/>
      <c r="K98" s="556"/>
      <c r="L98" s="556"/>
      <c r="M98" s="556"/>
      <c r="N98" s="556"/>
      <c r="O98" s="556"/>
      <c r="P98" s="556"/>
      <c r="Q98" s="556"/>
      <c r="R98" s="556"/>
      <c r="S98" s="556"/>
      <c r="T98" s="598">
        <f>-V98</f>
        <v>0</v>
      </c>
      <c r="U98" s="556"/>
      <c r="V98" s="599">
        <v>0</v>
      </c>
      <c r="W98" s="558"/>
      <c r="X98" s="543"/>
    </row>
    <row r="99" spans="1:25" s="544" customFormat="1" x14ac:dyDescent="0.3">
      <c r="A99" s="555"/>
      <c r="B99" s="556" t="s">
        <v>283</v>
      </c>
      <c r="C99" s="556"/>
      <c r="D99" s="556"/>
      <c r="E99" s="556"/>
      <c r="F99" s="556"/>
      <c r="G99" s="556"/>
      <c r="H99" s="556"/>
      <c r="I99" s="556"/>
      <c r="J99" s="556"/>
      <c r="K99" s="556"/>
      <c r="L99" s="556"/>
      <c r="M99" s="556"/>
      <c r="N99" s="556"/>
      <c r="O99" s="556"/>
      <c r="P99" s="556"/>
      <c r="Q99" s="556"/>
      <c r="R99" s="556"/>
      <c r="S99" s="556"/>
      <c r="T99" s="598"/>
      <c r="U99" s="556"/>
      <c r="V99" s="599">
        <v>-114</v>
      </c>
      <c r="W99" s="558"/>
      <c r="X99" s="543"/>
    </row>
    <row r="100" spans="1:25" s="544" customFormat="1" x14ac:dyDescent="0.3">
      <c r="A100" s="555"/>
      <c r="B100" s="556" t="s">
        <v>32</v>
      </c>
      <c r="C100" s="556"/>
      <c r="D100" s="556"/>
      <c r="E100" s="556"/>
      <c r="F100" s="556"/>
      <c r="G100" s="556"/>
      <c r="H100" s="556"/>
      <c r="I100" s="556"/>
      <c r="J100" s="556"/>
      <c r="K100" s="556"/>
      <c r="L100" s="556"/>
      <c r="M100" s="556"/>
      <c r="N100" s="556"/>
      <c r="O100" s="556"/>
      <c r="P100" s="556"/>
      <c r="Q100" s="556"/>
      <c r="R100" s="556"/>
      <c r="S100" s="556"/>
      <c r="T100" s="598">
        <f>T96+T98+T97</f>
        <v>13448</v>
      </c>
      <c r="U100" s="556"/>
      <c r="V100" s="598">
        <f>V96+V98+V97+V99</f>
        <v>5064</v>
      </c>
      <c r="W100" s="558"/>
      <c r="X100" s="543"/>
    </row>
    <row r="101" spans="1:25" x14ac:dyDescent="0.3">
      <c r="A101" s="431"/>
      <c r="B101" s="507" t="s">
        <v>33</v>
      </c>
      <c r="C101" s="434"/>
      <c r="D101" s="434"/>
      <c r="E101" s="434"/>
      <c r="F101" s="434"/>
      <c r="G101" s="434"/>
      <c r="H101" s="434"/>
      <c r="I101" s="434"/>
      <c r="J101" s="434"/>
      <c r="K101" s="434"/>
      <c r="L101" s="434"/>
      <c r="M101" s="434"/>
      <c r="N101" s="434"/>
      <c r="O101" s="434"/>
      <c r="P101" s="434"/>
      <c r="Q101" s="434"/>
      <c r="R101" s="434"/>
      <c r="S101" s="434"/>
      <c r="T101" s="448"/>
      <c r="U101" s="434"/>
      <c r="V101" s="449"/>
      <c r="W101" s="436"/>
      <c r="X101" s="415"/>
    </row>
    <row r="102" spans="1:25" s="544" customFormat="1" x14ac:dyDescent="0.3">
      <c r="A102" s="555">
        <v>1</v>
      </c>
      <c r="B102" s="556" t="s">
        <v>34</v>
      </c>
      <c r="C102" s="556"/>
      <c r="D102" s="556"/>
      <c r="E102" s="556"/>
      <c r="F102" s="556"/>
      <c r="G102" s="556"/>
      <c r="H102" s="556"/>
      <c r="I102" s="556"/>
      <c r="J102" s="556"/>
      <c r="K102" s="556"/>
      <c r="L102" s="556"/>
      <c r="M102" s="556"/>
      <c r="N102" s="556"/>
      <c r="O102" s="556"/>
      <c r="P102" s="556"/>
      <c r="Q102" s="556"/>
      <c r="R102" s="556"/>
      <c r="S102" s="556"/>
      <c r="T102" s="556"/>
      <c r="U102" s="556"/>
      <c r="V102" s="599">
        <v>0</v>
      </c>
      <c r="W102" s="558"/>
      <c r="X102" s="543"/>
    </row>
    <row r="103" spans="1:25" s="544" customFormat="1" x14ac:dyDescent="0.3">
      <c r="A103" s="555">
        <f>+A102+1</f>
        <v>2</v>
      </c>
      <c r="B103" s="556" t="s">
        <v>330</v>
      </c>
      <c r="C103" s="556"/>
      <c r="D103" s="556"/>
      <c r="E103" s="556"/>
      <c r="F103" s="556"/>
      <c r="G103" s="556"/>
      <c r="H103" s="556"/>
      <c r="I103" s="556"/>
      <c r="J103" s="556"/>
      <c r="K103" s="556"/>
      <c r="L103" s="556"/>
      <c r="M103" s="556"/>
      <c r="N103" s="556"/>
      <c r="O103" s="556"/>
      <c r="P103" s="556"/>
      <c r="Q103" s="556"/>
      <c r="R103" s="556"/>
      <c r="S103" s="556"/>
      <c r="T103" s="556"/>
      <c r="U103" s="556"/>
      <c r="V103" s="599">
        <v>-2</v>
      </c>
      <c r="W103" s="558"/>
      <c r="X103" s="543"/>
    </row>
    <row r="104" spans="1:25" s="544" customFormat="1" x14ac:dyDescent="0.3">
      <c r="A104" s="555">
        <f>+A103+1</f>
        <v>3</v>
      </c>
      <c r="B104" s="556" t="s">
        <v>331</v>
      </c>
      <c r="C104" s="556"/>
      <c r="D104" s="556"/>
      <c r="E104" s="556"/>
      <c r="F104" s="556"/>
      <c r="G104" s="556"/>
      <c r="H104" s="556"/>
      <c r="I104" s="556"/>
      <c r="J104" s="556"/>
      <c r="K104" s="556"/>
      <c r="L104" s="556"/>
      <c r="M104" s="556"/>
      <c r="N104" s="556"/>
      <c r="O104" s="556"/>
      <c r="P104" s="556"/>
      <c r="Q104" s="556"/>
      <c r="R104" s="556"/>
      <c r="S104" s="556"/>
      <c r="T104" s="556"/>
      <c r="U104" s="556"/>
      <c r="V104" s="599">
        <f>-94-177-9</f>
        <v>-280</v>
      </c>
      <c r="W104" s="558"/>
      <c r="X104" s="543"/>
    </row>
    <row r="105" spans="1:25" s="544" customFormat="1" x14ac:dyDescent="0.3">
      <c r="A105" s="555" t="s">
        <v>127</v>
      </c>
      <c r="B105" s="556" t="s">
        <v>116</v>
      </c>
      <c r="C105" s="556"/>
      <c r="D105" s="556"/>
      <c r="E105" s="556"/>
      <c r="F105" s="556"/>
      <c r="G105" s="556"/>
      <c r="H105" s="556"/>
      <c r="I105" s="556"/>
      <c r="J105" s="556"/>
      <c r="K105" s="556"/>
      <c r="L105" s="556"/>
      <c r="M105" s="556"/>
      <c r="N105" s="556"/>
      <c r="O105" s="556"/>
      <c r="P105" s="556"/>
      <c r="Q105" s="556"/>
      <c r="R105" s="556"/>
      <c r="S105" s="556"/>
      <c r="T105" s="556"/>
      <c r="U105" s="556"/>
      <c r="V105" s="599">
        <v>0</v>
      </c>
      <c r="W105" s="558"/>
      <c r="X105" s="543"/>
    </row>
    <row r="106" spans="1:25" s="544" customFormat="1" x14ac:dyDescent="0.3">
      <c r="A106" s="555" t="s">
        <v>128</v>
      </c>
      <c r="B106" s="556" t="s">
        <v>363</v>
      </c>
      <c r="C106" s="556"/>
      <c r="D106" s="556"/>
      <c r="E106" s="556"/>
      <c r="F106" s="556"/>
      <c r="G106" s="556"/>
      <c r="H106" s="556"/>
      <c r="I106" s="556"/>
      <c r="J106" s="556"/>
      <c r="K106" s="556"/>
      <c r="L106" s="556"/>
      <c r="M106" s="556"/>
      <c r="N106" s="556"/>
      <c r="O106" s="556"/>
      <c r="P106" s="556"/>
      <c r="Q106" s="556"/>
      <c r="R106" s="556"/>
      <c r="S106" s="556"/>
      <c r="T106" s="556"/>
      <c r="U106" s="556"/>
      <c r="V106" s="599">
        <f>-782-126</f>
        <v>-908</v>
      </c>
      <c r="W106" s="558"/>
      <c r="X106" s="543"/>
      <c r="Y106" s="604"/>
    </row>
    <row r="107" spans="1:25" s="544" customFormat="1" x14ac:dyDescent="0.3">
      <c r="A107" s="555" t="s">
        <v>150</v>
      </c>
      <c r="B107" s="556" t="s">
        <v>364</v>
      </c>
      <c r="C107" s="556"/>
      <c r="D107" s="556"/>
      <c r="E107" s="556"/>
      <c r="F107" s="556"/>
      <c r="G107" s="556"/>
      <c r="H107" s="556"/>
      <c r="I107" s="556"/>
      <c r="J107" s="556"/>
      <c r="K107" s="556"/>
      <c r="L107" s="556"/>
      <c r="M107" s="556"/>
      <c r="N107" s="556"/>
      <c r="O107" s="556"/>
      <c r="P107" s="556"/>
      <c r="Q107" s="556"/>
      <c r="R107" s="556"/>
      <c r="S107" s="556"/>
      <c r="T107" s="556"/>
      <c r="U107" s="556"/>
      <c r="V107" s="599">
        <f>-174-224</f>
        <v>-398</v>
      </c>
      <c r="W107" s="558"/>
      <c r="X107" s="543"/>
      <c r="Y107" s="604"/>
    </row>
    <row r="108" spans="1:25" s="544" customFormat="1" x14ac:dyDescent="0.3">
      <c r="A108" s="555" t="s">
        <v>236</v>
      </c>
      <c r="B108" s="556" t="s">
        <v>238</v>
      </c>
      <c r="C108" s="556"/>
      <c r="D108" s="556"/>
      <c r="E108" s="556"/>
      <c r="F108" s="556"/>
      <c r="G108" s="556"/>
      <c r="H108" s="556"/>
      <c r="I108" s="556"/>
      <c r="J108" s="556"/>
      <c r="K108" s="556"/>
      <c r="L108" s="556"/>
      <c r="M108" s="556"/>
      <c r="N108" s="556"/>
      <c r="O108" s="556"/>
      <c r="P108" s="556"/>
      <c r="Q108" s="556"/>
      <c r="R108" s="556"/>
      <c r="S108" s="556"/>
      <c r="T108" s="556"/>
      <c r="U108" s="556"/>
      <c r="V108" s="599">
        <v>0</v>
      </c>
      <c r="W108" s="558"/>
      <c r="X108" s="543"/>
    </row>
    <row r="109" spans="1:25" s="544" customFormat="1" x14ac:dyDescent="0.3">
      <c r="A109" s="555" t="s">
        <v>205</v>
      </c>
      <c r="B109" s="556" t="s">
        <v>185</v>
      </c>
      <c r="C109" s="556"/>
      <c r="D109" s="556"/>
      <c r="E109" s="556"/>
      <c r="F109" s="556"/>
      <c r="G109" s="556"/>
      <c r="H109" s="556"/>
      <c r="I109" s="556"/>
      <c r="J109" s="556"/>
      <c r="K109" s="556"/>
      <c r="L109" s="556"/>
      <c r="M109" s="556"/>
      <c r="N109" s="556"/>
      <c r="O109" s="556"/>
      <c r="P109" s="556"/>
      <c r="Q109" s="556"/>
      <c r="R109" s="556"/>
      <c r="S109" s="556"/>
      <c r="T109" s="556"/>
      <c r="U109" s="556"/>
      <c r="V109" s="599">
        <v>-184</v>
      </c>
      <c r="W109" s="558"/>
      <c r="X109" s="543"/>
      <c r="Y109" s="604"/>
    </row>
    <row r="110" spans="1:25" s="544" customFormat="1" x14ac:dyDescent="0.3">
      <c r="A110" s="555" t="s">
        <v>206</v>
      </c>
      <c r="B110" s="556" t="s">
        <v>186</v>
      </c>
      <c r="C110" s="556"/>
      <c r="D110" s="556"/>
      <c r="E110" s="556"/>
      <c r="F110" s="556"/>
      <c r="G110" s="556"/>
      <c r="H110" s="556"/>
      <c r="I110" s="556"/>
      <c r="J110" s="556"/>
      <c r="K110" s="556"/>
      <c r="L110" s="556"/>
      <c r="M110" s="556"/>
      <c r="N110" s="556"/>
      <c r="O110" s="556"/>
      <c r="P110" s="556"/>
      <c r="Q110" s="556"/>
      <c r="R110" s="556"/>
      <c r="S110" s="556"/>
      <c r="T110" s="556"/>
      <c r="U110" s="556"/>
      <c r="V110" s="599">
        <v>-150</v>
      </c>
      <c r="W110" s="558"/>
      <c r="X110" s="605"/>
      <c r="Y110" s="604"/>
    </row>
    <row r="111" spans="1:25" s="544" customFormat="1" x14ac:dyDescent="0.3">
      <c r="A111" s="555" t="s">
        <v>207</v>
      </c>
      <c r="B111" s="556" t="s">
        <v>196</v>
      </c>
      <c r="C111" s="556"/>
      <c r="D111" s="556"/>
      <c r="E111" s="556"/>
      <c r="F111" s="556"/>
      <c r="G111" s="556"/>
      <c r="H111" s="556"/>
      <c r="I111" s="556"/>
      <c r="J111" s="556"/>
      <c r="K111" s="556"/>
      <c r="L111" s="556"/>
      <c r="M111" s="556"/>
      <c r="N111" s="556"/>
      <c r="O111" s="556"/>
      <c r="P111" s="556"/>
      <c r="Q111" s="556"/>
      <c r="R111" s="556"/>
      <c r="S111" s="556"/>
      <c r="T111" s="556"/>
      <c r="U111" s="556"/>
      <c r="V111" s="599">
        <v>-384</v>
      </c>
      <c r="W111" s="558"/>
      <c r="X111" s="543"/>
      <c r="Y111" s="604"/>
    </row>
    <row r="112" spans="1:25" s="544" customFormat="1" x14ac:dyDescent="0.3">
      <c r="A112" s="555" t="s">
        <v>224</v>
      </c>
      <c r="B112" s="556" t="s">
        <v>223</v>
      </c>
      <c r="C112" s="556"/>
      <c r="D112" s="556"/>
      <c r="E112" s="556"/>
      <c r="F112" s="556"/>
      <c r="G112" s="556"/>
      <c r="H112" s="556"/>
      <c r="I112" s="556"/>
      <c r="J112" s="556"/>
      <c r="K112" s="556"/>
      <c r="L112" s="556"/>
      <c r="M112" s="556"/>
      <c r="N112" s="556"/>
      <c r="O112" s="556"/>
      <c r="P112" s="556"/>
      <c r="Q112" s="556"/>
      <c r="R112" s="556"/>
      <c r="S112" s="556"/>
      <c r="T112" s="556"/>
      <c r="U112" s="556"/>
      <c r="V112" s="599">
        <v>-78</v>
      </c>
      <c r="W112" s="558"/>
      <c r="X112" s="543"/>
      <c r="Y112" s="604"/>
    </row>
    <row r="113" spans="1:24" s="544" customFormat="1" x14ac:dyDescent="0.3">
      <c r="A113" s="555">
        <v>7</v>
      </c>
      <c r="B113" s="556" t="s">
        <v>35</v>
      </c>
      <c r="C113" s="556"/>
      <c r="D113" s="556"/>
      <c r="E113" s="556"/>
      <c r="F113" s="556"/>
      <c r="G113" s="556"/>
      <c r="H113" s="556"/>
      <c r="I113" s="556"/>
      <c r="J113" s="556"/>
      <c r="K113" s="556"/>
      <c r="L113" s="556"/>
      <c r="M113" s="556"/>
      <c r="N113" s="556"/>
      <c r="O113" s="556"/>
      <c r="P113" s="556"/>
      <c r="Q113" s="556"/>
      <c r="R113" s="556"/>
      <c r="S113" s="556"/>
      <c r="T113" s="556"/>
      <c r="U113" s="556"/>
      <c r="V113" s="599">
        <v>-9</v>
      </c>
      <c r="W113" s="558"/>
      <c r="X113" s="543"/>
    </row>
    <row r="114" spans="1:24" s="544" customFormat="1" x14ac:dyDescent="0.3">
      <c r="A114" s="555">
        <f t="shared" ref="A114:A123" si="0">+A113+1</f>
        <v>8</v>
      </c>
      <c r="B114" s="556" t="s">
        <v>45</v>
      </c>
      <c r="C114" s="556"/>
      <c r="D114" s="556"/>
      <c r="E114" s="556"/>
      <c r="F114" s="556"/>
      <c r="G114" s="556"/>
      <c r="H114" s="556"/>
      <c r="I114" s="556"/>
      <c r="J114" s="556"/>
      <c r="K114" s="556"/>
      <c r="L114" s="556"/>
      <c r="M114" s="556"/>
      <c r="N114" s="556"/>
      <c r="O114" s="556"/>
      <c r="P114" s="556"/>
      <c r="Q114" s="556"/>
      <c r="R114" s="556"/>
      <c r="S114" s="556"/>
      <c r="T114" s="598">
        <f>-V114</f>
        <v>260</v>
      </c>
      <c r="U114" s="556"/>
      <c r="V114" s="599">
        <v>-260</v>
      </c>
      <c r="W114" s="558"/>
      <c r="X114" s="543"/>
    </row>
    <row r="115" spans="1:24" s="544" customFormat="1" x14ac:dyDescent="0.3">
      <c r="A115" s="555">
        <f t="shared" si="0"/>
        <v>9</v>
      </c>
      <c r="B115" s="556" t="s">
        <v>125</v>
      </c>
      <c r="C115" s="556"/>
      <c r="D115" s="556"/>
      <c r="E115" s="556"/>
      <c r="F115" s="556"/>
      <c r="G115" s="556"/>
      <c r="H115" s="556"/>
      <c r="I115" s="556"/>
      <c r="J115" s="556"/>
      <c r="K115" s="556"/>
      <c r="L115" s="556"/>
      <c r="M115" s="556"/>
      <c r="N115" s="556"/>
      <c r="O115" s="556"/>
      <c r="P115" s="556"/>
      <c r="Q115" s="556"/>
      <c r="R115" s="556"/>
      <c r="S115" s="556"/>
      <c r="T115" s="556"/>
      <c r="U115" s="556"/>
      <c r="V115" s="599">
        <v>0</v>
      </c>
      <c r="W115" s="558"/>
      <c r="X115" s="543"/>
    </row>
    <row r="116" spans="1:24" s="544" customFormat="1" x14ac:dyDescent="0.3">
      <c r="A116" s="555">
        <f t="shared" si="0"/>
        <v>10</v>
      </c>
      <c r="B116" s="556" t="s">
        <v>240</v>
      </c>
      <c r="C116" s="556"/>
      <c r="D116" s="556"/>
      <c r="E116" s="556"/>
      <c r="F116" s="556"/>
      <c r="G116" s="556"/>
      <c r="H116" s="556"/>
      <c r="I116" s="556"/>
      <c r="J116" s="556"/>
      <c r="K116" s="556"/>
      <c r="L116" s="556"/>
      <c r="M116" s="556"/>
      <c r="N116" s="556"/>
      <c r="O116" s="556"/>
      <c r="P116" s="556"/>
      <c r="Q116" s="556"/>
      <c r="R116" s="556"/>
      <c r="S116" s="556"/>
      <c r="T116" s="556"/>
      <c r="U116" s="556"/>
      <c r="V116" s="599">
        <v>0</v>
      </c>
      <c r="W116" s="558"/>
      <c r="X116" s="543"/>
    </row>
    <row r="117" spans="1:24" s="544" customFormat="1" x14ac:dyDescent="0.3">
      <c r="A117" s="555">
        <f t="shared" si="0"/>
        <v>11</v>
      </c>
      <c r="B117" s="556" t="s">
        <v>36</v>
      </c>
      <c r="C117" s="556"/>
      <c r="D117" s="556"/>
      <c r="E117" s="556"/>
      <c r="F117" s="556"/>
      <c r="G117" s="556"/>
      <c r="H117" s="556"/>
      <c r="I117" s="556"/>
      <c r="J117" s="556"/>
      <c r="K117" s="556"/>
      <c r="L117" s="556"/>
      <c r="M117" s="556"/>
      <c r="N117" s="556"/>
      <c r="O117" s="556"/>
      <c r="P117" s="556"/>
      <c r="Q117" s="556"/>
      <c r="R117" s="556"/>
      <c r="S117" s="556"/>
      <c r="T117" s="556"/>
      <c r="U117" s="556"/>
      <c r="V117" s="599">
        <v>0</v>
      </c>
      <c r="W117" s="558"/>
      <c r="X117" s="543"/>
    </row>
    <row r="118" spans="1:24" s="544" customFormat="1" x14ac:dyDescent="0.3">
      <c r="A118" s="555">
        <f t="shared" si="0"/>
        <v>12</v>
      </c>
      <c r="B118" s="556" t="s">
        <v>239</v>
      </c>
      <c r="C118" s="556"/>
      <c r="D118" s="556"/>
      <c r="E118" s="556"/>
      <c r="F118" s="556"/>
      <c r="G118" s="556"/>
      <c r="H118" s="556"/>
      <c r="I118" s="556"/>
      <c r="J118" s="556"/>
      <c r="K118" s="556"/>
      <c r="L118" s="556"/>
      <c r="M118" s="556"/>
      <c r="N118" s="556"/>
      <c r="O118" s="556"/>
      <c r="P118" s="556"/>
      <c r="Q118" s="556"/>
      <c r="R118" s="556"/>
      <c r="S118" s="556"/>
      <c r="T118" s="556"/>
      <c r="U118" s="556"/>
      <c r="V118" s="599">
        <v>0</v>
      </c>
      <c r="W118" s="558"/>
      <c r="X118" s="543"/>
    </row>
    <row r="119" spans="1:24" s="544" customFormat="1" x14ac:dyDescent="0.3">
      <c r="A119" s="555">
        <f t="shared" si="0"/>
        <v>13</v>
      </c>
      <c r="B119" s="556" t="s">
        <v>149</v>
      </c>
      <c r="C119" s="556"/>
      <c r="D119" s="556"/>
      <c r="E119" s="556"/>
      <c r="F119" s="556"/>
      <c r="G119" s="556"/>
      <c r="H119" s="556"/>
      <c r="I119" s="556"/>
      <c r="J119" s="556"/>
      <c r="K119" s="556"/>
      <c r="L119" s="556"/>
      <c r="M119" s="556"/>
      <c r="N119" s="556"/>
      <c r="O119" s="556"/>
      <c r="P119" s="556"/>
      <c r="Q119" s="556"/>
      <c r="R119" s="556"/>
      <c r="S119" s="556"/>
      <c r="T119" s="556"/>
      <c r="U119" s="556"/>
      <c r="V119" s="599">
        <v>-469</v>
      </c>
      <c r="W119" s="558"/>
      <c r="X119" s="543"/>
    </row>
    <row r="120" spans="1:24" s="544" customFormat="1" x14ac:dyDescent="0.3">
      <c r="A120" s="555">
        <f t="shared" si="0"/>
        <v>14</v>
      </c>
      <c r="B120" s="641" t="s">
        <v>387</v>
      </c>
      <c r="C120" s="556"/>
      <c r="D120" s="556"/>
      <c r="E120" s="556"/>
      <c r="F120" s="556"/>
      <c r="G120" s="556"/>
      <c r="H120" s="556"/>
      <c r="I120" s="556"/>
      <c r="J120" s="556"/>
      <c r="K120" s="556"/>
      <c r="L120" s="556"/>
      <c r="M120" s="556"/>
      <c r="N120" s="556"/>
      <c r="O120" s="556"/>
      <c r="P120" s="556"/>
      <c r="Q120" s="556"/>
      <c r="R120" s="556"/>
      <c r="S120" s="556"/>
      <c r="T120" s="556"/>
      <c r="U120" s="556"/>
      <c r="V120" s="599">
        <v>-341</v>
      </c>
      <c r="W120" s="558"/>
      <c r="X120" s="543"/>
    </row>
    <row r="121" spans="1:24" s="544" customFormat="1" x14ac:dyDescent="0.3">
      <c r="A121" s="555">
        <f t="shared" si="0"/>
        <v>15</v>
      </c>
      <c r="B121" s="642" t="s">
        <v>384</v>
      </c>
      <c r="C121" s="556"/>
      <c r="D121" s="556"/>
      <c r="E121" s="556"/>
      <c r="F121" s="556"/>
      <c r="G121" s="556"/>
      <c r="H121" s="556"/>
      <c r="I121" s="556"/>
      <c r="J121" s="556"/>
      <c r="K121" s="556"/>
      <c r="L121" s="556"/>
      <c r="M121" s="556"/>
      <c r="N121" s="556"/>
      <c r="O121" s="556"/>
      <c r="P121" s="556"/>
      <c r="Q121" s="556"/>
      <c r="R121" s="556"/>
      <c r="S121" s="556"/>
      <c r="T121" s="556"/>
      <c r="U121" s="556"/>
      <c r="V121" s="599">
        <v>-63</v>
      </c>
      <c r="W121" s="558"/>
      <c r="X121" s="543"/>
    </row>
    <row r="122" spans="1:24" s="544" customFormat="1" x14ac:dyDescent="0.3">
      <c r="A122" s="555">
        <f t="shared" si="0"/>
        <v>16</v>
      </c>
      <c r="B122" s="642" t="s">
        <v>386</v>
      </c>
      <c r="C122" s="556"/>
      <c r="D122" s="556"/>
      <c r="E122" s="556"/>
      <c r="F122" s="556"/>
      <c r="G122" s="556"/>
      <c r="H122" s="556"/>
      <c r="I122" s="556"/>
      <c r="J122" s="556"/>
      <c r="K122" s="556"/>
      <c r="L122" s="556"/>
      <c r="M122" s="556"/>
      <c r="N122" s="556"/>
      <c r="O122" s="556"/>
      <c r="P122" s="556"/>
      <c r="Q122" s="556"/>
      <c r="R122" s="556"/>
      <c r="S122" s="556"/>
      <c r="T122" s="556"/>
      <c r="U122" s="556"/>
      <c r="V122" s="599">
        <v>0</v>
      </c>
      <c r="W122" s="558"/>
      <c r="X122" s="543"/>
    </row>
    <row r="123" spans="1:24" s="544" customFormat="1" x14ac:dyDescent="0.3">
      <c r="A123" s="555">
        <f t="shared" si="0"/>
        <v>17</v>
      </c>
      <c r="B123" s="642" t="s">
        <v>385</v>
      </c>
      <c r="C123" s="556"/>
      <c r="D123" s="556"/>
      <c r="E123" s="556"/>
      <c r="F123" s="556"/>
      <c r="G123" s="556"/>
      <c r="H123" s="556"/>
      <c r="I123" s="556"/>
      <c r="J123" s="556"/>
      <c r="K123" s="556"/>
      <c r="L123" s="556"/>
      <c r="M123" s="556"/>
      <c r="N123" s="556"/>
      <c r="O123" s="556"/>
      <c r="P123" s="556"/>
      <c r="Q123" s="556"/>
      <c r="R123" s="556"/>
      <c r="S123" s="556"/>
      <c r="T123" s="556"/>
      <c r="U123" s="556"/>
      <c r="V123" s="599">
        <f>-V100-SUM(V102:V122)</f>
        <v>-1538</v>
      </c>
      <c r="W123" s="558"/>
      <c r="X123" s="543"/>
    </row>
    <row r="124" spans="1:24" x14ac:dyDescent="0.3">
      <c r="A124" s="431"/>
      <c r="B124" s="507" t="s">
        <v>37</v>
      </c>
      <c r="C124" s="434"/>
      <c r="D124" s="434"/>
      <c r="E124" s="434"/>
      <c r="F124" s="434"/>
      <c r="G124" s="434"/>
      <c r="H124" s="434"/>
      <c r="I124" s="434"/>
      <c r="J124" s="434"/>
      <c r="K124" s="434"/>
      <c r="L124" s="434"/>
      <c r="M124" s="434"/>
      <c r="N124" s="434"/>
      <c r="O124" s="434"/>
      <c r="P124" s="434"/>
      <c r="Q124" s="434"/>
      <c r="R124" s="434"/>
      <c r="S124" s="434"/>
      <c r="T124" s="434"/>
      <c r="U124" s="434"/>
      <c r="V124" s="450"/>
      <c r="W124" s="436"/>
      <c r="X124" s="415"/>
    </row>
    <row r="125" spans="1:24" s="544" customFormat="1" x14ac:dyDescent="0.3">
      <c r="A125" s="555"/>
      <c r="B125" s="556" t="s">
        <v>173</v>
      </c>
      <c r="C125" s="556"/>
      <c r="D125" s="556"/>
      <c r="E125" s="556"/>
      <c r="F125" s="556"/>
      <c r="G125" s="556"/>
      <c r="H125" s="556"/>
      <c r="I125" s="556"/>
      <c r="J125" s="556"/>
      <c r="K125" s="556"/>
      <c r="L125" s="556"/>
      <c r="M125" s="556"/>
      <c r="N125" s="556"/>
      <c r="O125" s="556"/>
      <c r="P125" s="556"/>
      <c r="Q125" s="556"/>
      <c r="R125" s="556"/>
      <c r="S125" s="556"/>
      <c r="T125" s="598">
        <f>-T191</f>
        <v>0</v>
      </c>
      <c r="U125" s="598"/>
      <c r="V125" s="599"/>
      <c r="W125" s="558"/>
      <c r="X125" s="543"/>
    </row>
    <row r="126" spans="1:24" s="544" customFormat="1" x14ac:dyDescent="0.3">
      <c r="A126" s="555"/>
      <c r="B126" s="556" t="s">
        <v>174</v>
      </c>
      <c r="C126" s="556"/>
      <c r="D126" s="556"/>
      <c r="E126" s="556"/>
      <c r="F126" s="556"/>
      <c r="G126" s="556"/>
      <c r="H126" s="556"/>
      <c r="I126" s="556"/>
      <c r="J126" s="556"/>
      <c r="K126" s="556"/>
      <c r="L126" s="556"/>
      <c r="M126" s="556"/>
      <c r="N126" s="556"/>
      <c r="O126" s="556"/>
      <c r="P126" s="556"/>
      <c r="Q126" s="556"/>
      <c r="R126" s="556"/>
      <c r="S126" s="556"/>
      <c r="T126" s="598">
        <v>0</v>
      </c>
      <c r="U126" s="598"/>
      <c r="V126" s="599"/>
      <c r="W126" s="558"/>
      <c r="X126" s="543"/>
    </row>
    <row r="127" spans="1:24" s="544" customFormat="1" x14ac:dyDescent="0.3">
      <c r="A127" s="555"/>
      <c r="B127" s="556" t="s">
        <v>38</v>
      </c>
      <c r="C127" s="556"/>
      <c r="D127" s="556"/>
      <c r="E127" s="556"/>
      <c r="F127" s="556"/>
      <c r="G127" s="556"/>
      <c r="H127" s="556"/>
      <c r="I127" s="556"/>
      <c r="J127" s="556"/>
      <c r="K127" s="556"/>
      <c r="L127" s="556"/>
      <c r="M127" s="556"/>
      <c r="N127" s="556"/>
      <c r="O127" s="556"/>
      <c r="P127" s="556"/>
      <c r="Q127" s="556"/>
      <c r="R127" s="556"/>
      <c r="S127" s="556"/>
      <c r="T127" s="598">
        <f>-S191</f>
        <v>0</v>
      </c>
      <c r="U127" s="598"/>
      <c r="V127" s="599"/>
      <c r="W127" s="558"/>
      <c r="X127" s="543"/>
    </row>
    <row r="128" spans="1:24" s="544" customFormat="1" x14ac:dyDescent="0.3">
      <c r="A128" s="555"/>
      <c r="B128" s="556" t="s">
        <v>388</v>
      </c>
      <c r="C128" s="556"/>
      <c r="D128" s="556"/>
      <c r="E128" s="556"/>
      <c r="F128" s="556"/>
      <c r="G128" s="556"/>
      <c r="H128" s="556"/>
      <c r="I128" s="556"/>
      <c r="J128" s="556"/>
      <c r="K128" s="556"/>
      <c r="L128" s="556"/>
      <c r="M128" s="556"/>
      <c r="N128" s="556"/>
      <c r="O128" s="556"/>
      <c r="P128" s="556"/>
      <c r="Q128" s="556"/>
      <c r="R128" s="556"/>
      <c r="S128" s="556"/>
      <c r="T128" s="598">
        <v>-8334</v>
      </c>
      <c r="U128" s="598"/>
      <c r="V128" s="599"/>
      <c r="W128" s="558"/>
      <c r="X128" s="543"/>
    </row>
    <row r="129" spans="1:24" s="544" customFormat="1" x14ac:dyDescent="0.3">
      <c r="A129" s="555"/>
      <c r="B129" s="556" t="s">
        <v>195</v>
      </c>
      <c r="C129" s="556"/>
      <c r="D129" s="556"/>
      <c r="E129" s="556"/>
      <c r="F129" s="556"/>
      <c r="G129" s="556"/>
      <c r="H129" s="556"/>
      <c r="I129" s="556"/>
      <c r="J129" s="556"/>
      <c r="K129" s="556"/>
      <c r="L129" s="556"/>
      <c r="M129" s="556"/>
      <c r="N129" s="556"/>
      <c r="O129" s="556"/>
      <c r="P129" s="556"/>
      <c r="Q129" s="556"/>
      <c r="R129" s="556"/>
      <c r="S129" s="556"/>
      <c r="T129" s="598">
        <v>-1344</v>
      </c>
      <c r="U129" s="598"/>
      <c r="V129" s="599"/>
      <c r="W129" s="558"/>
      <c r="X129" s="543"/>
    </row>
    <row r="130" spans="1:24" s="544" customFormat="1" x14ac:dyDescent="0.3">
      <c r="A130" s="555"/>
      <c r="B130" s="556" t="s">
        <v>194</v>
      </c>
      <c r="C130" s="556"/>
      <c r="D130" s="556"/>
      <c r="E130" s="556"/>
      <c r="F130" s="556"/>
      <c r="G130" s="556"/>
      <c r="H130" s="556"/>
      <c r="I130" s="556"/>
      <c r="J130" s="556"/>
      <c r="K130" s="556"/>
      <c r="L130" s="556"/>
      <c r="M130" s="556"/>
      <c r="N130" s="556"/>
      <c r="O130" s="556"/>
      <c r="P130" s="556"/>
      <c r="Q130" s="556"/>
      <c r="R130" s="556"/>
      <c r="S130" s="556"/>
      <c r="T130" s="598">
        <v>-1808</v>
      </c>
      <c r="U130" s="598"/>
      <c r="V130" s="599"/>
      <c r="W130" s="558"/>
      <c r="X130" s="543"/>
    </row>
    <row r="131" spans="1:24" s="544" customFormat="1" x14ac:dyDescent="0.3">
      <c r="A131" s="555"/>
      <c r="B131" s="556" t="s">
        <v>226</v>
      </c>
      <c r="C131" s="556"/>
      <c r="D131" s="556"/>
      <c r="E131" s="556"/>
      <c r="F131" s="556"/>
      <c r="G131" s="556"/>
      <c r="H131" s="556"/>
      <c r="I131" s="556"/>
      <c r="J131" s="556"/>
      <c r="K131" s="556"/>
      <c r="L131" s="556"/>
      <c r="M131" s="556"/>
      <c r="N131" s="556"/>
      <c r="O131" s="556"/>
      <c r="P131" s="556"/>
      <c r="Q131" s="556"/>
      <c r="R131" s="556"/>
      <c r="S131" s="556"/>
      <c r="T131" s="598">
        <v>-2222</v>
      </c>
      <c r="U131" s="598"/>
      <c r="V131" s="599"/>
      <c r="W131" s="558"/>
      <c r="X131" s="543"/>
    </row>
    <row r="132" spans="1:24" s="544" customFormat="1" x14ac:dyDescent="0.3">
      <c r="A132" s="555"/>
      <c r="B132" s="556" t="s">
        <v>189</v>
      </c>
      <c r="C132" s="556"/>
      <c r="D132" s="556"/>
      <c r="E132" s="556"/>
      <c r="F132" s="556"/>
      <c r="G132" s="556"/>
      <c r="H132" s="556"/>
      <c r="I132" s="556"/>
      <c r="J132" s="556"/>
      <c r="K132" s="556"/>
      <c r="L132" s="556"/>
      <c r="M132" s="556"/>
      <c r="N132" s="556"/>
      <c r="O132" s="556"/>
      <c r="P132" s="556"/>
      <c r="Q132" s="556"/>
      <c r="R132" s="556"/>
      <c r="S132" s="556"/>
      <c r="T132" s="598">
        <v>0</v>
      </c>
      <c r="U132" s="598"/>
      <c r="V132" s="599"/>
      <c r="W132" s="558"/>
      <c r="X132" s="543"/>
    </row>
    <row r="133" spans="1:24" s="544" customFormat="1" x14ac:dyDescent="0.3">
      <c r="A133" s="555"/>
      <c r="B133" s="556" t="s">
        <v>188</v>
      </c>
      <c r="C133" s="556"/>
      <c r="D133" s="556"/>
      <c r="E133" s="556"/>
      <c r="F133" s="556"/>
      <c r="G133" s="556"/>
      <c r="H133" s="556"/>
      <c r="I133" s="556"/>
      <c r="J133" s="556"/>
      <c r="K133" s="556"/>
      <c r="L133" s="556"/>
      <c r="M133" s="556"/>
      <c r="N133" s="556"/>
      <c r="O133" s="556"/>
      <c r="P133" s="556"/>
      <c r="Q133" s="556"/>
      <c r="R133" s="556"/>
      <c r="S133" s="556"/>
      <c r="T133" s="598">
        <v>0</v>
      </c>
      <c r="U133" s="598"/>
      <c r="V133" s="599"/>
      <c r="W133" s="558"/>
      <c r="X133" s="543"/>
    </row>
    <row r="134" spans="1:24" s="544" customFormat="1" x14ac:dyDescent="0.3">
      <c r="A134" s="555"/>
      <c r="B134" s="556" t="s">
        <v>227</v>
      </c>
      <c r="C134" s="556"/>
      <c r="D134" s="556"/>
      <c r="E134" s="556"/>
      <c r="F134" s="556"/>
      <c r="G134" s="556"/>
      <c r="H134" s="556"/>
      <c r="I134" s="556"/>
      <c r="J134" s="556"/>
      <c r="K134" s="556"/>
      <c r="L134" s="556"/>
      <c r="M134" s="556"/>
      <c r="N134" s="556"/>
      <c r="O134" s="556"/>
      <c r="P134" s="556"/>
      <c r="Q134" s="556"/>
      <c r="R134" s="556"/>
      <c r="S134" s="556"/>
      <c r="T134" s="598">
        <v>0</v>
      </c>
      <c r="U134" s="598"/>
      <c r="V134" s="599"/>
      <c r="W134" s="558"/>
      <c r="X134" s="543"/>
    </row>
    <row r="135" spans="1:24" s="544" customFormat="1" x14ac:dyDescent="0.3">
      <c r="A135" s="555"/>
      <c r="B135" s="556" t="s">
        <v>187</v>
      </c>
      <c r="C135" s="556"/>
      <c r="D135" s="556"/>
      <c r="E135" s="556"/>
      <c r="F135" s="556"/>
      <c r="G135" s="556"/>
      <c r="H135" s="556"/>
      <c r="I135" s="556"/>
      <c r="J135" s="556"/>
      <c r="K135" s="556"/>
      <c r="L135" s="556"/>
      <c r="M135" s="556"/>
      <c r="N135" s="556"/>
      <c r="O135" s="556"/>
      <c r="P135" s="556"/>
      <c r="Q135" s="556"/>
      <c r="R135" s="556"/>
      <c r="S135" s="556"/>
      <c r="T135" s="598">
        <v>0</v>
      </c>
      <c r="U135" s="598"/>
      <c r="V135" s="599"/>
      <c r="W135" s="558"/>
      <c r="X135" s="543"/>
    </row>
    <row r="136" spans="1:24" s="544" customFormat="1" x14ac:dyDescent="0.3">
      <c r="A136" s="555"/>
      <c r="B136" s="556" t="s">
        <v>39</v>
      </c>
      <c r="C136" s="556"/>
      <c r="D136" s="556"/>
      <c r="E136" s="556"/>
      <c r="F136" s="556"/>
      <c r="G136" s="556"/>
      <c r="H136" s="556"/>
      <c r="I136" s="556"/>
      <c r="J136" s="556"/>
      <c r="K136" s="556"/>
      <c r="L136" s="556"/>
      <c r="M136" s="556"/>
      <c r="N136" s="556"/>
      <c r="O136" s="556"/>
      <c r="P136" s="556"/>
      <c r="Q136" s="556"/>
      <c r="R136" s="556"/>
      <c r="S136" s="556"/>
      <c r="T136" s="598">
        <f>SUM(T125:T135)</f>
        <v>-13708</v>
      </c>
      <c r="U136" s="598"/>
      <c r="V136" s="598">
        <f>SUM(V101:V133)</f>
        <v>-5064</v>
      </c>
      <c r="W136" s="558"/>
      <c r="X136" s="543"/>
    </row>
    <row r="137" spans="1:24" s="544" customFormat="1" x14ac:dyDescent="0.3">
      <c r="A137" s="555"/>
      <c r="B137" s="556" t="s">
        <v>40</v>
      </c>
      <c r="C137" s="556"/>
      <c r="D137" s="556"/>
      <c r="E137" s="556"/>
      <c r="F137" s="556"/>
      <c r="G137" s="556"/>
      <c r="H137" s="556"/>
      <c r="I137" s="556"/>
      <c r="J137" s="556"/>
      <c r="K137" s="556"/>
      <c r="L137" s="556"/>
      <c r="M137" s="556"/>
      <c r="N137" s="556"/>
      <c r="O137" s="556"/>
      <c r="P137" s="556"/>
      <c r="Q137" s="556"/>
      <c r="R137" s="556"/>
      <c r="S137" s="556"/>
      <c r="T137" s="598">
        <f>T100+T136+T114</f>
        <v>0</v>
      </c>
      <c r="U137" s="598"/>
      <c r="V137" s="598">
        <f>V100+V136</f>
        <v>0</v>
      </c>
      <c r="W137" s="558"/>
      <c r="X137" s="543"/>
    </row>
    <row r="138" spans="1:24" s="544" customFormat="1" x14ac:dyDescent="0.3">
      <c r="A138" s="540"/>
      <c r="B138" s="588"/>
      <c r="C138" s="588"/>
      <c r="D138" s="588"/>
      <c r="E138" s="588"/>
      <c r="F138" s="588"/>
      <c r="G138" s="588"/>
      <c r="H138" s="588"/>
      <c r="I138" s="588"/>
      <c r="J138" s="588"/>
      <c r="K138" s="588"/>
      <c r="L138" s="588"/>
      <c r="M138" s="588"/>
      <c r="N138" s="588"/>
      <c r="O138" s="588"/>
      <c r="P138" s="588"/>
      <c r="Q138" s="588"/>
      <c r="R138" s="588"/>
      <c r="S138" s="588"/>
      <c r="T138" s="600"/>
      <c r="U138" s="600"/>
      <c r="V138" s="600"/>
      <c r="W138" s="588"/>
      <c r="X138" s="543"/>
    </row>
    <row r="139" spans="1:24" s="544" customFormat="1" x14ac:dyDescent="0.3">
      <c r="A139" s="540"/>
      <c r="B139" s="541"/>
      <c r="C139" s="541"/>
      <c r="D139" s="541"/>
      <c r="E139" s="541"/>
      <c r="F139" s="541"/>
      <c r="G139" s="541"/>
      <c r="H139" s="541"/>
      <c r="I139" s="541"/>
      <c r="J139" s="541"/>
      <c r="K139" s="541"/>
      <c r="L139" s="541"/>
      <c r="M139" s="541"/>
      <c r="N139" s="541"/>
      <c r="O139" s="541"/>
      <c r="P139" s="541"/>
      <c r="Q139" s="541"/>
      <c r="R139" s="541"/>
      <c r="S139" s="541"/>
      <c r="T139" s="541"/>
      <c r="U139" s="541"/>
      <c r="V139" s="606"/>
      <c r="W139" s="541"/>
      <c r="X139" s="543"/>
    </row>
    <row r="140" spans="1:24" s="544" customFormat="1" ht="18.600000000000001" thickBot="1" x14ac:dyDescent="0.4">
      <c r="A140" s="593"/>
      <c r="B140" s="594" t="str">
        <f>B63</f>
        <v>PM14 INVESTOR REPORT QUARTER ENDING FEBRUARY 2020</v>
      </c>
      <c r="C140" s="595"/>
      <c r="D140" s="595"/>
      <c r="E140" s="595"/>
      <c r="F140" s="595"/>
      <c r="G140" s="595"/>
      <c r="H140" s="595"/>
      <c r="I140" s="595"/>
      <c r="J140" s="595"/>
      <c r="K140" s="595"/>
      <c r="L140" s="595"/>
      <c r="M140" s="595"/>
      <c r="N140" s="595"/>
      <c r="O140" s="595"/>
      <c r="P140" s="595"/>
      <c r="Q140" s="595"/>
      <c r="R140" s="595"/>
      <c r="S140" s="595"/>
      <c r="T140" s="595"/>
      <c r="U140" s="595"/>
      <c r="V140" s="607"/>
      <c r="W140" s="597"/>
      <c r="X140" s="543"/>
    </row>
    <row r="141" spans="1:24" x14ac:dyDescent="0.3">
      <c r="A141" s="527"/>
      <c r="B141" s="528" t="s">
        <v>41</v>
      </c>
      <c r="C141" s="529"/>
      <c r="D141" s="529"/>
      <c r="E141" s="529"/>
      <c r="F141" s="529"/>
      <c r="G141" s="529"/>
      <c r="H141" s="529"/>
      <c r="I141" s="529"/>
      <c r="J141" s="529"/>
      <c r="K141" s="529"/>
      <c r="L141" s="529"/>
      <c r="M141" s="529"/>
      <c r="N141" s="529"/>
      <c r="O141" s="529"/>
      <c r="P141" s="529"/>
      <c r="Q141" s="529"/>
      <c r="R141" s="529"/>
      <c r="S141" s="529"/>
      <c r="T141" s="529"/>
      <c r="U141" s="529"/>
      <c r="V141" s="530"/>
      <c r="W141" s="529"/>
      <c r="X141" s="415"/>
    </row>
    <row r="142" spans="1:24" x14ac:dyDescent="0.3">
      <c r="A142" s="417"/>
      <c r="B142" s="451"/>
      <c r="C142" s="419"/>
      <c r="D142" s="419"/>
      <c r="E142" s="419"/>
      <c r="F142" s="419"/>
      <c r="G142" s="419"/>
      <c r="H142" s="419"/>
      <c r="I142" s="419"/>
      <c r="J142" s="419"/>
      <c r="K142" s="419"/>
      <c r="L142" s="419"/>
      <c r="M142" s="419"/>
      <c r="N142" s="419"/>
      <c r="O142" s="419"/>
      <c r="P142" s="419"/>
      <c r="Q142" s="419"/>
      <c r="R142" s="419"/>
      <c r="S142" s="419"/>
      <c r="T142" s="419"/>
      <c r="U142" s="419"/>
      <c r="V142" s="439"/>
      <c r="W142" s="419"/>
      <c r="X142" s="415"/>
    </row>
    <row r="143" spans="1:24" x14ac:dyDescent="0.3">
      <c r="A143" s="417"/>
      <c r="B143" s="508" t="s">
        <v>42</v>
      </c>
      <c r="C143" s="419"/>
      <c r="D143" s="419"/>
      <c r="E143" s="419"/>
      <c r="F143" s="419"/>
      <c r="G143" s="419"/>
      <c r="H143" s="419"/>
      <c r="I143" s="419"/>
      <c r="J143" s="419"/>
      <c r="K143" s="419"/>
      <c r="L143" s="419"/>
      <c r="M143" s="419"/>
      <c r="N143" s="419"/>
      <c r="O143" s="419"/>
      <c r="P143" s="419"/>
      <c r="Q143" s="419"/>
      <c r="R143" s="419"/>
      <c r="S143" s="419"/>
      <c r="T143" s="419"/>
      <c r="U143" s="419"/>
      <c r="V143" s="439"/>
      <c r="W143" s="419"/>
      <c r="X143" s="415"/>
    </row>
    <row r="144" spans="1:24" s="544" customFormat="1" x14ac:dyDescent="0.3">
      <c r="A144" s="555"/>
      <c r="B144" s="556" t="s">
        <v>43</v>
      </c>
      <c r="C144" s="556"/>
      <c r="D144" s="556"/>
      <c r="E144" s="556"/>
      <c r="F144" s="556"/>
      <c r="G144" s="556"/>
      <c r="H144" s="556"/>
      <c r="I144" s="556"/>
      <c r="J144" s="556"/>
      <c r="K144" s="556"/>
      <c r="L144" s="556"/>
      <c r="M144" s="556"/>
      <c r="N144" s="556"/>
      <c r="O144" s="556"/>
      <c r="P144" s="556"/>
      <c r="Q144" s="556"/>
      <c r="R144" s="556"/>
      <c r="S144" s="556"/>
      <c r="T144" s="556"/>
      <c r="U144" s="556"/>
      <c r="V144" s="599">
        <f>+V34*0.019</f>
        <v>28505.224999999999</v>
      </c>
      <c r="W144" s="558"/>
      <c r="X144" s="543"/>
    </row>
    <row r="145" spans="1:25" s="544" customFormat="1" x14ac:dyDescent="0.3">
      <c r="A145" s="555"/>
      <c r="B145" s="556" t="s">
        <v>44</v>
      </c>
      <c r="C145" s="556"/>
      <c r="D145" s="556"/>
      <c r="E145" s="556"/>
      <c r="F145" s="556"/>
      <c r="G145" s="556"/>
      <c r="H145" s="556"/>
      <c r="I145" s="556"/>
      <c r="J145" s="556"/>
      <c r="K145" s="556"/>
      <c r="L145" s="556"/>
      <c r="M145" s="556"/>
      <c r="N145" s="556"/>
      <c r="O145" s="556"/>
      <c r="P145" s="556"/>
      <c r="Q145" s="556"/>
      <c r="R145" s="556"/>
      <c r="S145" s="556"/>
      <c r="T145" s="556"/>
      <c r="U145" s="556"/>
      <c r="V145" s="599">
        <v>28505</v>
      </c>
      <c r="W145" s="558"/>
      <c r="X145" s="543"/>
    </row>
    <row r="146" spans="1:25" s="544" customFormat="1" x14ac:dyDescent="0.3">
      <c r="A146" s="555"/>
      <c r="B146" s="556" t="s">
        <v>136</v>
      </c>
      <c r="C146" s="556"/>
      <c r="D146" s="556"/>
      <c r="E146" s="556"/>
      <c r="F146" s="556"/>
      <c r="G146" s="556"/>
      <c r="H146" s="556"/>
      <c r="I146" s="556"/>
      <c r="J146" s="556"/>
      <c r="K146" s="556"/>
      <c r="L146" s="556"/>
      <c r="M146" s="556"/>
      <c r="N146" s="556"/>
      <c r="O146" s="556"/>
      <c r="P146" s="556"/>
      <c r="Q146" s="556"/>
      <c r="R146" s="556"/>
      <c r="S146" s="556"/>
      <c r="T146" s="556"/>
      <c r="U146" s="556"/>
      <c r="V146" s="599"/>
      <c r="W146" s="558"/>
      <c r="X146" s="543"/>
    </row>
    <row r="147" spans="1:25" s="544" customFormat="1" x14ac:dyDescent="0.3">
      <c r="A147" s="555"/>
      <c r="B147" s="556" t="s">
        <v>123</v>
      </c>
      <c r="C147" s="556"/>
      <c r="D147" s="556"/>
      <c r="E147" s="556"/>
      <c r="F147" s="556"/>
      <c r="G147" s="556"/>
      <c r="H147" s="556"/>
      <c r="I147" s="556"/>
      <c r="J147" s="556"/>
      <c r="K147" s="556"/>
      <c r="L147" s="556"/>
      <c r="M147" s="556"/>
      <c r="N147" s="556"/>
      <c r="O147" s="556"/>
      <c r="P147" s="556"/>
      <c r="Q147" s="556"/>
      <c r="R147" s="556"/>
      <c r="S147" s="556"/>
      <c r="T147" s="556"/>
      <c r="U147" s="556"/>
      <c r="V147" s="599">
        <v>0</v>
      </c>
      <c r="W147" s="558"/>
      <c r="X147" s="543"/>
    </row>
    <row r="148" spans="1:25" s="544" customFormat="1" x14ac:dyDescent="0.3">
      <c r="A148" s="555"/>
      <c r="B148" s="556" t="s">
        <v>124</v>
      </c>
      <c r="C148" s="556"/>
      <c r="D148" s="556"/>
      <c r="E148" s="556"/>
      <c r="F148" s="556"/>
      <c r="G148" s="556"/>
      <c r="H148" s="556"/>
      <c r="I148" s="556"/>
      <c r="J148" s="556"/>
      <c r="K148" s="556"/>
      <c r="L148" s="556"/>
      <c r="M148" s="556"/>
      <c r="N148" s="556"/>
      <c r="O148" s="556"/>
      <c r="P148" s="556"/>
      <c r="Q148" s="556"/>
      <c r="R148" s="556"/>
      <c r="S148" s="556"/>
      <c r="T148" s="556"/>
      <c r="U148" s="556"/>
      <c r="V148" s="599">
        <v>0</v>
      </c>
      <c r="W148" s="558"/>
      <c r="X148" s="543"/>
    </row>
    <row r="149" spans="1:25" s="544" customFormat="1" x14ac:dyDescent="0.3">
      <c r="A149" s="555"/>
      <c r="B149" s="556" t="s">
        <v>175</v>
      </c>
      <c r="C149" s="556"/>
      <c r="D149" s="556"/>
      <c r="E149" s="556"/>
      <c r="F149" s="556"/>
      <c r="G149" s="556"/>
      <c r="H149" s="556"/>
      <c r="I149" s="556"/>
      <c r="J149" s="556"/>
      <c r="K149" s="556"/>
      <c r="L149" s="556"/>
      <c r="M149" s="556"/>
      <c r="N149" s="556"/>
      <c r="O149" s="556"/>
      <c r="P149" s="556"/>
      <c r="Q149" s="556"/>
      <c r="R149" s="556"/>
      <c r="S149" s="556"/>
      <c r="T149" s="556"/>
      <c r="U149" s="556"/>
      <c r="V149" s="599">
        <v>0</v>
      </c>
      <c r="W149" s="558"/>
      <c r="X149" s="543"/>
    </row>
    <row r="150" spans="1:25" s="544" customFormat="1" x14ac:dyDescent="0.3">
      <c r="A150" s="555"/>
      <c r="B150" s="556" t="s">
        <v>45</v>
      </c>
      <c r="C150" s="556"/>
      <c r="D150" s="556"/>
      <c r="E150" s="556"/>
      <c r="F150" s="556"/>
      <c r="G150" s="556"/>
      <c r="H150" s="556"/>
      <c r="I150" s="556"/>
      <c r="J150" s="556"/>
      <c r="K150" s="556"/>
      <c r="L150" s="556"/>
      <c r="M150" s="556"/>
      <c r="N150" s="556"/>
      <c r="O150" s="556"/>
      <c r="P150" s="556"/>
      <c r="Q150" s="556"/>
      <c r="R150" s="556"/>
      <c r="S150" s="556"/>
      <c r="T150" s="556"/>
      <c r="U150" s="556"/>
      <c r="V150" s="599">
        <v>0</v>
      </c>
      <c r="W150" s="558"/>
      <c r="X150" s="543"/>
    </row>
    <row r="151" spans="1:25" s="544" customFormat="1" x14ac:dyDescent="0.3">
      <c r="A151" s="555"/>
      <c r="B151" s="556" t="s">
        <v>129</v>
      </c>
      <c r="C151" s="556"/>
      <c r="D151" s="556"/>
      <c r="E151" s="556"/>
      <c r="F151" s="556"/>
      <c r="G151" s="556"/>
      <c r="H151" s="556"/>
      <c r="I151" s="556"/>
      <c r="J151" s="556"/>
      <c r="K151" s="556"/>
      <c r="L151" s="556"/>
      <c r="M151" s="556"/>
      <c r="N151" s="556"/>
      <c r="O151" s="556"/>
      <c r="P151" s="556"/>
      <c r="Q151" s="556"/>
      <c r="R151" s="556"/>
      <c r="S151" s="556"/>
      <c r="T151" s="556"/>
      <c r="U151" s="556"/>
      <c r="V151" s="599">
        <v>0</v>
      </c>
      <c r="W151" s="558"/>
      <c r="X151" s="543"/>
    </row>
    <row r="152" spans="1:25" s="544" customFormat="1" x14ac:dyDescent="0.3">
      <c r="A152" s="555"/>
      <c r="B152" s="556" t="s">
        <v>267</v>
      </c>
      <c r="C152" s="556"/>
      <c r="D152" s="556"/>
      <c r="E152" s="556"/>
      <c r="F152" s="556"/>
      <c r="G152" s="556"/>
      <c r="H152" s="556"/>
      <c r="I152" s="556"/>
      <c r="J152" s="556"/>
      <c r="K152" s="556"/>
      <c r="L152" s="556"/>
      <c r="M152" s="556"/>
      <c r="N152" s="556"/>
      <c r="O152" s="556"/>
      <c r="P152" s="556"/>
      <c r="Q152" s="556"/>
      <c r="R152" s="556"/>
      <c r="S152" s="556"/>
      <c r="T152" s="556"/>
      <c r="U152" s="556"/>
      <c r="V152" s="599">
        <v>0</v>
      </c>
      <c r="W152" s="558"/>
      <c r="X152" s="543"/>
      <c r="Y152" s="604"/>
    </row>
    <row r="153" spans="1:25" s="544" customFormat="1" x14ac:dyDescent="0.3">
      <c r="A153" s="555"/>
      <c r="B153" s="556" t="s">
        <v>46</v>
      </c>
      <c r="C153" s="556"/>
      <c r="D153" s="556"/>
      <c r="E153" s="556"/>
      <c r="F153" s="556"/>
      <c r="G153" s="556"/>
      <c r="H153" s="556"/>
      <c r="I153" s="556"/>
      <c r="J153" s="556"/>
      <c r="K153" s="556"/>
      <c r="L153" s="556"/>
      <c r="M153" s="556"/>
      <c r="N153" s="556"/>
      <c r="O153" s="556"/>
      <c r="P153" s="556"/>
      <c r="Q153" s="556"/>
      <c r="R153" s="556"/>
      <c r="S153" s="556"/>
      <c r="T153" s="556"/>
      <c r="U153" s="556"/>
      <c r="V153" s="599">
        <f>SUM(V145:V152)</f>
        <v>28505</v>
      </c>
      <c r="W153" s="558"/>
      <c r="X153" s="543"/>
    </row>
    <row r="154" spans="1:25" x14ac:dyDescent="0.3">
      <c r="A154" s="431"/>
      <c r="B154" s="434"/>
      <c r="C154" s="434"/>
      <c r="D154" s="434"/>
      <c r="E154" s="434"/>
      <c r="F154" s="434"/>
      <c r="G154" s="434"/>
      <c r="H154" s="434"/>
      <c r="I154" s="434"/>
      <c r="J154" s="434"/>
      <c r="K154" s="434"/>
      <c r="L154" s="434"/>
      <c r="M154" s="434"/>
      <c r="N154" s="434"/>
      <c r="O154" s="434"/>
      <c r="P154" s="434"/>
      <c r="Q154" s="434"/>
      <c r="R154" s="434"/>
      <c r="S154" s="434"/>
      <c r="T154" s="434"/>
      <c r="U154" s="434"/>
      <c r="V154" s="449"/>
      <c r="W154" s="436"/>
      <c r="X154" s="415"/>
    </row>
    <row r="155" spans="1:25" x14ac:dyDescent="0.3">
      <c r="A155" s="431"/>
      <c r="B155" s="507" t="s">
        <v>237</v>
      </c>
      <c r="C155" s="434"/>
      <c r="D155" s="434"/>
      <c r="E155" s="434"/>
      <c r="F155" s="434"/>
      <c r="G155" s="434"/>
      <c r="H155" s="434"/>
      <c r="I155" s="434"/>
      <c r="J155" s="434"/>
      <c r="K155" s="434"/>
      <c r="L155" s="434"/>
      <c r="M155" s="434"/>
      <c r="N155" s="434"/>
      <c r="O155" s="434"/>
      <c r="P155" s="434"/>
      <c r="Q155" s="434"/>
      <c r="R155" s="434"/>
      <c r="S155" s="434"/>
      <c r="T155" s="434"/>
      <c r="U155" s="434"/>
      <c r="V155" s="449"/>
      <c r="W155" s="436"/>
      <c r="X155" s="415"/>
    </row>
    <row r="156" spans="1:25" s="544" customFormat="1" x14ac:dyDescent="0.3">
      <c r="A156" s="555"/>
      <c r="B156" s="556" t="s">
        <v>155</v>
      </c>
      <c r="C156" s="556"/>
      <c r="D156" s="556"/>
      <c r="E156" s="556"/>
      <c r="F156" s="556"/>
      <c r="G156" s="556"/>
      <c r="H156" s="556"/>
      <c r="I156" s="556"/>
      <c r="J156" s="556"/>
      <c r="K156" s="556"/>
      <c r="L156" s="556"/>
      <c r="M156" s="556"/>
      <c r="N156" s="556"/>
      <c r="O156" s="556"/>
      <c r="P156" s="556"/>
      <c r="Q156" s="556"/>
      <c r="R156" s="556"/>
      <c r="S156" s="556"/>
      <c r="T156" s="556"/>
      <c r="U156" s="556"/>
      <c r="V156" s="599">
        <v>7500</v>
      </c>
      <c r="W156" s="558"/>
      <c r="X156" s="543"/>
    </row>
    <row r="157" spans="1:25" s="544" customFormat="1" x14ac:dyDescent="0.3">
      <c r="A157" s="555"/>
      <c r="B157" s="556" t="s">
        <v>172</v>
      </c>
      <c r="C157" s="556"/>
      <c r="D157" s="556"/>
      <c r="E157" s="556"/>
      <c r="F157" s="556"/>
      <c r="G157" s="556"/>
      <c r="H157" s="556"/>
      <c r="I157" s="556"/>
      <c r="J157" s="556"/>
      <c r="K157" s="556"/>
      <c r="L157" s="556"/>
      <c r="M157" s="556"/>
      <c r="N157" s="556"/>
      <c r="O157" s="556"/>
      <c r="P157" s="556"/>
      <c r="Q157" s="556"/>
      <c r="R157" s="556"/>
      <c r="S157" s="556"/>
      <c r="T157" s="556"/>
      <c r="U157" s="556"/>
      <c r="V157" s="599">
        <v>0</v>
      </c>
      <c r="W157" s="558"/>
      <c r="X157" s="543"/>
    </row>
    <row r="158" spans="1:25" s="544" customFormat="1" x14ac:dyDescent="0.3">
      <c r="A158" s="555"/>
      <c r="B158" s="556" t="s">
        <v>344</v>
      </c>
      <c r="C158" s="556"/>
      <c r="D158" s="556"/>
      <c r="E158" s="556"/>
      <c r="F158" s="556"/>
      <c r="G158" s="556"/>
      <c r="H158" s="556"/>
      <c r="I158" s="556"/>
      <c r="J158" s="556"/>
      <c r="K158" s="556"/>
      <c r="L158" s="556"/>
      <c r="M158" s="556"/>
      <c r="N158" s="556"/>
      <c r="O158" s="556"/>
      <c r="P158" s="556"/>
      <c r="Q158" s="556"/>
      <c r="R158" s="556"/>
      <c r="S158" s="556"/>
      <c r="T158" s="556"/>
      <c r="U158" s="556"/>
      <c r="V158" s="599">
        <v>0</v>
      </c>
      <c r="W158" s="558"/>
      <c r="X158" s="543"/>
    </row>
    <row r="159" spans="1:25" x14ac:dyDescent="0.3">
      <c r="A159" s="431"/>
      <c r="B159" s="432"/>
      <c r="C159" s="432"/>
      <c r="D159" s="432"/>
      <c r="E159" s="432"/>
      <c r="F159" s="432"/>
      <c r="G159" s="432"/>
      <c r="H159" s="432"/>
      <c r="I159" s="432"/>
      <c r="J159" s="432"/>
      <c r="K159" s="432"/>
      <c r="L159" s="432"/>
      <c r="M159" s="432"/>
      <c r="N159" s="432"/>
      <c r="O159" s="432"/>
      <c r="P159" s="432"/>
      <c r="Q159" s="432"/>
      <c r="R159" s="432"/>
      <c r="S159" s="432"/>
      <c r="T159" s="432"/>
      <c r="U159" s="432"/>
      <c r="V159" s="440"/>
      <c r="W159" s="433"/>
      <c r="X159" s="415"/>
    </row>
    <row r="160" spans="1:25" x14ac:dyDescent="0.3">
      <c r="A160" s="417"/>
      <c r="B160" s="441"/>
      <c r="C160" s="441"/>
      <c r="D160" s="441"/>
      <c r="E160" s="441"/>
      <c r="F160" s="441"/>
      <c r="G160" s="441"/>
      <c r="H160" s="441"/>
      <c r="I160" s="441"/>
      <c r="J160" s="441"/>
      <c r="K160" s="441"/>
      <c r="L160" s="441"/>
      <c r="M160" s="441"/>
      <c r="N160" s="441"/>
      <c r="O160" s="441"/>
      <c r="P160" s="441"/>
      <c r="Q160" s="441"/>
      <c r="R160" s="441"/>
      <c r="S160" s="441"/>
      <c r="T160" s="441"/>
      <c r="U160" s="441"/>
      <c r="V160" s="452"/>
      <c r="W160" s="441"/>
      <c r="X160" s="415"/>
    </row>
    <row r="161" spans="1:256" x14ac:dyDescent="0.3">
      <c r="A161" s="417"/>
      <c r="B161" s="508" t="s">
        <v>24</v>
      </c>
      <c r="C161" s="419"/>
      <c r="D161" s="419"/>
      <c r="E161" s="419"/>
      <c r="F161" s="419"/>
      <c r="G161" s="419"/>
      <c r="H161" s="419"/>
      <c r="I161" s="419"/>
      <c r="J161" s="419"/>
      <c r="K161" s="419"/>
      <c r="L161" s="419"/>
      <c r="M161" s="419"/>
      <c r="N161" s="419"/>
      <c r="O161" s="419"/>
      <c r="P161" s="419"/>
      <c r="Q161" s="419"/>
      <c r="R161" s="419"/>
      <c r="S161" s="419"/>
      <c r="T161" s="419"/>
      <c r="U161" s="419"/>
      <c r="V161" s="439"/>
      <c r="W161" s="419"/>
      <c r="X161" s="415"/>
    </row>
    <row r="162" spans="1:256" s="544" customFormat="1" x14ac:dyDescent="0.3">
      <c r="A162" s="555"/>
      <c r="B162" s="556" t="s">
        <v>47</v>
      </c>
      <c r="C162" s="556"/>
      <c r="D162" s="556"/>
      <c r="E162" s="556"/>
      <c r="F162" s="556"/>
      <c r="G162" s="556"/>
      <c r="H162" s="556"/>
      <c r="I162" s="556"/>
      <c r="J162" s="556"/>
      <c r="K162" s="556"/>
      <c r="L162" s="556"/>
      <c r="M162" s="556"/>
      <c r="N162" s="556"/>
      <c r="O162" s="556"/>
      <c r="P162" s="556"/>
      <c r="Q162" s="556"/>
      <c r="R162" s="556"/>
      <c r="S162" s="556"/>
      <c r="T162" s="556"/>
      <c r="U162" s="556"/>
      <c r="V162" s="608" t="s">
        <v>118</v>
      </c>
      <c r="W162" s="558"/>
      <c r="X162" s="543"/>
    </row>
    <row r="163" spans="1:256" s="544" customFormat="1" x14ac:dyDescent="0.3">
      <c r="A163" s="555"/>
      <c r="B163" s="556" t="s">
        <v>48</v>
      </c>
      <c r="C163" s="556"/>
      <c r="D163" s="556"/>
      <c r="E163" s="556"/>
      <c r="F163" s="556"/>
      <c r="G163" s="556"/>
      <c r="H163" s="556"/>
      <c r="I163" s="556"/>
      <c r="J163" s="556"/>
      <c r="K163" s="556"/>
      <c r="L163" s="556"/>
      <c r="M163" s="556"/>
      <c r="N163" s="556"/>
      <c r="O163" s="556"/>
      <c r="P163" s="556"/>
      <c r="Q163" s="556"/>
      <c r="R163" s="556"/>
      <c r="S163" s="556"/>
      <c r="T163" s="556"/>
      <c r="U163" s="556"/>
      <c r="V163" s="608" t="s">
        <v>118</v>
      </c>
      <c r="W163" s="558"/>
      <c r="X163" s="543"/>
    </row>
    <row r="164" spans="1:256" s="544" customFormat="1" x14ac:dyDescent="0.3">
      <c r="A164" s="555"/>
      <c r="B164" s="556" t="s">
        <v>49</v>
      </c>
      <c r="C164" s="556"/>
      <c r="D164" s="556"/>
      <c r="E164" s="556"/>
      <c r="F164" s="556"/>
      <c r="G164" s="556"/>
      <c r="H164" s="556"/>
      <c r="I164" s="556"/>
      <c r="J164" s="556"/>
      <c r="K164" s="556"/>
      <c r="L164" s="556"/>
      <c r="M164" s="556"/>
      <c r="N164" s="556"/>
      <c r="O164" s="556"/>
      <c r="P164" s="556"/>
      <c r="Q164" s="556"/>
      <c r="R164" s="556"/>
      <c r="S164" s="556"/>
      <c r="T164" s="556"/>
      <c r="U164" s="556"/>
      <c r="V164" s="608" t="s">
        <v>118</v>
      </c>
      <c r="W164" s="558"/>
      <c r="X164" s="543"/>
    </row>
    <row r="165" spans="1:256" s="544" customFormat="1" x14ac:dyDescent="0.3">
      <c r="A165" s="555"/>
      <c r="B165" s="556" t="s">
        <v>50</v>
      </c>
      <c r="C165" s="556"/>
      <c r="D165" s="556"/>
      <c r="E165" s="556"/>
      <c r="F165" s="556"/>
      <c r="G165" s="556"/>
      <c r="H165" s="556"/>
      <c r="I165" s="556"/>
      <c r="J165" s="556"/>
      <c r="K165" s="556"/>
      <c r="L165" s="556"/>
      <c r="M165" s="556"/>
      <c r="N165" s="556"/>
      <c r="O165" s="556"/>
      <c r="P165" s="556"/>
      <c r="Q165" s="556"/>
      <c r="R165" s="556"/>
      <c r="S165" s="556"/>
      <c r="T165" s="556"/>
      <c r="U165" s="556"/>
      <c r="V165" s="608" t="s">
        <v>118</v>
      </c>
      <c r="W165" s="558"/>
      <c r="X165" s="543"/>
    </row>
    <row r="166" spans="1:256" x14ac:dyDescent="0.3">
      <c r="A166" s="417"/>
      <c r="B166" s="441"/>
      <c r="C166" s="441"/>
      <c r="D166" s="441"/>
      <c r="E166" s="441"/>
      <c r="F166" s="441"/>
      <c r="G166" s="441"/>
      <c r="H166" s="441"/>
      <c r="I166" s="441"/>
      <c r="J166" s="441"/>
      <c r="K166" s="441"/>
      <c r="L166" s="441"/>
      <c r="M166" s="441"/>
      <c r="N166" s="441"/>
      <c r="O166" s="441"/>
      <c r="P166" s="441"/>
      <c r="Q166" s="441"/>
      <c r="R166" s="441"/>
      <c r="S166" s="441"/>
      <c r="T166" s="441"/>
      <c r="U166" s="441"/>
      <c r="V166" s="452"/>
      <c r="W166" s="441"/>
      <c r="X166" s="415"/>
    </row>
    <row r="167" spans="1:256" x14ac:dyDescent="0.3">
      <c r="A167" s="417"/>
      <c r="B167" s="508" t="s">
        <v>51</v>
      </c>
      <c r="C167" s="419"/>
      <c r="D167" s="419"/>
      <c r="E167" s="419"/>
      <c r="F167" s="419"/>
      <c r="G167" s="419"/>
      <c r="H167" s="419"/>
      <c r="I167" s="419"/>
      <c r="J167" s="419"/>
      <c r="K167" s="419"/>
      <c r="L167" s="419"/>
      <c r="M167" s="419"/>
      <c r="N167" s="419"/>
      <c r="O167" s="419"/>
      <c r="P167" s="419"/>
      <c r="Q167" s="419"/>
      <c r="R167" s="419"/>
      <c r="S167" s="419"/>
      <c r="T167" s="419"/>
      <c r="U167" s="419"/>
      <c r="V167" s="453"/>
      <c r="W167" s="419"/>
      <c r="X167" s="415"/>
    </row>
    <row r="168" spans="1:256" s="544" customFormat="1" x14ac:dyDescent="0.3">
      <c r="A168" s="555"/>
      <c r="B168" s="556" t="s">
        <v>52</v>
      </c>
      <c r="C168" s="556"/>
      <c r="D168" s="556"/>
      <c r="E168" s="556"/>
      <c r="F168" s="556"/>
      <c r="G168" s="556"/>
      <c r="H168" s="556"/>
      <c r="I168" s="556"/>
      <c r="J168" s="556"/>
      <c r="K168" s="556"/>
      <c r="L168" s="556"/>
      <c r="M168" s="556"/>
      <c r="N168" s="556"/>
      <c r="O168" s="556"/>
      <c r="P168" s="556"/>
      <c r="Q168" s="556"/>
      <c r="R168" s="556"/>
      <c r="S168" s="556"/>
      <c r="T168" s="556"/>
      <c r="U168" s="556"/>
      <c r="V168" s="599">
        <v>0</v>
      </c>
      <c r="W168" s="558"/>
      <c r="X168" s="543"/>
    </row>
    <row r="169" spans="1:256" s="544" customFormat="1" x14ac:dyDescent="0.3">
      <c r="A169" s="555"/>
      <c r="B169" s="556" t="s">
        <v>53</v>
      </c>
      <c r="C169" s="556"/>
      <c r="D169" s="556"/>
      <c r="E169" s="556"/>
      <c r="F169" s="556"/>
      <c r="G169" s="556"/>
      <c r="H169" s="556"/>
      <c r="I169" s="556"/>
      <c r="J169" s="556"/>
      <c r="K169" s="556"/>
      <c r="L169" s="556"/>
      <c r="M169" s="556"/>
      <c r="N169" s="556"/>
      <c r="O169" s="556"/>
      <c r="P169" s="556"/>
      <c r="Q169" s="556"/>
      <c r="R169" s="556"/>
      <c r="S169" s="556"/>
      <c r="T169" s="556"/>
      <c r="U169" s="556"/>
      <c r="V169" s="599">
        <v>260</v>
      </c>
      <c r="W169" s="558"/>
      <c r="X169" s="543"/>
    </row>
    <row r="170" spans="1:256" s="544" customFormat="1" x14ac:dyDescent="0.3">
      <c r="A170" s="555"/>
      <c r="B170" s="556" t="s">
        <v>54</v>
      </c>
      <c r="C170" s="556"/>
      <c r="D170" s="556"/>
      <c r="E170" s="556"/>
      <c r="F170" s="556"/>
      <c r="G170" s="556"/>
      <c r="H170" s="556"/>
      <c r="I170" s="556"/>
      <c r="J170" s="556"/>
      <c r="K170" s="556"/>
      <c r="L170" s="556"/>
      <c r="M170" s="556"/>
      <c r="N170" s="556"/>
      <c r="O170" s="556"/>
      <c r="P170" s="556"/>
      <c r="Q170" s="556"/>
      <c r="R170" s="556"/>
      <c r="S170" s="556"/>
      <c r="T170" s="556"/>
      <c r="U170" s="556"/>
      <c r="V170" s="599">
        <f>V169+V168</f>
        <v>260</v>
      </c>
      <c r="W170" s="558"/>
      <c r="X170" s="543"/>
    </row>
    <row r="171" spans="1:256" s="544" customFormat="1" x14ac:dyDescent="0.3">
      <c r="A171" s="555"/>
      <c r="B171" s="556" t="s">
        <v>315</v>
      </c>
      <c r="C171" s="556"/>
      <c r="D171" s="556"/>
      <c r="E171" s="556"/>
      <c r="F171" s="556"/>
      <c r="G171" s="556"/>
      <c r="H171" s="556"/>
      <c r="I171" s="556"/>
      <c r="J171" s="556"/>
      <c r="K171" s="556"/>
      <c r="L171" s="556"/>
      <c r="M171" s="556"/>
      <c r="N171" s="556"/>
      <c r="O171" s="556"/>
      <c r="P171" s="556"/>
      <c r="Q171" s="556"/>
      <c r="R171" s="556"/>
      <c r="S171" s="556"/>
      <c r="T171" s="556"/>
      <c r="U171" s="556"/>
      <c r="V171" s="599">
        <f>V114</f>
        <v>-260</v>
      </c>
      <c r="W171" s="558"/>
      <c r="X171" s="543"/>
    </row>
    <row r="172" spans="1:256" s="544" customFormat="1" x14ac:dyDescent="0.3">
      <c r="A172" s="555"/>
      <c r="B172" s="556" t="s">
        <v>55</v>
      </c>
      <c r="C172" s="556"/>
      <c r="D172" s="556"/>
      <c r="E172" s="556"/>
      <c r="F172" s="556"/>
      <c r="G172" s="556"/>
      <c r="H172" s="556"/>
      <c r="I172" s="556"/>
      <c r="J172" s="556"/>
      <c r="K172" s="556"/>
      <c r="L172" s="556"/>
      <c r="M172" s="556"/>
      <c r="N172" s="556"/>
      <c r="O172" s="556"/>
      <c r="P172" s="556"/>
      <c r="Q172" s="556"/>
      <c r="R172" s="556"/>
      <c r="S172" s="556"/>
      <c r="T172" s="556"/>
      <c r="U172" s="556"/>
      <c r="V172" s="599">
        <f>V170+V171</f>
        <v>0</v>
      </c>
      <c r="W172" s="558"/>
      <c r="X172" s="543"/>
    </row>
    <row r="173" spans="1:256" s="544" customFormat="1" x14ac:dyDescent="0.3">
      <c r="A173" s="555"/>
      <c r="B173" s="556" t="s">
        <v>283</v>
      </c>
      <c r="C173" s="556"/>
      <c r="D173" s="556"/>
      <c r="E173" s="556"/>
      <c r="F173" s="556"/>
      <c r="G173" s="556"/>
      <c r="H173" s="556"/>
      <c r="I173" s="556"/>
      <c r="J173" s="556"/>
      <c r="K173" s="556"/>
      <c r="L173" s="556"/>
      <c r="M173" s="556"/>
      <c r="N173" s="556"/>
      <c r="O173" s="556"/>
      <c r="P173" s="556"/>
      <c r="Q173" s="556"/>
      <c r="R173" s="556"/>
      <c r="S173" s="556"/>
      <c r="T173" s="556"/>
      <c r="U173" s="556"/>
      <c r="V173" s="599">
        <f>-V99</f>
        <v>114</v>
      </c>
      <c r="W173" s="558"/>
      <c r="X173" s="543"/>
    </row>
    <row r="174" spans="1:256" ht="16.2" thickBot="1" x14ac:dyDescent="0.35">
      <c r="A174" s="417"/>
      <c r="B174" s="437"/>
      <c r="C174" s="437"/>
      <c r="D174" s="437"/>
      <c r="E174" s="437"/>
      <c r="F174" s="437"/>
      <c r="G174" s="437"/>
      <c r="H174" s="437"/>
      <c r="I174" s="437"/>
      <c r="J174" s="437"/>
      <c r="K174" s="437"/>
      <c r="L174" s="437"/>
      <c r="M174" s="437"/>
      <c r="N174" s="437"/>
      <c r="O174" s="437"/>
      <c r="P174" s="437"/>
      <c r="Q174" s="437"/>
      <c r="R174" s="437"/>
      <c r="S174" s="437"/>
      <c r="T174" s="437"/>
      <c r="U174" s="437"/>
      <c r="V174" s="454"/>
      <c r="W174" s="437"/>
      <c r="X174" s="415"/>
    </row>
    <row r="175" spans="1:256" x14ac:dyDescent="0.3">
      <c r="A175" s="413"/>
      <c r="B175" s="455"/>
      <c r="C175" s="455"/>
      <c r="D175" s="455"/>
      <c r="E175" s="455"/>
      <c r="F175" s="455"/>
      <c r="G175" s="455"/>
      <c r="H175" s="455"/>
      <c r="I175" s="455"/>
      <c r="J175" s="455"/>
      <c r="K175" s="455"/>
      <c r="L175" s="455"/>
      <c r="M175" s="455"/>
      <c r="N175" s="455"/>
      <c r="O175" s="455"/>
      <c r="P175" s="455"/>
      <c r="Q175" s="455"/>
      <c r="R175" s="455"/>
      <c r="S175" s="455"/>
      <c r="T175" s="455"/>
      <c r="U175" s="455"/>
      <c r="V175" s="456"/>
      <c r="W175" s="455"/>
      <c r="X175" s="415"/>
    </row>
    <row r="176" spans="1:256" s="458" customFormat="1" x14ac:dyDescent="0.3">
      <c r="A176" s="417"/>
      <c r="B176" s="508" t="s">
        <v>269</v>
      </c>
      <c r="C176" s="441"/>
      <c r="D176" s="441"/>
      <c r="E176" s="441"/>
      <c r="F176" s="441"/>
      <c r="G176" s="441"/>
      <c r="H176" s="441"/>
      <c r="I176" s="441"/>
      <c r="J176" s="441"/>
      <c r="K176" s="441"/>
      <c r="L176" s="441"/>
      <c r="M176" s="441"/>
      <c r="N176" s="441"/>
      <c r="O176" s="441"/>
      <c r="P176" s="441"/>
      <c r="Q176" s="441"/>
      <c r="R176" s="441"/>
      <c r="S176" s="441"/>
      <c r="T176" s="441"/>
      <c r="U176" s="441"/>
      <c r="V176" s="457"/>
      <c r="W176" s="441"/>
      <c r="X176" s="415"/>
      <c r="Y176" s="416"/>
      <c r="Z176" s="416"/>
      <c r="AA176" s="416"/>
      <c r="AB176" s="416"/>
      <c r="AC176" s="416"/>
      <c r="AD176" s="416"/>
      <c r="AE176" s="416"/>
      <c r="AF176" s="416"/>
      <c r="AG176" s="416"/>
      <c r="AH176" s="416"/>
      <c r="AI176" s="416"/>
      <c r="AJ176" s="416"/>
      <c r="AK176" s="416"/>
      <c r="AL176" s="416"/>
      <c r="AM176" s="416"/>
      <c r="AN176" s="416"/>
      <c r="AO176" s="416"/>
      <c r="AP176" s="416"/>
      <c r="AQ176" s="416"/>
      <c r="AR176" s="416"/>
      <c r="AS176" s="416"/>
      <c r="AT176" s="416"/>
      <c r="AU176" s="416"/>
      <c r="AV176" s="416"/>
      <c r="AW176" s="416"/>
      <c r="AX176" s="416"/>
      <c r="AY176" s="416"/>
      <c r="AZ176" s="416"/>
      <c r="BA176" s="416"/>
      <c r="BB176" s="416"/>
      <c r="BC176" s="416"/>
      <c r="BD176" s="416"/>
      <c r="BE176" s="416"/>
      <c r="BF176" s="416"/>
      <c r="BG176" s="416"/>
      <c r="BH176" s="416"/>
      <c r="BI176" s="416"/>
      <c r="BJ176" s="416"/>
      <c r="BK176" s="416"/>
      <c r="BL176" s="416"/>
      <c r="BM176" s="416"/>
      <c r="BN176" s="416"/>
      <c r="BO176" s="416"/>
      <c r="BP176" s="416"/>
      <c r="BQ176" s="416"/>
      <c r="BR176" s="416"/>
      <c r="BS176" s="416"/>
      <c r="BT176" s="416"/>
      <c r="BU176" s="416"/>
      <c r="BV176" s="416"/>
      <c r="BW176" s="416"/>
      <c r="BX176" s="416"/>
      <c r="BY176" s="416"/>
      <c r="BZ176" s="416"/>
      <c r="CA176" s="416"/>
      <c r="CB176" s="416"/>
      <c r="CC176" s="416"/>
      <c r="CD176" s="416"/>
      <c r="CE176" s="416"/>
      <c r="CF176" s="416"/>
      <c r="CG176" s="416"/>
      <c r="CH176" s="416"/>
      <c r="CI176" s="416"/>
      <c r="CJ176" s="416"/>
      <c r="CK176" s="416"/>
      <c r="CL176" s="416"/>
      <c r="CM176" s="416"/>
      <c r="CN176" s="416"/>
      <c r="CO176" s="416"/>
      <c r="CP176" s="416"/>
      <c r="CQ176" s="416"/>
      <c r="CR176" s="416"/>
      <c r="CS176" s="416"/>
      <c r="CT176" s="416"/>
      <c r="CU176" s="416"/>
      <c r="CV176" s="416"/>
      <c r="CW176" s="416"/>
      <c r="CX176" s="416"/>
      <c r="CY176" s="416"/>
      <c r="CZ176" s="416"/>
      <c r="DA176" s="416"/>
      <c r="DB176" s="416"/>
      <c r="DC176" s="416"/>
      <c r="DD176" s="416"/>
      <c r="DE176" s="416"/>
      <c r="DF176" s="416"/>
      <c r="DG176" s="416"/>
      <c r="DH176" s="416"/>
      <c r="DI176" s="416"/>
      <c r="DJ176" s="416"/>
      <c r="DK176" s="416"/>
      <c r="DL176" s="416"/>
      <c r="DM176" s="416"/>
      <c r="DN176" s="416"/>
      <c r="DO176" s="416"/>
      <c r="DP176" s="416"/>
      <c r="DQ176" s="416"/>
      <c r="DR176" s="416"/>
      <c r="DS176" s="416"/>
      <c r="DT176" s="416"/>
      <c r="DU176" s="416"/>
      <c r="DV176" s="416"/>
      <c r="DW176" s="416"/>
      <c r="DX176" s="416"/>
      <c r="DY176" s="416"/>
      <c r="DZ176" s="416"/>
      <c r="EA176" s="416"/>
      <c r="EB176" s="416"/>
      <c r="EC176" s="416"/>
      <c r="ED176" s="416"/>
      <c r="EE176" s="416"/>
      <c r="EF176" s="416"/>
      <c r="EG176" s="416"/>
      <c r="EH176" s="416"/>
      <c r="EI176" s="416"/>
      <c r="EJ176" s="416"/>
      <c r="EK176" s="416"/>
      <c r="EL176" s="416"/>
      <c r="EM176" s="416"/>
      <c r="EN176" s="416"/>
      <c r="EO176" s="416"/>
      <c r="EP176" s="416"/>
      <c r="EQ176" s="416"/>
      <c r="ER176" s="416"/>
      <c r="ES176" s="416"/>
      <c r="ET176" s="416"/>
      <c r="EU176" s="416"/>
      <c r="EV176" s="416"/>
      <c r="EW176" s="416"/>
      <c r="EX176" s="416"/>
      <c r="EY176" s="416"/>
      <c r="EZ176" s="416"/>
      <c r="FA176" s="416"/>
      <c r="FB176" s="416"/>
      <c r="FC176" s="416"/>
      <c r="FD176" s="416"/>
      <c r="FE176" s="416"/>
      <c r="FF176" s="416"/>
      <c r="FG176" s="416"/>
      <c r="FH176" s="416"/>
      <c r="FI176" s="416"/>
      <c r="FJ176" s="416"/>
      <c r="FK176" s="416"/>
      <c r="FL176" s="416"/>
      <c r="FM176" s="416"/>
      <c r="FN176" s="416"/>
      <c r="FO176" s="416"/>
      <c r="FP176" s="416"/>
      <c r="FQ176" s="416"/>
      <c r="FR176" s="416"/>
      <c r="FS176" s="416"/>
      <c r="FT176" s="416"/>
      <c r="FU176" s="416"/>
      <c r="FV176" s="416"/>
      <c r="FW176" s="416"/>
      <c r="FX176" s="416"/>
      <c r="FY176" s="416"/>
      <c r="FZ176" s="416"/>
      <c r="GA176" s="416"/>
      <c r="GB176" s="416"/>
      <c r="GC176" s="416"/>
      <c r="GD176" s="416"/>
      <c r="GE176" s="416"/>
      <c r="GF176" s="416"/>
      <c r="GG176" s="416"/>
      <c r="GH176" s="416"/>
      <c r="GI176" s="416"/>
      <c r="GJ176" s="416"/>
      <c r="GK176" s="416"/>
      <c r="GL176" s="416"/>
      <c r="GM176" s="416"/>
      <c r="GN176" s="416"/>
      <c r="GO176" s="416"/>
      <c r="GP176" s="416"/>
      <c r="GQ176" s="416"/>
      <c r="GR176" s="416"/>
      <c r="GS176" s="416"/>
      <c r="GT176" s="416"/>
      <c r="GU176" s="416"/>
      <c r="GV176" s="416"/>
      <c r="GW176" s="416"/>
      <c r="GX176" s="416"/>
      <c r="GY176" s="416"/>
      <c r="GZ176" s="416"/>
      <c r="HA176" s="416"/>
      <c r="HB176" s="416"/>
      <c r="HC176" s="416"/>
      <c r="HD176" s="416"/>
      <c r="HE176" s="416"/>
      <c r="HF176" s="416"/>
      <c r="HG176" s="416"/>
      <c r="HH176" s="416"/>
      <c r="HI176" s="416"/>
      <c r="HJ176" s="416"/>
      <c r="HK176" s="416"/>
      <c r="HL176" s="416"/>
      <c r="HM176" s="416"/>
      <c r="HN176" s="416"/>
      <c r="HO176" s="416"/>
      <c r="HP176" s="416"/>
      <c r="HQ176" s="416"/>
      <c r="HR176" s="416"/>
      <c r="HS176" s="416"/>
      <c r="HT176" s="416"/>
      <c r="HU176" s="416"/>
      <c r="HV176" s="416"/>
      <c r="HW176" s="416"/>
      <c r="HX176" s="416"/>
      <c r="HY176" s="416"/>
      <c r="HZ176" s="416"/>
      <c r="IA176" s="416"/>
      <c r="IB176" s="416"/>
      <c r="IC176" s="416"/>
      <c r="ID176" s="416"/>
      <c r="IE176" s="416"/>
      <c r="IF176" s="416"/>
      <c r="IG176" s="416"/>
      <c r="IH176" s="416"/>
      <c r="II176" s="416"/>
      <c r="IJ176" s="416"/>
      <c r="IK176" s="416"/>
      <c r="IL176" s="416"/>
      <c r="IM176" s="416"/>
      <c r="IN176" s="416"/>
      <c r="IO176" s="416"/>
      <c r="IP176" s="416"/>
      <c r="IQ176" s="416"/>
      <c r="IR176" s="416"/>
      <c r="IS176" s="416"/>
      <c r="IT176" s="416"/>
      <c r="IU176" s="416"/>
      <c r="IV176" s="416"/>
    </row>
    <row r="177" spans="1:256" s="609" customFormat="1" x14ac:dyDescent="0.3">
      <c r="A177" s="555"/>
      <c r="B177" s="556" t="s">
        <v>270</v>
      </c>
      <c r="C177" s="556"/>
      <c r="D177" s="556"/>
      <c r="E177" s="556"/>
      <c r="F177" s="556"/>
      <c r="G177" s="556"/>
      <c r="H177" s="556"/>
      <c r="I177" s="556"/>
      <c r="J177" s="556"/>
      <c r="K177" s="556"/>
      <c r="L177" s="556"/>
      <c r="M177" s="556"/>
      <c r="N177" s="556"/>
      <c r="O177" s="556"/>
      <c r="P177" s="556"/>
      <c r="Q177" s="556"/>
      <c r="R177" s="556"/>
      <c r="S177" s="556"/>
      <c r="T177" s="556"/>
      <c r="U177" s="556"/>
      <c r="V177" s="599">
        <f>+'Aug 08'!V177</f>
        <v>0</v>
      </c>
      <c r="W177" s="558"/>
      <c r="X177" s="543"/>
      <c r="Y177" s="544"/>
      <c r="Z177" s="544"/>
      <c r="AA177" s="544"/>
      <c r="AB177" s="544"/>
      <c r="AC177" s="544"/>
      <c r="AD177" s="544"/>
      <c r="AE177" s="544"/>
      <c r="AF177" s="544"/>
      <c r="AG177" s="544"/>
      <c r="AH177" s="544"/>
      <c r="AI177" s="544"/>
      <c r="AJ177" s="544"/>
      <c r="AK177" s="544"/>
      <c r="AL177" s="544"/>
      <c r="AM177" s="544"/>
      <c r="AN177" s="544"/>
      <c r="AO177" s="544"/>
      <c r="AP177" s="544"/>
      <c r="AQ177" s="544"/>
      <c r="AR177" s="544"/>
      <c r="AS177" s="544"/>
      <c r="AT177" s="544"/>
      <c r="AU177" s="544"/>
      <c r="AV177" s="544"/>
      <c r="AW177" s="544"/>
      <c r="AX177" s="544"/>
      <c r="AY177" s="544"/>
      <c r="AZ177" s="544"/>
      <c r="BA177" s="544"/>
      <c r="BB177" s="544"/>
      <c r="BC177" s="544"/>
      <c r="BD177" s="544"/>
      <c r="BE177" s="544"/>
      <c r="BF177" s="544"/>
      <c r="BG177" s="544"/>
      <c r="BH177" s="544"/>
      <c r="BI177" s="544"/>
      <c r="BJ177" s="544"/>
      <c r="BK177" s="544"/>
      <c r="BL177" s="544"/>
      <c r="BM177" s="544"/>
      <c r="BN177" s="544"/>
      <c r="BO177" s="544"/>
      <c r="BP177" s="544"/>
      <c r="BQ177" s="544"/>
      <c r="BR177" s="544"/>
      <c r="BS177" s="544"/>
      <c r="BT177" s="544"/>
      <c r="BU177" s="544"/>
      <c r="BV177" s="544"/>
      <c r="BW177" s="544"/>
      <c r="BX177" s="544"/>
      <c r="BY177" s="544"/>
      <c r="BZ177" s="544"/>
      <c r="CA177" s="544"/>
      <c r="CB177" s="544"/>
      <c r="CC177" s="544"/>
      <c r="CD177" s="544"/>
      <c r="CE177" s="544"/>
      <c r="CF177" s="544"/>
      <c r="CG177" s="544"/>
      <c r="CH177" s="544"/>
      <c r="CI177" s="544"/>
      <c r="CJ177" s="544"/>
      <c r="CK177" s="544"/>
      <c r="CL177" s="544"/>
      <c r="CM177" s="544"/>
      <c r="CN177" s="544"/>
      <c r="CO177" s="544"/>
      <c r="CP177" s="544"/>
      <c r="CQ177" s="544"/>
      <c r="CR177" s="544"/>
      <c r="CS177" s="544"/>
      <c r="CT177" s="544"/>
      <c r="CU177" s="544"/>
      <c r="CV177" s="544"/>
      <c r="CW177" s="544"/>
      <c r="CX177" s="544"/>
      <c r="CY177" s="544"/>
      <c r="CZ177" s="544"/>
      <c r="DA177" s="544"/>
      <c r="DB177" s="544"/>
      <c r="DC177" s="544"/>
      <c r="DD177" s="544"/>
      <c r="DE177" s="544"/>
      <c r="DF177" s="544"/>
      <c r="DG177" s="544"/>
      <c r="DH177" s="544"/>
      <c r="DI177" s="544"/>
      <c r="DJ177" s="544"/>
      <c r="DK177" s="544"/>
      <c r="DL177" s="544"/>
      <c r="DM177" s="544"/>
      <c r="DN177" s="544"/>
      <c r="DO177" s="544"/>
      <c r="DP177" s="544"/>
      <c r="DQ177" s="544"/>
      <c r="DR177" s="544"/>
      <c r="DS177" s="544"/>
      <c r="DT177" s="544"/>
      <c r="DU177" s="544"/>
      <c r="DV177" s="544"/>
      <c r="DW177" s="544"/>
      <c r="DX177" s="544"/>
      <c r="DY177" s="544"/>
      <c r="DZ177" s="544"/>
      <c r="EA177" s="544"/>
      <c r="EB177" s="544"/>
      <c r="EC177" s="544"/>
      <c r="ED177" s="544"/>
      <c r="EE177" s="544"/>
      <c r="EF177" s="544"/>
      <c r="EG177" s="544"/>
      <c r="EH177" s="544"/>
      <c r="EI177" s="544"/>
      <c r="EJ177" s="544"/>
      <c r="EK177" s="544"/>
      <c r="EL177" s="544"/>
      <c r="EM177" s="544"/>
      <c r="EN177" s="544"/>
      <c r="EO177" s="544"/>
      <c r="EP177" s="544"/>
      <c r="EQ177" s="544"/>
      <c r="ER177" s="544"/>
      <c r="ES177" s="544"/>
      <c r="ET177" s="544"/>
      <c r="EU177" s="544"/>
      <c r="EV177" s="544"/>
      <c r="EW177" s="544"/>
      <c r="EX177" s="544"/>
      <c r="EY177" s="544"/>
      <c r="EZ177" s="544"/>
      <c r="FA177" s="544"/>
      <c r="FB177" s="544"/>
      <c r="FC177" s="544"/>
      <c r="FD177" s="544"/>
      <c r="FE177" s="544"/>
      <c r="FF177" s="544"/>
      <c r="FG177" s="544"/>
      <c r="FH177" s="544"/>
      <c r="FI177" s="544"/>
      <c r="FJ177" s="544"/>
      <c r="FK177" s="544"/>
      <c r="FL177" s="544"/>
      <c r="FM177" s="544"/>
      <c r="FN177" s="544"/>
      <c r="FO177" s="544"/>
      <c r="FP177" s="544"/>
      <c r="FQ177" s="544"/>
      <c r="FR177" s="544"/>
      <c r="FS177" s="544"/>
      <c r="FT177" s="544"/>
      <c r="FU177" s="544"/>
      <c r="FV177" s="544"/>
      <c r="FW177" s="544"/>
      <c r="FX177" s="544"/>
      <c r="FY177" s="544"/>
      <c r="FZ177" s="544"/>
      <c r="GA177" s="544"/>
      <c r="GB177" s="544"/>
      <c r="GC177" s="544"/>
      <c r="GD177" s="544"/>
      <c r="GE177" s="544"/>
      <c r="GF177" s="544"/>
      <c r="GG177" s="544"/>
      <c r="GH177" s="544"/>
      <c r="GI177" s="544"/>
      <c r="GJ177" s="544"/>
      <c r="GK177" s="544"/>
      <c r="GL177" s="544"/>
      <c r="GM177" s="544"/>
      <c r="GN177" s="544"/>
      <c r="GO177" s="544"/>
      <c r="GP177" s="544"/>
      <c r="GQ177" s="544"/>
      <c r="GR177" s="544"/>
      <c r="GS177" s="544"/>
      <c r="GT177" s="544"/>
      <c r="GU177" s="544"/>
      <c r="GV177" s="544"/>
      <c r="GW177" s="544"/>
      <c r="GX177" s="544"/>
      <c r="GY177" s="544"/>
      <c r="GZ177" s="544"/>
      <c r="HA177" s="544"/>
      <c r="HB177" s="544"/>
      <c r="HC177" s="544"/>
      <c r="HD177" s="544"/>
      <c r="HE177" s="544"/>
      <c r="HF177" s="544"/>
      <c r="HG177" s="544"/>
      <c r="HH177" s="544"/>
      <c r="HI177" s="544"/>
      <c r="HJ177" s="544"/>
      <c r="HK177" s="544"/>
      <c r="HL177" s="544"/>
      <c r="HM177" s="544"/>
      <c r="HN177" s="544"/>
      <c r="HO177" s="544"/>
      <c r="HP177" s="544"/>
      <c r="HQ177" s="544"/>
      <c r="HR177" s="544"/>
      <c r="HS177" s="544"/>
      <c r="HT177" s="544"/>
      <c r="HU177" s="544"/>
      <c r="HV177" s="544"/>
      <c r="HW177" s="544"/>
      <c r="HX177" s="544"/>
      <c r="HY177" s="544"/>
      <c r="HZ177" s="544"/>
      <c r="IA177" s="544"/>
      <c r="IB177" s="544"/>
      <c r="IC177" s="544"/>
      <c r="ID177" s="544"/>
      <c r="IE177" s="544"/>
      <c r="IF177" s="544"/>
      <c r="IG177" s="544"/>
      <c r="IH177" s="544"/>
      <c r="II177" s="544"/>
      <c r="IJ177" s="544"/>
      <c r="IK177" s="544"/>
      <c r="IL177" s="544"/>
      <c r="IM177" s="544"/>
      <c r="IN177" s="544"/>
      <c r="IO177" s="544"/>
      <c r="IP177" s="544"/>
      <c r="IQ177" s="544"/>
      <c r="IR177" s="544"/>
      <c r="IS177" s="544"/>
      <c r="IT177" s="544"/>
      <c r="IU177" s="544"/>
      <c r="IV177" s="544"/>
    </row>
    <row r="178" spans="1:256" s="609" customFormat="1" x14ac:dyDescent="0.3">
      <c r="A178" s="555"/>
      <c r="B178" s="556" t="s">
        <v>273</v>
      </c>
      <c r="C178" s="556"/>
      <c r="D178" s="556"/>
      <c r="E178" s="556"/>
      <c r="F178" s="556"/>
      <c r="G178" s="556"/>
      <c r="H178" s="556"/>
      <c r="I178" s="556"/>
      <c r="J178" s="556"/>
      <c r="K178" s="556"/>
      <c r="L178" s="556"/>
      <c r="M178" s="556"/>
      <c r="N178" s="556"/>
      <c r="O178" s="556"/>
      <c r="P178" s="556"/>
      <c r="Q178" s="556"/>
      <c r="R178" s="556"/>
      <c r="S178" s="556"/>
      <c r="T178" s="556"/>
      <c r="U178" s="556"/>
      <c r="V178" s="599">
        <f>+V93</f>
        <v>0</v>
      </c>
      <c r="W178" s="558"/>
      <c r="X178" s="543"/>
      <c r="Y178" s="544"/>
      <c r="Z178" s="544"/>
      <c r="AA178" s="544"/>
      <c r="AB178" s="544"/>
      <c r="AC178" s="544"/>
      <c r="AD178" s="544"/>
      <c r="AE178" s="544"/>
      <c r="AF178" s="544"/>
      <c r="AG178" s="544"/>
      <c r="AH178" s="544"/>
      <c r="AI178" s="544"/>
      <c r="AJ178" s="544"/>
      <c r="AK178" s="544"/>
      <c r="AL178" s="544"/>
      <c r="AM178" s="544"/>
      <c r="AN178" s="544"/>
      <c r="AO178" s="544"/>
      <c r="AP178" s="544"/>
      <c r="AQ178" s="544"/>
      <c r="AR178" s="544"/>
      <c r="AS178" s="544"/>
      <c r="AT178" s="544"/>
      <c r="AU178" s="544"/>
      <c r="AV178" s="544"/>
      <c r="AW178" s="544"/>
      <c r="AX178" s="544"/>
      <c r="AY178" s="544"/>
      <c r="AZ178" s="544"/>
      <c r="BA178" s="544"/>
      <c r="BB178" s="544"/>
      <c r="BC178" s="544"/>
      <c r="BD178" s="544"/>
      <c r="BE178" s="544"/>
      <c r="BF178" s="544"/>
      <c r="BG178" s="544"/>
      <c r="BH178" s="544"/>
      <c r="BI178" s="544"/>
      <c r="BJ178" s="544"/>
      <c r="BK178" s="544"/>
      <c r="BL178" s="544"/>
      <c r="BM178" s="544"/>
      <c r="BN178" s="544"/>
      <c r="BO178" s="544"/>
      <c r="BP178" s="544"/>
      <c r="BQ178" s="544"/>
      <c r="BR178" s="544"/>
      <c r="BS178" s="544"/>
      <c r="BT178" s="544"/>
      <c r="BU178" s="544"/>
      <c r="BV178" s="544"/>
      <c r="BW178" s="544"/>
      <c r="BX178" s="544"/>
      <c r="BY178" s="544"/>
      <c r="BZ178" s="544"/>
      <c r="CA178" s="544"/>
      <c r="CB178" s="544"/>
      <c r="CC178" s="544"/>
      <c r="CD178" s="544"/>
      <c r="CE178" s="544"/>
      <c r="CF178" s="544"/>
      <c r="CG178" s="544"/>
      <c r="CH178" s="544"/>
      <c r="CI178" s="544"/>
      <c r="CJ178" s="544"/>
      <c r="CK178" s="544"/>
      <c r="CL178" s="544"/>
      <c r="CM178" s="544"/>
      <c r="CN178" s="544"/>
      <c r="CO178" s="544"/>
      <c r="CP178" s="544"/>
      <c r="CQ178" s="544"/>
      <c r="CR178" s="544"/>
      <c r="CS178" s="544"/>
      <c r="CT178" s="544"/>
      <c r="CU178" s="544"/>
      <c r="CV178" s="544"/>
      <c r="CW178" s="544"/>
      <c r="CX178" s="544"/>
      <c r="CY178" s="544"/>
      <c r="CZ178" s="544"/>
      <c r="DA178" s="544"/>
      <c r="DB178" s="544"/>
      <c r="DC178" s="544"/>
      <c r="DD178" s="544"/>
      <c r="DE178" s="544"/>
      <c r="DF178" s="544"/>
      <c r="DG178" s="544"/>
      <c r="DH178" s="544"/>
      <c r="DI178" s="544"/>
      <c r="DJ178" s="544"/>
      <c r="DK178" s="544"/>
      <c r="DL178" s="544"/>
      <c r="DM178" s="544"/>
      <c r="DN178" s="544"/>
      <c r="DO178" s="544"/>
      <c r="DP178" s="544"/>
      <c r="DQ178" s="544"/>
      <c r="DR178" s="544"/>
      <c r="DS178" s="544"/>
      <c r="DT178" s="544"/>
      <c r="DU178" s="544"/>
      <c r="DV178" s="544"/>
      <c r="DW178" s="544"/>
      <c r="DX178" s="544"/>
      <c r="DY178" s="544"/>
      <c r="DZ178" s="544"/>
      <c r="EA178" s="544"/>
      <c r="EB178" s="544"/>
      <c r="EC178" s="544"/>
      <c r="ED178" s="544"/>
      <c r="EE178" s="544"/>
      <c r="EF178" s="544"/>
      <c r="EG178" s="544"/>
      <c r="EH178" s="544"/>
      <c r="EI178" s="544"/>
      <c r="EJ178" s="544"/>
      <c r="EK178" s="544"/>
      <c r="EL178" s="544"/>
      <c r="EM178" s="544"/>
      <c r="EN178" s="544"/>
      <c r="EO178" s="544"/>
      <c r="EP178" s="544"/>
      <c r="EQ178" s="544"/>
      <c r="ER178" s="544"/>
      <c r="ES178" s="544"/>
      <c r="ET178" s="544"/>
      <c r="EU178" s="544"/>
      <c r="EV178" s="544"/>
      <c r="EW178" s="544"/>
      <c r="EX178" s="544"/>
      <c r="EY178" s="544"/>
      <c r="EZ178" s="544"/>
      <c r="FA178" s="544"/>
      <c r="FB178" s="544"/>
      <c r="FC178" s="544"/>
      <c r="FD178" s="544"/>
      <c r="FE178" s="544"/>
      <c r="FF178" s="544"/>
      <c r="FG178" s="544"/>
      <c r="FH178" s="544"/>
      <c r="FI178" s="544"/>
      <c r="FJ178" s="544"/>
      <c r="FK178" s="544"/>
      <c r="FL178" s="544"/>
      <c r="FM178" s="544"/>
      <c r="FN178" s="544"/>
      <c r="FO178" s="544"/>
      <c r="FP178" s="544"/>
      <c r="FQ178" s="544"/>
      <c r="FR178" s="544"/>
      <c r="FS178" s="544"/>
      <c r="FT178" s="544"/>
      <c r="FU178" s="544"/>
      <c r="FV178" s="544"/>
      <c r="FW178" s="544"/>
      <c r="FX178" s="544"/>
      <c r="FY178" s="544"/>
      <c r="FZ178" s="544"/>
      <c r="GA178" s="544"/>
      <c r="GB178" s="544"/>
      <c r="GC178" s="544"/>
      <c r="GD178" s="544"/>
      <c r="GE178" s="544"/>
      <c r="GF178" s="544"/>
      <c r="GG178" s="544"/>
      <c r="GH178" s="544"/>
      <c r="GI178" s="544"/>
      <c r="GJ178" s="544"/>
      <c r="GK178" s="544"/>
      <c r="GL178" s="544"/>
      <c r="GM178" s="544"/>
      <c r="GN178" s="544"/>
      <c r="GO178" s="544"/>
      <c r="GP178" s="544"/>
      <c r="GQ178" s="544"/>
      <c r="GR178" s="544"/>
      <c r="GS178" s="544"/>
      <c r="GT178" s="544"/>
      <c r="GU178" s="544"/>
      <c r="GV178" s="544"/>
      <c r="GW178" s="544"/>
      <c r="GX178" s="544"/>
      <c r="GY178" s="544"/>
      <c r="GZ178" s="544"/>
      <c r="HA178" s="544"/>
      <c r="HB178" s="544"/>
      <c r="HC178" s="544"/>
      <c r="HD178" s="544"/>
      <c r="HE178" s="544"/>
      <c r="HF178" s="544"/>
      <c r="HG178" s="544"/>
      <c r="HH178" s="544"/>
      <c r="HI178" s="544"/>
      <c r="HJ178" s="544"/>
      <c r="HK178" s="544"/>
      <c r="HL178" s="544"/>
      <c r="HM178" s="544"/>
      <c r="HN178" s="544"/>
      <c r="HO178" s="544"/>
      <c r="HP178" s="544"/>
      <c r="HQ178" s="544"/>
      <c r="HR178" s="544"/>
      <c r="HS178" s="544"/>
      <c r="HT178" s="544"/>
      <c r="HU178" s="544"/>
      <c r="HV178" s="544"/>
      <c r="HW178" s="544"/>
      <c r="HX178" s="544"/>
      <c r="HY178" s="544"/>
      <c r="HZ178" s="544"/>
      <c r="IA178" s="544"/>
      <c r="IB178" s="544"/>
      <c r="IC178" s="544"/>
      <c r="ID178" s="544"/>
      <c r="IE178" s="544"/>
      <c r="IF178" s="544"/>
      <c r="IG178" s="544"/>
      <c r="IH178" s="544"/>
      <c r="II178" s="544"/>
      <c r="IJ178" s="544"/>
      <c r="IK178" s="544"/>
      <c r="IL178" s="544"/>
      <c r="IM178" s="544"/>
      <c r="IN178" s="544"/>
      <c r="IO178" s="544"/>
      <c r="IP178" s="544"/>
      <c r="IQ178" s="544"/>
      <c r="IR178" s="544"/>
      <c r="IS178" s="544"/>
      <c r="IT178" s="544"/>
      <c r="IU178" s="544"/>
      <c r="IV178" s="544"/>
    </row>
    <row r="179" spans="1:256" s="609" customFormat="1" x14ac:dyDescent="0.3">
      <c r="A179" s="555"/>
      <c r="B179" s="556" t="s">
        <v>271</v>
      </c>
      <c r="C179" s="556"/>
      <c r="D179" s="556"/>
      <c r="E179" s="556"/>
      <c r="F179" s="556"/>
      <c r="G179" s="556"/>
      <c r="H179" s="556"/>
      <c r="I179" s="556"/>
      <c r="J179" s="556"/>
      <c r="K179" s="556"/>
      <c r="L179" s="556"/>
      <c r="M179" s="556"/>
      <c r="N179" s="556"/>
      <c r="O179" s="556"/>
      <c r="P179" s="556"/>
      <c r="Q179" s="556"/>
      <c r="R179" s="556"/>
      <c r="S179" s="556"/>
      <c r="T179" s="556"/>
      <c r="U179" s="556"/>
      <c r="V179" s="599">
        <f>+V177-V178</f>
        <v>0</v>
      </c>
      <c r="W179" s="558"/>
      <c r="X179" s="543"/>
      <c r="Y179" s="544"/>
      <c r="Z179" s="544"/>
      <c r="AA179" s="544"/>
      <c r="AB179" s="544"/>
      <c r="AC179" s="544"/>
      <c r="AD179" s="544"/>
      <c r="AE179" s="544"/>
      <c r="AF179" s="544"/>
      <c r="AG179" s="544"/>
      <c r="AH179" s="544"/>
      <c r="AI179" s="544"/>
      <c r="AJ179" s="544"/>
      <c r="AK179" s="544"/>
      <c r="AL179" s="544"/>
      <c r="AM179" s="544"/>
      <c r="AN179" s="544"/>
      <c r="AO179" s="544"/>
      <c r="AP179" s="544"/>
      <c r="AQ179" s="544"/>
      <c r="AR179" s="544"/>
      <c r="AS179" s="544"/>
      <c r="AT179" s="544"/>
      <c r="AU179" s="544"/>
      <c r="AV179" s="544"/>
      <c r="AW179" s="544"/>
      <c r="AX179" s="544"/>
      <c r="AY179" s="544"/>
      <c r="AZ179" s="544"/>
      <c r="BA179" s="544"/>
      <c r="BB179" s="544"/>
      <c r="BC179" s="544"/>
      <c r="BD179" s="544"/>
      <c r="BE179" s="544"/>
      <c r="BF179" s="544"/>
      <c r="BG179" s="544"/>
      <c r="BH179" s="544"/>
      <c r="BI179" s="544"/>
      <c r="BJ179" s="544"/>
      <c r="BK179" s="544"/>
      <c r="BL179" s="544"/>
      <c r="BM179" s="544"/>
      <c r="BN179" s="544"/>
      <c r="BO179" s="544"/>
      <c r="BP179" s="544"/>
      <c r="BQ179" s="544"/>
      <c r="BR179" s="544"/>
      <c r="BS179" s="544"/>
      <c r="BT179" s="544"/>
      <c r="BU179" s="544"/>
      <c r="BV179" s="544"/>
      <c r="BW179" s="544"/>
      <c r="BX179" s="544"/>
      <c r="BY179" s="544"/>
      <c r="BZ179" s="544"/>
      <c r="CA179" s="544"/>
      <c r="CB179" s="544"/>
      <c r="CC179" s="544"/>
      <c r="CD179" s="544"/>
      <c r="CE179" s="544"/>
      <c r="CF179" s="544"/>
      <c r="CG179" s="544"/>
      <c r="CH179" s="544"/>
      <c r="CI179" s="544"/>
      <c r="CJ179" s="544"/>
      <c r="CK179" s="544"/>
      <c r="CL179" s="544"/>
      <c r="CM179" s="544"/>
      <c r="CN179" s="544"/>
      <c r="CO179" s="544"/>
      <c r="CP179" s="544"/>
      <c r="CQ179" s="544"/>
      <c r="CR179" s="544"/>
      <c r="CS179" s="544"/>
      <c r="CT179" s="544"/>
      <c r="CU179" s="544"/>
      <c r="CV179" s="544"/>
      <c r="CW179" s="544"/>
      <c r="CX179" s="544"/>
      <c r="CY179" s="544"/>
      <c r="CZ179" s="544"/>
      <c r="DA179" s="544"/>
      <c r="DB179" s="544"/>
      <c r="DC179" s="544"/>
      <c r="DD179" s="544"/>
      <c r="DE179" s="544"/>
      <c r="DF179" s="544"/>
      <c r="DG179" s="544"/>
      <c r="DH179" s="544"/>
      <c r="DI179" s="544"/>
      <c r="DJ179" s="544"/>
      <c r="DK179" s="544"/>
      <c r="DL179" s="544"/>
      <c r="DM179" s="544"/>
      <c r="DN179" s="544"/>
      <c r="DO179" s="544"/>
      <c r="DP179" s="544"/>
      <c r="DQ179" s="544"/>
      <c r="DR179" s="544"/>
      <c r="DS179" s="544"/>
      <c r="DT179" s="544"/>
      <c r="DU179" s="544"/>
      <c r="DV179" s="544"/>
      <c r="DW179" s="544"/>
      <c r="DX179" s="544"/>
      <c r="DY179" s="544"/>
      <c r="DZ179" s="544"/>
      <c r="EA179" s="544"/>
      <c r="EB179" s="544"/>
      <c r="EC179" s="544"/>
      <c r="ED179" s="544"/>
      <c r="EE179" s="544"/>
      <c r="EF179" s="544"/>
      <c r="EG179" s="544"/>
      <c r="EH179" s="544"/>
      <c r="EI179" s="544"/>
      <c r="EJ179" s="544"/>
      <c r="EK179" s="544"/>
      <c r="EL179" s="544"/>
      <c r="EM179" s="544"/>
      <c r="EN179" s="544"/>
      <c r="EO179" s="544"/>
      <c r="EP179" s="544"/>
      <c r="EQ179" s="544"/>
      <c r="ER179" s="544"/>
      <c r="ES179" s="544"/>
      <c r="ET179" s="544"/>
      <c r="EU179" s="544"/>
      <c r="EV179" s="544"/>
      <c r="EW179" s="544"/>
      <c r="EX179" s="544"/>
      <c r="EY179" s="544"/>
      <c r="EZ179" s="544"/>
      <c r="FA179" s="544"/>
      <c r="FB179" s="544"/>
      <c r="FC179" s="544"/>
      <c r="FD179" s="544"/>
      <c r="FE179" s="544"/>
      <c r="FF179" s="544"/>
      <c r="FG179" s="544"/>
      <c r="FH179" s="544"/>
      <c r="FI179" s="544"/>
      <c r="FJ179" s="544"/>
      <c r="FK179" s="544"/>
      <c r="FL179" s="544"/>
      <c r="FM179" s="544"/>
      <c r="FN179" s="544"/>
      <c r="FO179" s="544"/>
      <c r="FP179" s="544"/>
      <c r="FQ179" s="544"/>
      <c r="FR179" s="544"/>
      <c r="FS179" s="544"/>
      <c r="FT179" s="544"/>
      <c r="FU179" s="544"/>
      <c r="FV179" s="544"/>
      <c r="FW179" s="544"/>
      <c r="FX179" s="544"/>
      <c r="FY179" s="544"/>
      <c r="FZ179" s="544"/>
      <c r="GA179" s="544"/>
      <c r="GB179" s="544"/>
      <c r="GC179" s="544"/>
      <c r="GD179" s="544"/>
      <c r="GE179" s="544"/>
      <c r="GF179" s="544"/>
      <c r="GG179" s="544"/>
      <c r="GH179" s="544"/>
      <c r="GI179" s="544"/>
      <c r="GJ179" s="544"/>
      <c r="GK179" s="544"/>
      <c r="GL179" s="544"/>
      <c r="GM179" s="544"/>
      <c r="GN179" s="544"/>
      <c r="GO179" s="544"/>
      <c r="GP179" s="544"/>
      <c r="GQ179" s="544"/>
      <c r="GR179" s="544"/>
      <c r="GS179" s="544"/>
      <c r="GT179" s="544"/>
      <c r="GU179" s="544"/>
      <c r="GV179" s="544"/>
      <c r="GW179" s="544"/>
      <c r="GX179" s="544"/>
      <c r="GY179" s="544"/>
      <c r="GZ179" s="544"/>
      <c r="HA179" s="544"/>
      <c r="HB179" s="544"/>
      <c r="HC179" s="544"/>
      <c r="HD179" s="544"/>
      <c r="HE179" s="544"/>
      <c r="HF179" s="544"/>
      <c r="HG179" s="544"/>
      <c r="HH179" s="544"/>
      <c r="HI179" s="544"/>
      <c r="HJ179" s="544"/>
      <c r="HK179" s="544"/>
      <c r="HL179" s="544"/>
      <c r="HM179" s="544"/>
      <c r="HN179" s="544"/>
      <c r="HO179" s="544"/>
      <c r="HP179" s="544"/>
      <c r="HQ179" s="544"/>
      <c r="HR179" s="544"/>
      <c r="HS179" s="544"/>
      <c r="HT179" s="544"/>
      <c r="HU179" s="544"/>
      <c r="HV179" s="544"/>
      <c r="HW179" s="544"/>
      <c r="HX179" s="544"/>
      <c r="HY179" s="544"/>
      <c r="HZ179" s="544"/>
      <c r="IA179" s="544"/>
      <c r="IB179" s="544"/>
      <c r="IC179" s="544"/>
      <c r="ID179" s="544"/>
      <c r="IE179" s="544"/>
      <c r="IF179" s="544"/>
      <c r="IG179" s="544"/>
      <c r="IH179" s="544"/>
      <c r="II179" s="544"/>
      <c r="IJ179" s="544"/>
      <c r="IK179" s="544"/>
      <c r="IL179" s="544"/>
      <c r="IM179" s="544"/>
      <c r="IN179" s="544"/>
      <c r="IO179" s="544"/>
      <c r="IP179" s="544"/>
      <c r="IQ179" s="544"/>
      <c r="IR179" s="544"/>
      <c r="IS179" s="544"/>
      <c r="IT179" s="544"/>
      <c r="IU179" s="544"/>
      <c r="IV179" s="544"/>
    </row>
    <row r="180" spans="1:256" s="459" customFormat="1" ht="16.2" thickBot="1" x14ac:dyDescent="0.35">
      <c r="A180" s="438"/>
      <c r="B180" s="441"/>
      <c r="C180" s="441"/>
      <c r="D180" s="441"/>
      <c r="E180" s="441"/>
      <c r="F180" s="441"/>
      <c r="G180" s="441"/>
      <c r="H180" s="441"/>
      <c r="I180" s="441"/>
      <c r="J180" s="441"/>
      <c r="K180" s="441"/>
      <c r="L180" s="441"/>
      <c r="M180" s="441"/>
      <c r="N180" s="441"/>
      <c r="O180" s="441"/>
      <c r="P180" s="441"/>
      <c r="Q180" s="441"/>
      <c r="R180" s="441"/>
      <c r="S180" s="441"/>
      <c r="T180" s="441"/>
      <c r="U180" s="441"/>
      <c r="V180" s="452"/>
      <c r="W180" s="441"/>
      <c r="X180" s="415"/>
      <c r="Y180" s="416"/>
      <c r="Z180" s="416"/>
      <c r="AA180" s="416"/>
      <c r="AB180" s="416"/>
      <c r="AC180" s="416"/>
      <c r="AD180" s="416"/>
      <c r="AE180" s="416"/>
      <c r="AF180" s="416"/>
      <c r="AG180" s="416"/>
      <c r="AH180" s="416"/>
      <c r="AI180" s="416"/>
      <c r="AJ180" s="416"/>
      <c r="AK180" s="416"/>
      <c r="AL180" s="416"/>
      <c r="AM180" s="416"/>
      <c r="AN180" s="416"/>
      <c r="AO180" s="416"/>
      <c r="AP180" s="416"/>
      <c r="AQ180" s="416"/>
      <c r="AR180" s="416"/>
      <c r="AS180" s="416"/>
      <c r="AT180" s="416"/>
      <c r="AU180" s="416"/>
      <c r="AV180" s="416"/>
      <c r="AW180" s="416"/>
      <c r="AX180" s="416"/>
      <c r="AY180" s="416"/>
      <c r="AZ180" s="416"/>
      <c r="BA180" s="416"/>
      <c r="BB180" s="416"/>
      <c r="BC180" s="416"/>
      <c r="BD180" s="416"/>
      <c r="BE180" s="416"/>
      <c r="BF180" s="416"/>
      <c r="BG180" s="416"/>
      <c r="BH180" s="416"/>
      <c r="BI180" s="416"/>
      <c r="BJ180" s="416"/>
      <c r="BK180" s="416"/>
      <c r="BL180" s="416"/>
      <c r="BM180" s="416"/>
      <c r="BN180" s="416"/>
      <c r="BO180" s="416"/>
      <c r="BP180" s="416"/>
      <c r="BQ180" s="416"/>
      <c r="BR180" s="416"/>
      <c r="BS180" s="416"/>
      <c r="BT180" s="416"/>
      <c r="BU180" s="416"/>
      <c r="BV180" s="416"/>
      <c r="BW180" s="416"/>
      <c r="BX180" s="416"/>
      <c r="BY180" s="416"/>
      <c r="BZ180" s="416"/>
      <c r="CA180" s="416"/>
      <c r="CB180" s="416"/>
      <c r="CC180" s="416"/>
      <c r="CD180" s="416"/>
      <c r="CE180" s="416"/>
      <c r="CF180" s="416"/>
      <c r="CG180" s="416"/>
      <c r="CH180" s="416"/>
      <c r="CI180" s="416"/>
      <c r="CJ180" s="416"/>
      <c r="CK180" s="416"/>
      <c r="CL180" s="416"/>
      <c r="CM180" s="416"/>
      <c r="CN180" s="416"/>
      <c r="CO180" s="416"/>
      <c r="CP180" s="416"/>
      <c r="CQ180" s="416"/>
      <c r="CR180" s="416"/>
      <c r="CS180" s="416"/>
      <c r="CT180" s="416"/>
      <c r="CU180" s="416"/>
      <c r="CV180" s="416"/>
      <c r="CW180" s="416"/>
      <c r="CX180" s="416"/>
      <c r="CY180" s="416"/>
      <c r="CZ180" s="416"/>
      <c r="DA180" s="416"/>
      <c r="DB180" s="416"/>
      <c r="DC180" s="416"/>
      <c r="DD180" s="416"/>
      <c r="DE180" s="416"/>
      <c r="DF180" s="416"/>
      <c r="DG180" s="416"/>
      <c r="DH180" s="416"/>
      <c r="DI180" s="416"/>
      <c r="DJ180" s="416"/>
      <c r="DK180" s="416"/>
      <c r="DL180" s="416"/>
      <c r="DM180" s="416"/>
      <c r="DN180" s="416"/>
      <c r="DO180" s="416"/>
      <c r="DP180" s="416"/>
      <c r="DQ180" s="416"/>
      <c r="DR180" s="416"/>
      <c r="DS180" s="416"/>
      <c r="DT180" s="416"/>
      <c r="DU180" s="416"/>
      <c r="DV180" s="416"/>
      <c r="DW180" s="416"/>
      <c r="DX180" s="416"/>
      <c r="DY180" s="416"/>
      <c r="DZ180" s="416"/>
      <c r="EA180" s="416"/>
      <c r="EB180" s="416"/>
      <c r="EC180" s="416"/>
      <c r="ED180" s="416"/>
      <c r="EE180" s="416"/>
      <c r="EF180" s="416"/>
      <c r="EG180" s="416"/>
      <c r="EH180" s="416"/>
      <c r="EI180" s="416"/>
      <c r="EJ180" s="416"/>
      <c r="EK180" s="416"/>
      <c r="EL180" s="416"/>
      <c r="EM180" s="416"/>
      <c r="EN180" s="416"/>
      <c r="EO180" s="416"/>
      <c r="EP180" s="416"/>
      <c r="EQ180" s="416"/>
      <c r="ER180" s="416"/>
      <c r="ES180" s="416"/>
      <c r="ET180" s="416"/>
      <c r="EU180" s="416"/>
      <c r="EV180" s="416"/>
      <c r="EW180" s="416"/>
      <c r="EX180" s="416"/>
      <c r="EY180" s="416"/>
      <c r="EZ180" s="416"/>
      <c r="FA180" s="416"/>
      <c r="FB180" s="416"/>
      <c r="FC180" s="416"/>
      <c r="FD180" s="416"/>
      <c r="FE180" s="416"/>
      <c r="FF180" s="416"/>
      <c r="FG180" s="416"/>
      <c r="FH180" s="416"/>
      <c r="FI180" s="416"/>
      <c r="FJ180" s="416"/>
      <c r="FK180" s="416"/>
      <c r="FL180" s="416"/>
      <c r="FM180" s="416"/>
      <c r="FN180" s="416"/>
      <c r="FO180" s="416"/>
      <c r="FP180" s="416"/>
      <c r="FQ180" s="416"/>
      <c r="FR180" s="416"/>
      <c r="FS180" s="416"/>
      <c r="FT180" s="416"/>
      <c r="FU180" s="416"/>
      <c r="FV180" s="416"/>
      <c r="FW180" s="416"/>
      <c r="FX180" s="416"/>
      <c r="FY180" s="416"/>
      <c r="FZ180" s="416"/>
      <c r="GA180" s="416"/>
      <c r="GB180" s="416"/>
      <c r="GC180" s="416"/>
      <c r="GD180" s="416"/>
      <c r="GE180" s="416"/>
      <c r="GF180" s="416"/>
      <c r="GG180" s="416"/>
      <c r="GH180" s="416"/>
      <c r="GI180" s="416"/>
      <c r="GJ180" s="416"/>
      <c r="GK180" s="416"/>
      <c r="GL180" s="416"/>
      <c r="GM180" s="416"/>
      <c r="GN180" s="416"/>
      <c r="GO180" s="416"/>
      <c r="GP180" s="416"/>
      <c r="GQ180" s="416"/>
      <c r="GR180" s="416"/>
      <c r="GS180" s="416"/>
      <c r="GT180" s="416"/>
      <c r="GU180" s="416"/>
      <c r="GV180" s="416"/>
      <c r="GW180" s="416"/>
      <c r="GX180" s="416"/>
      <c r="GY180" s="416"/>
      <c r="GZ180" s="416"/>
      <c r="HA180" s="416"/>
      <c r="HB180" s="416"/>
      <c r="HC180" s="416"/>
      <c r="HD180" s="416"/>
      <c r="HE180" s="416"/>
      <c r="HF180" s="416"/>
      <c r="HG180" s="416"/>
      <c r="HH180" s="416"/>
      <c r="HI180" s="416"/>
      <c r="HJ180" s="416"/>
      <c r="HK180" s="416"/>
      <c r="HL180" s="416"/>
      <c r="HM180" s="416"/>
      <c r="HN180" s="416"/>
      <c r="HO180" s="416"/>
      <c r="HP180" s="416"/>
      <c r="HQ180" s="416"/>
      <c r="HR180" s="416"/>
      <c r="HS180" s="416"/>
      <c r="HT180" s="416"/>
      <c r="HU180" s="416"/>
      <c r="HV180" s="416"/>
      <c r="HW180" s="416"/>
      <c r="HX180" s="416"/>
      <c r="HY180" s="416"/>
      <c r="HZ180" s="416"/>
      <c r="IA180" s="416"/>
      <c r="IB180" s="416"/>
      <c r="IC180" s="416"/>
      <c r="ID180" s="416"/>
      <c r="IE180" s="416"/>
      <c r="IF180" s="416"/>
      <c r="IG180" s="416"/>
      <c r="IH180" s="416"/>
      <c r="II180" s="416"/>
      <c r="IJ180" s="416"/>
      <c r="IK180" s="416"/>
      <c r="IL180" s="416"/>
      <c r="IM180" s="416"/>
      <c r="IN180" s="416"/>
      <c r="IO180" s="416"/>
      <c r="IP180" s="416"/>
      <c r="IQ180" s="416"/>
      <c r="IR180" s="416"/>
      <c r="IS180" s="416"/>
      <c r="IT180" s="416"/>
      <c r="IU180" s="416"/>
      <c r="IV180" s="416"/>
    </row>
    <row r="181" spans="1:256" s="461" customFormat="1" x14ac:dyDescent="0.3">
      <c r="A181" s="413"/>
      <c r="B181" s="414"/>
      <c r="C181" s="414"/>
      <c r="D181" s="414"/>
      <c r="E181" s="414"/>
      <c r="F181" s="414"/>
      <c r="G181" s="414"/>
      <c r="H181" s="414"/>
      <c r="I181" s="414"/>
      <c r="J181" s="414"/>
      <c r="K181" s="414"/>
      <c r="L181" s="414"/>
      <c r="M181" s="414"/>
      <c r="N181" s="414"/>
      <c r="O181" s="414"/>
      <c r="P181" s="414"/>
      <c r="Q181" s="414"/>
      <c r="R181" s="414"/>
      <c r="S181" s="414"/>
      <c r="T181" s="414"/>
      <c r="U181" s="414"/>
      <c r="V181" s="460"/>
      <c r="W181" s="414"/>
      <c r="X181" s="415"/>
      <c r="Y181" s="416"/>
      <c r="Z181" s="416"/>
      <c r="AA181" s="416"/>
      <c r="AB181" s="416"/>
      <c r="AC181" s="416"/>
      <c r="AD181" s="416"/>
      <c r="AE181" s="416"/>
      <c r="AF181" s="416"/>
      <c r="AG181" s="416"/>
      <c r="AH181" s="416"/>
      <c r="AI181" s="416"/>
      <c r="AJ181" s="416"/>
      <c r="AK181" s="416"/>
      <c r="AL181" s="416"/>
      <c r="AM181" s="416"/>
      <c r="AN181" s="416"/>
      <c r="AO181" s="416"/>
      <c r="AP181" s="416"/>
      <c r="AQ181" s="416"/>
      <c r="AR181" s="416"/>
      <c r="AS181" s="416"/>
      <c r="AT181" s="416"/>
      <c r="AU181" s="416"/>
      <c r="AV181" s="416"/>
      <c r="AW181" s="416"/>
      <c r="AX181" s="416"/>
      <c r="AY181" s="416"/>
      <c r="AZ181" s="416"/>
      <c r="BA181" s="416"/>
      <c r="BB181" s="416"/>
      <c r="BC181" s="416"/>
      <c r="BD181" s="416"/>
      <c r="BE181" s="416"/>
      <c r="BF181" s="416"/>
      <c r="BG181" s="416"/>
      <c r="BH181" s="416"/>
      <c r="BI181" s="416"/>
      <c r="BJ181" s="416"/>
      <c r="BK181" s="416"/>
      <c r="BL181" s="416"/>
      <c r="BM181" s="416"/>
      <c r="BN181" s="416"/>
      <c r="BO181" s="416"/>
      <c r="BP181" s="416"/>
      <c r="BQ181" s="416"/>
      <c r="BR181" s="416"/>
      <c r="BS181" s="416"/>
      <c r="BT181" s="416"/>
      <c r="BU181" s="416"/>
      <c r="BV181" s="416"/>
      <c r="BW181" s="416"/>
      <c r="BX181" s="416"/>
      <c r="BY181" s="416"/>
      <c r="BZ181" s="416"/>
      <c r="CA181" s="416"/>
      <c r="CB181" s="416"/>
      <c r="CC181" s="416"/>
      <c r="CD181" s="416"/>
      <c r="CE181" s="416"/>
      <c r="CF181" s="416"/>
      <c r="CG181" s="416"/>
      <c r="CH181" s="416"/>
      <c r="CI181" s="416"/>
      <c r="CJ181" s="416"/>
      <c r="CK181" s="416"/>
      <c r="CL181" s="416"/>
      <c r="CM181" s="416"/>
      <c r="CN181" s="416"/>
      <c r="CO181" s="416"/>
      <c r="CP181" s="416"/>
      <c r="CQ181" s="416"/>
      <c r="CR181" s="416"/>
      <c r="CS181" s="416"/>
      <c r="CT181" s="416"/>
      <c r="CU181" s="416"/>
      <c r="CV181" s="416"/>
      <c r="CW181" s="416"/>
      <c r="CX181" s="416"/>
      <c r="CY181" s="416"/>
      <c r="CZ181" s="416"/>
      <c r="DA181" s="416"/>
      <c r="DB181" s="416"/>
      <c r="DC181" s="416"/>
      <c r="DD181" s="416"/>
      <c r="DE181" s="416"/>
      <c r="DF181" s="416"/>
      <c r="DG181" s="416"/>
      <c r="DH181" s="416"/>
      <c r="DI181" s="416"/>
      <c r="DJ181" s="416"/>
      <c r="DK181" s="416"/>
      <c r="DL181" s="416"/>
      <c r="DM181" s="416"/>
      <c r="DN181" s="416"/>
      <c r="DO181" s="416"/>
      <c r="DP181" s="416"/>
      <c r="DQ181" s="416"/>
      <c r="DR181" s="416"/>
      <c r="DS181" s="416"/>
      <c r="DT181" s="416"/>
      <c r="DU181" s="416"/>
      <c r="DV181" s="416"/>
      <c r="DW181" s="416"/>
      <c r="DX181" s="416"/>
      <c r="DY181" s="416"/>
      <c r="DZ181" s="416"/>
      <c r="EA181" s="416"/>
      <c r="EB181" s="416"/>
      <c r="EC181" s="416"/>
      <c r="ED181" s="416"/>
      <c r="EE181" s="416"/>
      <c r="EF181" s="416"/>
      <c r="EG181" s="416"/>
      <c r="EH181" s="416"/>
      <c r="EI181" s="416"/>
      <c r="EJ181" s="416"/>
      <c r="EK181" s="416"/>
      <c r="EL181" s="416"/>
      <c r="EM181" s="416"/>
      <c r="EN181" s="416"/>
      <c r="EO181" s="416"/>
      <c r="EP181" s="416"/>
      <c r="EQ181" s="416"/>
      <c r="ER181" s="416"/>
      <c r="ES181" s="416"/>
      <c r="ET181" s="416"/>
      <c r="EU181" s="416"/>
      <c r="EV181" s="416"/>
      <c r="EW181" s="416"/>
      <c r="EX181" s="416"/>
      <c r="EY181" s="416"/>
      <c r="EZ181" s="416"/>
      <c r="FA181" s="416"/>
      <c r="FB181" s="416"/>
      <c r="FC181" s="416"/>
      <c r="FD181" s="416"/>
      <c r="FE181" s="416"/>
      <c r="FF181" s="416"/>
      <c r="FG181" s="416"/>
      <c r="FH181" s="416"/>
      <c r="FI181" s="416"/>
      <c r="FJ181" s="416"/>
      <c r="FK181" s="416"/>
      <c r="FL181" s="416"/>
      <c r="FM181" s="416"/>
      <c r="FN181" s="416"/>
      <c r="FO181" s="416"/>
      <c r="FP181" s="416"/>
      <c r="FQ181" s="416"/>
      <c r="FR181" s="416"/>
      <c r="FS181" s="416"/>
      <c r="FT181" s="416"/>
      <c r="FU181" s="416"/>
      <c r="FV181" s="416"/>
      <c r="FW181" s="416"/>
      <c r="FX181" s="416"/>
      <c r="FY181" s="416"/>
      <c r="FZ181" s="416"/>
      <c r="GA181" s="416"/>
      <c r="GB181" s="416"/>
      <c r="GC181" s="416"/>
      <c r="GD181" s="416"/>
      <c r="GE181" s="416"/>
      <c r="GF181" s="416"/>
      <c r="GG181" s="416"/>
      <c r="GH181" s="416"/>
      <c r="GI181" s="416"/>
      <c r="GJ181" s="416"/>
      <c r="GK181" s="416"/>
      <c r="GL181" s="416"/>
      <c r="GM181" s="416"/>
      <c r="GN181" s="416"/>
      <c r="GO181" s="416"/>
      <c r="GP181" s="416"/>
      <c r="GQ181" s="416"/>
      <c r="GR181" s="416"/>
      <c r="GS181" s="416"/>
      <c r="GT181" s="416"/>
      <c r="GU181" s="416"/>
      <c r="GV181" s="416"/>
      <c r="GW181" s="416"/>
      <c r="GX181" s="416"/>
      <c r="GY181" s="416"/>
      <c r="GZ181" s="416"/>
      <c r="HA181" s="416"/>
      <c r="HB181" s="416"/>
      <c r="HC181" s="416"/>
      <c r="HD181" s="416"/>
      <c r="HE181" s="416"/>
      <c r="HF181" s="416"/>
      <c r="HG181" s="416"/>
      <c r="HH181" s="416"/>
      <c r="HI181" s="416"/>
      <c r="HJ181" s="416"/>
      <c r="HK181" s="416"/>
      <c r="HL181" s="416"/>
      <c r="HM181" s="416"/>
      <c r="HN181" s="416"/>
      <c r="HO181" s="416"/>
      <c r="HP181" s="416"/>
      <c r="HQ181" s="416"/>
      <c r="HR181" s="416"/>
      <c r="HS181" s="416"/>
      <c r="HT181" s="416"/>
      <c r="HU181" s="416"/>
      <c r="HV181" s="416"/>
      <c r="HW181" s="416"/>
      <c r="HX181" s="416"/>
      <c r="HY181" s="416"/>
      <c r="HZ181" s="416"/>
      <c r="IA181" s="416"/>
      <c r="IB181" s="416"/>
      <c r="IC181" s="416"/>
      <c r="ID181" s="416"/>
      <c r="IE181" s="416"/>
      <c r="IF181" s="416"/>
      <c r="IG181" s="416"/>
      <c r="IH181" s="416"/>
      <c r="II181" s="416"/>
      <c r="IJ181" s="416"/>
      <c r="IK181" s="416"/>
      <c r="IL181" s="416"/>
      <c r="IM181" s="416"/>
      <c r="IN181" s="416"/>
      <c r="IO181" s="416"/>
      <c r="IP181" s="416"/>
      <c r="IQ181" s="416"/>
      <c r="IR181" s="416"/>
      <c r="IS181" s="416"/>
      <c r="IT181" s="416"/>
      <c r="IU181" s="416"/>
      <c r="IV181" s="416"/>
    </row>
    <row r="182" spans="1:256" x14ac:dyDescent="0.3">
      <c r="A182" s="417"/>
      <c r="B182" s="508" t="s">
        <v>56</v>
      </c>
      <c r="C182" s="419"/>
      <c r="D182" s="419"/>
      <c r="E182" s="419"/>
      <c r="F182" s="419"/>
      <c r="G182" s="419"/>
      <c r="H182" s="419"/>
      <c r="I182" s="419"/>
      <c r="J182" s="419"/>
      <c r="K182" s="419"/>
      <c r="L182" s="419"/>
      <c r="M182" s="419"/>
      <c r="N182" s="419"/>
      <c r="O182" s="419"/>
      <c r="P182" s="419"/>
      <c r="Q182" s="419"/>
      <c r="R182" s="419"/>
      <c r="S182" s="419"/>
      <c r="T182" s="419"/>
      <c r="U182" s="419"/>
      <c r="V182" s="439"/>
      <c r="W182" s="419"/>
      <c r="X182" s="415"/>
    </row>
    <row r="183" spans="1:256" x14ac:dyDescent="0.3">
      <c r="A183" s="417"/>
      <c r="B183" s="451"/>
      <c r="C183" s="419"/>
      <c r="D183" s="419"/>
      <c r="E183" s="419"/>
      <c r="F183" s="419"/>
      <c r="G183" s="419"/>
      <c r="H183" s="419"/>
      <c r="I183" s="419"/>
      <c r="J183" s="419"/>
      <c r="K183" s="419"/>
      <c r="L183" s="419"/>
      <c r="M183" s="419"/>
      <c r="N183" s="419"/>
      <c r="O183" s="419"/>
      <c r="P183" s="419"/>
      <c r="Q183" s="419"/>
      <c r="R183" s="419"/>
      <c r="S183" s="419"/>
      <c r="T183" s="419"/>
      <c r="U183" s="419"/>
      <c r="V183" s="439"/>
      <c r="W183" s="419"/>
      <c r="X183" s="415"/>
    </row>
    <row r="184" spans="1:256" s="544" customFormat="1" x14ac:dyDescent="0.3">
      <c r="A184" s="555"/>
      <c r="B184" s="556" t="s">
        <v>57</v>
      </c>
      <c r="C184" s="556"/>
      <c r="D184" s="556"/>
      <c r="E184" s="556"/>
      <c r="F184" s="556"/>
      <c r="G184" s="556"/>
      <c r="H184" s="556"/>
      <c r="I184" s="556"/>
      <c r="J184" s="556"/>
      <c r="K184" s="556"/>
      <c r="L184" s="556"/>
      <c r="M184" s="556"/>
      <c r="N184" s="556"/>
      <c r="O184" s="556"/>
      <c r="P184" s="556"/>
      <c r="Q184" s="556"/>
      <c r="R184" s="556"/>
      <c r="S184" s="556"/>
      <c r="T184" s="556"/>
      <c r="U184" s="556"/>
      <c r="V184" s="599">
        <f>V70</f>
        <v>728675</v>
      </c>
      <c r="W184" s="558"/>
      <c r="X184" s="543"/>
    </row>
    <row r="185" spans="1:256" s="544" customFormat="1" x14ac:dyDescent="0.3">
      <c r="A185" s="555"/>
      <c r="B185" s="556" t="s">
        <v>58</v>
      </c>
      <c r="C185" s="556"/>
      <c r="D185" s="556"/>
      <c r="E185" s="556"/>
      <c r="F185" s="556"/>
      <c r="G185" s="556"/>
      <c r="H185" s="556"/>
      <c r="I185" s="556"/>
      <c r="J185" s="556"/>
      <c r="K185" s="556"/>
      <c r="L185" s="556"/>
      <c r="M185" s="556"/>
      <c r="N185" s="556"/>
      <c r="O185" s="556"/>
      <c r="P185" s="556"/>
      <c r="Q185" s="556"/>
      <c r="R185" s="556"/>
      <c r="S185" s="556"/>
      <c r="T185" s="556"/>
      <c r="U185" s="556"/>
      <c r="V185" s="599">
        <f>V83</f>
        <v>728675</v>
      </c>
      <c r="W185" s="558"/>
      <c r="X185" s="543"/>
    </row>
    <row r="186" spans="1:256" ht="16.2" thickBot="1" x14ac:dyDescent="0.35">
      <c r="A186" s="417"/>
      <c r="B186" s="441"/>
      <c r="C186" s="441"/>
      <c r="D186" s="441"/>
      <c r="E186" s="441"/>
      <c r="F186" s="441"/>
      <c r="G186" s="441"/>
      <c r="H186" s="441"/>
      <c r="I186" s="441"/>
      <c r="J186" s="441"/>
      <c r="K186" s="441"/>
      <c r="L186" s="441"/>
      <c r="M186" s="441"/>
      <c r="N186" s="441"/>
      <c r="O186" s="441"/>
      <c r="P186" s="441"/>
      <c r="Q186" s="441"/>
      <c r="R186" s="441"/>
      <c r="S186" s="441"/>
      <c r="T186" s="441"/>
      <c r="U186" s="441"/>
      <c r="V186" s="452"/>
      <c r="W186" s="441"/>
      <c r="X186" s="415"/>
    </row>
    <row r="187" spans="1:256" x14ac:dyDescent="0.3">
      <c r="A187" s="413"/>
      <c r="B187" s="414"/>
      <c r="C187" s="414"/>
      <c r="D187" s="414"/>
      <c r="E187" s="414"/>
      <c r="F187" s="414"/>
      <c r="G187" s="414"/>
      <c r="H187" s="414"/>
      <c r="I187" s="414"/>
      <c r="J187" s="414"/>
      <c r="K187" s="414"/>
      <c r="L187" s="414"/>
      <c r="M187" s="414"/>
      <c r="N187" s="414"/>
      <c r="O187" s="414"/>
      <c r="P187" s="414"/>
      <c r="Q187" s="414"/>
      <c r="R187" s="414"/>
      <c r="S187" s="414"/>
      <c r="T187" s="414"/>
      <c r="U187" s="414"/>
      <c r="V187" s="460"/>
      <c r="W187" s="414"/>
      <c r="X187" s="415"/>
    </row>
    <row r="188" spans="1:256" s="499" customFormat="1" x14ac:dyDescent="0.3">
      <c r="A188" s="502"/>
      <c r="B188" s="508" t="s">
        <v>59</v>
      </c>
      <c r="C188" s="506"/>
      <c r="D188" s="506"/>
      <c r="E188" s="506"/>
      <c r="F188" s="506"/>
      <c r="G188" s="506"/>
      <c r="H188" s="509"/>
      <c r="I188" s="509"/>
      <c r="J188" s="509"/>
      <c r="K188" s="509"/>
      <c r="L188" s="509"/>
      <c r="M188" s="509"/>
      <c r="N188" s="509"/>
      <c r="O188" s="509"/>
      <c r="P188" s="509"/>
      <c r="Q188" s="509"/>
      <c r="R188" s="509"/>
      <c r="S188" s="509" t="s">
        <v>101</v>
      </c>
      <c r="T188" s="509" t="s">
        <v>176</v>
      </c>
      <c r="U188" s="421"/>
      <c r="V188" s="510" t="s">
        <v>114</v>
      </c>
      <c r="W188" s="421"/>
      <c r="X188" s="498"/>
    </row>
    <row r="189" spans="1:256" s="544" customFormat="1" x14ac:dyDescent="0.3">
      <c r="A189" s="555"/>
      <c r="B189" s="556" t="s">
        <v>60</v>
      </c>
      <c r="C189" s="556"/>
      <c r="D189" s="556"/>
      <c r="E189" s="556"/>
      <c r="F189" s="556"/>
      <c r="G189" s="556"/>
      <c r="H189" s="556"/>
      <c r="I189" s="556"/>
      <c r="J189" s="556"/>
      <c r="K189" s="556"/>
      <c r="L189" s="556"/>
      <c r="M189" s="556"/>
      <c r="N189" s="556"/>
      <c r="O189" s="556"/>
      <c r="P189" s="556"/>
      <c r="Q189" s="556"/>
      <c r="R189" s="556"/>
      <c r="S189" s="599">
        <f>+V34*0.16</f>
        <v>240044</v>
      </c>
      <c r="T189" s="578"/>
      <c r="U189" s="556"/>
      <c r="V189" s="599"/>
      <c r="W189" s="558"/>
      <c r="X189" s="543"/>
    </row>
    <row r="190" spans="1:256" s="544" customFormat="1" x14ac:dyDescent="0.3">
      <c r="A190" s="555"/>
      <c r="B190" s="556" t="s">
        <v>61</v>
      </c>
      <c r="C190" s="556"/>
      <c r="D190" s="556"/>
      <c r="E190" s="556"/>
      <c r="F190" s="556"/>
      <c r="G190" s="556"/>
      <c r="H190" s="556"/>
      <c r="I190" s="556"/>
      <c r="J190" s="556"/>
      <c r="K190" s="556"/>
      <c r="L190" s="556"/>
      <c r="M190" s="556"/>
      <c r="N190" s="556"/>
      <c r="O190" s="556"/>
      <c r="P190" s="556"/>
      <c r="Q190" s="556"/>
      <c r="R190" s="556"/>
      <c r="S190" s="599">
        <f>+'Nov 19'!S192</f>
        <v>33453</v>
      </c>
      <c r="T190" s="599">
        <f>+'Nov 19'!T192</f>
        <v>6019</v>
      </c>
      <c r="U190" s="556"/>
      <c r="V190" s="599">
        <f>S190+T190</f>
        <v>39472</v>
      </c>
      <c r="W190" s="558"/>
      <c r="X190" s="543"/>
    </row>
    <row r="191" spans="1:256" s="544" customFormat="1" x14ac:dyDescent="0.3">
      <c r="A191" s="555"/>
      <c r="B191" s="556" t="s">
        <v>62</v>
      </c>
      <c r="C191" s="556"/>
      <c r="D191" s="556"/>
      <c r="E191" s="556"/>
      <c r="F191" s="556"/>
      <c r="G191" s="556"/>
      <c r="H191" s="556"/>
      <c r="I191" s="556"/>
      <c r="J191" s="556"/>
      <c r="K191" s="556"/>
      <c r="L191" s="556"/>
      <c r="M191" s="556"/>
      <c r="N191" s="556"/>
      <c r="O191" s="556"/>
      <c r="P191" s="556"/>
      <c r="Q191" s="556"/>
      <c r="R191" s="556"/>
      <c r="S191" s="598">
        <v>0</v>
      </c>
      <c r="T191" s="598">
        <v>0</v>
      </c>
      <c r="U191" s="556"/>
      <c r="V191" s="599">
        <f>S191+T191</f>
        <v>0</v>
      </c>
      <c r="W191" s="558"/>
      <c r="X191" s="543"/>
    </row>
    <row r="192" spans="1:256" s="544" customFormat="1" x14ac:dyDescent="0.3">
      <c r="A192" s="555"/>
      <c r="B192" s="556" t="s">
        <v>63</v>
      </c>
      <c r="C192" s="556"/>
      <c r="D192" s="556"/>
      <c r="E192" s="556"/>
      <c r="F192" s="556"/>
      <c r="G192" s="556"/>
      <c r="H192" s="556"/>
      <c r="I192" s="556"/>
      <c r="J192" s="556"/>
      <c r="K192" s="556"/>
      <c r="L192" s="556"/>
      <c r="M192" s="556"/>
      <c r="N192" s="556"/>
      <c r="O192" s="556"/>
      <c r="P192" s="556"/>
      <c r="Q192" s="556"/>
      <c r="R192" s="556"/>
      <c r="S192" s="599">
        <f>S190+S191</f>
        <v>33453</v>
      </c>
      <c r="T192" s="599">
        <f>T191+T190</f>
        <v>6019</v>
      </c>
      <c r="U192" s="556"/>
      <c r="V192" s="599">
        <f>S192+T192</f>
        <v>39472</v>
      </c>
      <c r="W192" s="558"/>
      <c r="X192" s="543"/>
    </row>
    <row r="193" spans="1:24" s="544" customFormat="1" x14ac:dyDescent="0.3">
      <c r="A193" s="555"/>
      <c r="B193" s="556" t="s">
        <v>64</v>
      </c>
      <c r="C193" s="556"/>
      <c r="D193" s="556"/>
      <c r="E193" s="556"/>
      <c r="F193" s="556"/>
      <c r="G193" s="556"/>
      <c r="H193" s="556"/>
      <c r="I193" s="556"/>
      <c r="J193" s="556"/>
      <c r="K193" s="556"/>
      <c r="L193" s="556"/>
      <c r="M193" s="556"/>
      <c r="N193" s="556"/>
      <c r="O193" s="556"/>
      <c r="P193" s="556"/>
      <c r="Q193" s="556"/>
      <c r="R193" s="556"/>
      <c r="S193" s="599">
        <f>S189-S192-T192</f>
        <v>200572</v>
      </c>
      <c r="T193" s="578"/>
      <c r="U193" s="556"/>
      <c r="V193" s="599"/>
      <c r="W193" s="558"/>
      <c r="X193" s="543"/>
    </row>
    <row r="194" spans="1:24" ht="16.2" thickBot="1" x14ac:dyDescent="0.35">
      <c r="A194" s="417"/>
      <c r="B194" s="441"/>
      <c r="C194" s="441"/>
      <c r="D194" s="441"/>
      <c r="E194" s="441"/>
      <c r="F194" s="441"/>
      <c r="G194" s="441"/>
      <c r="H194" s="441"/>
      <c r="I194" s="441"/>
      <c r="J194" s="441"/>
      <c r="K194" s="441"/>
      <c r="L194" s="441"/>
      <c r="M194" s="441"/>
      <c r="N194" s="441"/>
      <c r="O194" s="441"/>
      <c r="P194" s="441"/>
      <c r="Q194" s="441"/>
      <c r="R194" s="441"/>
      <c r="S194" s="441"/>
      <c r="T194" s="441"/>
      <c r="U194" s="441"/>
      <c r="V194" s="452"/>
      <c r="W194" s="441"/>
      <c r="X194" s="415"/>
    </row>
    <row r="195" spans="1:24" x14ac:dyDescent="0.3">
      <c r="A195" s="413"/>
      <c r="B195" s="414"/>
      <c r="C195" s="414"/>
      <c r="D195" s="414"/>
      <c r="E195" s="414"/>
      <c r="F195" s="414"/>
      <c r="G195" s="414"/>
      <c r="H195" s="414"/>
      <c r="I195" s="414"/>
      <c r="J195" s="414"/>
      <c r="K195" s="414"/>
      <c r="L195" s="414"/>
      <c r="M195" s="414"/>
      <c r="N195" s="414"/>
      <c r="O195" s="414"/>
      <c r="P195" s="414"/>
      <c r="Q195" s="414"/>
      <c r="R195" s="414"/>
      <c r="S195" s="414"/>
      <c r="T195" s="414"/>
      <c r="U195" s="414"/>
      <c r="V195" s="460"/>
      <c r="W195" s="414"/>
      <c r="X195" s="415"/>
    </row>
    <row r="196" spans="1:24" x14ac:dyDescent="0.3">
      <c r="A196" s="417"/>
      <c r="B196" s="508" t="s">
        <v>65</v>
      </c>
      <c r="C196" s="419"/>
      <c r="D196" s="419"/>
      <c r="E196" s="419"/>
      <c r="F196" s="419"/>
      <c r="G196" s="419"/>
      <c r="H196" s="419"/>
      <c r="I196" s="419"/>
      <c r="J196" s="419"/>
      <c r="K196" s="419"/>
      <c r="L196" s="419"/>
      <c r="M196" s="419"/>
      <c r="N196" s="419"/>
      <c r="O196" s="419"/>
      <c r="P196" s="419"/>
      <c r="Q196" s="419"/>
      <c r="R196" s="419"/>
      <c r="S196" s="419"/>
      <c r="T196" s="419"/>
      <c r="U196" s="419"/>
      <c r="V196" s="462"/>
      <c r="W196" s="419"/>
      <c r="X196" s="415"/>
    </row>
    <row r="197" spans="1:24" s="544" customFormat="1" x14ac:dyDescent="0.3">
      <c r="A197" s="555"/>
      <c r="B197" s="556" t="s">
        <v>66</v>
      </c>
      <c r="C197" s="556"/>
      <c r="D197" s="556"/>
      <c r="E197" s="556"/>
      <c r="F197" s="556"/>
      <c r="G197" s="556"/>
      <c r="H197" s="556"/>
      <c r="I197" s="556"/>
      <c r="J197" s="556"/>
      <c r="K197" s="556"/>
      <c r="L197" s="556"/>
      <c r="M197" s="556"/>
      <c r="N197" s="556"/>
      <c r="O197" s="556"/>
      <c r="P197" s="556"/>
      <c r="Q197" s="556"/>
      <c r="R197" s="556"/>
      <c r="S197" s="556"/>
      <c r="T197" s="556"/>
      <c r="U197" s="556"/>
      <c r="V197" s="608">
        <f>(V100+V102+V103+V104+V105)/-(V106+V107)</f>
        <v>3.6615620214395102</v>
      </c>
      <c r="W197" s="558" t="s">
        <v>115</v>
      </c>
      <c r="X197" s="543"/>
    </row>
    <row r="198" spans="1:24" s="544" customFormat="1" x14ac:dyDescent="0.3">
      <c r="A198" s="555"/>
      <c r="B198" s="556" t="s">
        <v>67</v>
      </c>
      <c r="C198" s="556"/>
      <c r="D198" s="556"/>
      <c r="E198" s="556"/>
      <c r="F198" s="556"/>
      <c r="G198" s="556"/>
      <c r="H198" s="556"/>
      <c r="I198" s="556"/>
      <c r="J198" s="556"/>
      <c r="K198" s="556"/>
      <c r="L198" s="556"/>
      <c r="M198" s="556"/>
      <c r="N198" s="556"/>
      <c r="O198" s="556"/>
      <c r="P198" s="556"/>
      <c r="Q198" s="556"/>
      <c r="R198" s="556"/>
      <c r="S198" s="556"/>
      <c r="T198" s="556"/>
      <c r="U198" s="556"/>
      <c r="V198" s="610">
        <v>2.19</v>
      </c>
      <c r="W198" s="558" t="s">
        <v>115</v>
      </c>
      <c r="X198" s="543"/>
    </row>
    <row r="199" spans="1:24" s="544" customFormat="1" x14ac:dyDescent="0.3">
      <c r="A199" s="555"/>
      <c r="B199" s="556" t="s">
        <v>68</v>
      </c>
      <c r="C199" s="556"/>
      <c r="D199" s="556"/>
      <c r="E199" s="556"/>
      <c r="F199" s="556"/>
      <c r="G199" s="556"/>
      <c r="H199" s="556"/>
      <c r="I199" s="556"/>
      <c r="J199" s="556"/>
      <c r="K199" s="556"/>
      <c r="L199" s="556"/>
      <c r="M199" s="556"/>
      <c r="N199" s="556"/>
      <c r="O199" s="556"/>
      <c r="P199" s="556"/>
      <c r="Q199" s="556"/>
      <c r="R199" s="556"/>
      <c r="S199" s="556"/>
      <c r="T199" s="556"/>
      <c r="U199" s="556"/>
      <c r="V199" s="608">
        <f>(V100+V102+V103+V104+V105+V106+V107)/-(V109+V110)</f>
        <v>10.407185628742514</v>
      </c>
      <c r="W199" s="558" t="s">
        <v>115</v>
      </c>
      <c r="X199" s="543"/>
    </row>
    <row r="200" spans="1:24" s="544" customFormat="1" x14ac:dyDescent="0.3">
      <c r="A200" s="555"/>
      <c r="B200" s="556" t="s">
        <v>69</v>
      </c>
      <c r="C200" s="556"/>
      <c r="D200" s="556"/>
      <c r="E200" s="556"/>
      <c r="F200" s="556"/>
      <c r="G200" s="556"/>
      <c r="H200" s="556"/>
      <c r="I200" s="556"/>
      <c r="J200" s="556"/>
      <c r="K200" s="556"/>
      <c r="L200" s="556"/>
      <c r="M200" s="556"/>
      <c r="N200" s="556"/>
      <c r="O200" s="556"/>
      <c r="P200" s="556"/>
      <c r="Q200" s="556"/>
      <c r="R200" s="556"/>
      <c r="S200" s="556"/>
      <c r="T200" s="556"/>
      <c r="U200" s="556"/>
      <c r="V200" s="610">
        <v>9.8800000000000008</v>
      </c>
      <c r="W200" s="558" t="s">
        <v>115</v>
      </c>
      <c r="X200" s="543"/>
    </row>
    <row r="201" spans="1:24" s="544" customFormat="1" x14ac:dyDescent="0.3">
      <c r="A201" s="555"/>
      <c r="B201" s="556" t="s">
        <v>198</v>
      </c>
      <c r="C201" s="556"/>
      <c r="D201" s="556"/>
      <c r="E201" s="556"/>
      <c r="F201" s="556"/>
      <c r="G201" s="556"/>
      <c r="H201" s="556"/>
      <c r="I201" s="556"/>
      <c r="J201" s="556"/>
      <c r="K201" s="556"/>
      <c r="L201" s="556"/>
      <c r="M201" s="556"/>
      <c r="N201" s="556"/>
      <c r="O201" s="556"/>
      <c r="P201" s="556"/>
      <c r="Q201" s="556"/>
      <c r="R201" s="556"/>
      <c r="S201" s="556"/>
      <c r="T201" s="556"/>
      <c r="U201" s="556"/>
      <c r="V201" s="608">
        <f>(V100+V102+V103+V104+V105+V106+V107+V109+V110)/-(V111+V112)</f>
        <v>6.8008658008658012</v>
      </c>
      <c r="W201" s="558" t="s">
        <v>115</v>
      </c>
      <c r="X201" s="543"/>
    </row>
    <row r="202" spans="1:24" s="544" customFormat="1" x14ac:dyDescent="0.3">
      <c r="A202" s="555"/>
      <c r="B202" s="556" t="s">
        <v>199</v>
      </c>
      <c r="C202" s="556"/>
      <c r="D202" s="556"/>
      <c r="E202" s="556"/>
      <c r="F202" s="556"/>
      <c r="G202" s="556"/>
      <c r="H202" s="556"/>
      <c r="I202" s="556"/>
      <c r="J202" s="556"/>
      <c r="K202" s="556"/>
      <c r="L202" s="556"/>
      <c r="M202" s="556"/>
      <c r="N202" s="556"/>
      <c r="O202" s="556"/>
      <c r="P202" s="556"/>
      <c r="Q202" s="556"/>
      <c r="R202" s="556"/>
      <c r="S202" s="556"/>
      <c r="T202" s="556"/>
      <c r="U202" s="556"/>
      <c r="V202" s="610">
        <v>7.34</v>
      </c>
      <c r="W202" s="558" t="s">
        <v>115</v>
      </c>
      <c r="X202" s="543"/>
    </row>
    <row r="203" spans="1:24" s="544" customFormat="1" x14ac:dyDescent="0.3">
      <c r="A203" s="555"/>
      <c r="B203" s="556"/>
      <c r="C203" s="556"/>
      <c r="D203" s="556"/>
      <c r="E203" s="556"/>
      <c r="F203" s="556"/>
      <c r="G203" s="556"/>
      <c r="H203" s="556"/>
      <c r="I203" s="556"/>
      <c r="J203" s="556"/>
      <c r="K203" s="556"/>
      <c r="L203" s="556"/>
      <c r="M203" s="556"/>
      <c r="N203" s="556"/>
      <c r="O203" s="556"/>
      <c r="P203" s="556"/>
      <c r="Q203" s="556"/>
      <c r="R203" s="556"/>
      <c r="S203" s="556"/>
      <c r="T203" s="556"/>
      <c r="U203" s="556"/>
      <c r="V203" s="556"/>
      <c r="W203" s="558"/>
      <c r="X203" s="543"/>
    </row>
    <row r="204" spans="1:24" s="544" customFormat="1" x14ac:dyDescent="0.3">
      <c r="A204" s="540"/>
      <c r="B204" s="588"/>
      <c r="C204" s="588"/>
      <c r="D204" s="588"/>
      <c r="E204" s="588"/>
      <c r="F204" s="588"/>
      <c r="G204" s="588"/>
      <c r="H204" s="588"/>
      <c r="I204" s="588"/>
      <c r="J204" s="588"/>
      <c r="K204" s="588"/>
      <c r="L204" s="588"/>
      <c r="M204" s="588"/>
      <c r="N204" s="588"/>
      <c r="O204" s="588"/>
      <c r="P204" s="588"/>
      <c r="Q204" s="588"/>
      <c r="R204" s="588"/>
      <c r="S204" s="588"/>
      <c r="T204" s="588"/>
      <c r="U204" s="588"/>
      <c r="V204" s="588"/>
      <c r="W204" s="588"/>
      <c r="X204" s="543"/>
    </row>
    <row r="205" spans="1:24" s="544" customFormat="1" x14ac:dyDescent="0.3">
      <c r="A205" s="540"/>
      <c r="B205" s="541"/>
      <c r="C205" s="541"/>
      <c r="D205" s="541"/>
      <c r="E205" s="541"/>
      <c r="F205" s="541"/>
      <c r="G205" s="541"/>
      <c r="H205" s="541"/>
      <c r="I205" s="541"/>
      <c r="J205" s="541"/>
      <c r="K205" s="541"/>
      <c r="L205" s="541"/>
      <c r="M205" s="541"/>
      <c r="N205" s="541"/>
      <c r="O205" s="541"/>
      <c r="P205" s="541"/>
      <c r="Q205" s="541"/>
      <c r="R205" s="541"/>
      <c r="S205" s="541"/>
      <c r="T205" s="541"/>
      <c r="U205" s="541"/>
      <c r="V205" s="541"/>
      <c r="W205" s="541"/>
      <c r="X205" s="543"/>
    </row>
    <row r="206" spans="1:24" s="544" customFormat="1" ht="18.600000000000001" thickBot="1" x14ac:dyDescent="0.4">
      <c r="A206" s="593"/>
      <c r="B206" s="594" t="str">
        <f>B140</f>
        <v>PM14 INVESTOR REPORT QUARTER ENDING FEBRUARY 2020</v>
      </c>
      <c r="C206" s="595"/>
      <c r="D206" s="595"/>
      <c r="E206" s="595"/>
      <c r="F206" s="595"/>
      <c r="G206" s="595"/>
      <c r="H206" s="595"/>
      <c r="I206" s="595"/>
      <c r="J206" s="595"/>
      <c r="K206" s="595"/>
      <c r="L206" s="595"/>
      <c r="M206" s="595"/>
      <c r="N206" s="595"/>
      <c r="O206" s="595"/>
      <c r="P206" s="595"/>
      <c r="Q206" s="595"/>
      <c r="R206" s="595"/>
      <c r="S206" s="595"/>
      <c r="T206" s="595"/>
      <c r="U206" s="595"/>
      <c r="V206" s="595"/>
      <c r="W206" s="597"/>
      <c r="X206" s="543"/>
    </row>
    <row r="207" spans="1:24" x14ac:dyDescent="0.3">
      <c r="A207" s="527"/>
      <c r="B207" s="528" t="s">
        <v>70</v>
      </c>
      <c r="C207" s="531"/>
      <c r="D207" s="531"/>
      <c r="E207" s="531"/>
      <c r="F207" s="531"/>
      <c r="G207" s="532"/>
      <c r="H207" s="532"/>
      <c r="I207" s="532"/>
      <c r="J207" s="532"/>
      <c r="K207" s="532"/>
      <c r="L207" s="532"/>
      <c r="M207" s="532"/>
      <c r="N207" s="532"/>
      <c r="O207" s="532"/>
      <c r="P207" s="532"/>
      <c r="Q207" s="532"/>
      <c r="R207" s="532"/>
      <c r="S207" s="532"/>
      <c r="T207" s="532">
        <v>43889</v>
      </c>
      <c r="U207" s="529"/>
      <c r="V207" s="529"/>
      <c r="W207" s="529"/>
      <c r="X207" s="415"/>
    </row>
    <row r="208" spans="1:24" x14ac:dyDescent="0.3">
      <c r="A208" s="463"/>
      <c r="B208" s="429"/>
      <c r="C208" s="464"/>
      <c r="D208" s="464"/>
      <c r="E208" s="464"/>
      <c r="F208" s="464"/>
      <c r="G208" s="428"/>
      <c r="H208" s="428"/>
      <c r="I208" s="428"/>
      <c r="J208" s="428"/>
      <c r="K208" s="428"/>
      <c r="L208" s="428"/>
      <c r="M208" s="428"/>
      <c r="N208" s="428"/>
      <c r="O208" s="428"/>
      <c r="P208" s="428"/>
      <c r="Q208" s="428"/>
      <c r="R208" s="428"/>
      <c r="S208" s="428"/>
      <c r="T208" s="428"/>
      <c r="U208" s="427"/>
      <c r="V208" s="427"/>
      <c r="W208" s="427"/>
      <c r="X208" s="415"/>
    </row>
    <row r="209" spans="1:24" s="544" customFormat="1" x14ac:dyDescent="0.3">
      <c r="A209" s="555"/>
      <c r="B209" s="556" t="s">
        <v>71</v>
      </c>
      <c r="C209" s="611"/>
      <c r="D209" s="611"/>
      <c r="E209" s="611"/>
      <c r="F209" s="611"/>
      <c r="G209" s="582"/>
      <c r="H209" s="582"/>
      <c r="I209" s="582"/>
      <c r="J209" s="582"/>
      <c r="K209" s="582"/>
      <c r="L209" s="582"/>
      <c r="M209" s="582"/>
      <c r="N209" s="582"/>
      <c r="O209" s="582"/>
      <c r="P209" s="582"/>
      <c r="Q209" s="582"/>
      <c r="R209" s="582"/>
      <c r="S209" s="582"/>
      <c r="T209" s="575">
        <v>5.2819999999999999E-2</v>
      </c>
      <c r="U209" s="556"/>
      <c r="V209" s="556"/>
      <c r="W209" s="558"/>
      <c r="X209" s="543"/>
    </row>
    <row r="210" spans="1:24" s="544" customFormat="1" x14ac:dyDescent="0.3">
      <c r="A210" s="555"/>
      <c r="B210" s="556" t="s">
        <v>151</v>
      </c>
      <c r="C210" s="611"/>
      <c r="D210" s="611"/>
      <c r="E210" s="611"/>
      <c r="F210" s="611"/>
      <c r="G210" s="582"/>
      <c r="H210" s="582"/>
      <c r="I210" s="582"/>
      <c r="J210" s="582"/>
      <c r="K210" s="582"/>
      <c r="L210" s="582"/>
      <c r="M210" s="582"/>
      <c r="N210" s="582"/>
      <c r="O210" s="582"/>
      <c r="P210" s="582"/>
      <c r="Q210" s="582"/>
      <c r="R210" s="582"/>
      <c r="S210" s="582"/>
      <c r="T210" s="575">
        <v>5.7799999999999997E-2</v>
      </c>
      <c r="U210" s="556"/>
      <c r="V210" s="556"/>
      <c r="W210" s="558"/>
      <c r="X210" s="543"/>
    </row>
    <row r="211" spans="1:24" s="544" customFormat="1" x14ac:dyDescent="0.3">
      <c r="A211" s="555"/>
      <c r="B211" s="556" t="s">
        <v>72</v>
      </c>
      <c r="C211" s="611"/>
      <c r="D211" s="611"/>
      <c r="E211" s="611"/>
      <c r="F211" s="611"/>
      <c r="G211" s="582"/>
      <c r="H211" s="582"/>
      <c r="I211" s="582"/>
      <c r="J211" s="582"/>
      <c r="K211" s="582"/>
      <c r="L211" s="582"/>
      <c r="M211" s="582"/>
      <c r="N211" s="582"/>
      <c r="O211" s="582"/>
      <c r="P211" s="582"/>
      <c r="Q211" s="582"/>
      <c r="R211" s="582"/>
      <c r="S211" s="582"/>
      <c r="T211" s="575">
        <f>T209-T210</f>
        <v>-4.9799999999999983E-3</v>
      </c>
      <c r="U211" s="556"/>
      <c r="V211" s="556"/>
      <c r="W211" s="558"/>
      <c r="X211" s="543"/>
    </row>
    <row r="212" spans="1:24" s="544" customFormat="1" x14ac:dyDescent="0.3">
      <c r="A212" s="555"/>
      <c r="B212" s="556" t="s">
        <v>73</v>
      </c>
      <c r="C212" s="611"/>
      <c r="D212" s="611"/>
      <c r="E212" s="611"/>
      <c r="F212" s="611"/>
      <c r="G212" s="582"/>
      <c r="H212" s="582"/>
      <c r="I212" s="582"/>
      <c r="J212" s="582"/>
      <c r="K212" s="582"/>
      <c r="L212" s="582"/>
      <c r="M212" s="582"/>
      <c r="N212" s="582"/>
      <c r="O212" s="582"/>
      <c r="P212" s="582"/>
      <c r="Q212" s="582"/>
      <c r="R212" s="582"/>
      <c r="S212" s="582"/>
      <c r="T212" s="575">
        <v>2.6460000000000001E-2</v>
      </c>
      <c r="U212" s="556"/>
      <c r="V212" s="556"/>
      <c r="W212" s="558"/>
      <c r="X212" s="543"/>
    </row>
    <row r="213" spans="1:24" s="544" customFormat="1" x14ac:dyDescent="0.3">
      <c r="A213" s="555"/>
      <c r="B213" s="556" t="s">
        <v>219</v>
      </c>
      <c r="C213" s="611"/>
      <c r="D213" s="611"/>
      <c r="E213" s="611"/>
      <c r="F213" s="611"/>
      <c r="G213" s="582"/>
      <c r="H213" s="582"/>
      <c r="I213" s="582"/>
      <c r="J213" s="582"/>
      <c r="K213" s="582"/>
      <c r="L213" s="582"/>
      <c r="M213" s="582"/>
      <c r="N213" s="582"/>
      <c r="O213" s="582"/>
      <c r="P213" s="582"/>
      <c r="Q213" s="582"/>
      <c r="R213" s="582"/>
      <c r="S213" s="582"/>
      <c r="T213" s="575">
        <f>V43</f>
        <v>1.1356291737547559E-2</v>
      </c>
      <c r="U213" s="556"/>
      <c r="V213" s="556"/>
      <c r="W213" s="558"/>
      <c r="X213" s="543"/>
    </row>
    <row r="214" spans="1:24" s="544" customFormat="1" x14ac:dyDescent="0.3">
      <c r="A214" s="555"/>
      <c r="B214" s="556" t="s">
        <v>74</v>
      </c>
      <c r="C214" s="611"/>
      <c r="D214" s="611"/>
      <c r="E214" s="611"/>
      <c r="F214" s="611"/>
      <c r="G214" s="582"/>
      <c r="H214" s="582"/>
      <c r="I214" s="582"/>
      <c r="J214" s="582"/>
      <c r="K214" s="582"/>
      <c r="L214" s="582"/>
      <c r="M214" s="582"/>
      <c r="N214" s="582"/>
      <c r="O214" s="582"/>
      <c r="P214" s="582"/>
      <c r="Q214" s="582"/>
      <c r="R214" s="582"/>
      <c r="S214" s="582"/>
      <c r="T214" s="575">
        <f>T212-T213</f>
        <v>1.5103708262452442E-2</v>
      </c>
      <c r="U214" s="556"/>
      <c r="V214" s="556"/>
      <c r="W214" s="558"/>
      <c r="X214" s="543"/>
    </row>
    <row r="215" spans="1:24" s="544" customFormat="1" x14ac:dyDescent="0.3">
      <c r="A215" s="555"/>
      <c r="B215" s="556" t="s">
        <v>242</v>
      </c>
      <c r="C215" s="611"/>
      <c r="D215" s="611"/>
      <c r="E215" s="611"/>
      <c r="F215" s="611"/>
      <c r="G215" s="582"/>
      <c r="H215" s="582"/>
      <c r="I215" s="582"/>
      <c r="J215" s="582"/>
      <c r="K215" s="582"/>
      <c r="L215" s="582"/>
      <c r="M215" s="582"/>
      <c r="N215" s="582"/>
      <c r="O215" s="582"/>
      <c r="P215" s="582"/>
      <c r="Q215" s="582"/>
      <c r="R215" s="582"/>
      <c r="S215" s="582"/>
      <c r="T215" s="575">
        <f>V100/N70</f>
        <v>6.8212768880752924E-3</v>
      </c>
      <c r="U215" s="556"/>
      <c r="V215" s="556"/>
      <c r="W215" s="558"/>
      <c r="X215" s="543"/>
    </row>
    <row r="216" spans="1:24" s="544" customFormat="1" x14ac:dyDescent="0.3">
      <c r="A216" s="555"/>
      <c r="B216" s="556" t="s">
        <v>208</v>
      </c>
      <c r="C216" s="611"/>
      <c r="D216" s="611"/>
      <c r="E216" s="611"/>
      <c r="F216" s="611"/>
      <c r="G216" s="582"/>
      <c r="H216" s="582"/>
      <c r="I216" s="582"/>
      <c r="J216" s="582"/>
      <c r="K216" s="582"/>
      <c r="L216" s="582"/>
      <c r="M216" s="582"/>
      <c r="N216" s="582"/>
      <c r="O216" s="582"/>
      <c r="P216" s="582"/>
      <c r="Q216" s="582"/>
      <c r="R216" s="582"/>
      <c r="S216" s="582"/>
      <c r="T216" s="612">
        <v>51014</v>
      </c>
      <c r="U216" s="556"/>
      <c r="V216" s="556"/>
      <c r="W216" s="558"/>
      <c r="X216" s="543"/>
    </row>
    <row r="217" spans="1:24" s="544" customFormat="1" x14ac:dyDescent="0.3">
      <c r="A217" s="555"/>
      <c r="B217" s="556" t="s">
        <v>209</v>
      </c>
      <c r="C217" s="611"/>
      <c r="D217" s="611"/>
      <c r="E217" s="611"/>
      <c r="F217" s="611"/>
      <c r="G217" s="582"/>
      <c r="H217" s="582"/>
      <c r="I217" s="582"/>
      <c r="J217" s="582"/>
      <c r="K217" s="582"/>
      <c r="L217" s="582"/>
      <c r="M217" s="582"/>
      <c r="N217" s="582"/>
      <c r="O217" s="582"/>
      <c r="P217" s="582"/>
      <c r="Q217" s="582"/>
      <c r="R217" s="582"/>
      <c r="S217" s="582"/>
      <c r="T217" s="612">
        <v>51014</v>
      </c>
      <c r="U217" s="556"/>
      <c r="V217" s="556"/>
      <c r="W217" s="558"/>
      <c r="X217" s="543"/>
    </row>
    <row r="218" spans="1:24" s="544" customFormat="1" x14ac:dyDescent="0.3">
      <c r="A218" s="555"/>
      <c r="B218" s="556" t="s">
        <v>210</v>
      </c>
      <c r="C218" s="611"/>
      <c r="D218" s="611"/>
      <c r="E218" s="611"/>
      <c r="F218" s="611"/>
      <c r="G218" s="582"/>
      <c r="H218" s="582"/>
      <c r="I218" s="582"/>
      <c r="J218" s="582"/>
      <c r="K218" s="582"/>
      <c r="L218" s="582"/>
      <c r="M218" s="582"/>
      <c r="N218" s="582"/>
      <c r="O218" s="582"/>
      <c r="P218" s="582"/>
      <c r="Q218" s="582"/>
      <c r="R218" s="582"/>
      <c r="S218" s="582"/>
      <c r="T218" s="612">
        <v>51014</v>
      </c>
      <c r="U218" s="556"/>
      <c r="V218" s="556"/>
      <c r="W218" s="558"/>
      <c r="X218" s="543"/>
    </row>
    <row r="219" spans="1:24" s="544" customFormat="1" x14ac:dyDescent="0.3">
      <c r="A219" s="555"/>
      <c r="B219" s="556" t="s">
        <v>75</v>
      </c>
      <c r="C219" s="611"/>
      <c r="D219" s="611"/>
      <c r="E219" s="611"/>
      <c r="F219" s="611"/>
      <c r="G219" s="582"/>
      <c r="H219" s="582"/>
      <c r="I219" s="582"/>
      <c r="J219" s="582"/>
      <c r="K219" s="582"/>
      <c r="L219" s="582"/>
      <c r="M219" s="582"/>
      <c r="N219" s="582"/>
      <c r="O219" s="582"/>
      <c r="P219" s="582"/>
      <c r="Q219" s="582"/>
      <c r="R219" s="582"/>
      <c r="S219" s="582"/>
      <c r="T219" s="580">
        <v>20.66</v>
      </c>
      <c r="U219" s="556" t="s">
        <v>110</v>
      </c>
      <c r="V219" s="556"/>
      <c r="W219" s="558"/>
      <c r="X219" s="543"/>
    </row>
    <row r="220" spans="1:24" s="544" customFormat="1" x14ac:dyDescent="0.3">
      <c r="A220" s="555"/>
      <c r="B220" s="556" t="s">
        <v>76</v>
      </c>
      <c r="C220" s="611"/>
      <c r="D220" s="611"/>
      <c r="E220" s="611"/>
      <c r="F220" s="611"/>
      <c r="G220" s="582"/>
      <c r="H220" s="582"/>
      <c r="I220" s="582"/>
      <c r="J220" s="582"/>
      <c r="K220" s="582"/>
      <c r="L220" s="582"/>
      <c r="M220" s="582"/>
      <c r="N220" s="582"/>
      <c r="O220" s="582"/>
      <c r="P220" s="582"/>
      <c r="Q220" s="582"/>
      <c r="R220" s="582"/>
      <c r="S220" s="582"/>
      <c r="T220" s="580">
        <v>9.27</v>
      </c>
      <c r="U220" s="556" t="s">
        <v>110</v>
      </c>
      <c r="V220" s="556"/>
      <c r="W220" s="558"/>
      <c r="X220" s="543"/>
    </row>
    <row r="221" spans="1:24" s="544" customFormat="1" x14ac:dyDescent="0.3">
      <c r="A221" s="555"/>
      <c r="B221" s="556" t="s">
        <v>77</v>
      </c>
      <c r="C221" s="611"/>
      <c r="D221" s="611"/>
      <c r="E221" s="611"/>
      <c r="F221" s="611"/>
      <c r="G221" s="582"/>
      <c r="H221" s="582"/>
      <c r="I221" s="582"/>
      <c r="J221" s="582"/>
      <c r="K221" s="582"/>
      <c r="L221" s="582"/>
      <c r="M221" s="582"/>
      <c r="N221" s="582"/>
      <c r="O221" s="582"/>
      <c r="P221" s="582"/>
      <c r="Q221" s="582"/>
      <c r="R221" s="582"/>
      <c r="S221" s="582"/>
      <c r="T221" s="575">
        <f>+P67/N67</f>
        <v>1.8464862476646152E-2</v>
      </c>
      <c r="U221" s="556"/>
      <c r="V221" s="556"/>
      <c r="W221" s="558"/>
      <c r="X221" s="543"/>
    </row>
    <row r="222" spans="1:24" s="544" customFormat="1" x14ac:dyDescent="0.3">
      <c r="A222" s="555"/>
      <c r="B222" s="556" t="s">
        <v>78</v>
      </c>
      <c r="C222" s="611"/>
      <c r="D222" s="611"/>
      <c r="E222" s="611"/>
      <c r="F222" s="611"/>
      <c r="G222" s="582"/>
      <c r="H222" s="582"/>
      <c r="I222" s="582"/>
      <c r="J222" s="582"/>
      <c r="K222" s="582"/>
      <c r="L222" s="582"/>
      <c r="M222" s="582"/>
      <c r="N222" s="582"/>
      <c r="O222" s="582"/>
      <c r="P222" s="582"/>
      <c r="Q222" s="582"/>
      <c r="R222" s="582"/>
      <c r="S222" s="582"/>
      <c r="T222" s="575">
        <v>5.6599999999999998E-2</v>
      </c>
      <c r="U222" s="556"/>
      <c r="V222" s="556"/>
      <c r="W222" s="558"/>
      <c r="X222" s="543"/>
    </row>
    <row r="223" spans="1:24" x14ac:dyDescent="0.3">
      <c r="A223" s="463"/>
      <c r="B223" s="437"/>
      <c r="C223" s="437"/>
      <c r="D223" s="437"/>
      <c r="E223" s="437"/>
      <c r="F223" s="437"/>
      <c r="G223" s="437"/>
      <c r="H223" s="437"/>
      <c r="I223" s="437"/>
      <c r="J223" s="437"/>
      <c r="K223" s="437"/>
      <c r="L223" s="437"/>
      <c r="M223" s="437"/>
      <c r="N223" s="437"/>
      <c r="O223" s="437"/>
      <c r="P223" s="437"/>
      <c r="Q223" s="437"/>
      <c r="R223" s="437"/>
      <c r="S223" s="437"/>
      <c r="T223" s="454"/>
      <c r="U223" s="437"/>
      <c r="V223" s="465"/>
      <c r="W223" s="437"/>
      <c r="X223" s="415"/>
    </row>
    <row r="224" spans="1:24" x14ac:dyDescent="0.3">
      <c r="A224" s="533"/>
      <c r="B224" s="523" t="s">
        <v>79</v>
      </c>
      <c r="C224" s="524"/>
      <c r="D224" s="524"/>
      <c r="E224" s="524"/>
      <c r="F224" s="534"/>
      <c r="G224" s="524"/>
      <c r="H224" s="524"/>
      <c r="I224" s="524"/>
      <c r="J224" s="524"/>
      <c r="K224" s="524"/>
      <c r="L224" s="524"/>
      <c r="M224" s="524"/>
      <c r="N224" s="524"/>
      <c r="O224" s="524"/>
      <c r="P224" s="524"/>
      <c r="Q224" s="524"/>
      <c r="R224" s="524"/>
      <c r="S224" s="524" t="s">
        <v>102</v>
      </c>
      <c r="T224" s="534" t="s">
        <v>108</v>
      </c>
      <c r="U224" s="517"/>
      <c r="V224" s="517"/>
      <c r="W224" s="520"/>
      <c r="X224" s="415"/>
    </row>
    <row r="225" spans="1:24" s="544" customFormat="1" x14ac:dyDescent="0.3">
      <c r="A225" s="613"/>
      <c r="B225" s="588" t="s">
        <v>80</v>
      </c>
      <c r="C225" s="600"/>
      <c r="D225" s="600"/>
      <c r="E225" s="600"/>
      <c r="F225" s="588"/>
      <c r="G225" s="588"/>
      <c r="H225" s="614"/>
      <c r="I225" s="614"/>
      <c r="J225" s="614"/>
      <c r="K225" s="614"/>
      <c r="L225" s="614"/>
      <c r="M225" s="614"/>
      <c r="N225" s="614"/>
      <c r="O225" s="614"/>
      <c r="P225" s="614"/>
      <c r="Q225" s="614"/>
      <c r="R225" s="614"/>
      <c r="S225" s="614">
        <v>4</v>
      </c>
      <c r="T225" s="615">
        <v>626</v>
      </c>
      <c r="U225" s="588"/>
      <c r="V225" s="616"/>
      <c r="W225" s="617"/>
      <c r="X225" s="543"/>
    </row>
    <row r="226" spans="1:24" s="544" customFormat="1" x14ac:dyDescent="0.3">
      <c r="A226" s="618"/>
      <c r="B226" s="556" t="s">
        <v>145</v>
      </c>
      <c r="C226" s="598"/>
      <c r="D226" s="598"/>
      <c r="E226" s="598"/>
      <c r="F226" s="556"/>
      <c r="G226" s="556"/>
      <c r="H226" s="562"/>
      <c r="I226" s="562"/>
      <c r="J226" s="562"/>
      <c r="K226" s="562"/>
      <c r="L226" s="562"/>
      <c r="M226" s="562"/>
      <c r="N226" s="562"/>
      <c r="O226" s="562"/>
      <c r="P226" s="562"/>
      <c r="Q226" s="562"/>
      <c r="R226" s="562"/>
      <c r="S226" s="619">
        <f>+R278</f>
        <v>114</v>
      </c>
      <c r="T226" s="620">
        <f>+T278</f>
        <v>18049</v>
      </c>
      <c r="U226" s="556"/>
      <c r="V226" s="621"/>
      <c r="W226" s="622"/>
      <c r="X226" s="543"/>
    </row>
    <row r="227" spans="1:24" s="544" customFormat="1" x14ac:dyDescent="0.3">
      <c r="A227" s="618"/>
      <c r="B227" s="556" t="s">
        <v>81</v>
      </c>
      <c r="C227" s="598"/>
      <c r="D227" s="598"/>
      <c r="E227" s="598"/>
      <c r="F227" s="556"/>
      <c r="G227" s="556"/>
      <c r="H227" s="562"/>
      <c r="I227" s="562"/>
      <c r="J227" s="562"/>
      <c r="K227" s="562"/>
      <c r="L227" s="562"/>
      <c r="M227" s="562"/>
      <c r="N227" s="562"/>
      <c r="O227" s="562"/>
      <c r="P227" s="562"/>
      <c r="Q227" s="562"/>
      <c r="R227" s="562"/>
      <c r="S227" s="619">
        <f>+R290</f>
        <v>1</v>
      </c>
      <c r="T227" s="620">
        <f>+T290</f>
        <v>89</v>
      </c>
      <c r="U227" s="556"/>
      <c r="V227" s="621"/>
      <c r="W227" s="622"/>
      <c r="X227" s="543"/>
    </row>
    <row r="228" spans="1:24" x14ac:dyDescent="0.3">
      <c r="A228" s="466"/>
      <c r="B228" s="493" t="s">
        <v>82</v>
      </c>
      <c r="C228" s="467"/>
      <c r="D228" s="467"/>
      <c r="E228" s="467"/>
      <c r="F228" s="434"/>
      <c r="G228" s="434"/>
      <c r="H228" s="434"/>
      <c r="I228" s="434"/>
      <c r="J228" s="434"/>
      <c r="K228" s="434"/>
      <c r="L228" s="434"/>
      <c r="M228" s="434"/>
      <c r="N228" s="434"/>
      <c r="O228" s="434"/>
      <c r="P228" s="434"/>
      <c r="Q228" s="434"/>
      <c r="R228" s="434"/>
      <c r="S228" s="434"/>
      <c r="T228" s="620">
        <v>0</v>
      </c>
      <c r="U228" s="434"/>
      <c r="V228" s="468"/>
      <c r="W228" s="469"/>
      <c r="X228" s="415"/>
    </row>
    <row r="229" spans="1:24" x14ac:dyDescent="0.3">
      <c r="A229" s="466"/>
      <c r="B229" s="493" t="s">
        <v>243</v>
      </c>
      <c r="C229" s="467"/>
      <c r="D229" s="467"/>
      <c r="E229" s="467"/>
      <c r="F229" s="434"/>
      <c r="G229" s="434"/>
      <c r="H229" s="434"/>
      <c r="I229" s="434"/>
      <c r="J229" s="434"/>
      <c r="K229" s="434"/>
      <c r="L229" s="434"/>
      <c r="M229" s="434"/>
      <c r="N229" s="434"/>
      <c r="O229" s="434"/>
      <c r="P229" s="434"/>
      <c r="Q229" s="434"/>
      <c r="R229" s="434"/>
      <c r="S229" s="434"/>
      <c r="T229" s="620">
        <f>+N80</f>
        <v>0</v>
      </c>
      <c r="U229" s="434"/>
      <c r="V229" s="468"/>
      <c r="W229" s="469"/>
      <c r="X229" s="415"/>
    </row>
    <row r="230" spans="1:24" x14ac:dyDescent="0.3">
      <c r="A230" s="470"/>
      <c r="B230" s="493" t="s">
        <v>83</v>
      </c>
      <c r="C230" s="471"/>
      <c r="D230" s="471"/>
      <c r="E230" s="471"/>
      <c r="F230" s="471"/>
      <c r="G230" s="434"/>
      <c r="H230" s="434"/>
      <c r="I230" s="434"/>
      <c r="J230" s="434"/>
      <c r="K230" s="434"/>
      <c r="L230" s="434"/>
      <c r="M230" s="434"/>
      <c r="N230" s="434"/>
      <c r="O230" s="434"/>
      <c r="P230" s="434"/>
      <c r="Q230" s="434"/>
      <c r="R230" s="434"/>
      <c r="S230" s="434"/>
      <c r="T230" s="472"/>
      <c r="U230" s="434"/>
      <c r="V230" s="468"/>
      <c r="W230" s="473"/>
      <c r="X230" s="415"/>
    </row>
    <row r="231" spans="1:24" s="544" customFormat="1" x14ac:dyDescent="0.3">
      <c r="A231" s="623"/>
      <c r="B231" s="556" t="s">
        <v>84</v>
      </c>
      <c r="C231" s="556"/>
      <c r="D231" s="556"/>
      <c r="E231" s="556"/>
      <c r="F231" s="556"/>
      <c r="G231" s="556"/>
      <c r="H231" s="556"/>
      <c r="I231" s="556"/>
      <c r="J231" s="556"/>
      <c r="K231" s="556"/>
      <c r="L231" s="556"/>
      <c r="M231" s="556"/>
      <c r="N231" s="556"/>
      <c r="O231" s="556"/>
      <c r="P231" s="556"/>
      <c r="Q231" s="556"/>
      <c r="R231" s="556"/>
      <c r="S231" s="562"/>
      <c r="T231" s="620">
        <f>V169</f>
        <v>260</v>
      </c>
      <c r="U231" s="556"/>
      <c r="V231" s="621"/>
      <c r="W231" s="624"/>
      <c r="X231" s="543"/>
    </row>
    <row r="232" spans="1:24" s="544" customFormat="1" x14ac:dyDescent="0.3">
      <c r="A232" s="618"/>
      <c r="B232" s="556" t="s">
        <v>85</v>
      </c>
      <c r="C232" s="598"/>
      <c r="D232" s="598"/>
      <c r="E232" s="598"/>
      <c r="F232" s="598"/>
      <c r="G232" s="556"/>
      <c r="H232" s="556"/>
      <c r="I232" s="556"/>
      <c r="J232" s="556"/>
      <c r="K232" s="556"/>
      <c r="L232" s="556"/>
      <c r="M232" s="556"/>
      <c r="N232" s="556"/>
      <c r="O232" s="556"/>
      <c r="P232" s="556"/>
      <c r="Q232" s="556"/>
      <c r="R232" s="556"/>
      <c r="S232" s="562"/>
      <c r="T232" s="620">
        <f>'Nov 19'!T232+T231</f>
        <v>9157</v>
      </c>
      <c r="U232" s="556"/>
      <c r="V232" s="621"/>
      <c r="W232" s="624"/>
      <c r="X232" s="543"/>
    </row>
    <row r="233" spans="1:24" x14ac:dyDescent="0.3">
      <c r="A233" s="470"/>
      <c r="B233" s="493" t="s">
        <v>295</v>
      </c>
      <c r="C233" s="471"/>
      <c r="D233" s="471"/>
      <c r="E233" s="471"/>
      <c r="F233" s="471"/>
      <c r="G233" s="434"/>
      <c r="H233" s="434"/>
      <c r="I233" s="434"/>
      <c r="J233" s="434"/>
      <c r="K233" s="434"/>
      <c r="L233" s="434"/>
      <c r="M233" s="434"/>
      <c r="N233" s="434"/>
      <c r="O233" s="434"/>
      <c r="P233" s="434"/>
      <c r="Q233" s="434"/>
      <c r="R233" s="434"/>
      <c r="S233" s="435"/>
      <c r="T233" s="472"/>
      <c r="U233" s="434"/>
      <c r="V233" s="468"/>
      <c r="W233" s="473"/>
      <c r="X233" s="415"/>
    </row>
    <row r="234" spans="1:24" s="544" customFormat="1" x14ac:dyDescent="0.3">
      <c r="A234" s="623"/>
      <c r="B234" s="556" t="s">
        <v>291</v>
      </c>
      <c r="C234" s="556"/>
      <c r="D234" s="556"/>
      <c r="E234" s="556"/>
      <c r="F234" s="556"/>
      <c r="G234" s="556"/>
      <c r="H234" s="556"/>
      <c r="I234" s="556"/>
      <c r="J234" s="556"/>
      <c r="K234" s="556"/>
      <c r="L234" s="556"/>
      <c r="M234" s="556"/>
      <c r="N234" s="556"/>
      <c r="O234" s="556"/>
      <c r="P234" s="556"/>
      <c r="Q234" s="556"/>
      <c r="R234" s="556"/>
      <c r="S234" s="562">
        <v>0</v>
      </c>
      <c r="T234" s="620">
        <v>0</v>
      </c>
      <c r="U234" s="556"/>
      <c r="V234" s="621"/>
      <c r="W234" s="624"/>
      <c r="X234" s="543"/>
    </row>
    <row r="235" spans="1:24" s="544" customFormat="1" x14ac:dyDescent="0.3">
      <c r="A235" s="618"/>
      <c r="B235" s="556" t="s">
        <v>86</v>
      </c>
      <c r="C235" s="578"/>
      <c r="D235" s="578"/>
      <c r="E235" s="578"/>
      <c r="F235" s="625"/>
      <c r="G235" s="556"/>
      <c r="H235" s="556"/>
      <c r="I235" s="556"/>
      <c r="J235" s="556"/>
      <c r="K235" s="556"/>
      <c r="L235" s="556"/>
      <c r="M235" s="556"/>
      <c r="N235" s="556"/>
      <c r="O235" s="556"/>
      <c r="P235" s="556"/>
      <c r="Q235" s="556"/>
      <c r="R235" s="556"/>
      <c r="S235" s="556"/>
      <c r="T235" s="626">
        <v>0</v>
      </c>
      <c r="U235" s="556"/>
      <c r="V235" s="621"/>
      <c r="W235" s="624"/>
      <c r="X235" s="543"/>
    </row>
    <row r="236" spans="1:24" s="544" customFormat="1" x14ac:dyDescent="0.3">
      <c r="A236" s="618"/>
      <c r="B236" s="556" t="s">
        <v>87</v>
      </c>
      <c r="C236" s="578"/>
      <c r="D236" s="578"/>
      <c r="E236" s="578"/>
      <c r="F236" s="625"/>
      <c r="G236" s="556"/>
      <c r="H236" s="556"/>
      <c r="I236" s="556"/>
      <c r="J236" s="556"/>
      <c r="K236" s="556"/>
      <c r="L236" s="556"/>
      <c r="M236" s="556"/>
      <c r="N236" s="556"/>
      <c r="O236" s="556"/>
      <c r="P236" s="556"/>
      <c r="Q236" s="556"/>
      <c r="R236" s="556"/>
      <c r="S236" s="556"/>
      <c r="T236" s="626">
        <v>0</v>
      </c>
      <c r="U236" s="556"/>
      <c r="V236" s="621"/>
      <c r="W236" s="624"/>
      <c r="X236" s="543"/>
    </row>
    <row r="237" spans="1:24" x14ac:dyDescent="0.3">
      <c r="A237" s="466"/>
      <c r="B237" s="493" t="s">
        <v>217</v>
      </c>
      <c r="C237" s="474"/>
      <c r="D237" s="474"/>
      <c r="E237" s="474"/>
      <c r="F237" s="475"/>
      <c r="G237" s="434"/>
      <c r="H237" s="434"/>
      <c r="I237" s="434"/>
      <c r="J237" s="434"/>
      <c r="K237" s="434"/>
      <c r="L237" s="434"/>
      <c r="M237" s="434"/>
      <c r="N237" s="434"/>
      <c r="O237" s="434"/>
      <c r="P237" s="434"/>
      <c r="Q237" s="434"/>
      <c r="R237" s="434"/>
      <c r="S237" s="434"/>
      <c r="T237" s="476"/>
      <c r="U237" s="434"/>
      <c r="V237" s="468"/>
      <c r="W237" s="473"/>
      <c r="X237" s="415"/>
    </row>
    <row r="238" spans="1:24" s="544" customFormat="1" x14ac:dyDescent="0.3">
      <c r="A238" s="618"/>
      <c r="B238" s="556" t="s">
        <v>291</v>
      </c>
      <c r="C238" s="578"/>
      <c r="D238" s="578"/>
      <c r="E238" s="578"/>
      <c r="F238" s="625"/>
      <c r="G238" s="556"/>
      <c r="H238" s="556"/>
      <c r="I238" s="556"/>
      <c r="J238" s="556"/>
      <c r="K238" s="556"/>
      <c r="L238" s="556"/>
      <c r="M238" s="556"/>
      <c r="N238" s="556"/>
      <c r="O238" s="556"/>
      <c r="P238" s="556"/>
      <c r="Q238" s="556"/>
      <c r="R238" s="556"/>
      <c r="S238" s="562">
        <v>5</v>
      </c>
      <c r="T238" s="620">
        <v>737</v>
      </c>
      <c r="U238" s="556"/>
      <c r="V238" s="621"/>
      <c r="W238" s="624"/>
      <c r="X238" s="543"/>
    </row>
    <row r="239" spans="1:24" s="544" customFormat="1" x14ac:dyDescent="0.3">
      <c r="A239" s="618"/>
      <c r="B239" s="556" t="s">
        <v>218</v>
      </c>
      <c r="C239" s="578"/>
      <c r="D239" s="578"/>
      <c r="E239" s="578"/>
      <c r="F239" s="625"/>
      <c r="G239" s="556"/>
      <c r="H239" s="556"/>
      <c r="I239" s="556"/>
      <c r="J239" s="556"/>
      <c r="K239" s="556"/>
      <c r="L239" s="556"/>
      <c r="M239" s="556"/>
      <c r="N239" s="556"/>
      <c r="O239" s="556"/>
      <c r="P239" s="556"/>
      <c r="Q239" s="556"/>
      <c r="R239" s="556"/>
      <c r="S239" s="556"/>
      <c r="T239" s="626">
        <v>4.5</v>
      </c>
      <c r="U239" s="556"/>
      <c r="V239" s="621"/>
      <c r="W239" s="624"/>
      <c r="X239" s="543"/>
    </row>
    <row r="240" spans="1:24" x14ac:dyDescent="0.3">
      <c r="A240" s="466"/>
      <c r="B240" s="471"/>
      <c r="C240" s="474"/>
      <c r="D240" s="474"/>
      <c r="E240" s="474"/>
      <c r="F240" s="475"/>
      <c r="G240" s="434"/>
      <c r="H240" s="434"/>
      <c r="I240" s="434"/>
      <c r="J240" s="434"/>
      <c r="K240" s="434"/>
      <c r="L240" s="434"/>
      <c r="M240" s="434"/>
      <c r="N240" s="434"/>
      <c r="O240" s="434"/>
      <c r="P240" s="434"/>
      <c r="Q240" s="434"/>
      <c r="R240" s="434"/>
      <c r="S240" s="434"/>
      <c r="T240" s="476"/>
      <c r="U240" s="434"/>
      <c r="V240" s="468"/>
      <c r="W240" s="473"/>
      <c r="X240" s="415"/>
    </row>
    <row r="241" spans="1:25" x14ac:dyDescent="0.3">
      <c r="A241" s="466"/>
      <c r="B241" s="471"/>
      <c r="C241" s="474"/>
      <c r="D241" s="474"/>
      <c r="E241" s="474"/>
      <c r="F241" s="475"/>
      <c r="G241" s="434"/>
      <c r="H241" s="434"/>
      <c r="I241" s="434"/>
      <c r="J241" s="434"/>
      <c r="K241" s="434"/>
      <c r="L241" s="434"/>
      <c r="M241" s="434"/>
      <c r="N241" s="434"/>
      <c r="O241" s="434"/>
      <c r="P241" s="434"/>
      <c r="Q241" s="434"/>
      <c r="R241" s="434"/>
      <c r="S241" s="434"/>
      <c r="T241" s="476"/>
      <c r="U241" s="434"/>
      <c r="V241" s="468"/>
      <c r="W241" s="473"/>
      <c r="X241" s="415"/>
    </row>
    <row r="242" spans="1:25" ht="18" x14ac:dyDescent="0.35">
      <c r="A242" s="466"/>
      <c r="B242" s="512" t="s">
        <v>168</v>
      </c>
      <c r="C242" s="474"/>
      <c r="D242" s="474"/>
      <c r="E242" s="474"/>
      <c r="F242" s="475"/>
      <c r="G242" s="434"/>
      <c r="H242" s="434"/>
      <c r="I242" s="434"/>
      <c r="J242" s="434"/>
      <c r="K242" s="434"/>
      <c r="L242" s="434"/>
      <c r="M242" s="434"/>
      <c r="N242" s="434"/>
      <c r="O242" s="434"/>
      <c r="P242" s="513" t="s">
        <v>371</v>
      </c>
      <c r="Q242" s="434"/>
      <c r="R242" s="434"/>
      <c r="S242" s="434"/>
      <c r="T242" s="476"/>
      <c r="U242" s="434"/>
      <c r="V242" s="468"/>
      <c r="W242" s="473"/>
      <c r="X242" s="415"/>
    </row>
    <row r="243" spans="1:25" x14ac:dyDescent="0.3">
      <c r="A243" s="477"/>
      <c r="B243" s="511"/>
      <c r="C243" s="478"/>
      <c r="D243" s="478"/>
      <c r="E243" s="478"/>
      <c r="F243" s="479"/>
      <c r="G243" s="441"/>
      <c r="H243" s="441"/>
      <c r="I243" s="441"/>
      <c r="J243" s="441"/>
      <c r="K243" s="441"/>
      <c r="L243" s="441"/>
      <c r="M243" s="441"/>
      <c r="N243" s="441"/>
      <c r="O243" s="441"/>
      <c r="P243" s="441"/>
      <c r="Q243" s="441"/>
      <c r="R243" s="441"/>
      <c r="S243" s="441"/>
      <c r="T243" s="480"/>
      <c r="U243" s="441"/>
      <c r="V243" s="481"/>
      <c r="W243" s="482"/>
      <c r="X243" s="415"/>
    </row>
    <row r="244" spans="1:25" x14ac:dyDescent="0.3">
      <c r="A244" s="515"/>
      <c r="B244" s="523" t="s">
        <v>308</v>
      </c>
      <c r="C244" s="524"/>
      <c r="D244" s="524"/>
      <c r="E244" s="524"/>
      <c r="F244" s="534"/>
      <c r="G244" s="524"/>
      <c r="H244" s="524"/>
      <c r="I244" s="524"/>
      <c r="J244" s="524"/>
      <c r="K244" s="524"/>
      <c r="L244" s="524"/>
      <c r="M244" s="524"/>
      <c r="N244" s="524"/>
      <c r="O244" s="524"/>
      <c r="P244" s="524"/>
      <c r="Q244" s="524"/>
      <c r="R244" s="534" t="s">
        <v>102</v>
      </c>
      <c r="S244" s="524" t="s">
        <v>103</v>
      </c>
      <c r="T244" s="534" t="s">
        <v>109</v>
      </c>
      <c r="U244" s="524" t="s">
        <v>103</v>
      </c>
      <c r="V244" s="517"/>
      <c r="W244" s="535"/>
      <c r="X244" s="415"/>
    </row>
    <row r="245" spans="1:25" s="544" customFormat="1" x14ac:dyDescent="0.3">
      <c r="A245" s="540"/>
      <c r="B245" s="600" t="s">
        <v>88</v>
      </c>
      <c r="C245" s="627"/>
      <c r="D245" s="627"/>
      <c r="E245" s="627"/>
      <c r="F245" s="588"/>
      <c r="G245" s="627"/>
      <c r="H245" s="627"/>
      <c r="I245" s="627"/>
      <c r="J245" s="627"/>
      <c r="K245" s="627"/>
      <c r="L245" s="627"/>
      <c r="M245" s="627"/>
      <c r="N245" s="627"/>
      <c r="O245" s="627"/>
      <c r="P245" s="627"/>
      <c r="Q245" s="627"/>
      <c r="R245" s="600">
        <f t="shared" ref="R245:R252" si="1">+R257+R269+R281</f>
        <v>5303</v>
      </c>
      <c r="S245" s="628">
        <f t="shared" ref="S245:S252" si="2">R245/$R$254</f>
        <v>0.9878912071535022</v>
      </c>
      <c r="T245" s="601">
        <f t="shared" ref="T245:T252" si="3">+T257+T269+T281</f>
        <v>717519</v>
      </c>
      <c r="U245" s="628">
        <f t="shared" ref="U245:U252" si="4">T245/$T$254</f>
        <v>0.98469001955604352</v>
      </c>
      <c r="V245" s="616"/>
      <c r="W245" s="629"/>
      <c r="X245" s="543"/>
    </row>
    <row r="246" spans="1:25" s="544" customFormat="1" x14ac:dyDescent="0.3">
      <c r="A246" s="555"/>
      <c r="B246" s="598" t="s">
        <v>89</v>
      </c>
      <c r="C246" s="630"/>
      <c r="D246" s="630"/>
      <c r="E246" s="630"/>
      <c r="F246" s="556"/>
      <c r="G246" s="631"/>
      <c r="H246" s="630"/>
      <c r="I246" s="630"/>
      <c r="J246" s="630"/>
      <c r="K246" s="630"/>
      <c r="L246" s="630"/>
      <c r="M246" s="630"/>
      <c r="N246" s="630"/>
      <c r="O246" s="630"/>
      <c r="P246" s="630"/>
      <c r="Q246" s="630"/>
      <c r="R246" s="598">
        <f t="shared" si="1"/>
        <v>40</v>
      </c>
      <c r="S246" s="631">
        <f t="shared" si="2"/>
        <v>7.4515648286140089E-3</v>
      </c>
      <c r="T246" s="599">
        <f t="shared" si="3"/>
        <v>8143</v>
      </c>
      <c r="U246" s="631">
        <f t="shared" si="4"/>
        <v>1.1175078052629774E-2</v>
      </c>
      <c r="V246" s="621"/>
      <c r="W246" s="624"/>
      <c r="X246" s="543"/>
      <c r="Y246" s="604"/>
    </row>
    <row r="247" spans="1:25" s="544" customFormat="1" x14ac:dyDescent="0.3">
      <c r="A247" s="555"/>
      <c r="B247" s="598" t="s">
        <v>90</v>
      </c>
      <c r="C247" s="630"/>
      <c r="D247" s="630"/>
      <c r="E247" s="630"/>
      <c r="F247" s="556"/>
      <c r="G247" s="631"/>
      <c r="H247" s="630"/>
      <c r="I247" s="630"/>
      <c r="J247" s="630"/>
      <c r="K247" s="630"/>
      <c r="L247" s="630"/>
      <c r="M247" s="630"/>
      <c r="N247" s="630"/>
      <c r="O247" s="630"/>
      <c r="P247" s="630"/>
      <c r="Q247" s="630"/>
      <c r="R247" s="598">
        <f t="shared" si="1"/>
        <v>14</v>
      </c>
      <c r="S247" s="631">
        <f t="shared" si="2"/>
        <v>2.6080476900149033E-3</v>
      </c>
      <c r="T247" s="599">
        <f t="shared" si="3"/>
        <v>1416</v>
      </c>
      <c r="U247" s="631">
        <f t="shared" si="4"/>
        <v>1.9432531649912512E-3</v>
      </c>
      <c r="V247" s="621"/>
      <c r="W247" s="624"/>
      <c r="X247" s="543"/>
    </row>
    <row r="248" spans="1:25" s="544" customFormat="1" x14ac:dyDescent="0.3">
      <c r="A248" s="555"/>
      <c r="B248" s="598" t="s">
        <v>156</v>
      </c>
      <c r="C248" s="630"/>
      <c r="D248" s="630"/>
      <c r="E248" s="630"/>
      <c r="F248" s="556"/>
      <c r="G248" s="631"/>
      <c r="H248" s="630"/>
      <c r="I248" s="630"/>
      <c r="J248" s="630"/>
      <c r="K248" s="630"/>
      <c r="L248" s="630"/>
      <c r="M248" s="630"/>
      <c r="N248" s="630"/>
      <c r="O248" s="630"/>
      <c r="P248" s="630"/>
      <c r="Q248" s="630"/>
      <c r="R248" s="598">
        <f t="shared" si="1"/>
        <v>0</v>
      </c>
      <c r="S248" s="631">
        <f t="shared" si="2"/>
        <v>0</v>
      </c>
      <c r="T248" s="599">
        <f t="shared" si="3"/>
        <v>0</v>
      </c>
      <c r="U248" s="631">
        <f t="shared" si="4"/>
        <v>0</v>
      </c>
      <c r="V248" s="621"/>
      <c r="W248" s="624"/>
      <c r="X248" s="543"/>
      <c r="Y248" s="604"/>
    </row>
    <row r="249" spans="1:25" s="544" customFormat="1" x14ac:dyDescent="0.3">
      <c r="A249" s="555"/>
      <c r="B249" s="598" t="s">
        <v>157</v>
      </c>
      <c r="C249" s="630"/>
      <c r="D249" s="630"/>
      <c r="E249" s="630"/>
      <c r="F249" s="556"/>
      <c r="G249" s="631"/>
      <c r="H249" s="630"/>
      <c r="I249" s="630"/>
      <c r="J249" s="630"/>
      <c r="K249" s="630"/>
      <c r="L249" s="630"/>
      <c r="M249" s="630"/>
      <c r="N249" s="630"/>
      <c r="O249" s="630"/>
      <c r="P249" s="630"/>
      <c r="Q249" s="630"/>
      <c r="R249" s="598">
        <f t="shared" si="1"/>
        <v>3</v>
      </c>
      <c r="S249" s="631">
        <f t="shared" si="2"/>
        <v>5.5886736214605067E-4</v>
      </c>
      <c r="T249" s="599">
        <f t="shared" si="3"/>
        <v>360</v>
      </c>
      <c r="U249" s="631">
        <f t="shared" si="4"/>
        <v>4.940474148282842E-4</v>
      </c>
      <c r="V249" s="621"/>
      <c r="W249" s="624"/>
      <c r="X249" s="543"/>
    </row>
    <row r="250" spans="1:25" s="544" customFormat="1" x14ac:dyDescent="0.3">
      <c r="A250" s="555"/>
      <c r="B250" s="598" t="s">
        <v>158</v>
      </c>
      <c r="C250" s="630"/>
      <c r="D250" s="630"/>
      <c r="E250" s="630"/>
      <c r="F250" s="556"/>
      <c r="G250" s="631"/>
      <c r="H250" s="630"/>
      <c r="I250" s="630"/>
      <c r="J250" s="630"/>
      <c r="K250" s="630"/>
      <c r="L250" s="630"/>
      <c r="M250" s="630"/>
      <c r="N250" s="630"/>
      <c r="O250" s="630"/>
      <c r="P250" s="630"/>
      <c r="Q250" s="630"/>
      <c r="R250" s="598">
        <f t="shared" si="1"/>
        <v>1</v>
      </c>
      <c r="S250" s="631">
        <f t="shared" si="2"/>
        <v>1.8628912071535022E-4</v>
      </c>
      <c r="T250" s="599">
        <f t="shared" si="3"/>
        <v>340</v>
      </c>
      <c r="U250" s="631">
        <f t="shared" si="4"/>
        <v>4.6660033622671288E-4</v>
      </c>
      <c r="V250" s="621"/>
      <c r="W250" s="624"/>
      <c r="X250" s="543"/>
      <c r="Y250" s="604"/>
    </row>
    <row r="251" spans="1:25" s="544" customFormat="1" x14ac:dyDescent="0.3">
      <c r="A251" s="555"/>
      <c r="B251" s="598" t="s">
        <v>159</v>
      </c>
      <c r="C251" s="630"/>
      <c r="D251" s="630"/>
      <c r="E251" s="630"/>
      <c r="F251" s="556"/>
      <c r="G251" s="631"/>
      <c r="H251" s="630"/>
      <c r="I251" s="630"/>
      <c r="J251" s="630"/>
      <c r="K251" s="630"/>
      <c r="L251" s="630"/>
      <c r="M251" s="630"/>
      <c r="N251" s="630"/>
      <c r="O251" s="630"/>
      <c r="P251" s="630"/>
      <c r="Q251" s="630"/>
      <c r="R251" s="598">
        <f t="shared" si="1"/>
        <v>6</v>
      </c>
      <c r="S251" s="631">
        <f t="shared" si="2"/>
        <v>1.1177347242921013E-3</v>
      </c>
      <c r="T251" s="599">
        <f t="shared" si="3"/>
        <v>822</v>
      </c>
      <c r="U251" s="631">
        <f t="shared" si="4"/>
        <v>1.1280749305245823E-3</v>
      </c>
      <c r="V251" s="621"/>
      <c r="W251" s="624"/>
      <c r="X251" s="543"/>
    </row>
    <row r="252" spans="1:25" s="544" customFormat="1" x14ac:dyDescent="0.3">
      <c r="A252" s="555"/>
      <c r="B252" s="598" t="s">
        <v>160</v>
      </c>
      <c r="C252" s="630"/>
      <c r="D252" s="630"/>
      <c r="E252" s="630"/>
      <c r="F252" s="556"/>
      <c r="G252" s="631"/>
      <c r="H252" s="630"/>
      <c r="I252" s="630"/>
      <c r="J252" s="630"/>
      <c r="K252" s="630"/>
      <c r="L252" s="630"/>
      <c r="M252" s="630"/>
      <c r="N252" s="630"/>
      <c r="O252" s="630"/>
      <c r="P252" s="630"/>
      <c r="Q252" s="630"/>
      <c r="R252" s="600">
        <f t="shared" si="1"/>
        <v>1</v>
      </c>
      <c r="S252" s="628">
        <f t="shared" si="2"/>
        <v>1.8628912071535022E-4</v>
      </c>
      <c r="T252" s="601">
        <f t="shared" si="3"/>
        <v>75</v>
      </c>
      <c r="U252" s="628">
        <f t="shared" si="4"/>
        <v>1.0292654475589255E-4</v>
      </c>
      <c r="V252" s="621"/>
      <c r="W252" s="624"/>
      <c r="X252" s="543"/>
      <c r="Y252" s="604"/>
    </row>
    <row r="253" spans="1:25" s="544" customFormat="1" x14ac:dyDescent="0.3">
      <c r="A253" s="555"/>
      <c r="B253" s="598"/>
      <c r="C253" s="630"/>
      <c r="D253" s="630"/>
      <c r="E253" s="630"/>
      <c r="F253" s="556"/>
      <c r="G253" s="631"/>
      <c r="H253" s="630"/>
      <c r="I253" s="630"/>
      <c r="J253" s="630"/>
      <c r="K253" s="630"/>
      <c r="L253" s="630"/>
      <c r="M253" s="630"/>
      <c r="N253" s="630"/>
      <c r="O253" s="630"/>
      <c r="P253" s="630"/>
      <c r="Q253" s="630"/>
      <c r="R253" s="598"/>
      <c r="S253" s="631"/>
      <c r="T253" s="599"/>
      <c r="U253" s="631"/>
      <c r="V253" s="621"/>
      <c r="W253" s="624"/>
      <c r="X253" s="543"/>
    </row>
    <row r="254" spans="1:25" s="544" customFormat="1" x14ac:dyDescent="0.3">
      <c r="A254" s="555"/>
      <c r="B254" s="556"/>
      <c r="C254" s="556"/>
      <c r="D254" s="556"/>
      <c r="E254" s="556"/>
      <c r="F254" s="556"/>
      <c r="G254" s="556"/>
      <c r="H254" s="632"/>
      <c r="I254" s="632"/>
      <c r="J254" s="632"/>
      <c r="K254" s="632"/>
      <c r="L254" s="632"/>
      <c r="M254" s="632"/>
      <c r="N254" s="632"/>
      <c r="O254" s="632"/>
      <c r="P254" s="632"/>
      <c r="Q254" s="632"/>
      <c r="R254" s="598">
        <f>SUM(R245:R253)</f>
        <v>5368</v>
      </c>
      <c r="S254" s="631">
        <f>SUM(S245:S253)</f>
        <v>1</v>
      </c>
      <c r="T254" s="599">
        <f>SUM(T245:T253)</f>
        <v>728675</v>
      </c>
      <c r="U254" s="631">
        <f>SUM(U245:U253)</f>
        <v>0.99999999999999989</v>
      </c>
      <c r="V254" s="556"/>
      <c r="W254" s="558"/>
      <c r="X254" s="543"/>
    </row>
    <row r="255" spans="1:25" x14ac:dyDescent="0.3">
      <c r="A255" s="417"/>
      <c r="B255" s="441"/>
      <c r="C255" s="441"/>
      <c r="D255" s="441"/>
      <c r="E255" s="441"/>
      <c r="F255" s="441"/>
      <c r="G255" s="441"/>
      <c r="H255" s="485"/>
      <c r="I255" s="485"/>
      <c r="J255" s="485"/>
      <c r="K255" s="485"/>
      <c r="L255" s="485"/>
      <c r="M255" s="485"/>
      <c r="N255" s="485"/>
      <c r="O255" s="485"/>
      <c r="P255" s="485"/>
      <c r="Q255" s="485"/>
      <c r="R255" s="442"/>
      <c r="S255" s="486"/>
      <c r="T255" s="487"/>
      <c r="U255" s="486"/>
      <c r="V255" s="441"/>
      <c r="W255" s="441"/>
      <c r="X255" s="415"/>
    </row>
    <row r="256" spans="1:25" x14ac:dyDescent="0.3">
      <c r="A256" s="515"/>
      <c r="B256" s="523" t="s">
        <v>162</v>
      </c>
      <c r="C256" s="524"/>
      <c r="D256" s="524"/>
      <c r="E256" s="524"/>
      <c r="F256" s="534"/>
      <c r="G256" s="524"/>
      <c r="H256" s="524"/>
      <c r="I256" s="524"/>
      <c r="J256" s="524"/>
      <c r="K256" s="524"/>
      <c r="L256" s="524"/>
      <c r="M256" s="524"/>
      <c r="N256" s="524"/>
      <c r="O256" s="524"/>
      <c r="P256" s="524"/>
      <c r="Q256" s="524"/>
      <c r="R256" s="534" t="s">
        <v>102</v>
      </c>
      <c r="S256" s="524" t="s">
        <v>103</v>
      </c>
      <c r="T256" s="534" t="s">
        <v>109</v>
      </c>
      <c r="U256" s="524" t="s">
        <v>103</v>
      </c>
      <c r="V256" s="517"/>
      <c r="W256" s="535"/>
      <c r="X256" s="415"/>
    </row>
    <row r="257" spans="1:25" s="544" customFormat="1" x14ac:dyDescent="0.3">
      <c r="A257" s="540"/>
      <c r="B257" s="600" t="s">
        <v>88</v>
      </c>
      <c r="C257" s="627"/>
      <c r="D257" s="627"/>
      <c r="E257" s="627"/>
      <c r="F257" s="588"/>
      <c r="G257" s="627"/>
      <c r="H257" s="627"/>
      <c r="I257" s="627"/>
      <c r="J257" s="627"/>
      <c r="K257" s="627"/>
      <c r="L257" s="627"/>
      <c r="M257" s="627"/>
      <c r="N257" s="627"/>
      <c r="O257" s="627"/>
      <c r="P257" s="627"/>
      <c r="Q257" s="627"/>
      <c r="R257" s="600">
        <v>5210</v>
      </c>
      <c r="S257" s="628">
        <f t="shared" ref="S257:S264" si="5">R257/$R$266</f>
        <v>0.99181420140871879</v>
      </c>
      <c r="T257" s="601">
        <v>703005</v>
      </c>
      <c r="U257" s="628">
        <f t="shared" ref="U257:U264" si="6">T257/$T$266</f>
        <v>0.98939956680651397</v>
      </c>
      <c r="V257" s="616"/>
      <c r="W257" s="629"/>
      <c r="X257" s="543"/>
    </row>
    <row r="258" spans="1:25" s="544" customFormat="1" x14ac:dyDescent="0.3">
      <c r="A258" s="555"/>
      <c r="B258" s="598" t="s">
        <v>89</v>
      </c>
      <c r="C258" s="630"/>
      <c r="D258" s="630"/>
      <c r="E258" s="630"/>
      <c r="F258" s="556"/>
      <c r="G258" s="631"/>
      <c r="H258" s="630"/>
      <c r="I258" s="630"/>
      <c r="J258" s="630"/>
      <c r="K258" s="630"/>
      <c r="L258" s="630"/>
      <c r="M258" s="630"/>
      <c r="N258" s="630"/>
      <c r="O258" s="630"/>
      <c r="P258" s="630"/>
      <c r="Q258" s="630"/>
      <c r="R258" s="598">
        <v>30</v>
      </c>
      <c r="S258" s="631">
        <f t="shared" si="5"/>
        <v>5.7110222729868645E-3</v>
      </c>
      <c r="T258" s="599">
        <v>6429</v>
      </c>
      <c r="U258" s="631">
        <f t="shared" si="6"/>
        <v>9.0480861658154329E-3</v>
      </c>
      <c r="V258" s="621"/>
      <c r="W258" s="624"/>
      <c r="X258" s="543"/>
      <c r="Y258" s="604"/>
    </row>
    <row r="259" spans="1:25" s="544" customFormat="1" x14ac:dyDescent="0.3">
      <c r="A259" s="555"/>
      <c r="B259" s="598" t="s">
        <v>90</v>
      </c>
      <c r="C259" s="630"/>
      <c r="D259" s="630"/>
      <c r="E259" s="630"/>
      <c r="F259" s="556"/>
      <c r="G259" s="631"/>
      <c r="H259" s="630"/>
      <c r="I259" s="630"/>
      <c r="J259" s="630"/>
      <c r="K259" s="630"/>
      <c r="L259" s="630"/>
      <c r="M259" s="630"/>
      <c r="N259" s="630"/>
      <c r="O259" s="630"/>
      <c r="P259" s="630"/>
      <c r="Q259" s="630"/>
      <c r="R259" s="598">
        <v>12</v>
      </c>
      <c r="S259" s="631">
        <f t="shared" si="5"/>
        <v>2.2844089091947459E-3</v>
      </c>
      <c r="T259" s="599">
        <v>1028</v>
      </c>
      <c r="U259" s="631">
        <f t="shared" si="6"/>
        <v>1.4467930593339967E-3</v>
      </c>
      <c r="V259" s="621"/>
      <c r="W259" s="624"/>
      <c r="X259" s="543"/>
    </row>
    <row r="260" spans="1:25" s="544" customFormat="1" x14ac:dyDescent="0.3">
      <c r="A260" s="555"/>
      <c r="B260" s="598" t="s">
        <v>156</v>
      </c>
      <c r="C260" s="630"/>
      <c r="D260" s="630"/>
      <c r="E260" s="630"/>
      <c r="F260" s="556"/>
      <c r="G260" s="631"/>
      <c r="H260" s="630"/>
      <c r="I260" s="630"/>
      <c r="J260" s="630"/>
      <c r="K260" s="630"/>
      <c r="L260" s="630"/>
      <c r="M260" s="630"/>
      <c r="N260" s="630"/>
      <c r="O260" s="630"/>
      <c r="P260" s="630"/>
      <c r="Q260" s="630"/>
      <c r="R260" s="598">
        <v>0</v>
      </c>
      <c r="S260" s="631">
        <f t="shared" si="5"/>
        <v>0</v>
      </c>
      <c r="T260" s="599">
        <v>0</v>
      </c>
      <c r="U260" s="631">
        <f t="shared" si="6"/>
        <v>0</v>
      </c>
      <c r="V260" s="621"/>
      <c r="W260" s="624"/>
      <c r="X260" s="543"/>
      <c r="Y260" s="604"/>
    </row>
    <row r="261" spans="1:25" s="544" customFormat="1" x14ac:dyDescent="0.3">
      <c r="A261" s="555"/>
      <c r="B261" s="598" t="s">
        <v>157</v>
      </c>
      <c r="C261" s="630"/>
      <c r="D261" s="630"/>
      <c r="E261" s="630"/>
      <c r="F261" s="556"/>
      <c r="G261" s="631"/>
      <c r="H261" s="630"/>
      <c r="I261" s="630"/>
      <c r="J261" s="630"/>
      <c r="K261" s="630"/>
      <c r="L261" s="630"/>
      <c r="M261" s="630"/>
      <c r="N261" s="630"/>
      <c r="O261" s="630"/>
      <c r="P261" s="630"/>
      <c r="Q261" s="630"/>
      <c r="R261" s="598">
        <v>0</v>
      </c>
      <c r="S261" s="631">
        <f t="shared" si="5"/>
        <v>0</v>
      </c>
      <c r="T261" s="599">
        <v>0</v>
      </c>
      <c r="U261" s="631">
        <f t="shared" si="6"/>
        <v>0</v>
      </c>
      <c r="V261" s="621"/>
      <c r="W261" s="624"/>
      <c r="X261" s="543"/>
    </row>
    <row r="262" spans="1:25" s="544" customFormat="1" x14ac:dyDescent="0.3">
      <c r="A262" s="555"/>
      <c r="B262" s="598" t="s">
        <v>158</v>
      </c>
      <c r="C262" s="630"/>
      <c r="D262" s="630"/>
      <c r="E262" s="630"/>
      <c r="F262" s="556"/>
      <c r="G262" s="631"/>
      <c r="H262" s="630"/>
      <c r="I262" s="630"/>
      <c r="J262" s="630"/>
      <c r="K262" s="630"/>
      <c r="L262" s="630"/>
      <c r="M262" s="630"/>
      <c r="N262" s="630"/>
      <c r="O262" s="630"/>
      <c r="P262" s="630"/>
      <c r="Q262" s="630"/>
      <c r="R262" s="598">
        <v>0</v>
      </c>
      <c r="S262" s="631">
        <f t="shared" si="5"/>
        <v>0</v>
      </c>
      <c r="T262" s="599">
        <v>0</v>
      </c>
      <c r="U262" s="631">
        <f t="shared" si="6"/>
        <v>0</v>
      </c>
      <c r="V262" s="621"/>
      <c r="W262" s="624"/>
      <c r="X262" s="543"/>
      <c r="Y262" s="604"/>
    </row>
    <row r="263" spans="1:25" s="544" customFormat="1" x14ac:dyDescent="0.3">
      <c r="A263" s="555"/>
      <c r="B263" s="598" t="s">
        <v>159</v>
      </c>
      <c r="C263" s="630"/>
      <c r="D263" s="630"/>
      <c r="E263" s="630"/>
      <c r="F263" s="556"/>
      <c r="G263" s="631"/>
      <c r="H263" s="630"/>
      <c r="I263" s="630"/>
      <c r="J263" s="630"/>
      <c r="K263" s="630"/>
      <c r="L263" s="630"/>
      <c r="M263" s="630"/>
      <c r="N263" s="630"/>
      <c r="O263" s="630"/>
      <c r="P263" s="630"/>
      <c r="Q263" s="630"/>
      <c r="R263" s="598">
        <v>0</v>
      </c>
      <c r="S263" s="631">
        <f t="shared" si="5"/>
        <v>0</v>
      </c>
      <c r="T263" s="599">
        <v>0</v>
      </c>
      <c r="U263" s="631">
        <f t="shared" si="6"/>
        <v>0</v>
      </c>
      <c r="V263" s="621"/>
      <c r="W263" s="624"/>
      <c r="X263" s="543"/>
    </row>
    <row r="264" spans="1:25" s="544" customFormat="1" x14ac:dyDescent="0.3">
      <c r="A264" s="555"/>
      <c r="B264" s="598" t="s">
        <v>160</v>
      </c>
      <c r="C264" s="630"/>
      <c r="D264" s="630"/>
      <c r="E264" s="630"/>
      <c r="F264" s="556"/>
      <c r="G264" s="631"/>
      <c r="H264" s="630"/>
      <c r="I264" s="630"/>
      <c r="J264" s="630"/>
      <c r="K264" s="630"/>
      <c r="L264" s="630"/>
      <c r="M264" s="630"/>
      <c r="N264" s="630"/>
      <c r="O264" s="630"/>
      <c r="P264" s="630"/>
      <c r="Q264" s="630"/>
      <c r="R264" s="598">
        <v>1</v>
      </c>
      <c r="S264" s="631">
        <f t="shared" si="5"/>
        <v>1.9036740909956216E-4</v>
      </c>
      <c r="T264" s="599">
        <v>75</v>
      </c>
      <c r="U264" s="631">
        <f t="shared" si="6"/>
        <v>1.0555396833662427E-4</v>
      </c>
      <c r="V264" s="621"/>
      <c r="W264" s="624"/>
      <c r="X264" s="543"/>
      <c r="Y264" s="604"/>
    </row>
    <row r="265" spans="1:25" s="544" customFormat="1" x14ac:dyDescent="0.3">
      <c r="A265" s="555"/>
      <c r="B265" s="598"/>
      <c r="C265" s="630"/>
      <c r="D265" s="630"/>
      <c r="E265" s="630"/>
      <c r="F265" s="556"/>
      <c r="G265" s="631"/>
      <c r="H265" s="630"/>
      <c r="I265" s="630"/>
      <c r="J265" s="630"/>
      <c r="K265" s="630"/>
      <c r="L265" s="630"/>
      <c r="M265" s="630"/>
      <c r="N265" s="630"/>
      <c r="O265" s="630"/>
      <c r="P265" s="630"/>
      <c r="Q265" s="630"/>
      <c r="R265" s="598"/>
      <c r="S265" s="631"/>
      <c r="T265" s="599"/>
      <c r="U265" s="631"/>
      <c r="V265" s="621"/>
      <c r="W265" s="624"/>
      <c r="X265" s="543"/>
    </row>
    <row r="266" spans="1:25" s="544" customFormat="1" x14ac:dyDescent="0.3">
      <c r="A266" s="555"/>
      <c r="B266" s="556"/>
      <c r="C266" s="556"/>
      <c r="D266" s="556"/>
      <c r="E266" s="556"/>
      <c r="F266" s="556"/>
      <c r="G266" s="556"/>
      <c r="H266" s="632"/>
      <c r="I266" s="632"/>
      <c r="J266" s="632"/>
      <c r="K266" s="632"/>
      <c r="L266" s="632"/>
      <c r="M266" s="632"/>
      <c r="N266" s="632"/>
      <c r="O266" s="632"/>
      <c r="P266" s="632"/>
      <c r="Q266" s="632"/>
      <c r="R266" s="598">
        <f>SUM(R257:R265)</f>
        <v>5253</v>
      </c>
      <c r="S266" s="631">
        <f>SUM(S257:S265)</f>
        <v>1</v>
      </c>
      <c r="T266" s="599">
        <f>SUM(T257:T265)</f>
        <v>710537</v>
      </c>
      <c r="U266" s="631">
        <f>SUM(U257:U265)</f>
        <v>1</v>
      </c>
      <c r="V266" s="556"/>
      <c r="W266" s="558"/>
      <c r="X266" s="543"/>
    </row>
    <row r="267" spans="1:25" x14ac:dyDescent="0.3">
      <c r="A267" s="417"/>
      <c r="B267" s="441"/>
      <c r="C267" s="441"/>
      <c r="D267" s="441"/>
      <c r="E267" s="441"/>
      <c r="F267" s="441"/>
      <c r="G267" s="441"/>
      <c r="H267" s="485"/>
      <c r="I267" s="485"/>
      <c r="J267" s="485"/>
      <c r="K267" s="485"/>
      <c r="L267" s="485"/>
      <c r="M267" s="485"/>
      <c r="N267" s="485"/>
      <c r="O267" s="485"/>
      <c r="P267" s="485"/>
      <c r="Q267" s="485"/>
      <c r="R267" s="442"/>
      <c r="S267" s="486"/>
      <c r="T267" s="487"/>
      <c r="U267" s="486"/>
      <c r="V267" s="441"/>
      <c r="W267" s="441"/>
      <c r="X267" s="415"/>
    </row>
    <row r="268" spans="1:25" x14ac:dyDescent="0.3">
      <c r="A268" s="515"/>
      <c r="B268" s="523" t="s">
        <v>275</v>
      </c>
      <c r="C268" s="524"/>
      <c r="D268" s="524"/>
      <c r="E268" s="524"/>
      <c r="F268" s="534"/>
      <c r="G268" s="524"/>
      <c r="H268" s="524"/>
      <c r="I268" s="524"/>
      <c r="J268" s="524"/>
      <c r="K268" s="524"/>
      <c r="L268" s="524"/>
      <c r="M268" s="524"/>
      <c r="N268" s="524"/>
      <c r="O268" s="524"/>
      <c r="P268" s="524"/>
      <c r="Q268" s="524"/>
      <c r="R268" s="534" t="s">
        <v>102</v>
      </c>
      <c r="S268" s="524" t="s">
        <v>103</v>
      </c>
      <c r="T268" s="534" t="s">
        <v>109</v>
      </c>
      <c r="U268" s="524" t="s">
        <v>103</v>
      </c>
      <c r="V268" s="517"/>
      <c r="W268" s="520"/>
      <c r="X268" s="415"/>
    </row>
    <row r="269" spans="1:25" s="544" customFormat="1" x14ac:dyDescent="0.3">
      <c r="A269" s="540"/>
      <c r="B269" s="600" t="s">
        <v>88</v>
      </c>
      <c r="C269" s="627"/>
      <c r="D269" s="627"/>
      <c r="E269" s="627"/>
      <c r="F269" s="588"/>
      <c r="G269" s="627"/>
      <c r="H269" s="627"/>
      <c r="I269" s="627"/>
      <c r="J269" s="627"/>
      <c r="K269" s="627"/>
      <c r="L269" s="627"/>
      <c r="M269" s="627"/>
      <c r="N269" s="627"/>
      <c r="O269" s="627"/>
      <c r="P269" s="627"/>
      <c r="Q269" s="627"/>
      <c r="R269" s="600">
        <v>93</v>
      </c>
      <c r="S269" s="628">
        <f t="shared" ref="S269:S276" si="7">R269/$R$278</f>
        <v>0.81578947368421051</v>
      </c>
      <c r="T269" s="601">
        <v>14514</v>
      </c>
      <c r="U269" s="628">
        <f t="shared" ref="U269:U276" si="8">T269/$T$278</f>
        <v>0.80414427392099286</v>
      </c>
      <c r="V269" s="588"/>
      <c r="W269" s="588"/>
      <c r="X269" s="543"/>
    </row>
    <row r="270" spans="1:25" s="544" customFormat="1" x14ac:dyDescent="0.3">
      <c r="A270" s="555"/>
      <c r="B270" s="598" t="s">
        <v>89</v>
      </c>
      <c r="C270" s="630"/>
      <c r="D270" s="630"/>
      <c r="E270" s="630"/>
      <c r="F270" s="556"/>
      <c r="G270" s="631"/>
      <c r="H270" s="630"/>
      <c r="I270" s="630"/>
      <c r="J270" s="630"/>
      <c r="K270" s="630"/>
      <c r="L270" s="630"/>
      <c r="M270" s="630"/>
      <c r="N270" s="630"/>
      <c r="O270" s="630"/>
      <c r="P270" s="630"/>
      <c r="Q270" s="630"/>
      <c r="R270" s="598">
        <v>10</v>
      </c>
      <c r="S270" s="631">
        <f t="shared" si="7"/>
        <v>8.771929824561403E-2</v>
      </c>
      <c r="T270" s="599">
        <v>1714</v>
      </c>
      <c r="U270" s="631">
        <f t="shared" si="8"/>
        <v>9.4963709900825533E-2</v>
      </c>
      <c r="V270" s="556"/>
      <c r="W270" s="558"/>
      <c r="X270" s="543"/>
    </row>
    <row r="271" spans="1:25" s="544" customFormat="1" x14ac:dyDescent="0.3">
      <c r="A271" s="555"/>
      <c r="B271" s="598" t="s">
        <v>90</v>
      </c>
      <c r="C271" s="630"/>
      <c r="D271" s="630"/>
      <c r="E271" s="630"/>
      <c r="F271" s="556"/>
      <c r="G271" s="631"/>
      <c r="H271" s="630"/>
      <c r="I271" s="630"/>
      <c r="J271" s="630"/>
      <c r="K271" s="630"/>
      <c r="L271" s="630"/>
      <c r="M271" s="630"/>
      <c r="N271" s="630"/>
      <c r="O271" s="630"/>
      <c r="P271" s="630"/>
      <c r="Q271" s="630"/>
      <c r="R271" s="598">
        <v>2</v>
      </c>
      <c r="S271" s="631">
        <f t="shared" si="7"/>
        <v>1.7543859649122806E-2</v>
      </c>
      <c r="T271" s="599">
        <v>388</v>
      </c>
      <c r="U271" s="631">
        <f t="shared" si="8"/>
        <v>2.1497035846861322E-2</v>
      </c>
      <c r="V271" s="556"/>
      <c r="W271" s="558"/>
      <c r="X271" s="543"/>
    </row>
    <row r="272" spans="1:25" s="544" customFormat="1" x14ac:dyDescent="0.3">
      <c r="A272" s="555"/>
      <c r="B272" s="598" t="s">
        <v>156</v>
      </c>
      <c r="C272" s="630"/>
      <c r="D272" s="630"/>
      <c r="E272" s="630"/>
      <c r="F272" s="556"/>
      <c r="G272" s="631"/>
      <c r="H272" s="630"/>
      <c r="I272" s="630"/>
      <c r="J272" s="630"/>
      <c r="K272" s="630"/>
      <c r="L272" s="630"/>
      <c r="M272" s="630"/>
      <c r="N272" s="630"/>
      <c r="O272" s="630"/>
      <c r="P272" s="630"/>
      <c r="Q272" s="630"/>
      <c r="R272" s="598">
        <v>0</v>
      </c>
      <c r="S272" s="631">
        <f t="shared" si="7"/>
        <v>0</v>
      </c>
      <c r="T272" s="599">
        <v>0</v>
      </c>
      <c r="U272" s="631">
        <f t="shared" si="8"/>
        <v>0</v>
      </c>
      <c r="V272" s="556"/>
      <c r="W272" s="558"/>
      <c r="X272" s="543"/>
    </row>
    <row r="273" spans="1:24" s="544" customFormat="1" x14ac:dyDescent="0.3">
      <c r="A273" s="555"/>
      <c r="B273" s="598" t="s">
        <v>157</v>
      </c>
      <c r="C273" s="630"/>
      <c r="D273" s="630"/>
      <c r="E273" s="630"/>
      <c r="F273" s="556"/>
      <c r="G273" s="631"/>
      <c r="H273" s="630"/>
      <c r="I273" s="630"/>
      <c r="J273" s="630"/>
      <c r="K273" s="630"/>
      <c r="L273" s="630"/>
      <c r="M273" s="630"/>
      <c r="N273" s="630"/>
      <c r="O273" s="630"/>
      <c r="P273" s="630"/>
      <c r="Q273" s="630"/>
      <c r="R273" s="598">
        <v>3</v>
      </c>
      <c r="S273" s="631">
        <f t="shared" si="7"/>
        <v>2.6315789473684209E-2</v>
      </c>
      <c r="T273" s="599">
        <v>360</v>
      </c>
      <c r="U273" s="631">
        <f t="shared" si="8"/>
        <v>1.9945703363067207E-2</v>
      </c>
      <c r="V273" s="556"/>
      <c r="W273" s="558"/>
      <c r="X273" s="543"/>
    </row>
    <row r="274" spans="1:24" s="544" customFormat="1" x14ac:dyDescent="0.3">
      <c r="A274" s="555"/>
      <c r="B274" s="598" t="s">
        <v>158</v>
      </c>
      <c r="C274" s="630"/>
      <c r="D274" s="630"/>
      <c r="E274" s="630"/>
      <c r="F274" s="556"/>
      <c r="G274" s="631"/>
      <c r="H274" s="630"/>
      <c r="I274" s="630"/>
      <c r="J274" s="630"/>
      <c r="K274" s="630"/>
      <c r="L274" s="630"/>
      <c r="M274" s="630"/>
      <c r="N274" s="630"/>
      <c r="O274" s="630"/>
      <c r="P274" s="630"/>
      <c r="Q274" s="630"/>
      <c r="R274" s="598">
        <v>1</v>
      </c>
      <c r="S274" s="631">
        <f t="shared" si="7"/>
        <v>8.771929824561403E-3</v>
      </c>
      <c r="T274" s="599">
        <v>340</v>
      </c>
      <c r="U274" s="631">
        <f t="shared" si="8"/>
        <v>1.8837608731785693E-2</v>
      </c>
      <c r="V274" s="556"/>
      <c r="W274" s="558"/>
      <c r="X274" s="543"/>
    </row>
    <row r="275" spans="1:24" s="544" customFormat="1" x14ac:dyDescent="0.3">
      <c r="A275" s="555"/>
      <c r="B275" s="598" t="s">
        <v>159</v>
      </c>
      <c r="C275" s="630"/>
      <c r="D275" s="630"/>
      <c r="E275" s="630"/>
      <c r="F275" s="556"/>
      <c r="G275" s="631"/>
      <c r="H275" s="630"/>
      <c r="I275" s="630"/>
      <c r="J275" s="630"/>
      <c r="K275" s="630"/>
      <c r="L275" s="630"/>
      <c r="M275" s="630"/>
      <c r="N275" s="630"/>
      <c r="O275" s="630"/>
      <c r="P275" s="630"/>
      <c r="Q275" s="630"/>
      <c r="R275" s="598">
        <v>5</v>
      </c>
      <c r="S275" s="631">
        <f t="shared" si="7"/>
        <v>4.3859649122807015E-2</v>
      </c>
      <c r="T275" s="599">
        <v>733</v>
      </c>
      <c r="U275" s="631">
        <f t="shared" si="8"/>
        <v>4.0611668236467391E-2</v>
      </c>
      <c r="V275" s="556"/>
      <c r="W275" s="558"/>
      <c r="X275" s="543"/>
    </row>
    <row r="276" spans="1:24" s="544" customFormat="1" x14ac:dyDescent="0.3">
      <c r="A276" s="555"/>
      <c r="B276" s="598" t="s">
        <v>160</v>
      </c>
      <c r="C276" s="630"/>
      <c r="D276" s="630"/>
      <c r="E276" s="630"/>
      <c r="F276" s="556"/>
      <c r="G276" s="631"/>
      <c r="H276" s="630"/>
      <c r="I276" s="630"/>
      <c r="J276" s="630"/>
      <c r="K276" s="630"/>
      <c r="L276" s="630"/>
      <c r="M276" s="630"/>
      <c r="N276" s="630"/>
      <c r="O276" s="630"/>
      <c r="P276" s="630"/>
      <c r="Q276" s="630"/>
      <c r="R276" s="598">
        <v>0</v>
      </c>
      <c r="S276" s="631">
        <f t="shared" si="7"/>
        <v>0</v>
      </c>
      <c r="T276" s="599">
        <v>0</v>
      </c>
      <c r="U276" s="631">
        <f t="shared" si="8"/>
        <v>0</v>
      </c>
      <c r="V276" s="556"/>
      <c r="W276" s="558"/>
      <c r="X276" s="543"/>
    </row>
    <row r="277" spans="1:24" s="544" customFormat="1" x14ac:dyDescent="0.3">
      <c r="A277" s="555"/>
      <c r="B277" s="598"/>
      <c r="C277" s="630"/>
      <c r="D277" s="630"/>
      <c r="E277" s="630"/>
      <c r="F277" s="556"/>
      <c r="G277" s="631"/>
      <c r="H277" s="630"/>
      <c r="I277" s="630"/>
      <c r="J277" s="630"/>
      <c r="K277" s="630"/>
      <c r="L277" s="630"/>
      <c r="M277" s="630"/>
      <c r="N277" s="630"/>
      <c r="O277" s="630"/>
      <c r="P277" s="630"/>
      <c r="Q277" s="630"/>
      <c r="R277" s="598"/>
      <c r="S277" s="631"/>
      <c r="T277" s="599"/>
      <c r="U277" s="631"/>
      <c r="V277" s="556"/>
      <c r="W277" s="558"/>
      <c r="X277" s="543"/>
    </row>
    <row r="278" spans="1:24" s="544" customFormat="1" x14ac:dyDescent="0.3">
      <c r="A278" s="555"/>
      <c r="B278" s="556"/>
      <c r="C278" s="556"/>
      <c r="D278" s="556"/>
      <c r="E278" s="556"/>
      <c r="F278" s="556"/>
      <c r="G278" s="556"/>
      <c r="H278" s="632"/>
      <c r="I278" s="632"/>
      <c r="J278" s="632"/>
      <c r="K278" s="632"/>
      <c r="L278" s="632"/>
      <c r="M278" s="632"/>
      <c r="N278" s="632"/>
      <c r="O278" s="632"/>
      <c r="P278" s="632"/>
      <c r="Q278" s="632"/>
      <c r="R278" s="598">
        <f>SUM(R269:R277)</f>
        <v>114</v>
      </c>
      <c r="S278" s="631">
        <f>SUM(S269:S277)</f>
        <v>1</v>
      </c>
      <c r="T278" s="599">
        <f>SUM(T269:T277)</f>
        <v>18049</v>
      </c>
      <c r="U278" s="631">
        <f>SUM(U269:U277)</f>
        <v>1</v>
      </c>
      <c r="V278" s="556"/>
      <c r="W278" s="558"/>
      <c r="X278" s="543"/>
    </row>
    <row r="279" spans="1:24" x14ac:dyDescent="0.3">
      <c r="A279" s="417"/>
      <c r="B279" s="437"/>
      <c r="C279" s="437"/>
      <c r="D279" s="437"/>
      <c r="E279" s="437"/>
      <c r="F279" s="437"/>
      <c r="G279" s="437"/>
      <c r="H279" s="488"/>
      <c r="I279" s="488"/>
      <c r="J279" s="488"/>
      <c r="K279" s="488"/>
      <c r="L279" s="488"/>
      <c r="M279" s="488"/>
      <c r="N279" s="488"/>
      <c r="O279" s="488"/>
      <c r="P279" s="488"/>
      <c r="Q279" s="488"/>
      <c r="R279" s="447"/>
      <c r="S279" s="483"/>
      <c r="T279" s="484"/>
      <c r="U279" s="483"/>
      <c r="V279" s="437"/>
      <c r="W279" s="437"/>
      <c r="X279" s="415"/>
    </row>
    <row r="280" spans="1:24" x14ac:dyDescent="0.3">
      <c r="A280" s="515"/>
      <c r="B280" s="523" t="s">
        <v>163</v>
      </c>
      <c r="C280" s="517"/>
      <c r="D280" s="517"/>
      <c r="E280" s="517"/>
      <c r="F280" s="517"/>
      <c r="G280" s="517"/>
      <c r="H280" s="536"/>
      <c r="I280" s="536"/>
      <c r="J280" s="536"/>
      <c r="K280" s="536"/>
      <c r="L280" s="536"/>
      <c r="M280" s="536"/>
      <c r="N280" s="536"/>
      <c r="O280" s="536"/>
      <c r="P280" s="536"/>
      <c r="Q280" s="536"/>
      <c r="R280" s="534" t="s">
        <v>102</v>
      </c>
      <c r="S280" s="524" t="s">
        <v>103</v>
      </c>
      <c r="T280" s="534" t="s">
        <v>109</v>
      </c>
      <c r="U280" s="524" t="s">
        <v>103</v>
      </c>
      <c r="V280" s="517"/>
      <c r="W280" s="520"/>
      <c r="X280" s="415"/>
    </row>
    <row r="281" spans="1:24" s="544" customFormat="1" x14ac:dyDescent="0.3">
      <c r="A281" s="540"/>
      <c r="B281" s="600" t="s">
        <v>88</v>
      </c>
      <c r="C281" s="588"/>
      <c r="D281" s="588"/>
      <c r="E281" s="588"/>
      <c r="F281" s="588"/>
      <c r="G281" s="588"/>
      <c r="H281" s="633"/>
      <c r="I281" s="633"/>
      <c r="J281" s="633"/>
      <c r="K281" s="633"/>
      <c r="L281" s="633"/>
      <c r="M281" s="633"/>
      <c r="N281" s="633"/>
      <c r="O281" s="633"/>
      <c r="P281" s="633"/>
      <c r="Q281" s="633"/>
      <c r="R281" s="600">
        <v>0</v>
      </c>
      <c r="S281" s="628">
        <v>0</v>
      </c>
      <c r="T281" s="601">
        <v>0</v>
      </c>
      <c r="U281" s="628">
        <v>0</v>
      </c>
      <c r="V281" s="588"/>
      <c r="W281" s="588"/>
      <c r="X281" s="543"/>
    </row>
    <row r="282" spans="1:24" s="544" customFormat="1" x14ac:dyDescent="0.3">
      <c r="A282" s="555"/>
      <c r="B282" s="598" t="s">
        <v>89</v>
      </c>
      <c r="C282" s="556"/>
      <c r="D282" s="556"/>
      <c r="E282" s="556"/>
      <c r="F282" s="556"/>
      <c r="G282" s="556"/>
      <c r="H282" s="632"/>
      <c r="I282" s="632"/>
      <c r="J282" s="632"/>
      <c r="K282" s="632"/>
      <c r="L282" s="632"/>
      <c r="M282" s="632"/>
      <c r="N282" s="632"/>
      <c r="O282" s="632"/>
      <c r="P282" s="632"/>
      <c r="Q282" s="632"/>
      <c r="R282" s="598">
        <v>0</v>
      </c>
      <c r="S282" s="631">
        <v>0</v>
      </c>
      <c r="T282" s="599">
        <v>0</v>
      </c>
      <c r="U282" s="631">
        <v>0</v>
      </c>
      <c r="V282" s="556"/>
      <c r="W282" s="558"/>
      <c r="X282" s="543"/>
    </row>
    <row r="283" spans="1:24" s="544" customFormat="1" x14ac:dyDescent="0.3">
      <c r="A283" s="555"/>
      <c r="B283" s="598" t="s">
        <v>90</v>
      </c>
      <c r="C283" s="556"/>
      <c r="D283" s="556"/>
      <c r="E283" s="556"/>
      <c r="F283" s="556"/>
      <c r="G283" s="556"/>
      <c r="H283" s="632"/>
      <c r="I283" s="632"/>
      <c r="J283" s="632"/>
      <c r="K283" s="632"/>
      <c r="L283" s="632"/>
      <c r="M283" s="632"/>
      <c r="N283" s="632"/>
      <c r="O283" s="632"/>
      <c r="P283" s="632"/>
      <c r="Q283" s="632"/>
      <c r="R283" s="598">
        <v>0</v>
      </c>
      <c r="S283" s="631">
        <v>0</v>
      </c>
      <c r="T283" s="599">
        <v>0</v>
      </c>
      <c r="U283" s="631">
        <v>0</v>
      </c>
      <c r="V283" s="556"/>
      <c r="W283" s="558"/>
      <c r="X283" s="543"/>
    </row>
    <row r="284" spans="1:24" s="544" customFormat="1" x14ac:dyDescent="0.3">
      <c r="A284" s="555"/>
      <c r="B284" s="598" t="s">
        <v>156</v>
      </c>
      <c r="C284" s="556"/>
      <c r="D284" s="556"/>
      <c r="E284" s="556"/>
      <c r="F284" s="556"/>
      <c r="G284" s="556"/>
      <c r="H284" s="632"/>
      <c r="I284" s="632"/>
      <c r="J284" s="632"/>
      <c r="K284" s="632"/>
      <c r="L284" s="632"/>
      <c r="M284" s="632"/>
      <c r="N284" s="632"/>
      <c r="O284" s="632"/>
      <c r="P284" s="632"/>
      <c r="Q284" s="632"/>
      <c r="R284" s="598">
        <v>0</v>
      </c>
      <c r="S284" s="631">
        <v>0</v>
      </c>
      <c r="T284" s="599">
        <v>0</v>
      </c>
      <c r="U284" s="631">
        <v>0</v>
      </c>
      <c r="V284" s="556"/>
      <c r="W284" s="558"/>
      <c r="X284" s="543"/>
    </row>
    <row r="285" spans="1:24" s="544" customFormat="1" x14ac:dyDescent="0.3">
      <c r="A285" s="555"/>
      <c r="B285" s="598" t="s">
        <v>157</v>
      </c>
      <c r="C285" s="556"/>
      <c r="D285" s="556"/>
      <c r="E285" s="556"/>
      <c r="F285" s="556"/>
      <c r="G285" s="556"/>
      <c r="H285" s="632"/>
      <c r="I285" s="632"/>
      <c r="J285" s="632"/>
      <c r="K285" s="632"/>
      <c r="L285" s="632"/>
      <c r="M285" s="632"/>
      <c r="N285" s="632"/>
      <c r="O285" s="632"/>
      <c r="P285" s="632"/>
      <c r="Q285" s="632"/>
      <c r="R285" s="598">
        <v>0</v>
      </c>
      <c r="S285" s="631">
        <v>0</v>
      </c>
      <c r="T285" s="599">
        <v>0</v>
      </c>
      <c r="U285" s="631">
        <v>0</v>
      </c>
      <c r="V285" s="556"/>
      <c r="W285" s="558"/>
      <c r="X285" s="543"/>
    </row>
    <row r="286" spans="1:24" s="544" customFormat="1" x14ac:dyDescent="0.3">
      <c r="A286" s="555"/>
      <c r="B286" s="598" t="s">
        <v>158</v>
      </c>
      <c r="C286" s="556"/>
      <c r="D286" s="556"/>
      <c r="E286" s="556"/>
      <c r="F286" s="556"/>
      <c r="G286" s="556"/>
      <c r="H286" s="632"/>
      <c r="I286" s="632"/>
      <c r="J286" s="632"/>
      <c r="K286" s="632"/>
      <c r="L286" s="632"/>
      <c r="M286" s="632"/>
      <c r="N286" s="632"/>
      <c r="O286" s="632"/>
      <c r="P286" s="632"/>
      <c r="Q286" s="632"/>
      <c r="R286" s="598">
        <v>0</v>
      </c>
      <c r="S286" s="631">
        <v>0</v>
      </c>
      <c r="T286" s="599">
        <v>0</v>
      </c>
      <c r="U286" s="631">
        <v>0</v>
      </c>
      <c r="V286" s="556"/>
      <c r="W286" s="558"/>
      <c r="X286" s="543"/>
    </row>
    <row r="287" spans="1:24" s="544" customFormat="1" x14ac:dyDescent="0.3">
      <c r="A287" s="555"/>
      <c r="B287" s="598" t="s">
        <v>159</v>
      </c>
      <c r="C287" s="556"/>
      <c r="D287" s="556"/>
      <c r="E287" s="556"/>
      <c r="F287" s="556"/>
      <c r="G287" s="556"/>
      <c r="H287" s="632"/>
      <c r="I287" s="632"/>
      <c r="J287" s="632"/>
      <c r="K287" s="632"/>
      <c r="L287" s="632"/>
      <c r="M287" s="632"/>
      <c r="N287" s="632"/>
      <c r="O287" s="632"/>
      <c r="P287" s="632"/>
      <c r="Q287" s="632"/>
      <c r="R287" s="598">
        <v>1</v>
      </c>
      <c r="S287" s="631">
        <v>1</v>
      </c>
      <c r="T287" s="599">
        <v>89</v>
      </c>
      <c r="U287" s="631">
        <v>1</v>
      </c>
      <c r="V287" s="556"/>
      <c r="W287" s="558"/>
      <c r="X287" s="543"/>
    </row>
    <row r="288" spans="1:24" s="544" customFormat="1" x14ac:dyDescent="0.3">
      <c r="A288" s="555"/>
      <c r="B288" s="598" t="s">
        <v>160</v>
      </c>
      <c r="C288" s="556"/>
      <c r="D288" s="556"/>
      <c r="E288" s="556"/>
      <c r="F288" s="556"/>
      <c r="G288" s="556"/>
      <c r="H288" s="632"/>
      <c r="I288" s="632"/>
      <c r="J288" s="632"/>
      <c r="K288" s="632"/>
      <c r="L288" s="632"/>
      <c r="M288" s="632"/>
      <c r="N288" s="632"/>
      <c r="O288" s="632"/>
      <c r="P288" s="632"/>
      <c r="Q288" s="632"/>
      <c r="R288" s="598">
        <v>0</v>
      </c>
      <c r="S288" s="631">
        <v>0</v>
      </c>
      <c r="T288" s="599">
        <v>0</v>
      </c>
      <c r="U288" s="631">
        <v>0</v>
      </c>
      <c r="V288" s="556"/>
      <c r="W288" s="558"/>
      <c r="X288" s="543"/>
    </row>
    <row r="289" spans="1:24" s="544" customFormat="1" x14ac:dyDescent="0.3">
      <c r="A289" s="555"/>
      <c r="B289" s="598"/>
      <c r="C289" s="556"/>
      <c r="D289" s="556"/>
      <c r="E289" s="556"/>
      <c r="F289" s="556"/>
      <c r="G289" s="556"/>
      <c r="H289" s="632"/>
      <c r="I289" s="632"/>
      <c r="J289" s="632"/>
      <c r="K289" s="632"/>
      <c r="L289" s="632"/>
      <c r="M289" s="632"/>
      <c r="N289" s="632"/>
      <c r="O289" s="632"/>
      <c r="P289" s="632"/>
      <c r="Q289" s="632"/>
      <c r="R289" s="598"/>
      <c r="S289" s="631"/>
      <c r="T289" s="599"/>
      <c r="U289" s="631"/>
      <c r="V289" s="556"/>
      <c r="W289" s="558"/>
      <c r="X289" s="543"/>
    </row>
    <row r="290" spans="1:24" s="544" customFormat="1" x14ac:dyDescent="0.3">
      <c r="A290" s="555"/>
      <c r="B290" s="556" t="s">
        <v>114</v>
      </c>
      <c r="C290" s="556"/>
      <c r="D290" s="556"/>
      <c r="E290" s="556"/>
      <c r="F290" s="556"/>
      <c r="G290" s="556"/>
      <c r="H290" s="632"/>
      <c r="I290" s="632"/>
      <c r="J290" s="632"/>
      <c r="K290" s="632"/>
      <c r="L290" s="632"/>
      <c r="M290" s="632"/>
      <c r="N290" s="632"/>
      <c r="O290" s="632"/>
      <c r="P290" s="632"/>
      <c r="Q290" s="632"/>
      <c r="R290" s="598">
        <f>SUM(R281:R288)</f>
        <v>1</v>
      </c>
      <c r="S290" s="631">
        <f>SUM(S281:S289)</f>
        <v>1</v>
      </c>
      <c r="T290" s="599">
        <f>SUM(T281:T288)</f>
        <v>89</v>
      </c>
      <c r="U290" s="631">
        <f>SUM(U281:U289)</f>
        <v>1</v>
      </c>
      <c r="V290" s="556"/>
      <c r="W290" s="558"/>
      <c r="X290" s="543"/>
    </row>
    <row r="291" spans="1:24" s="544" customFormat="1" x14ac:dyDescent="0.3">
      <c r="A291" s="555"/>
      <c r="B291" s="556"/>
      <c r="C291" s="556"/>
      <c r="D291" s="556"/>
      <c r="E291" s="556"/>
      <c r="F291" s="556"/>
      <c r="G291" s="556"/>
      <c r="H291" s="632"/>
      <c r="I291" s="632"/>
      <c r="J291" s="632"/>
      <c r="K291" s="632"/>
      <c r="L291" s="632"/>
      <c r="M291" s="632"/>
      <c r="N291" s="632"/>
      <c r="O291" s="632"/>
      <c r="P291" s="632"/>
      <c r="Q291" s="632"/>
      <c r="R291" s="598"/>
      <c r="S291" s="631"/>
      <c r="T291" s="599"/>
      <c r="U291" s="631"/>
      <c r="V291" s="556"/>
      <c r="W291" s="558"/>
      <c r="X291" s="543"/>
    </row>
    <row r="292" spans="1:24" s="544" customFormat="1" x14ac:dyDescent="0.3">
      <c r="A292" s="555"/>
      <c r="B292" s="561" t="s">
        <v>164</v>
      </c>
      <c r="C292" s="556"/>
      <c r="D292" s="556"/>
      <c r="E292" s="556"/>
      <c r="F292" s="556"/>
      <c r="G292" s="556"/>
      <c r="H292" s="632"/>
      <c r="I292" s="632"/>
      <c r="J292" s="632"/>
      <c r="K292" s="632"/>
      <c r="L292" s="632"/>
      <c r="M292" s="632"/>
      <c r="N292" s="632"/>
      <c r="O292" s="632"/>
      <c r="P292" s="632"/>
      <c r="Q292" s="632"/>
      <c r="R292" s="634">
        <f>R290+R278+R266</f>
        <v>5368</v>
      </c>
      <c r="S292" s="631"/>
      <c r="T292" s="635">
        <f>+T290+T278+T266</f>
        <v>728675</v>
      </c>
      <c r="U292" s="631"/>
      <c r="V292" s="556"/>
      <c r="W292" s="558"/>
      <c r="X292" s="543"/>
    </row>
    <row r="293" spans="1:24" s="544" customFormat="1" x14ac:dyDescent="0.3">
      <c r="A293" s="540"/>
      <c r="B293" s="588"/>
      <c r="C293" s="588"/>
      <c r="D293" s="588"/>
      <c r="E293" s="588"/>
      <c r="F293" s="588"/>
      <c r="G293" s="588"/>
      <c r="H293" s="633"/>
      <c r="I293" s="633"/>
      <c r="J293" s="633"/>
      <c r="K293" s="633"/>
      <c r="L293" s="633"/>
      <c r="M293" s="633"/>
      <c r="N293" s="633"/>
      <c r="O293" s="633"/>
      <c r="P293" s="633"/>
      <c r="Q293" s="633"/>
      <c r="R293" s="633"/>
      <c r="S293" s="633"/>
      <c r="T293" s="601"/>
      <c r="U293" s="633"/>
      <c r="V293" s="588"/>
      <c r="W293" s="588"/>
      <c r="X293" s="543"/>
    </row>
    <row r="294" spans="1:24" s="544" customFormat="1" x14ac:dyDescent="0.3">
      <c r="A294" s="540"/>
      <c r="B294" s="541"/>
      <c r="C294" s="541"/>
      <c r="D294" s="541"/>
      <c r="E294" s="541"/>
      <c r="F294" s="541"/>
      <c r="G294" s="541"/>
      <c r="H294" s="636"/>
      <c r="I294" s="636"/>
      <c r="J294" s="636"/>
      <c r="K294" s="636"/>
      <c r="L294" s="636"/>
      <c r="M294" s="636"/>
      <c r="N294" s="636"/>
      <c r="O294" s="636"/>
      <c r="P294" s="636"/>
      <c r="Q294" s="636"/>
      <c r="R294" s="636"/>
      <c r="S294" s="636"/>
      <c r="T294" s="637"/>
      <c r="U294" s="636"/>
      <c r="V294" s="541"/>
      <c r="W294" s="541"/>
      <c r="X294" s="543"/>
    </row>
    <row r="295" spans="1:24" s="544" customFormat="1" x14ac:dyDescent="0.3">
      <c r="A295" s="540"/>
      <c r="B295" s="539" t="s">
        <v>91</v>
      </c>
      <c r="C295" s="541"/>
      <c r="D295" s="541"/>
      <c r="E295" s="541"/>
      <c r="F295" s="547" t="s">
        <v>97</v>
      </c>
      <c r="G295" s="541"/>
      <c r="H295" s="539" t="s">
        <v>99</v>
      </c>
      <c r="I295" s="539"/>
      <c r="J295" s="539"/>
      <c r="K295" s="541"/>
      <c r="L295" s="541"/>
      <c r="M295" s="541"/>
      <c r="N295" s="541"/>
      <c r="O295" s="541"/>
      <c r="P295" s="541"/>
      <c r="Q295" s="541"/>
      <c r="R295" s="541"/>
      <c r="S295" s="541"/>
      <c r="T295" s="541"/>
      <c r="U295" s="541"/>
      <c r="V295" s="541"/>
      <c r="W295" s="541"/>
      <c r="X295" s="543"/>
    </row>
    <row r="296" spans="1:24" s="544" customFormat="1" x14ac:dyDescent="0.3">
      <c r="A296" s="540"/>
      <c r="B296" s="539" t="s">
        <v>339</v>
      </c>
      <c r="C296" s="539"/>
      <c r="D296" s="539"/>
      <c r="E296" s="539"/>
      <c r="F296" s="638" t="s">
        <v>278</v>
      </c>
      <c r="G296" s="539"/>
      <c r="H296" s="639" t="s">
        <v>372</v>
      </c>
      <c r="I296" s="541"/>
      <c r="J296" s="539"/>
      <c r="K296" s="541"/>
      <c r="L296" s="541"/>
      <c r="M296" s="541"/>
      <c r="N296" s="541"/>
      <c r="O296" s="541"/>
      <c r="P296" s="541"/>
      <c r="Q296" s="541"/>
      <c r="R296" s="541"/>
      <c r="S296" s="541"/>
      <c r="T296" s="541"/>
      <c r="U296" s="541"/>
      <c r="V296" s="541"/>
      <c r="W296" s="541"/>
      <c r="X296" s="543"/>
    </row>
    <row r="297" spans="1:24" s="544" customFormat="1" x14ac:dyDescent="0.3">
      <c r="A297" s="540"/>
      <c r="B297" s="539" t="s">
        <v>340</v>
      </c>
      <c r="C297" s="539"/>
      <c r="D297" s="539"/>
      <c r="E297" s="539"/>
      <c r="F297" s="638" t="s">
        <v>147</v>
      </c>
      <c r="G297" s="539"/>
      <c r="H297" s="639" t="s">
        <v>373</v>
      </c>
      <c r="I297" s="539"/>
      <c r="J297" s="539"/>
      <c r="K297" s="541"/>
      <c r="L297" s="541"/>
      <c r="M297" s="541"/>
      <c r="N297" s="541"/>
      <c r="O297" s="541"/>
      <c r="P297" s="541"/>
      <c r="Q297" s="541"/>
      <c r="R297" s="541"/>
      <c r="S297" s="541"/>
      <c r="T297" s="541"/>
      <c r="U297" s="541"/>
      <c r="V297" s="541"/>
      <c r="W297" s="541"/>
      <c r="X297" s="543"/>
    </row>
    <row r="298" spans="1:24" s="544" customFormat="1" x14ac:dyDescent="0.3">
      <c r="A298" s="540"/>
      <c r="B298" s="539"/>
      <c r="C298" s="539"/>
      <c r="D298" s="539"/>
      <c r="E298" s="539"/>
      <c r="F298" s="638"/>
      <c r="G298" s="539"/>
      <c r="H298" s="539"/>
      <c r="I298" s="539"/>
      <c r="J298" s="539"/>
      <c r="K298" s="541"/>
      <c r="L298" s="541"/>
      <c r="M298" s="541"/>
      <c r="N298" s="541"/>
      <c r="O298" s="541"/>
      <c r="P298" s="541"/>
      <c r="Q298" s="541"/>
      <c r="R298" s="541"/>
      <c r="S298" s="541"/>
      <c r="T298" s="541"/>
      <c r="U298" s="541"/>
      <c r="V298" s="541"/>
      <c r="W298" s="541"/>
      <c r="X298" s="543"/>
    </row>
    <row r="299" spans="1:24" s="544" customFormat="1" x14ac:dyDescent="0.3">
      <c r="A299" s="540"/>
      <c r="B299" s="588" t="s">
        <v>368</v>
      </c>
      <c r="C299" s="539"/>
      <c r="D299" s="539"/>
      <c r="E299" s="539"/>
      <c r="F299" s="638"/>
      <c r="G299" s="539"/>
      <c r="H299" s="539"/>
      <c r="I299" s="539"/>
      <c r="J299" s="539"/>
      <c r="K299" s="541"/>
      <c r="L299" s="541"/>
      <c r="M299" s="541"/>
      <c r="N299" s="541"/>
      <c r="O299" s="541"/>
      <c r="P299" s="541"/>
      <c r="Q299" s="541"/>
      <c r="R299" s="541"/>
      <c r="S299" s="541"/>
      <c r="T299" s="541"/>
      <c r="U299" s="541"/>
      <c r="V299" s="541"/>
      <c r="W299" s="541"/>
      <c r="X299" s="543"/>
    </row>
    <row r="300" spans="1:24" s="544" customFormat="1" x14ac:dyDescent="0.3">
      <c r="A300" s="540"/>
      <c r="B300" s="588" t="s">
        <v>374</v>
      </c>
      <c r="C300" s="539"/>
      <c r="D300" s="539"/>
      <c r="E300" s="539"/>
      <c r="F300" s="638"/>
      <c r="G300" s="539"/>
      <c r="H300" s="539"/>
      <c r="I300" s="539"/>
      <c r="J300" s="539"/>
      <c r="K300" s="541"/>
      <c r="L300" s="541"/>
      <c r="M300" s="541"/>
      <c r="N300" s="541"/>
      <c r="O300" s="541"/>
      <c r="P300" s="541"/>
      <c r="Q300" s="541"/>
      <c r="R300" s="541"/>
      <c r="S300" s="541"/>
      <c r="T300" s="541"/>
      <c r="U300" s="541"/>
      <c r="V300" s="541"/>
      <c r="W300" s="541"/>
      <c r="X300" s="543"/>
    </row>
    <row r="301" spans="1:24" s="544" customFormat="1" x14ac:dyDescent="0.3">
      <c r="A301" s="540"/>
      <c r="B301" s="588" t="s">
        <v>365</v>
      </c>
      <c r="C301" s="539"/>
      <c r="D301" s="539"/>
      <c r="E301" s="539"/>
      <c r="F301" s="638"/>
      <c r="G301" s="539"/>
      <c r="H301" s="539"/>
      <c r="I301" s="539"/>
      <c r="J301" s="539"/>
      <c r="K301" s="541"/>
      <c r="L301" s="541"/>
      <c r="M301" s="541"/>
      <c r="N301" s="541"/>
      <c r="O301" s="541"/>
      <c r="P301" s="541"/>
      <c r="Q301" s="541"/>
      <c r="R301" s="541"/>
      <c r="S301" s="541"/>
      <c r="T301" s="541"/>
      <c r="U301" s="541"/>
      <c r="V301" s="541"/>
      <c r="W301" s="541"/>
      <c r="X301" s="543"/>
    </row>
    <row r="302" spans="1:24" s="544" customFormat="1" x14ac:dyDescent="0.3">
      <c r="A302" s="540"/>
      <c r="B302" s="588" t="s">
        <v>366</v>
      </c>
      <c r="C302" s="539"/>
      <c r="D302" s="539"/>
      <c r="E302" s="539"/>
      <c r="F302" s="638"/>
      <c r="G302" s="539"/>
      <c r="H302" s="539"/>
      <c r="I302" s="539"/>
      <c r="J302" s="539"/>
      <c r="K302" s="541"/>
      <c r="L302" s="541"/>
      <c r="M302" s="541"/>
      <c r="N302" s="541"/>
      <c r="O302" s="541"/>
      <c r="P302" s="541"/>
      <c r="Q302" s="541"/>
      <c r="R302" s="541"/>
      <c r="S302" s="541"/>
      <c r="T302" s="541"/>
      <c r="U302" s="541"/>
      <c r="V302" s="541"/>
      <c r="W302" s="541"/>
      <c r="X302" s="543"/>
    </row>
    <row r="303" spans="1:24" x14ac:dyDescent="0.3">
      <c r="A303" s="417"/>
      <c r="B303" s="426"/>
      <c r="C303" s="426"/>
      <c r="D303" s="426"/>
      <c r="E303" s="426"/>
      <c r="F303" s="489"/>
      <c r="G303" s="426"/>
      <c r="H303" s="426"/>
      <c r="I303" s="426"/>
      <c r="J303" s="426"/>
      <c r="K303" s="427"/>
      <c r="L303" s="427"/>
      <c r="M303" s="427"/>
      <c r="N303" s="427"/>
      <c r="O303" s="427"/>
      <c r="P303" s="427"/>
      <c r="Q303" s="427"/>
      <c r="R303" s="427"/>
      <c r="S303" s="427"/>
      <c r="T303" s="427"/>
      <c r="U303" s="427"/>
      <c r="V303" s="427"/>
      <c r="W303" s="427"/>
      <c r="X303" s="415"/>
    </row>
    <row r="304" spans="1:24" ht="18" x14ac:dyDescent="0.35">
      <c r="A304" s="417"/>
      <c r="B304" s="514" t="s">
        <v>369</v>
      </c>
      <c r="C304" s="426"/>
      <c r="D304" s="426"/>
      <c r="E304" s="426"/>
      <c r="F304" s="426"/>
      <c r="G304" s="426"/>
      <c r="H304" s="427"/>
      <c r="I304" s="427"/>
      <c r="J304" s="427"/>
      <c r="K304" s="427"/>
      <c r="L304" s="419"/>
      <c r="M304" s="419"/>
      <c r="N304" s="490"/>
      <c r="O304" s="419"/>
      <c r="P304" s="412" t="s">
        <v>371</v>
      </c>
      <c r="Q304" s="427"/>
      <c r="R304" s="427"/>
      <c r="S304" s="427"/>
      <c r="T304" s="427"/>
      <c r="U304" s="427"/>
      <c r="V304" s="427"/>
      <c r="W304" s="427"/>
      <c r="X304" s="415"/>
    </row>
    <row r="305" spans="1:24" x14ac:dyDescent="0.3">
      <c r="A305" s="417"/>
      <c r="B305" s="426"/>
      <c r="C305" s="426"/>
      <c r="D305" s="426"/>
      <c r="E305" s="426"/>
      <c r="F305" s="426"/>
      <c r="G305" s="426"/>
      <c r="H305" s="427"/>
      <c r="I305" s="427"/>
      <c r="J305" s="427"/>
      <c r="K305" s="427"/>
      <c r="L305" s="427"/>
      <c r="M305" s="427"/>
      <c r="N305" s="427"/>
      <c r="O305" s="427"/>
      <c r="P305" s="427"/>
      <c r="Q305" s="427"/>
      <c r="R305" s="427"/>
      <c r="S305" s="427"/>
      <c r="T305" s="427"/>
      <c r="U305" s="427"/>
      <c r="V305" s="427"/>
      <c r="W305" s="427"/>
      <c r="X305" s="415"/>
    </row>
    <row r="306" spans="1:24" ht="18.600000000000001" thickBot="1" x14ac:dyDescent="0.4">
      <c r="A306" s="417"/>
      <c r="B306" s="640" t="str">
        <f>B206</f>
        <v>PM14 INVESTOR REPORT QUARTER ENDING FEBRUARY 2020</v>
      </c>
      <c r="C306" s="426"/>
      <c r="D306" s="426"/>
      <c r="E306" s="426"/>
      <c r="F306" s="426"/>
      <c r="G306" s="426"/>
      <c r="H306" s="427"/>
      <c r="I306" s="427"/>
      <c r="J306" s="427"/>
      <c r="K306" s="427"/>
      <c r="L306" s="427"/>
      <c r="M306" s="427"/>
      <c r="N306" s="427"/>
      <c r="O306" s="427"/>
      <c r="P306" s="427"/>
      <c r="Q306" s="427"/>
      <c r="R306" s="427"/>
      <c r="S306" s="427"/>
      <c r="T306" s="427"/>
      <c r="U306" s="427"/>
      <c r="V306" s="427"/>
      <c r="W306" s="427"/>
      <c r="X306" s="415"/>
    </row>
    <row r="307" spans="1:24" x14ac:dyDescent="0.3">
      <c r="A307" s="491"/>
      <c r="B307" s="491"/>
      <c r="C307" s="491"/>
      <c r="D307" s="491"/>
      <c r="E307" s="491"/>
      <c r="F307" s="491"/>
      <c r="G307" s="491"/>
      <c r="H307" s="491"/>
      <c r="I307" s="491"/>
      <c r="J307" s="491"/>
      <c r="K307" s="491"/>
      <c r="L307" s="491"/>
      <c r="M307" s="491"/>
      <c r="N307" s="491"/>
      <c r="O307" s="491"/>
      <c r="P307" s="491"/>
      <c r="Q307" s="491"/>
      <c r="R307" s="491"/>
      <c r="S307" s="491"/>
      <c r="T307" s="491"/>
      <c r="U307" s="491"/>
      <c r="V307" s="491"/>
      <c r="W307" s="491"/>
    </row>
  </sheetData>
  <hyperlinks>
    <hyperlink ref="I9" r:id="rId1" xr:uid="{60FCC217-6604-4D67-BFC9-2009E52A8DD8}"/>
    <hyperlink ref="P242" r:id="rId2" xr:uid="{D9CECC53-5B55-4096-83E5-E0C5233A9D51}"/>
    <hyperlink ref="P304" r:id="rId3" xr:uid="{2ED948EF-5010-4B6D-9E04-59E31FF6E8D9}"/>
  </hyperlinks>
  <printOptions horizontalCentered="1" verticalCentered="1"/>
  <pageMargins left="0.19685039370078741" right="0.19685039370078741" top="0.27559055118110237" bottom="0.27559055118110237" header="0" footer="0"/>
  <pageSetup scale="37" orientation="landscape" r:id="rId4"/>
  <headerFooter alignWithMargins="0"/>
  <rowBreaks count="3" manualBreakCount="3">
    <brk id="63" max="23" man="1"/>
    <brk id="140" max="14" man="1"/>
    <brk id="206" max="14" man="1"/>
  </rowBreaks>
  <drawing r:id="rId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15CC5-8D23-4C1F-B585-D340BF1F2081}">
  <sheetPr>
    <tabColor rgb="FF89CB31"/>
  </sheetPr>
  <dimension ref="A1:IV344"/>
  <sheetViews>
    <sheetView showGridLines="0" showOutlineSymbols="0" zoomScale="70" zoomScaleNormal="70" workbookViewId="0"/>
  </sheetViews>
  <sheetFormatPr defaultColWidth="9.81640625" defaultRowHeight="15.6" x14ac:dyDescent="0.3"/>
  <cols>
    <col min="1" max="1" width="4" style="416" customWidth="1"/>
    <col min="2" max="2" width="71.08984375" style="416" customWidth="1"/>
    <col min="3" max="3" width="2.08984375" style="416" customWidth="1"/>
    <col min="4" max="4" width="19.1796875" style="416" customWidth="1"/>
    <col min="5" max="5" width="2.08984375" style="416" customWidth="1"/>
    <col min="6" max="6" width="25.08984375" style="416" customWidth="1"/>
    <col min="7" max="7" width="2.08984375" style="416" customWidth="1"/>
    <col min="8" max="8" width="16.08984375" style="416" customWidth="1"/>
    <col min="9" max="9" width="2.81640625" style="416" customWidth="1"/>
    <col min="10" max="10" width="16.08984375" style="416" customWidth="1"/>
    <col min="11" max="11" width="2.08984375" style="416" customWidth="1"/>
    <col min="12" max="12" width="17.81640625" style="416" customWidth="1"/>
    <col min="13" max="13" width="2.1796875" style="416" customWidth="1"/>
    <col min="14" max="14" width="14.81640625" style="416" customWidth="1"/>
    <col min="15" max="15" width="2.1796875" style="416" customWidth="1"/>
    <col min="16" max="16" width="15.54296875" style="416" customWidth="1"/>
    <col min="17" max="17" width="2.08984375" style="416" customWidth="1"/>
    <col min="18" max="18" width="15.54296875" style="416" customWidth="1"/>
    <col min="19" max="20" width="12.81640625" style="416" customWidth="1"/>
    <col min="21" max="21" width="7.81640625" style="416" customWidth="1"/>
    <col min="22" max="22" width="14.81640625" style="416" customWidth="1"/>
    <col min="23" max="23" width="11.81640625" style="416" customWidth="1"/>
    <col min="24" max="16384" width="9.81640625" style="416"/>
  </cols>
  <sheetData>
    <row r="1" spans="1:24" ht="21" x14ac:dyDescent="0.4">
      <c r="A1" s="413"/>
      <c r="B1" s="537" t="s">
        <v>244</v>
      </c>
      <c r="C1" s="414"/>
      <c r="D1" s="414"/>
      <c r="E1" s="414"/>
      <c r="F1" s="414"/>
      <c r="G1" s="414"/>
      <c r="H1" s="414"/>
      <c r="I1" s="414"/>
      <c r="J1" s="414"/>
      <c r="K1" s="414"/>
      <c r="L1" s="414"/>
      <c r="M1" s="414"/>
      <c r="N1" s="414"/>
      <c r="O1" s="414"/>
      <c r="P1" s="414"/>
      <c r="Q1" s="414"/>
      <c r="R1" s="414"/>
      <c r="S1" s="414"/>
      <c r="T1" s="414"/>
      <c r="U1" s="414"/>
      <c r="V1" s="414"/>
      <c r="W1" s="414"/>
      <c r="X1" s="415"/>
    </row>
    <row r="2" spans="1:24" x14ac:dyDescent="0.3">
      <c r="A2" s="417"/>
      <c r="B2" s="418"/>
      <c r="C2" s="419"/>
      <c r="D2" s="419"/>
      <c r="E2" s="419"/>
      <c r="F2" s="419"/>
      <c r="G2" s="419"/>
      <c r="H2" s="419"/>
      <c r="I2" s="419"/>
      <c r="J2" s="419"/>
      <c r="K2" s="419"/>
      <c r="L2" s="419"/>
      <c r="M2" s="419"/>
      <c r="N2" s="419"/>
      <c r="O2" s="419"/>
      <c r="P2" s="419"/>
      <c r="Q2" s="419"/>
      <c r="R2" s="419"/>
      <c r="S2" s="419"/>
      <c r="T2" s="419"/>
      <c r="U2" s="419"/>
      <c r="V2" s="419"/>
      <c r="W2" s="419"/>
      <c r="X2" s="415"/>
    </row>
    <row r="3" spans="1:24" x14ac:dyDescent="0.3">
      <c r="A3" s="420"/>
      <c r="B3" s="421" t="s">
        <v>245</v>
      </c>
      <c r="C3" s="419"/>
      <c r="D3" s="419"/>
      <c r="E3" s="419"/>
      <c r="F3" s="419"/>
      <c r="G3" s="419"/>
      <c r="H3" s="419"/>
      <c r="I3" s="419"/>
      <c r="J3" s="419"/>
      <c r="K3" s="419"/>
      <c r="L3" s="419"/>
      <c r="M3" s="419"/>
      <c r="N3" s="419"/>
      <c r="O3" s="419"/>
      <c r="P3" s="419"/>
      <c r="Q3" s="419"/>
      <c r="R3" s="419"/>
      <c r="S3" s="419"/>
      <c r="T3" s="419"/>
      <c r="U3" s="419"/>
      <c r="V3" s="419"/>
      <c r="W3" s="419"/>
      <c r="X3" s="415"/>
    </row>
    <row r="4" spans="1:24" x14ac:dyDescent="0.3">
      <c r="A4" s="417"/>
      <c r="B4" s="418"/>
      <c r="C4" s="419"/>
      <c r="D4" s="419"/>
      <c r="E4" s="419"/>
      <c r="F4" s="419"/>
      <c r="G4" s="419"/>
      <c r="H4" s="419"/>
      <c r="I4" s="419"/>
      <c r="J4" s="419"/>
      <c r="K4" s="419"/>
      <c r="L4" s="419"/>
      <c r="M4" s="419"/>
      <c r="N4" s="419"/>
      <c r="O4" s="419"/>
      <c r="P4" s="419"/>
      <c r="Q4" s="419"/>
      <c r="R4" s="419"/>
      <c r="S4" s="419"/>
      <c r="T4" s="419"/>
      <c r="U4" s="419"/>
      <c r="V4" s="419"/>
      <c r="W4" s="419"/>
      <c r="X4" s="415"/>
    </row>
    <row r="5" spans="1:24" x14ac:dyDescent="0.3">
      <c r="A5" s="417"/>
      <c r="B5" s="538" t="s">
        <v>137</v>
      </c>
      <c r="C5" s="419"/>
      <c r="D5" s="419"/>
      <c r="E5" s="419"/>
      <c r="F5" s="419"/>
      <c r="G5" s="419"/>
      <c r="H5" s="419"/>
      <c r="I5" s="419"/>
      <c r="J5" s="419"/>
      <c r="K5" s="419"/>
      <c r="L5" s="419"/>
      <c r="M5" s="419"/>
      <c r="N5" s="419"/>
      <c r="O5" s="419"/>
      <c r="P5" s="419"/>
      <c r="Q5" s="419"/>
      <c r="R5" s="419"/>
      <c r="S5" s="419"/>
      <c r="T5" s="419"/>
      <c r="U5" s="419"/>
      <c r="V5" s="419"/>
      <c r="W5" s="419"/>
      <c r="X5" s="415"/>
    </row>
    <row r="6" spans="1:24" x14ac:dyDescent="0.3">
      <c r="A6" s="417"/>
      <c r="B6" s="538" t="s">
        <v>139</v>
      </c>
      <c r="C6" s="419"/>
      <c r="D6" s="419"/>
      <c r="E6" s="419"/>
      <c r="F6" s="419"/>
      <c r="G6" s="419"/>
      <c r="H6" s="419"/>
      <c r="I6" s="419"/>
      <c r="J6" s="419"/>
      <c r="K6" s="419"/>
      <c r="L6" s="419"/>
      <c r="M6" s="419"/>
      <c r="N6" s="419"/>
      <c r="O6" s="419"/>
      <c r="P6" s="419"/>
      <c r="Q6" s="419"/>
      <c r="R6" s="419"/>
      <c r="S6" s="419"/>
      <c r="T6" s="419"/>
      <c r="U6" s="419"/>
      <c r="V6" s="419"/>
      <c r="W6" s="419"/>
      <c r="X6" s="415"/>
    </row>
    <row r="7" spans="1:24" x14ac:dyDescent="0.3">
      <c r="A7" s="417"/>
      <c r="B7" s="538" t="s">
        <v>138</v>
      </c>
      <c r="C7" s="419"/>
      <c r="D7" s="419"/>
      <c r="E7" s="419"/>
      <c r="F7" s="419"/>
      <c r="G7" s="419"/>
      <c r="H7" s="419"/>
      <c r="I7" s="419"/>
      <c r="J7" s="419"/>
      <c r="K7" s="419"/>
      <c r="L7" s="419"/>
      <c r="M7" s="419"/>
      <c r="N7" s="419"/>
      <c r="O7" s="419"/>
      <c r="P7" s="419"/>
      <c r="Q7" s="419"/>
      <c r="R7" s="419"/>
      <c r="S7" s="419"/>
      <c r="T7" s="419"/>
      <c r="U7" s="419"/>
      <c r="V7" s="419"/>
      <c r="W7" s="419"/>
      <c r="X7" s="415"/>
    </row>
    <row r="8" spans="1:24" x14ac:dyDescent="0.3">
      <c r="A8" s="417"/>
      <c r="B8" s="422"/>
      <c r="C8" s="419"/>
      <c r="D8" s="419"/>
      <c r="E8" s="419"/>
      <c r="F8" s="419"/>
      <c r="G8" s="419"/>
      <c r="H8" s="419"/>
      <c r="I8" s="419"/>
      <c r="J8" s="419"/>
      <c r="K8" s="419"/>
      <c r="L8" s="419"/>
      <c r="M8" s="419"/>
      <c r="N8" s="419"/>
      <c r="O8" s="419"/>
      <c r="P8" s="419"/>
      <c r="Q8" s="419"/>
      <c r="R8" s="419"/>
      <c r="S8" s="419"/>
      <c r="T8" s="419"/>
      <c r="U8" s="419"/>
      <c r="V8" s="419"/>
      <c r="W8" s="419"/>
      <c r="X8" s="415"/>
    </row>
    <row r="9" spans="1:24" ht="18" x14ac:dyDescent="0.35">
      <c r="A9" s="417"/>
      <c r="B9" s="423" t="s">
        <v>166</v>
      </c>
      <c r="C9" s="419"/>
      <c r="D9" s="419"/>
      <c r="E9" s="419"/>
      <c r="F9" s="419"/>
      <c r="G9" s="419"/>
      <c r="H9" s="419"/>
      <c r="I9" s="412" t="s">
        <v>371</v>
      </c>
      <c r="J9" s="419"/>
      <c r="K9" s="419"/>
      <c r="L9" s="424"/>
      <c r="M9" s="419"/>
      <c r="N9" s="424"/>
      <c r="O9" s="419"/>
      <c r="P9" s="419"/>
      <c r="Q9" s="419"/>
      <c r="R9" s="419"/>
      <c r="S9" s="419"/>
      <c r="T9" s="419"/>
      <c r="U9" s="419"/>
      <c r="V9" s="419"/>
      <c r="W9" s="419"/>
      <c r="X9" s="415"/>
    </row>
    <row r="10" spans="1:24" x14ac:dyDescent="0.3">
      <c r="A10" s="417"/>
      <c r="B10" s="422"/>
      <c r="C10" s="425"/>
      <c r="D10" s="425"/>
      <c r="E10" s="425"/>
      <c r="F10" s="419"/>
      <c r="G10" s="419"/>
      <c r="H10" s="419"/>
      <c r="I10" s="419"/>
      <c r="J10" s="419"/>
      <c r="K10" s="419"/>
      <c r="L10" s="419"/>
      <c r="M10" s="419"/>
      <c r="N10" s="419"/>
      <c r="O10" s="419"/>
      <c r="P10" s="419"/>
      <c r="Q10" s="419"/>
      <c r="R10" s="419"/>
      <c r="S10" s="419"/>
      <c r="T10" s="419"/>
      <c r="U10" s="419"/>
      <c r="V10" s="419"/>
      <c r="W10" s="419"/>
      <c r="X10" s="415"/>
    </row>
    <row r="11" spans="1:24" x14ac:dyDescent="0.3">
      <c r="A11" s="417"/>
      <c r="B11" s="539" t="s">
        <v>0</v>
      </c>
      <c r="C11" s="419"/>
      <c r="D11" s="419"/>
      <c r="E11" s="419"/>
      <c r="F11" s="419"/>
      <c r="G11" s="419"/>
      <c r="H11" s="419"/>
      <c r="I11" s="419"/>
      <c r="J11" s="419"/>
      <c r="K11" s="419"/>
      <c r="L11" s="419"/>
      <c r="M11" s="419"/>
      <c r="N11" s="419"/>
      <c r="O11" s="419"/>
      <c r="P11" s="419"/>
      <c r="Q11" s="419"/>
      <c r="R11" s="419"/>
      <c r="S11" s="419"/>
      <c r="T11" s="419"/>
      <c r="U11" s="419"/>
      <c r="V11" s="419"/>
      <c r="W11" s="419"/>
      <c r="X11" s="415"/>
    </row>
    <row r="12" spans="1:24" ht="16.2" thickBot="1" x14ac:dyDescent="0.35">
      <c r="A12" s="417"/>
      <c r="B12" s="425"/>
      <c r="C12" s="419"/>
      <c r="D12" s="419"/>
      <c r="E12" s="419"/>
      <c r="F12" s="419"/>
      <c r="G12" s="419"/>
      <c r="H12" s="419"/>
      <c r="I12" s="419"/>
      <c r="J12" s="419"/>
      <c r="K12" s="419"/>
      <c r="L12" s="419"/>
      <c r="M12" s="419"/>
      <c r="N12" s="419"/>
      <c r="O12" s="419"/>
      <c r="P12" s="419"/>
      <c r="Q12" s="419"/>
      <c r="R12" s="419"/>
      <c r="S12" s="419"/>
      <c r="T12" s="419"/>
      <c r="U12" s="419"/>
      <c r="V12" s="419"/>
      <c r="W12" s="419"/>
      <c r="X12" s="415"/>
    </row>
    <row r="13" spans="1:24" x14ac:dyDescent="0.3">
      <c r="A13" s="413"/>
      <c r="B13" s="414"/>
      <c r="C13" s="414"/>
      <c r="D13" s="414"/>
      <c r="E13" s="414"/>
      <c r="F13" s="414"/>
      <c r="G13" s="414"/>
      <c r="H13" s="414"/>
      <c r="I13" s="414"/>
      <c r="J13" s="414"/>
      <c r="K13" s="414"/>
      <c r="L13" s="414"/>
      <c r="M13" s="414"/>
      <c r="N13" s="414"/>
      <c r="O13" s="414"/>
      <c r="P13" s="414"/>
      <c r="Q13" s="414"/>
      <c r="R13" s="414"/>
      <c r="S13" s="414"/>
      <c r="T13" s="414"/>
      <c r="U13" s="414"/>
      <c r="V13" s="414"/>
      <c r="W13" s="414"/>
      <c r="X13" s="415"/>
    </row>
    <row r="14" spans="1:24" s="544" customFormat="1" x14ac:dyDescent="0.3">
      <c r="A14" s="540"/>
      <c r="B14" s="539" t="s">
        <v>1</v>
      </c>
      <c r="C14" s="541"/>
      <c r="D14" s="541"/>
      <c r="E14" s="541"/>
      <c r="F14" s="541"/>
      <c r="G14" s="541"/>
      <c r="H14" s="541"/>
      <c r="I14" s="541"/>
      <c r="J14" s="541"/>
      <c r="K14" s="541"/>
      <c r="L14" s="541"/>
      <c r="M14" s="541"/>
      <c r="N14" s="541"/>
      <c r="O14" s="541"/>
      <c r="P14" s="541"/>
      <c r="Q14" s="541"/>
      <c r="R14" s="541"/>
      <c r="S14" s="541"/>
      <c r="T14" s="541"/>
      <c r="U14" s="541"/>
      <c r="V14" s="542" t="s">
        <v>246</v>
      </c>
      <c r="W14" s="541"/>
      <c r="X14" s="543"/>
    </row>
    <row r="15" spans="1:24" s="544" customFormat="1" x14ac:dyDescent="0.3">
      <c r="A15" s="540"/>
      <c r="B15" s="539" t="s">
        <v>2</v>
      </c>
      <c r="C15" s="541"/>
      <c r="D15" s="541"/>
      <c r="E15" s="541"/>
      <c r="F15" s="541"/>
      <c r="G15" s="541"/>
      <c r="H15" s="545"/>
      <c r="I15" s="545"/>
      <c r="J15" s="545"/>
      <c r="K15" s="545"/>
      <c r="L15" s="545"/>
      <c r="M15" s="545"/>
      <c r="N15" s="545"/>
      <c r="O15" s="545"/>
      <c r="P15" s="545"/>
      <c r="Q15" s="545"/>
      <c r="R15" s="545" t="s">
        <v>104</v>
      </c>
      <c r="S15" s="546">
        <v>0.38300000000000001</v>
      </c>
      <c r="T15" s="547" t="s">
        <v>140</v>
      </c>
      <c r="U15" s="546">
        <v>0.61699999999999999</v>
      </c>
      <c r="V15" s="542"/>
      <c r="W15" s="541"/>
      <c r="X15" s="543"/>
    </row>
    <row r="16" spans="1:24" s="544" customFormat="1" x14ac:dyDescent="0.3">
      <c r="A16" s="540"/>
      <c r="B16" s="539" t="s">
        <v>3</v>
      </c>
      <c r="C16" s="541"/>
      <c r="D16" s="541"/>
      <c r="E16" s="541"/>
      <c r="F16" s="541"/>
      <c r="G16" s="541"/>
      <c r="H16" s="545"/>
      <c r="I16" s="545"/>
      <c r="J16" s="545"/>
      <c r="K16" s="545"/>
      <c r="L16" s="545"/>
      <c r="M16" s="545"/>
      <c r="N16" s="545"/>
      <c r="O16" s="545"/>
      <c r="P16" s="545"/>
      <c r="Q16" s="545"/>
      <c r="R16" s="545" t="s">
        <v>104</v>
      </c>
      <c r="S16" s="546">
        <v>0.51285842373441459</v>
      </c>
      <c r="T16" s="547" t="s">
        <v>140</v>
      </c>
      <c r="U16" s="546">
        <v>0.48714157626558546</v>
      </c>
      <c r="V16" s="542"/>
      <c r="W16" s="541"/>
      <c r="X16" s="543"/>
    </row>
    <row r="17" spans="1:24" s="544" customFormat="1" x14ac:dyDescent="0.3">
      <c r="A17" s="540"/>
      <c r="B17" s="539" t="s">
        <v>4</v>
      </c>
      <c r="C17" s="541"/>
      <c r="D17" s="541"/>
      <c r="E17" s="541"/>
      <c r="F17" s="541"/>
      <c r="G17" s="541"/>
      <c r="H17" s="541"/>
      <c r="I17" s="541"/>
      <c r="J17" s="541"/>
      <c r="K17" s="541"/>
      <c r="L17" s="541"/>
      <c r="M17" s="541"/>
      <c r="N17" s="541"/>
      <c r="O17" s="541"/>
      <c r="P17" s="541"/>
      <c r="Q17" s="541"/>
      <c r="R17" s="541"/>
      <c r="S17" s="541"/>
      <c r="T17" s="541"/>
      <c r="U17" s="541"/>
      <c r="V17" s="548">
        <v>39163</v>
      </c>
      <c r="W17" s="541"/>
      <c r="X17" s="543"/>
    </row>
    <row r="18" spans="1:24" s="544" customFormat="1" x14ac:dyDescent="0.3">
      <c r="A18" s="540"/>
      <c r="B18" s="539" t="s">
        <v>5</v>
      </c>
      <c r="C18" s="541"/>
      <c r="D18" s="541"/>
      <c r="E18" s="541"/>
      <c r="F18" s="541"/>
      <c r="G18" s="541"/>
      <c r="H18" s="541"/>
      <c r="I18" s="541"/>
      <c r="J18" s="541"/>
      <c r="K18" s="541"/>
      <c r="L18" s="541"/>
      <c r="M18" s="541"/>
      <c r="N18" s="541"/>
      <c r="O18" s="541"/>
      <c r="P18" s="541"/>
      <c r="Q18" s="541"/>
      <c r="R18" s="541"/>
      <c r="S18" s="541"/>
      <c r="T18" s="541"/>
      <c r="U18" s="541"/>
      <c r="V18" s="548">
        <v>44001</v>
      </c>
      <c r="W18" s="541"/>
      <c r="X18" s="543"/>
    </row>
    <row r="19" spans="1:24" s="544" customFormat="1" x14ac:dyDescent="0.3">
      <c r="A19" s="540"/>
      <c r="B19" s="541"/>
      <c r="C19" s="541"/>
      <c r="D19" s="541"/>
      <c r="E19" s="541"/>
      <c r="F19" s="541"/>
      <c r="G19" s="541"/>
      <c r="H19" s="541"/>
      <c r="I19" s="541"/>
      <c r="J19" s="541"/>
      <c r="K19" s="541"/>
      <c r="L19" s="541"/>
      <c r="M19" s="541"/>
      <c r="N19" s="541"/>
      <c r="O19" s="541"/>
      <c r="P19" s="541"/>
      <c r="Q19" s="541"/>
      <c r="R19" s="541"/>
      <c r="S19" s="541"/>
      <c r="T19" s="541"/>
      <c r="U19" s="541"/>
      <c r="V19" s="549"/>
      <c r="W19" s="541"/>
      <c r="X19" s="543"/>
    </row>
    <row r="20" spans="1:24" s="544" customFormat="1" x14ac:dyDescent="0.3">
      <c r="A20" s="540"/>
      <c r="B20" s="550" t="s">
        <v>6</v>
      </c>
      <c r="C20" s="541"/>
      <c r="D20" s="541"/>
      <c r="E20" s="541"/>
      <c r="F20" s="541"/>
      <c r="G20" s="541"/>
      <c r="H20" s="541"/>
      <c r="I20" s="541"/>
      <c r="J20" s="541"/>
      <c r="K20" s="541"/>
      <c r="L20" s="541"/>
      <c r="M20" s="541"/>
      <c r="N20" s="541"/>
      <c r="O20" s="541"/>
      <c r="P20" s="541"/>
      <c r="Q20" s="541"/>
      <c r="R20" s="541"/>
      <c r="S20" s="541"/>
      <c r="T20" s="549" t="s">
        <v>105</v>
      </c>
      <c r="U20" s="541"/>
      <c r="V20" s="541"/>
      <c r="W20" s="541"/>
      <c r="X20" s="543"/>
    </row>
    <row r="21" spans="1:24" x14ac:dyDescent="0.3">
      <c r="A21" s="417"/>
      <c r="B21" s="419"/>
      <c r="C21" s="419"/>
      <c r="D21" s="419"/>
      <c r="E21" s="419"/>
      <c r="F21" s="419"/>
      <c r="G21" s="419"/>
      <c r="H21" s="419"/>
      <c r="I21" s="419"/>
      <c r="J21" s="419"/>
      <c r="K21" s="419"/>
      <c r="L21" s="419"/>
      <c r="M21" s="419"/>
      <c r="N21" s="419"/>
      <c r="O21" s="419"/>
      <c r="P21" s="419"/>
      <c r="Q21" s="419"/>
      <c r="R21" s="419"/>
      <c r="S21" s="419"/>
      <c r="T21" s="419"/>
      <c r="U21" s="419"/>
      <c r="V21" s="430"/>
      <c r="W21" s="419"/>
      <c r="X21" s="415"/>
    </row>
    <row r="22" spans="1:24" x14ac:dyDescent="0.3">
      <c r="A22" s="515"/>
      <c r="B22" s="517"/>
      <c r="C22" s="518"/>
      <c r="D22" s="518" t="s">
        <v>177</v>
      </c>
      <c r="E22" s="518"/>
      <c r="F22" s="518" t="s">
        <v>178</v>
      </c>
      <c r="G22" s="518"/>
      <c r="H22" s="518" t="s">
        <v>179</v>
      </c>
      <c r="I22" s="518"/>
      <c r="J22" s="518" t="s">
        <v>220</v>
      </c>
      <c r="K22" s="518"/>
      <c r="L22" s="518" t="s">
        <v>180</v>
      </c>
      <c r="M22" s="518"/>
      <c r="N22" s="518" t="s">
        <v>181</v>
      </c>
      <c r="O22" s="518"/>
      <c r="P22" s="518" t="s">
        <v>221</v>
      </c>
      <c r="Q22" s="518"/>
      <c r="R22" s="518" t="s">
        <v>182</v>
      </c>
      <c r="S22" s="519"/>
      <c r="T22" s="519"/>
      <c r="U22" s="517"/>
      <c r="V22" s="517"/>
      <c r="W22" s="520"/>
      <c r="X22" s="415"/>
    </row>
    <row r="23" spans="1:24" s="544" customFormat="1" x14ac:dyDescent="0.3">
      <c r="A23" s="551"/>
      <c r="B23" s="552" t="s">
        <v>7</v>
      </c>
      <c r="C23" s="553"/>
      <c r="D23" s="553" t="s">
        <v>213</v>
      </c>
      <c r="E23" s="553"/>
      <c r="F23" s="553" t="s">
        <v>141</v>
      </c>
      <c r="G23" s="553"/>
      <c r="H23" s="553" t="s">
        <v>141</v>
      </c>
      <c r="I23" s="553"/>
      <c r="J23" s="553" t="s">
        <v>141</v>
      </c>
      <c r="K23" s="553"/>
      <c r="L23" s="553" t="s">
        <v>183</v>
      </c>
      <c r="M23" s="553"/>
      <c r="N23" s="553" t="s">
        <v>183</v>
      </c>
      <c r="O23" s="553"/>
      <c r="P23" s="553" t="s">
        <v>142</v>
      </c>
      <c r="Q23" s="553"/>
      <c r="R23" s="553" t="s">
        <v>142</v>
      </c>
      <c r="S23" s="553"/>
      <c r="T23" s="553"/>
      <c r="U23" s="552"/>
      <c r="V23" s="552"/>
      <c r="W23" s="554"/>
      <c r="X23" s="543"/>
    </row>
    <row r="24" spans="1:24" s="544" customFormat="1" x14ac:dyDescent="0.3">
      <c r="A24" s="555"/>
      <c r="B24" s="556" t="s">
        <v>8</v>
      </c>
      <c r="C24" s="557"/>
      <c r="D24" s="557" t="s">
        <v>214</v>
      </c>
      <c r="E24" s="557"/>
      <c r="F24" s="557" t="s">
        <v>143</v>
      </c>
      <c r="G24" s="557"/>
      <c r="H24" s="557" t="s">
        <v>143</v>
      </c>
      <c r="I24" s="557"/>
      <c r="J24" s="557" t="s">
        <v>143</v>
      </c>
      <c r="K24" s="557"/>
      <c r="L24" s="557" t="s">
        <v>165</v>
      </c>
      <c r="M24" s="557"/>
      <c r="N24" s="557" t="s">
        <v>165</v>
      </c>
      <c r="O24" s="557"/>
      <c r="P24" s="557" t="s">
        <v>144</v>
      </c>
      <c r="Q24" s="557"/>
      <c r="R24" s="557" t="s">
        <v>144</v>
      </c>
      <c r="S24" s="557"/>
      <c r="T24" s="557"/>
      <c r="U24" s="556"/>
      <c r="V24" s="556"/>
      <c r="W24" s="558"/>
      <c r="X24" s="543"/>
    </row>
    <row r="25" spans="1:24" s="544" customFormat="1" x14ac:dyDescent="0.3">
      <c r="A25" s="559"/>
      <c r="B25" s="556" t="s">
        <v>190</v>
      </c>
      <c r="C25" s="560"/>
      <c r="D25" s="557" t="s">
        <v>215</v>
      </c>
      <c r="E25" s="557"/>
      <c r="F25" s="557" t="s">
        <v>143</v>
      </c>
      <c r="G25" s="557"/>
      <c r="H25" s="557" t="s">
        <v>143</v>
      </c>
      <c r="I25" s="557"/>
      <c r="J25" s="557" t="s">
        <v>143</v>
      </c>
      <c r="K25" s="557"/>
      <c r="L25" s="557" t="s">
        <v>293</v>
      </c>
      <c r="M25" s="557"/>
      <c r="N25" s="557" t="s">
        <v>293</v>
      </c>
      <c r="O25" s="557"/>
      <c r="P25" s="557" t="s">
        <v>144</v>
      </c>
      <c r="Q25" s="557"/>
      <c r="R25" s="557" t="s">
        <v>144</v>
      </c>
      <c r="S25" s="560"/>
      <c r="T25" s="557"/>
      <c r="U25" s="556"/>
      <c r="V25" s="556"/>
      <c r="W25" s="558"/>
      <c r="X25" s="543"/>
    </row>
    <row r="26" spans="1:24" s="544" customFormat="1" x14ac:dyDescent="0.3">
      <c r="A26" s="559"/>
      <c r="B26" s="561" t="s">
        <v>9</v>
      </c>
      <c r="C26" s="560"/>
      <c r="D26" s="560" t="s">
        <v>333</v>
      </c>
      <c r="E26" s="560"/>
      <c r="F26" s="560" t="s">
        <v>333</v>
      </c>
      <c r="G26" s="560"/>
      <c r="H26" s="560" t="s">
        <v>333</v>
      </c>
      <c r="I26" s="560"/>
      <c r="J26" s="560" t="s">
        <v>333</v>
      </c>
      <c r="K26" s="560"/>
      <c r="L26" s="560" t="s">
        <v>333</v>
      </c>
      <c r="M26" s="560"/>
      <c r="N26" s="560" t="s">
        <v>333</v>
      </c>
      <c r="O26" s="560"/>
      <c r="P26" s="560" t="s">
        <v>334</v>
      </c>
      <c r="Q26" s="560"/>
      <c r="R26" s="560" t="s">
        <v>334</v>
      </c>
      <c r="S26" s="560"/>
      <c r="T26" s="557"/>
      <c r="U26" s="556"/>
      <c r="V26" s="556"/>
      <c r="W26" s="558"/>
      <c r="X26" s="543"/>
    </row>
    <row r="27" spans="1:24" s="544" customFormat="1" x14ac:dyDescent="0.3">
      <c r="A27" s="555"/>
      <c r="B27" s="561" t="s">
        <v>191</v>
      </c>
      <c r="C27" s="557"/>
      <c r="D27" s="560" t="s">
        <v>143</v>
      </c>
      <c r="E27" s="560"/>
      <c r="F27" s="560" t="s">
        <v>143</v>
      </c>
      <c r="G27" s="560"/>
      <c r="H27" s="560" t="s">
        <v>143</v>
      </c>
      <c r="I27" s="560"/>
      <c r="J27" s="560" t="s">
        <v>143</v>
      </c>
      <c r="K27" s="560"/>
      <c r="L27" s="560" t="s">
        <v>293</v>
      </c>
      <c r="M27" s="560"/>
      <c r="N27" s="560" t="s">
        <v>293</v>
      </c>
      <c r="O27" s="560"/>
      <c r="P27" s="560" t="s">
        <v>383</v>
      </c>
      <c r="Q27" s="560"/>
      <c r="R27" s="560" t="s">
        <v>383</v>
      </c>
      <c r="S27" s="557"/>
      <c r="T27" s="562"/>
      <c r="U27" s="556"/>
      <c r="V27" s="556"/>
      <c r="W27" s="558"/>
      <c r="X27" s="543"/>
    </row>
    <row r="28" spans="1:24" s="544" customFormat="1" x14ac:dyDescent="0.3">
      <c r="A28" s="555"/>
      <c r="B28" s="561" t="s">
        <v>192</v>
      </c>
      <c r="C28" s="557"/>
      <c r="D28" s="560" t="s">
        <v>143</v>
      </c>
      <c r="E28" s="560"/>
      <c r="F28" s="560" t="s">
        <v>143</v>
      </c>
      <c r="G28" s="560"/>
      <c r="H28" s="560" t="s">
        <v>143</v>
      </c>
      <c r="I28" s="560"/>
      <c r="J28" s="560" t="s">
        <v>143</v>
      </c>
      <c r="K28" s="560"/>
      <c r="L28" s="560" t="s">
        <v>143</v>
      </c>
      <c r="M28" s="560"/>
      <c r="N28" s="560" t="s">
        <v>143</v>
      </c>
      <c r="O28" s="560"/>
      <c r="P28" s="560" t="s">
        <v>383</v>
      </c>
      <c r="Q28" s="560"/>
      <c r="R28" s="560" t="s">
        <v>383</v>
      </c>
      <c r="S28" s="557"/>
      <c r="T28" s="562"/>
      <c r="U28" s="556"/>
      <c r="V28" s="556"/>
      <c r="W28" s="558"/>
      <c r="X28" s="543"/>
    </row>
    <row r="29" spans="1:24" s="544" customFormat="1" x14ac:dyDescent="0.3">
      <c r="A29" s="555"/>
      <c r="B29" s="556" t="s">
        <v>10</v>
      </c>
      <c r="C29" s="563"/>
      <c r="D29" s="557" t="s">
        <v>249</v>
      </c>
      <c r="E29" s="557"/>
      <c r="F29" s="562" t="s">
        <v>250</v>
      </c>
      <c r="G29" s="557"/>
      <c r="H29" s="557" t="s">
        <v>251</v>
      </c>
      <c r="I29" s="557"/>
      <c r="J29" s="557" t="s">
        <v>253</v>
      </c>
      <c r="K29" s="557"/>
      <c r="L29" s="557" t="s">
        <v>254</v>
      </c>
      <c r="M29" s="557"/>
      <c r="N29" s="557" t="s">
        <v>255</v>
      </c>
      <c r="O29" s="557"/>
      <c r="P29" s="557" t="s">
        <v>256</v>
      </c>
      <c r="Q29" s="557"/>
      <c r="R29" s="557" t="s">
        <v>257</v>
      </c>
      <c r="S29" s="564"/>
      <c r="T29" s="564"/>
      <c r="U29" s="563"/>
      <c r="V29" s="564"/>
      <c r="W29" s="565"/>
      <c r="X29" s="543"/>
    </row>
    <row r="30" spans="1:24" s="544" customFormat="1" x14ac:dyDescent="0.3">
      <c r="A30" s="555"/>
      <c r="B30" s="556" t="s">
        <v>10</v>
      </c>
      <c r="C30" s="563"/>
      <c r="D30" s="557" t="s">
        <v>248</v>
      </c>
      <c r="E30" s="557"/>
      <c r="F30" s="562" t="s">
        <v>118</v>
      </c>
      <c r="G30" s="557"/>
      <c r="H30" s="557" t="s">
        <v>118</v>
      </c>
      <c r="I30" s="557"/>
      <c r="J30" s="557" t="s">
        <v>252</v>
      </c>
      <c r="K30" s="557"/>
      <c r="L30" s="557" t="s">
        <v>118</v>
      </c>
      <c r="M30" s="557"/>
      <c r="N30" s="557" t="s">
        <v>118</v>
      </c>
      <c r="O30" s="557"/>
      <c r="P30" s="557" t="s">
        <v>118</v>
      </c>
      <c r="Q30" s="557"/>
      <c r="R30" s="557" t="s">
        <v>118</v>
      </c>
      <c r="S30" s="564"/>
      <c r="T30" s="564"/>
      <c r="U30" s="563"/>
      <c r="V30" s="564"/>
      <c r="W30" s="565"/>
      <c r="X30" s="543"/>
    </row>
    <row r="31" spans="1:24" s="544" customFormat="1" x14ac:dyDescent="0.3">
      <c r="A31" s="559"/>
      <c r="B31" s="556" t="s">
        <v>133</v>
      </c>
      <c r="C31" s="566"/>
      <c r="D31" s="567">
        <v>1500000</v>
      </c>
      <c r="E31" s="563"/>
      <c r="F31" s="564">
        <v>125000</v>
      </c>
      <c r="G31" s="564"/>
      <c r="H31" s="568">
        <v>246000</v>
      </c>
      <c r="I31" s="568"/>
      <c r="J31" s="567">
        <v>400000</v>
      </c>
      <c r="K31" s="564"/>
      <c r="L31" s="564">
        <v>51900</v>
      </c>
      <c r="M31" s="564"/>
      <c r="N31" s="568">
        <v>88800</v>
      </c>
      <c r="O31" s="564"/>
      <c r="P31" s="564">
        <v>20000</v>
      </c>
      <c r="Q31" s="564"/>
      <c r="R31" s="568">
        <v>135500</v>
      </c>
      <c r="S31" s="569"/>
      <c r="T31" s="569"/>
      <c r="U31" s="566"/>
      <c r="V31" s="569"/>
      <c r="W31" s="565"/>
      <c r="X31" s="543"/>
    </row>
    <row r="32" spans="1:24" s="544" customFormat="1" x14ac:dyDescent="0.3">
      <c r="A32" s="555"/>
      <c r="B32" s="556" t="s">
        <v>132</v>
      </c>
      <c r="C32" s="563"/>
      <c r="D32" s="570">
        <f>D34*D38</f>
        <v>306086.20361339999</v>
      </c>
      <c r="E32" s="563"/>
      <c r="F32" s="564">
        <f>F31*F38</f>
        <v>49356.675000000003</v>
      </c>
      <c r="G32" s="564"/>
      <c r="H32" s="568">
        <f>H31*H38</f>
        <v>97133.936400000006</v>
      </c>
      <c r="I32" s="568"/>
      <c r="J32" s="567">
        <f>J31*J38</f>
        <v>157940.44</v>
      </c>
      <c r="K32" s="564"/>
      <c r="L32" s="564">
        <f>+L31</f>
        <v>51900</v>
      </c>
      <c r="M32" s="564"/>
      <c r="N32" s="568">
        <f>+N31</f>
        <v>88800</v>
      </c>
      <c r="O32" s="564"/>
      <c r="P32" s="564">
        <f>+P31</f>
        <v>20000</v>
      </c>
      <c r="Q32" s="564"/>
      <c r="R32" s="568">
        <f>+R31</f>
        <v>135500</v>
      </c>
      <c r="S32" s="564"/>
      <c r="T32" s="564"/>
      <c r="U32" s="563"/>
      <c r="V32" s="564"/>
      <c r="W32" s="565"/>
      <c r="X32" s="543"/>
    </row>
    <row r="33" spans="1:24" s="544" customFormat="1" x14ac:dyDescent="0.3">
      <c r="A33" s="555"/>
      <c r="B33" s="561" t="s">
        <v>134</v>
      </c>
      <c r="C33" s="563"/>
      <c r="D33" s="571">
        <f>D34*D37</f>
        <v>298747.6745736</v>
      </c>
      <c r="E33" s="566"/>
      <c r="F33" s="569">
        <f>F37*F31</f>
        <v>48173.35</v>
      </c>
      <c r="G33" s="569"/>
      <c r="H33" s="572">
        <f>H31*H37</f>
        <v>94805.152799999996</v>
      </c>
      <c r="I33" s="572"/>
      <c r="J33" s="573">
        <f>J37*J31</f>
        <v>154153.76</v>
      </c>
      <c r="K33" s="569"/>
      <c r="L33" s="569">
        <f>L31*L37</f>
        <v>51900</v>
      </c>
      <c r="M33" s="569"/>
      <c r="N33" s="572">
        <f>N31*N37</f>
        <v>88800</v>
      </c>
      <c r="O33" s="569"/>
      <c r="P33" s="569">
        <f>P31*P37</f>
        <v>20000</v>
      </c>
      <c r="Q33" s="569"/>
      <c r="R33" s="572">
        <f>R31*R37</f>
        <v>135500</v>
      </c>
      <c r="S33" s="564"/>
      <c r="T33" s="564"/>
      <c r="U33" s="563"/>
      <c r="V33" s="564"/>
      <c r="W33" s="565"/>
      <c r="X33" s="543"/>
    </row>
    <row r="34" spans="1:24" s="544" customFormat="1" x14ac:dyDescent="0.3">
      <c r="A34" s="559"/>
      <c r="B34" s="556" t="s">
        <v>296</v>
      </c>
      <c r="C34" s="566"/>
      <c r="D34" s="564">
        <v>775194</v>
      </c>
      <c r="E34" s="563"/>
      <c r="F34" s="564">
        <v>125000</v>
      </c>
      <c r="G34" s="564"/>
      <c r="H34" s="564">
        <v>168148</v>
      </c>
      <c r="I34" s="564"/>
      <c r="J34" s="564">
        <v>206718</v>
      </c>
      <c r="K34" s="564"/>
      <c r="L34" s="564">
        <v>51900</v>
      </c>
      <c r="M34" s="564"/>
      <c r="N34" s="564">
        <v>60697</v>
      </c>
      <c r="O34" s="564"/>
      <c r="P34" s="564">
        <v>20000</v>
      </c>
      <c r="Q34" s="564"/>
      <c r="R34" s="564">
        <v>92618</v>
      </c>
      <c r="S34" s="569"/>
      <c r="T34" s="569"/>
      <c r="U34" s="566"/>
      <c r="V34" s="564">
        <f>SUM(C34:R34)</f>
        <v>1500275</v>
      </c>
      <c r="W34" s="565"/>
      <c r="X34" s="543"/>
    </row>
    <row r="35" spans="1:24" s="544" customFormat="1" x14ac:dyDescent="0.3">
      <c r="A35" s="559"/>
      <c r="B35" s="556" t="s">
        <v>297</v>
      </c>
      <c r="C35" s="566"/>
      <c r="D35" s="564">
        <f>D34*D38</f>
        <v>306086.20361339999</v>
      </c>
      <c r="E35" s="563"/>
      <c r="F35" s="564">
        <f>F34*F38</f>
        <v>49356.675000000003</v>
      </c>
      <c r="G35" s="564"/>
      <c r="H35" s="564">
        <f>H34*H38</f>
        <v>66393.809503199998</v>
      </c>
      <c r="I35" s="564"/>
      <c r="J35" s="564">
        <f>J34*J38</f>
        <v>81622.829689799997</v>
      </c>
      <c r="K35" s="564"/>
      <c r="L35" s="564">
        <f>+L34</f>
        <v>51900</v>
      </c>
      <c r="M35" s="564"/>
      <c r="N35" s="564">
        <f>+N34</f>
        <v>60697</v>
      </c>
      <c r="O35" s="564"/>
      <c r="P35" s="564">
        <f>+P34</f>
        <v>20000</v>
      </c>
      <c r="Q35" s="564"/>
      <c r="R35" s="564">
        <f>+R34</f>
        <v>92618</v>
      </c>
      <c r="S35" s="564"/>
      <c r="T35" s="564"/>
      <c r="U35" s="563"/>
      <c r="V35" s="564">
        <f>SUM(C35:R35)</f>
        <v>728674.51780639996</v>
      </c>
      <c r="W35" s="565"/>
      <c r="X35" s="543"/>
    </row>
    <row r="36" spans="1:24" s="544" customFormat="1" x14ac:dyDescent="0.3">
      <c r="A36" s="559"/>
      <c r="B36" s="561" t="s">
        <v>298</v>
      </c>
      <c r="C36" s="566"/>
      <c r="D36" s="569">
        <f>D34*D37</f>
        <v>298747.6745736</v>
      </c>
      <c r="E36" s="566"/>
      <c r="F36" s="569">
        <f>F34*F37</f>
        <v>48173.35</v>
      </c>
      <c r="G36" s="569"/>
      <c r="H36" s="569">
        <f>H34*H37</f>
        <v>64802.019646399996</v>
      </c>
      <c r="I36" s="569"/>
      <c r="J36" s="569">
        <f>J34*J37</f>
        <v>79665.892399200005</v>
      </c>
      <c r="K36" s="569"/>
      <c r="L36" s="569">
        <f>L34*L37</f>
        <v>51900</v>
      </c>
      <c r="M36" s="569"/>
      <c r="N36" s="569">
        <f>N34*N37</f>
        <v>60697</v>
      </c>
      <c r="O36" s="569"/>
      <c r="P36" s="569">
        <f>P34*P37</f>
        <v>20000</v>
      </c>
      <c r="Q36" s="569"/>
      <c r="R36" s="569">
        <f>R34*R37</f>
        <v>92618</v>
      </c>
      <c r="S36" s="574"/>
      <c r="T36" s="574"/>
      <c r="U36" s="563"/>
      <c r="V36" s="569">
        <f>SUM(C36:R36)</f>
        <v>716603.93661920005</v>
      </c>
      <c r="W36" s="565"/>
      <c r="X36" s="543"/>
    </row>
    <row r="37" spans="1:24" s="499" customFormat="1" x14ac:dyDescent="0.3">
      <c r="A37" s="492"/>
      <c r="B37" s="493" t="s">
        <v>130</v>
      </c>
      <c r="C37" s="494"/>
      <c r="D37" s="495">
        <v>0.38538440000000002</v>
      </c>
      <c r="E37" s="495"/>
      <c r="F37" s="495">
        <v>0.38538679999999997</v>
      </c>
      <c r="G37" s="495"/>
      <c r="H37" s="495">
        <v>0.38538679999999997</v>
      </c>
      <c r="I37" s="495"/>
      <c r="J37" s="495">
        <v>0.38538440000000002</v>
      </c>
      <c r="K37" s="495"/>
      <c r="L37" s="495">
        <v>1</v>
      </c>
      <c r="M37" s="495"/>
      <c r="N37" s="495">
        <v>1</v>
      </c>
      <c r="O37" s="495"/>
      <c r="P37" s="495">
        <v>1</v>
      </c>
      <c r="Q37" s="495"/>
      <c r="R37" s="495">
        <v>1</v>
      </c>
      <c r="S37" s="496"/>
      <c r="T37" s="496"/>
      <c r="U37" s="494"/>
      <c r="V37" s="494"/>
      <c r="W37" s="497"/>
      <c r="X37" s="498"/>
    </row>
    <row r="38" spans="1:24" s="499" customFormat="1" x14ac:dyDescent="0.3">
      <c r="A38" s="492"/>
      <c r="B38" s="493" t="s">
        <v>131</v>
      </c>
      <c r="C38" s="494"/>
      <c r="D38" s="495">
        <v>0.39485110000000001</v>
      </c>
      <c r="E38" s="495"/>
      <c r="F38" s="495">
        <v>0.39485340000000002</v>
      </c>
      <c r="G38" s="495"/>
      <c r="H38" s="495">
        <v>0.39485340000000002</v>
      </c>
      <c r="I38" s="495"/>
      <c r="J38" s="495">
        <v>0.39485110000000001</v>
      </c>
      <c r="K38" s="495"/>
      <c r="L38" s="495">
        <v>1</v>
      </c>
      <c r="M38" s="495"/>
      <c r="N38" s="495">
        <v>1</v>
      </c>
      <c r="O38" s="495"/>
      <c r="P38" s="495">
        <v>1</v>
      </c>
      <c r="Q38" s="495"/>
      <c r="R38" s="495">
        <v>1</v>
      </c>
      <c r="S38" s="500"/>
      <c r="T38" s="501"/>
      <c r="U38" s="494"/>
      <c r="V38" s="500"/>
      <c r="W38" s="497"/>
      <c r="X38" s="498"/>
    </row>
    <row r="39" spans="1:24" s="544" customFormat="1" x14ac:dyDescent="0.3">
      <c r="A39" s="555"/>
      <c r="B39" s="556" t="s">
        <v>11</v>
      </c>
      <c r="C39" s="556"/>
      <c r="D39" s="562" t="s">
        <v>321</v>
      </c>
      <c r="E39" s="556"/>
      <c r="F39" s="562" t="s">
        <v>231</v>
      </c>
      <c r="G39" s="562"/>
      <c r="H39" s="562" t="s">
        <v>231</v>
      </c>
      <c r="I39" s="562"/>
      <c r="J39" s="562" t="s">
        <v>231</v>
      </c>
      <c r="K39" s="562"/>
      <c r="L39" s="562" t="s">
        <v>265</v>
      </c>
      <c r="M39" s="562"/>
      <c r="N39" s="562" t="s">
        <v>265</v>
      </c>
      <c r="O39" s="562"/>
      <c r="P39" s="562" t="s">
        <v>266</v>
      </c>
      <c r="Q39" s="562"/>
      <c r="R39" s="562" t="s">
        <v>266</v>
      </c>
      <c r="S39" s="575"/>
      <c r="T39" s="576"/>
      <c r="U39" s="556"/>
      <c r="V39" s="556"/>
      <c r="W39" s="558"/>
      <c r="X39" s="543"/>
    </row>
    <row r="40" spans="1:24" s="544" customFormat="1" x14ac:dyDescent="0.3">
      <c r="A40" s="555"/>
      <c r="B40" s="556" t="s">
        <v>12</v>
      </c>
      <c r="C40" s="556"/>
      <c r="D40" s="576">
        <v>6.8675000000000003E-3</v>
      </c>
      <c r="E40" s="556"/>
      <c r="F40" s="576">
        <v>6.8675000000000003E-3</v>
      </c>
      <c r="G40" s="575"/>
      <c r="H40" s="576">
        <v>0</v>
      </c>
      <c r="I40" s="576"/>
      <c r="J40" s="576">
        <v>9.4050000000000002E-3</v>
      </c>
      <c r="K40" s="575"/>
      <c r="L40" s="576">
        <v>8.4674999999999993E-3</v>
      </c>
      <c r="M40" s="575"/>
      <c r="N40" s="576">
        <v>0</v>
      </c>
      <c r="O40" s="575"/>
      <c r="P40" s="576">
        <v>1.2467499999999999E-2</v>
      </c>
      <c r="Q40" s="575"/>
      <c r="R40" s="576">
        <v>2.7100000000000002E-3</v>
      </c>
      <c r="S40" s="575"/>
      <c r="T40" s="576"/>
      <c r="U40" s="556"/>
      <c r="V40" s="562"/>
      <c r="W40" s="558"/>
      <c r="X40" s="543"/>
    </row>
    <row r="41" spans="1:24" s="544" customFormat="1" x14ac:dyDescent="0.3">
      <c r="A41" s="555"/>
      <c r="B41" s="556" t="s">
        <v>13</v>
      </c>
      <c r="C41" s="556"/>
      <c r="D41" s="576">
        <v>9.9749999999999995E-3</v>
      </c>
      <c r="E41" s="556"/>
      <c r="F41" s="576">
        <v>9.9749999999999995E-3</v>
      </c>
      <c r="G41" s="575"/>
      <c r="H41" s="576">
        <v>0</v>
      </c>
      <c r="I41" s="576"/>
      <c r="J41" s="576">
        <v>2.0936300000000001E-2</v>
      </c>
      <c r="K41" s="575"/>
      <c r="L41" s="576">
        <v>1.1575E-2</v>
      </c>
      <c r="M41" s="575"/>
      <c r="N41" s="576">
        <v>0</v>
      </c>
      <c r="O41" s="575"/>
      <c r="P41" s="576">
        <v>1.5575E-2</v>
      </c>
      <c r="Q41" s="575"/>
      <c r="R41" s="576">
        <v>3.65E-3</v>
      </c>
      <c r="S41" s="575"/>
      <c r="T41" s="576"/>
      <c r="U41" s="556"/>
      <c r="V41" s="575" t="s">
        <v>193</v>
      </c>
      <c r="W41" s="558"/>
      <c r="X41" s="543"/>
    </row>
    <row r="42" spans="1:24" s="544" customFormat="1" x14ac:dyDescent="0.3">
      <c r="A42" s="555"/>
      <c r="B42" s="556" t="s">
        <v>299</v>
      </c>
      <c r="C42" s="556"/>
      <c r="D42" s="562" t="s">
        <v>321</v>
      </c>
      <c r="E42" s="556"/>
      <c r="F42" s="562" t="s">
        <v>231</v>
      </c>
      <c r="G42" s="562"/>
      <c r="H42" s="562" t="s">
        <v>323</v>
      </c>
      <c r="I42" s="562"/>
      <c r="J42" s="562" t="s">
        <v>324</v>
      </c>
      <c r="K42" s="562"/>
      <c r="L42" s="562" t="s">
        <v>265</v>
      </c>
      <c r="M42" s="562"/>
      <c r="N42" s="562" t="s">
        <v>234</v>
      </c>
      <c r="O42" s="562"/>
      <c r="P42" s="562" t="s">
        <v>266</v>
      </c>
      <c r="Q42" s="562"/>
      <c r="R42" s="562" t="s">
        <v>264</v>
      </c>
      <c r="S42" s="575"/>
      <c r="T42" s="576"/>
      <c r="U42" s="556"/>
      <c r="V42" s="556"/>
      <c r="W42" s="558"/>
      <c r="X42" s="543"/>
    </row>
    <row r="43" spans="1:24" s="544" customFormat="1" x14ac:dyDescent="0.3">
      <c r="A43" s="555"/>
      <c r="B43" s="556" t="s">
        <v>300</v>
      </c>
      <c r="C43" s="577"/>
      <c r="D43" s="576">
        <f>D40</f>
        <v>6.8675000000000003E-3</v>
      </c>
      <c r="E43" s="576"/>
      <c r="F43" s="576">
        <f>+F40</f>
        <v>6.8675000000000003E-3</v>
      </c>
      <c r="G43" s="576"/>
      <c r="H43" s="576">
        <v>7.1475000000000002E-3</v>
      </c>
      <c r="I43" s="576"/>
      <c r="J43" s="576">
        <v>7.5935000000000004E-3</v>
      </c>
      <c r="K43" s="576"/>
      <c r="L43" s="576">
        <f>+L40</f>
        <v>8.4674999999999993E-3</v>
      </c>
      <c r="M43" s="576"/>
      <c r="N43" s="576">
        <v>9.0594999999999998E-3</v>
      </c>
      <c r="O43" s="576"/>
      <c r="P43" s="576">
        <f>+P40</f>
        <v>1.2467499999999999E-2</v>
      </c>
      <c r="Q43" s="575"/>
      <c r="R43" s="576">
        <v>1.35335E-2</v>
      </c>
      <c r="S43" s="562"/>
      <c r="T43" s="562"/>
      <c r="U43" s="556"/>
      <c r="V43" s="575">
        <f>SUMPRODUCT(D43:R43,D35:R35)/V35</f>
        <v>8.2718689301724407E-3</v>
      </c>
      <c r="W43" s="558"/>
      <c r="X43" s="543"/>
    </row>
    <row r="44" spans="1:24" s="544" customFormat="1" x14ac:dyDescent="0.3">
      <c r="A44" s="555"/>
      <c r="B44" s="556" t="s">
        <v>301</v>
      </c>
      <c r="C44" s="577"/>
      <c r="D44" s="576">
        <f>D41</f>
        <v>9.9749999999999995E-3</v>
      </c>
      <c r="E44" s="576"/>
      <c r="F44" s="576">
        <f>+F41</f>
        <v>9.9749999999999995E-3</v>
      </c>
      <c r="G44" s="576"/>
      <c r="H44" s="576">
        <v>1.0255E-2</v>
      </c>
      <c r="I44" s="576"/>
      <c r="J44" s="576">
        <v>1.0701E-2</v>
      </c>
      <c r="K44" s="576"/>
      <c r="L44" s="576">
        <f>+L41</f>
        <v>1.1575E-2</v>
      </c>
      <c r="M44" s="576"/>
      <c r="N44" s="576">
        <v>1.2167000000000001E-2</v>
      </c>
      <c r="O44" s="576"/>
      <c r="P44" s="576">
        <f>+P41</f>
        <v>1.5575E-2</v>
      </c>
      <c r="Q44" s="575"/>
      <c r="R44" s="576">
        <v>1.6641E-2</v>
      </c>
      <c r="S44" s="562"/>
      <c r="T44" s="562"/>
      <c r="U44" s="556"/>
      <c r="V44" s="556"/>
      <c r="W44" s="558"/>
      <c r="X44" s="543"/>
    </row>
    <row r="45" spans="1:24" s="544" customFormat="1" x14ac:dyDescent="0.3">
      <c r="A45" s="555"/>
      <c r="B45" s="556" t="s">
        <v>14</v>
      </c>
      <c r="C45" s="556"/>
      <c r="D45" s="577">
        <v>40617</v>
      </c>
      <c r="E45" s="577"/>
      <c r="F45" s="577">
        <v>40617</v>
      </c>
      <c r="G45" s="577"/>
      <c r="H45" s="577">
        <v>40617</v>
      </c>
      <c r="I45" s="577"/>
      <c r="J45" s="577">
        <v>40617</v>
      </c>
      <c r="K45" s="577"/>
      <c r="L45" s="577">
        <v>40617</v>
      </c>
      <c r="M45" s="577"/>
      <c r="N45" s="577">
        <v>40617</v>
      </c>
      <c r="O45" s="577"/>
      <c r="P45" s="577">
        <v>40617</v>
      </c>
      <c r="Q45" s="577"/>
      <c r="R45" s="577">
        <v>40617</v>
      </c>
      <c r="S45" s="562"/>
      <c r="T45" s="562"/>
      <c r="U45" s="556"/>
      <c r="V45" s="556"/>
      <c r="W45" s="558"/>
      <c r="X45" s="543"/>
    </row>
    <row r="46" spans="1:24" s="544" customFormat="1" x14ac:dyDescent="0.3">
      <c r="A46" s="555"/>
      <c r="B46" s="556" t="s">
        <v>15</v>
      </c>
      <c r="C46" s="556"/>
      <c r="D46" s="577">
        <v>40983</v>
      </c>
      <c r="E46" s="577"/>
      <c r="F46" s="577">
        <v>40983</v>
      </c>
      <c r="G46" s="577"/>
      <c r="H46" s="577">
        <v>40983</v>
      </c>
      <c r="I46" s="577"/>
      <c r="J46" s="577">
        <v>40983</v>
      </c>
      <c r="K46" s="562"/>
      <c r="L46" s="577">
        <v>40983</v>
      </c>
      <c r="M46" s="562"/>
      <c r="N46" s="577">
        <v>40983</v>
      </c>
      <c r="O46" s="562"/>
      <c r="P46" s="577">
        <v>40983</v>
      </c>
      <c r="Q46" s="562"/>
      <c r="R46" s="577">
        <v>40983</v>
      </c>
      <c r="S46" s="562"/>
      <c r="T46" s="562"/>
      <c r="U46" s="556"/>
      <c r="V46" s="556"/>
      <c r="W46" s="558"/>
      <c r="X46" s="543"/>
    </row>
    <row r="47" spans="1:24" s="544" customFormat="1" x14ac:dyDescent="0.3">
      <c r="A47" s="555"/>
      <c r="B47" s="556" t="s">
        <v>119</v>
      </c>
      <c r="C47" s="556"/>
      <c r="D47" s="562" t="s">
        <v>231</v>
      </c>
      <c r="E47" s="556"/>
      <c r="F47" s="562" t="s">
        <v>231</v>
      </c>
      <c r="G47" s="562"/>
      <c r="H47" s="562" t="s">
        <v>231</v>
      </c>
      <c r="I47" s="562"/>
      <c r="J47" s="562" t="s">
        <v>231</v>
      </c>
      <c r="K47" s="562"/>
      <c r="L47" s="562" t="s">
        <v>265</v>
      </c>
      <c r="M47" s="562"/>
      <c r="N47" s="562" t="s">
        <v>265</v>
      </c>
      <c r="O47" s="562"/>
      <c r="P47" s="562" t="s">
        <v>266</v>
      </c>
      <c r="Q47" s="562"/>
      <c r="R47" s="562" t="s">
        <v>266</v>
      </c>
      <c r="S47" s="578"/>
      <c r="T47" s="578"/>
      <c r="U47" s="578"/>
      <c r="V47" s="578"/>
      <c r="W47" s="558"/>
      <c r="X47" s="543"/>
    </row>
    <row r="48" spans="1:24" s="544" customFormat="1" x14ac:dyDescent="0.3">
      <c r="A48" s="555"/>
      <c r="B48" s="556" t="s">
        <v>302</v>
      </c>
      <c r="C48" s="556"/>
      <c r="D48" s="562" t="s">
        <v>325</v>
      </c>
      <c r="E48" s="556"/>
      <c r="F48" s="562" t="s">
        <v>231</v>
      </c>
      <c r="G48" s="562"/>
      <c r="H48" s="562" t="s">
        <v>262</v>
      </c>
      <c r="I48" s="562"/>
      <c r="J48" s="562" t="s">
        <v>263</v>
      </c>
      <c r="K48" s="562"/>
      <c r="L48" s="562" t="s">
        <v>265</v>
      </c>
      <c r="M48" s="562"/>
      <c r="N48" s="562" t="s">
        <v>234</v>
      </c>
      <c r="O48" s="562"/>
      <c r="P48" s="562" t="s">
        <v>266</v>
      </c>
      <c r="Q48" s="562"/>
      <c r="R48" s="562" t="s">
        <v>264</v>
      </c>
      <c r="S48" s="556"/>
      <c r="T48" s="556"/>
      <c r="U48" s="556"/>
      <c r="V48" s="575"/>
      <c r="W48" s="558"/>
      <c r="X48" s="543"/>
    </row>
    <row r="49" spans="1:25" s="544" customFormat="1" x14ac:dyDescent="0.3">
      <c r="A49" s="555"/>
      <c r="B49" s="556"/>
      <c r="C49" s="556"/>
      <c r="D49" s="562"/>
      <c r="E49" s="556"/>
      <c r="F49" s="562"/>
      <c r="G49" s="562"/>
      <c r="H49" s="562"/>
      <c r="I49" s="562"/>
      <c r="J49" s="562"/>
      <c r="K49" s="562"/>
      <c r="L49" s="562"/>
      <c r="M49" s="562"/>
      <c r="N49" s="562"/>
      <c r="O49" s="562"/>
      <c r="P49" s="562"/>
      <c r="Q49" s="562"/>
      <c r="R49" s="562"/>
      <c r="S49" s="556"/>
      <c r="T49" s="556"/>
      <c r="U49" s="556"/>
      <c r="V49" s="575" t="s">
        <v>193</v>
      </c>
      <c r="W49" s="558"/>
      <c r="X49" s="543"/>
    </row>
    <row r="50" spans="1:25" s="544" customFormat="1" x14ac:dyDescent="0.3">
      <c r="A50" s="555"/>
      <c r="B50" s="556" t="s">
        <v>169</v>
      </c>
      <c r="C50" s="556"/>
      <c r="D50" s="562"/>
      <c r="E50" s="556"/>
      <c r="F50" s="562"/>
      <c r="G50" s="562"/>
      <c r="H50" s="562"/>
      <c r="I50" s="562"/>
      <c r="J50" s="562"/>
      <c r="K50" s="562"/>
      <c r="L50" s="562"/>
      <c r="M50" s="562"/>
      <c r="N50" s="562"/>
      <c r="O50" s="562"/>
      <c r="P50" s="562"/>
      <c r="Q50" s="562"/>
      <c r="R50" s="562"/>
      <c r="S50" s="556"/>
      <c r="T50" s="556"/>
      <c r="U50" s="556"/>
      <c r="V50" s="575">
        <f>SUM(L34:R34)/SUM(D34:J34)</f>
        <v>0.17663090364375009</v>
      </c>
      <c r="W50" s="558"/>
      <c r="X50" s="543"/>
    </row>
    <row r="51" spans="1:25" s="544" customFormat="1" x14ac:dyDescent="0.3">
      <c r="A51" s="555"/>
      <c r="B51" s="556" t="s">
        <v>170</v>
      </c>
      <c r="C51" s="556"/>
      <c r="D51" s="556"/>
      <c r="E51" s="556"/>
      <c r="F51" s="579"/>
      <c r="G51" s="556"/>
      <c r="H51" s="556"/>
      <c r="I51" s="556"/>
      <c r="J51" s="556"/>
      <c r="K51" s="556"/>
      <c r="L51" s="556"/>
      <c r="M51" s="556"/>
      <c r="N51" s="556"/>
      <c r="O51" s="556"/>
      <c r="P51" s="556"/>
      <c r="Q51" s="556"/>
      <c r="R51" s="556"/>
      <c r="S51" s="556"/>
      <c r="T51" s="556"/>
      <c r="U51" s="556"/>
      <c r="V51" s="575">
        <f>SUM(L36:R36)/SUM(D36:J36)</f>
        <v>0.45832330200492388</v>
      </c>
      <c r="W51" s="558"/>
      <c r="X51" s="543"/>
    </row>
    <row r="52" spans="1:25" s="544" customFormat="1" x14ac:dyDescent="0.3">
      <c r="A52" s="555"/>
      <c r="B52" s="556" t="s">
        <v>171</v>
      </c>
      <c r="C52" s="556"/>
      <c r="D52" s="556"/>
      <c r="E52" s="556"/>
      <c r="F52" s="556"/>
      <c r="G52" s="556"/>
      <c r="H52" s="556"/>
      <c r="I52" s="556"/>
      <c r="J52" s="556"/>
      <c r="K52" s="556"/>
      <c r="L52" s="556"/>
      <c r="M52" s="556"/>
      <c r="N52" s="556"/>
      <c r="O52" s="556"/>
      <c r="P52" s="556"/>
      <c r="Q52" s="556"/>
      <c r="R52" s="556"/>
      <c r="S52" s="556"/>
      <c r="T52" s="562"/>
      <c r="U52" s="562"/>
      <c r="V52" s="564" t="s">
        <v>276</v>
      </c>
      <c r="W52" s="558"/>
      <c r="X52" s="543"/>
    </row>
    <row r="53" spans="1:25" s="544" customFormat="1" x14ac:dyDescent="0.3">
      <c r="A53" s="555"/>
      <c r="B53" s="556"/>
      <c r="C53" s="556"/>
      <c r="D53" s="556"/>
      <c r="E53" s="556"/>
      <c r="F53" s="556"/>
      <c r="G53" s="556"/>
      <c r="H53" s="556"/>
      <c r="I53" s="556"/>
      <c r="J53" s="556"/>
      <c r="K53" s="556"/>
      <c r="L53" s="556"/>
      <c r="M53" s="556"/>
      <c r="N53" s="556"/>
      <c r="O53" s="556"/>
      <c r="P53" s="556"/>
      <c r="Q53" s="556"/>
      <c r="R53" s="556"/>
      <c r="S53" s="556"/>
      <c r="T53" s="556"/>
      <c r="U53" s="556"/>
      <c r="V53" s="580"/>
      <c r="W53" s="558"/>
      <c r="X53" s="543"/>
    </row>
    <row r="54" spans="1:25" s="544" customFormat="1" x14ac:dyDescent="0.3">
      <c r="A54" s="555"/>
      <c r="B54" s="556" t="s">
        <v>361</v>
      </c>
      <c r="C54" s="556"/>
      <c r="D54" s="556"/>
      <c r="E54" s="556"/>
      <c r="F54" s="556"/>
      <c r="G54" s="556"/>
      <c r="H54" s="556"/>
      <c r="I54" s="556"/>
      <c r="J54" s="556"/>
      <c r="K54" s="556"/>
      <c r="L54" s="556"/>
      <c r="M54" s="556"/>
      <c r="N54" s="556"/>
      <c r="O54" s="556"/>
      <c r="P54" s="556"/>
      <c r="Q54" s="556"/>
      <c r="R54" s="556"/>
      <c r="S54" s="556"/>
      <c r="T54" s="562"/>
      <c r="U54" s="562"/>
      <c r="V54" s="581" t="s">
        <v>111</v>
      </c>
      <c r="W54" s="558"/>
      <c r="X54" s="543"/>
    </row>
    <row r="55" spans="1:25" s="544" customFormat="1" x14ac:dyDescent="0.3">
      <c r="A55" s="555"/>
      <c r="B55" s="561" t="s">
        <v>201</v>
      </c>
      <c r="C55" s="561"/>
      <c r="D55" s="561"/>
      <c r="E55" s="561"/>
      <c r="F55" s="561"/>
      <c r="G55" s="561"/>
      <c r="H55" s="561"/>
      <c r="I55" s="561"/>
      <c r="J55" s="561"/>
      <c r="K55" s="561"/>
      <c r="L55" s="561"/>
      <c r="M55" s="561"/>
      <c r="N55" s="561"/>
      <c r="O55" s="561"/>
      <c r="P55" s="561"/>
      <c r="Q55" s="561"/>
      <c r="R55" s="561"/>
      <c r="S55" s="561"/>
      <c r="T55" s="582"/>
      <c r="U55" s="582"/>
      <c r="V55" s="583">
        <v>43997</v>
      </c>
      <c r="W55" s="558"/>
      <c r="X55" s="543"/>
    </row>
    <row r="56" spans="1:25" s="544" customFormat="1" x14ac:dyDescent="0.3">
      <c r="A56" s="555"/>
      <c r="B56" s="556" t="s">
        <v>121</v>
      </c>
      <c r="C56" s="556"/>
      <c r="D56" s="556"/>
      <c r="E56" s="556"/>
      <c r="F56" s="556"/>
      <c r="G56" s="556"/>
      <c r="H56" s="584"/>
      <c r="I56" s="584"/>
      <c r="J56" s="584"/>
      <c r="K56" s="584"/>
      <c r="L56" s="584"/>
      <c r="M56" s="584"/>
      <c r="N56" s="584"/>
      <c r="O56" s="584"/>
      <c r="P56" s="584"/>
      <c r="Q56" s="584"/>
      <c r="R56" s="556">
        <f>+V56-T56+1</f>
        <v>91</v>
      </c>
      <c r="S56" s="584"/>
      <c r="T56" s="585">
        <v>43815</v>
      </c>
      <c r="U56" s="586"/>
      <c r="V56" s="585">
        <v>43905</v>
      </c>
      <c r="W56" s="558"/>
      <c r="X56" s="543"/>
    </row>
    <row r="57" spans="1:25" s="544" customFormat="1" x14ac:dyDescent="0.3">
      <c r="A57" s="555"/>
      <c r="B57" s="556" t="s">
        <v>122</v>
      </c>
      <c r="C57" s="556"/>
      <c r="D57" s="556"/>
      <c r="E57" s="556"/>
      <c r="F57" s="556"/>
      <c r="G57" s="556"/>
      <c r="H57" s="556"/>
      <c r="I57" s="556"/>
      <c r="J57" s="556"/>
      <c r="K57" s="556"/>
      <c r="L57" s="556"/>
      <c r="M57" s="556"/>
      <c r="N57" s="556"/>
      <c r="O57" s="556"/>
      <c r="P57" s="556"/>
      <c r="Q57" s="556"/>
      <c r="R57" s="556">
        <f>+V57-T57+1</f>
        <v>91</v>
      </c>
      <c r="S57" s="556"/>
      <c r="T57" s="585">
        <v>43906</v>
      </c>
      <c r="U57" s="586"/>
      <c r="V57" s="585">
        <v>43996</v>
      </c>
      <c r="W57" s="558"/>
      <c r="X57" s="543"/>
    </row>
    <row r="58" spans="1:25" s="544" customFormat="1" x14ac:dyDescent="0.3">
      <c r="A58" s="555"/>
      <c r="B58" s="556" t="s">
        <v>360</v>
      </c>
      <c r="C58" s="556"/>
      <c r="D58" s="556"/>
      <c r="E58" s="556"/>
      <c r="F58" s="556"/>
      <c r="G58" s="556"/>
      <c r="H58" s="556"/>
      <c r="I58" s="556"/>
      <c r="J58" s="556"/>
      <c r="K58" s="556"/>
      <c r="L58" s="556"/>
      <c r="M58" s="556"/>
      <c r="N58" s="556"/>
      <c r="O58" s="556"/>
      <c r="P58" s="556"/>
      <c r="Q58" s="556"/>
      <c r="R58" s="556"/>
      <c r="S58" s="556"/>
      <c r="T58" s="585"/>
      <c r="U58" s="586"/>
      <c r="V58" s="585" t="s">
        <v>120</v>
      </c>
      <c r="W58" s="558"/>
      <c r="X58" s="543"/>
    </row>
    <row r="59" spans="1:25" s="544" customFormat="1" x14ac:dyDescent="0.3">
      <c r="A59" s="555"/>
      <c r="B59" s="556" t="s">
        <v>359</v>
      </c>
      <c r="C59" s="556"/>
      <c r="D59" s="556"/>
      <c r="E59" s="556"/>
      <c r="F59" s="556"/>
      <c r="G59" s="556"/>
      <c r="H59" s="556"/>
      <c r="I59" s="556"/>
      <c r="J59" s="556"/>
      <c r="K59" s="556"/>
      <c r="L59" s="556"/>
      <c r="M59" s="556"/>
      <c r="N59" s="556"/>
      <c r="O59" s="556"/>
      <c r="P59" s="556"/>
      <c r="Q59" s="556"/>
      <c r="R59" s="556"/>
      <c r="S59" s="556"/>
      <c r="T59" s="585"/>
      <c r="U59" s="586"/>
      <c r="V59" s="585" t="s">
        <v>154</v>
      </c>
      <c r="W59" s="558"/>
      <c r="X59" s="543"/>
      <c r="Y59" s="587"/>
    </row>
    <row r="60" spans="1:25" s="544" customFormat="1" x14ac:dyDescent="0.3">
      <c r="A60" s="555"/>
      <c r="B60" s="556" t="s">
        <v>16</v>
      </c>
      <c r="C60" s="556"/>
      <c r="D60" s="556"/>
      <c r="E60" s="556"/>
      <c r="F60" s="556"/>
      <c r="G60" s="556"/>
      <c r="H60" s="556"/>
      <c r="I60" s="556"/>
      <c r="J60" s="556"/>
      <c r="K60" s="556"/>
      <c r="L60" s="556"/>
      <c r="M60" s="556"/>
      <c r="N60" s="556"/>
      <c r="O60" s="556"/>
      <c r="P60" s="556"/>
      <c r="Q60" s="556"/>
      <c r="R60" s="556"/>
      <c r="S60" s="556"/>
      <c r="T60" s="585"/>
      <c r="U60" s="586"/>
      <c r="V60" s="585">
        <v>43983</v>
      </c>
      <c r="W60" s="558"/>
      <c r="X60" s="543"/>
    </row>
    <row r="61" spans="1:25" s="544" customFormat="1" x14ac:dyDescent="0.3">
      <c r="A61" s="540"/>
      <c r="B61" s="588"/>
      <c r="C61" s="588"/>
      <c r="D61" s="588"/>
      <c r="E61" s="588"/>
      <c r="F61" s="588"/>
      <c r="G61" s="588"/>
      <c r="H61" s="588"/>
      <c r="I61" s="588"/>
      <c r="J61" s="588"/>
      <c r="K61" s="588"/>
      <c r="L61" s="588"/>
      <c r="M61" s="588"/>
      <c r="N61" s="588"/>
      <c r="O61" s="588"/>
      <c r="P61" s="588"/>
      <c r="Q61" s="588"/>
      <c r="R61" s="588"/>
      <c r="S61" s="588"/>
      <c r="T61" s="589"/>
      <c r="U61" s="590"/>
      <c r="V61" s="589"/>
      <c r="W61" s="588"/>
      <c r="X61" s="543"/>
    </row>
    <row r="62" spans="1:25" s="544" customFormat="1" x14ac:dyDescent="0.3">
      <c r="A62" s="540"/>
      <c r="B62" s="541"/>
      <c r="C62" s="541"/>
      <c r="D62" s="541"/>
      <c r="E62" s="541"/>
      <c r="F62" s="541"/>
      <c r="G62" s="541"/>
      <c r="H62" s="541"/>
      <c r="I62" s="541"/>
      <c r="J62" s="541"/>
      <c r="K62" s="541"/>
      <c r="L62" s="541"/>
      <c r="M62" s="541"/>
      <c r="N62" s="541"/>
      <c r="O62" s="541"/>
      <c r="P62" s="541"/>
      <c r="Q62" s="541"/>
      <c r="R62" s="541"/>
      <c r="S62" s="541"/>
      <c r="T62" s="591"/>
      <c r="U62" s="592"/>
      <c r="V62" s="591"/>
      <c r="W62" s="541"/>
      <c r="X62" s="543"/>
    </row>
    <row r="63" spans="1:25" s="544" customFormat="1" ht="18.600000000000001" thickBot="1" x14ac:dyDescent="0.4">
      <c r="A63" s="593"/>
      <c r="B63" s="594" t="s">
        <v>391</v>
      </c>
      <c r="C63" s="595"/>
      <c r="D63" s="595"/>
      <c r="E63" s="595"/>
      <c r="F63" s="595"/>
      <c r="G63" s="595"/>
      <c r="H63" s="595"/>
      <c r="I63" s="595"/>
      <c r="J63" s="595"/>
      <c r="K63" s="595"/>
      <c r="L63" s="595"/>
      <c r="M63" s="595"/>
      <c r="N63" s="595"/>
      <c r="O63" s="595"/>
      <c r="P63" s="595"/>
      <c r="Q63" s="595"/>
      <c r="R63" s="595"/>
      <c r="S63" s="595"/>
      <c r="T63" s="595"/>
      <c r="U63" s="595"/>
      <c r="V63" s="596"/>
      <c r="W63" s="597"/>
      <c r="X63" s="543"/>
    </row>
    <row r="64" spans="1:25" x14ac:dyDescent="0.3">
      <c r="A64" s="515"/>
      <c r="B64" s="521" t="s">
        <v>17</v>
      </c>
      <c r="C64" s="516"/>
      <c r="D64" s="516"/>
      <c r="E64" s="516"/>
      <c r="F64" s="516"/>
      <c r="G64" s="516"/>
      <c r="H64" s="516"/>
      <c r="I64" s="516"/>
      <c r="J64" s="516"/>
      <c r="K64" s="516"/>
      <c r="L64" s="516"/>
      <c r="M64" s="516"/>
      <c r="N64" s="516"/>
      <c r="O64" s="516"/>
      <c r="P64" s="516"/>
      <c r="Q64" s="516"/>
      <c r="R64" s="516"/>
      <c r="S64" s="516"/>
      <c r="T64" s="516"/>
      <c r="U64" s="516"/>
      <c r="V64" s="522"/>
      <c r="W64" s="516"/>
      <c r="X64" s="415"/>
    </row>
    <row r="65" spans="1:24" x14ac:dyDescent="0.3">
      <c r="A65" s="417"/>
      <c r="B65" s="425"/>
      <c r="C65" s="419"/>
      <c r="D65" s="419"/>
      <c r="E65" s="419"/>
      <c r="F65" s="419"/>
      <c r="G65" s="419"/>
      <c r="H65" s="419"/>
      <c r="I65" s="419"/>
      <c r="J65" s="419"/>
      <c r="K65" s="419"/>
      <c r="L65" s="419"/>
      <c r="M65" s="419"/>
      <c r="N65" s="419"/>
      <c r="O65" s="419"/>
      <c r="P65" s="419"/>
      <c r="Q65" s="419"/>
      <c r="R65" s="419"/>
      <c r="S65" s="419"/>
      <c r="T65" s="419"/>
      <c r="U65" s="419"/>
      <c r="V65" s="439"/>
      <c r="W65" s="419"/>
      <c r="X65" s="415"/>
    </row>
    <row r="66" spans="1:24" s="499" customFormat="1" ht="46.8" x14ac:dyDescent="0.3">
      <c r="A66" s="502"/>
      <c r="B66" s="503" t="s">
        <v>18</v>
      </c>
      <c r="C66" s="504"/>
      <c r="D66" s="504"/>
      <c r="E66" s="504"/>
      <c r="F66" s="504"/>
      <c r="G66" s="504"/>
      <c r="H66" s="504"/>
      <c r="I66" s="504"/>
      <c r="J66" s="504"/>
      <c r="K66" s="504"/>
      <c r="L66" s="504" t="s">
        <v>94</v>
      </c>
      <c r="M66" s="504"/>
      <c r="N66" s="504" t="s">
        <v>96</v>
      </c>
      <c r="O66" s="504"/>
      <c r="P66" s="504" t="s">
        <v>98</v>
      </c>
      <c r="Q66" s="504"/>
      <c r="R66" s="504" t="s">
        <v>100</v>
      </c>
      <c r="S66" s="504"/>
      <c r="T66" s="504" t="s">
        <v>106</v>
      </c>
      <c r="U66" s="504"/>
      <c r="V66" s="505" t="s">
        <v>112</v>
      </c>
      <c r="W66" s="506"/>
      <c r="X66" s="498"/>
    </row>
    <row r="67" spans="1:24" s="544" customFormat="1" x14ac:dyDescent="0.3">
      <c r="A67" s="555"/>
      <c r="B67" s="556" t="s">
        <v>19</v>
      </c>
      <c r="C67" s="598"/>
      <c r="D67" s="598"/>
      <c r="E67" s="598"/>
      <c r="F67" s="598"/>
      <c r="G67" s="598"/>
      <c r="H67" s="598"/>
      <c r="I67" s="598"/>
      <c r="J67" s="598"/>
      <c r="K67" s="598"/>
      <c r="L67" s="598">
        <v>1158015</v>
      </c>
      <c r="M67" s="598"/>
      <c r="N67" s="599">
        <v>728675</v>
      </c>
      <c r="O67" s="598"/>
      <c r="P67" s="598">
        <v>12071</v>
      </c>
      <c r="Q67" s="598"/>
      <c r="R67" s="598">
        <v>0</v>
      </c>
      <c r="S67" s="598"/>
      <c r="T67" s="598">
        <v>0</v>
      </c>
      <c r="U67" s="598"/>
      <c r="V67" s="599">
        <f>+N67-P67+R67-T67</f>
        <v>716604</v>
      </c>
      <c r="W67" s="558"/>
      <c r="X67" s="543"/>
    </row>
    <row r="68" spans="1:24" s="544" customFormat="1" x14ac:dyDescent="0.3">
      <c r="A68" s="555"/>
      <c r="B68" s="556" t="s">
        <v>20</v>
      </c>
      <c r="C68" s="598"/>
      <c r="D68" s="598"/>
      <c r="E68" s="598"/>
      <c r="F68" s="598"/>
      <c r="G68" s="598"/>
      <c r="H68" s="598"/>
      <c r="I68" s="598"/>
      <c r="J68" s="598"/>
      <c r="K68" s="598"/>
      <c r="L68" s="598">
        <v>15</v>
      </c>
      <c r="M68" s="598"/>
      <c r="N68" s="599">
        <v>0</v>
      </c>
      <c r="O68" s="598"/>
      <c r="P68" s="598">
        <v>0</v>
      </c>
      <c r="Q68" s="598"/>
      <c r="R68" s="598">
        <v>0</v>
      </c>
      <c r="S68" s="598"/>
      <c r="T68" s="598">
        <v>0</v>
      </c>
      <c r="U68" s="598"/>
      <c r="V68" s="599">
        <v>0</v>
      </c>
      <c r="W68" s="558"/>
      <c r="X68" s="543"/>
    </row>
    <row r="69" spans="1:24" s="544" customFormat="1" x14ac:dyDescent="0.3">
      <c r="A69" s="555"/>
      <c r="B69" s="556"/>
      <c r="C69" s="598"/>
      <c r="D69" s="598"/>
      <c r="E69" s="598"/>
      <c r="F69" s="598"/>
      <c r="G69" s="598"/>
      <c r="H69" s="598"/>
      <c r="I69" s="598"/>
      <c r="J69" s="598"/>
      <c r="K69" s="598"/>
      <c r="L69" s="598"/>
      <c r="M69" s="598"/>
      <c r="N69" s="599"/>
      <c r="O69" s="598"/>
      <c r="P69" s="598"/>
      <c r="Q69" s="598"/>
      <c r="R69" s="598"/>
      <c r="S69" s="598"/>
      <c r="T69" s="598"/>
      <c r="U69" s="598"/>
      <c r="V69" s="599"/>
      <c r="W69" s="558"/>
      <c r="X69" s="543"/>
    </row>
    <row r="70" spans="1:24" s="544" customFormat="1" x14ac:dyDescent="0.3">
      <c r="A70" s="555"/>
      <c r="B70" s="556" t="s">
        <v>21</v>
      </c>
      <c r="C70" s="598"/>
      <c r="D70" s="598"/>
      <c r="E70" s="598"/>
      <c r="F70" s="598"/>
      <c r="G70" s="598"/>
      <c r="H70" s="598"/>
      <c r="I70" s="598"/>
      <c r="J70" s="598"/>
      <c r="K70" s="598"/>
      <c r="L70" s="598">
        <f>SUM(L67:L69)</f>
        <v>1158030</v>
      </c>
      <c r="M70" s="598"/>
      <c r="N70" s="598">
        <f>N67+N68</f>
        <v>728675</v>
      </c>
      <c r="O70" s="598"/>
      <c r="P70" s="598">
        <f>SUM(P67:P69)</f>
        <v>12071</v>
      </c>
      <c r="Q70" s="598"/>
      <c r="R70" s="598">
        <f>SUM(R67:R69)</f>
        <v>0</v>
      </c>
      <c r="S70" s="598"/>
      <c r="T70" s="598">
        <f>SUM(T67:T69)</f>
        <v>0</v>
      </c>
      <c r="U70" s="598"/>
      <c r="V70" s="598">
        <f>SUM(V67:V69)</f>
        <v>716604</v>
      </c>
      <c r="W70" s="558"/>
      <c r="X70" s="543"/>
    </row>
    <row r="71" spans="1:24" x14ac:dyDescent="0.3">
      <c r="A71" s="417"/>
      <c r="B71" s="441"/>
      <c r="C71" s="442"/>
      <c r="D71" s="442"/>
      <c r="E71" s="442"/>
      <c r="F71" s="442"/>
      <c r="G71" s="442"/>
      <c r="H71" s="442"/>
      <c r="I71" s="442"/>
      <c r="J71" s="442"/>
      <c r="K71" s="442"/>
      <c r="L71" s="442"/>
      <c r="M71" s="442"/>
      <c r="N71" s="442"/>
      <c r="O71" s="442"/>
      <c r="P71" s="442"/>
      <c r="Q71" s="442"/>
      <c r="R71" s="442"/>
      <c r="S71" s="442"/>
      <c r="T71" s="442"/>
      <c r="U71" s="442"/>
      <c r="V71" s="443"/>
      <c r="W71" s="441"/>
      <c r="X71" s="415"/>
    </row>
    <row r="72" spans="1:24" x14ac:dyDescent="0.3">
      <c r="A72" s="417"/>
      <c r="B72" s="421" t="s">
        <v>22</v>
      </c>
      <c r="C72" s="444"/>
      <c r="D72" s="444"/>
      <c r="E72" s="444"/>
      <c r="F72" s="444"/>
      <c r="G72" s="444"/>
      <c r="H72" s="444"/>
      <c r="I72" s="444"/>
      <c r="J72" s="444"/>
      <c r="K72" s="444"/>
      <c r="L72" s="444"/>
      <c r="M72" s="444"/>
      <c r="N72" s="444"/>
      <c r="O72" s="444"/>
      <c r="P72" s="444"/>
      <c r="Q72" s="444"/>
      <c r="R72" s="444"/>
      <c r="S72" s="444"/>
      <c r="T72" s="444"/>
      <c r="U72" s="444"/>
      <c r="V72" s="445"/>
      <c r="W72" s="419"/>
      <c r="X72" s="415"/>
    </row>
    <row r="73" spans="1:24" x14ac:dyDescent="0.3">
      <c r="A73" s="417"/>
      <c r="B73" s="419"/>
      <c r="C73" s="444"/>
      <c r="D73" s="444"/>
      <c r="E73" s="444"/>
      <c r="F73" s="444"/>
      <c r="G73" s="444"/>
      <c r="H73" s="444"/>
      <c r="I73" s="444"/>
      <c r="J73" s="444"/>
      <c r="K73" s="444"/>
      <c r="L73" s="444"/>
      <c r="M73" s="444"/>
      <c r="N73" s="444"/>
      <c r="O73" s="444"/>
      <c r="P73" s="444"/>
      <c r="Q73" s="444"/>
      <c r="R73" s="444"/>
      <c r="S73" s="444"/>
      <c r="T73" s="444"/>
      <c r="U73" s="444"/>
      <c r="V73" s="445"/>
      <c r="W73" s="419"/>
      <c r="X73" s="415"/>
    </row>
    <row r="74" spans="1:24" s="544" customFormat="1" x14ac:dyDescent="0.3">
      <c r="A74" s="555"/>
      <c r="B74" s="556" t="s">
        <v>19</v>
      </c>
      <c r="C74" s="598"/>
      <c r="D74" s="598"/>
      <c r="E74" s="598"/>
      <c r="F74" s="598"/>
      <c r="G74" s="598"/>
      <c r="H74" s="598"/>
      <c r="I74" s="598"/>
      <c r="J74" s="598"/>
      <c r="K74" s="598"/>
      <c r="L74" s="598"/>
      <c r="M74" s="598"/>
      <c r="N74" s="598"/>
      <c r="O74" s="598"/>
      <c r="P74" s="598"/>
      <c r="Q74" s="598"/>
      <c r="R74" s="598"/>
      <c r="S74" s="598"/>
      <c r="T74" s="598"/>
      <c r="U74" s="598"/>
      <c r="V74" s="598"/>
      <c r="W74" s="558"/>
      <c r="X74" s="543"/>
    </row>
    <row r="75" spans="1:24" s="544" customFormat="1" x14ac:dyDescent="0.3">
      <c r="A75" s="555"/>
      <c r="B75" s="556" t="s">
        <v>20</v>
      </c>
      <c r="C75" s="598"/>
      <c r="D75" s="598"/>
      <c r="E75" s="598"/>
      <c r="F75" s="598"/>
      <c r="G75" s="598"/>
      <c r="H75" s="598"/>
      <c r="I75" s="598"/>
      <c r="J75" s="598"/>
      <c r="K75" s="598"/>
      <c r="L75" s="598"/>
      <c r="M75" s="598"/>
      <c r="N75" s="598"/>
      <c r="O75" s="598"/>
      <c r="P75" s="598"/>
      <c r="Q75" s="598"/>
      <c r="R75" s="598"/>
      <c r="S75" s="598"/>
      <c r="T75" s="598"/>
      <c r="U75" s="598"/>
      <c r="V75" s="598"/>
      <c r="W75" s="558"/>
      <c r="X75" s="543"/>
    </row>
    <row r="76" spans="1:24" s="544" customFormat="1" x14ac:dyDescent="0.3">
      <c r="A76" s="555"/>
      <c r="B76" s="556"/>
      <c r="C76" s="598"/>
      <c r="D76" s="598"/>
      <c r="E76" s="598"/>
      <c r="F76" s="598"/>
      <c r="G76" s="598"/>
      <c r="H76" s="598"/>
      <c r="I76" s="598"/>
      <c r="J76" s="598"/>
      <c r="K76" s="598"/>
      <c r="L76" s="598"/>
      <c r="M76" s="598"/>
      <c r="N76" s="598"/>
      <c r="O76" s="598"/>
      <c r="P76" s="598"/>
      <c r="Q76" s="598"/>
      <c r="R76" s="598"/>
      <c r="S76" s="598"/>
      <c r="T76" s="598"/>
      <c r="U76" s="598"/>
      <c r="V76" s="598"/>
      <c r="W76" s="558"/>
      <c r="X76" s="543"/>
    </row>
    <row r="77" spans="1:24" s="544" customFormat="1" x14ac:dyDescent="0.3">
      <c r="A77" s="555"/>
      <c r="B77" s="556" t="s">
        <v>21</v>
      </c>
      <c r="C77" s="598"/>
      <c r="D77" s="598"/>
      <c r="E77" s="598"/>
      <c r="F77" s="598"/>
      <c r="G77" s="598"/>
      <c r="H77" s="598"/>
      <c r="I77" s="598"/>
      <c r="J77" s="598"/>
      <c r="K77" s="598"/>
      <c r="L77" s="598"/>
      <c r="M77" s="598"/>
      <c r="N77" s="598"/>
      <c r="O77" s="598"/>
      <c r="P77" s="598"/>
      <c r="Q77" s="598"/>
      <c r="R77" s="598"/>
      <c r="S77" s="598"/>
      <c r="T77" s="598"/>
      <c r="U77" s="598"/>
      <c r="V77" s="598"/>
      <c r="W77" s="558"/>
      <c r="X77" s="543"/>
    </row>
    <row r="78" spans="1:24" s="544" customFormat="1" x14ac:dyDescent="0.3">
      <c r="A78" s="555"/>
      <c r="B78" s="556"/>
      <c r="C78" s="598"/>
      <c r="D78" s="598"/>
      <c r="E78" s="598"/>
      <c r="F78" s="598"/>
      <c r="G78" s="598"/>
      <c r="H78" s="598"/>
      <c r="I78" s="598"/>
      <c r="J78" s="598"/>
      <c r="K78" s="598"/>
      <c r="L78" s="598"/>
      <c r="M78" s="598"/>
      <c r="N78" s="598"/>
      <c r="O78" s="598"/>
      <c r="P78" s="598"/>
      <c r="Q78" s="598"/>
      <c r="R78" s="598"/>
      <c r="S78" s="598"/>
      <c r="T78" s="598"/>
      <c r="U78" s="598"/>
      <c r="V78" s="598"/>
      <c r="W78" s="558"/>
      <c r="X78" s="543"/>
    </row>
    <row r="79" spans="1:24" s="544" customFormat="1" x14ac:dyDescent="0.3">
      <c r="A79" s="555"/>
      <c r="B79" s="556" t="s">
        <v>23</v>
      </c>
      <c r="C79" s="598"/>
      <c r="D79" s="598"/>
      <c r="E79" s="598"/>
      <c r="F79" s="598"/>
      <c r="G79" s="598"/>
      <c r="H79" s="598"/>
      <c r="I79" s="598"/>
      <c r="J79" s="598"/>
      <c r="K79" s="598"/>
      <c r="L79" s="598">
        <v>0</v>
      </c>
      <c r="M79" s="598"/>
      <c r="N79" s="598">
        <v>0</v>
      </c>
      <c r="O79" s="598"/>
      <c r="P79" s="598"/>
      <c r="Q79" s="598"/>
      <c r="R79" s="598"/>
      <c r="S79" s="598"/>
      <c r="T79" s="598"/>
      <c r="U79" s="598"/>
      <c r="V79" s="599">
        <v>0</v>
      </c>
      <c r="W79" s="558"/>
      <c r="X79" s="543"/>
    </row>
    <row r="80" spans="1:24" s="544" customFormat="1" x14ac:dyDescent="0.3">
      <c r="A80" s="555"/>
      <c r="B80" s="556" t="s">
        <v>117</v>
      </c>
      <c r="C80" s="598"/>
      <c r="D80" s="598"/>
      <c r="E80" s="598"/>
      <c r="F80" s="598"/>
      <c r="G80" s="598"/>
      <c r="H80" s="598"/>
      <c r="I80" s="598"/>
      <c r="J80" s="598"/>
      <c r="K80" s="598"/>
      <c r="L80" s="598">
        <v>342245</v>
      </c>
      <c r="M80" s="598"/>
      <c r="N80" s="598">
        <v>0</v>
      </c>
      <c r="O80" s="598"/>
      <c r="P80" s="598">
        <v>0</v>
      </c>
      <c r="Q80" s="598"/>
      <c r="R80" s="598"/>
      <c r="S80" s="598"/>
      <c r="T80" s="598"/>
      <c r="U80" s="598"/>
      <c r="V80" s="598">
        <f>SUM(N80:R80)</f>
        <v>0</v>
      </c>
      <c r="W80" s="558"/>
      <c r="X80" s="543"/>
    </row>
    <row r="81" spans="1:24" s="544" customFormat="1" x14ac:dyDescent="0.3">
      <c r="A81" s="555"/>
      <c r="B81" s="556" t="s">
        <v>146</v>
      </c>
      <c r="C81" s="598"/>
      <c r="D81" s="598"/>
      <c r="E81" s="598"/>
      <c r="F81" s="598"/>
      <c r="G81" s="598"/>
      <c r="H81" s="598"/>
      <c r="I81" s="598"/>
      <c r="J81" s="598"/>
      <c r="K81" s="598"/>
      <c r="L81" s="598">
        <v>0</v>
      </c>
      <c r="M81" s="598"/>
      <c r="N81" s="598">
        <v>0</v>
      </c>
      <c r="O81" s="598"/>
      <c r="P81" s="598">
        <v>0</v>
      </c>
      <c r="Q81" s="598"/>
      <c r="R81" s="598"/>
      <c r="S81" s="598"/>
      <c r="T81" s="598"/>
      <c r="U81" s="598"/>
      <c r="V81" s="598">
        <f>+N81+P81</f>
        <v>0</v>
      </c>
      <c r="W81" s="558"/>
      <c r="X81" s="543"/>
    </row>
    <row r="82" spans="1:24" s="544" customFormat="1" x14ac:dyDescent="0.3">
      <c r="A82" s="555"/>
      <c r="B82" s="556" t="s">
        <v>25</v>
      </c>
      <c r="C82" s="598"/>
      <c r="D82" s="598"/>
      <c r="E82" s="598"/>
      <c r="F82" s="598"/>
      <c r="G82" s="598"/>
      <c r="H82" s="598"/>
      <c r="I82" s="598"/>
      <c r="J82" s="598"/>
      <c r="K82" s="598"/>
      <c r="L82" s="598">
        <v>0</v>
      </c>
      <c r="M82" s="598"/>
      <c r="N82" s="598">
        <v>0</v>
      </c>
      <c r="O82" s="598"/>
      <c r="P82" s="598"/>
      <c r="Q82" s="598"/>
      <c r="R82" s="598"/>
      <c r="S82" s="598"/>
      <c r="T82" s="598"/>
      <c r="U82" s="598"/>
      <c r="V82" s="598">
        <v>0</v>
      </c>
      <c r="W82" s="558"/>
      <c r="X82" s="543"/>
    </row>
    <row r="83" spans="1:24" s="544" customFormat="1" x14ac:dyDescent="0.3">
      <c r="A83" s="555"/>
      <c r="B83" s="556" t="s">
        <v>26</v>
      </c>
      <c r="C83" s="598"/>
      <c r="D83" s="598"/>
      <c r="E83" s="598"/>
      <c r="F83" s="598"/>
      <c r="G83" s="598"/>
      <c r="H83" s="598"/>
      <c r="I83" s="598"/>
      <c r="J83" s="598"/>
      <c r="K83" s="598"/>
      <c r="L83" s="598">
        <f>SUM(L70:L82)</f>
        <v>1500275</v>
      </c>
      <c r="M83" s="598"/>
      <c r="N83" s="598">
        <f>SUM(N70:N82)</f>
        <v>728675</v>
      </c>
      <c r="O83" s="598"/>
      <c r="P83" s="598"/>
      <c r="Q83" s="598"/>
      <c r="R83" s="598"/>
      <c r="S83" s="598"/>
      <c r="T83" s="598"/>
      <c r="U83" s="598"/>
      <c r="V83" s="598">
        <f>SUM(V70:V82)</f>
        <v>716604</v>
      </c>
      <c r="W83" s="558"/>
      <c r="X83" s="543"/>
    </row>
    <row r="84" spans="1:24" x14ac:dyDescent="0.3">
      <c r="A84" s="446"/>
      <c r="B84" s="437"/>
      <c r="C84" s="447"/>
      <c r="D84" s="447"/>
      <c r="E84" s="447"/>
      <c r="F84" s="447"/>
      <c r="G84" s="447"/>
      <c r="H84" s="447"/>
      <c r="I84" s="447"/>
      <c r="J84" s="447"/>
      <c r="K84" s="447"/>
      <c r="L84" s="447"/>
      <c r="M84" s="447"/>
      <c r="N84" s="447"/>
      <c r="O84" s="447"/>
      <c r="P84" s="447"/>
      <c r="Q84" s="447"/>
      <c r="R84" s="447"/>
      <c r="S84" s="447"/>
      <c r="T84" s="447"/>
      <c r="U84" s="447"/>
      <c r="V84" s="447"/>
      <c r="W84" s="437"/>
      <c r="X84" s="415"/>
    </row>
    <row r="85" spans="1:24" x14ac:dyDescent="0.3">
      <c r="A85" s="446"/>
      <c r="B85" s="427"/>
      <c r="C85" s="427"/>
      <c r="D85" s="427"/>
      <c r="E85" s="427"/>
      <c r="F85" s="427"/>
      <c r="G85" s="427"/>
      <c r="H85" s="427"/>
      <c r="I85" s="427"/>
      <c r="J85" s="427"/>
      <c r="K85" s="427"/>
      <c r="L85" s="427"/>
      <c r="M85" s="427"/>
      <c r="N85" s="427"/>
      <c r="O85" s="427"/>
      <c r="P85" s="427"/>
      <c r="Q85" s="427"/>
      <c r="R85" s="427"/>
      <c r="S85" s="427"/>
      <c r="T85" s="427"/>
      <c r="U85" s="427"/>
      <c r="V85" s="427"/>
      <c r="W85" s="427"/>
      <c r="X85" s="415"/>
    </row>
    <row r="86" spans="1:24" x14ac:dyDescent="0.3">
      <c r="A86" s="515"/>
      <c r="B86" s="523" t="s">
        <v>27</v>
      </c>
      <c r="C86" s="523"/>
      <c r="D86" s="523"/>
      <c r="E86" s="523"/>
      <c r="F86" s="523"/>
      <c r="G86" s="523"/>
      <c r="H86" s="524"/>
      <c r="I86" s="524"/>
      <c r="J86" s="524"/>
      <c r="K86" s="524"/>
      <c r="L86" s="525" t="s">
        <v>95</v>
      </c>
      <c r="M86" s="524"/>
      <c r="N86" s="526">
        <f>+T207</f>
        <v>43980</v>
      </c>
      <c r="O86" s="524"/>
      <c r="P86" s="524"/>
      <c r="Q86" s="524"/>
      <c r="R86" s="524"/>
      <c r="S86" s="524"/>
      <c r="T86" s="524" t="s">
        <v>107</v>
      </c>
      <c r="U86" s="524"/>
      <c r="V86" s="524" t="s">
        <v>113</v>
      </c>
      <c r="W86" s="520"/>
      <c r="X86" s="415"/>
    </row>
    <row r="87" spans="1:24" s="544" customFormat="1" x14ac:dyDescent="0.3">
      <c r="A87" s="540"/>
      <c r="B87" s="588" t="s">
        <v>28</v>
      </c>
      <c r="C87" s="588"/>
      <c r="D87" s="588"/>
      <c r="E87" s="588"/>
      <c r="F87" s="588"/>
      <c r="G87" s="588"/>
      <c r="H87" s="588"/>
      <c r="I87" s="588"/>
      <c r="J87" s="588"/>
      <c r="K87" s="588"/>
      <c r="L87" s="588"/>
      <c r="M87" s="588"/>
      <c r="N87" s="588"/>
      <c r="O87" s="588"/>
      <c r="P87" s="588"/>
      <c r="Q87" s="588"/>
      <c r="R87" s="588"/>
      <c r="S87" s="588"/>
      <c r="T87" s="600">
        <v>0</v>
      </c>
      <c r="U87" s="588"/>
      <c r="V87" s="601">
        <v>0</v>
      </c>
      <c r="W87" s="588"/>
      <c r="X87" s="543"/>
    </row>
    <row r="88" spans="1:24" s="544" customFormat="1" x14ac:dyDescent="0.3">
      <c r="A88" s="555"/>
      <c r="B88" s="556" t="s">
        <v>29</v>
      </c>
      <c r="C88" s="556"/>
      <c r="D88" s="556"/>
      <c r="E88" s="556"/>
      <c r="F88" s="556"/>
      <c r="G88" s="556"/>
      <c r="H88" s="578"/>
      <c r="I88" s="578"/>
      <c r="J88" s="578"/>
      <c r="K88" s="602"/>
      <c r="L88" s="578"/>
      <c r="M88" s="556"/>
      <c r="N88" s="603"/>
      <c r="O88" s="556"/>
      <c r="P88" s="556"/>
      <c r="Q88" s="556"/>
      <c r="R88" s="556"/>
      <c r="S88" s="556"/>
      <c r="T88" s="598">
        <f>12071-219</f>
        <v>11852</v>
      </c>
      <c r="U88" s="556"/>
      <c r="V88" s="599"/>
      <c r="W88" s="558"/>
      <c r="X88" s="543"/>
    </row>
    <row r="89" spans="1:24" s="544" customFormat="1" x14ac:dyDescent="0.3">
      <c r="A89" s="555"/>
      <c r="B89" s="556" t="s">
        <v>216</v>
      </c>
      <c r="C89" s="556"/>
      <c r="D89" s="556"/>
      <c r="E89" s="556"/>
      <c r="F89" s="556"/>
      <c r="G89" s="556"/>
      <c r="H89" s="578"/>
      <c r="I89" s="578"/>
      <c r="J89" s="578"/>
      <c r="K89" s="602"/>
      <c r="L89" s="578"/>
      <c r="M89" s="556"/>
      <c r="N89" s="603"/>
      <c r="O89" s="556"/>
      <c r="P89" s="556"/>
      <c r="Q89" s="556"/>
      <c r="R89" s="556"/>
      <c r="S89" s="556"/>
      <c r="T89" s="598"/>
      <c r="U89" s="556"/>
      <c r="V89" s="599">
        <f>2400+2663-395-632-71</f>
        <v>3965</v>
      </c>
      <c r="W89" s="558"/>
      <c r="X89" s="543"/>
    </row>
    <row r="90" spans="1:24" s="544" customFormat="1" x14ac:dyDescent="0.3">
      <c r="A90" s="555"/>
      <c r="B90" s="556" t="s">
        <v>211</v>
      </c>
      <c r="C90" s="556"/>
      <c r="D90" s="556"/>
      <c r="E90" s="556"/>
      <c r="F90" s="556"/>
      <c r="G90" s="556"/>
      <c r="H90" s="578"/>
      <c r="I90" s="578"/>
      <c r="J90" s="578"/>
      <c r="K90" s="602"/>
      <c r="L90" s="578"/>
      <c r="M90" s="556"/>
      <c r="N90" s="603"/>
      <c r="O90" s="556"/>
      <c r="P90" s="556"/>
      <c r="Q90" s="556"/>
      <c r="R90" s="556"/>
      <c r="S90" s="556"/>
      <c r="T90" s="598"/>
      <c r="U90" s="556"/>
      <c r="V90" s="599">
        <f>44+58</f>
        <v>102</v>
      </c>
      <c r="W90" s="558"/>
      <c r="X90" s="543"/>
    </row>
    <row r="91" spans="1:24" s="544" customFormat="1" x14ac:dyDescent="0.3">
      <c r="A91" s="555"/>
      <c r="B91" s="556" t="s">
        <v>212</v>
      </c>
      <c r="C91" s="556"/>
      <c r="D91" s="556"/>
      <c r="E91" s="556"/>
      <c r="F91" s="556"/>
      <c r="G91" s="556"/>
      <c r="H91" s="578"/>
      <c r="I91" s="578"/>
      <c r="J91" s="578"/>
      <c r="K91" s="602"/>
      <c r="L91" s="578"/>
      <c r="M91" s="556"/>
      <c r="N91" s="603"/>
      <c r="O91" s="556"/>
      <c r="P91" s="556"/>
      <c r="Q91" s="556"/>
      <c r="R91" s="556"/>
      <c r="S91" s="556"/>
      <c r="T91" s="598"/>
      <c r="U91" s="556"/>
      <c r="V91" s="599">
        <v>67</v>
      </c>
      <c r="W91" s="558"/>
      <c r="X91" s="543"/>
    </row>
    <row r="92" spans="1:24" s="544" customFormat="1" x14ac:dyDescent="0.3">
      <c r="A92" s="555"/>
      <c r="B92" s="556" t="s">
        <v>272</v>
      </c>
      <c r="C92" s="556"/>
      <c r="D92" s="556"/>
      <c r="E92" s="556"/>
      <c r="F92" s="556"/>
      <c r="G92" s="556"/>
      <c r="H92" s="578"/>
      <c r="I92" s="578"/>
      <c r="J92" s="578"/>
      <c r="K92" s="602"/>
      <c r="L92" s="578"/>
      <c r="M92" s="556"/>
      <c r="N92" s="603"/>
      <c r="O92" s="556"/>
      <c r="P92" s="556"/>
      <c r="Q92" s="556"/>
      <c r="R92" s="556"/>
      <c r="S92" s="556"/>
      <c r="T92" s="598"/>
      <c r="U92" s="556"/>
      <c r="V92" s="599">
        <v>0</v>
      </c>
      <c r="W92" s="558"/>
      <c r="X92" s="543"/>
    </row>
    <row r="93" spans="1:24" s="544" customFormat="1" x14ac:dyDescent="0.3">
      <c r="A93" s="555"/>
      <c r="B93" s="556" t="s">
        <v>274</v>
      </c>
      <c r="C93" s="556"/>
      <c r="D93" s="556"/>
      <c r="E93" s="556"/>
      <c r="F93" s="556"/>
      <c r="G93" s="556"/>
      <c r="H93" s="578"/>
      <c r="I93" s="578"/>
      <c r="J93" s="578"/>
      <c r="K93" s="602"/>
      <c r="L93" s="578"/>
      <c r="M93" s="556"/>
      <c r="N93" s="603"/>
      <c r="O93" s="556"/>
      <c r="P93" s="556"/>
      <c r="Q93" s="556"/>
      <c r="R93" s="556"/>
      <c r="S93" s="556"/>
      <c r="T93" s="598"/>
      <c r="U93" s="556"/>
      <c r="V93" s="599">
        <v>0</v>
      </c>
      <c r="W93" s="558"/>
      <c r="X93" s="543"/>
    </row>
    <row r="94" spans="1:24" s="544" customFormat="1" x14ac:dyDescent="0.3">
      <c r="A94" s="555"/>
      <c r="B94" s="556" t="s">
        <v>135</v>
      </c>
      <c r="C94" s="556"/>
      <c r="D94" s="556"/>
      <c r="E94" s="556"/>
      <c r="F94" s="556"/>
      <c r="G94" s="556"/>
      <c r="H94" s="556"/>
      <c r="I94" s="556"/>
      <c r="J94" s="556"/>
      <c r="K94" s="556"/>
      <c r="L94" s="556"/>
      <c r="M94" s="556"/>
      <c r="N94" s="556"/>
      <c r="O94" s="556"/>
      <c r="P94" s="556"/>
      <c r="Q94" s="556"/>
      <c r="R94" s="556"/>
      <c r="S94" s="556"/>
      <c r="T94" s="598"/>
      <c r="U94" s="556"/>
      <c r="V94" s="599">
        <v>0</v>
      </c>
      <c r="W94" s="558"/>
      <c r="X94" s="543"/>
    </row>
    <row r="95" spans="1:24" s="544" customFormat="1" x14ac:dyDescent="0.3">
      <c r="A95" s="555"/>
      <c r="B95" s="556" t="s">
        <v>268</v>
      </c>
      <c r="C95" s="556"/>
      <c r="D95" s="556"/>
      <c r="E95" s="556"/>
      <c r="F95" s="556"/>
      <c r="G95" s="556"/>
      <c r="H95" s="556"/>
      <c r="I95" s="556"/>
      <c r="J95" s="556"/>
      <c r="K95" s="556"/>
      <c r="L95" s="556"/>
      <c r="M95" s="556"/>
      <c r="N95" s="556"/>
      <c r="O95" s="556"/>
      <c r="P95" s="556"/>
      <c r="Q95" s="556"/>
      <c r="R95" s="556"/>
      <c r="S95" s="556"/>
      <c r="T95" s="598"/>
      <c r="U95" s="556"/>
      <c r="V95" s="599">
        <v>0</v>
      </c>
      <c r="W95" s="558"/>
      <c r="X95" s="543"/>
    </row>
    <row r="96" spans="1:24" s="544" customFormat="1" x14ac:dyDescent="0.3">
      <c r="A96" s="555"/>
      <c r="B96" s="556" t="s">
        <v>30</v>
      </c>
      <c r="C96" s="556"/>
      <c r="D96" s="556"/>
      <c r="E96" s="556"/>
      <c r="F96" s="556"/>
      <c r="G96" s="556"/>
      <c r="H96" s="556"/>
      <c r="I96" s="556"/>
      <c r="J96" s="556"/>
      <c r="K96" s="556"/>
      <c r="L96" s="556"/>
      <c r="M96" s="556"/>
      <c r="N96" s="556"/>
      <c r="O96" s="556"/>
      <c r="P96" s="556"/>
      <c r="Q96" s="556"/>
      <c r="R96" s="556"/>
      <c r="S96" s="556"/>
      <c r="T96" s="598">
        <f>SUM(T87:T95)</f>
        <v>11852</v>
      </c>
      <c r="U96" s="556"/>
      <c r="V96" s="598">
        <f>SUM(V87:V95)</f>
        <v>4134</v>
      </c>
      <c r="W96" s="558"/>
      <c r="X96" s="543"/>
    </row>
    <row r="97" spans="1:25" s="544" customFormat="1" x14ac:dyDescent="0.3">
      <c r="A97" s="555"/>
      <c r="B97" s="556" t="s">
        <v>161</v>
      </c>
      <c r="C97" s="556"/>
      <c r="D97" s="556"/>
      <c r="E97" s="556"/>
      <c r="F97" s="556"/>
      <c r="G97" s="556"/>
      <c r="H97" s="556"/>
      <c r="I97" s="556"/>
      <c r="J97" s="556"/>
      <c r="K97" s="556"/>
      <c r="L97" s="556"/>
      <c r="M97" s="556"/>
      <c r="N97" s="556"/>
      <c r="O97" s="556"/>
      <c r="P97" s="556"/>
      <c r="Q97" s="556"/>
      <c r="R97" s="556"/>
      <c r="S97" s="556"/>
      <c r="T97" s="598">
        <f>-V97</f>
        <v>0</v>
      </c>
      <c r="U97" s="556"/>
      <c r="V97" s="598">
        <v>0</v>
      </c>
      <c r="W97" s="558"/>
      <c r="X97" s="543"/>
    </row>
    <row r="98" spans="1:25" s="544" customFormat="1" x14ac:dyDescent="0.3">
      <c r="A98" s="555"/>
      <c r="B98" s="556" t="s">
        <v>31</v>
      </c>
      <c r="C98" s="556"/>
      <c r="D98" s="556"/>
      <c r="E98" s="556"/>
      <c r="F98" s="556"/>
      <c r="G98" s="556"/>
      <c r="H98" s="556"/>
      <c r="I98" s="556"/>
      <c r="J98" s="556"/>
      <c r="K98" s="556"/>
      <c r="L98" s="556"/>
      <c r="M98" s="556"/>
      <c r="N98" s="556"/>
      <c r="O98" s="556"/>
      <c r="P98" s="556"/>
      <c r="Q98" s="556"/>
      <c r="R98" s="556"/>
      <c r="S98" s="556"/>
      <c r="T98" s="598">
        <f>-V98</f>
        <v>0</v>
      </c>
      <c r="U98" s="556"/>
      <c r="V98" s="599">
        <v>0</v>
      </c>
      <c r="W98" s="558"/>
      <c r="X98" s="543"/>
    </row>
    <row r="99" spans="1:25" s="544" customFormat="1" x14ac:dyDescent="0.3">
      <c r="A99" s="555"/>
      <c r="B99" s="556" t="s">
        <v>283</v>
      </c>
      <c r="C99" s="556"/>
      <c r="D99" s="556"/>
      <c r="E99" s="556"/>
      <c r="F99" s="556"/>
      <c r="G99" s="556"/>
      <c r="H99" s="556"/>
      <c r="I99" s="556"/>
      <c r="J99" s="556"/>
      <c r="K99" s="556"/>
      <c r="L99" s="556"/>
      <c r="M99" s="556"/>
      <c r="N99" s="556"/>
      <c r="O99" s="556"/>
      <c r="P99" s="556"/>
      <c r="Q99" s="556"/>
      <c r="R99" s="556"/>
      <c r="S99" s="556"/>
      <c r="T99" s="598"/>
      <c r="U99" s="556"/>
      <c r="V99" s="599">
        <v>127</v>
      </c>
      <c r="W99" s="558"/>
      <c r="X99" s="543"/>
    </row>
    <row r="100" spans="1:25" s="544" customFormat="1" x14ac:dyDescent="0.3">
      <c r="A100" s="555"/>
      <c r="B100" s="556" t="s">
        <v>32</v>
      </c>
      <c r="C100" s="556"/>
      <c r="D100" s="556"/>
      <c r="E100" s="556"/>
      <c r="F100" s="556"/>
      <c r="G100" s="556"/>
      <c r="H100" s="556"/>
      <c r="I100" s="556"/>
      <c r="J100" s="556"/>
      <c r="K100" s="556"/>
      <c r="L100" s="556"/>
      <c r="M100" s="556"/>
      <c r="N100" s="556"/>
      <c r="O100" s="556"/>
      <c r="P100" s="556"/>
      <c r="Q100" s="556"/>
      <c r="R100" s="556"/>
      <c r="S100" s="556"/>
      <c r="T100" s="598">
        <f>T96+T98+T97</f>
        <v>11852</v>
      </c>
      <c r="U100" s="556"/>
      <c r="V100" s="598">
        <f>V96+V98+V97+V99</f>
        <v>4261</v>
      </c>
      <c r="W100" s="558"/>
      <c r="X100" s="543"/>
    </row>
    <row r="101" spans="1:25" x14ac:dyDescent="0.3">
      <c r="A101" s="431"/>
      <c r="B101" s="507" t="s">
        <v>33</v>
      </c>
      <c r="C101" s="434"/>
      <c r="D101" s="434"/>
      <c r="E101" s="434"/>
      <c r="F101" s="434"/>
      <c r="G101" s="434"/>
      <c r="H101" s="434"/>
      <c r="I101" s="434"/>
      <c r="J101" s="434"/>
      <c r="K101" s="434"/>
      <c r="L101" s="434"/>
      <c r="M101" s="434"/>
      <c r="N101" s="434"/>
      <c r="O101" s="434"/>
      <c r="P101" s="434"/>
      <c r="Q101" s="434"/>
      <c r="R101" s="434"/>
      <c r="S101" s="434"/>
      <c r="T101" s="448"/>
      <c r="U101" s="434"/>
      <c r="V101" s="449"/>
      <c r="W101" s="436"/>
      <c r="X101" s="415"/>
    </row>
    <row r="102" spans="1:25" s="544" customFormat="1" x14ac:dyDescent="0.3">
      <c r="A102" s="555">
        <v>1</v>
      </c>
      <c r="B102" s="556" t="s">
        <v>34</v>
      </c>
      <c r="C102" s="556"/>
      <c r="D102" s="556"/>
      <c r="E102" s="556"/>
      <c r="F102" s="556"/>
      <c r="G102" s="556"/>
      <c r="H102" s="556"/>
      <c r="I102" s="556"/>
      <c r="J102" s="556"/>
      <c r="K102" s="556"/>
      <c r="L102" s="556"/>
      <c r="M102" s="556"/>
      <c r="N102" s="556"/>
      <c r="O102" s="556"/>
      <c r="P102" s="556"/>
      <c r="Q102" s="556"/>
      <c r="R102" s="556"/>
      <c r="S102" s="556"/>
      <c r="T102" s="556"/>
      <c r="U102" s="556"/>
      <c r="V102" s="599">
        <v>0</v>
      </c>
      <c r="W102" s="558"/>
      <c r="X102" s="543"/>
    </row>
    <row r="103" spans="1:25" s="544" customFormat="1" x14ac:dyDescent="0.3">
      <c r="A103" s="555">
        <f>+A102+1</f>
        <v>2</v>
      </c>
      <c r="B103" s="556" t="s">
        <v>330</v>
      </c>
      <c r="C103" s="556"/>
      <c r="D103" s="556"/>
      <c r="E103" s="556"/>
      <c r="F103" s="556"/>
      <c r="G103" s="556"/>
      <c r="H103" s="556"/>
      <c r="I103" s="556"/>
      <c r="J103" s="556"/>
      <c r="K103" s="556"/>
      <c r="L103" s="556"/>
      <c r="M103" s="556"/>
      <c r="N103" s="556"/>
      <c r="O103" s="556"/>
      <c r="P103" s="556"/>
      <c r="Q103" s="556"/>
      <c r="R103" s="556"/>
      <c r="S103" s="556"/>
      <c r="T103" s="556"/>
      <c r="U103" s="556"/>
      <c r="V103" s="599">
        <v>-2</v>
      </c>
      <c r="W103" s="558"/>
      <c r="X103" s="543"/>
    </row>
    <row r="104" spans="1:25" s="544" customFormat="1" x14ac:dyDescent="0.3">
      <c r="A104" s="555">
        <f>+A103+1</f>
        <v>3</v>
      </c>
      <c r="B104" s="556" t="s">
        <v>331</v>
      </c>
      <c r="C104" s="556"/>
      <c r="D104" s="556"/>
      <c r="E104" s="556"/>
      <c r="F104" s="556"/>
      <c r="G104" s="556"/>
      <c r="H104" s="556"/>
      <c r="I104" s="556"/>
      <c r="J104" s="556"/>
      <c r="K104" s="556"/>
      <c r="L104" s="556"/>
      <c r="M104" s="556"/>
      <c r="N104" s="556"/>
      <c r="O104" s="556"/>
      <c r="P104" s="556"/>
      <c r="Q104" s="556"/>
      <c r="R104" s="556"/>
      <c r="S104" s="556"/>
      <c r="T104" s="556"/>
      <c r="U104" s="556"/>
      <c r="V104" s="599">
        <f>-93-143-9</f>
        <v>-245</v>
      </c>
      <c r="W104" s="558"/>
      <c r="X104" s="543"/>
    </row>
    <row r="105" spans="1:25" s="544" customFormat="1" x14ac:dyDescent="0.3">
      <c r="A105" s="555" t="s">
        <v>127</v>
      </c>
      <c r="B105" s="556" t="s">
        <v>116</v>
      </c>
      <c r="C105" s="556"/>
      <c r="D105" s="556"/>
      <c r="E105" s="556"/>
      <c r="F105" s="556"/>
      <c r="G105" s="556"/>
      <c r="H105" s="556"/>
      <c r="I105" s="556"/>
      <c r="J105" s="556"/>
      <c r="K105" s="556"/>
      <c r="L105" s="556"/>
      <c r="M105" s="556"/>
      <c r="N105" s="556"/>
      <c r="O105" s="556"/>
      <c r="P105" s="556"/>
      <c r="Q105" s="556"/>
      <c r="R105" s="556"/>
      <c r="S105" s="556"/>
      <c r="T105" s="556"/>
      <c r="U105" s="556"/>
      <c r="V105" s="599">
        <v>0</v>
      </c>
      <c r="W105" s="558"/>
      <c r="X105" s="543"/>
    </row>
    <row r="106" spans="1:25" s="544" customFormat="1" x14ac:dyDescent="0.3">
      <c r="A106" s="555" t="s">
        <v>128</v>
      </c>
      <c r="B106" s="556" t="s">
        <v>363</v>
      </c>
      <c r="C106" s="556"/>
      <c r="D106" s="556"/>
      <c r="E106" s="556"/>
      <c r="F106" s="556"/>
      <c r="G106" s="556"/>
      <c r="H106" s="556"/>
      <c r="I106" s="556"/>
      <c r="J106" s="556"/>
      <c r="K106" s="556"/>
      <c r="L106" s="556"/>
      <c r="M106" s="556"/>
      <c r="N106" s="556"/>
      <c r="O106" s="556"/>
      <c r="P106" s="556"/>
      <c r="Q106" s="556"/>
      <c r="R106" s="556"/>
      <c r="S106" s="556"/>
      <c r="T106" s="556"/>
      <c r="U106" s="556"/>
      <c r="V106" s="599">
        <v>-609</v>
      </c>
      <c r="W106" s="558"/>
      <c r="X106" s="543"/>
      <c r="Y106" s="604"/>
    </row>
    <row r="107" spans="1:25" s="544" customFormat="1" x14ac:dyDescent="0.3">
      <c r="A107" s="555" t="s">
        <v>150</v>
      </c>
      <c r="B107" s="556" t="s">
        <v>364</v>
      </c>
      <c r="C107" s="556"/>
      <c r="D107" s="556"/>
      <c r="E107" s="556"/>
      <c r="F107" s="556"/>
      <c r="G107" s="556"/>
      <c r="H107" s="556"/>
      <c r="I107" s="556"/>
      <c r="J107" s="556"/>
      <c r="K107" s="556"/>
      <c r="L107" s="556"/>
      <c r="M107" s="556"/>
      <c r="N107" s="556"/>
      <c r="O107" s="556"/>
      <c r="P107" s="556"/>
      <c r="Q107" s="556"/>
      <c r="R107" s="556"/>
      <c r="S107" s="556"/>
      <c r="T107" s="556"/>
      <c r="U107" s="556"/>
      <c r="V107" s="599">
        <v>-272</v>
      </c>
      <c r="W107" s="558"/>
      <c r="X107" s="543"/>
      <c r="Y107" s="604"/>
    </row>
    <row r="108" spans="1:25" s="544" customFormat="1" x14ac:dyDescent="0.3">
      <c r="A108" s="555" t="s">
        <v>236</v>
      </c>
      <c r="B108" s="556" t="s">
        <v>238</v>
      </c>
      <c r="C108" s="556"/>
      <c r="D108" s="556"/>
      <c r="E108" s="556"/>
      <c r="F108" s="556"/>
      <c r="G108" s="556"/>
      <c r="H108" s="556"/>
      <c r="I108" s="556"/>
      <c r="J108" s="556"/>
      <c r="K108" s="556"/>
      <c r="L108" s="556"/>
      <c r="M108" s="556"/>
      <c r="N108" s="556"/>
      <c r="O108" s="556"/>
      <c r="P108" s="556"/>
      <c r="Q108" s="556"/>
      <c r="R108" s="556"/>
      <c r="S108" s="556"/>
      <c r="T108" s="556"/>
      <c r="U108" s="556"/>
      <c r="V108" s="599">
        <v>0</v>
      </c>
      <c r="W108" s="558"/>
      <c r="X108" s="543"/>
    </row>
    <row r="109" spans="1:25" s="544" customFormat="1" x14ac:dyDescent="0.3">
      <c r="A109" s="555" t="s">
        <v>205</v>
      </c>
      <c r="B109" s="556" t="s">
        <v>185</v>
      </c>
      <c r="C109" s="556"/>
      <c r="D109" s="556"/>
      <c r="E109" s="556"/>
      <c r="F109" s="556"/>
      <c r="G109" s="556"/>
      <c r="H109" s="556"/>
      <c r="I109" s="556"/>
      <c r="J109" s="556"/>
      <c r="K109" s="556"/>
      <c r="L109" s="556"/>
      <c r="M109" s="556"/>
      <c r="N109" s="556"/>
      <c r="O109" s="556"/>
      <c r="P109" s="556"/>
      <c r="Q109" s="556"/>
      <c r="R109" s="556"/>
      <c r="S109" s="556"/>
      <c r="T109" s="556"/>
      <c r="U109" s="556"/>
      <c r="V109" s="599">
        <v>-137</v>
      </c>
      <c r="W109" s="558"/>
      <c r="X109" s="543"/>
      <c r="Y109" s="604"/>
    </row>
    <row r="110" spans="1:25" s="544" customFormat="1" x14ac:dyDescent="0.3">
      <c r="A110" s="555" t="s">
        <v>206</v>
      </c>
      <c r="B110" s="556" t="s">
        <v>186</v>
      </c>
      <c r="C110" s="556"/>
      <c r="D110" s="556"/>
      <c r="E110" s="556"/>
      <c r="F110" s="556"/>
      <c r="G110" s="556"/>
      <c r="H110" s="556"/>
      <c r="I110" s="556"/>
      <c r="J110" s="556"/>
      <c r="K110" s="556"/>
      <c r="L110" s="556"/>
      <c r="M110" s="556"/>
      <c r="N110" s="556"/>
      <c r="O110" s="556"/>
      <c r="P110" s="556"/>
      <c r="Q110" s="556"/>
      <c r="R110" s="556"/>
      <c r="S110" s="556"/>
      <c r="T110" s="556"/>
      <c r="U110" s="556"/>
      <c r="V110" s="599">
        <v>-110</v>
      </c>
      <c r="W110" s="558"/>
      <c r="X110" s="605"/>
      <c r="Y110" s="604"/>
    </row>
    <row r="111" spans="1:25" s="544" customFormat="1" x14ac:dyDescent="0.3">
      <c r="A111" s="555" t="s">
        <v>207</v>
      </c>
      <c r="B111" s="556" t="s">
        <v>196</v>
      </c>
      <c r="C111" s="556"/>
      <c r="D111" s="556"/>
      <c r="E111" s="556"/>
      <c r="F111" s="556"/>
      <c r="G111" s="556"/>
      <c r="H111" s="556"/>
      <c r="I111" s="556"/>
      <c r="J111" s="556"/>
      <c r="K111" s="556"/>
      <c r="L111" s="556"/>
      <c r="M111" s="556"/>
      <c r="N111" s="556"/>
      <c r="O111" s="556"/>
      <c r="P111" s="556"/>
      <c r="Q111" s="556"/>
      <c r="R111" s="556"/>
      <c r="S111" s="556"/>
      <c r="T111" s="556"/>
      <c r="U111" s="556"/>
      <c r="V111" s="599">
        <v>-312</v>
      </c>
      <c r="W111" s="558"/>
      <c r="X111" s="543"/>
      <c r="Y111" s="604"/>
    </row>
    <row r="112" spans="1:25" s="544" customFormat="1" x14ac:dyDescent="0.3">
      <c r="A112" s="555" t="s">
        <v>224</v>
      </c>
      <c r="B112" s="556" t="s">
        <v>223</v>
      </c>
      <c r="C112" s="556"/>
      <c r="D112" s="556"/>
      <c r="E112" s="556"/>
      <c r="F112" s="556"/>
      <c r="G112" s="556"/>
      <c r="H112" s="556"/>
      <c r="I112" s="556"/>
      <c r="J112" s="556"/>
      <c r="K112" s="556"/>
      <c r="L112" s="556"/>
      <c r="M112" s="556"/>
      <c r="N112" s="556"/>
      <c r="O112" s="556"/>
      <c r="P112" s="556"/>
      <c r="Q112" s="556"/>
      <c r="R112" s="556"/>
      <c r="S112" s="556"/>
      <c r="T112" s="556"/>
      <c r="U112" s="556"/>
      <c r="V112" s="599">
        <v>-63</v>
      </c>
      <c r="W112" s="558"/>
      <c r="X112" s="543"/>
      <c r="Y112" s="604"/>
    </row>
    <row r="113" spans="1:24" s="544" customFormat="1" x14ac:dyDescent="0.3">
      <c r="A113" s="555">
        <v>7</v>
      </c>
      <c r="B113" s="556" t="s">
        <v>35</v>
      </c>
      <c r="C113" s="556"/>
      <c r="D113" s="556"/>
      <c r="E113" s="556"/>
      <c r="F113" s="556"/>
      <c r="G113" s="556"/>
      <c r="H113" s="556"/>
      <c r="I113" s="556"/>
      <c r="J113" s="556"/>
      <c r="K113" s="556"/>
      <c r="L113" s="556"/>
      <c r="M113" s="556"/>
      <c r="N113" s="556"/>
      <c r="O113" s="556"/>
      <c r="P113" s="556"/>
      <c r="Q113" s="556"/>
      <c r="R113" s="556"/>
      <c r="S113" s="556"/>
      <c r="T113" s="556"/>
      <c r="U113" s="556"/>
      <c r="V113" s="599">
        <v>-9</v>
      </c>
      <c r="W113" s="558"/>
      <c r="X113" s="543"/>
    </row>
    <row r="114" spans="1:24" s="544" customFormat="1" x14ac:dyDescent="0.3">
      <c r="A114" s="555">
        <f t="shared" ref="A114:A123" si="0">+A113+1</f>
        <v>8</v>
      </c>
      <c r="B114" s="556" t="s">
        <v>45</v>
      </c>
      <c r="C114" s="556"/>
      <c r="D114" s="556"/>
      <c r="E114" s="556"/>
      <c r="F114" s="556"/>
      <c r="G114" s="556"/>
      <c r="H114" s="556"/>
      <c r="I114" s="556"/>
      <c r="J114" s="556"/>
      <c r="K114" s="556"/>
      <c r="L114" s="556"/>
      <c r="M114" s="556"/>
      <c r="N114" s="556"/>
      <c r="O114" s="556"/>
      <c r="P114" s="556"/>
      <c r="Q114" s="556"/>
      <c r="R114" s="556"/>
      <c r="S114" s="556"/>
      <c r="T114" s="598">
        <f>-V114</f>
        <v>219</v>
      </c>
      <c r="U114" s="556"/>
      <c r="V114" s="599">
        <v>-219</v>
      </c>
      <c r="W114" s="558"/>
      <c r="X114" s="543"/>
    </row>
    <row r="115" spans="1:24" s="544" customFormat="1" x14ac:dyDescent="0.3">
      <c r="A115" s="555">
        <f t="shared" si="0"/>
        <v>9</v>
      </c>
      <c r="B115" s="556" t="s">
        <v>125</v>
      </c>
      <c r="C115" s="556"/>
      <c r="D115" s="556"/>
      <c r="E115" s="556"/>
      <c r="F115" s="556"/>
      <c r="G115" s="556"/>
      <c r="H115" s="556"/>
      <c r="I115" s="556"/>
      <c r="J115" s="556"/>
      <c r="K115" s="556"/>
      <c r="L115" s="556"/>
      <c r="M115" s="556"/>
      <c r="N115" s="556"/>
      <c r="O115" s="556"/>
      <c r="P115" s="556"/>
      <c r="Q115" s="556"/>
      <c r="R115" s="556"/>
      <c r="S115" s="556"/>
      <c r="T115" s="556"/>
      <c r="U115" s="556"/>
      <c r="V115" s="599">
        <v>0</v>
      </c>
      <c r="W115" s="558"/>
      <c r="X115" s="543"/>
    </row>
    <row r="116" spans="1:24" s="544" customFormat="1" x14ac:dyDescent="0.3">
      <c r="A116" s="555">
        <f t="shared" si="0"/>
        <v>10</v>
      </c>
      <c r="B116" s="556" t="s">
        <v>240</v>
      </c>
      <c r="C116" s="556"/>
      <c r="D116" s="556"/>
      <c r="E116" s="556"/>
      <c r="F116" s="556"/>
      <c r="G116" s="556"/>
      <c r="H116" s="556"/>
      <c r="I116" s="556"/>
      <c r="J116" s="556"/>
      <c r="K116" s="556"/>
      <c r="L116" s="556"/>
      <c r="M116" s="556"/>
      <c r="N116" s="556"/>
      <c r="O116" s="556"/>
      <c r="P116" s="556"/>
      <c r="Q116" s="556"/>
      <c r="R116" s="556"/>
      <c r="S116" s="556"/>
      <c r="T116" s="556"/>
      <c r="U116" s="556"/>
      <c r="V116" s="599">
        <v>0</v>
      </c>
      <c r="W116" s="558"/>
      <c r="X116" s="543"/>
    </row>
    <row r="117" spans="1:24" s="544" customFormat="1" x14ac:dyDescent="0.3">
      <c r="A117" s="555">
        <f t="shared" si="0"/>
        <v>11</v>
      </c>
      <c r="B117" s="556" t="s">
        <v>36</v>
      </c>
      <c r="C117" s="556"/>
      <c r="D117" s="556"/>
      <c r="E117" s="556"/>
      <c r="F117" s="556"/>
      <c r="G117" s="556"/>
      <c r="H117" s="556"/>
      <c r="I117" s="556"/>
      <c r="J117" s="556"/>
      <c r="K117" s="556"/>
      <c r="L117" s="556"/>
      <c r="M117" s="556"/>
      <c r="N117" s="556"/>
      <c r="O117" s="556"/>
      <c r="P117" s="556"/>
      <c r="Q117" s="556"/>
      <c r="R117" s="556"/>
      <c r="S117" s="556"/>
      <c r="T117" s="556"/>
      <c r="U117" s="556"/>
      <c r="V117" s="599">
        <v>0</v>
      </c>
      <c r="W117" s="558"/>
      <c r="X117" s="543"/>
    </row>
    <row r="118" spans="1:24" s="544" customFormat="1" x14ac:dyDescent="0.3">
      <c r="A118" s="555">
        <f t="shared" si="0"/>
        <v>12</v>
      </c>
      <c r="B118" s="556" t="s">
        <v>239</v>
      </c>
      <c r="C118" s="556"/>
      <c r="D118" s="556"/>
      <c r="E118" s="556"/>
      <c r="F118" s="556"/>
      <c r="G118" s="556"/>
      <c r="H118" s="556"/>
      <c r="I118" s="556"/>
      <c r="J118" s="556"/>
      <c r="K118" s="556"/>
      <c r="L118" s="556"/>
      <c r="M118" s="556"/>
      <c r="N118" s="556"/>
      <c r="O118" s="556"/>
      <c r="P118" s="556"/>
      <c r="Q118" s="556"/>
      <c r="R118" s="556"/>
      <c r="S118" s="556"/>
      <c r="T118" s="556"/>
      <c r="U118" s="556"/>
      <c r="V118" s="599">
        <v>0</v>
      </c>
      <c r="W118" s="558"/>
      <c r="X118" s="543"/>
    </row>
    <row r="119" spans="1:24" s="544" customFormat="1" x14ac:dyDescent="0.3">
      <c r="A119" s="555">
        <f t="shared" si="0"/>
        <v>13</v>
      </c>
      <c r="B119" s="556" t="s">
        <v>149</v>
      </c>
      <c r="C119" s="556"/>
      <c r="D119" s="556"/>
      <c r="E119" s="556"/>
      <c r="F119" s="556"/>
      <c r="G119" s="556"/>
      <c r="H119" s="556"/>
      <c r="I119" s="556"/>
      <c r="J119" s="556"/>
      <c r="K119" s="556"/>
      <c r="L119" s="556"/>
      <c r="M119" s="556"/>
      <c r="N119" s="556"/>
      <c r="O119" s="556"/>
      <c r="P119" s="556"/>
      <c r="Q119" s="556"/>
      <c r="R119" s="556"/>
      <c r="S119" s="556"/>
      <c r="T119" s="556"/>
      <c r="U119" s="556"/>
      <c r="V119" s="599">
        <v>-465</v>
      </c>
      <c r="W119" s="558"/>
      <c r="X119" s="543"/>
    </row>
    <row r="120" spans="1:24" s="544" customFormat="1" x14ac:dyDescent="0.3">
      <c r="A120" s="555">
        <f t="shared" si="0"/>
        <v>14</v>
      </c>
      <c r="B120" s="641" t="s">
        <v>387</v>
      </c>
      <c r="C120" s="556"/>
      <c r="D120" s="556"/>
      <c r="E120" s="556"/>
      <c r="F120" s="556"/>
      <c r="G120" s="556"/>
      <c r="H120" s="556"/>
      <c r="I120" s="556"/>
      <c r="J120" s="556"/>
      <c r="K120" s="556"/>
      <c r="L120" s="556"/>
      <c r="M120" s="556"/>
      <c r="N120" s="556"/>
      <c r="O120" s="556"/>
      <c r="P120" s="556"/>
      <c r="Q120" s="556"/>
      <c r="R120" s="556"/>
      <c r="S120" s="556"/>
      <c r="T120" s="556"/>
      <c r="U120" s="556"/>
      <c r="V120" s="599">
        <v>-319</v>
      </c>
      <c r="W120" s="558"/>
      <c r="X120" s="543"/>
    </row>
    <row r="121" spans="1:24" s="544" customFormat="1" x14ac:dyDescent="0.3">
      <c r="A121" s="555">
        <f t="shared" si="0"/>
        <v>15</v>
      </c>
      <c r="B121" s="642" t="s">
        <v>384</v>
      </c>
      <c r="C121" s="556"/>
      <c r="D121" s="556"/>
      <c r="E121" s="556"/>
      <c r="F121" s="556"/>
      <c r="G121" s="556"/>
      <c r="H121" s="556"/>
      <c r="I121" s="556"/>
      <c r="J121" s="556"/>
      <c r="K121" s="556"/>
      <c r="L121" s="556"/>
      <c r="M121" s="556"/>
      <c r="N121" s="556"/>
      <c r="O121" s="556"/>
      <c r="P121" s="556"/>
      <c r="Q121" s="556"/>
      <c r="R121" s="556"/>
      <c r="S121" s="556"/>
      <c r="T121" s="556"/>
      <c r="U121" s="556"/>
      <c r="V121" s="599">
        <v>0</v>
      </c>
      <c r="W121" s="558"/>
      <c r="X121" s="543"/>
    </row>
    <row r="122" spans="1:24" s="544" customFormat="1" x14ac:dyDescent="0.3">
      <c r="A122" s="555">
        <f t="shared" si="0"/>
        <v>16</v>
      </c>
      <c r="B122" s="642" t="s">
        <v>386</v>
      </c>
      <c r="C122" s="556"/>
      <c r="D122" s="556"/>
      <c r="E122" s="556"/>
      <c r="F122" s="556"/>
      <c r="G122" s="556"/>
      <c r="H122" s="556"/>
      <c r="I122" s="556"/>
      <c r="J122" s="556"/>
      <c r="K122" s="556"/>
      <c r="L122" s="556"/>
      <c r="M122" s="556"/>
      <c r="N122" s="556"/>
      <c r="O122" s="556"/>
      <c r="P122" s="556"/>
      <c r="Q122" s="556"/>
      <c r="R122" s="556"/>
      <c r="S122" s="556"/>
      <c r="T122" s="556"/>
      <c r="U122" s="556"/>
      <c r="V122" s="599">
        <v>0</v>
      </c>
      <c r="W122" s="558"/>
      <c r="X122" s="543"/>
    </row>
    <row r="123" spans="1:24" s="544" customFormat="1" x14ac:dyDescent="0.3">
      <c r="A123" s="555">
        <f t="shared" si="0"/>
        <v>17</v>
      </c>
      <c r="B123" s="642" t="s">
        <v>385</v>
      </c>
      <c r="C123" s="556"/>
      <c r="D123" s="556"/>
      <c r="E123" s="556"/>
      <c r="F123" s="556"/>
      <c r="G123" s="556"/>
      <c r="H123" s="556"/>
      <c r="I123" s="556"/>
      <c r="J123" s="556"/>
      <c r="K123" s="556"/>
      <c r="L123" s="556"/>
      <c r="M123" s="556"/>
      <c r="N123" s="556"/>
      <c r="O123" s="556"/>
      <c r="P123" s="556"/>
      <c r="Q123" s="556"/>
      <c r="R123" s="556"/>
      <c r="S123" s="556"/>
      <c r="T123" s="556"/>
      <c r="U123" s="556"/>
      <c r="V123" s="599">
        <f>-V100-SUM(V102:V122)</f>
        <v>-1499</v>
      </c>
      <c r="W123" s="558"/>
      <c r="X123" s="543"/>
    </row>
    <row r="124" spans="1:24" x14ac:dyDescent="0.3">
      <c r="A124" s="431"/>
      <c r="B124" s="507" t="s">
        <v>37</v>
      </c>
      <c r="C124" s="434"/>
      <c r="D124" s="434"/>
      <c r="E124" s="434"/>
      <c r="F124" s="434"/>
      <c r="G124" s="434"/>
      <c r="H124" s="434"/>
      <c r="I124" s="434"/>
      <c r="J124" s="434"/>
      <c r="K124" s="434"/>
      <c r="L124" s="434"/>
      <c r="M124" s="434"/>
      <c r="N124" s="434"/>
      <c r="O124" s="434"/>
      <c r="P124" s="434"/>
      <c r="Q124" s="434"/>
      <c r="R124" s="434"/>
      <c r="S124" s="434"/>
      <c r="T124" s="434"/>
      <c r="U124" s="434"/>
      <c r="V124" s="450"/>
      <c r="W124" s="436"/>
      <c r="X124" s="415"/>
    </row>
    <row r="125" spans="1:24" s="544" customFormat="1" x14ac:dyDescent="0.3">
      <c r="A125" s="555"/>
      <c r="B125" s="556" t="s">
        <v>173</v>
      </c>
      <c r="C125" s="556"/>
      <c r="D125" s="556"/>
      <c r="E125" s="556"/>
      <c r="F125" s="556"/>
      <c r="G125" s="556"/>
      <c r="H125" s="556"/>
      <c r="I125" s="556"/>
      <c r="J125" s="556"/>
      <c r="K125" s="556"/>
      <c r="L125" s="556"/>
      <c r="M125" s="556"/>
      <c r="N125" s="556"/>
      <c r="O125" s="556"/>
      <c r="P125" s="556"/>
      <c r="Q125" s="556"/>
      <c r="R125" s="556"/>
      <c r="S125" s="556"/>
      <c r="T125" s="598">
        <f>-T191</f>
        <v>0</v>
      </c>
      <c r="U125" s="598"/>
      <c r="V125" s="599"/>
      <c r="W125" s="558"/>
      <c r="X125" s="543"/>
    </row>
    <row r="126" spans="1:24" s="544" customFormat="1" x14ac:dyDescent="0.3">
      <c r="A126" s="555"/>
      <c r="B126" s="556" t="s">
        <v>174</v>
      </c>
      <c r="C126" s="556"/>
      <c r="D126" s="556"/>
      <c r="E126" s="556"/>
      <c r="F126" s="556"/>
      <c r="G126" s="556"/>
      <c r="H126" s="556"/>
      <c r="I126" s="556"/>
      <c r="J126" s="556"/>
      <c r="K126" s="556"/>
      <c r="L126" s="556"/>
      <c r="M126" s="556"/>
      <c r="N126" s="556"/>
      <c r="O126" s="556"/>
      <c r="P126" s="556"/>
      <c r="Q126" s="556"/>
      <c r="R126" s="556"/>
      <c r="S126" s="556"/>
      <c r="T126" s="598">
        <v>0</v>
      </c>
      <c r="U126" s="598"/>
      <c r="V126" s="599"/>
      <c r="W126" s="558"/>
      <c r="X126" s="543"/>
    </row>
    <row r="127" spans="1:24" s="544" customFormat="1" x14ac:dyDescent="0.3">
      <c r="A127" s="555"/>
      <c r="B127" s="556" t="s">
        <v>38</v>
      </c>
      <c r="C127" s="556"/>
      <c r="D127" s="556"/>
      <c r="E127" s="556"/>
      <c r="F127" s="556"/>
      <c r="G127" s="556"/>
      <c r="H127" s="556"/>
      <c r="I127" s="556"/>
      <c r="J127" s="556"/>
      <c r="K127" s="556"/>
      <c r="L127" s="556"/>
      <c r="M127" s="556"/>
      <c r="N127" s="556"/>
      <c r="O127" s="556"/>
      <c r="P127" s="556"/>
      <c r="Q127" s="556"/>
      <c r="R127" s="556"/>
      <c r="S127" s="556"/>
      <c r="T127" s="598">
        <f>-S191</f>
        <v>0</v>
      </c>
      <c r="U127" s="598"/>
      <c r="V127" s="599"/>
      <c r="W127" s="558"/>
      <c r="X127" s="543"/>
    </row>
    <row r="128" spans="1:24" s="544" customFormat="1" x14ac:dyDescent="0.3">
      <c r="A128" s="555"/>
      <c r="B128" s="556" t="s">
        <v>388</v>
      </c>
      <c r="C128" s="556"/>
      <c r="D128" s="556"/>
      <c r="E128" s="556"/>
      <c r="F128" s="556"/>
      <c r="G128" s="556"/>
      <c r="H128" s="556"/>
      <c r="I128" s="556"/>
      <c r="J128" s="556"/>
      <c r="K128" s="556"/>
      <c r="L128" s="556"/>
      <c r="M128" s="556"/>
      <c r="N128" s="556"/>
      <c r="O128" s="556"/>
      <c r="P128" s="556"/>
      <c r="Q128" s="556"/>
      <c r="R128" s="556"/>
      <c r="S128" s="556"/>
      <c r="T128" s="598">
        <v>-7339</v>
      </c>
      <c r="U128" s="598"/>
      <c r="V128" s="599"/>
      <c r="W128" s="558"/>
      <c r="X128" s="543"/>
    </row>
    <row r="129" spans="1:24" s="544" customFormat="1" x14ac:dyDescent="0.3">
      <c r="A129" s="555"/>
      <c r="B129" s="556" t="s">
        <v>195</v>
      </c>
      <c r="C129" s="556"/>
      <c r="D129" s="556"/>
      <c r="E129" s="556"/>
      <c r="F129" s="556"/>
      <c r="G129" s="556"/>
      <c r="H129" s="556"/>
      <c r="I129" s="556"/>
      <c r="J129" s="556"/>
      <c r="K129" s="556"/>
      <c r="L129" s="556"/>
      <c r="M129" s="556"/>
      <c r="N129" s="556"/>
      <c r="O129" s="556"/>
      <c r="P129" s="556"/>
      <c r="Q129" s="556"/>
      <c r="R129" s="556"/>
      <c r="S129" s="556"/>
      <c r="T129" s="598">
        <v>-1183</v>
      </c>
      <c r="U129" s="598"/>
      <c r="V129" s="599"/>
      <c r="W129" s="558"/>
      <c r="X129" s="543"/>
    </row>
    <row r="130" spans="1:24" s="544" customFormat="1" x14ac:dyDescent="0.3">
      <c r="A130" s="555"/>
      <c r="B130" s="556" t="s">
        <v>194</v>
      </c>
      <c r="C130" s="556"/>
      <c r="D130" s="556"/>
      <c r="E130" s="556"/>
      <c r="F130" s="556"/>
      <c r="G130" s="556"/>
      <c r="H130" s="556"/>
      <c r="I130" s="556"/>
      <c r="J130" s="556"/>
      <c r="K130" s="556"/>
      <c r="L130" s="556"/>
      <c r="M130" s="556"/>
      <c r="N130" s="556"/>
      <c r="O130" s="556"/>
      <c r="P130" s="556"/>
      <c r="Q130" s="556"/>
      <c r="R130" s="556"/>
      <c r="S130" s="556"/>
      <c r="T130" s="598">
        <v>-1592</v>
      </c>
      <c r="U130" s="598"/>
      <c r="V130" s="599"/>
      <c r="W130" s="558"/>
      <c r="X130" s="543"/>
    </row>
    <row r="131" spans="1:24" s="544" customFormat="1" x14ac:dyDescent="0.3">
      <c r="A131" s="555"/>
      <c r="B131" s="556" t="s">
        <v>226</v>
      </c>
      <c r="C131" s="556"/>
      <c r="D131" s="556"/>
      <c r="E131" s="556"/>
      <c r="F131" s="556"/>
      <c r="G131" s="556"/>
      <c r="H131" s="556"/>
      <c r="I131" s="556"/>
      <c r="J131" s="556"/>
      <c r="K131" s="556"/>
      <c r="L131" s="556"/>
      <c r="M131" s="556"/>
      <c r="N131" s="556"/>
      <c r="O131" s="556"/>
      <c r="P131" s="556"/>
      <c r="Q131" s="556"/>
      <c r="R131" s="556"/>
      <c r="S131" s="556"/>
      <c r="T131" s="598">
        <v>-1957</v>
      </c>
      <c r="U131" s="598"/>
      <c r="V131" s="599"/>
      <c r="W131" s="558"/>
      <c r="X131" s="543"/>
    </row>
    <row r="132" spans="1:24" s="544" customFormat="1" x14ac:dyDescent="0.3">
      <c r="A132" s="555"/>
      <c r="B132" s="556" t="s">
        <v>189</v>
      </c>
      <c r="C132" s="556"/>
      <c r="D132" s="556"/>
      <c r="E132" s="556"/>
      <c r="F132" s="556"/>
      <c r="G132" s="556"/>
      <c r="H132" s="556"/>
      <c r="I132" s="556"/>
      <c r="J132" s="556"/>
      <c r="K132" s="556"/>
      <c r="L132" s="556"/>
      <c r="M132" s="556"/>
      <c r="N132" s="556"/>
      <c r="O132" s="556"/>
      <c r="P132" s="556"/>
      <c r="Q132" s="556"/>
      <c r="R132" s="556"/>
      <c r="S132" s="556"/>
      <c r="T132" s="598">
        <v>0</v>
      </c>
      <c r="U132" s="598"/>
      <c r="V132" s="599"/>
      <c r="W132" s="558"/>
      <c r="X132" s="543"/>
    </row>
    <row r="133" spans="1:24" s="544" customFormat="1" x14ac:dyDescent="0.3">
      <c r="A133" s="555"/>
      <c r="B133" s="556" t="s">
        <v>188</v>
      </c>
      <c r="C133" s="556"/>
      <c r="D133" s="556"/>
      <c r="E133" s="556"/>
      <c r="F133" s="556"/>
      <c r="G133" s="556"/>
      <c r="H133" s="556"/>
      <c r="I133" s="556"/>
      <c r="J133" s="556"/>
      <c r="K133" s="556"/>
      <c r="L133" s="556"/>
      <c r="M133" s="556"/>
      <c r="N133" s="556"/>
      <c r="O133" s="556"/>
      <c r="P133" s="556"/>
      <c r="Q133" s="556"/>
      <c r="R133" s="556"/>
      <c r="S133" s="556"/>
      <c r="T133" s="598">
        <v>0</v>
      </c>
      <c r="U133" s="598"/>
      <c r="V133" s="599"/>
      <c r="W133" s="558"/>
      <c r="X133" s="543"/>
    </row>
    <row r="134" spans="1:24" s="544" customFormat="1" x14ac:dyDescent="0.3">
      <c r="A134" s="555"/>
      <c r="B134" s="556" t="s">
        <v>227</v>
      </c>
      <c r="C134" s="556"/>
      <c r="D134" s="556"/>
      <c r="E134" s="556"/>
      <c r="F134" s="556"/>
      <c r="G134" s="556"/>
      <c r="H134" s="556"/>
      <c r="I134" s="556"/>
      <c r="J134" s="556"/>
      <c r="K134" s="556"/>
      <c r="L134" s="556"/>
      <c r="M134" s="556"/>
      <c r="N134" s="556"/>
      <c r="O134" s="556"/>
      <c r="P134" s="556"/>
      <c r="Q134" s="556"/>
      <c r="R134" s="556"/>
      <c r="S134" s="556"/>
      <c r="T134" s="598">
        <v>0</v>
      </c>
      <c r="U134" s="598"/>
      <c r="V134" s="599"/>
      <c r="W134" s="558"/>
      <c r="X134" s="543"/>
    </row>
    <row r="135" spans="1:24" s="544" customFormat="1" x14ac:dyDescent="0.3">
      <c r="A135" s="555"/>
      <c r="B135" s="556" t="s">
        <v>187</v>
      </c>
      <c r="C135" s="556"/>
      <c r="D135" s="556"/>
      <c r="E135" s="556"/>
      <c r="F135" s="556"/>
      <c r="G135" s="556"/>
      <c r="H135" s="556"/>
      <c r="I135" s="556"/>
      <c r="J135" s="556"/>
      <c r="K135" s="556"/>
      <c r="L135" s="556"/>
      <c r="M135" s="556"/>
      <c r="N135" s="556"/>
      <c r="O135" s="556"/>
      <c r="P135" s="556"/>
      <c r="Q135" s="556"/>
      <c r="R135" s="556"/>
      <c r="S135" s="556"/>
      <c r="T135" s="598">
        <v>0</v>
      </c>
      <c r="U135" s="598"/>
      <c r="V135" s="599"/>
      <c r="W135" s="558"/>
      <c r="X135" s="543"/>
    </row>
    <row r="136" spans="1:24" s="544" customFormat="1" x14ac:dyDescent="0.3">
      <c r="A136" s="555"/>
      <c r="B136" s="556" t="s">
        <v>39</v>
      </c>
      <c r="C136" s="556"/>
      <c r="D136" s="556"/>
      <c r="E136" s="556"/>
      <c r="F136" s="556"/>
      <c r="G136" s="556"/>
      <c r="H136" s="556"/>
      <c r="I136" s="556"/>
      <c r="J136" s="556"/>
      <c r="K136" s="556"/>
      <c r="L136" s="556"/>
      <c r="M136" s="556"/>
      <c r="N136" s="556"/>
      <c r="O136" s="556"/>
      <c r="P136" s="556"/>
      <c r="Q136" s="556"/>
      <c r="R136" s="556"/>
      <c r="S136" s="556"/>
      <c r="T136" s="598">
        <f>SUM(T125:T135)</f>
        <v>-12071</v>
      </c>
      <c r="U136" s="598"/>
      <c r="V136" s="598">
        <f>SUM(V101:V133)</f>
        <v>-4261</v>
      </c>
      <c r="W136" s="558"/>
      <c r="X136" s="543"/>
    </row>
    <row r="137" spans="1:24" s="544" customFormat="1" x14ac:dyDescent="0.3">
      <c r="A137" s="555"/>
      <c r="B137" s="556" t="s">
        <v>40</v>
      </c>
      <c r="C137" s="556"/>
      <c r="D137" s="556"/>
      <c r="E137" s="556"/>
      <c r="F137" s="556"/>
      <c r="G137" s="556"/>
      <c r="H137" s="556"/>
      <c r="I137" s="556"/>
      <c r="J137" s="556"/>
      <c r="K137" s="556"/>
      <c r="L137" s="556"/>
      <c r="M137" s="556"/>
      <c r="N137" s="556"/>
      <c r="O137" s="556"/>
      <c r="P137" s="556"/>
      <c r="Q137" s="556"/>
      <c r="R137" s="556"/>
      <c r="S137" s="556"/>
      <c r="T137" s="598">
        <f>T100+T136+T114</f>
        <v>0</v>
      </c>
      <c r="U137" s="598"/>
      <c r="V137" s="598">
        <f>V100+V136</f>
        <v>0</v>
      </c>
      <c r="W137" s="558"/>
      <c r="X137" s="543"/>
    </row>
    <row r="138" spans="1:24" s="544" customFormat="1" x14ac:dyDescent="0.3">
      <c r="A138" s="540"/>
      <c r="B138" s="588"/>
      <c r="C138" s="588"/>
      <c r="D138" s="588"/>
      <c r="E138" s="588"/>
      <c r="F138" s="588"/>
      <c r="G138" s="588"/>
      <c r="H138" s="588"/>
      <c r="I138" s="588"/>
      <c r="J138" s="588"/>
      <c r="K138" s="588"/>
      <c r="L138" s="588"/>
      <c r="M138" s="588"/>
      <c r="N138" s="588"/>
      <c r="O138" s="588"/>
      <c r="P138" s="588"/>
      <c r="Q138" s="588"/>
      <c r="R138" s="588"/>
      <c r="S138" s="588"/>
      <c r="T138" s="600"/>
      <c r="U138" s="600"/>
      <c r="V138" s="600"/>
      <c r="W138" s="588"/>
      <c r="X138" s="543"/>
    </row>
    <row r="139" spans="1:24" s="544" customFormat="1" x14ac:dyDescent="0.3">
      <c r="A139" s="540"/>
      <c r="B139" s="541"/>
      <c r="C139" s="541"/>
      <c r="D139" s="541"/>
      <c r="E139" s="541"/>
      <c r="F139" s="541"/>
      <c r="G139" s="541"/>
      <c r="H139" s="541"/>
      <c r="I139" s="541"/>
      <c r="J139" s="541"/>
      <c r="K139" s="541"/>
      <c r="L139" s="541"/>
      <c r="M139" s="541"/>
      <c r="N139" s="541"/>
      <c r="O139" s="541"/>
      <c r="P139" s="541"/>
      <c r="Q139" s="541"/>
      <c r="R139" s="541"/>
      <c r="S139" s="541"/>
      <c r="T139" s="541"/>
      <c r="U139" s="541"/>
      <c r="V139" s="606"/>
      <c r="W139" s="541"/>
      <c r="X139" s="543"/>
    </row>
    <row r="140" spans="1:24" s="544" customFormat="1" ht="18.600000000000001" thickBot="1" x14ac:dyDescent="0.4">
      <c r="A140" s="593"/>
      <c r="B140" s="594" t="str">
        <f>B63</f>
        <v>PM14 INVESTOR REPORT QUARTER ENDING MAY 2020</v>
      </c>
      <c r="C140" s="595"/>
      <c r="D140" s="595"/>
      <c r="E140" s="595"/>
      <c r="F140" s="595"/>
      <c r="G140" s="595"/>
      <c r="H140" s="595"/>
      <c r="I140" s="595"/>
      <c r="J140" s="595"/>
      <c r="K140" s="595"/>
      <c r="L140" s="595"/>
      <c r="M140" s="595"/>
      <c r="N140" s="595"/>
      <c r="O140" s="595"/>
      <c r="P140" s="595"/>
      <c r="Q140" s="595"/>
      <c r="R140" s="595"/>
      <c r="S140" s="595"/>
      <c r="T140" s="595"/>
      <c r="U140" s="595"/>
      <c r="V140" s="607"/>
      <c r="W140" s="597"/>
      <c r="X140" s="543"/>
    </row>
    <row r="141" spans="1:24" x14ac:dyDescent="0.3">
      <c r="A141" s="527"/>
      <c r="B141" s="528" t="s">
        <v>41</v>
      </c>
      <c r="C141" s="529"/>
      <c r="D141" s="529"/>
      <c r="E141" s="529"/>
      <c r="F141" s="529"/>
      <c r="G141" s="529"/>
      <c r="H141" s="529"/>
      <c r="I141" s="529"/>
      <c r="J141" s="529"/>
      <c r="K141" s="529"/>
      <c r="L141" s="529"/>
      <c r="M141" s="529"/>
      <c r="N141" s="529"/>
      <c r="O141" s="529"/>
      <c r="P141" s="529"/>
      <c r="Q141" s="529"/>
      <c r="R141" s="529"/>
      <c r="S141" s="529"/>
      <c r="T141" s="529"/>
      <c r="U141" s="529"/>
      <c r="V141" s="530"/>
      <c r="W141" s="529"/>
      <c r="X141" s="415"/>
    </row>
    <row r="142" spans="1:24" x14ac:dyDescent="0.3">
      <c r="A142" s="417"/>
      <c r="B142" s="451"/>
      <c r="C142" s="419"/>
      <c r="D142" s="419"/>
      <c r="E142" s="419"/>
      <c r="F142" s="419"/>
      <c r="G142" s="419"/>
      <c r="H142" s="419"/>
      <c r="I142" s="419"/>
      <c r="J142" s="419"/>
      <c r="K142" s="419"/>
      <c r="L142" s="419"/>
      <c r="M142" s="419"/>
      <c r="N142" s="419"/>
      <c r="O142" s="419"/>
      <c r="P142" s="419"/>
      <c r="Q142" s="419"/>
      <c r="R142" s="419"/>
      <c r="S142" s="419"/>
      <c r="T142" s="419"/>
      <c r="U142" s="419"/>
      <c r="V142" s="439"/>
      <c r="W142" s="419"/>
      <c r="X142" s="415"/>
    </row>
    <row r="143" spans="1:24" x14ac:dyDescent="0.3">
      <c r="A143" s="417"/>
      <c r="B143" s="508" t="s">
        <v>42</v>
      </c>
      <c r="C143" s="419"/>
      <c r="D143" s="419"/>
      <c r="E143" s="419"/>
      <c r="F143" s="419"/>
      <c r="G143" s="419"/>
      <c r="H143" s="419"/>
      <c r="I143" s="419"/>
      <c r="J143" s="419"/>
      <c r="K143" s="419"/>
      <c r="L143" s="419"/>
      <c r="M143" s="419"/>
      <c r="N143" s="419"/>
      <c r="O143" s="419"/>
      <c r="P143" s="419"/>
      <c r="Q143" s="419"/>
      <c r="R143" s="419"/>
      <c r="S143" s="419"/>
      <c r="T143" s="419"/>
      <c r="U143" s="419"/>
      <c r="V143" s="439"/>
      <c r="W143" s="419"/>
      <c r="X143" s="415"/>
    </row>
    <row r="144" spans="1:24" s="544" customFormat="1" x14ac:dyDescent="0.3">
      <c r="A144" s="555"/>
      <c r="B144" s="556" t="s">
        <v>43</v>
      </c>
      <c r="C144" s="556"/>
      <c r="D144" s="556"/>
      <c r="E144" s="556"/>
      <c r="F144" s="556"/>
      <c r="G144" s="556"/>
      <c r="H144" s="556"/>
      <c r="I144" s="556"/>
      <c r="J144" s="556"/>
      <c r="K144" s="556"/>
      <c r="L144" s="556"/>
      <c r="M144" s="556"/>
      <c r="N144" s="556"/>
      <c r="O144" s="556"/>
      <c r="P144" s="556"/>
      <c r="Q144" s="556"/>
      <c r="R144" s="556"/>
      <c r="S144" s="556"/>
      <c r="T144" s="556"/>
      <c r="U144" s="556"/>
      <c r="V144" s="599">
        <f>+V34*0.019</f>
        <v>28505.224999999999</v>
      </c>
      <c r="W144" s="558"/>
      <c r="X144" s="543"/>
    </row>
    <row r="145" spans="1:25" s="544" customFormat="1" x14ac:dyDescent="0.3">
      <c r="A145" s="555"/>
      <c r="B145" s="556" t="s">
        <v>44</v>
      </c>
      <c r="C145" s="556"/>
      <c r="D145" s="556"/>
      <c r="E145" s="556"/>
      <c r="F145" s="556"/>
      <c r="G145" s="556"/>
      <c r="H145" s="556"/>
      <c r="I145" s="556"/>
      <c r="J145" s="556"/>
      <c r="K145" s="556"/>
      <c r="L145" s="556"/>
      <c r="M145" s="556"/>
      <c r="N145" s="556"/>
      <c r="O145" s="556"/>
      <c r="P145" s="556"/>
      <c r="Q145" s="556"/>
      <c r="R145" s="556"/>
      <c r="S145" s="556"/>
      <c r="T145" s="556"/>
      <c r="U145" s="556"/>
      <c r="V145" s="599">
        <v>28505</v>
      </c>
      <c r="W145" s="558"/>
      <c r="X145" s="543"/>
    </row>
    <row r="146" spans="1:25" s="544" customFormat="1" x14ac:dyDescent="0.3">
      <c r="A146" s="555"/>
      <c r="B146" s="556" t="s">
        <v>136</v>
      </c>
      <c r="C146" s="556"/>
      <c r="D146" s="556"/>
      <c r="E146" s="556"/>
      <c r="F146" s="556"/>
      <c r="G146" s="556"/>
      <c r="H146" s="556"/>
      <c r="I146" s="556"/>
      <c r="J146" s="556"/>
      <c r="K146" s="556"/>
      <c r="L146" s="556"/>
      <c r="M146" s="556"/>
      <c r="N146" s="556"/>
      <c r="O146" s="556"/>
      <c r="P146" s="556"/>
      <c r="Q146" s="556"/>
      <c r="R146" s="556"/>
      <c r="S146" s="556"/>
      <c r="T146" s="556"/>
      <c r="U146" s="556"/>
      <c r="V146" s="599"/>
      <c r="W146" s="558"/>
      <c r="X146" s="543"/>
    </row>
    <row r="147" spans="1:25" s="544" customFormat="1" x14ac:dyDescent="0.3">
      <c r="A147" s="555"/>
      <c r="B147" s="556" t="s">
        <v>123</v>
      </c>
      <c r="C147" s="556"/>
      <c r="D147" s="556"/>
      <c r="E147" s="556"/>
      <c r="F147" s="556"/>
      <c r="G147" s="556"/>
      <c r="H147" s="556"/>
      <c r="I147" s="556"/>
      <c r="J147" s="556"/>
      <c r="K147" s="556"/>
      <c r="L147" s="556"/>
      <c r="M147" s="556"/>
      <c r="N147" s="556"/>
      <c r="O147" s="556"/>
      <c r="P147" s="556"/>
      <c r="Q147" s="556"/>
      <c r="R147" s="556"/>
      <c r="S147" s="556"/>
      <c r="T147" s="556"/>
      <c r="U147" s="556"/>
      <c r="V147" s="599">
        <v>0</v>
      </c>
      <c r="W147" s="558"/>
      <c r="X147" s="543"/>
    </row>
    <row r="148" spans="1:25" s="544" customFormat="1" x14ac:dyDescent="0.3">
      <c r="A148" s="555"/>
      <c r="B148" s="556" t="s">
        <v>124</v>
      </c>
      <c r="C148" s="556"/>
      <c r="D148" s="556"/>
      <c r="E148" s="556"/>
      <c r="F148" s="556"/>
      <c r="G148" s="556"/>
      <c r="H148" s="556"/>
      <c r="I148" s="556"/>
      <c r="J148" s="556"/>
      <c r="K148" s="556"/>
      <c r="L148" s="556"/>
      <c r="M148" s="556"/>
      <c r="N148" s="556"/>
      <c r="O148" s="556"/>
      <c r="P148" s="556"/>
      <c r="Q148" s="556"/>
      <c r="R148" s="556"/>
      <c r="S148" s="556"/>
      <c r="T148" s="556"/>
      <c r="U148" s="556"/>
      <c r="V148" s="599">
        <v>0</v>
      </c>
      <c r="W148" s="558"/>
      <c r="X148" s="543"/>
    </row>
    <row r="149" spans="1:25" s="544" customFormat="1" x14ac:dyDescent="0.3">
      <c r="A149" s="555"/>
      <c r="B149" s="556" t="s">
        <v>175</v>
      </c>
      <c r="C149" s="556"/>
      <c r="D149" s="556"/>
      <c r="E149" s="556"/>
      <c r="F149" s="556"/>
      <c r="G149" s="556"/>
      <c r="H149" s="556"/>
      <c r="I149" s="556"/>
      <c r="J149" s="556"/>
      <c r="K149" s="556"/>
      <c r="L149" s="556"/>
      <c r="M149" s="556"/>
      <c r="N149" s="556"/>
      <c r="O149" s="556"/>
      <c r="P149" s="556"/>
      <c r="Q149" s="556"/>
      <c r="R149" s="556"/>
      <c r="S149" s="556"/>
      <c r="T149" s="556"/>
      <c r="U149" s="556"/>
      <c r="V149" s="599">
        <v>0</v>
      </c>
      <c r="W149" s="558"/>
      <c r="X149" s="543"/>
    </row>
    <row r="150" spans="1:25" s="544" customFormat="1" x14ac:dyDescent="0.3">
      <c r="A150" s="555"/>
      <c r="B150" s="556" t="s">
        <v>45</v>
      </c>
      <c r="C150" s="556"/>
      <c r="D150" s="556"/>
      <c r="E150" s="556"/>
      <c r="F150" s="556"/>
      <c r="G150" s="556"/>
      <c r="H150" s="556"/>
      <c r="I150" s="556"/>
      <c r="J150" s="556"/>
      <c r="K150" s="556"/>
      <c r="L150" s="556"/>
      <c r="M150" s="556"/>
      <c r="N150" s="556"/>
      <c r="O150" s="556"/>
      <c r="P150" s="556"/>
      <c r="Q150" s="556"/>
      <c r="R150" s="556"/>
      <c r="S150" s="556"/>
      <c r="T150" s="556"/>
      <c r="U150" s="556"/>
      <c r="V150" s="599">
        <v>0</v>
      </c>
      <c r="W150" s="558"/>
      <c r="X150" s="543"/>
    </row>
    <row r="151" spans="1:25" s="544" customFormat="1" x14ac:dyDescent="0.3">
      <c r="A151" s="555"/>
      <c r="B151" s="556" t="s">
        <v>129</v>
      </c>
      <c r="C151" s="556"/>
      <c r="D151" s="556"/>
      <c r="E151" s="556"/>
      <c r="F151" s="556"/>
      <c r="G151" s="556"/>
      <c r="H151" s="556"/>
      <c r="I151" s="556"/>
      <c r="J151" s="556"/>
      <c r="K151" s="556"/>
      <c r="L151" s="556"/>
      <c r="M151" s="556"/>
      <c r="N151" s="556"/>
      <c r="O151" s="556"/>
      <c r="P151" s="556"/>
      <c r="Q151" s="556"/>
      <c r="R151" s="556"/>
      <c r="S151" s="556"/>
      <c r="T151" s="556"/>
      <c r="U151" s="556"/>
      <c r="V151" s="599">
        <v>0</v>
      </c>
      <c r="W151" s="558"/>
      <c r="X151" s="543"/>
    </row>
    <row r="152" spans="1:25" s="544" customFormat="1" x14ac:dyDescent="0.3">
      <c r="A152" s="555"/>
      <c r="B152" s="556" t="s">
        <v>267</v>
      </c>
      <c r="C152" s="556"/>
      <c r="D152" s="556"/>
      <c r="E152" s="556"/>
      <c r="F152" s="556"/>
      <c r="G152" s="556"/>
      <c r="H152" s="556"/>
      <c r="I152" s="556"/>
      <c r="J152" s="556"/>
      <c r="K152" s="556"/>
      <c r="L152" s="556"/>
      <c r="M152" s="556"/>
      <c r="N152" s="556"/>
      <c r="O152" s="556"/>
      <c r="P152" s="556"/>
      <c r="Q152" s="556"/>
      <c r="R152" s="556"/>
      <c r="S152" s="556"/>
      <c r="T152" s="556"/>
      <c r="U152" s="556"/>
      <c r="V152" s="599">
        <v>0</v>
      </c>
      <c r="W152" s="558"/>
      <c r="X152" s="543"/>
      <c r="Y152" s="604"/>
    </row>
    <row r="153" spans="1:25" s="544" customFormat="1" x14ac:dyDescent="0.3">
      <c r="A153" s="555"/>
      <c r="B153" s="556" t="s">
        <v>46</v>
      </c>
      <c r="C153" s="556"/>
      <c r="D153" s="556"/>
      <c r="E153" s="556"/>
      <c r="F153" s="556"/>
      <c r="G153" s="556"/>
      <c r="H153" s="556"/>
      <c r="I153" s="556"/>
      <c r="J153" s="556"/>
      <c r="K153" s="556"/>
      <c r="L153" s="556"/>
      <c r="M153" s="556"/>
      <c r="N153" s="556"/>
      <c r="O153" s="556"/>
      <c r="P153" s="556"/>
      <c r="Q153" s="556"/>
      <c r="R153" s="556"/>
      <c r="S153" s="556"/>
      <c r="T153" s="556"/>
      <c r="U153" s="556"/>
      <c r="V153" s="599">
        <f>SUM(V145:V152)</f>
        <v>28505</v>
      </c>
      <c r="W153" s="558"/>
      <c r="X153" s="543"/>
    </row>
    <row r="154" spans="1:25" x14ac:dyDescent="0.3">
      <c r="A154" s="431"/>
      <c r="B154" s="434"/>
      <c r="C154" s="434"/>
      <c r="D154" s="434"/>
      <c r="E154" s="434"/>
      <c r="F154" s="434"/>
      <c r="G154" s="434"/>
      <c r="H154" s="434"/>
      <c r="I154" s="434"/>
      <c r="J154" s="434"/>
      <c r="K154" s="434"/>
      <c r="L154" s="434"/>
      <c r="M154" s="434"/>
      <c r="N154" s="434"/>
      <c r="O154" s="434"/>
      <c r="P154" s="434"/>
      <c r="Q154" s="434"/>
      <c r="R154" s="434"/>
      <c r="S154" s="434"/>
      <c r="T154" s="434"/>
      <c r="U154" s="434"/>
      <c r="V154" s="449"/>
      <c r="W154" s="436"/>
      <c r="X154" s="415"/>
    </row>
    <row r="155" spans="1:25" x14ac:dyDescent="0.3">
      <c r="A155" s="431"/>
      <c r="B155" s="507" t="s">
        <v>237</v>
      </c>
      <c r="C155" s="434"/>
      <c r="D155" s="434"/>
      <c r="E155" s="434"/>
      <c r="F155" s="434"/>
      <c r="G155" s="434"/>
      <c r="H155" s="434"/>
      <c r="I155" s="434"/>
      <c r="J155" s="434"/>
      <c r="K155" s="434"/>
      <c r="L155" s="434"/>
      <c r="M155" s="434"/>
      <c r="N155" s="434"/>
      <c r="O155" s="434"/>
      <c r="P155" s="434"/>
      <c r="Q155" s="434"/>
      <c r="R155" s="434"/>
      <c r="S155" s="434"/>
      <c r="T155" s="434"/>
      <c r="U155" s="434"/>
      <c r="V155" s="449"/>
      <c r="W155" s="436"/>
      <c r="X155" s="415"/>
    </row>
    <row r="156" spans="1:25" s="544" customFormat="1" x14ac:dyDescent="0.3">
      <c r="A156" s="555"/>
      <c r="B156" s="556" t="s">
        <v>155</v>
      </c>
      <c r="C156" s="556"/>
      <c r="D156" s="556"/>
      <c r="E156" s="556"/>
      <c r="F156" s="556"/>
      <c r="G156" s="556"/>
      <c r="H156" s="556"/>
      <c r="I156" s="556"/>
      <c r="J156" s="556"/>
      <c r="K156" s="556"/>
      <c r="L156" s="556"/>
      <c r="M156" s="556"/>
      <c r="N156" s="556"/>
      <c r="O156" s="556"/>
      <c r="P156" s="556"/>
      <c r="Q156" s="556"/>
      <c r="R156" s="556"/>
      <c r="S156" s="556"/>
      <c r="T156" s="556"/>
      <c r="U156" s="556"/>
      <c r="V156" s="599">
        <v>7500</v>
      </c>
      <c r="W156" s="558"/>
      <c r="X156" s="543"/>
    </row>
    <row r="157" spans="1:25" s="544" customFormat="1" x14ac:dyDescent="0.3">
      <c r="A157" s="555"/>
      <c r="B157" s="556" t="s">
        <v>172</v>
      </c>
      <c r="C157" s="556"/>
      <c r="D157" s="556"/>
      <c r="E157" s="556"/>
      <c r="F157" s="556"/>
      <c r="G157" s="556"/>
      <c r="H157" s="556"/>
      <c r="I157" s="556"/>
      <c r="J157" s="556"/>
      <c r="K157" s="556"/>
      <c r="L157" s="556"/>
      <c r="M157" s="556"/>
      <c r="N157" s="556"/>
      <c r="O157" s="556"/>
      <c r="P157" s="556"/>
      <c r="Q157" s="556"/>
      <c r="R157" s="556"/>
      <c r="S157" s="556"/>
      <c r="T157" s="556"/>
      <c r="U157" s="556"/>
      <c r="V157" s="599">
        <v>0</v>
      </c>
      <c r="W157" s="558"/>
      <c r="X157" s="543"/>
    </row>
    <row r="158" spans="1:25" s="544" customFormat="1" x14ac:dyDescent="0.3">
      <c r="A158" s="555"/>
      <c r="B158" s="556" t="s">
        <v>344</v>
      </c>
      <c r="C158" s="556"/>
      <c r="D158" s="556"/>
      <c r="E158" s="556"/>
      <c r="F158" s="556"/>
      <c r="G158" s="556"/>
      <c r="H158" s="556"/>
      <c r="I158" s="556"/>
      <c r="J158" s="556"/>
      <c r="K158" s="556"/>
      <c r="L158" s="556"/>
      <c r="M158" s="556"/>
      <c r="N158" s="556"/>
      <c r="O158" s="556"/>
      <c r="P158" s="556"/>
      <c r="Q158" s="556"/>
      <c r="R158" s="556"/>
      <c r="S158" s="556"/>
      <c r="T158" s="556"/>
      <c r="U158" s="556"/>
      <c r="V158" s="599">
        <v>0</v>
      </c>
      <c r="W158" s="558"/>
      <c r="X158" s="543"/>
    </row>
    <row r="159" spans="1:25" x14ac:dyDescent="0.3">
      <c r="A159" s="431"/>
      <c r="B159" s="432"/>
      <c r="C159" s="432"/>
      <c r="D159" s="432"/>
      <c r="E159" s="432"/>
      <c r="F159" s="432"/>
      <c r="G159" s="432"/>
      <c r="H159" s="432"/>
      <c r="I159" s="432"/>
      <c r="J159" s="432"/>
      <c r="K159" s="432"/>
      <c r="L159" s="432"/>
      <c r="M159" s="432"/>
      <c r="N159" s="432"/>
      <c r="O159" s="432"/>
      <c r="P159" s="432"/>
      <c r="Q159" s="432"/>
      <c r="R159" s="432"/>
      <c r="S159" s="432"/>
      <c r="T159" s="432"/>
      <c r="U159" s="432"/>
      <c r="V159" s="440"/>
      <c r="W159" s="433"/>
      <c r="X159" s="415"/>
    </row>
    <row r="160" spans="1:25" x14ac:dyDescent="0.3">
      <c r="A160" s="417"/>
      <c r="B160" s="441"/>
      <c r="C160" s="441"/>
      <c r="D160" s="441"/>
      <c r="E160" s="441"/>
      <c r="F160" s="441"/>
      <c r="G160" s="441"/>
      <c r="H160" s="441"/>
      <c r="I160" s="441"/>
      <c r="J160" s="441"/>
      <c r="K160" s="441"/>
      <c r="L160" s="441"/>
      <c r="M160" s="441"/>
      <c r="N160" s="441"/>
      <c r="O160" s="441"/>
      <c r="P160" s="441"/>
      <c r="Q160" s="441"/>
      <c r="R160" s="441"/>
      <c r="S160" s="441"/>
      <c r="T160" s="441"/>
      <c r="U160" s="441"/>
      <c r="V160" s="452"/>
      <c r="W160" s="441"/>
      <c r="X160" s="415"/>
    </row>
    <row r="161" spans="1:256" x14ac:dyDescent="0.3">
      <c r="A161" s="417"/>
      <c r="B161" s="508" t="s">
        <v>24</v>
      </c>
      <c r="C161" s="419"/>
      <c r="D161" s="419"/>
      <c r="E161" s="419"/>
      <c r="F161" s="419"/>
      <c r="G161" s="419"/>
      <c r="H161" s="419"/>
      <c r="I161" s="419"/>
      <c r="J161" s="419"/>
      <c r="K161" s="419"/>
      <c r="L161" s="419"/>
      <c r="M161" s="419"/>
      <c r="N161" s="419"/>
      <c r="O161" s="419"/>
      <c r="P161" s="419"/>
      <c r="Q161" s="419"/>
      <c r="R161" s="419"/>
      <c r="S161" s="419"/>
      <c r="T161" s="419"/>
      <c r="U161" s="419"/>
      <c r="V161" s="439"/>
      <c r="W161" s="419"/>
      <c r="X161" s="415"/>
    </row>
    <row r="162" spans="1:256" s="544" customFormat="1" x14ac:dyDescent="0.3">
      <c r="A162" s="555"/>
      <c r="B162" s="556" t="s">
        <v>47</v>
      </c>
      <c r="C162" s="556"/>
      <c r="D162" s="556"/>
      <c r="E162" s="556"/>
      <c r="F162" s="556"/>
      <c r="G162" s="556"/>
      <c r="H162" s="556"/>
      <c r="I162" s="556"/>
      <c r="J162" s="556"/>
      <c r="K162" s="556"/>
      <c r="L162" s="556"/>
      <c r="M162" s="556"/>
      <c r="N162" s="556"/>
      <c r="O162" s="556"/>
      <c r="P162" s="556"/>
      <c r="Q162" s="556"/>
      <c r="R162" s="556"/>
      <c r="S162" s="556"/>
      <c r="T162" s="556"/>
      <c r="U162" s="556"/>
      <c r="V162" s="608" t="s">
        <v>118</v>
      </c>
      <c r="W162" s="558"/>
      <c r="X162" s="543"/>
    </row>
    <row r="163" spans="1:256" s="544" customFormat="1" x14ac:dyDescent="0.3">
      <c r="A163" s="555"/>
      <c r="B163" s="556" t="s">
        <v>48</v>
      </c>
      <c r="C163" s="556"/>
      <c r="D163" s="556"/>
      <c r="E163" s="556"/>
      <c r="F163" s="556"/>
      <c r="G163" s="556"/>
      <c r="H163" s="556"/>
      <c r="I163" s="556"/>
      <c r="J163" s="556"/>
      <c r="K163" s="556"/>
      <c r="L163" s="556"/>
      <c r="M163" s="556"/>
      <c r="N163" s="556"/>
      <c r="O163" s="556"/>
      <c r="P163" s="556"/>
      <c r="Q163" s="556"/>
      <c r="R163" s="556"/>
      <c r="S163" s="556"/>
      <c r="T163" s="556"/>
      <c r="U163" s="556"/>
      <c r="V163" s="608" t="s">
        <v>118</v>
      </c>
      <c r="W163" s="558"/>
      <c r="X163" s="543"/>
    </row>
    <row r="164" spans="1:256" s="544" customFormat="1" x14ac:dyDescent="0.3">
      <c r="A164" s="555"/>
      <c r="B164" s="556" t="s">
        <v>49</v>
      </c>
      <c r="C164" s="556"/>
      <c r="D164" s="556"/>
      <c r="E164" s="556"/>
      <c r="F164" s="556"/>
      <c r="G164" s="556"/>
      <c r="H164" s="556"/>
      <c r="I164" s="556"/>
      <c r="J164" s="556"/>
      <c r="K164" s="556"/>
      <c r="L164" s="556"/>
      <c r="M164" s="556"/>
      <c r="N164" s="556"/>
      <c r="O164" s="556"/>
      <c r="P164" s="556"/>
      <c r="Q164" s="556"/>
      <c r="R164" s="556"/>
      <c r="S164" s="556"/>
      <c r="T164" s="556"/>
      <c r="U164" s="556"/>
      <c r="V164" s="608" t="s">
        <v>118</v>
      </c>
      <c r="W164" s="558"/>
      <c r="X164" s="543"/>
    </row>
    <row r="165" spans="1:256" s="544" customFormat="1" x14ac:dyDescent="0.3">
      <c r="A165" s="555"/>
      <c r="B165" s="556" t="s">
        <v>50</v>
      </c>
      <c r="C165" s="556"/>
      <c r="D165" s="556"/>
      <c r="E165" s="556"/>
      <c r="F165" s="556"/>
      <c r="G165" s="556"/>
      <c r="H165" s="556"/>
      <c r="I165" s="556"/>
      <c r="J165" s="556"/>
      <c r="K165" s="556"/>
      <c r="L165" s="556"/>
      <c r="M165" s="556"/>
      <c r="N165" s="556"/>
      <c r="O165" s="556"/>
      <c r="P165" s="556"/>
      <c r="Q165" s="556"/>
      <c r="R165" s="556"/>
      <c r="S165" s="556"/>
      <c r="T165" s="556"/>
      <c r="U165" s="556"/>
      <c r="V165" s="608" t="s">
        <v>118</v>
      </c>
      <c r="W165" s="558"/>
      <c r="X165" s="543"/>
    </row>
    <row r="166" spans="1:256" x14ac:dyDescent="0.3">
      <c r="A166" s="417"/>
      <c r="B166" s="441"/>
      <c r="C166" s="441"/>
      <c r="D166" s="441"/>
      <c r="E166" s="441"/>
      <c r="F166" s="441"/>
      <c r="G166" s="441"/>
      <c r="H166" s="441"/>
      <c r="I166" s="441"/>
      <c r="J166" s="441"/>
      <c r="K166" s="441"/>
      <c r="L166" s="441"/>
      <c r="M166" s="441"/>
      <c r="N166" s="441"/>
      <c r="O166" s="441"/>
      <c r="P166" s="441"/>
      <c r="Q166" s="441"/>
      <c r="R166" s="441"/>
      <c r="S166" s="441"/>
      <c r="T166" s="441"/>
      <c r="U166" s="441"/>
      <c r="V166" s="452"/>
      <c r="W166" s="441"/>
      <c r="X166" s="415"/>
    </row>
    <row r="167" spans="1:256" x14ac:dyDescent="0.3">
      <c r="A167" s="417"/>
      <c r="B167" s="508" t="s">
        <v>51</v>
      </c>
      <c r="C167" s="419"/>
      <c r="D167" s="419"/>
      <c r="E167" s="419"/>
      <c r="F167" s="419"/>
      <c r="G167" s="419"/>
      <c r="H167" s="419"/>
      <c r="I167" s="419"/>
      <c r="J167" s="419"/>
      <c r="K167" s="419"/>
      <c r="L167" s="419"/>
      <c r="M167" s="419"/>
      <c r="N167" s="419"/>
      <c r="O167" s="419"/>
      <c r="P167" s="419"/>
      <c r="Q167" s="419"/>
      <c r="R167" s="419"/>
      <c r="S167" s="419"/>
      <c r="T167" s="419"/>
      <c r="U167" s="419"/>
      <c r="V167" s="453"/>
      <c r="W167" s="419"/>
      <c r="X167" s="415"/>
    </row>
    <row r="168" spans="1:256" s="544" customFormat="1" x14ac:dyDescent="0.3">
      <c r="A168" s="555"/>
      <c r="B168" s="556" t="s">
        <v>52</v>
      </c>
      <c r="C168" s="556"/>
      <c r="D168" s="556"/>
      <c r="E168" s="556"/>
      <c r="F168" s="556"/>
      <c r="G168" s="556"/>
      <c r="H168" s="556"/>
      <c r="I168" s="556"/>
      <c r="J168" s="556"/>
      <c r="K168" s="556"/>
      <c r="L168" s="556"/>
      <c r="M168" s="556"/>
      <c r="N168" s="556"/>
      <c r="O168" s="556"/>
      <c r="P168" s="556"/>
      <c r="Q168" s="556"/>
      <c r="R168" s="556"/>
      <c r="S168" s="556"/>
      <c r="T168" s="556"/>
      <c r="U168" s="556"/>
      <c r="V168" s="599">
        <v>0</v>
      </c>
      <c r="W168" s="558"/>
      <c r="X168" s="543"/>
    </row>
    <row r="169" spans="1:256" s="544" customFormat="1" x14ac:dyDescent="0.3">
      <c r="A169" s="555"/>
      <c r="B169" s="556" t="s">
        <v>53</v>
      </c>
      <c r="C169" s="556"/>
      <c r="D169" s="556"/>
      <c r="E169" s="556"/>
      <c r="F169" s="556"/>
      <c r="G169" s="556"/>
      <c r="H169" s="556"/>
      <c r="I169" s="556"/>
      <c r="J169" s="556"/>
      <c r="K169" s="556"/>
      <c r="L169" s="556"/>
      <c r="M169" s="556"/>
      <c r="N169" s="556"/>
      <c r="O169" s="556"/>
      <c r="P169" s="556"/>
      <c r="Q169" s="556"/>
      <c r="R169" s="556"/>
      <c r="S169" s="556"/>
      <c r="T169" s="556"/>
      <c r="U169" s="556"/>
      <c r="V169" s="599">
        <v>219</v>
      </c>
      <c r="W169" s="558"/>
      <c r="X169" s="543"/>
    </row>
    <row r="170" spans="1:256" s="544" customFormat="1" x14ac:dyDescent="0.3">
      <c r="A170" s="555"/>
      <c r="B170" s="556" t="s">
        <v>54</v>
      </c>
      <c r="C170" s="556"/>
      <c r="D170" s="556"/>
      <c r="E170" s="556"/>
      <c r="F170" s="556"/>
      <c r="G170" s="556"/>
      <c r="H170" s="556"/>
      <c r="I170" s="556"/>
      <c r="J170" s="556"/>
      <c r="K170" s="556"/>
      <c r="L170" s="556"/>
      <c r="M170" s="556"/>
      <c r="N170" s="556"/>
      <c r="O170" s="556"/>
      <c r="P170" s="556"/>
      <c r="Q170" s="556"/>
      <c r="R170" s="556"/>
      <c r="S170" s="556"/>
      <c r="T170" s="556"/>
      <c r="U170" s="556"/>
      <c r="V170" s="599">
        <f>V169+V168</f>
        <v>219</v>
      </c>
      <c r="W170" s="558"/>
      <c r="X170" s="543"/>
    </row>
    <row r="171" spans="1:256" s="544" customFormat="1" x14ac:dyDescent="0.3">
      <c r="A171" s="555"/>
      <c r="B171" s="556" t="s">
        <v>315</v>
      </c>
      <c r="C171" s="556"/>
      <c r="D171" s="556"/>
      <c r="E171" s="556"/>
      <c r="F171" s="556"/>
      <c r="G171" s="556"/>
      <c r="H171" s="556"/>
      <c r="I171" s="556"/>
      <c r="J171" s="556"/>
      <c r="K171" s="556"/>
      <c r="L171" s="556"/>
      <c r="M171" s="556"/>
      <c r="N171" s="556"/>
      <c r="O171" s="556"/>
      <c r="P171" s="556"/>
      <c r="Q171" s="556"/>
      <c r="R171" s="556"/>
      <c r="S171" s="556"/>
      <c r="T171" s="556"/>
      <c r="U171" s="556"/>
      <c r="V171" s="599">
        <f>V114</f>
        <v>-219</v>
      </c>
      <c r="W171" s="558"/>
      <c r="X171" s="543"/>
    </row>
    <row r="172" spans="1:256" s="544" customFormat="1" x14ac:dyDescent="0.3">
      <c r="A172" s="555"/>
      <c r="B172" s="556" t="s">
        <v>55</v>
      </c>
      <c r="C172" s="556"/>
      <c r="D172" s="556"/>
      <c r="E172" s="556"/>
      <c r="F172" s="556"/>
      <c r="G172" s="556"/>
      <c r="H172" s="556"/>
      <c r="I172" s="556"/>
      <c r="J172" s="556"/>
      <c r="K172" s="556"/>
      <c r="L172" s="556"/>
      <c r="M172" s="556"/>
      <c r="N172" s="556"/>
      <c r="O172" s="556"/>
      <c r="P172" s="556"/>
      <c r="Q172" s="556"/>
      <c r="R172" s="556"/>
      <c r="S172" s="556"/>
      <c r="T172" s="556"/>
      <c r="U172" s="556"/>
      <c r="V172" s="599">
        <f>V170+V171</f>
        <v>0</v>
      </c>
      <c r="W172" s="558"/>
      <c r="X172" s="543"/>
    </row>
    <row r="173" spans="1:256" s="544" customFormat="1" x14ac:dyDescent="0.3">
      <c r="A173" s="555"/>
      <c r="B173" s="556" t="s">
        <v>283</v>
      </c>
      <c r="C173" s="556"/>
      <c r="D173" s="556"/>
      <c r="E173" s="556"/>
      <c r="F173" s="556"/>
      <c r="G173" s="556"/>
      <c r="H173" s="556"/>
      <c r="I173" s="556"/>
      <c r="J173" s="556"/>
      <c r="K173" s="556"/>
      <c r="L173" s="556"/>
      <c r="M173" s="556"/>
      <c r="N173" s="556"/>
      <c r="O173" s="556"/>
      <c r="P173" s="556"/>
      <c r="Q173" s="556"/>
      <c r="R173" s="556"/>
      <c r="S173" s="556"/>
      <c r="T173" s="556"/>
      <c r="U173" s="556"/>
      <c r="V173" s="599">
        <v>0</v>
      </c>
      <c r="W173" s="558"/>
      <c r="X173" s="543"/>
    </row>
    <row r="174" spans="1:256" ht="16.2" thickBot="1" x14ac:dyDescent="0.35">
      <c r="A174" s="417"/>
      <c r="B174" s="437"/>
      <c r="C174" s="437"/>
      <c r="D174" s="437"/>
      <c r="E174" s="437"/>
      <c r="F174" s="437"/>
      <c r="G174" s="437"/>
      <c r="H174" s="437"/>
      <c r="I174" s="437"/>
      <c r="J174" s="437"/>
      <c r="K174" s="437"/>
      <c r="L174" s="437"/>
      <c r="M174" s="437"/>
      <c r="N174" s="437"/>
      <c r="O174" s="437"/>
      <c r="P174" s="437"/>
      <c r="Q174" s="437"/>
      <c r="R174" s="437"/>
      <c r="S174" s="437"/>
      <c r="T174" s="437"/>
      <c r="U174" s="437"/>
      <c r="V174" s="454"/>
      <c r="W174" s="437"/>
      <c r="X174" s="415"/>
    </row>
    <row r="175" spans="1:256" x14ac:dyDescent="0.3">
      <c r="A175" s="413"/>
      <c r="B175" s="455"/>
      <c r="C175" s="455"/>
      <c r="D175" s="455"/>
      <c r="E175" s="455"/>
      <c r="F175" s="455"/>
      <c r="G175" s="455"/>
      <c r="H175" s="455"/>
      <c r="I175" s="455"/>
      <c r="J175" s="455"/>
      <c r="K175" s="455"/>
      <c r="L175" s="455"/>
      <c r="M175" s="455"/>
      <c r="N175" s="455"/>
      <c r="O175" s="455"/>
      <c r="P175" s="455"/>
      <c r="Q175" s="455"/>
      <c r="R175" s="455"/>
      <c r="S175" s="455"/>
      <c r="T175" s="455"/>
      <c r="U175" s="455"/>
      <c r="V175" s="456"/>
      <c r="W175" s="455"/>
      <c r="X175" s="415"/>
    </row>
    <row r="176" spans="1:256" s="458" customFormat="1" x14ac:dyDescent="0.3">
      <c r="A176" s="417"/>
      <c r="B176" s="508" t="s">
        <v>269</v>
      </c>
      <c r="C176" s="441"/>
      <c r="D176" s="441"/>
      <c r="E176" s="441"/>
      <c r="F176" s="441"/>
      <c r="G176" s="441"/>
      <c r="H176" s="441"/>
      <c r="I176" s="441"/>
      <c r="J176" s="441"/>
      <c r="K176" s="441"/>
      <c r="L176" s="441"/>
      <c r="M176" s="441"/>
      <c r="N176" s="441"/>
      <c r="O176" s="441"/>
      <c r="P176" s="441"/>
      <c r="Q176" s="441"/>
      <c r="R176" s="441"/>
      <c r="S176" s="441"/>
      <c r="T176" s="441"/>
      <c r="U176" s="441"/>
      <c r="V176" s="457"/>
      <c r="W176" s="441"/>
      <c r="X176" s="415"/>
      <c r="Y176" s="416"/>
      <c r="Z176" s="416"/>
      <c r="AA176" s="416"/>
      <c r="AB176" s="416"/>
      <c r="AC176" s="416"/>
      <c r="AD176" s="416"/>
      <c r="AE176" s="416"/>
      <c r="AF176" s="416"/>
      <c r="AG176" s="416"/>
      <c r="AH176" s="416"/>
      <c r="AI176" s="416"/>
      <c r="AJ176" s="416"/>
      <c r="AK176" s="416"/>
      <c r="AL176" s="416"/>
      <c r="AM176" s="416"/>
      <c r="AN176" s="416"/>
      <c r="AO176" s="416"/>
      <c r="AP176" s="416"/>
      <c r="AQ176" s="416"/>
      <c r="AR176" s="416"/>
      <c r="AS176" s="416"/>
      <c r="AT176" s="416"/>
      <c r="AU176" s="416"/>
      <c r="AV176" s="416"/>
      <c r="AW176" s="416"/>
      <c r="AX176" s="416"/>
      <c r="AY176" s="416"/>
      <c r="AZ176" s="416"/>
      <c r="BA176" s="416"/>
      <c r="BB176" s="416"/>
      <c r="BC176" s="416"/>
      <c r="BD176" s="416"/>
      <c r="BE176" s="416"/>
      <c r="BF176" s="416"/>
      <c r="BG176" s="416"/>
      <c r="BH176" s="416"/>
      <c r="BI176" s="416"/>
      <c r="BJ176" s="416"/>
      <c r="BK176" s="416"/>
      <c r="BL176" s="416"/>
      <c r="BM176" s="416"/>
      <c r="BN176" s="416"/>
      <c r="BO176" s="416"/>
      <c r="BP176" s="416"/>
      <c r="BQ176" s="416"/>
      <c r="BR176" s="416"/>
      <c r="BS176" s="416"/>
      <c r="BT176" s="416"/>
      <c r="BU176" s="416"/>
      <c r="BV176" s="416"/>
      <c r="BW176" s="416"/>
      <c r="BX176" s="416"/>
      <c r="BY176" s="416"/>
      <c r="BZ176" s="416"/>
      <c r="CA176" s="416"/>
      <c r="CB176" s="416"/>
      <c r="CC176" s="416"/>
      <c r="CD176" s="416"/>
      <c r="CE176" s="416"/>
      <c r="CF176" s="416"/>
      <c r="CG176" s="416"/>
      <c r="CH176" s="416"/>
      <c r="CI176" s="416"/>
      <c r="CJ176" s="416"/>
      <c r="CK176" s="416"/>
      <c r="CL176" s="416"/>
      <c r="CM176" s="416"/>
      <c r="CN176" s="416"/>
      <c r="CO176" s="416"/>
      <c r="CP176" s="416"/>
      <c r="CQ176" s="416"/>
      <c r="CR176" s="416"/>
      <c r="CS176" s="416"/>
      <c r="CT176" s="416"/>
      <c r="CU176" s="416"/>
      <c r="CV176" s="416"/>
      <c r="CW176" s="416"/>
      <c r="CX176" s="416"/>
      <c r="CY176" s="416"/>
      <c r="CZ176" s="416"/>
      <c r="DA176" s="416"/>
      <c r="DB176" s="416"/>
      <c r="DC176" s="416"/>
      <c r="DD176" s="416"/>
      <c r="DE176" s="416"/>
      <c r="DF176" s="416"/>
      <c r="DG176" s="416"/>
      <c r="DH176" s="416"/>
      <c r="DI176" s="416"/>
      <c r="DJ176" s="416"/>
      <c r="DK176" s="416"/>
      <c r="DL176" s="416"/>
      <c r="DM176" s="416"/>
      <c r="DN176" s="416"/>
      <c r="DO176" s="416"/>
      <c r="DP176" s="416"/>
      <c r="DQ176" s="416"/>
      <c r="DR176" s="416"/>
      <c r="DS176" s="416"/>
      <c r="DT176" s="416"/>
      <c r="DU176" s="416"/>
      <c r="DV176" s="416"/>
      <c r="DW176" s="416"/>
      <c r="DX176" s="416"/>
      <c r="DY176" s="416"/>
      <c r="DZ176" s="416"/>
      <c r="EA176" s="416"/>
      <c r="EB176" s="416"/>
      <c r="EC176" s="416"/>
      <c r="ED176" s="416"/>
      <c r="EE176" s="416"/>
      <c r="EF176" s="416"/>
      <c r="EG176" s="416"/>
      <c r="EH176" s="416"/>
      <c r="EI176" s="416"/>
      <c r="EJ176" s="416"/>
      <c r="EK176" s="416"/>
      <c r="EL176" s="416"/>
      <c r="EM176" s="416"/>
      <c r="EN176" s="416"/>
      <c r="EO176" s="416"/>
      <c r="EP176" s="416"/>
      <c r="EQ176" s="416"/>
      <c r="ER176" s="416"/>
      <c r="ES176" s="416"/>
      <c r="ET176" s="416"/>
      <c r="EU176" s="416"/>
      <c r="EV176" s="416"/>
      <c r="EW176" s="416"/>
      <c r="EX176" s="416"/>
      <c r="EY176" s="416"/>
      <c r="EZ176" s="416"/>
      <c r="FA176" s="416"/>
      <c r="FB176" s="416"/>
      <c r="FC176" s="416"/>
      <c r="FD176" s="416"/>
      <c r="FE176" s="416"/>
      <c r="FF176" s="416"/>
      <c r="FG176" s="416"/>
      <c r="FH176" s="416"/>
      <c r="FI176" s="416"/>
      <c r="FJ176" s="416"/>
      <c r="FK176" s="416"/>
      <c r="FL176" s="416"/>
      <c r="FM176" s="416"/>
      <c r="FN176" s="416"/>
      <c r="FO176" s="416"/>
      <c r="FP176" s="416"/>
      <c r="FQ176" s="416"/>
      <c r="FR176" s="416"/>
      <c r="FS176" s="416"/>
      <c r="FT176" s="416"/>
      <c r="FU176" s="416"/>
      <c r="FV176" s="416"/>
      <c r="FW176" s="416"/>
      <c r="FX176" s="416"/>
      <c r="FY176" s="416"/>
      <c r="FZ176" s="416"/>
      <c r="GA176" s="416"/>
      <c r="GB176" s="416"/>
      <c r="GC176" s="416"/>
      <c r="GD176" s="416"/>
      <c r="GE176" s="416"/>
      <c r="GF176" s="416"/>
      <c r="GG176" s="416"/>
      <c r="GH176" s="416"/>
      <c r="GI176" s="416"/>
      <c r="GJ176" s="416"/>
      <c r="GK176" s="416"/>
      <c r="GL176" s="416"/>
      <c r="GM176" s="416"/>
      <c r="GN176" s="416"/>
      <c r="GO176" s="416"/>
      <c r="GP176" s="416"/>
      <c r="GQ176" s="416"/>
      <c r="GR176" s="416"/>
      <c r="GS176" s="416"/>
      <c r="GT176" s="416"/>
      <c r="GU176" s="416"/>
      <c r="GV176" s="416"/>
      <c r="GW176" s="416"/>
      <c r="GX176" s="416"/>
      <c r="GY176" s="416"/>
      <c r="GZ176" s="416"/>
      <c r="HA176" s="416"/>
      <c r="HB176" s="416"/>
      <c r="HC176" s="416"/>
      <c r="HD176" s="416"/>
      <c r="HE176" s="416"/>
      <c r="HF176" s="416"/>
      <c r="HG176" s="416"/>
      <c r="HH176" s="416"/>
      <c r="HI176" s="416"/>
      <c r="HJ176" s="416"/>
      <c r="HK176" s="416"/>
      <c r="HL176" s="416"/>
      <c r="HM176" s="416"/>
      <c r="HN176" s="416"/>
      <c r="HO176" s="416"/>
      <c r="HP176" s="416"/>
      <c r="HQ176" s="416"/>
      <c r="HR176" s="416"/>
      <c r="HS176" s="416"/>
      <c r="HT176" s="416"/>
      <c r="HU176" s="416"/>
      <c r="HV176" s="416"/>
      <c r="HW176" s="416"/>
      <c r="HX176" s="416"/>
      <c r="HY176" s="416"/>
      <c r="HZ176" s="416"/>
      <c r="IA176" s="416"/>
      <c r="IB176" s="416"/>
      <c r="IC176" s="416"/>
      <c r="ID176" s="416"/>
      <c r="IE176" s="416"/>
      <c r="IF176" s="416"/>
      <c r="IG176" s="416"/>
      <c r="IH176" s="416"/>
      <c r="II176" s="416"/>
      <c r="IJ176" s="416"/>
      <c r="IK176" s="416"/>
      <c r="IL176" s="416"/>
      <c r="IM176" s="416"/>
      <c r="IN176" s="416"/>
      <c r="IO176" s="416"/>
      <c r="IP176" s="416"/>
      <c r="IQ176" s="416"/>
      <c r="IR176" s="416"/>
      <c r="IS176" s="416"/>
      <c r="IT176" s="416"/>
      <c r="IU176" s="416"/>
      <c r="IV176" s="416"/>
    </row>
    <row r="177" spans="1:256" s="609" customFormat="1" x14ac:dyDescent="0.3">
      <c r="A177" s="555"/>
      <c r="B177" s="556" t="s">
        <v>270</v>
      </c>
      <c r="C177" s="556"/>
      <c r="D177" s="556"/>
      <c r="E177" s="556"/>
      <c r="F177" s="556"/>
      <c r="G177" s="556"/>
      <c r="H177" s="556"/>
      <c r="I177" s="556"/>
      <c r="J177" s="556"/>
      <c r="K177" s="556"/>
      <c r="L177" s="556"/>
      <c r="M177" s="556"/>
      <c r="N177" s="556"/>
      <c r="O177" s="556"/>
      <c r="P177" s="556"/>
      <c r="Q177" s="556"/>
      <c r="R177" s="556"/>
      <c r="S177" s="556"/>
      <c r="T177" s="556"/>
      <c r="U177" s="556"/>
      <c r="V177" s="599">
        <f>+'Aug 08'!V177</f>
        <v>0</v>
      </c>
      <c r="W177" s="558"/>
      <c r="X177" s="543"/>
      <c r="Y177" s="544"/>
      <c r="Z177" s="544"/>
      <c r="AA177" s="544"/>
      <c r="AB177" s="544"/>
      <c r="AC177" s="544"/>
      <c r="AD177" s="544"/>
      <c r="AE177" s="544"/>
      <c r="AF177" s="544"/>
      <c r="AG177" s="544"/>
      <c r="AH177" s="544"/>
      <c r="AI177" s="544"/>
      <c r="AJ177" s="544"/>
      <c r="AK177" s="544"/>
      <c r="AL177" s="544"/>
      <c r="AM177" s="544"/>
      <c r="AN177" s="544"/>
      <c r="AO177" s="544"/>
      <c r="AP177" s="544"/>
      <c r="AQ177" s="544"/>
      <c r="AR177" s="544"/>
      <c r="AS177" s="544"/>
      <c r="AT177" s="544"/>
      <c r="AU177" s="544"/>
      <c r="AV177" s="544"/>
      <c r="AW177" s="544"/>
      <c r="AX177" s="544"/>
      <c r="AY177" s="544"/>
      <c r="AZ177" s="544"/>
      <c r="BA177" s="544"/>
      <c r="BB177" s="544"/>
      <c r="BC177" s="544"/>
      <c r="BD177" s="544"/>
      <c r="BE177" s="544"/>
      <c r="BF177" s="544"/>
      <c r="BG177" s="544"/>
      <c r="BH177" s="544"/>
      <c r="BI177" s="544"/>
      <c r="BJ177" s="544"/>
      <c r="BK177" s="544"/>
      <c r="BL177" s="544"/>
      <c r="BM177" s="544"/>
      <c r="BN177" s="544"/>
      <c r="BO177" s="544"/>
      <c r="BP177" s="544"/>
      <c r="BQ177" s="544"/>
      <c r="BR177" s="544"/>
      <c r="BS177" s="544"/>
      <c r="BT177" s="544"/>
      <c r="BU177" s="544"/>
      <c r="BV177" s="544"/>
      <c r="BW177" s="544"/>
      <c r="BX177" s="544"/>
      <c r="BY177" s="544"/>
      <c r="BZ177" s="544"/>
      <c r="CA177" s="544"/>
      <c r="CB177" s="544"/>
      <c r="CC177" s="544"/>
      <c r="CD177" s="544"/>
      <c r="CE177" s="544"/>
      <c r="CF177" s="544"/>
      <c r="CG177" s="544"/>
      <c r="CH177" s="544"/>
      <c r="CI177" s="544"/>
      <c r="CJ177" s="544"/>
      <c r="CK177" s="544"/>
      <c r="CL177" s="544"/>
      <c r="CM177" s="544"/>
      <c r="CN177" s="544"/>
      <c r="CO177" s="544"/>
      <c r="CP177" s="544"/>
      <c r="CQ177" s="544"/>
      <c r="CR177" s="544"/>
      <c r="CS177" s="544"/>
      <c r="CT177" s="544"/>
      <c r="CU177" s="544"/>
      <c r="CV177" s="544"/>
      <c r="CW177" s="544"/>
      <c r="CX177" s="544"/>
      <c r="CY177" s="544"/>
      <c r="CZ177" s="544"/>
      <c r="DA177" s="544"/>
      <c r="DB177" s="544"/>
      <c r="DC177" s="544"/>
      <c r="DD177" s="544"/>
      <c r="DE177" s="544"/>
      <c r="DF177" s="544"/>
      <c r="DG177" s="544"/>
      <c r="DH177" s="544"/>
      <c r="DI177" s="544"/>
      <c r="DJ177" s="544"/>
      <c r="DK177" s="544"/>
      <c r="DL177" s="544"/>
      <c r="DM177" s="544"/>
      <c r="DN177" s="544"/>
      <c r="DO177" s="544"/>
      <c r="DP177" s="544"/>
      <c r="DQ177" s="544"/>
      <c r="DR177" s="544"/>
      <c r="DS177" s="544"/>
      <c r="DT177" s="544"/>
      <c r="DU177" s="544"/>
      <c r="DV177" s="544"/>
      <c r="DW177" s="544"/>
      <c r="DX177" s="544"/>
      <c r="DY177" s="544"/>
      <c r="DZ177" s="544"/>
      <c r="EA177" s="544"/>
      <c r="EB177" s="544"/>
      <c r="EC177" s="544"/>
      <c r="ED177" s="544"/>
      <c r="EE177" s="544"/>
      <c r="EF177" s="544"/>
      <c r="EG177" s="544"/>
      <c r="EH177" s="544"/>
      <c r="EI177" s="544"/>
      <c r="EJ177" s="544"/>
      <c r="EK177" s="544"/>
      <c r="EL177" s="544"/>
      <c r="EM177" s="544"/>
      <c r="EN177" s="544"/>
      <c r="EO177" s="544"/>
      <c r="EP177" s="544"/>
      <c r="EQ177" s="544"/>
      <c r="ER177" s="544"/>
      <c r="ES177" s="544"/>
      <c r="ET177" s="544"/>
      <c r="EU177" s="544"/>
      <c r="EV177" s="544"/>
      <c r="EW177" s="544"/>
      <c r="EX177" s="544"/>
      <c r="EY177" s="544"/>
      <c r="EZ177" s="544"/>
      <c r="FA177" s="544"/>
      <c r="FB177" s="544"/>
      <c r="FC177" s="544"/>
      <c r="FD177" s="544"/>
      <c r="FE177" s="544"/>
      <c r="FF177" s="544"/>
      <c r="FG177" s="544"/>
      <c r="FH177" s="544"/>
      <c r="FI177" s="544"/>
      <c r="FJ177" s="544"/>
      <c r="FK177" s="544"/>
      <c r="FL177" s="544"/>
      <c r="FM177" s="544"/>
      <c r="FN177" s="544"/>
      <c r="FO177" s="544"/>
      <c r="FP177" s="544"/>
      <c r="FQ177" s="544"/>
      <c r="FR177" s="544"/>
      <c r="FS177" s="544"/>
      <c r="FT177" s="544"/>
      <c r="FU177" s="544"/>
      <c r="FV177" s="544"/>
      <c r="FW177" s="544"/>
      <c r="FX177" s="544"/>
      <c r="FY177" s="544"/>
      <c r="FZ177" s="544"/>
      <c r="GA177" s="544"/>
      <c r="GB177" s="544"/>
      <c r="GC177" s="544"/>
      <c r="GD177" s="544"/>
      <c r="GE177" s="544"/>
      <c r="GF177" s="544"/>
      <c r="GG177" s="544"/>
      <c r="GH177" s="544"/>
      <c r="GI177" s="544"/>
      <c r="GJ177" s="544"/>
      <c r="GK177" s="544"/>
      <c r="GL177" s="544"/>
      <c r="GM177" s="544"/>
      <c r="GN177" s="544"/>
      <c r="GO177" s="544"/>
      <c r="GP177" s="544"/>
      <c r="GQ177" s="544"/>
      <c r="GR177" s="544"/>
      <c r="GS177" s="544"/>
      <c r="GT177" s="544"/>
      <c r="GU177" s="544"/>
      <c r="GV177" s="544"/>
      <c r="GW177" s="544"/>
      <c r="GX177" s="544"/>
      <c r="GY177" s="544"/>
      <c r="GZ177" s="544"/>
      <c r="HA177" s="544"/>
      <c r="HB177" s="544"/>
      <c r="HC177" s="544"/>
      <c r="HD177" s="544"/>
      <c r="HE177" s="544"/>
      <c r="HF177" s="544"/>
      <c r="HG177" s="544"/>
      <c r="HH177" s="544"/>
      <c r="HI177" s="544"/>
      <c r="HJ177" s="544"/>
      <c r="HK177" s="544"/>
      <c r="HL177" s="544"/>
      <c r="HM177" s="544"/>
      <c r="HN177" s="544"/>
      <c r="HO177" s="544"/>
      <c r="HP177" s="544"/>
      <c r="HQ177" s="544"/>
      <c r="HR177" s="544"/>
      <c r="HS177" s="544"/>
      <c r="HT177" s="544"/>
      <c r="HU177" s="544"/>
      <c r="HV177" s="544"/>
      <c r="HW177" s="544"/>
      <c r="HX177" s="544"/>
      <c r="HY177" s="544"/>
      <c r="HZ177" s="544"/>
      <c r="IA177" s="544"/>
      <c r="IB177" s="544"/>
      <c r="IC177" s="544"/>
      <c r="ID177" s="544"/>
      <c r="IE177" s="544"/>
      <c r="IF177" s="544"/>
      <c r="IG177" s="544"/>
      <c r="IH177" s="544"/>
      <c r="II177" s="544"/>
      <c r="IJ177" s="544"/>
      <c r="IK177" s="544"/>
      <c r="IL177" s="544"/>
      <c r="IM177" s="544"/>
      <c r="IN177" s="544"/>
      <c r="IO177" s="544"/>
      <c r="IP177" s="544"/>
      <c r="IQ177" s="544"/>
      <c r="IR177" s="544"/>
      <c r="IS177" s="544"/>
      <c r="IT177" s="544"/>
      <c r="IU177" s="544"/>
      <c r="IV177" s="544"/>
    </row>
    <row r="178" spans="1:256" s="609" customFormat="1" x14ac:dyDescent="0.3">
      <c r="A178" s="555"/>
      <c r="B178" s="556" t="s">
        <v>273</v>
      </c>
      <c r="C178" s="556"/>
      <c r="D178" s="556"/>
      <c r="E178" s="556"/>
      <c r="F178" s="556"/>
      <c r="G178" s="556"/>
      <c r="H178" s="556"/>
      <c r="I178" s="556"/>
      <c r="J178" s="556"/>
      <c r="K178" s="556"/>
      <c r="L178" s="556"/>
      <c r="M178" s="556"/>
      <c r="N178" s="556"/>
      <c r="O178" s="556"/>
      <c r="P178" s="556"/>
      <c r="Q178" s="556"/>
      <c r="R178" s="556"/>
      <c r="S178" s="556"/>
      <c r="T178" s="556"/>
      <c r="U178" s="556"/>
      <c r="V178" s="599">
        <f>+V93</f>
        <v>0</v>
      </c>
      <c r="W178" s="558"/>
      <c r="X178" s="543"/>
      <c r="Y178" s="544"/>
      <c r="Z178" s="544"/>
      <c r="AA178" s="544"/>
      <c r="AB178" s="544"/>
      <c r="AC178" s="544"/>
      <c r="AD178" s="544"/>
      <c r="AE178" s="544"/>
      <c r="AF178" s="544"/>
      <c r="AG178" s="544"/>
      <c r="AH178" s="544"/>
      <c r="AI178" s="544"/>
      <c r="AJ178" s="544"/>
      <c r="AK178" s="544"/>
      <c r="AL178" s="544"/>
      <c r="AM178" s="544"/>
      <c r="AN178" s="544"/>
      <c r="AO178" s="544"/>
      <c r="AP178" s="544"/>
      <c r="AQ178" s="544"/>
      <c r="AR178" s="544"/>
      <c r="AS178" s="544"/>
      <c r="AT178" s="544"/>
      <c r="AU178" s="544"/>
      <c r="AV178" s="544"/>
      <c r="AW178" s="544"/>
      <c r="AX178" s="544"/>
      <c r="AY178" s="544"/>
      <c r="AZ178" s="544"/>
      <c r="BA178" s="544"/>
      <c r="BB178" s="544"/>
      <c r="BC178" s="544"/>
      <c r="BD178" s="544"/>
      <c r="BE178" s="544"/>
      <c r="BF178" s="544"/>
      <c r="BG178" s="544"/>
      <c r="BH178" s="544"/>
      <c r="BI178" s="544"/>
      <c r="BJ178" s="544"/>
      <c r="BK178" s="544"/>
      <c r="BL178" s="544"/>
      <c r="BM178" s="544"/>
      <c r="BN178" s="544"/>
      <c r="BO178" s="544"/>
      <c r="BP178" s="544"/>
      <c r="BQ178" s="544"/>
      <c r="BR178" s="544"/>
      <c r="BS178" s="544"/>
      <c r="BT178" s="544"/>
      <c r="BU178" s="544"/>
      <c r="BV178" s="544"/>
      <c r="BW178" s="544"/>
      <c r="BX178" s="544"/>
      <c r="BY178" s="544"/>
      <c r="BZ178" s="544"/>
      <c r="CA178" s="544"/>
      <c r="CB178" s="544"/>
      <c r="CC178" s="544"/>
      <c r="CD178" s="544"/>
      <c r="CE178" s="544"/>
      <c r="CF178" s="544"/>
      <c r="CG178" s="544"/>
      <c r="CH178" s="544"/>
      <c r="CI178" s="544"/>
      <c r="CJ178" s="544"/>
      <c r="CK178" s="544"/>
      <c r="CL178" s="544"/>
      <c r="CM178" s="544"/>
      <c r="CN178" s="544"/>
      <c r="CO178" s="544"/>
      <c r="CP178" s="544"/>
      <c r="CQ178" s="544"/>
      <c r="CR178" s="544"/>
      <c r="CS178" s="544"/>
      <c r="CT178" s="544"/>
      <c r="CU178" s="544"/>
      <c r="CV178" s="544"/>
      <c r="CW178" s="544"/>
      <c r="CX178" s="544"/>
      <c r="CY178" s="544"/>
      <c r="CZ178" s="544"/>
      <c r="DA178" s="544"/>
      <c r="DB178" s="544"/>
      <c r="DC178" s="544"/>
      <c r="DD178" s="544"/>
      <c r="DE178" s="544"/>
      <c r="DF178" s="544"/>
      <c r="DG178" s="544"/>
      <c r="DH178" s="544"/>
      <c r="DI178" s="544"/>
      <c r="DJ178" s="544"/>
      <c r="DK178" s="544"/>
      <c r="DL178" s="544"/>
      <c r="DM178" s="544"/>
      <c r="DN178" s="544"/>
      <c r="DO178" s="544"/>
      <c r="DP178" s="544"/>
      <c r="DQ178" s="544"/>
      <c r="DR178" s="544"/>
      <c r="DS178" s="544"/>
      <c r="DT178" s="544"/>
      <c r="DU178" s="544"/>
      <c r="DV178" s="544"/>
      <c r="DW178" s="544"/>
      <c r="DX178" s="544"/>
      <c r="DY178" s="544"/>
      <c r="DZ178" s="544"/>
      <c r="EA178" s="544"/>
      <c r="EB178" s="544"/>
      <c r="EC178" s="544"/>
      <c r="ED178" s="544"/>
      <c r="EE178" s="544"/>
      <c r="EF178" s="544"/>
      <c r="EG178" s="544"/>
      <c r="EH178" s="544"/>
      <c r="EI178" s="544"/>
      <c r="EJ178" s="544"/>
      <c r="EK178" s="544"/>
      <c r="EL178" s="544"/>
      <c r="EM178" s="544"/>
      <c r="EN178" s="544"/>
      <c r="EO178" s="544"/>
      <c r="EP178" s="544"/>
      <c r="EQ178" s="544"/>
      <c r="ER178" s="544"/>
      <c r="ES178" s="544"/>
      <c r="ET178" s="544"/>
      <c r="EU178" s="544"/>
      <c r="EV178" s="544"/>
      <c r="EW178" s="544"/>
      <c r="EX178" s="544"/>
      <c r="EY178" s="544"/>
      <c r="EZ178" s="544"/>
      <c r="FA178" s="544"/>
      <c r="FB178" s="544"/>
      <c r="FC178" s="544"/>
      <c r="FD178" s="544"/>
      <c r="FE178" s="544"/>
      <c r="FF178" s="544"/>
      <c r="FG178" s="544"/>
      <c r="FH178" s="544"/>
      <c r="FI178" s="544"/>
      <c r="FJ178" s="544"/>
      <c r="FK178" s="544"/>
      <c r="FL178" s="544"/>
      <c r="FM178" s="544"/>
      <c r="FN178" s="544"/>
      <c r="FO178" s="544"/>
      <c r="FP178" s="544"/>
      <c r="FQ178" s="544"/>
      <c r="FR178" s="544"/>
      <c r="FS178" s="544"/>
      <c r="FT178" s="544"/>
      <c r="FU178" s="544"/>
      <c r="FV178" s="544"/>
      <c r="FW178" s="544"/>
      <c r="FX178" s="544"/>
      <c r="FY178" s="544"/>
      <c r="FZ178" s="544"/>
      <c r="GA178" s="544"/>
      <c r="GB178" s="544"/>
      <c r="GC178" s="544"/>
      <c r="GD178" s="544"/>
      <c r="GE178" s="544"/>
      <c r="GF178" s="544"/>
      <c r="GG178" s="544"/>
      <c r="GH178" s="544"/>
      <c r="GI178" s="544"/>
      <c r="GJ178" s="544"/>
      <c r="GK178" s="544"/>
      <c r="GL178" s="544"/>
      <c r="GM178" s="544"/>
      <c r="GN178" s="544"/>
      <c r="GO178" s="544"/>
      <c r="GP178" s="544"/>
      <c r="GQ178" s="544"/>
      <c r="GR178" s="544"/>
      <c r="GS178" s="544"/>
      <c r="GT178" s="544"/>
      <c r="GU178" s="544"/>
      <c r="GV178" s="544"/>
      <c r="GW178" s="544"/>
      <c r="GX178" s="544"/>
      <c r="GY178" s="544"/>
      <c r="GZ178" s="544"/>
      <c r="HA178" s="544"/>
      <c r="HB178" s="544"/>
      <c r="HC178" s="544"/>
      <c r="HD178" s="544"/>
      <c r="HE178" s="544"/>
      <c r="HF178" s="544"/>
      <c r="HG178" s="544"/>
      <c r="HH178" s="544"/>
      <c r="HI178" s="544"/>
      <c r="HJ178" s="544"/>
      <c r="HK178" s="544"/>
      <c r="HL178" s="544"/>
      <c r="HM178" s="544"/>
      <c r="HN178" s="544"/>
      <c r="HO178" s="544"/>
      <c r="HP178" s="544"/>
      <c r="HQ178" s="544"/>
      <c r="HR178" s="544"/>
      <c r="HS178" s="544"/>
      <c r="HT178" s="544"/>
      <c r="HU178" s="544"/>
      <c r="HV178" s="544"/>
      <c r="HW178" s="544"/>
      <c r="HX178" s="544"/>
      <c r="HY178" s="544"/>
      <c r="HZ178" s="544"/>
      <c r="IA178" s="544"/>
      <c r="IB178" s="544"/>
      <c r="IC178" s="544"/>
      <c r="ID178" s="544"/>
      <c r="IE178" s="544"/>
      <c r="IF178" s="544"/>
      <c r="IG178" s="544"/>
      <c r="IH178" s="544"/>
      <c r="II178" s="544"/>
      <c r="IJ178" s="544"/>
      <c r="IK178" s="544"/>
      <c r="IL178" s="544"/>
      <c r="IM178" s="544"/>
      <c r="IN178" s="544"/>
      <c r="IO178" s="544"/>
      <c r="IP178" s="544"/>
      <c r="IQ178" s="544"/>
      <c r="IR178" s="544"/>
      <c r="IS178" s="544"/>
      <c r="IT178" s="544"/>
      <c r="IU178" s="544"/>
      <c r="IV178" s="544"/>
    </row>
    <row r="179" spans="1:256" s="609" customFormat="1" x14ac:dyDescent="0.3">
      <c r="A179" s="555"/>
      <c r="B179" s="556" t="s">
        <v>271</v>
      </c>
      <c r="C179" s="556"/>
      <c r="D179" s="556"/>
      <c r="E179" s="556"/>
      <c r="F179" s="556"/>
      <c r="G179" s="556"/>
      <c r="H179" s="556"/>
      <c r="I179" s="556"/>
      <c r="J179" s="556"/>
      <c r="K179" s="556"/>
      <c r="L179" s="556"/>
      <c r="M179" s="556"/>
      <c r="N179" s="556"/>
      <c r="O179" s="556"/>
      <c r="P179" s="556"/>
      <c r="Q179" s="556"/>
      <c r="R179" s="556"/>
      <c r="S179" s="556"/>
      <c r="T179" s="556"/>
      <c r="U179" s="556"/>
      <c r="V179" s="599">
        <f>+V177-V178</f>
        <v>0</v>
      </c>
      <c r="W179" s="558"/>
      <c r="X179" s="543"/>
      <c r="Y179" s="544"/>
      <c r="Z179" s="544"/>
      <c r="AA179" s="544"/>
      <c r="AB179" s="544"/>
      <c r="AC179" s="544"/>
      <c r="AD179" s="544"/>
      <c r="AE179" s="544"/>
      <c r="AF179" s="544"/>
      <c r="AG179" s="544"/>
      <c r="AH179" s="544"/>
      <c r="AI179" s="544"/>
      <c r="AJ179" s="544"/>
      <c r="AK179" s="544"/>
      <c r="AL179" s="544"/>
      <c r="AM179" s="544"/>
      <c r="AN179" s="544"/>
      <c r="AO179" s="544"/>
      <c r="AP179" s="544"/>
      <c r="AQ179" s="544"/>
      <c r="AR179" s="544"/>
      <c r="AS179" s="544"/>
      <c r="AT179" s="544"/>
      <c r="AU179" s="544"/>
      <c r="AV179" s="544"/>
      <c r="AW179" s="544"/>
      <c r="AX179" s="544"/>
      <c r="AY179" s="544"/>
      <c r="AZ179" s="544"/>
      <c r="BA179" s="544"/>
      <c r="BB179" s="544"/>
      <c r="BC179" s="544"/>
      <c r="BD179" s="544"/>
      <c r="BE179" s="544"/>
      <c r="BF179" s="544"/>
      <c r="BG179" s="544"/>
      <c r="BH179" s="544"/>
      <c r="BI179" s="544"/>
      <c r="BJ179" s="544"/>
      <c r="BK179" s="544"/>
      <c r="BL179" s="544"/>
      <c r="BM179" s="544"/>
      <c r="BN179" s="544"/>
      <c r="BO179" s="544"/>
      <c r="BP179" s="544"/>
      <c r="BQ179" s="544"/>
      <c r="BR179" s="544"/>
      <c r="BS179" s="544"/>
      <c r="BT179" s="544"/>
      <c r="BU179" s="544"/>
      <c r="BV179" s="544"/>
      <c r="BW179" s="544"/>
      <c r="BX179" s="544"/>
      <c r="BY179" s="544"/>
      <c r="BZ179" s="544"/>
      <c r="CA179" s="544"/>
      <c r="CB179" s="544"/>
      <c r="CC179" s="544"/>
      <c r="CD179" s="544"/>
      <c r="CE179" s="544"/>
      <c r="CF179" s="544"/>
      <c r="CG179" s="544"/>
      <c r="CH179" s="544"/>
      <c r="CI179" s="544"/>
      <c r="CJ179" s="544"/>
      <c r="CK179" s="544"/>
      <c r="CL179" s="544"/>
      <c r="CM179" s="544"/>
      <c r="CN179" s="544"/>
      <c r="CO179" s="544"/>
      <c r="CP179" s="544"/>
      <c r="CQ179" s="544"/>
      <c r="CR179" s="544"/>
      <c r="CS179" s="544"/>
      <c r="CT179" s="544"/>
      <c r="CU179" s="544"/>
      <c r="CV179" s="544"/>
      <c r="CW179" s="544"/>
      <c r="CX179" s="544"/>
      <c r="CY179" s="544"/>
      <c r="CZ179" s="544"/>
      <c r="DA179" s="544"/>
      <c r="DB179" s="544"/>
      <c r="DC179" s="544"/>
      <c r="DD179" s="544"/>
      <c r="DE179" s="544"/>
      <c r="DF179" s="544"/>
      <c r="DG179" s="544"/>
      <c r="DH179" s="544"/>
      <c r="DI179" s="544"/>
      <c r="DJ179" s="544"/>
      <c r="DK179" s="544"/>
      <c r="DL179" s="544"/>
      <c r="DM179" s="544"/>
      <c r="DN179" s="544"/>
      <c r="DO179" s="544"/>
      <c r="DP179" s="544"/>
      <c r="DQ179" s="544"/>
      <c r="DR179" s="544"/>
      <c r="DS179" s="544"/>
      <c r="DT179" s="544"/>
      <c r="DU179" s="544"/>
      <c r="DV179" s="544"/>
      <c r="DW179" s="544"/>
      <c r="DX179" s="544"/>
      <c r="DY179" s="544"/>
      <c r="DZ179" s="544"/>
      <c r="EA179" s="544"/>
      <c r="EB179" s="544"/>
      <c r="EC179" s="544"/>
      <c r="ED179" s="544"/>
      <c r="EE179" s="544"/>
      <c r="EF179" s="544"/>
      <c r="EG179" s="544"/>
      <c r="EH179" s="544"/>
      <c r="EI179" s="544"/>
      <c r="EJ179" s="544"/>
      <c r="EK179" s="544"/>
      <c r="EL179" s="544"/>
      <c r="EM179" s="544"/>
      <c r="EN179" s="544"/>
      <c r="EO179" s="544"/>
      <c r="EP179" s="544"/>
      <c r="EQ179" s="544"/>
      <c r="ER179" s="544"/>
      <c r="ES179" s="544"/>
      <c r="ET179" s="544"/>
      <c r="EU179" s="544"/>
      <c r="EV179" s="544"/>
      <c r="EW179" s="544"/>
      <c r="EX179" s="544"/>
      <c r="EY179" s="544"/>
      <c r="EZ179" s="544"/>
      <c r="FA179" s="544"/>
      <c r="FB179" s="544"/>
      <c r="FC179" s="544"/>
      <c r="FD179" s="544"/>
      <c r="FE179" s="544"/>
      <c r="FF179" s="544"/>
      <c r="FG179" s="544"/>
      <c r="FH179" s="544"/>
      <c r="FI179" s="544"/>
      <c r="FJ179" s="544"/>
      <c r="FK179" s="544"/>
      <c r="FL179" s="544"/>
      <c r="FM179" s="544"/>
      <c r="FN179" s="544"/>
      <c r="FO179" s="544"/>
      <c r="FP179" s="544"/>
      <c r="FQ179" s="544"/>
      <c r="FR179" s="544"/>
      <c r="FS179" s="544"/>
      <c r="FT179" s="544"/>
      <c r="FU179" s="544"/>
      <c r="FV179" s="544"/>
      <c r="FW179" s="544"/>
      <c r="FX179" s="544"/>
      <c r="FY179" s="544"/>
      <c r="FZ179" s="544"/>
      <c r="GA179" s="544"/>
      <c r="GB179" s="544"/>
      <c r="GC179" s="544"/>
      <c r="GD179" s="544"/>
      <c r="GE179" s="544"/>
      <c r="GF179" s="544"/>
      <c r="GG179" s="544"/>
      <c r="GH179" s="544"/>
      <c r="GI179" s="544"/>
      <c r="GJ179" s="544"/>
      <c r="GK179" s="544"/>
      <c r="GL179" s="544"/>
      <c r="GM179" s="544"/>
      <c r="GN179" s="544"/>
      <c r="GO179" s="544"/>
      <c r="GP179" s="544"/>
      <c r="GQ179" s="544"/>
      <c r="GR179" s="544"/>
      <c r="GS179" s="544"/>
      <c r="GT179" s="544"/>
      <c r="GU179" s="544"/>
      <c r="GV179" s="544"/>
      <c r="GW179" s="544"/>
      <c r="GX179" s="544"/>
      <c r="GY179" s="544"/>
      <c r="GZ179" s="544"/>
      <c r="HA179" s="544"/>
      <c r="HB179" s="544"/>
      <c r="HC179" s="544"/>
      <c r="HD179" s="544"/>
      <c r="HE179" s="544"/>
      <c r="HF179" s="544"/>
      <c r="HG179" s="544"/>
      <c r="HH179" s="544"/>
      <c r="HI179" s="544"/>
      <c r="HJ179" s="544"/>
      <c r="HK179" s="544"/>
      <c r="HL179" s="544"/>
      <c r="HM179" s="544"/>
      <c r="HN179" s="544"/>
      <c r="HO179" s="544"/>
      <c r="HP179" s="544"/>
      <c r="HQ179" s="544"/>
      <c r="HR179" s="544"/>
      <c r="HS179" s="544"/>
      <c r="HT179" s="544"/>
      <c r="HU179" s="544"/>
      <c r="HV179" s="544"/>
      <c r="HW179" s="544"/>
      <c r="HX179" s="544"/>
      <c r="HY179" s="544"/>
      <c r="HZ179" s="544"/>
      <c r="IA179" s="544"/>
      <c r="IB179" s="544"/>
      <c r="IC179" s="544"/>
      <c r="ID179" s="544"/>
      <c r="IE179" s="544"/>
      <c r="IF179" s="544"/>
      <c r="IG179" s="544"/>
      <c r="IH179" s="544"/>
      <c r="II179" s="544"/>
      <c r="IJ179" s="544"/>
      <c r="IK179" s="544"/>
      <c r="IL179" s="544"/>
      <c r="IM179" s="544"/>
      <c r="IN179" s="544"/>
      <c r="IO179" s="544"/>
      <c r="IP179" s="544"/>
      <c r="IQ179" s="544"/>
      <c r="IR179" s="544"/>
      <c r="IS179" s="544"/>
      <c r="IT179" s="544"/>
      <c r="IU179" s="544"/>
      <c r="IV179" s="544"/>
    </row>
    <row r="180" spans="1:256" s="459" customFormat="1" ht="16.2" thickBot="1" x14ac:dyDescent="0.35">
      <c r="A180" s="438"/>
      <c r="B180" s="441"/>
      <c r="C180" s="441"/>
      <c r="D180" s="441"/>
      <c r="E180" s="441"/>
      <c r="F180" s="441"/>
      <c r="G180" s="441"/>
      <c r="H180" s="441"/>
      <c r="I180" s="441"/>
      <c r="J180" s="441"/>
      <c r="K180" s="441"/>
      <c r="L180" s="441"/>
      <c r="M180" s="441"/>
      <c r="N180" s="441"/>
      <c r="O180" s="441"/>
      <c r="P180" s="441"/>
      <c r="Q180" s="441"/>
      <c r="R180" s="441"/>
      <c r="S180" s="441"/>
      <c r="T180" s="441"/>
      <c r="U180" s="441"/>
      <c r="V180" s="452"/>
      <c r="W180" s="441"/>
      <c r="X180" s="415"/>
      <c r="Y180" s="416"/>
      <c r="Z180" s="416"/>
      <c r="AA180" s="416"/>
      <c r="AB180" s="416"/>
      <c r="AC180" s="416"/>
      <c r="AD180" s="416"/>
      <c r="AE180" s="416"/>
      <c r="AF180" s="416"/>
      <c r="AG180" s="416"/>
      <c r="AH180" s="416"/>
      <c r="AI180" s="416"/>
      <c r="AJ180" s="416"/>
      <c r="AK180" s="416"/>
      <c r="AL180" s="416"/>
      <c r="AM180" s="416"/>
      <c r="AN180" s="416"/>
      <c r="AO180" s="416"/>
      <c r="AP180" s="416"/>
      <c r="AQ180" s="416"/>
      <c r="AR180" s="416"/>
      <c r="AS180" s="416"/>
      <c r="AT180" s="416"/>
      <c r="AU180" s="416"/>
      <c r="AV180" s="416"/>
      <c r="AW180" s="416"/>
      <c r="AX180" s="416"/>
      <c r="AY180" s="416"/>
      <c r="AZ180" s="416"/>
      <c r="BA180" s="416"/>
      <c r="BB180" s="416"/>
      <c r="BC180" s="416"/>
      <c r="BD180" s="416"/>
      <c r="BE180" s="416"/>
      <c r="BF180" s="416"/>
      <c r="BG180" s="416"/>
      <c r="BH180" s="416"/>
      <c r="BI180" s="416"/>
      <c r="BJ180" s="416"/>
      <c r="BK180" s="416"/>
      <c r="BL180" s="416"/>
      <c r="BM180" s="416"/>
      <c r="BN180" s="416"/>
      <c r="BO180" s="416"/>
      <c r="BP180" s="416"/>
      <c r="BQ180" s="416"/>
      <c r="BR180" s="416"/>
      <c r="BS180" s="416"/>
      <c r="BT180" s="416"/>
      <c r="BU180" s="416"/>
      <c r="BV180" s="416"/>
      <c r="BW180" s="416"/>
      <c r="BX180" s="416"/>
      <c r="BY180" s="416"/>
      <c r="BZ180" s="416"/>
      <c r="CA180" s="416"/>
      <c r="CB180" s="416"/>
      <c r="CC180" s="416"/>
      <c r="CD180" s="416"/>
      <c r="CE180" s="416"/>
      <c r="CF180" s="416"/>
      <c r="CG180" s="416"/>
      <c r="CH180" s="416"/>
      <c r="CI180" s="416"/>
      <c r="CJ180" s="416"/>
      <c r="CK180" s="416"/>
      <c r="CL180" s="416"/>
      <c r="CM180" s="416"/>
      <c r="CN180" s="416"/>
      <c r="CO180" s="416"/>
      <c r="CP180" s="416"/>
      <c r="CQ180" s="416"/>
      <c r="CR180" s="416"/>
      <c r="CS180" s="416"/>
      <c r="CT180" s="416"/>
      <c r="CU180" s="416"/>
      <c r="CV180" s="416"/>
      <c r="CW180" s="416"/>
      <c r="CX180" s="416"/>
      <c r="CY180" s="416"/>
      <c r="CZ180" s="416"/>
      <c r="DA180" s="416"/>
      <c r="DB180" s="416"/>
      <c r="DC180" s="416"/>
      <c r="DD180" s="416"/>
      <c r="DE180" s="416"/>
      <c r="DF180" s="416"/>
      <c r="DG180" s="416"/>
      <c r="DH180" s="416"/>
      <c r="DI180" s="416"/>
      <c r="DJ180" s="416"/>
      <c r="DK180" s="416"/>
      <c r="DL180" s="416"/>
      <c r="DM180" s="416"/>
      <c r="DN180" s="416"/>
      <c r="DO180" s="416"/>
      <c r="DP180" s="416"/>
      <c r="DQ180" s="416"/>
      <c r="DR180" s="416"/>
      <c r="DS180" s="416"/>
      <c r="DT180" s="416"/>
      <c r="DU180" s="416"/>
      <c r="DV180" s="416"/>
      <c r="DW180" s="416"/>
      <c r="DX180" s="416"/>
      <c r="DY180" s="416"/>
      <c r="DZ180" s="416"/>
      <c r="EA180" s="416"/>
      <c r="EB180" s="416"/>
      <c r="EC180" s="416"/>
      <c r="ED180" s="416"/>
      <c r="EE180" s="416"/>
      <c r="EF180" s="416"/>
      <c r="EG180" s="416"/>
      <c r="EH180" s="416"/>
      <c r="EI180" s="416"/>
      <c r="EJ180" s="416"/>
      <c r="EK180" s="416"/>
      <c r="EL180" s="416"/>
      <c r="EM180" s="416"/>
      <c r="EN180" s="416"/>
      <c r="EO180" s="416"/>
      <c r="EP180" s="416"/>
      <c r="EQ180" s="416"/>
      <c r="ER180" s="416"/>
      <c r="ES180" s="416"/>
      <c r="ET180" s="416"/>
      <c r="EU180" s="416"/>
      <c r="EV180" s="416"/>
      <c r="EW180" s="416"/>
      <c r="EX180" s="416"/>
      <c r="EY180" s="416"/>
      <c r="EZ180" s="416"/>
      <c r="FA180" s="416"/>
      <c r="FB180" s="416"/>
      <c r="FC180" s="416"/>
      <c r="FD180" s="416"/>
      <c r="FE180" s="416"/>
      <c r="FF180" s="416"/>
      <c r="FG180" s="416"/>
      <c r="FH180" s="416"/>
      <c r="FI180" s="416"/>
      <c r="FJ180" s="416"/>
      <c r="FK180" s="416"/>
      <c r="FL180" s="416"/>
      <c r="FM180" s="416"/>
      <c r="FN180" s="416"/>
      <c r="FO180" s="416"/>
      <c r="FP180" s="416"/>
      <c r="FQ180" s="416"/>
      <c r="FR180" s="416"/>
      <c r="FS180" s="416"/>
      <c r="FT180" s="416"/>
      <c r="FU180" s="416"/>
      <c r="FV180" s="416"/>
      <c r="FW180" s="416"/>
      <c r="FX180" s="416"/>
      <c r="FY180" s="416"/>
      <c r="FZ180" s="416"/>
      <c r="GA180" s="416"/>
      <c r="GB180" s="416"/>
      <c r="GC180" s="416"/>
      <c r="GD180" s="416"/>
      <c r="GE180" s="416"/>
      <c r="GF180" s="416"/>
      <c r="GG180" s="416"/>
      <c r="GH180" s="416"/>
      <c r="GI180" s="416"/>
      <c r="GJ180" s="416"/>
      <c r="GK180" s="416"/>
      <c r="GL180" s="416"/>
      <c r="GM180" s="416"/>
      <c r="GN180" s="416"/>
      <c r="GO180" s="416"/>
      <c r="GP180" s="416"/>
      <c r="GQ180" s="416"/>
      <c r="GR180" s="416"/>
      <c r="GS180" s="416"/>
      <c r="GT180" s="416"/>
      <c r="GU180" s="416"/>
      <c r="GV180" s="416"/>
      <c r="GW180" s="416"/>
      <c r="GX180" s="416"/>
      <c r="GY180" s="416"/>
      <c r="GZ180" s="416"/>
      <c r="HA180" s="416"/>
      <c r="HB180" s="416"/>
      <c r="HC180" s="416"/>
      <c r="HD180" s="416"/>
      <c r="HE180" s="416"/>
      <c r="HF180" s="416"/>
      <c r="HG180" s="416"/>
      <c r="HH180" s="416"/>
      <c r="HI180" s="416"/>
      <c r="HJ180" s="416"/>
      <c r="HK180" s="416"/>
      <c r="HL180" s="416"/>
      <c r="HM180" s="416"/>
      <c r="HN180" s="416"/>
      <c r="HO180" s="416"/>
      <c r="HP180" s="416"/>
      <c r="HQ180" s="416"/>
      <c r="HR180" s="416"/>
      <c r="HS180" s="416"/>
      <c r="HT180" s="416"/>
      <c r="HU180" s="416"/>
      <c r="HV180" s="416"/>
      <c r="HW180" s="416"/>
      <c r="HX180" s="416"/>
      <c r="HY180" s="416"/>
      <c r="HZ180" s="416"/>
      <c r="IA180" s="416"/>
      <c r="IB180" s="416"/>
      <c r="IC180" s="416"/>
      <c r="ID180" s="416"/>
      <c r="IE180" s="416"/>
      <c r="IF180" s="416"/>
      <c r="IG180" s="416"/>
      <c r="IH180" s="416"/>
      <c r="II180" s="416"/>
      <c r="IJ180" s="416"/>
      <c r="IK180" s="416"/>
      <c r="IL180" s="416"/>
      <c r="IM180" s="416"/>
      <c r="IN180" s="416"/>
      <c r="IO180" s="416"/>
      <c r="IP180" s="416"/>
      <c r="IQ180" s="416"/>
      <c r="IR180" s="416"/>
      <c r="IS180" s="416"/>
      <c r="IT180" s="416"/>
      <c r="IU180" s="416"/>
      <c r="IV180" s="416"/>
    </row>
    <row r="181" spans="1:256" s="461" customFormat="1" x14ac:dyDescent="0.3">
      <c r="A181" s="413"/>
      <c r="B181" s="414"/>
      <c r="C181" s="414"/>
      <c r="D181" s="414"/>
      <c r="E181" s="414"/>
      <c r="F181" s="414"/>
      <c r="G181" s="414"/>
      <c r="H181" s="414"/>
      <c r="I181" s="414"/>
      <c r="J181" s="414"/>
      <c r="K181" s="414"/>
      <c r="L181" s="414"/>
      <c r="M181" s="414"/>
      <c r="N181" s="414"/>
      <c r="O181" s="414"/>
      <c r="P181" s="414"/>
      <c r="Q181" s="414"/>
      <c r="R181" s="414"/>
      <c r="S181" s="414"/>
      <c r="T181" s="414"/>
      <c r="U181" s="414"/>
      <c r="V181" s="460"/>
      <c r="W181" s="414"/>
      <c r="X181" s="415"/>
      <c r="Y181" s="416"/>
      <c r="Z181" s="416"/>
      <c r="AA181" s="416"/>
      <c r="AB181" s="416"/>
      <c r="AC181" s="416"/>
      <c r="AD181" s="416"/>
      <c r="AE181" s="416"/>
      <c r="AF181" s="416"/>
      <c r="AG181" s="416"/>
      <c r="AH181" s="416"/>
      <c r="AI181" s="416"/>
      <c r="AJ181" s="416"/>
      <c r="AK181" s="416"/>
      <c r="AL181" s="416"/>
      <c r="AM181" s="416"/>
      <c r="AN181" s="416"/>
      <c r="AO181" s="416"/>
      <c r="AP181" s="416"/>
      <c r="AQ181" s="416"/>
      <c r="AR181" s="416"/>
      <c r="AS181" s="416"/>
      <c r="AT181" s="416"/>
      <c r="AU181" s="416"/>
      <c r="AV181" s="416"/>
      <c r="AW181" s="416"/>
      <c r="AX181" s="416"/>
      <c r="AY181" s="416"/>
      <c r="AZ181" s="416"/>
      <c r="BA181" s="416"/>
      <c r="BB181" s="416"/>
      <c r="BC181" s="416"/>
      <c r="BD181" s="416"/>
      <c r="BE181" s="416"/>
      <c r="BF181" s="416"/>
      <c r="BG181" s="416"/>
      <c r="BH181" s="416"/>
      <c r="BI181" s="416"/>
      <c r="BJ181" s="416"/>
      <c r="BK181" s="416"/>
      <c r="BL181" s="416"/>
      <c r="BM181" s="416"/>
      <c r="BN181" s="416"/>
      <c r="BO181" s="416"/>
      <c r="BP181" s="416"/>
      <c r="BQ181" s="416"/>
      <c r="BR181" s="416"/>
      <c r="BS181" s="416"/>
      <c r="BT181" s="416"/>
      <c r="BU181" s="416"/>
      <c r="BV181" s="416"/>
      <c r="BW181" s="416"/>
      <c r="BX181" s="416"/>
      <c r="BY181" s="416"/>
      <c r="BZ181" s="416"/>
      <c r="CA181" s="416"/>
      <c r="CB181" s="416"/>
      <c r="CC181" s="416"/>
      <c r="CD181" s="416"/>
      <c r="CE181" s="416"/>
      <c r="CF181" s="416"/>
      <c r="CG181" s="416"/>
      <c r="CH181" s="416"/>
      <c r="CI181" s="416"/>
      <c r="CJ181" s="416"/>
      <c r="CK181" s="416"/>
      <c r="CL181" s="416"/>
      <c r="CM181" s="416"/>
      <c r="CN181" s="416"/>
      <c r="CO181" s="416"/>
      <c r="CP181" s="416"/>
      <c r="CQ181" s="416"/>
      <c r="CR181" s="416"/>
      <c r="CS181" s="416"/>
      <c r="CT181" s="416"/>
      <c r="CU181" s="416"/>
      <c r="CV181" s="416"/>
      <c r="CW181" s="416"/>
      <c r="CX181" s="416"/>
      <c r="CY181" s="416"/>
      <c r="CZ181" s="416"/>
      <c r="DA181" s="416"/>
      <c r="DB181" s="416"/>
      <c r="DC181" s="416"/>
      <c r="DD181" s="416"/>
      <c r="DE181" s="416"/>
      <c r="DF181" s="416"/>
      <c r="DG181" s="416"/>
      <c r="DH181" s="416"/>
      <c r="DI181" s="416"/>
      <c r="DJ181" s="416"/>
      <c r="DK181" s="416"/>
      <c r="DL181" s="416"/>
      <c r="DM181" s="416"/>
      <c r="DN181" s="416"/>
      <c r="DO181" s="416"/>
      <c r="DP181" s="416"/>
      <c r="DQ181" s="416"/>
      <c r="DR181" s="416"/>
      <c r="DS181" s="416"/>
      <c r="DT181" s="416"/>
      <c r="DU181" s="416"/>
      <c r="DV181" s="416"/>
      <c r="DW181" s="416"/>
      <c r="DX181" s="416"/>
      <c r="DY181" s="416"/>
      <c r="DZ181" s="416"/>
      <c r="EA181" s="416"/>
      <c r="EB181" s="416"/>
      <c r="EC181" s="416"/>
      <c r="ED181" s="416"/>
      <c r="EE181" s="416"/>
      <c r="EF181" s="416"/>
      <c r="EG181" s="416"/>
      <c r="EH181" s="416"/>
      <c r="EI181" s="416"/>
      <c r="EJ181" s="416"/>
      <c r="EK181" s="416"/>
      <c r="EL181" s="416"/>
      <c r="EM181" s="416"/>
      <c r="EN181" s="416"/>
      <c r="EO181" s="416"/>
      <c r="EP181" s="416"/>
      <c r="EQ181" s="416"/>
      <c r="ER181" s="416"/>
      <c r="ES181" s="416"/>
      <c r="ET181" s="416"/>
      <c r="EU181" s="416"/>
      <c r="EV181" s="416"/>
      <c r="EW181" s="416"/>
      <c r="EX181" s="416"/>
      <c r="EY181" s="416"/>
      <c r="EZ181" s="416"/>
      <c r="FA181" s="416"/>
      <c r="FB181" s="416"/>
      <c r="FC181" s="416"/>
      <c r="FD181" s="416"/>
      <c r="FE181" s="416"/>
      <c r="FF181" s="416"/>
      <c r="FG181" s="416"/>
      <c r="FH181" s="416"/>
      <c r="FI181" s="416"/>
      <c r="FJ181" s="416"/>
      <c r="FK181" s="416"/>
      <c r="FL181" s="416"/>
      <c r="FM181" s="416"/>
      <c r="FN181" s="416"/>
      <c r="FO181" s="416"/>
      <c r="FP181" s="416"/>
      <c r="FQ181" s="416"/>
      <c r="FR181" s="416"/>
      <c r="FS181" s="416"/>
      <c r="FT181" s="416"/>
      <c r="FU181" s="416"/>
      <c r="FV181" s="416"/>
      <c r="FW181" s="416"/>
      <c r="FX181" s="416"/>
      <c r="FY181" s="416"/>
      <c r="FZ181" s="416"/>
      <c r="GA181" s="416"/>
      <c r="GB181" s="416"/>
      <c r="GC181" s="416"/>
      <c r="GD181" s="416"/>
      <c r="GE181" s="416"/>
      <c r="GF181" s="416"/>
      <c r="GG181" s="416"/>
      <c r="GH181" s="416"/>
      <c r="GI181" s="416"/>
      <c r="GJ181" s="416"/>
      <c r="GK181" s="416"/>
      <c r="GL181" s="416"/>
      <c r="GM181" s="416"/>
      <c r="GN181" s="416"/>
      <c r="GO181" s="416"/>
      <c r="GP181" s="416"/>
      <c r="GQ181" s="416"/>
      <c r="GR181" s="416"/>
      <c r="GS181" s="416"/>
      <c r="GT181" s="416"/>
      <c r="GU181" s="416"/>
      <c r="GV181" s="416"/>
      <c r="GW181" s="416"/>
      <c r="GX181" s="416"/>
      <c r="GY181" s="416"/>
      <c r="GZ181" s="416"/>
      <c r="HA181" s="416"/>
      <c r="HB181" s="416"/>
      <c r="HC181" s="416"/>
      <c r="HD181" s="416"/>
      <c r="HE181" s="416"/>
      <c r="HF181" s="416"/>
      <c r="HG181" s="416"/>
      <c r="HH181" s="416"/>
      <c r="HI181" s="416"/>
      <c r="HJ181" s="416"/>
      <c r="HK181" s="416"/>
      <c r="HL181" s="416"/>
      <c r="HM181" s="416"/>
      <c r="HN181" s="416"/>
      <c r="HO181" s="416"/>
      <c r="HP181" s="416"/>
      <c r="HQ181" s="416"/>
      <c r="HR181" s="416"/>
      <c r="HS181" s="416"/>
      <c r="HT181" s="416"/>
      <c r="HU181" s="416"/>
      <c r="HV181" s="416"/>
      <c r="HW181" s="416"/>
      <c r="HX181" s="416"/>
      <c r="HY181" s="416"/>
      <c r="HZ181" s="416"/>
      <c r="IA181" s="416"/>
      <c r="IB181" s="416"/>
      <c r="IC181" s="416"/>
      <c r="ID181" s="416"/>
      <c r="IE181" s="416"/>
      <c r="IF181" s="416"/>
      <c r="IG181" s="416"/>
      <c r="IH181" s="416"/>
      <c r="II181" s="416"/>
      <c r="IJ181" s="416"/>
      <c r="IK181" s="416"/>
      <c r="IL181" s="416"/>
      <c r="IM181" s="416"/>
      <c r="IN181" s="416"/>
      <c r="IO181" s="416"/>
      <c r="IP181" s="416"/>
      <c r="IQ181" s="416"/>
      <c r="IR181" s="416"/>
      <c r="IS181" s="416"/>
      <c r="IT181" s="416"/>
      <c r="IU181" s="416"/>
      <c r="IV181" s="416"/>
    </row>
    <row r="182" spans="1:256" x14ac:dyDescent="0.3">
      <c r="A182" s="417"/>
      <c r="B182" s="508" t="s">
        <v>56</v>
      </c>
      <c r="C182" s="419"/>
      <c r="D182" s="419"/>
      <c r="E182" s="419"/>
      <c r="F182" s="419"/>
      <c r="G182" s="419"/>
      <c r="H182" s="419"/>
      <c r="I182" s="419"/>
      <c r="J182" s="419"/>
      <c r="K182" s="419"/>
      <c r="L182" s="419"/>
      <c r="M182" s="419"/>
      <c r="N182" s="419"/>
      <c r="O182" s="419"/>
      <c r="P182" s="419"/>
      <c r="Q182" s="419"/>
      <c r="R182" s="419"/>
      <c r="S182" s="419"/>
      <c r="T182" s="419"/>
      <c r="U182" s="419"/>
      <c r="V182" s="439"/>
      <c r="W182" s="419"/>
      <c r="X182" s="415"/>
    </row>
    <row r="183" spans="1:256" x14ac:dyDescent="0.3">
      <c r="A183" s="417"/>
      <c r="B183" s="451"/>
      <c r="C183" s="419"/>
      <c r="D183" s="419"/>
      <c r="E183" s="419"/>
      <c r="F183" s="419"/>
      <c r="G183" s="419"/>
      <c r="H183" s="419"/>
      <c r="I183" s="419"/>
      <c r="J183" s="419"/>
      <c r="K183" s="419"/>
      <c r="L183" s="419"/>
      <c r="M183" s="419"/>
      <c r="N183" s="419"/>
      <c r="O183" s="419"/>
      <c r="P183" s="419"/>
      <c r="Q183" s="419"/>
      <c r="R183" s="419"/>
      <c r="S183" s="419"/>
      <c r="T183" s="419"/>
      <c r="U183" s="419"/>
      <c r="V183" s="439"/>
      <c r="W183" s="419"/>
      <c r="X183" s="415"/>
    </row>
    <row r="184" spans="1:256" s="544" customFormat="1" x14ac:dyDescent="0.3">
      <c r="A184" s="555"/>
      <c r="B184" s="556" t="s">
        <v>57</v>
      </c>
      <c r="C184" s="556"/>
      <c r="D184" s="556"/>
      <c r="E184" s="556"/>
      <c r="F184" s="556"/>
      <c r="G184" s="556"/>
      <c r="H184" s="556"/>
      <c r="I184" s="556"/>
      <c r="J184" s="556"/>
      <c r="K184" s="556"/>
      <c r="L184" s="556"/>
      <c r="M184" s="556"/>
      <c r="N184" s="556"/>
      <c r="O184" s="556"/>
      <c r="P184" s="556"/>
      <c r="Q184" s="556"/>
      <c r="R184" s="556"/>
      <c r="S184" s="556"/>
      <c r="T184" s="556"/>
      <c r="U184" s="556"/>
      <c r="V184" s="599">
        <f>V70</f>
        <v>716604</v>
      </c>
      <c r="W184" s="558"/>
      <c r="X184" s="543"/>
    </row>
    <row r="185" spans="1:256" s="544" customFormat="1" x14ac:dyDescent="0.3">
      <c r="A185" s="555"/>
      <c r="B185" s="556" t="s">
        <v>58</v>
      </c>
      <c r="C185" s="556"/>
      <c r="D185" s="556"/>
      <c r="E185" s="556"/>
      <c r="F185" s="556"/>
      <c r="G185" s="556"/>
      <c r="H185" s="556"/>
      <c r="I185" s="556"/>
      <c r="J185" s="556"/>
      <c r="K185" s="556"/>
      <c r="L185" s="556"/>
      <c r="M185" s="556"/>
      <c r="N185" s="556"/>
      <c r="O185" s="556"/>
      <c r="P185" s="556"/>
      <c r="Q185" s="556"/>
      <c r="R185" s="556"/>
      <c r="S185" s="556"/>
      <c r="T185" s="556"/>
      <c r="U185" s="556"/>
      <c r="V185" s="599">
        <f>V83</f>
        <v>716604</v>
      </c>
      <c r="W185" s="558"/>
      <c r="X185" s="543"/>
    </row>
    <row r="186" spans="1:256" ht="16.2" thickBot="1" x14ac:dyDescent="0.35">
      <c r="A186" s="417"/>
      <c r="B186" s="441"/>
      <c r="C186" s="441"/>
      <c r="D186" s="441"/>
      <c r="E186" s="441"/>
      <c r="F186" s="441"/>
      <c r="G186" s="441"/>
      <c r="H186" s="441"/>
      <c r="I186" s="441"/>
      <c r="J186" s="441"/>
      <c r="K186" s="441"/>
      <c r="L186" s="441"/>
      <c r="M186" s="441"/>
      <c r="N186" s="441"/>
      <c r="O186" s="441"/>
      <c r="P186" s="441"/>
      <c r="Q186" s="441"/>
      <c r="R186" s="441"/>
      <c r="S186" s="441"/>
      <c r="T186" s="441"/>
      <c r="U186" s="441"/>
      <c r="V186" s="452"/>
      <c r="W186" s="441"/>
      <c r="X186" s="415"/>
    </row>
    <row r="187" spans="1:256" x14ac:dyDescent="0.3">
      <c r="A187" s="413"/>
      <c r="B187" s="414"/>
      <c r="C187" s="414"/>
      <c r="D187" s="414"/>
      <c r="E187" s="414"/>
      <c r="F187" s="414"/>
      <c r="G187" s="414"/>
      <c r="H187" s="414"/>
      <c r="I187" s="414"/>
      <c r="J187" s="414"/>
      <c r="K187" s="414"/>
      <c r="L187" s="414"/>
      <c r="M187" s="414"/>
      <c r="N187" s="414"/>
      <c r="O187" s="414"/>
      <c r="P187" s="414"/>
      <c r="Q187" s="414"/>
      <c r="R187" s="414"/>
      <c r="S187" s="414"/>
      <c r="T187" s="414"/>
      <c r="U187" s="414"/>
      <c r="V187" s="460"/>
      <c r="W187" s="414"/>
      <c r="X187" s="415"/>
    </row>
    <row r="188" spans="1:256" s="499" customFormat="1" x14ac:dyDescent="0.3">
      <c r="A188" s="502"/>
      <c r="B188" s="508" t="s">
        <v>59</v>
      </c>
      <c r="C188" s="506"/>
      <c r="D188" s="506"/>
      <c r="E188" s="506"/>
      <c r="F188" s="506"/>
      <c r="G188" s="506"/>
      <c r="H188" s="509"/>
      <c r="I188" s="509"/>
      <c r="J188" s="509"/>
      <c r="K188" s="509"/>
      <c r="L188" s="509"/>
      <c r="M188" s="509"/>
      <c r="N188" s="509"/>
      <c r="O188" s="509"/>
      <c r="P188" s="509"/>
      <c r="Q188" s="509"/>
      <c r="R188" s="509"/>
      <c r="S188" s="509" t="s">
        <v>101</v>
      </c>
      <c r="T188" s="509" t="s">
        <v>176</v>
      </c>
      <c r="U188" s="421"/>
      <c r="V188" s="510" t="s">
        <v>114</v>
      </c>
      <c r="W188" s="421"/>
      <c r="X188" s="498"/>
    </row>
    <row r="189" spans="1:256" s="544" customFormat="1" x14ac:dyDescent="0.3">
      <c r="A189" s="555"/>
      <c r="B189" s="556" t="s">
        <v>60</v>
      </c>
      <c r="C189" s="556"/>
      <c r="D189" s="556"/>
      <c r="E189" s="556"/>
      <c r="F189" s="556"/>
      <c r="G189" s="556"/>
      <c r="H189" s="556"/>
      <c r="I189" s="556"/>
      <c r="J189" s="556"/>
      <c r="K189" s="556"/>
      <c r="L189" s="556"/>
      <c r="M189" s="556"/>
      <c r="N189" s="556"/>
      <c r="O189" s="556"/>
      <c r="P189" s="556"/>
      <c r="Q189" s="556"/>
      <c r="R189" s="556"/>
      <c r="S189" s="599">
        <f>+V34*0.16</f>
        <v>240044</v>
      </c>
      <c r="T189" s="578"/>
      <c r="U189" s="556"/>
      <c r="V189" s="599"/>
      <c r="W189" s="558"/>
      <c r="X189" s="543"/>
    </row>
    <row r="190" spans="1:256" s="544" customFormat="1" x14ac:dyDescent="0.3">
      <c r="A190" s="555"/>
      <c r="B190" s="556" t="s">
        <v>61</v>
      </c>
      <c r="C190" s="556"/>
      <c r="D190" s="556"/>
      <c r="E190" s="556"/>
      <c r="F190" s="556"/>
      <c r="G190" s="556"/>
      <c r="H190" s="556"/>
      <c r="I190" s="556"/>
      <c r="J190" s="556"/>
      <c r="K190" s="556"/>
      <c r="L190" s="556"/>
      <c r="M190" s="556"/>
      <c r="N190" s="556"/>
      <c r="O190" s="556"/>
      <c r="P190" s="556"/>
      <c r="Q190" s="556"/>
      <c r="R190" s="556"/>
      <c r="S190" s="599">
        <f>+'Feb 20'!S192</f>
        <v>33453</v>
      </c>
      <c r="T190" s="599">
        <f>+'Feb 20'!T192</f>
        <v>6019</v>
      </c>
      <c r="U190" s="556"/>
      <c r="V190" s="599">
        <f>S190+T190</f>
        <v>39472</v>
      </c>
      <c r="W190" s="558"/>
      <c r="X190" s="543"/>
    </row>
    <row r="191" spans="1:256" s="544" customFormat="1" x14ac:dyDescent="0.3">
      <c r="A191" s="555"/>
      <c r="B191" s="556" t="s">
        <v>62</v>
      </c>
      <c r="C191" s="556"/>
      <c r="D191" s="556"/>
      <c r="E191" s="556"/>
      <c r="F191" s="556"/>
      <c r="G191" s="556"/>
      <c r="H191" s="556"/>
      <c r="I191" s="556"/>
      <c r="J191" s="556"/>
      <c r="K191" s="556"/>
      <c r="L191" s="556"/>
      <c r="M191" s="556"/>
      <c r="N191" s="556"/>
      <c r="O191" s="556"/>
      <c r="P191" s="556"/>
      <c r="Q191" s="556"/>
      <c r="R191" s="556"/>
      <c r="S191" s="598">
        <v>0</v>
      </c>
      <c r="T191" s="598">
        <v>0</v>
      </c>
      <c r="U191" s="556"/>
      <c r="V191" s="599">
        <f>S191+T191</f>
        <v>0</v>
      </c>
      <c r="W191" s="558"/>
      <c r="X191" s="543"/>
    </row>
    <row r="192" spans="1:256" s="544" customFormat="1" x14ac:dyDescent="0.3">
      <c r="A192" s="555"/>
      <c r="B192" s="556" t="s">
        <v>63</v>
      </c>
      <c r="C192" s="556"/>
      <c r="D192" s="556"/>
      <c r="E192" s="556"/>
      <c r="F192" s="556"/>
      <c r="G192" s="556"/>
      <c r="H192" s="556"/>
      <c r="I192" s="556"/>
      <c r="J192" s="556"/>
      <c r="K192" s="556"/>
      <c r="L192" s="556"/>
      <c r="M192" s="556"/>
      <c r="N192" s="556"/>
      <c r="O192" s="556"/>
      <c r="P192" s="556"/>
      <c r="Q192" s="556"/>
      <c r="R192" s="556"/>
      <c r="S192" s="599">
        <f>S190+S191</f>
        <v>33453</v>
      </c>
      <c r="T192" s="599">
        <f>T191+T190</f>
        <v>6019</v>
      </c>
      <c r="U192" s="556"/>
      <c r="V192" s="599">
        <f>S192+T192</f>
        <v>39472</v>
      </c>
      <c r="W192" s="558"/>
      <c r="X192" s="543"/>
    </row>
    <row r="193" spans="1:24" s="544" customFormat="1" x14ac:dyDescent="0.3">
      <c r="A193" s="555"/>
      <c r="B193" s="556" t="s">
        <v>64</v>
      </c>
      <c r="C193" s="556"/>
      <c r="D193" s="556"/>
      <c r="E193" s="556"/>
      <c r="F193" s="556"/>
      <c r="G193" s="556"/>
      <c r="H193" s="556"/>
      <c r="I193" s="556"/>
      <c r="J193" s="556"/>
      <c r="K193" s="556"/>
      <c r="L193" s="556"/>
      <c r="M193" s="556"/>
      <c r="N193" s="556"/>
      <c r="O193" s="556"/>
      <c r="P193" s="556"/>
      <c r="Q193" s="556"/>
      <c r="R193" s="556"/>
      <c r="S193" s="599">
        <f>S189-S192-T192</f>
        <v>200572</v>
      </c>
      <c r="T193" s="578"/>
      <c r="U193" s="556"/>
      <c r="V193" s="599"/>
      <c r="W193" s="558"/>
      <c r="X193" s="543"/>
    </row>
    <row r="194" spans="1:24" ht="16.2" thickBot="1" x14ac:dyDescent="0.35">
      <c r="A194" s="417"/>
      <c r="B194" s="441"/>
      <c r="C194" s="441"/>
      <c r="D194" s="441"/>
      <c r="E194" s="441"/>
      <c r="F194" s="441"/>
      <c r="G194" s="441"/>
      <c r="H194" s="441"/>
      <c r="I194" s="441"/>
      <c r="J194" s="441"/>
      <c r="K194" s="441"/>
      <c r="L194" s="441"/>
      <c r="M194" s="441"/>
      <c r="N194" s="441"/>
      <c r="O194" s="441"/>
      <c r="P194" s="441"/>
      <c r="Q194" s="441"/>
      <c r="R194" s="441"/>
      <c r="S194" s="441"/>
      <c r="T194" s="441"/>
      <c r="U194" s="441"/>
      <c r="V194" s="452"/>
      <c r="W194" s="441"/>
      <c r="X194" s="415"/>
    </row>
    <row r="195" spans="1:24" x14ac:dyDescent="0.3">
      <c r="A195" s="413"/>
      <c r="B195" s="414"/>
      <c r="C195" s="414"/>
      <c r="D195" s="414"/>
      <c r="E195" s="414"/>
      <c r="F195" s="414"/>
      <c r="G195" s="414"/>
      <c r="H195" s="414"/>
      <c r="I195" s="414"/>
      <c r="J195" s="414"/>
      <c r="K195" s="414"/>
      <c r="L195" s="414"/>
      <c r="M195" s="414"/>
      <c r="N195" s="414"/>
      <c r="O195" s="414"/>
      <c r="P195" s="414"/>
      <c r="Q195" s="414"/>
      <c r="R195" s="414"/>
      <c r="S195" s="414"/>
      <c r="T195" s="414"/>
      <c r="U195" s="414"/>
      <c r="V195" s="460"/>
      <c r="W195" s="414"/>
      <c r="X195" s="415"/>
    </row>
    <row r="196" spans="1:24" x14ac:dyDescent="0.3">
      <c r="A196" s="417"/>
      <c r="B196" s="508" t="s">
        <v>65</v>
      </c>
      <c r="C196" s="419"/>
      <c r="D196" s="419"/>
      <c r="E196" s="419"/>
      <c r="F196" s="419"/>
      <c r="G196" s="419"/>
      <c r="H196" s="419"/>
      <c r="I196" s="419"/>
      <c r="J196" s="419"/>
      <c r="K196" s="419"/>
      <c r="L196" s="419"/>
      <c r="M196" s="419"/>
      <c r="N196" s="419"/>
      <c r="O196" s="419"/>
      <c r="P196" s="419"/>
      <c r="Q196" s="419"/>
      <c r="R196" s="419"/>
      <c r="S196" s="419"/>
      <c r="T196" s="419"/>
      <c r="U196" s="419"/>
      <c r="V196" s="462"/>
      <c r="W196" s="419"/>
      <c r="X196" s="415"/>
    </row>
    <row r="197" spans="1:24" s="544" customFormat="1" x14ac:dyDescent="0.3">
      <c r="A197" s="555"/>
      <c r="B197" s="556" t="s">
        <v>66</v>
      </c>
      <c r="C197" s="556"/>
      <c r="D197" s="556"/>
      <c r="E197" s="556"/>
      <c r="F197" s="556"/>
      <c r="G197" s="556"/>
      <c r="H197" s="556"/>
      <c r="I197" s="556"/>
      <c r="J197" s="556"/>
      <c r="K197" s="556"/>
      <c r="L197" s="556"/>
      <c r="M197" s="556"/>
      <c r="N197" s="556"/>
      <c r="O197" s="556"/>
      <c r="P197" s="556"/>
      <c r="Q197" s="556"/>
      <c r="R197" s="556"/>
      <c r="S197" s="556"/>
      <c r="T197" s="556"/>
      <c r="U197" s="556"/>
      <c r="V197" s="608">
        <f>(V100+V102+V103+V104+V105)/-(V106+V107)</f>
        <v>4.5561861520998868</v>
      </c>
      <c r="W197" s="558" t="s">
        <v>115</v>
      </c>
      <c r="X197" s="543"/>
    </row>
    <row r="198" spans="1:24" s="544" customFormat="1" x14ac:dyDescent="0.3">
      <c r="A198" s="555"/>
      <c r="B198" s="556" t="s">
        <v>67</v>
      </c>
      <c r="C198" s="556"/>
      <c r="D198" s="556"/>
      <c r="E198" s="556"/>
      <c r="F198" s="556"/>
      <c r="G198" s="556"/>
      <c r="H198" s="556"/>
      <c r="I198" s="556"/>
      <c r="J198" s="556"/>
      <c r="K198" s="556"/>
      <c r="L198" s="556"/>
      <c r="M198" s="556"/>
      <c r="N198" s="556"/>
      <c r="O198" s="556"/>
      <c r="P198" s="556"/>
      <c r="Q198" s="556"/>
      <c r="R198" s="556"/>
      <c r="S198" s="556"/>
      <c r="T198" s="556"/>
      <c r="U198" s="556"/>
      <c r="V198" s="610">
        <v>2.19</v>
      </c>
      <c r="W198" s="558" t="s">
        <v>115</v>
      </c>
      <c r="X198" s="543"/>
    </row>
    <row r="199" spans="1:24" s="544" customFormat="1" x14ac:dyDescent="0.3">
      <c r="A199" s="555"/>
      <c r="B199" s="556" t="s">
        <v>68</v>
      </c>
      <c r="C199" s="556"/>
      <c r="D199" s="556"/>
      <c r="E199" s="556"/>
      <c r="F199" s="556"/>
      <c r="G199" s="556"/>
      <c r="H199" s="556"/>
      <c r="I199" s="556"/>
      <c r="J199" s="556"/>
      <c r="K199" s="556"/>
      <c r="L199" s="556"/>
      <c r="M199" s="556"/>
      <c r="N199" s="556"/>
      <c r="O199" s="556"/>
      <c r="P199" s="556"/>
      <c r="Q199" s="556"/>
      <c r="R199" s="556"/>
      <c r="S199" s="556"/>
      <c r="T199" s="556"/>
      <c r="U199" s="556"/>
      <c r="V199" s="608">
        <f>(V100+V102+V103+V104+V105+V106+V107)/-(V109+V110)</f>
        <v>12.684210526315789</v>
      </c>
      <c r="W199" s="558" t="s">
        <v>115</v>
      </c>
      <c r="X199" s="543"/>
    </row>
    <row r="200" spans="1:24" s="544" customFormat="1" x14ac:dyDescent="0.3">
      <c r="A200" s="555"/>
      <c r="B200" s="556" t="s">
        <v>69</v>
      </c>
      <c r="C200" s="556"/>
      <c r="D200" s="556"/>
      <c r="E200" s="556"/>
      <c r="F200" s="556"/>
      <c r="G200" s="556"/>
      <c r="H200" s="556"/>
      <c r="I200" s="556"/>
      <c r="J200" s="556"/>
      <c r="K200" s="556"/>
      <c r="L200" s="556"/>
      <c r="M200" s="556"/>
      <c r="N200" s="556"/>
      <c r="O200" s="556"/>
      <c r="P200" s="556"/>
      <c r="Q200" s="556"/>
      <c r="R200" s="556"/>
      <c r="S200" s="556"/>
      <c r="T200" s="556"/>
      <c r="U200" s="556"/>
      <c r="V200" s="610">
        <v>9.9</v>
      </c>
      <c r="W200" s="558" t="s">
        <v>115</v>
      </c>
      <c r="X200" s="543"/>
    </row>
    <row r="201" spans="1:24" s="544" customFormat="1" x14ac:dyDescent="0.3">
      <c r="A201" s="555"/>
      <c r="B201" s="556" t="s">
        <v>198</v>
      </c>
      <c r="C201" s="556"/>
      <c r="D201" s="556"/>
      <c r="E201" s="556"/>
      <c r="F201" s="556"/>
      <c r="G201" s="556"/>
      <c r="H201" s="556"/>
      <c r="I201" s="556"/>
      <c r="J201" s="556"/>
      <c r="K201" s="556"/>
      <c r="L201" s="556"/>
      <c r="M201" s="556"/>
      <c r="N201" s="556"/>
      <c r="O201" s="556"/>
      <c r="P201" s="556"/>
      <c r="Q201" s="556"/>
      <c r="R201" s="556"/>
      <c r="S201" s="556"/>
      <c r="T201" s="556"/>
      <c r="U201" s="556"/>
      <c r="V201" s="608">
        <f>(V100+V102+V103+V104+V105+V106+V107+V109+V110)/-(V111+V112)</f>
        <v>7.6959999999999997</v>
      </c>
      <c r="W201" s="558" t="s">
        <v>115</v>
      </c>
      <c r="X201" s="543"/>
    </row>
    <row r="202" spans="1:24" s="544" customFormat="1" x14ac:dyDescent="0.3">
      <c r="A202" s="555"/>
      <c r="B202" s="556" t="s">
        <v>199</v>
      </c>
      <c r="C202" s="556"/>
      <c r="D202" s="556"/>
      <c r="E202" s="556"/>
      <c r="F202" s="556"/>
      <c r="G202" s="556"/>
      <c r="H202" s="556"/>
      <c r="I202" s="556"/>
      <c r="J202" s="556"/>
      <c r="K202" s="556"/>
      <c r="L202" s="556"/>
      <c r="M202" s="556"/>
      <c r="N202" s="556"/>
      <c r="O202" s="556"/>
      <c r="P202" s="556"/>
      <c r="Q202" s="556"/>
      <c r="R202" s="556"/>
      <c r="S202" s="556"/>
      <c r="T202" s="556"/>
      <c r="U202" s="556"/>
      <c r="V202" s="610">
        <v>7.35</v>
      </c>
      <c r="W202" s="558" t="s">
        <v>115</v>
      </c>
      <c r="X202" s="543"/>
    </row>
    <row r="203" spans="1:24" s="544" customFormat="1" x14ac:dyDescent="0.3">
      <c r="A203" s="555"/>
      <c r="B203" s="556"/>
      <c r="C203" s="556"/>
      <c r="D203" s="556"/>
      <c r="E203" s="556"/>
      <c r="F203" s="556"/>
      <c r="G203" s="556"/>
      <c r="H203" s="556"/>
      <c r="I203" s="556"/>
      <c r="J203" s="556"/>
      <c r="K203" s="556"/>
      <c r="L203" s="556"/>
      <c r="M203" s="556"/>
      <c r="N203" s="556"/>
      <c r="O203" s="556"/>
      <c r="P203" s="556"/>
      <c r="Q203" s="556"/>
      <c r="R203" s="556"/>
      <c r="S203" s="556"/>
      <c r="T203" s="556"/>
      <c r="U203" s="556"/>
      <c r="V203" s="556"/>
      <c r="W203" s="558"/>
      <c r="X203" s="543"/>
    </row>
    <row r="204" spans="1:24" s="544" customFormat="1" x14ac:dyDescent="0.3">
      <c r="A204" s="540"/>
      <c r="B204" s="588"/>
      <c r="C204" s="588"/>
      <c r="D204" s="588"/>
      <c r="E204" s="588"/>
      <c r="F204" s="588"/>
      <c r="G204" s="588"/>
      <c r="H204" s="588"/>
      <c r="I204" s="588"/>
      <c r="J204" s="588"/>
      <c r="K204" s="588"/>
      <c r="L204" s="588"/>
      <c r="M204" s="588"/>
      <c r="N204" s="588"/>
      <c r="O204" s="588"/>
      <c r="P204" s="588"/>
      <c r="Q204" s="588"/>
      <c r="R204" s="588"/>
      <c r="S204" s="588"/>
      <c r="T204" s="588"/>
      <c r="U204" s="588"/>
      <c r="V204" s="588"/>
      <c r="W204" s="588"/>
      <c r="X204" s="543"/>
    </row>
    <row r="205" spans="1:24" s="544" customFormat="1" x14ac:dyDescent="0.3">
      <c r="A205" s="540"/>
      <c r="B205" s="541"/>
      <c r="C205" s="541"/>
      <c r="D205" s="541"/>
      <c r="E205" s="541"/>
      <c r="F205" s="541"/>
      <c r="G205" s="541"/>
      <c r="H205" s="541"/>
      <c r="I205" s="541"/>
      <c r="J205" s="541"/>
      <c r="K205" s="541"/>
      <c r="L205" s="541"/>
      <c r="M205" s="541"/>
      <c r="N205" s="541"/>
      <c r="O205" s="541"/>
      <c r="P205" s="541"/>
      <c r="Q205" s="541"/>
      <c r="R205" s="541"/>
      <c r="S205" s="541"/>
      <c r="T205" s="541"/>
      <c r="U205" s="541"/>
      <c r="V205" s="541"/>
      <c r="W205" s="541"/>
      <c r="X205" s="543"/>
    </row>
    <row r="206" spans="1:24" s="544" customFormat="1" ht="18.600000000000001" thickBot="1" x14ac:dyDescent="0.4">
      <c r="A206" s="593"/>
      <c r="B206" s="594" t="str">
        <f>B140</f>
        <v>PM14 INVESTOR REPORT QUARTER ENDING MAY 2020</v>
      </c>
      <c r="C206" s="595"/>
      <c r="D206" s="595"/>
      <c r="E206" s="595"/>
      <c r="F206" s="595"/>
      <c r="G206" s="595"/>
      <c r="H206" s="595"/>
      <c r="I206" s="595"/>
      <c r="J206" s="595"/>
      <c r="K206" s="595"/>
      <c r="L206" s="595"/>
      <c r="M206" s="595"/>
      <c r="N206" s="595"/>
      <c r="O206" s="595"/>
      <c r="P206" s="595"/>
      <c r="Q206" s="595"/>
      <c r="R206" s="595"/>
      <c r="S206" s="595"/>
      <c r="T206" s="595"/>
      <c r="U206" s="595"/>
      <c r="V206" s="595"/>
      <c r="W206" s="597"/>
      <c r="X206" s="543"/>
    </row>
    <row r="207" spans="1:24" x14ac:dyDescent="0.3">
      <c r="A207" s="527"/>
      <c r="B207" s="528" t="s">
        <v>70</v>
      </c>
      <c r="C207" s="531"/>
      <c r="D207" s="531"/>
      <c r="E207" s="531"/>
      <c r="F207" s="531"/>
      <c r="G207" s="532"/>
      <c r="H207" s="532"/>
      <c r="I207" s="532"/>
      <c r="J207" s="532"/>
      <c r="K207" s="532"/>
      <c r="L207" s="532"/>
      <c r="M207" s="532"/>
      <c r="N207" s="532"/>
      <c r="O207" s="532"/>
      <c r="P207" s="532"/>
      <c r="Q207" s="532"/>
      <c r="R207" s="532"/>
      <c r="S207" s="532"/>
      <c r="T207" s="532">
        <v>43980</v>
      </c>
      <c r="U207" s="529"/>
      <c r="V207" s="529"/>
      <c r="W207" s="529"/>
      <c r="X207" s="415"/>
    </row>
    <row r="208" spans="1:24" x14ac:dyDescent="0.3">
      <c r="A208" s="463"/>
      <c r="B208" s="429"/>
      <c r="C208" s="464"/>
      <c r="D208" s="464"/>
      <c r="E208" s="464"/>
      <c r="F208" s="464"/>
      <c r="G208" s="428"/>
      <c r="H208" s="428"/>
      <c r="I208" s="428"/>
      <c r="J208" s="428"/>
      <c r="K208" s="428"/>
      <c r="L208" s="428"/>
      <c r="M208" s="428"/>
      <c r="N208" s="428"/>
      <c r="O208" s="428"/>
      <c r="P208" s="428"/>
      <c r="Q208" s="428"/>
      <c r="R208" s="428"/>
      <c r="S208" s="428"/>
      <c r="T208" s="428"/>
      <c r="U208" s="427"/>
      <c r="V208" s="427"/>
      <c r="W208" s="427"/>
      <c r="X208" s="415"/>
    </row>
    <row r="209" spans="1:24" s="544" customFormat="1" x14ac:dyDescent="0.3">
      <c r="A209" s="555"/>
      <c r="B209" s="556" t="s">
        <v>71</v>
      </c>
      <c r="C209" s="611"/>
      <c r="D209" s="611"/>
      <c r="E209" s="611"/>
      <c r="F209" s="611"/>
      <c r="G209" s="582"/>
      <c r="H209" s="582"/>
      <c r="I209" s="582"/>
      <c r="J209" s="582"/>
      <c r="K209" s="582"/>
      <c r="L209" s="582"/>
      <c r="M209" s="582"/>
      <c r="N209" s="582"/>
      <c r="O209" s="582"/>
      <c r="P209" s="582"/>
      <c r="Q209" s="582"/>
      <c r="R209" s="582"/>
      <c r="S209" s="582"/>
      <c r="T209" s="575">
        <v>5.2819999999999999E-2</v>
      </c>
      <c r="U209" s="556"/>
      <c r="V209" s="556"/>
      <c r="W209" s="558"/>
      <c r="X209" s="543"/>
    </row>
    <row r="210" spans="1:24" s="544" customFormat="1" x14ac:dyDescent="0.3">
      <c r="A210" s="555"/>
      <c r="B210" s="556" t="s">
        <v>151</v>
      </c>
      <c r="C210" s="611"/>
      <c r="D210" s="611"/>
      <c r="E210" s="611"/>
      <c r="F210" s="611"/>
      <c r="G210" s="582"/>
      <c r="H210" s="582"/>
      <c r="I210" s="582"/>
      <c r="J210" s="582"/>
      <c r="K210" s="582"/>
      <c r="L210" s="582"/>
      <c r="M210" s="582"/>
      <c r="N210" s="582"/>
      <c r="O210" s="582"/>
      <c r="P210" s="582"/>
      <c r="Q210" s="582"/>
      <c r="R210" s="582"/>
      <c r="S210" s="582"/>
      <c r="T210" s="575">
        <v>5.7799999999999997E-2</v>
      </c>
      <c r="U210" s="556"/>
      <c r="V210" s="556"/>
      <c r="W210" s="558"/>
      <c r="X210" s="543"/>
    </row>
    <row r="211" spans="1:24" s="544" customFormat="1" x14ac:dyDescent="0.3">
      <c r="A211" s="555"/>
      <c r="B211" s="556" t="s">
        <v>72</v>
      </c>
      <c r="C211" s="611"/>
      <c r="D211" s="611"/>
      <c r="E211" s="611"/>
      <c r="F211" s="611"/>
      <c r="G211" s="582"/>
      <c r="H211" s="582"/>
      <c r="I211" s="582"/>
      <c r="J211" s="582"/>
      <c r="K211" s="582"/>
      <c r="L211" s="582"/>
      <c r="M211" s="582"/>
      <c r="N211" s="582"/>
      <c r="O211" s="582"/>
      <c r="P211" s="582"/>
      <c r="Q211" s="582"/>
      <c r="R211" s="582"/>
      <c r="S211" s="582"/>
      <c r="T211" s="575">
        <f>T209-T210</f>
        <v>-4.9799999999999983E-3</v>
      </c>
      <c r="U211" s="556"/>
      <c r="V211" s="556"/>
      <c r="W211" s="558"/>
      <c r="X211" s="543"/>
    </row>
    <row r="212" spans="1:24" s="544" customFormat="1" x14ac:dyDescent="0.3">
      <c r="A212" s="555"/>
      <c r="B212" s="556" t="s">
        <v>73</v>
      </c>
      <c r="C212" s="611"/>
      <c r="D212" s="611"/>
      <c r="E212" s="611"/>
      <c r="F212" s="611"/>
      <c r="G212" s="582"/>
      <c r="H212" s="582"/>
      <c r="I212" s="582"/>
      <c r="J212" s="582"/>
      <c r="K212" s="582"/>
      <c r="L212" s="582"/>
      <c r="M212" s="582"/>
      <c r="N212" s="582"/>
      <c r="O212" s="582"/>
      <c r="P212" s="582"/>
      <c r="Q212" s="582"/>
      <c r="R212" s="582"/>
      <c r="S212" s="582"/>
      <c r="T212" s="575">
        <v>2.3050000000000001E-2</v>
      </c>
      <c r="U212" s="556"/>
      <c r="V212" s="556"/>
      <c r="W212" s="558"/>
      <c r="X212" s="543"/>
    </row>
    <row r="213" spans="1:24" s="544" customFormat="1" x14ac:dyDescent="0.3">
      <c r="A213" s="555"/>
      <c r="B213" s="556" t="s">
        <v>219</v>
      </c>
      <c r="C213" s="611"/>
      <c r="D213" s="611"/>
      <c r="E213" s="611"/>
      <c r="F213" s="611"/>
      <c r="G213" s="582"/>
      <c r="H213" s="582"/>
      <c r="I213" s="582"/>
      <c r="J213" s="582"/>
      <c r="K213" s="582"/>
      <c r="L213" s="582"/>
      <c r="M213" s="582"/>
      <c r="N213" s="582"/>
      <c r="O213" s="582"/>
      <c r="P213" s="582"/>
      <c r="Q213" s="582"/>
      <c r="R213" s="582"/>
      <c r="S213" s="582"/>
      <c r="T213" s="575">
        <f>V43</f>
        <v>8.2718689301724407E-3</v>
      </c>
      <c r="U213" s="556"/>
      <c r="V213" s="556"/>
      <c r="W213" s="558"/>
      <c r="X213" s="543"/>
    </row>
    <row r="214" spans="1:24" s="544" customFormat="1" x14ac:dyDescent="0.3">
      <c r="A214" s="555"/>
      <c r="B214" s="556" t="s">
        <v>74</v>
      </c>
      <c r="C214" s="611"/>
      <c r="D214" s="611"/>
      <c r="E214" s="611"/>
      <c r="F214" s="611"/>
      <c r="G214" s="582"/>
      <c r="H214" s="582"/>
      <c r="I214" s="582"/>
      <c r="J214" s="582"/>
      <c r="K214" s="582"/>
      <c r="L214" s="582"/>
      <c r="M214" s="582"/>
      <c r="N214" s="582"/>
      <c r="O214" s="582"/>
      <c r="P214" s="582"/>
      <c r="Q214" s="582"/>
      <c r="R214" s="582"/>
      <c r="S214" s="582"/>
      <c r="T214" s="575">
        <f>T212-T213</f>
        <v>1.477813106982756E-2</v>
      </c>
      <c r="U214" s="556"/>
      <c r="V214" s="556"/>
      <c r="W214" s="558"/>
      <c r="X214" s="543"/>
    </row>
    <row r="215" spans="1:24" s="544" customFormat="1" x14ac:dyDescent="0.3">
      <c r="A215" s="555"/>
      <c r="B215" s="556" t="s">
        <v>242</v>
      </c>
      <c r="C215" s="611"/>
      <c r="D215" s="611"/>
      <c r="E215" s="611"/>
      <c r="F215" s="611"/>
      <c r="G215" s="582"/>
      <c r="H215" s="582"/>
      <c r="I215" s="582"/>
      <c r="J215" s="582"/>
      <c r="K215" s="582"/>
      <c r="L215" s="582"/>
      <c r="M215" s="582"/>
      <c r="N215" s="582"/>
      <c r="O215" s="582"/>
      <c r="P215" s="582"/>
      <c r="Q215" s="582"/>
      <c r="R215" s="582"/>
      <c r="S215" s="582"/>
      <c r="T215" s="575">
        <f>V100/N70</f>
        <v>5.8476000960647747E-3</v>
      </c>
      <c r="U215" s="556"/>
      <c r="V215" s="556"/>
      <c r="W215" s="558"/>
      <c r="X215" s="543"/>
    </row>
    <row r="216" spans="1:24" s="544" customFormat="1" x14ac:dyDescent="0.3">
      <c r="A216" s="555"/>
      <c r="B216" s="556" t="s">
        <v>208</v>
      </c>
      <c r="C216" s="611"/>
      <c r="D216" s="611"/>
      <c r="E216" s="611"/>
      <c r="F216" s="611"/>
      <c r="G216" s="582"/>
      <c r="H216" s="582"/>
      <c r="I216" s="582"/>
      <c r="J216" s="582"/>
      <c r="K216" s="582"/>
      <c r="L216" s="582"/>
      <c r="M216" s="582"/>
      <c r="N216" s="582"/>
      <c r="O216" s="582"/>
      <c r="P216" s="582"/>
      <c r="Q216" s="582"/>
      <c r="R216" s="582"/>
      <c r="S216" s="582"/>
      <c r="T216" s="612">
        <v>51014</v>
      </c>
      <c r="U216" s="556"/>
      <c r="V216" s="556"/>
      <c r="W216" s="558"/>
      <c r="X216" s="543"/>
    </row>
    <row r="217" spans="1:24" s="544" customFormat="1" x14ac:dyDescent="0.3">
      <c r="A217" s="555"/>
      <c r="B217" s="556" t="s">
        <v>209</v>
      </c>
      <c r="C217" s="611"/>
      <c r="D217" s="611"/>
      <c r="E217" s="611"/>
      <c r="F217" s="611"/>
      <c r="G217" s="582"/>
      <c r="H217" s="582"/>
      <c r="I217" s="582"/>
      <c r="J217" s="582"/>
      <c r="K217" s="582"/>
      <c r="L217" s="582"/>
      <c r="M217" s="582"/>
      <c r="N217" s="582"/>
      <c r="O217" s="582"/>
      <c r="P217" s="582"/>
      <c r="Q217" s="582"/>
      <c r="R217" s="582"/>
      <c r="S217" s="582"/>
      <c r="T217" s="612">
        <v>51014</v>
      </c>
      <c r="U217" s="556"/>
      <c r="V217" s="556"/>
      <c r="W217" s="558"/>
      <c r="X217" s="543"/>
    </row>
    <row r="218" spans="1:24" s="544" customFormat="1" x14ac:dyDescent="0.3">
      <c r="A218" s="555"/>
      <c r="B218" s="556" t="s">
        <v>210</v>
      </c>
      <c r="C218" s="611"/>
      <c r="D218" s="611"/>
      <c r="E218" s="611"/>
      <c r="F218" s="611"/>
      <c r="G218" s="582"/>
      <c r="H218" s="582"/>
      <c r="I218" s="582"/>
      <c r="J218" s="582"/>
      <c r="K218" s="582"/>
      <c r="L218" s="582"/>
      <c r="M218" s="582"/>
      <c r="N218" s="582"/>
      <c r="O218" s="582"/>
      <c r="P218" s="582"/>
      <c r="Q218" s="582"/>
      <c r="R218" s="582"/>
      <c r="S218" s="582"/>
      <c r="T218" s="612">
        <v>51014</v>
      </c>
      <c r="U218" s="556"/>
      <c r="V218" s="556"/>
      <c r="W218" s="558"/>
      <c r="X218" s="543"/>
    </row>
    <row r="219" spans="1:24" s="544" customFormat="1" x14ac:dyDescent="0.3">
      <c r="A219" s="555"/>
      <c r="B219" s="556" t="s">
        <v>75</v>
      </c>
      <c r="C219" s="611"/>
      <c r="D219" s="611"/>
      <c r="E219" s="611"/>
      <c r="F219" s="611"/>
      <c r="G219" s="582"/>
      <c r="H219" s="582"/>
      <c r="I219" s="582"/>
      <c r="J219" s="582"/>
      <c r="K219" s="582"/>
      <c r="L219" s="582"/>
      <c r="M219" s="582"/>
      <c r="N219" s="582"/>
      <c r="O219" s="582"/>
      <c r="P219" s="582"/>
      <c r="Q219" s="582"/>
      <c r="R219" s="582"/>
      <c r="S219" s="582"/>
      <c r="T219" s="580">
        <v>20.66</v>
      </c>
      <c r="U219" s="556" t="s">
        <v>110</v>
      </c>
      <c r="V219" s="556"/>
      <c r="W219" s="558"/>
      <c r="X219" s="543"/>
    </row>
    <row r="220" spans="1:24" s="544" customFormat="1" x14ac:dyDescent="0.3">
      <c r="A220" s="555"/>
      <c r="B220" s="556" t="s">
        <v>76</v>
      </c>
      <c r="C220" s="611"/>
      <c r="D220" s="611"/>
      <c r="E220" s="611"/>
      <c r="F220" s="611"/>
      <c r="G220" s="582"/>
      <c r="H220" s="582"/>
      <c r="I220" s="582"/>
      <c r="J220" s="582"/>
      <c r="K220" s="582"/>
      <c r="L220" s="582"/>
      <c r="M220" s="582"/>
      <c r="N220" s="582"/>
      <c r="O220" s="582"/>
      <c r="P220" s="582"/>
      <c r="Q220" s="582"/>
      <c r="R220" s="582"/>
      <c r="S220" s="582"/>
      <c r="T220" s="580">
        <v>9.0399999999999991</v>
      </c>
      <c r="U220" s="556" t="s">
        <v>110</v>
      </c>
      <c r="V220" s="556"/>
      <c r="W220" s="558"/>
      <c r="X220" s="543"/>
    </row>
    <row r="221" spans="1:24" s="544" customFormat="1" x14ac:dyDescent="0.3">
      <c r="A221" s="555"/>
      <c r="B221" s="556" t="s">
        <v>77</v>
      </c>
      <c r="C221" s="611"/>
      <c r="D221" s="611"/>
      <c r="E221" s="611"/>
      <c r="F221" s="611"/>
      <c r="G221" s="582"/>
      <c r="H221" s="582"/>
      <c r="I221" s="582"/>
      <c r="J221" s="582"/>
      <c r="K221" s="582"/>
      <c r="L221" s="582"/>
      <c r="M221" s="582"/>
      <c r="N221" s="582"/>
      <c r="O221" s="582"/>
      <c r="P221" s="582"/>
      <c r="Q221" s="582"/>
      <c r="R221" s="582"/>
      <c r="S221" s="582"/>
      <c r="T221" s="575">
        <f>+P67/N67</f>
        <v>1.6565684289978386E-2</v>
      </c>
      <c r="U221" s="556"/>
      <c r="V221" s="556"/>
      <c r="W221" s="558"/>
      <c r="X221" s="543"/>
    </row>
    <row r="222" spans="1:24" s="544" customFormat="1" x14ac:dyDescent="0.3">
      <c r="A222" s="555"/>
      <c r="B222" s="556" t="s">
        <v>78</v>
      </c>
      <c r="C222" s="611"/>
      <c r="D222" s="611"/>
      <c r="E222" s="611"/>
      <c r="F222" s="611"/>
      <c r="G222" s="582"/>
      <c r="H222" s="582"/>
      <c r="I222" s="582"/>
      <c r="J222" s="582"/>
      <c r="K222" s="582"/>
      <c r="L222" s="582"/>
      <c r="M222" s="582"/>
      <c r="N222" s="582"/>
      <c r="O222" s="582"/>
      <c r="P222" s="582"/>
      <c r="Q222" s="582"/>
      <c r="R222" s="582"/>
      <c r="S222" s="582"/>
      <c r="T222" s="575">
        <v>5.6800000000000003E-2</v>
      </c>
      <c r="U222" s="556"/>
      <c r="V222" s="556"/>
      <c r="W222" s="558"/>
      <c r="X222" s="543"/>
    </row>
    <row r="223" spans="1:24" x14ac:dyDescent="0.3">
      <c r="A223" s="463"/>
      <c r="B223" s="437"/>
      <c r="C223" s="437"/>
      <c r="D223" s="437"/>
      <c r="E223" s="437"/>
      <c r="F223" s="437"/>
      <c r="G223" s="437"/>
      <c r="H223" s="437"/>
      <c r="I223" s="437"/>
      <c r="J223" s="437"/>
      <c r="K223" s="437"/>
      <c r="L223" s="437"/>
      <c r="M223" s="437"/>
      <c r="N223" s="437"/>
      <c r="O223" s="437"/>
      <c r="P223" s="437"/>
      <c r="Q223" s="437"/>
      <c r="R223" s="437"/>
      <c r="S223" s="437"/>
      <c r="T223" s="454"/>
      <c r="U223" s="437"/>
      <c r="V223" s="465"/>
      <c r="W223" s="437"/>
      <c r="X223" s="415"/>
    </row>
    <row r="224" spans="1:24" x14ac:dyDescent="0.3">
      <c r="A224" s="533"/>
      <c r="B224" s="523" t="s">
        <v>79</v>
      </c>
      <c r="C224" s="524"/>
      <c r="D224" s="524"/>
      <c r="E224" s="524"/>
      <c r="F224" s="534"/>
      <c r="G224" s="524"/>
      <c r="H224" s="524"/>
      <c r="I224" s="524"/>
      <c r="J224" s="524"/>
      <c r="K224" s="524"/>
      <c r="L224" s="524"/>
      <c r="M224" s="524"/>
      <c r="N224" s="524"/>
      <c r="O224" s="524"/>
      <c r="P224" s="524"/>
      <c r="Q224" s="524"/>
      <c r="R224" s="524"/>
      <c r="S224" s="524" t="s">
        <v>102</v>
      </c>
      <c r="T224" s="534" t="s">
        <v>108</v>
      </c>
      <c r="U224" s="517"/>
      <c r="V224" s="517"/>
      <c r="W224" s="520"/>
      <c r="X224" s="415"/>
    </row>
    <row r="225" spans="1:24" s="544" customFormat="1" x14ac:dyDescent="0.3">
      <c r="A225" s="613"/>
      <c r="B225" s="588" t="s">
        <v>80</v>
      </c>
      <c r="C225" s="600"/>
      <c r="D225" s="600"/>
      <c r="E225" s="600"/>
      <c r="F225" s="588"/>
      <c r="G225" s="588"/>
      <c r="H225" s="614"/>
      <c r="I225" s="614"/>
      <c r="J225" s="614"/>
      <c r="K225" s="614"/>
      <c r="L225" s="614"/>
      <c r="M225" s="614"/>
      <c r="N225" s="614"/>
      <c r="O225" s="614"/>
      <c r="P225" s="614"/>
      <c r="Q225" s="614"/>
      <c r="R225" s="614"/>
      <c r="S225" s="614">
        <v>1</v>
      </c>
      <c r="T225" s="615">
        <v>111</v>
      </c>
      <c r="U225" s="588"/>
      <c r="V225" s="616"/>
      <c r="W225" s="617"/>
      <c r="X225" s="543"/>
    </row>
    <row r="226" spans="1:24" s="544" customFormat="1" x14ac:dyDescent="0.3">
      <c r="A226" s="618"/>
      <c r="B226" s="556" t="s">
        <v>145</v>
      </c>
      <c r="C226" s="598"/>
      <c r="D226" s="598"/>
      <c r="E226" s="598"/>
      <c r="F226" s="556"/>
      <c r="G226" s="556"/>
      <c r="H226" s="562"/>
      <c r="I226" s="562"/>
      <c r="J226" s="562"/>
      <c r="K226" s="562"/>
      <c r="L226" s="562"/>
      <c r="M226" s="562"/>
      <c r="N226" s="562"/>
      <c r="O226" s="562"/>
      <c r="P226" s="562"/>
      <c r="Q226" s="562"/>
      <c r="R226" s="562"/>
      <c r="S226" s="619">
        <f>+R278</f>
        <v>113</v>
      </c>
      <c r="T226" s="620">
        <f>+T278</f>
        <v>17633</v>
      </c>
      <c r="U226" s="556"/>
      <c r="V226" s="621"/>
      <c r="W226" s="622"/>
      <c r="X226" s="543"/>
    </row>
    <row r="227" spans="1:24" s="544" customFormat="1" x14ac:dyDescent="0.3">
      <c r="A227" s="618"/>
      <c r="B227" s="556" t="s">
        <v>81</v>
      </c>
      <c r="C227" s="598"/>
      <c r="D227" s="598"/>
      <c r="E227" s="598"/>
      <c r="F227" s="556"/>
      <c r="G227" s="556"/>
      <c r="H227" s="562"/>
      <c r="I227" s="562"/>
      <c r="J227" s="562"/>
      <c r="K227" s="562"/>
      <c r="L227" s="562"/>
      <c r="M227" s="562"/>
      <c r="N227" s="562"/>
      <c r="O227" s="562"/>
      <c r="P227" s="562"/>
      <c r="Q227" s="562"/>
      <c r="R227" s="562"/>
      <c r="S227" s="619">
        <f>+R300</f>
        <v>1</v>
      </c>
      <c r="T227" s="620">
        <f>+T300</f>
        <v>89</v>
      </c>
      <c r="U227" s="556"/>
      <c r="V227" s="621"/>
      <c r="W227" s="622"/>
      <c r="X227" s="543"/>
    </row>
    <row r="228" spans="1:24" x14ac:dyDescent="0.3">
      <c r="A228" s="466"/>
      <c r="B228" s="493" t="s">
        <v>82</v>
      </c>
      <c r="C228" s="467"/>
      <c r="D228" s="467"/>
      <c r="E228" s="467"/>
      <c r="F228" s="434"/>
      <c r="G228" s="434"/>
      <c r="H228" s="434"/>
      <c r="I228" s="434"/>
      <c r="J228" s="434"/>
      <c r="K228" s="434"/>
      <c r="L228" s="434"/>
      <c r="M228" s="434"/>
      <c r="N228" s="434"/>
      <c r="O228" s="434"/>
      <c r="P228" s="434"/>
      <c r="Q228" s="434"/>
      <c r="R228" s="434"/>
      <c r="S228" s="434"/>
      <c r="T228" s="620">
        <v>0</v>
      </c>
      <c r="U228" s="434"/>
      <c r="V228" s="468"/>
      <c r="W228" s="469"/>
      <c r="X228" s="415"/>
    </row>
    <row r="229" spans="1:24" x14ac:dyDescent="0.3">
      <c r="A229" s="466"/>
      <c r="B229" s="493" t="s">
        <v>243</v>
      </c>
      <c r="C229" s="467"/>
      <c r="D229" s="467"/>
      <c r="E229" s="467"/>
      <c r="F229" s="434"/>
      <c r="G229" s="434"/>
      <c r="H229" s="434"/>
      <c r="I229" s="434"/>
      <c r="J229" s="434"/>
      <c r="K229" s="434"/>
      <c r="L229" s="434"/>
      <c r="M229" s="434"/>
      <c r="N229" s="434"/>
      <c r="O229" s="434"/>
      <c r="P229" s="434"/>
      <c r="Q229" s="434"/>
      <c r="R229" s="434"/>
      <c r="S229" s="434"/>
      <c r="T229" s="620">
        <f>+N80</f>
        <v>0</v>
      </c>
      <c r="U229" s="434"/>
      <c r="V229" s="468"/>
      <c r="W229" s="469"/>
      <c r="X229" s="415"/>
    </row>
    <row r="230" spans="1:24" x14ac:dyDescent="0.3">
      <c r="A230" s="470"/>
      <c r="B230" s="493" t="s">
        <v>83</v>
      </c>
      <c r="C230" s="471"/>
      <c r="D230" s="471"/>
      <c r="E230" s="471"/>
      <c r="F230" s="471"/>
      <c r="G230" s="434"/>
      <c r="H230" s="434"/>
      <c r="I230" s="434"/>
      <c r="J230" s="434"/>
      <c r="K230" s="434"/>
      <c r="L230" s="434"/>
      <c r="M230" s="434"/>
      <c r="N230" s="434"/>
      <c r="O230" s="434"/>
      <c r="P230" s="434"/>
      <c r="Q230" s="434"/>
      <c r="R230" s="434"/>
      <c r="S230" s="434"/>
      <c r="T230" s="472"/>
      <c r="U230" s="434"/>
      <c r="V230" s="468"/>
      <c r="W230" s="473"/>
      <c r="X230" s="415"/>
    </row>
    <row r="231" spans="1:24" s="544" customFormat="1" x14ac:dyDescent="0.3">
      <c r="A231" s="623"/>
      <c r="B231" s="556" t="s">
        <v>84</v>
      </c>
      <c r="C231" s="556"/>
      <c r="D231" s="556"/>
      <c r="E231" s="556"/>
      <c r="F231" s="556"/>
      <c r="G231" s="556"/>
      <c r="H231" s="556"/>
      <c r="I231" s="556"/>
      <c r="J231" s="556"/>
      <c r="K231" s="556"/>
      <c r="L231" s="556"/>
      <c r="M231" s="556"/>
      <c r="N231" s="556"/>
      <c r="O231" s="556"/>
      <c r="P231" s="556"/>
      <c r="Q231" s="556"/>
      <c r="R231" s="556"/>
      <c r="S231" s="562"/>
      <c r="T231" s="620">
        <f>V169</f>
        <v>219</v>
      </c>
      <c r="U231" s="556"/>
      <c r="V231" s="621"/>
      <c r="W231" s="624"/>
      <c r="X231" s="543"/>
    </row>
    <row r="232" spans="1:24" s="544" customFormat="1" x14ac:dyDescent="0.3">
      <c r="A232" s="618"/>
      <c r="B232" s="556" t="s">
        <v>85</v>
      </c>
      <c r="C232" s="598"/>
      <c r="D232" s="598"/>
      <c r="E232" s="598"/>
      <c r="F232" s="598"/>
      <c r="G232" s="556"/>
      <c r="H232" s="556"/>
      <c r="I232" s="556"/>
      <c r="J232" s="556"/>
      <c r="K232" s="556"/>
      <c r="L232" s="556"/>
      <c r="M232" s="556"/>
      <c r="N232" s="556"/>
      <c r="O232" s="556"/>
      <c r="P232" s="556"/>
      <c r="Q232" s="556"/>
      <c r="R232" s="556"/>
      <c r="S232" s="562"/>
      <c r="T232" s="620">
        <f>'Feb 20'!T232+T231</f>
        <v>9376</v>
      </c>
      <c r="U232" s="556"/>
      <c r="V232" s="621"/>
      <c r="W232" s="624"/>
      <c r="X232" s="543"/>
    </row>
    <row r="233" spans="1:24" x14ac:dyDescent="0.3">
      <c r="A233" s="470"/>
      <c r="B233" s="493" t="s">
        <v>295</v>
      </c>
      <c r="C233" s="471"/>
      <c r="D233" s="471"/>
      <c r="E233" s="471"/>
      <c r="F233" s="471"/>
      <c r="G233" s="434"/>
      <c r="H233" s="434"/>
      <c r="I233" s="434"/>
      <c r="J233" s="434"/>
      <c r="K233" s="434"/>
      <c r="L233" s="434"/>
      <c r="M233" s="434"/>
      <c r="N233" s="434"/>
      <c r="O233" s="434"/>
      <c r="P233" s="434"/>
      <c r="Q233" s="434"/>
      <c r="R233" s="434"/>
      <c r="S233" s="435"/>
      <c r="T233" s="472"/>
      <c r="U233" s="434"/>
      <c r="V233" s="468"/>
      <c r="W233" s="473"/>
      <c r="X233" s="415"/>
    </row>
    <row r="234" spans="1:24" s="544" customFormat="1" x14ac:dyDescent="0.3">
      <c r="A234" s="623"/>
      <c r="B234" s="556" t="s">
        <v>291</v>
      </c>
      <c r="C234" s="556"/>
      <c r="D234" s="556"/>
      <c r="E234" s="556"/>
      <c r="F234" s="556"/>
      <c r="G234" s="556"/>
      <c r="H234" s="556"/>
      <c r="I234" s="556"/>
      <c r="J234" s="556"/>
      <c r="K234" s="556"/>
      <c r="L234" s="556"/>
      <c r="M234" s="556"/>
      <c r="N234" s="556"/>
      <c r="O234" s="556"/>
      <c r="P234" s="556"/>
      <c r="Q234" s="556"/>
      <c r="R234" s="556"/>
      <c r="S234" s="562">
        <v>0</v>
      </c>
      <c r="T234" s="620">
        <v>0</v>
      </c>
      <c r="U234" s="556"/>
      <c r="V234" s="621"/>
      <c r="W234" s="624"/>
      <c r="X234" s="543"/>
    </row>
    <row r="235" spans="1:24" s="544" customFormat="1" x14ac:dyDescent="0.3">
      <c r="A235" s="618"/>
      <c r="B235" s="556" t="s">
        <v>86</v>
      </c>
      <c r="C235" s="578"/>
      <c r="D235" s="578"/>
      <c r="E235" s="578"/>
      <c r="F235" s="625"/>
      <c r="G235" s="556"/>
      <c r="H235" s="556"/>
      <c r="I235" s="556"/>
      <c r="J235" s="556"/>
      <c r="K235" s="556"/>
      <c r="L235" s="556"/>
      <c r="M235" s="556"/>
      <c r="N235" s="556"/>
      <c r="O235" s="556"/>
      <c r="P235" s="556"/>
      <c r="Q235" s="556"/>
      <c r="R235" s="556"/>
      <c r="S235" s="556"/>
      <c r="T235" s="626">
        <v>0</v>
      </c>
      <c r="U235" s="556"/>
      <c r="V235" s="621"/>
      <c r="W235" s="624"/>
      <c r="X235" s="543"/>
    </row>
    <row r="236" spans="1:24" s="544" customFormat="1" x14ac:dyDescent="0.3">
      <c r="A236" s="618"/>
      <c r="B236" s="556" t="s">
        <v>87</v>
      </c>
      <c r="C236" s="578"/>
      <c r="D236" s="578"/>
      <c r="E236" s="578"/>
      <c r="F236" s="625"/>
      <c r="G236" s="556"/>
      <c r="H236" s="556"/>
      <c r="I236" s="556"/>
      <c r="J236" s="556"/>
      <c r="K236" s="556"/>
      <c r="L236" s="556"/>
      <c r="M236" s="556"/>
      <c r="N236" s="556"/>
      <c r="O236" s="556"/>
      <c r="P236" s="556"/>
      <c r="Q236" s="556"/>
      <c r="R236" s="556"/>
      <c r="S236" s="556"/>
      <c r="T236" s="626">
        <v>0</v>
      </c>
      <c r="U236" s="556"/>
      <c r="V236" s="621"/>
      <c r="W236" s="624"/>
      <c r="X236" s="543"/>
    </row>
    <row r="237" spans="1:24" x14ac:dyDescent="0.3">
      <c r="A237" s="466"/>
      <c r="B237" s="493" t="s">
        <v>217</v>
      </c>
      <c r="C237" s="474"/>
      <c r="D237" s="474"/>
      <c r="E237" s="474"/>
      <c r="F237" s="475"/>
      <c r="G237" s="434"/>
      <c r="H237" s="434"/>
      <c r="I237" s="434"/>
      <c r="J237" s="434"/>
      <c r="K237" s="434"/>
      <c r="L237" s="434"/>
      <c r="M237" s="434"/>
      <c r="N237" s="434"/>
      <c r="O237" s="434"/>
      <c r="P237" s="434"/>
      <c r="Q237" s="434"/>
      <c r="R237" s="434"/>
      <c r="S237" s="434"/>
      <c r="T237" s="476"/>
      <c r="U237" s="434"/>
      <c r="V237" s="468"/>
      <c r="W237" s="473"/>
      <c r="X237" s="415"/>
    </row>
    <row r="238" spans="1:24" s="544" customFormat="1" x14ac:dyDescent="0.3">
      <c r="A238" s="618"/>
      <c r="B238" s="556" t="s">
        <v>291</v>
      </c>
      <c r="C238" s="578"/>
      <c r="D238" s="578"/>
      <c r="E238" s="578"/>
      <c r="F238" s="625"/>
      <c r="G238" s="556"/>
      <c r="H238" s="556"/>
      <c r="I238" s="556"/>
      <c r="J238" s="556"/>
      <c r="K238" s="556"/>
      <c r="L238" s="556"/>
      <c r="M238" s="556"/>
      <c r="N238" s="556"/>
      <c r="O238" s="556"/>
      <c r="P238" s="556"/>
      <c r="Q238" s="556"/>
      <c r="R238" s="556"/>
      <c r="S238" s="562">
        <v>3</v>
      </c>
      <c r="T238" s="620">
        <v>605</v>
      </c>
      <c r="U238" s="556"/>
      <c r="V238" s="621"/>
      <c r="W238" s="624"/>
      <c r="X238" s="543"/>
    </row>
    <row r="239" spans="1:24" s="544" customFormat="1" x14ac:dyDescent="0.3">
      <c r="A239" s="618"/>
      <c r="B239" s="556" t="s">
        <v>218</v>
      </c>
      <c r="C239" s="578"/>
      <c r="D239" s="578"/>
      <c r="E239" s="578"/>
      <c r="F239" s="625"/>
      <c r="G239" s="556"/>
      <c r="H239" s="556"/>
      <c r="I239" s="556"/>
      <c r="J239" s="556"/>
      <c r="K239" s="556"/>
      <c r="L239" s="556"/>
      <c r="M239" s="556"/>
      <c r="N239" s="556"/>
      <c r="O239" s="556"/>
      <c r="P239" s="556"/>
      <c r="Q239" s="556"/>
      <c r="R239" s="556"/>
      <c r="S239" s="556"/>
      <c r="T239" s="626">
        <v>1.82</v>
      </c>
      <c r="U239" s="556"/>
      <c r="V239" s="621"/>
      <c r="W239" s="624"/>
      <c r="X239" s="543"/>
    </row>
    <row r="240" spans="1:24" x14ac:dyDescent="0.3">
      <c r="A240" s="466"/>
      <c r="B240" s="471"/>
      <c r="C240" s="474"/>
      <c r="D240" s="474"/>
      <c r="E240" s="474"/>
      <c r="F240" s="475"/>
      <c r="G240" s="434"/>
      <c r="H240" s="434"/>
      <c r="I240" s="434"/>
      <c r="J240" s="434"/>
      <c r="K240" s="434"/>
      <c r="L240" s="434"/>
      <c r="M240" s="434"/>
      <c r="N240" s="434"/>
      <c r="O240" s="434"/>
      <c r="P240" s="434"/>
      <c r="Q240" s="434"/>
      <c r="R240" s="434"/>
      <c r="S240" s="434"/>
      <c r="T240" s="476"/>
      <c r="U240" s="434"/>
      <c r="V240" s="468"/>
      <c r="W240" s="473"/>
      <c r="X240" s="415"/>
    </row>
    <row r="241" spans="1:25" x14ac:dyDescent="0.3">
      <c r="A241" s="466"/>
      <c r="B241" s="471"/>
      <c r="C241" s="474"/>
      <c r="D241" s="474"/>
      <c r="E241" s="474"/>
      <c r="F241" s="475"/>
      <c r="G241" s="434"/>
      <c r="H241" s="434"/>
      <c r="I241" s="434"/>
      <c r="J241" s="434"/>
      <c r="K241" s="434"/>
      <c r="L241" s="434"/>
      <c r="M241" s="434"/>
      <c r="N241" s="434"/>
      <c r="O241" s="434"/>
      <c r="P241" s="434"/>
      <c r="Q241" s="434"/>
      <c r="R241" s="434"/>
      <c r="S241" s="434"/>
      <c r="T241" s="476"/>
      <c r="U241" s="434"/>
      <c r="V241" s="468"/>
      <c r="W241" s="473"/>
      <c r="X241" s="415"/>
    </row>
    <row r="242" spans="1:25" ht="18" x14ac:dyDescent="0.35">
      <c r="A242" s="466"/>
      <c r="B242" s="512" t="s">
        <v>168</v>
      </c>
      <c r="C242" s="474"/>
      <c r="D242" s="474"/>
      <c r="E242" s="474"/>
      <c r="F242" s="475"/>
      <c r="G242" s="434"/>
      <c r="H242" s="434"/>
      <c r="I242" s="434"/>
      <c r="J242" s="434"/>
      <c r="K242" s="434"/>
      <c r="L242" s="434"/>
      <c r="M242" s="434"/>
      <c r="N242" s="434"/>
      <c r="O242" s="434"/>
      <c r="P242" s="513" t="s">
        <v>371</v>
      </c>
      <c r="Q242" s="434"/>
      <c r="R242" s="434"/>
      <c r="S242" s="434"/>
      <c r="T242" s="476"/>
      <c r="U242" s="434"/>
      <c r="V242" s="468"/>
      <c r="W242" s="473"/>
      <c r="X242" s="415"/>
    </row>
    <row r="243" spans="1:25" x14ac:dyDescent="0.3">
      <c r="A243" s="477"/>
      <c r="B243" s="511"/>
      <c r="C243" s="478"/>
      <c r="D243" s="478"/>
      <c r="E243" s="478"/>
      <c r="F243" s="479"/>
      <c r="G243" s="441"/>
      <c r="H243" s="441"/>
      <c r="I243" s="441"/>
      <c r="J243" s="441"/>
      <c r="K243" s="441"/>
      <c r="L243" s="441"/>
      <c r="M243" s="441"/>
      <c r="N243" s="441"/>
      <c r="O243" s="441"/>
      <c r="P243" s="441"/>
      <c r="Q243" s="441"/>
      <c r="R243" s="441"/>
      <c r="S243" s="441"/>
      <c r="T243" s="480"/>
      <c r="U243" s="441"/>
      <c r="V243" s="481"/>
      <c r="W243" s="482"/>
      <c r="X243" s="415"/>
    </row>
    <row r="244" spans="1:25" x14ac:dyDescent="0.3">
      <c r="A244" s="515"/>
      <c r="B244" s="523" t="s">
        <v>308</v>
      </c>
      <c r="C244" s="524"/>
      <c r="D244" s="524"/>
      <c r="E244" s="524"/>
      <c r="F244" s="534"/>
      <c r="G244" s="524"/>
      <c r="H244" s="524"/>
      <c r="I244" s="524"/>
      <c r="J244" s="524"/>
      <c r="K244" s="524"/>
      <c r="L244" s="524"/>
      <c r="M244" s="524"/>
      <c r="N244" s="524"/>
      <c r="O244" s="524"/>
      <c r="P244" s="524"/>
      <c r="Q244" s="524"/>
      <c r="R244" s="534" t="s">
        <v>102</v>
      </c>
      <c r="S244" s="524" t="s">
        <v>103</v>
      </c>
      <c r="T244" s="534" t="s">
        <v>109</v>
      </c>
      <c r="U244" s="524" t="s">
        <v>103</v>
      </c>
      <c r="V244" s="517"/>
      <c r="W244" s="535"/>
      <c r="X244" s="415"/>
    </row>
    <row r="245" spans="1:25" s="544" customFormat="1" x14ac:dyDescent="0.3">
      <c r="A245" s="540"/>
      <c r="B245" s="600" t="s">
        <v>88</v>
      </c>
      <c r="C245" s="627"/>
      <c r="D245" s="627"/>
      <c r="E245" s="627"/>
      <c r="F245" s="588"/>
      <c r="G245" s="627"/>
      <c r="H245" s="627"/>
      <c r="I245" s="627"/>
      <c r="J245" s="627"/>
      <c r="K245" s="627"/>
      <c r="L245" s="627"/>
      <c r="M245" s="627"/>
      <c r="N245" s="627"/>
      <c r="O245" s="627"/>
      <c r="P245" s="627"/>
      <c r="Q245" s="627"/>
      <c r="R245" s="600">
        <f t="shared" ref="R245:R252" si="1">+R257+R269+R291</f>
        <v>5228</v>
      </c>
      <c r="S245" s="628">
        <f t="shared" ref="S245:S252" si="2">R245/$R$254</f>
        <v>0.9886535552193646</v>
      </c>
      <c r="T245" s="601">
        <f t="shared" ref="T245:T252" si="3">+T257+T269+T291</f>
        <v>706270</v>
      </c>
      <c r="U245" s="628">
        <f t="shared" ref="U245:U252" si="4">T245/$T$254</f>
        <v>0.98557920413505928</v>
      </c>
      <c r="V245" s="616"/>
      <c r="W245" s="629"/>
      <c r="X245" s="543"/>
    </row>
    <row r="246" spans="1:25" s="544" customFormat="1" x14ac:dyDescent="0.3">
      <c r="A246" s="555"/>
      <c r="B246" s="598" t="s">
        <v>89</v>
      </c>
      <c r="C246" s="630"/>
      <c r="D246" s="630"/>
      <c r="E246" s="630"/>
      <c r="F246" s="556"/>
      <c r="G246" s="631"/>
      <c r="H246" s="630"/>
      <c r="I246" s="630"/>
      <c r="J246" s="630"/>
      <c r="K246" s="630"/>
      <c r="L246" s="630"/>
      <c r="M246" s="630"/>
      <c r="N246" s="630"/>
      <c r="O246" s="630"/>
      <c r="P246" s="630"/>
      <c r="Q246" s="630"/>
      <c r="R246" s="598">
        <f t="shared" si="1"/>
        <v>22</v>
      </c>
      <c r="S246" s="631">
        <f t="shared" si="2"/>
        <v>4.1603630862329802E-3</v>
      </c>
      <c r="T246" s="599">
        <f t="shared" si="3"/>
        <v>5188</v>
      </c>
      <c r="U246" s="631">
        <f t="shared" si="4"/>
        <v>7.2397028205257018E-3</v>
      </c>
      <c r="V246" s="621"/>
      <c r="W246" s="624"/>
      <c r="X246" s="543"/>
      <c r="Y246" s="604"/>
    </row>
    <row r="247" spans="1:25" s="544" customFormat="1" x14ac:dyDescent="0.3">
      <c r="A247" s="555"/>
      <c r="B247" s="598" t="s">
        <v>90</v>
      </c>
      <c r="C247" s="630"/>
      <c r="D247" s="630"/>
      <c r="E247" s="630"/>
      <c r="F247" s="556"/>
      <c r="G247" s="631"/>
      <c r="H247" s="630"/>
      <c r="I247" s="630"/>
      <c r="J247" s="630"/>
      <c r="K247" s="630"/>
      <c r="L247" s="630"/>
      <c r="M247" s="630"/>
      <c r="N247" s="630"/>
      <c r="O247" s="630"/>
      <c r="P247" s="630"/>
      <c r="Q247" s="630"/>
      <c r="R247" s="598">
        <f t="shared" si="1"/>
        <v>14</v>
      </c>
      <c r="S247" s="631">
        <f t="shared" si="2"/>
        <v>2.6475037821482601E-3</v>
      </c>
      <c r="T247" s="599">
        <f t="shared" si="3"/>
        <v>1931</v>
      </c>
      <c r="U247" s="631">
        <f t="shared" si="4"/>
        <v>2.6946542302303642E-3</v>
      </c>
      <c r="V247" s="621"/>
      <c r="W247" s="624"/>
      <c r="X247" s="543"/>
    </row>
    <row r="248" spans="1:25" s="544" customFormat="1" x14ac:dyDescent="0.3">
      <c r="A248" s="555"/>
      <c r="B248" s="598" t="s">
        <v>156</v>
      </c>
      <c r="C248" s="630"/>
      <c r="D248" s="630"/>
      <c r="E248" s="630"/>
      <c r="F248" s="556"/>
      <c r="G248" s="631"/>
      <c r="H248" s="630"/>
      <c r="I248" s="630"/>
      <c r="J248" s="630"/>
      <c r="K248" s="630"/>
      <c r="L248" s="630"/>
      <c r="M248" s="630"/>
      <c r="N248" s="630"/>
      <c r="O248" s="630"/>
      <c r="P248" s="630"/>
      <c r="Q248" s="630"/>
      <c r="R248" s="598">
        <f t="shared" si="1"/>
        <v>4</v>
      </c>
      <c r="S248" s="631">
        <f t="shared" si="2"/>
        <v>7.5642965204236008E-4</v>
      </c>
      <c r="T248" s="599">
        <f t="shared" si="3"/>
        <v>483</v>
      </c>
      <c r="U248" s="631">
        <f t="shared" si="4"/>
        <v>6.7401242527253549E-4</v>
      </c>
      <c r="V248" s="621"/>
      <c r="W248" s="624"/>
      <c r="X248" s="543"/>
      <c r="Y248" s="604"/>
    </row>
    <row r="249" spans="1:25" s="544" customFormat="1" x14ac:dyDescent="0.3">
      <c r="A249" s="555"/>
      <c r="B249" s="598" t="s">
        <v>157</v>
      </c>
      <c r="C249" s="630"/>
      <c r="D249" s="630"/>
      <c r="E249" s="630"/>
      <c r="F249" s="556"/>
      <c r="G249" s="631"/>
      <c r="H249" s="630"/>
      <c r="I249" s="630"/>
      <c r="J249" s="630"/>
      <c r="K249" s="630"/>
      <c r="L249" s="630"/>
      <c r="M249" s="630"/>
      <c r="N249" s="630"/>
      <c r="O249" s="630"/>
      <c r="P249" s="630"/>
      <c r="Q249" s="630"/>
      <c r="R249" s="598">
        <f t="shared" si="1"/>
        <v>6</v>
      </c>
      <c r="S249" s="631">
        <f t="shared" si="2"/>
        <v>1.1346444780635401E-3</v>
      </c>
      <c r="T249" s="599">
        <f t="shared" si="3"/>
        <v>733</v>
      </c>
      <c r="U249" s="631">
        <f t="shared" si="4"/>
        <v>1.022880140216912E-3</v>
      </c>
      <c r="V249" s="621"/>
      <c r="W249" s="624"/>
      <c r="X249" s="543"/>
    </row>
    <row r="250" spans="1:25" s="544" customFormat="1" x14ac:dyDescent="0.3">
      <c r="A250" s="555"/>
      <c r="B250" s="598" t="s">
        <v>158</v>
      </c>
      <c r="C250" s="630"/>
      <c r="D250" s="630"/>
      <c r="E250" s="630"/>
      <c r="F250" s="556"/>
      <c r="G250" s="631"/>
      <c r="H250" s="630"/>
      <c r="I250" s="630"/>
      <c r="J250" s="630"/>
      <c r="K250" s="630"/>
      <c r="L250" s="630"/>
      <c r="M250" s="630"/>
      <c r="N250" s="630"/>
      <c r="O250" s="630"/>
      <c r="P250" s="630"/>
      <c r="Q250" s="630"/>
      <c r="R250" s="598">
        <f t="shared" si="1"/>
        <v>6</v>
      </c>
      <c r="S250" s="631">
        <f t="shared" si="2"/>
        <v>1.1346444780635401E-3</v>
      </c>
      <c r="T250" s="599">
        <f t="shared" si="3"/>
        <v>956</v>
      </c>
      <c r="U250" s="631">
        <f t="shared" si="4"/>
        <v>1.3340701419472958E-3</v>
      </c>
      <c r="V250" s="621"/>
      <c r="W250" s="624"/>
      <c r="X250" s="543"/>
      <c r="Y250" s="604"/>
    </row>
    <row r="251" spans="1:25" s="544" customFormat="1" x14ac:dyDescent="0.3">
      <c r="A251" s="555"/>
      <c r="B251" s="598" t="s">
        <v>159</v>
      </c>
      <c r="C251" s="630"/>
      <c r="D251" s="630"/>
      <c r="E251" s="630"/>
      <c r="F251" s="556"/>
      <c r="G251" s="631"/>
      <c r="H251" s="630"/>
      <c r="I251" s="630"/>
      <c r="J251" s="630"/>
      <c r="K251" s="630"/>
      <c r="L251" s="630"/>
      <c r="M251" s="630"/>
      <c r="N251" s="630"/>
      <c r="O251" s="630"/>
      <c r="P251" s="630"/>
      <c r="Q251" s="630"/>
      <c r="R251" s="598">
        <f t="shared" si="1"/>
        <v>6</v>
      </c>
      <c r="S251" s="631">
        <f t="shared" si="2"/>
        <v>1.1346444780635401E-3</v>
      </c>
      <c r="T251" s="599">
        <f t="shared" si="3"/>
        <v>735</v>
      </c>
      <c r="U251" s="631">
        <f t="shared" si="4"/>
        <v>1.0256710819364671E-3</v>
      </c>
      <c r="V251" s="621"/>
      <c r="W251" s="624"/>
      <c r="X251" s="543"/>
    </row>
    <row r="252" spans="1:25" s="544" customFormat="1" x14ac:dyDescent="0.3">
      <c r="A252" s="555"/>
      <c r="B252" s="598" t="s">
        <v>160</v>
      </c>
      <c r="C252" s="630"/>
      <c r="D252" s="630"/>
      <c r="E252" s="630"/>
      <c r="F252" s="556"/>
      <c r="G252" s="631"/>
      <c r="H252" s="630"/>
      <c r="I252" s="630"/>
      <c r="J252" s="630"/>
      <c r="K252" s="630"/>
      <c r="L252" s="630"/>
      <c r="M252" s="630"/>
      <c r="N252" s="630"/>
      <c r="O252" s="630"/>
      <c r="P252" s="630"/>
      <c r="Q252" s="630"/>
      <c r="R252" s="600">
        <f t="shared" si="1"/>
        <v>2</v>
      </c>
      <c r="S252" s="628">
        <f t="shared" si="2"/>
        <v>3.7821482602118004E-4</v>
      </c>
      <c r="T252" s="601">
        <f t="shared" si="3"/>
        <v>308</v>
      </c>
      <c r="U252" s="628">
        <f t="shared" si="4"/>
        <v>4.298050248114719E-4</v>
      </c>
      <c r="V252" s="621"/>
      <c r="W252" s="624"/>
      <c r="X252" s="543"/>
      <c r="Y252" s="604"/>
    </row>
    <row r="253" spans="1:25" s="544" customFormat="1" x14ac:dyDescent="0.3">
      <c r="A253" s="555"/>
      <c r="B253" s="598"/>
      <c r="C253" s="630"/>
      <c r="D253" s="630"/>
      <c r="E253" s="630"/>
      <c r="F253" s="556"/>
      <c r="G253" s="631"/>
      <c r="H253" s="630"/>
      <c r="I253" s="630"/>
      <c r="J253" s="630"/>
      <c r="K253" s="630"/>
      <c r="L253" s="630"/>
      <c r="M253" s="630"/>
      <c r="N253" s="630"/>
      <c r="O253" s="630"/>
      <c r="P253" s="630"/>
      <c r="Q253" s="630"/>
      <c r="R253" s="598"/>
      <c r="S253" s="631"/>
      <c r="T253" s="599"/>
      <c r="U253" s="631"/>
      <c r="V253" s="621"/>
      <c r="W253" s="624"/>
      <c r="X253" s="543"/>
    </row>
    <row r="254" spans="1:25" s="544" customFormat="1" x14ac:dyDescent="0.3">
      <c r="A254" s="555"/>
      <c r="B254" s="556" t="s">
        <v>114</v>
      </c>
      <c r="C254" s="556"/>
      <c r="D254" s="556"/>
      <c r="E254" s="556"/>
      <c r="F254" s="556"/>
      <c r="G254" s="556"/>
      <c r="H254" s="632"/>
      <c r="I254" s="632"/>
      <c r="J254" s="632"/>
      <c r="K254" s="632"/>
      <c r="L254" s="632"/>
      <c r="M254" s="632"/>
      <c r="N254" s="632"/>
      <c r="O254" s="632"/>
      <c r="P254" s="632"/>
      <c r="Q254" s="632"/>
      <c r="R254" s="598">
        <f>SUM(R245:R253)</f>
        <v>5288</v>
      </c>
      <c r="S254" s="631">
        <f>SUM(S245:S253)</f>
        <v>1</v>
      </c>
      <c r="T254" s="599">
        <f>SUM(T245:T253)</f>
        <v>716604</v>
      </c>
      <c r="U254" s="631">
        <f>SUM(U245:U253)</f>
        <v>1</v>
      </c>
      <c r="V254" s="556"/>
      <c r="W254" s="558"/>
      <c r="X254" s="543"/>
    </row>
    <row r="255" spans="1:25" x14ac:dyDescent="0.3">
      <c r="A255" s="417"/>
      <c r="B255" s="441"/>
      <c r="C255" s="441"/>
      <c r="D255" s="441"/>
      <c r="E255" s="441"/>
      <c r="F255" s="441"/>
      <c r="G255" s="441"/>
      <c r="H255" s="485"/>
      <c r="I255" s="485"/>
      <c r="J255" s="485"/>
      <c r="K255" s="485"/>
      <c r="L255" s="485"/>
      <c r="M255" s="485"/>
      <c r="N255" s="485"/>
      <c r="O255" s="485"/>
      <c r="P255" s="485"/>
      <c r="Q255" s="485"/>
      <c r="R255" s="442"/>
      <c r="S255" s="486"/>
      <c r="T255" s="487"/>
      <c r="U255" s="486"/>
      <c r="V255" s="441"/>
      <c r="W255" s="441"/>
      <c r="X255" s="415"/>
    </row>
    <row r="256" spans="1:25" x14ac:dyDescent="0.3">
      <c r="A256" s="515"/>
      <c r="B256" s="523" t="s">
        <v>162</v>
      </c>
      <c r="C256" s="524"/>
      <c r="D256" s="524"/>
      <c r="E256" s="524"/>
      <c r="F256" s="534"/>
      <c r="G256" s="524"/>
      <c r="H256" s="524"/>
      <c r="I256" s="524"/>
      <c r="J256" s="524"/>
      <c r="K256" s="524"/>
      <c r="L256" s="524"/>
      <c r="M256" s="524"/>
      <c r="N256" s="524"/>
      <c r="O256" s="524"/>
      <c r="P256" s="524"/>
      <c r="Q256" s="524"/>
      <c r="R256" s="534" t="s">
        <v>102</v>
      </c>
      <c r="S256" s="524" t="s">
        <v>103</v>
      </c>
      <c r="T256" s="534" t="s">
        <v>109</v>
      </c>
      <c r="U256" s="524" t="s">
        <v>103</v>
      </c>
      <c r="V256" s="517"/>
      <c r="W256" s="535"/>
      <c r="X256" s="415"/>
    </row>
    <row r="257" spans="1:25" s="544" customFormat="1" x14ac:dyDescent="0.3">
      <c r="A257" s="540"/>
      <c r="B257" s="600" t="s">
        <v>88</v>
      </c>
      <c r="C257" s="627"/>
      <c r="D257" s="627"/>
      <c r="E257" s="627"/>
      <c r="F257" s="588"/>
      <c r="G257" s="627"/>
      <c r="H257" s="627"/>
      <c r="I257" s="627"/>
      <c r="J257" s="627"/>
      <c r="K257" s="627"/>
      <c r="L257" s="627"/>
      <c r="M257" s="627"/>
      <c r="N257" s="627"/>
      <c r="O257" s="627"/>
      <c r="P257" s="627"/>
      <c r="Q257" s="627"/>
      <c r="R257" s="600">
        <v>5136</v>
      </c>
      <c r="S257" s="628">
        <f t="shared" ref="S257:S264" si="5">R257/$R$266</f>
        <v>0.99265558562040979</v>
      </c>
      <c r="T257" s="601">
        <v>691678</v>
      </c>
      <c r="U257" s="628">
        <f t="shared" ref="U257:U264" si="6">T257/$T$266</f>
        <v>0.98969210825289533</v>
      </c>
      <c r="V257" s="616"/>
      <c r="W257" s="629"/>
      <c r="X257" s="543"/>
    </row>
    <row r="258" spans="1:25" s="544" customFormat="1" x14ac:dyDescent="0.3">
      <c r="A258" s="555"/>
      <c r="B258" s="598" t="s">
        <v>89</v>
      </c>
      <c r="C258" s="630"/>
      <c r="D258" s="630"/>
      <c r="E258" s="630"/>
      <c r="F258" s="556"/>
      <c r="G258" s="631"/>
      <c r="H258" s="630"/>
      <c r="I258" s="630"/>
      <c r="J258" s="630"/>
      <c r="K258" s="630"/>
      <c r="L258" s="630"/>
      <c r="M258" s="630"/>
      <c r="N258" s="630"/>
      <c r="O258" s="630"/>
      <c r="P258" s="630"/>
      <c r="Q258" s="630"/>
      <c r="R258" s="598">
        <v>21</v>
      </c>
      <c r="S258" s="631">
        <f t="shared" si="5"/>
        <v>4.0587553150367222E-3</v>
      </c>
      <c r="T258" s="599">
        <v>5042</v>
      </c>
      <c r="U258" s="631">
        <f t="shared" si="6"/>
        <v>7.2143795376043455E-3</v>
      </c>
      <c r="V258" s="621"/>
      <c r="W258" s="624"/>
      <c r="X258" s="543"/>
      <c r="Y258" s="604"/>
    </row>
    <row r="259" spans="1:25" s="544" customFormat="1" x14ac:dyDescent="0.3">
      <c r="A259" s="555"/>
      <c r="B259" s="598" t="s">
        <v>90</v>
      </c>
      <c r="C259" s="630"/>
      <c r="D259" s="630"/>
      <c r="E259" s="630"/>
      <c r="F259" s="556"/>
      <c r="G259" s="631"/>
      <c r="H259" s="630"/>
      <c r="I259" s="630"/>
      <c r="J259" s="630"/>
      <c r="K259" s="630"/>
      <c r="L259" s="630"/>
      <c r="M259" s="630"/>
      <c r="N259" s="630"/>
      <c r="O259" s="630"/>
      <c r="P259" s="630"/>
      <c r="Q259" s="630"/>
      <c r="R259" s="598">
        <v>11</v>
      </c>
      <c r="S259" s="631">
        <f t="shared" si="5"/>
        <v>2.1260146888287591E-3</v>
      </c>
      <c r="T259" s="599">
        <v>1550</v>
      </c>
      <c r="U259" s="631">
        <f t="shared" si="6"/>
        <v>2.21782790227821E-3</v>
      </c>
      <c r="V259" s="621"/>
      <c r="W259" s="624"/>
      <c r="X259" s="543"/>
    </row>
    <row r="260" spans="1:25" s="544" customFormat="1" x14ac:dyDescent="0.3">
      <c r="A260" s="555"/>
      <c r="B260" s="598" t="s">
        <v>156</v>
      </c>
      <c r="C260" s="630"/>
      <c r="D260" s="630"/>
      <c r="E260" s="630"/>
      <c r="F260" s="556"/>
      <c r="G260" s="631"/>
      <c r="H260" s="630"/>
      <c r="I260" s="630"/>
      <c r="J260" s="630"/>
      <c r="K260" s="630"/>
      <c r="L260" s="630"/>
      <c r="M260" s="630"/>
      <c r="N260" s="630"/>
      <c r="O260" s="630"/>
      <c r="P260" s="630"/>
      <c r="Q260" s="630"/>
      <c r="R260" s="598">
        <v>1</v>
      </c>
      <c r="S260" s="631">
        <f t="shared" si="5"/>
        <v>1.9327406262079628E-4</v>
      </c>
      <c r="T260" s="599">
        <v>91</v>
      </c>
      <c r="U260" s="631">
        <f t="shared" si="6"/>
        <v>1.3020796071439814E-4</v>
      </c>
      <c r="V260" s="621"/>
      <c r="W260" s="624"/>
      <c r="X260" s="543"/>
      <c r="Y260" s="604"/>
    </row>
    <row r="261" spans="1:25" s="544" customFormat="1" x14ac:dyDescent="0.3">
      <c r="A261" s="555"/>
      <c r="B261" s="598" t="s">
        <v>157</v>
      </c>
      <c r="C261" s="630"/>
      <c r="D261" s="630"/>
      <c r="E261" s="630"/>
      <c r="F261" s="556"/>
      <c r="G261" s="631"/>
      <c r="H261" s="630"/>
      <c r="I261" s="630"/>
      <c r="J261" s="630"/>
      <c r="K261" s="630"/>
      <c r="L261" s="630"/>
      <c r="M261" s="630"/>
      <c r="N261" s="630"/>
      <c r="O261" s="630"/>
      <c r="P261" s="630"/>
      <c r="Q261" s="630"/>
      <c r="R261" s="598">
        <v>1</v>
      </c>
      <c r="S261" s="631">
        <f t="shared" si="5"/>
        <v>1.9327406262079628E-4</v>
      </c>
      <c r="T261" s="599">
        <v>90</v>
      </c>
      <c r="U261" s="631">
        <f t="shared" si="6"/>
        <v>1.2877710400325089E-4</v>
      </c>
      <c r="V261" s="621"/>
      <c r="W261" s="624"/>
      <c r="X261" s="543"/>
    </row>
    <row r="262" spans="1:25" s="544" customFormat="1" x14ac:dyDescent="0.3">
      <c r="A262" s="555"/>
      <c r="B262" s="598" t="s">
        <v>158</v>
      </c>
      <c r="C262" s="630"/>
      <c r="D262" s="630"/>
      <c r="E262" s="630"/>
      <c r="F262" s="556"/>
      <c r="G262" s="631"/>
      <c r="H262" s="630"/>
      <c r="I262" s="630"/>
      <c r="J262" s="630"/>
      <c r="K262" s="630"/>
      <c r="L262" s="630"/>
      <c r="M262" s="630"/>
      <c r="N262" s="630"/>
      <c r="O262" s="630"/>
      <c r="P262" s="630"/>
      <c r="Q262" s="630"/>
      <c r="R262" s="598">
        <v>4</v>
      </c>
      <c r="S262" s="631">
        <f t="shared" si="5"/>
        <v>7.7309625048318511E-4</v>
      </c>
      <c r="T262" s="599">
        <v>431</v>
      </c>
      <c r="U262" s="631">
        <f t="shared" si="6"/>
        <v>6.1669924250445712E-4</v>
      </c>
      <c r="V262" s="621"/>
      <c r="W262" s="624"/>
      <c r="X262" s="543"/>
      <c r="Y262" s="604"/>
    </row>
    <row r="263" spans="1:25" s="544" customFormat="1" x14ac:dyDescent="0.3">
      <c r="A263" s="555"/>
      <c r="B263" s="598" t="s">
        <v>159</v>
      </c>
      <c r="C263" s="630"/>
      <c r="D263" s="630"/>
      <c r="E263" s="630"/>
      <c r="F263" s="556"/>
      <c r="G263" s="631"/>
      <c r="H263" s="630"/>
      <c r="I263" s="630"/>
      <c r="J263" s="630"/>
      <c r="K263" s="630"/>
      <c r="L263" s="630"/>
      <c r="M263" s="630"/>
      <c r="N263" s="630"/>
      <c r="O263" s="630"/>
      <c r="P263" s="630"/>
      <c r="Q263" s="630"/>
      <c r="R263" s="598">
        <v>0</v>
      </c>
      <c r="S263" s="631">
        <f t="shared" si="5"/>
        <v>0</v>
      </c>
      <c r="T263" s="599">
        <v>0</v>
      </c>
      <c r="U263" s="631">
        <f t="shared" si="6"/>
        <v>0</v>
      </c>
      <c r="V263" s="621"/>
      <c r="W263" s="624"/>
      <c r="X263" s="543"/>
    </row>
    <row r="264" spans="1:25" s="544" customFormat="1" x14ac:dyDescent="0.3">
      <c r="A264" s="555"/>
      <c r="B264" s="598" t="s">
        <v>160</v>
      </c>
      <c r="C264" s="630"/>
      <c r="D264" s="630"/>
      <c r="E264" s="630"/>
      <c r="F264" s="556"/>
      <c r="G264" s="631"/>
      <c r="H264" s="630"/>
      <c r="I264" s="630"/>
      <c r="J264" s="630"/>
      <c r="K264" s="630"/>
      <c r="L264" s="630"/>
      <c r="M264" s="630"/>
      <c r="N264" s="630"/>
      <c r="O264" s="630"/>
      <c r="P264" s="630"/>
      <c r="Q264" s="630"/>
      <c r="R264" s="598">
        <v>0</v>
      </c>
      <c r="S264" s="631">
        <f t="shared" si="5"/>
        <v>0</v>
      </c>
      <c r="T264" s="599">
        <v>0</v>
      </c>
      <c r="U264" s="631">
        <f t="shared" si="6"/>
        <v>0</v>
      </c>
      <c r="V264" s="621"/>
      <c r="W264" s="624"/>
      <c r="X264" s="543"/>
      <c r="Y264" s="604"/>
    </row>
    <row r="265" spans="1:25" s="544" customFormat="1" x14ac:dyDescent="0.3">
      <c r="A265" s="555"/>
      <c r="B265" s="598"/>
      <c r="C265" s="630"/>
      <c r="D265" s="630"/>
      <c r="E265" s="630"/>
      <c r="F265" s="556"/>
      <c r="G265" s="631"/>
      <c r="H265" s="630"/>
      <c r="I265" s="630"/>
      <c r="J265" s="630"/>
      <c r="K265" s="630"/>
      <c r="L265" s="630"/>
      <c r="M265" s="630"/>
      <c r="N265" s="630"/>
      <c r="O265" s="630"/>
      <c r="P265" s="630"/>
      <c r="Q265" s="630"/>
      <c r="R265" s="598"/>
      <c r="S265" s="631"/>
      <c r="T265" s="599"/>
      <c r="U265" s="631"/>
      <c r="V265" s="621"/>
      <c r="W265" s="624"/>
      <c r="X265" s="543"/>
    </row>
    <row r="266" spans="1:25" s="544" customFormat="1" x14ac:dyDescent="0.3">
      <c r="A266" s="555"/>
      <c r="B266" s="556" t="s">
        <v>114</v>
      </c>
      <c r="C266" s="556"/>
      <c r="D266" s="556"/>
      <c r="E266" s="556"/>
      <c r="F266" s="556"/>
      <c r="G266" s="556"/>
      <c r="H266" s="632"/>
      <c r="I266" s="632"/>
      <c r="J266" s="632"/>
      <c r="K266" s="632"/>
      <c r="L266" s="632"/>
      <c r="M266" s="632"/>
      <c r="N266" s="632"/>
      <c r="O266" s="632"/>
      <c r="P266" s="632"/>
      <c r="Q266" s="632"/>
      <c r="R266" s="598">
        <f>SUM(R257:R265)</f>
        <v>5174</v>
      </c>
      <c r="S266" s="631">
        <f>SUM(S257:S265)</f>
        <v>1.0000000000000002</v>
      </c>
      <c r="T266" s="599">
        <f>SUM(T257:T265)</f>
        <v>698882</v>
      </c>
      <c r="U266" s="631">
        <f>SUM(U257:U265)</f>
        <v>1</v>
      </c>
      <c r="V266" s="556"/>
      <c r="W266" s="558"/>
      <c r="X266" s="543"/>
    </row>
    <row r="267" spans="1:25" x14ac:dyDescent="0.3">
      <c r="A267" s="417"/>
      <c r="B267" s="441"/>
      <c r="C267" s="441"/>
      <c r="D267" s="441"/>
      <c r="E267" s="441"/>
      <c r="F267" s="441"/>
      <c r="G267" s="441"/>
      <c r="H267" s="485"/>
      <c r="I267" s="485"/>
      <c r="J267" s="485"/>
      <c r="K267" s="485"/>
      <c r="L267" s="485"/>
      <c r="M267" s="485"/>
      <c r="N267" s="485"/>
      <c r="O267" s="485"/>
      <c r="P267" s="485"/>
      <c r="Q267" s="485"/>
      <c r="R267" s="442"/>
      <c r="S267" s="486"/>
      <c r="T267" s="487"/>
      <c r="U267" s="486"/>
      <c r="V267" s="441"/>
      <c r="W267" s="441"/>
      <c r="X267" s="415"/>
    </row>
    <row r="268" spans="1:25" x14ac:dyDescent="0.3">
      <c r="A268" s="515"/>
      <c r="B268" s="523" t="s">
        <v>275</v>
      </c>
      <c r="C268" s="524"/>
      <c r="D268" s="524"/>
      <c r="E268" s="524"/>
      <c r="F268" s="534"/>
      <c r="G268" s="524"/>
      <c r="H268" s="524"/>
      <c r="I268" s="524"/>
      <c r="J268" s="524"/>
      <c r="K268" s="524"/>
      <c r="L268" s="524"/>
      <c r="M268" s="524"/>
      <c r="N268" s="524"/>
      <c r="O268" s="524"/>
      <c r="P268" s="524"/>
      <c r="Q268" s="524"/>
      <c r="R268" s="534" t="s">
        <v>102</v>
      </c>
      <c r="S268" s="524" t="s">
        <v>103</v>
      </c>
      <c r="T268" s="534" t="s">
        <v>109</v>
      </c>
      <c r="U268" s="524" t="s">
        <v>103</v>
      </c>
      <c r="V268" s="517"/>
      <c r="W268" s="520"/>
      <c r="X268" s="415"/>
    </row>
    <row r="269" spans="1:25" s="544" customFormat="1" x14ac:dyDescent="0.3">
      <c r="A269" s="540"/>
      <c r="B269" s="600" t="s">
        <v>88</v>
      </c>
      <c r="C269" s="627"/>
      <c r="D269" s="627"/>
      <c r="E269" s="627"/>
      <c r="F269" s="588"/>
      <c r="G269" s="627"/>
      <c r="H269" s="627"/>
      <c r="I269" s="627"/>
      <c r="J269" s="627"/>
      <c r="K269" s="627"/>
      <c r="L269" s="627"/>
      <c r="M269" s="627"/>
      <c r="N269" s="627"/>
      <c r="O269" s="627"/>
      <c r="P269" s="627"/>
      <c r="Q269" s="627"/>
      <c r="R269" s="600">
        <v>92</v>
      </c>
      <c r="S269" s="628">
        <f t="shared" ref="S269:S276" si="7">R269/$R$278</f>
        <v>0.81415929203539827</v>
      </c>
      <c r="T269" s="601">
        <v>14592</v>
      </c>
      <c r="U269" s="628">
        <f t="shared" ref="U269:U276" si="8">T269/$T$278</f>
        <v>0.82753927295412011</v>
      </c>
      <c r="V269" s="588"/>
      <c r="W269" s="588"/>
      <c r="X269" s="543"/>
    </row>
    <row r="270" spans="1:25" s="544" customFormat="1" x14ac:dyDescent="0.3">
      <c r="A270" s="555"/>
      <c r="B270" s="598" t="s">
        <v>89</v>
      </c>
      <c r="C270" s="630"/>
      <c r="D270" s="630"/>
      <c r="E270" s="630"/>
      <c r="F270" s="556"/>
      <c r="G270" s="631"/>
      <c r="H270" s="630"/>
      <c r="I270" s="630"/>
      <c r="J270" s="630"/>
      <c r="K270" s="630"/>
      <c r="L270" s="630"/>
      <c r="M270" s="630"/>
      <c r="N270" s="630"/>
      <c r="O270" s="630"/>
      <c r="P270" s="630"/>
      <c r="Q270" s="630"/>
      <c r="R270" s="598">
        <v>1</v>
      </c>
      <c r="S270" s="631">
        <f t="shared" si="7"/>
        <v>8.8495575221238937E-3</v>
      </c>
      <c r="T270" s="599">
        <v>146</v>
      </c>
      <c r="U270" s="631">
        <f t="shared" si="8"/>
        <v>8.2799296773095905E-3</v>
      </c>
      <c r="V270" s="556"/>
      <c r="W270" s="558"/>
      <c r="X270" s="543"/>
    </row>
    <row r="271" spans="1:25" s="544" customFormat="1" x14ac:dyDescent="0.3">
      <c r="A271" s="555"/>
      <c r="B271" s="598" t="s">
        <v>90</v>
      </c>
      <c r="C271" s="630"/>
      <c r="D271" s="630"/>
      <c r="E271" s="630"/>
      <c r="F271" s="556"/>
      <c r="G271" s="631"/>
      <c r="H271" s="630"/>
      <c r="I271" s="630"/>
      <c r="J271" s="630"/>
      <c r="K271" s="630"/>
      <c r="L271" s="630"/>
      <c r="M271" s="630"/>
      <c r="N271" s="630"/>
      <c r="O271" s="630"/>
      <c r="P271" s="630"/>
      <c r="Q271" s="630"/>
      <c r="R271" s="598">
        <v>3</v>
      </c>
      <c r="S271" s="631">
        <f t="shared" si="7"/>
        <v>2.6548672566371681E-2</v>
      </c>
      <c r="T271" s="599">
        <v>381</v>
      </c>
      <c r="U271" s="631">
        <f t="shared" si="8"/>
        <v>2.1607213746951737E-2</v>
      </c>
      <c r="V271" s="556"/>
      <c r="W271" s="558"/>
      <c r="X271" s="543"/>
    </row>
    <row r="272" spans="1:25" s="544" customFormat="1" x14ac:dyDescent="0.3">
      <c r="A272" s="555"/>
      <c r="B272" s="598" t="s">
        <v>156</v>
      </c>
      <c r="C272" s="630"/>
      <c r="D272" s="630"/>
      <c r="E272" s="630"/>
      <c r="F272" s="556"/>
      <c r="G272" s="631"/>
      <c r="H272" s="630"/>
      <c r="I272" s="630"/>
      <c r="J272" s="630"/>
      <c r="K272" s="630"/>
      <c r="L272" s="630"/>
      <c r="M272" s="630"/>
      <c r="N272" s="630"/>
      <c r="O272" s="630"/>
      <c r="P272" s="630"/>
      <c r="Q272" s="630"/>
      <c r="R272" s="598">
        <v>3</v>
      </c>
      <c r="S272" s="631">
        <f t="shared" si="7"/>
        <v>2.6548672566371681E-2</v>
      </c>
      <c r="T272" s="599">
        <v>392</v>
      </c>
      <c r="U272" s="631">
        <f t="shared" si="8"/>
        <v>2.2231044065105201E-2</v>
      </c>
      <c r="V272" s="556"/>
      <c r="W272" s="558"/>
      <c r="X272" s="543"/>
    </row>
    <row r="273" spans="1:24" s="544" customFormat="1" x14ac:dyDescent="0.3">
      <c r="A273" s="555"/>
      <c r="B273" s="598" t="s">
        <v>157</v>
      </c>
      <c r="C273" s="630"/>
      <c r="D273" s="630"/>
      <c r="E273" s="630"/>
      <c r="F273" s="556"/>
      <c r="G273" s="631"/>
      <c r="H273" s="630"/>
      <c r="I273" s="630"/>
      <c r="J273" s="630"/>
      <c r="K273" s="630"/>
      <c r="L273" s="630"/>
      <c r="M273" s="630"/>
      <c r="N273" s="630"/>
      <c r="O273" s="630"/>
      <c r="P273" s="630"/>
      <c r="Q273" s="630"/>
      <c r="R273" s="598">
        <v>5</v>
      </c>
      <c r="S273" s="631">
        <f t="shared" si="7"/>
        <v>4.4247787610619468E-2</v>
      </c>
      <c r="T273" s="599">
        <v>643</v>
      </c>
      <c r="U273" s="631">
        <f t="shared" si="8"/>
        <v>3.646571768842511E-2</v>
      </c>
      <c r="V273" s="556"/>
      <c r="W273" s="558"/>
      <c r="X273" s="543"/>
    </row>
    <row r="274" spans="1:24" s="544" customFormat="1" x14ac:dyDescent="0.3">
      <c r="A274" s="555"/>
      <c r="B274" s="598" t="s">
        <v>158</v>
      </c>
      <c r="C274" s="630"/>
      <c r="D274" s="630"/>
      <c r="E274" s="630"/>
      <c r="F274" s="556"/>
      <c r="G274" s="631"/>
      <c r="H274" s="630"/>
      <c r="I274" s="630"/>
      <c r="J274" s="630"/>
      <c r="K274" s="630"/>
      <c r="L274" s="630"/>
      <c r="M274" s="630"/>
      <c r="N274" s="630"/>
      <c r="O274" s="630"/>
      <c r="P274" s="630"/>
      <c r="Q274" s="630"/>
      <c r="R274" s="598">
        <v>2</v>
      </c>
      <c r="S274" s="631">
        <f t="shared" si="7"/>
        <v>1.7699115044247787E-2</v>
      </c>
      <c r="T274" s="599">
        <v>525</v>
      </c>
      <c r="U274" s="631">
        <f t="shared" si="8"/>
        <v>2.9773719730051607E-2</v>
      </c>
      <c r="V274" s="556"/>
      <c r="W274" s="558"/>
      <c r="X274" s="543"/>
    </row>
    <row r="275" spans="1:24" s="544" customFormat="1" x14ac:dyDescent="0.3">
      <c r="A275" s="555"/>
      <c r="B275" s="598" t="s">
        <v>159</v>
      </c>
      <c r="C275" s="630"/>
      <c r="D275" s="630"/>
      <c r="E275" s="630"/>
      <c r="F275" s="556"/>
      <c r="G275" s="631"/>
      <c r="H275" s="630"/>
      <c r="I275" s="630"/>
      <c r="J275" s="630"/>
      <c r="K275" s="630"/>
      <c r="L275" s="630"/>
      <c r="M275" s="630"/>
      <c r="N275" s="630"/>
      <c r="O275" s="630"/>
      <c r="P275" s="630"/>
      <c r="Q275" s="630"/>
      <c r="R275" s="598">
        <v>5</v>
      </c>
      <c r="S275" s="631">
        <f t="shared" si="7"/>
        <v>4.4247787610619468E-2</v>
      </c>
      <c r="T275" s="599">
        <v>646</v>
      </c>
      <c r="U275" s="631">
        <f t="shared" si="8"/>
        <v>3.6635853229739695E-2</v>
      </c>
      <c r="V275" s="556"/>
      <c r="W275" s="558"/>
      <c r="X275" s="543"/>
    </row>
    <row r="276" spans="1:24" s="544" customFormat="1" x14ac:dyDescent="0.3">
      <c r="A276" s="555"/>
      <c r="B276" s="598" t="s">
        <v>160</v>
      </c>
      <c r="C276" s="630"/>
      <c r="D276" s="630"/>
      <c r="E276" s="630"/>
      <c r="F276" s="556"/>
      <c r="G276" s="631"/>
      <c r="H276" s="630"/>
      <c r="I276" s="630"/>
      <c r="J276" s="630"/>
      <c r="K276" s="630"/>
      <c r="L276" s="630"/>
      <c r="M276" s="630"/>
      <c r="N276" s="630"/>
      <c r="O276" s="630"/>
      <c r="P276" s="630"/>
      <c r="Q276" s="630"/>
      <c r="R276" s="598">
        <v>2</v>
      </c>
      <c r="S276" s="631">
        <f t="shared" si="7"/>
        <v>1.7699115044247787E-2</v>
      </c>
      <c r="T276" s="599">
        <v>308</v>
      </c>
      <c r="U276" s="631">
        <f t="shared" si="8"/>
        <v>1.7467248908296942E-2</v>
      </c>
      <c r="V276" s="556"/>
      <c r="W276" s="558"/>
      <c r="X276" s="543"/>
    </row>
    <row r="277" spans="1:24" s="544" customFormat="1" x14ac:dyDescent="0.3">
      <c r="A277" s="555"/>
      <c r="B277" s="598"/>
      <c r="C277" s="630"/>
      <c r="D277" s="630"/>
      <c r="E277" s="630"/>
      <c r="F277" s="556"/>
      <c r="G277" s="631"/>
      <c r="H277" s="630"/>
      <c r="I277" s="630"/>
      <c r="J277" s="630"/>
      <c r="K277" s="630"/>
      <c r="L277" s="630"/>
      <c r="M277" s="630"/>
      <c r="N277" s="630"/>
      <c r="O277" s="630"/>
      <c r="P277" s="630"/>
      <c r="Q277" s="630"/>
      <c r="R277" s="598"/>
      <c r="S277" s="631"/>
      <c r="T277" s="599"/>
      <c r="U277" s="631"/>
      <c r="V277" s="556"/>
      <c r="W277" s="558"/>
      <c r="X277" s="543"/>
    </row>
    <row r="278" spans="1:24" s="544" customFormat="1" x14ac:dyDescent="0.3">
      <c r="A278" s="555"/>
      <c r="B278" s="556" t="s">
        <v>114</v>
      </c>
      <c r="C278" s="556"/>
      <c r="D278" s="556"/>
      <c r="E278" s="556"/>
      <c r="F278" s="556"/>
      <c r="G278" s="556"/>
      <c r="H278" s="632"/>
      <c r="I278" s="632"/>
      <c r="J278" s="632"/>
      <c r="K278" s="632"/>
      <c r="L278" s="632"/>
      <c r="M278" s="632"/>
      <c r="N278" s="632"/>
      <c r="O278" s="632"/>
      <c r="P278" s="632"/>
      <c r="Q278" s="632"/>
      <c r="R278" s="598">
        <f>SUM(R269:R277)</f>
        <v>113</v>
      </c>
      <c r="S278" s="631">
        <f>SUM(S269:S277)</f>
        <v>1</v>
      </c>
      <c r="T278" s="599">
        <f>SUM(T269:T277)</f>
        <v>17633</v>
      </c>
      <c r="U278" s="631">
        <f>SUM(U269:U277)</f>
        <v>1</v>
      </c>
      <c r="V278" s="556"/>
      <c r="W278" s="558"/>
      <c r="X278" s="543"/>
    </row>
    <row r="279" spans="1:24" s="544" customFormat="1" x14ac:dyDescent="0.3">
      <c r="A279" s="540"/>
      <c r="B279" s="588"/>
      <c r="C279" s="588"/>
      <c r="D279" s="588"/>
      <c r="E279" s="588"/>
      <c r="F279" s="588"/>
      <c r="G279" s="588"/>
      <c r="H279" s="633"/>
      <c r="I279" s="633"/>
      <c r="J279" s="633"/>
      <c r="K279" s="633"/>
      <c r="L279" s="633"/>
      <c r="M279" s="633"/>
      <c r="N279" s="633"/>
      <c r="O279" s="633"/>
      <c r="P279" s="633"/>
      <c r="Q279" s="633"/>
      <c r="R279" s="600"/>
      <c r="S279" s="628"/>
      <c r="T279" s="601"/>
      <c r="U279" s="628"/>
      <c r="V279" s="588"/>
      <c r="W279" s="588"/>
      <c r="X279" s="543"/>
    </row>
    <row r="280" spans="1:24" s="544" customFormat="1" x14ac:dyDescent="0.3">
      <c r="A280" s="647"/>
      <c r="B280" s="648" t="s">
        <v>405</v>
      </c>
      <c r="C280" s="649"/>
      <c r="D280" s="649"/>
      <c r="E280" s="649"/>
      <c r="F280" s="650"/>
      <c r="G280" s="649"/>
      <c r="H280" s="649"/>
      <c r="I280" s="649"/>
      <c r="J280" s="649"/>
      <c r="K280" s="649"/>
      <c r="L280" s="649"/>
      <c r="M280" s="649"/>
      <c r="N280" s="649"/>
      <c r="O280" s="649"/>
      <c r="P280" s="649"/>
      <c r="Q280" s="649"/>
      <c r="R280" s="650" t="s">
        <v>102</v>
      </c>
      <c r="S280" s="649" t="s">
        <v>103</v>
      </c>
      <c r="T280" s="650" t="s">
        <v>109</v>
      </c>
      <c r="U280" s="649" t="s">
        <v>103</v>
      </c>
      <c r="V280" s="649"/>
      <c r="W280" s="649"/>
      <c r="X280" s="543"/>
    </row>
    <row r="281" spans="1:24" s="544" customFormat="1" x14ac:dyDescent="0.3">
      <c r="A281" s="651"/>
      <c r="B281" s="652" t="s">
        <v>406</v>
      </c>
      <c r="C281" s="652"/>
      <c r="D281" s="652"/>
      <c r="E281" s="652"/>
      <c r="F281" s="652"/>
      <c r="G281" s="652"/>
      <c r="H281" s="653"/>
      <c r="I281" s="653"/>
      <c r="J281" s="653"/>
      <c r="K281" s="653"/>
      <c r="L281" s="653"/>
      <c r="M281" s="653"/>
      <c r="N281" s="653"/>
      <c r="O281" s="653"/>
      <c r="P281" s="653"/>
      <c r="Q281" s="653"/>
      <c r="R281" s="655">
        <v>89</v>
      </c>
      <c r="S281" s="656">
        <f>R281/R288</f>
        <v>0.78761061946902655</v>
      </c>
      <c r="T281" s="657">
        <v>14305</v>
      </c>
      <c r="U281" s="656">
        <f>T281/T288</f>
        <v>0.81126297283502524</v>
      </c>
      <c r="V281" s="653"/>
      <c r="W281" s="653"/>
      <c r="X281" s="543"/>
    </row>
    <row r="282" spans="1:24" s="544" customFormat="1" x14ac:dyDescent="0.3">
      <c r="A282" s="651"/>
      <c r="B282" s="652" t="s">
        <v>407</v>
      </c>
      <c r="C282" s="652"/>
      <c r="D282" s="652"/>
      <c r="E282" s="652"/>
      <c r="F282" s="652"/>
      <c r="G282" s="652"/>
      <c r="H282" s="653"/>
      <c r="I282" s="653"/>
      <c r="J282" s="653"/>
      <c r="K282" s="653"/>
      <c r="L282" s="653"/>
      <c r="M282" s="653"/>
      <c r="N282" s="653"/>
      <c r="O282" s="653"/>
      <c r="P282" s="653"/>
      <c r="Q282" s="653"/>
      <c r="R282" s="655">
        <v>5</v>
      </c>
      <c r="S282" s="656">
        <f>R282/R288</f>
        <v>4.4247787610619468E-2</v>
      </c>
      <c r="T282" s="657">
        <v>515</v>
      </c>
      <c r="U282" s="656">
        <f>T282/T288</f>
        <v>2.9206601259003005E-2</v>
      </c>
      <c r="V282" s="653"/>
      <c r="W282" s="653"/>
      <c r="X282" s="543"/>
    </row>
    <row r="283" spans="1:24" s="544" customFormat="1" x14ac:dyDescent="0.3">
      <c r="A283" s="651"/>
      <c r="B283" s="652" t="s">
        <v>408</v>
      </c>
      <c r="C283" s="652"/>
      <c r="D283" s="652"/>
      <c r="E283" s="652"/>
      <c r="F283" s="652"/>
      <c r="G283" s="652"/>
      <c r="H283" s="653"/>
      <c r="I283" s="653"/>
      <c r="J283" s="653"/>
      <c r="K283" s="653"/>
      <c r="L283" s="653"/>
      <c r="M283" s="653"/>
      <c r="N283" s="653"/>
      <c r="O283" s="653"/>
      <c r="P283" s="653"/>
      <c r="Q283" s="653"/>
      <c r="R283" s="655">
        <v>8</v>
      </c>
      <c r="S283" s="656">
        <f>R283/R288</f>
        <v>7.0796460176991149E-2</v>
      </c>
      <c r="T283" s="657">
        <v>1123</v>
      </c>
      <c r="U283" s="656">
        <f>T283/T288</f>
        <v>6.3687404298758007E-2</v>
      </c>
      <c r="V283" s="653"/>
      <c r="W283" s="653"/>
      <c r="X283" s="543"/>
    </row>
    <row r="284" spans="1:24" s="544" customFormat="1" x14ac:dyDescent="0.3">
      <c r="A284" s="651"/>
      <c r="B284" s="652" t="s">
        <v>409</v>
      </c>
      <c r="C284" s="652"/>
      <c r="D284" s="652"/>
      <c r="E284" s="652"/>
      <c r="F284" s="652"/>
      <c r="G284" s="652"/>
      <c r="H284" s="653"/>
      <c r="I284" s="653"/>
      <c r="J284" s="653"/>
      <c r="K284" s="653"/>
      <c r="L284" s="653"/>
      <c r="M284" s="653"/>
      <c r="N284" s="653"/>
      <c r="O284" s="653"/>
      <c r="P284" s="653"/>
      <c r="Q284" s="653"/>
      <c r="R284" s="655">
        <v>4</v>
      </c>
      <c r="S284" s="656">
        <f>R284/R288</f>
        <v>3.5398230088495575E-2</v>
      </c>
      <c r="T284" s="657">
        <v>708</v>
      </c>
      <c r="U284" s="656">
        <f>T284/T288</f>
        <v>4.0151987750241022E-2</v>
      </c>
      <c r="V284" s="653"/>
      <c r="W284" s="653"/>
      <c r="X284" s="543"/>
    </row>
    <row r="285" spans="1:24" s="544" customFormat="1" x14ac:dyDescent="0.3">
      <c r="A285" s="651"/>
      <c r="B285" s="652" t="s">
        <v>413</v>
      </c>
      <c r="C285" s="652"/>
      <c r="D285" s="652"/>
      <c r="E285" s="652"/>
      <c r="F285" s="652"/>
      <c r="G285" s="652"/>
      <c r="H285" s="653"/>
      <c r="I285" s="653"/>
      <c r="J285" s="653"/>
      <c r="K285" s="653"/>
      <c r="L285" s="653"/>
      <c r="M285" s="653"/>
      <c r="N285" s="653"/>
      <c r="O285" s="653"/>
      <c r="P285" s="653"/>
      <c r="Q285" s="653"/>
      <c r="R285" s="655">
        <v>4</v>
      </c>
      <c r="S285" s="656">
        <f>R285/R288</f>
        <v>3.5398230088495575E-2</v>
      </c>
      <c r="T285" s="657">
        <v>679</v>
      </c>
      <c r="U285" s="656">
        <f>T285/T288</f>
        <v>3.8507344184200078E-2</v>
      </c>
      <c r="V285" s="653"/>
      <c r="W285" s="653"/>
      <c r="X285" s="543"/>
    </row>
    <row r="286" spans="1:24" s="544" customFormat="1" x14ac:dyDescent="0.3">
      <c r="A286" s="651"/>
      <c r="B286" s="654" t="s">
        <v>410</v>
      </c>
      <c r="C286" s="652"/>
      <c r="D286" s="652"/>
      <c r="E286" s="652"/>
      <c r="F286" s="652"/>
      <c r="G286" s="652"/>
      <c r="H286" s="653"/>
      <c r="I286" s="653"/>
      <c r="J286" s="653"/>
      <c r="K286" s="653"/>
      <c r="L286" s="653"/>
      <c r="M286" s="653"/>
      <c r="N286" s="653"/>
      <c r="O286" s="653"/>
      <c r="P286" s="653"/>
      <c r="Q286" s="653"/>
      <c r="R286" s="655">
        <v>3</v>
      </c>
      <c r="S286" s="656">
        <f>R286/R288</f>
        <v>2.6548672566371681E-2</v>
      </c>
      <c r="T286" s="657">
        <v>303</v>
      </c>
      <c r="U286" s="656">
        <f>T286/T288</f>
        <v>1.7183689672772642E-2</v>
      </c>
      <c r="V286" s="653"/>
      <c r="W286" s="653"/>
      <c r="X286" s="543"/>
    </row>
    <row r="287" spans="1:24" s="544" customFormat="1" x14ac:dyDescent="0.3">
      <c r="A287" s="651"/>
      <c r="B287" s="652"/>
      <c r="C287" s="652"/>
      <c r="D287" s="652"/>
      <c r="E287" s="652"/>
      <c r="F287" s="652"/>
      <c r="G287" s="652"/>
      <c r="H287" s="653"/>
      <c r="I287" s="653"/>
      <c r="J287" s="653"/>
      <c r="K287" s="653"/>
      <c r="L287" s="653"/>
      <c r="M287" s="653"/>
      <c r="N287" s="653"/>
      <c r="O287" s="653"/>
      <c r="P287" s="653"/>
      <c r="Q287" s="653"/>
      <c r="R287" s="655"/>
      <c r="S287" s="656"/>
      <c r="T287" s="657"/>
      <c r="U287" s="656"/>
      <c r="V287" s="653"/>
      <c r="W287" s="653"/>
      <c r="X287" s="543"/>
    </row>
    <row r="288" spans="1:24" s="544" customFormat="1" x14ac:dyDescent="0.3">
      <c r="A288" s="651"/>
      <c r="B288" s="652" t="s">
        <v>114</v>
      </c>
      <c r="C288" s="652"/>
      <c r="D288" s="652"/>
      <c r="E288" s="652"/>
      <c r="F288" s="652"/>
      <c r="G288" s="652"/>
      <c r="H288" s="653"/>
      <c r="I288" s="653"/>
      <c r="J288" s="653"/>
      <c r="K288" s="653"/>
      <c r="L288" s="653"/>
      <c r="M288" s="653"/>
      <c r="N288" s="653"/>
      <c r="O288" s="653"/>
      <c r="P288" s="653"/>
      <c r="Q288" s="653"/>
      <c r="R288" s="655">
        <f>SUM(R281:R287)</f>
        <v>113</v>
      </c>
      <c r="S288" s="656">
        <f>SUM(S281:S286)</f>
        <v>1</v>
      </c>
      <c r="T288" s="657">
        <f>SUM(T281:T286)</f>
        <v>17633</v>
      </c>
      <c r="U288" s="656">
        <f>SUM(U281:U287)</f>
        <v>0.99999999999999989</v>
      </c>
      <c r="V288" s="653"/>
      <c r="W288" s="653"/>
      <c r="X288" s="543"/>
    </row>
    <row r="289" spans="1:24" x14ac:dyDescent="0.3">
      <c r="A289" s="417"/>
      <c r="B289" s="437"/>
      <c r="C289" s="437"/>
      <c r="D289" s="437"/>
      <c r="E289" s="437"/>
      <c r="F289" s="437"/>
      <c r="G289" s="437"/>
      <c r="H289" s="488"/>
      <c r="I289" s="488"/>
      <c r="J289" s="488"/>
      <c r="K289" s="488"/>
      <c r="L289" s="488"/>
      <c r="M289" s="488"/>
      <c r="N289" s="488"/>
      <c r="O289" s="488"/>
      <c r="P289" s="488"/>
      <c r="Q289" s="488"/>
      <c r="R289" s="447"/>
      <c r="S289" s="483"/>
      <c r="T289" s="484"/>
      <c r="U289" s="483"/>
      <c r="V289" s="437"/>
      <c r="W289" s="437"/>
      <c r="X289" s="415"/>
    </row>
    <row r="290" spans="1:24" x14ac:dyDescent="0.3">
      <c r="A290" s="515"/>
      <c r="B290" s="523" t="s">
        <v>163</v>
      </c>
      <c r="C290" s="517"/>
      <c r="D290" s="517"/>
      <c r="E290" s="517"/>
      <c r="F290" s="517"/>
      <c r="G290" s="517"/>
      <c r="H290" s="536"/>
      <c r="I290" s="536"/>
      <c r="J290" s="536"/>
      <c r="K290" s="536"/>
      <c r="L290" s="536"/>
      <c r="M290" s="536"/>
      <c r="N290" s="536"/>
      <c r="O290" s="536"/>
      <c r="P290" s="536"/>
      <c r="Q290" s="536"/>
      <c r="R290" s="534" t="s">
        <v>102</v>
      </c>
      <c r="S290" s="524" t="s">
        <v>103</v>
      </c>
      <c r="T290" s="534" t="s">
        <v>109</v>
      </c>
      <c r="U290" s="524" t="s">
        <v>103</v>
      </c>
      <c r="V290" s="517"/>
      <c r="W290" s="520"/>
      <c r="X290" s="415"/>
    </row>
    <row r="291" spans="1:24" s="544" customFormat="1" x14ac:dyDescent="0.3">
      <c r="A291" s="540"/>
      <c r="B291" s="600" t="s">
        <v>88</v>
      </c>
      <c r="C291" s="588"/>
      <c r="D291" s="588"/>
      <c r="E291" s="588"/>
      <c r="F291" s="588"/>
      <c r="G291" s="588"/>
      <c r="H291" s="633"/>
      <c r="I291" s="633"/>
      <c r="J291" s="633"/>
      <c r="K291" s="633"/>
      <c r="L291" s="633"/>
      <c r="M291" s="633"/>
      <c r="N291" s="633"/>
      <c r="O291" s="633"/>
      <c r="P291" s="633"/>
      <c r="Q291" s="633"/>
      <c r="R291" s="600">
        <v>0</v>
      </c>
      <c r="S291" s="628">
        <v>0</v>
      </c>
      <c r="T291" s="601">
        <v>0</v>
      </c>
      <c r="U291" s="628">
        <v>0</v>
      </c>
      <c r="V291" s="588"/>
      <c r="W291" s="588"/>
      <c r="X291" s="543"/>
    </row>
    <row r="292" spans="1:24" s="544" customFormat="1" x14ac:dyDescent="0.3">
      <c r="A292" s="555"/>
      <c r="B292" s="598" t="s">
        <v>89</v>
      </c>
      <c r="C292" s="556"/>
      <c r="D292" s="556"/>
      <c r="E292" s="556"/>
      <c r="F292" s="556"/>
      <c r="G292" s="556"/>
      <c r="H292" s="632"/>
      <c r="I292" s="632"/>
      <c r="J292" s="632"/>
      <c r="K292" s="632"/>
      <c r="L292" s="632"/>
      <c r="M292" s="632"/>
      <c r="N292" s="632"/>
      <c r="O292" s="632"/>
      <c r="P292" s="632"/>
      <c r="Q292" s="632"/>
      <c r="R292" s="598">
        <v>0</v>
      </c>
      <c r="S292" s="631">
        <v>0</v>
      </c>
      <c r="T292" s="599">
        <v>0</v>
      </c>
      <c r="U292" s="631">
        <v>0</v>
      </c>
      <c r="V292" s="556"/>
      <c r="W292" s="558"/>
      <c r="X292" s="543"/>
    </row>
    <row r="293" spans="1:24" s="544" customFormat="1" x14ac:dyDescent="0.3">
      <c r="A293" s="555"/>
      <c r="B293" s="598" t="s">
        <v>90</v>
      </c>
      <c r="C293" s="556"/>
      <c r="D293" s="556"/>
      <c r="E293" s="556"/>
      <c r="F293" s="556"/>
      <c r="G293" s="556"/>
      <c r="H293" s="632"/>
      <c r="I293" s="632"/>
      <c r="J293" s="632"/>
      <c r="K293" s="632"/>
      <c r="L293" s="632"/>
      <c r="M293" s="632"/>
      <c r="N293" s="632"/>
      <c r="O293" s="632"/>
      <c r="P293" s="632"/>
      <c r="Q293" s="632"/>
      <c r="R293" s="598">
        <v>0</v>
      </c>
      <c r="S293" s="631">
        <v>0</v>
      </c>
      <c r="T293" s="599">
        <v>0</v>
      </c>
      <c r="U293" s="631">
        <v>0</v>
      </c>
      <c r="V293" s="556"/>
      <c r="W293" s="558"/>
      <c r="X293" s="543"/>
    </row>
    <row r="294" spans="1:24" s="544" customFormat="1" x14ac:dyDescent="0.3">
      <c r="A294" s="555"/>
      <c r="B294" s="598" t="s">
        <v>156</v>
      </c>
      <c r="C294" s="556"/>
      <c r="D294" s="556"/>
      <c r="E294" s="556"/>
      <c r="F294" s="556"/>
      <c r="G294" s="556"/>
      <c r="H294" s="632"/>
      <c r="I294" s="632"/>
      <c r="J294" s="632"/>
      <c r="K294" s="632"/>
      <c r="L294" s="632"/>
      <c r="M294" s="632"/>
      <c r="N294" s="632"/>
      <c r="O294" s="632"/>
      <c r="P294" s="632"/>
      <c r="Q294" s="632"/>
      <c r="R294" s="598">
        <v>0</v>
      </c>
      <c r="S294" s="631">
        <v>0</v>
      </c>
      <c r="T294" s="599">
        <v>0</v>
      </c>
      <c r="U294" s="631">
        <v>0</v>
      </c>
      <c r="V294" s="556"/>
      <c r="W294" s="558"/>
      <c r="X294" s="543"/>
    </row>
    <row r="295" spans="1:24" s="544" customFormat="1" x14ac:dyDescent="0.3">
      <c r="A295" s="555"/>
      <c r="B295" s="598" t="s">
        <v>157</v>
      </c>
      <c r="C295" s="556"/>
      <c r="D295" s="556"/>
      <c r="E295" s="556"/>
      <c r="F295" s="556"/>
      <c r="G295" s="556"/>
      <c r="H295" s="632"/>
      <c r="I295" s="632"/>
      <c r="J295" s="632"/>
      <c r="K295" s="632"/>
      <c r="L295" s="632"/>
      <c r="M295" s="632"/>
      <c r="N295" s="632"/>
      <c r="O295" s="632"/>
      <c r="P295" s="632"/>
      <c r="Q295" s="632"/>
      <c r="R295" s="598">
        <v>0</v>
      </c>
      <c r="S295" s="631">
        <v>0</v>
      </c>
      <c r="T295" s="599">
        <v>0</v>
      </c>
      <c r="U295" s="631">
        <v>0</v>
      </c>
      <c r="V295" s="556"/>
      <c r="W295" s="558"/>
      <c r="X295" s="543"/>
    </row>
    <row r="296" spans="1:24" s="544" customFormat="1" x14ac:dyDescent="0.3">
      <c r="A296" s="555"/>
      <c r="B296" s="598" t="s">
        <v>158</v>
      </c>
      <c r="C296" s="556"/>
      <c r="D296" s="556"/>
      <c r="E296" s="556"/>
      <c r="F296" s="556"/>
      <c r="G296" s="556"/>
      <c r="H296" s="632"/>
      <c r="I296" s="632"/>
      <c r="J296" s="632"/>
      <c r="K296" s="632"/>
      <c r="L296" s="632"/>
      <c r="M296" s="632"/>
      <c r="N296" s="632"/>
      <c r="O296" s="632"/>
      <c r="P296" s="632"/>
      <c r="Q296" s="632"/>
      <c r="R296" s="598">
        <v>0</v>
      </c>
      <c r="S296" s="631">
        <v>0</v>
      </c>
      <c r="T296" s="599">
        <v>0</v>
      </c>
      <c r="U296" s="631">
        <v>0</v>
      </c>
      <c r="V296" s="556"/>
      <c r="W296" s="558"/>
      <c r="X296" s="543"/>
    </row>
    <row r="297" spans="1:24" s="544" customFormat="1" x14ac:dyDescent="0.3">
      <c r="A297" s="555"/>
      <c r="B297" s="598" t="s">
        <v>159</v>
      </c>
      <c r="C297" s="556"/>
      <c r="D297" s="556"/>
      <c r="E297" s="556"/>
      <c r="F297" s="556"/>
      <c r="G297" s="556"/>
      <c r="H297" s="632"/>
      <c r="I297" s="632"/>
      <c r="J297" s="632"/>
      <c r="K297" s="632"/>
      <c r="L297" s="632"/>
      <c r="M297" s="632"/>
      <c r="N297" s="632"/>
      <c r="O297" s="632"/>
      <c r="P297" s="632"/>
      <c r="Q297" s="632"/>
      <c r="R297" s="598">
        <v>1</v>
      </c>
      <c r="S297" s="631">
        <v>1</v>
      </c>
      <c r="T297" s="599">
        <v>89</v>
      </c>
      <c r="U297" s="631">
        <v>1</v>
      </c>
      <c r="V297" s="556"/>
      <c r="W297" s="558"/>
      <c r="X297" s="543"/>
    </row>
    <row r="298" spans="1:24" s="544" customFormat="1" x14ac:dyDescent="0.3">
      <c r="A298" s="555"/>
      <c r="B298" s="598" t="s">
        <v>160</v>
      </c>
      <c r="C298" s="556"/>
      <c r="D298" s="556"/>
      <c r="E298" s="556"/>
      <c r="F298" s="556"/>
      <c r="G298" s="556"/>
      <c r="H298" s="632"/>
      <c r="I298" s="632"/>
      <c r="J298" s="632"/>
      <c r="K298" s="632"/>
      <c r="L298" s="632"/>
      <c r="M298" s="632"/>
      <c r="N298" s="632"/>
      <c r="O298" s="632"/>
      <c r="P298" s="632"/>
      <c r="Q298" s="632"/>
      <c r="R298" s="598">
        <v>0</v>
      </c>
      <c r="S298" s="631">
        <v>0</v>
      </c>
      <c r="T298" s="599">
        <v>0</v>
      </c>
      <c r="U298" s="631">
        <v>0</v>
      </c>
      <c r="V298" s="556"/>
      <c r="W298" s="558"/>
      <c r="X298" s="543"/>
    </row>
    <row r="299" spans="1:24" s="544" customFormat="1" x14ac:dyDescent="0.3">
      <c r="A299" s="555"/>
      <c r="B299" s="598"/>
      <c r="C299" s="556"/>
      <c r="D299" s="556"/>
      <c r="E299" s="556"/>
      <c r="F299" s="556"/>
      <c r="G299" s="556"/>
      <c r="H299" s="632"/>
      <c r="I299" s="632"/>
      <c r="J299" s="632"/>
      <c r="K299" s="632"/>
      <c r="L299" s="632"/>
      <c r="M299" s="632"/>
      <c r="N299" s="632"/>
      <c r="O299" s="632"/>
      <c r="P299" s="632"/>
      <c r="Q299" s="632"/>
      <c r="R299" s="598"/>
      <c r="S299" s="631"/>
      <c r="T299" s="599"/>
      <c r="U299" s="631"/>
      <c r="V299" s="556"/>
      <c r="W299" s="558"/>
      <c r="X299" s="543"/>
    </row>
    <row r="300" spans="1:24" s="544" customFormat="1" x14ac:dyDescent="0.3">
      <c r="A300" s="555"/>
      <c r="B300" s="556" t="s">
        <v>114</v>
      </c>
      <c r="C300" s="556"/>
      <c r="D300" s="556"/>
      <c r="E300" s="556"/>
      <c r="F300" s="556"/>
      <c r="G300" s="556"/>
      <c r="H300" s="632"/>
      <c r="I300" s="632"/>
      <c r="J300" s="632"/>
      <c r="K300" s="632"/>
      <c r="L300" s="632"/>
      <c r="M300" s="632"/>
      <c r="N300" s="632"/>
      <c r="O300" s="632"/>
      <c r="P300" s="632"/>
      <c r="Q300" s="632"/>
      <c r="R300" s="598">
        <f>SUM(R291:R298)</f>
        <v>1</v>
      </c>
      <c r="S300" s="631">
        <f>SUM(S291:S299)</f>
        <v>1</v>
      </c>
      <c r="T300" s="599">
        <f>SUM(T291:T298)</f>
        <v>89</v>
      </c>
      <c r="U300" s="631">
        <f>SUM(U291:U299)</f>
        <v>1</v>
      </c>
      <c r="V300" s="556"/>
      <c r="W300" s="558"/>
      <c r="X300" s="543"/>
    </row>
    <row r="301" spans="1:24" s="544" customFormat="1" x14ac:dyDescent="0.3">
      <c r="A301" s="555"/>
      <c r="B301" s="556"/>
      <c r="C301" s="556"/>
      <c r="D301" s="556"/>
      <c r="E301" s="556"/>
      <c r="F301" s="556"/>
      <c r="G301" s="556"/>
      <c r="H301" s="632"/>
      <c r="I301" s="632"/>
      <c r="J301" s="632"/>
      <c r="K301" s="632"/>
      <c r="L301" s="632"/>
      <c r="M301" s="632"/>
      <c r="N301" s="632"/>
      <c r="O301" s="632"/>
      <c r="P301" s="632"/>
      <c r="Q301" s="632"/>
      <c r="R301" s="598"/>
      <c r="S301" s="631"/>
      <c r="T301" s="599"/>
      <c r="U301" s="631"/>
      <c r="V301" s="556"/>
      <c r="W301" s="558"/>
      <c r="X301" s="543"/>
    </row>
    <row r="302" spans="1:24" s="544" customFormat="1" x14ac:dyDescent="0.3">
      <c r="A302" s="555"/>
      <c r="B302" s="561" t="s">
        <v>164</v>
      </c>
      <c r="C302" s="556"/>
      <c r="D302" s="556"/>
      <c r="E302" s="556"/>
      <c r="F302" s="556"/>
      <c r="G302" s="556"/>
      <c r="H302" s="632"/>
      <c r="I302" s="632"/>
      <c r="J302" s="632"/>
      <c r="K302" s="632"/>
      <c r="L302" s="632"/>
      <c r="M302" s="632"/>
      <c r="N302" s="632"/>
      <c r="O302" s="632"/>
      <c r="P302" s="632"/>
      <c r="Q302" s="632"/>
      <c r="R302" s="634">
        <f>R300+R278+R266</f>
        <v>5288</v>
      </c>
      <c r="S302" s="631"/>
      <c r="T302" s="635">
        <f>+T300+T278+T266</f>
        <v>716604</v>
      </c>
      <c r="U302" s="631"/>
      <c r="V302" s="556"/>
      <c r="W302" s="558"/>
      <c r="X302" s="543"/>
    </row>
    <row r="303" spans="1:24" s="544" customFormat="1" x14ac:dyDescent="0.3">
      <c r="A303" s="540"/>
      <c r="B303" s="629"/>
      <c r="C303" s="588"/>
      <c r="D303" s="588"/>
      <c r="E303" s="588"/>
      <c r="F303" s="588"/>
      <c r="G303" s="588"/>
      <c r="H303" s="633"/>
      <c r="I303" s="633"/>
      <c r="J303" s="633"/>
      <c r="K303" s="633"/>
      <c r="L303" s="633"/>
      <c r="M303" s="633"/>
      <c r="N303" s="633"/>
      <c r="O303" s="633"/>
      <c r="P303" s="633"/>
      <c r="Q303" s="633"/>
      <c r="R303" s="617"/>
      <c r="S303" s="628"/>
      <c r="T303" s="643"/>
      <c r="U303" s="628"/>
      <c r="V303" s="588"/>
      <c r="W303" s="588"/>
      <c r="X303" s="543"/>
    </row>
    <row r="304" spans="1:24" s="544" customFormat="1" x14ac:dyDescent="0.3">
      <c r="A304" s="515" t="s">
        <v>392</v>
      </c>
      <c r="B304" s="523" t="s">
        <v>393</v>
      </c>
      <c r="C304" s="517"/>
      <c r="D304" s="517"/>
      <c r="E304" s="517"/>
      <c r="F304" s="517"/>
      <c r="G304" s="517"/>
      <c r="H304" s="536"/>
      <c r="I304" s="536"/>
      <c r="J304" s="536"/>
      <c r="K304" s="536"/>
      <c r="L304" s="536"/>
      <c r="M304" s="536"/>
      <c r="N304" s="536"/>
      <c r="O304" s="536"/>
      <c r="P304" s="536"/>
      <c r="Q304" s="536"/>
      <c r="R304" s="534" t="s">
        <v>102</v>
      </c>
      <c r="S304" s="524" t="s">
        <v>103</v>
      </c>
      <c r="T304" s="534" t="s">
        <v>109</v>
      </c>
      <c r="U304" s="524" t="s">
        <v>103</v>
      </c>
      <c r="V304" s="517"/>
      <c r="W304" s="520"/>
      <c r="X304" s="543"/>
    </row>
    <row r="305" spans="1:24" s="544" customFormat="1" x14ac:dyDescent="0.3">
      <c r="A305" s="540"/>
      <c r="B305" s="600" t="s">
        <v>88</v>
      </c>
      <c r="C305" s="588"/>
      <c r="D305" s="588"/>
      <c r="E305" s="588"/>
      <c r="F305" s="588"/>
      <c r="G305" s="588"/>
      <c r="H305" s="633"/>
      <c r="I305" s="633"/>
      <c r="J305" s="633"/>
      <c r="K305" s="633"/>
      <c r="L305" s="633"/>
      <c r="M305" s="633"/>
      <c r="N305" s="633"/>
      <c r="O305" s="633"/>
      <c r="P305" s="633"/>
      <c r="Q305" s="633"/>
      <c r="R305" s="600">
        <v>861</v>
      </c>
      <c r="S305" s="628">
        <f>+R305/R314</f>
        <v>0.97288135593220337</v>
      </c>
      <c r="T305" s="601">
        <v>133588</v>
      </c>
      <c r="U305" s="628">
        <f>+T305/T314</f>
        <v>0.96149361585743276</v>
      </c>
      <c r="V305" s="588"/>
      <c r="W305" s="588"/>
      <c r="X305" s="543"/>
    </row>
    <row r="306" spans="1:24" s="544" customFormat="1" x14ac:dyDescent="0.3">
      <c r="A306" s="555"/>
      <c r="B306" s="598" t="s">
        <v>89</v>
      </c>
      <c r="C306" s="556"/>
      <c r="D306" s="556"/>
      <c r="E306" s="556"/>
      <c r="F306" s="556"/>
      <c r="G306" s="556"/>
      <c r="H306" s="632"/>
      <c r="I306" s="632"/>
      <c r="J306" s="632"/>
      <c r="K306" s="632"/>
      <c r="L306" s="632"/>
      <c r="M306" s="632"/>
      <c r="N306" s="632"/>
      <c r="O306" s="632"/>
      <c r="P306" s="632"/>
      <c r="Q306" s="632"/>
      <c r="R306" s="598">
        <v>13</v>
      </c>
      <c r="S306" s="631">
        <f>+R306/R314</f>
        <v>1.4689265536723164E-2</v>
      </c>
      <c r="T306" s="599">
        <v>3968</v>
      </c>
      <c r="U306" s="631">
        <f>+T306/T314</f>
        <v>2.8559501360318991E-2</v>
      </c>
      <c r="V306" s="556"/>
      <c r="W306" s="558"/>
      <c r="X306" s="543"/>
    </row>
    <row r="307" spans="1:24" s="544" customFormat="1" x14ac:dyDescent="0.3">
      <c r="A307" s="555"/>
      <c r="B307" s="598" t="s">
        <v>90</v>
      </c>
      <c r="C307" s="556"/>
      <c r="D307" s="556"/>
      <c r="E307" s="556"/>
      <c r="F307" s="556"/>
      <c r="G307" s="556"/>
      <c r="H307" s="632"/>
      <c r="I307" s="632"/>
      <c r="J307" s="632"/>
      <c r="K307" s="632"/>
      <c r="L307" s="632"/>
      <c r="M307" s="632"/>
      <c r="N307" s="632"/>
      <c r="O307" s="632"/>
      <c r="P307" s="632"/>
      <c r="Q307" s="632"/>
      <c r="R307" s="598">
        <v>6</v>
      </c>
      <c r="S307" s="631">
        <f>+R307/R314</f>
        <v>6.7796610169491523E-3</v>
      </c>
      <c r="T307" s="599">
        <v>973</v>
      </c>
      <c r="U307" s="631">
        <f>+T307/T314</f>
        <v>7.0031236954612849E-3</v>
      </c>
      <c r="V307" s="556"/>
      <c r="W307" s="558"/>
      <c r="X307" s="543"/>
    </row>
    <row r="308" spans="1:24" s="544" customFormat="1" x14ac:dyDescent="0.3">
      <c r="A308" s="555"/>
      <c r="B308" s="598" t="s">
        <v>156</v>
      </c>
      <c r="C308" s="556"/>
      <c r="D308" s="556"/>
      <c r="E308" s="556"/>
      <c r="F308" s="556"/>
      <c r="G308" s="556"/>
      <c r="H308" s="632"/>
      <c r="I308" s="632"/>
      <c r="J308" s="632"/>
      <c r="K308" s="632"/>
      <c r="L308" s="632"/>
      <c r="M308" s="632"/>
      <c r="N308" s="632"/>
      <c r="O308" s="632"/>
      <c r="P308" s="632"/>
      <c r="Q308" s="632"/>
      <c r="R308" s="598">
        <v>1</v>
      </c>
      <c r="S308" s="631">
        <f>+R308/R314</f>
        <v>1.1299435028248588E-3</v>
      </c>
      <c r="T308" s="599">
        <v>91</v>
      </c>
      <c r="U308" s="631">
        <f>+T308/T314</f>
        <v>6.549684031726382E-4</v>
      </c>
      <c r="V308" s="556"/>
      <c r="W308" s="558"/>
      <c r="X308" s="543"/>
    </row>
    <row r="309" spans="1:24" s="544" customFormat="1" x14ac:dyDescent="0.3">
      <c r="A309" s="555"/>
      <c r="B309" s="598" t="s">
        <v>157</v>
      </c>
      <c r="C309" s="556"/>
      <c r="D309" s="556"/>
      <c r="E309" s="556"/>
      <c r="F309" s="556"/>
      <c r="G309" s="556"/>
      <c r="H309" s="632"/>
      <c r="I309" s="632"/>
      <c r="J309" s="632"/>
      <c r="K309" s="632"/>
      <c r="L309" s="632"/>
      <c r="M309" s="632"/>
      <c r="N309" s="632"/>
      <c r="O309" s="632"/>
      <c r="P309" s="632"/>
      <c r="Q309" s="632"/>
      <c r="R309" s="598">
        <v>1</v>
      </c>
      <c r="S309" s="631">
        <f>+R309/R314</f>
        <v>1.1299435028248588E-3</v>
      </c>
      <c r="T309" s="599">
        <v>89</v>
      </c>
      <c r="U309" s="631">
        <f>+T309/T314</f>
        <v>6.405734932128E-4</v>
      </c>
      <c r="V309" s="556"/>
      <c r="W309" s="558"/>
      <c r="X309" s="543"/>
    </row>
    <row r="310" spans="1:24" s="544" customFormat="1" x14ac:dyDescent="0.3">
      <c r="A310" s="555"/>
      <c r="B310" s="598" t="s">
        <v>158</v>
      </c>
      <c r="C310" s="556"/>
      <c r="D310" s="556"/>
      <c r="E310" s="556"/>
      <c r="F310" s="556"/>
      <c r="G310" s="556"/>
      <c r="H310" s="632"/>
      <c r="I310" s="632"/>
      <c r="J310" s="632"/>
      <c r="K310" s="632"/>
      <c r="L310" s="632"/>
      <c r="M310" s="632"/>
      <c r="N310" s="632"/>
      <c r="O310" s="632"/>
      <c r="P310" s="632"/>
      <c r="Q310" s="632"/>
      <c r="R310" s="598">
        <v>3</v>
      </c>
      <c r="S310" s="631">
        <f>+R310/R314</f>
        <v>3.3898305084745762E-3</v>
      </c>
      <c r="T310" s="599">
        <v>229</v>
      </c>
      <c r="U310" s="631">
        <f>+T310/T314</f>
        <v>1.6482171904014741E-3</v>
      </c>
      <c r="V310" s="556"/>
      <c r="W310" s="558"/>
      <c r="X310" s="543"/>
    </row>
    <row r="311" spans="1:24" s="544" customFormat="1" x14ac:dyDescent="0.3">
      <c r="A311" s="555"/>
      <c r="B311" s="598" t="s">
        <v>159</v>
      </c>
      <c r="C311" s="556"/>
      <c r="D311" s="556"/>
      <c r="E311" s="556"/>
      <c r="F311" s="556"/>
      <c r="G311" s="556"/>
      <c r="H311" s="632"/>
      <c r="I311" s="632"/>
      <c r="J311" s="632"/>
      <c r="K311" s="632"/>
      <c r="L311" s="632"/>
      <c r="M311" s="632"/>
      <c r="N311" s="632"/>
      <c r="O311" s="632"/>
      <c r="P311" s="632"/>
      <c r="Q311" s="632"/>
      <c r="R311" s="598">
        <v>0</v>
      </c>
      <c r="S311" s="631">
        <f>+R311/R314</f>
        <v>0</v>
      </c>
      <c r="T311" s="599">
        <v>0</v>
      </c>
      <c r="U311" s="631">
        <f>+T311/T314</f>
        <v>0</v>
      </c>
      <c r="V311" s="556"/>
      <c r="W311" s="558"/>
      <c r="X311" s="543"/>
    </row>
    <row r="312" spans="1:24" s="544" customFormat="1" x14ac:dyDescent="0.3">
      <c r="A312" s="555"/>
      <c r="B312" s="598" t="s">
        <v>160</v>
      </c>
      <c r="C312" s="556"/>
      <c r="D312" s="556"/>
      <c r="E312" s="556"/>
      <c r="F312" s="556"/>
      <c r="G312" s="556"/>
      <c r="H312" s="632"/>
      <c r="I312" s="632"/>
      <c r="J312" s="632"/>
      <c r="K312" s="632"/>
      <c r="L312" s="632"/>
      <c r="M312" s="632"/>
      <c r="N312" s="632"/>
      <c r="O312" s="632"/>
      <c r="P312" s="632"/>
      <c r="Q312" s="632"/>
      <c r="R312" s="598">
        <v>0</v>
      </c>
      <c r="S312" s="631">
        <f>+R312/R314</f>
        <v>0</v>
      </c>
      <c r="T312" s="599">
        <v>0</v>
      </c>
      <c r="U312" s="631">
        <f>+T312/T314</f>
        <v>0</v>
      </c>
      <c r="V312" s="556"/>
      <c r="W312" s="558"/>
      <c r="X312" s="543"/>
    </row>
    <row r="313" spans="1:24" s="544" customFormat="1" x14ac:dyDescent="0.3">
      <c r="A313" s="555"/>
      <c r="B313" s="598"/>
      <c r="C313" s="556"/>
      <c r="D313" s="556"/>
      <c r="E313" s="556"/>
      <c r="F313" s="556"/>
      <c r="G313" s="556"/>
      <c r="H313" s="632"/>
      <c r="I313" s="632"/>
      <c r="J313" s="632"/>
      <c r="K313" s="632"/>
      <c r="L313" s="632"/>
      <c r="M313" s="632"/>
      <c r="N313" s="632"/>
      <c r="O313" s="632"/>
      <c r="P313" s="632"/>
      <c r="Q313" s="632"/>
      <c r="R313" s="598"/>
      <c r="S313" s="631"/>
      <c r="T313" s="599"/>
      <c r="U313" s="631"/>
      <c r="V313" s="556"/>
      <c r="W313" s="558"/>
      <c r="X313" s="543"/>
    </row>
    <row r="314" spans="1:24" s="544" customFormat="1" x14ac:dyDescent="0.3">
      <c r="A314" s="555"/>
      <c r="B314" s="556" t="s">
        <v>114</v>
      </c>
      <c r="C314" s="556"/>
      <c r="D314" s="556"/>
      <c r="E314" s="556"/>
      <c r="F314" s="556"/>
      <c r="G314" s="556"/>
      <c r="H314" s="632"/>
      <c r="I314" s="632"/>
      <c r="J314" s="632"/>
      <c r="K314" s="632"/>
      <c r="L314" s="632"/>
      <c r="M314" s="632"/>
      <c r="N314" s="632"/>
      <c r="O314" s="632"/>
      <c r="P314" s="632"/>
      <c r="Q314" s="632"/>
      <c r="R314" s="598">
        <f>SUM(R305:R312)</f>
        <v>885</v>
      </c>
      <c r="S314" s="631">
        <f>SUM(S305:S313)</f>
        <v>0.99999999999999978</v>
      </c>
      <c r="T314" s="599">
        <f>SUM(T305:T312)</f>
        <v>138938</v>
      </c>
      <c r="U314" s="631">
        <f>SUM(U305:U313)</f>
        <v>0.99999999999999989</v>
      </c>
      <c r="V314" s="556"/>
      <c r="W314" s="558"/>
      <c r="X314" s="543"/>
    </row>
    <row r="315" spans="1:24" s="544" customFormat="1" x14ac:dyDescent="0.3">
      <c r="A315" s="555"/>
      <c r="B315" s="556" t="s">
        <v>412</v>
      </c>
      <c r="C315" s="556"/>
      <c r="D315" s="556"/>
      <c r="E315" s="556"/>
      <c r="F315" s="556"/>
      <c r="G315" s="556"/>
      <c r="H315" s="632"/>
      <c r="I315" s="632"/>
      <c r="J315" s="632"/>
      <c r="K315" s="632"/>
      <c r="L315" s="632"/>
      <c r="M315" s="632"/>
      <c r="N315" s="632"/>
      <c r="O315" s="632"/>
      <c r="P315" s="632"/>
      <c r="Q315" s="632"/>
      <c r="R315" s="658">
        <f>+R314/R302</f>
        <v>0.16736006051437216</v>
      </c>
      <c r="S315" s="659"/>
      <c r="T315" s="660">
        <f>+T314/T302</f>
        <v>0.19388393031576714</v>
      </c>
      <c r="U315" s="631"/>
      <c r="V315" s="556"/>
      <c r="W315" s="558"/>
      <c r="X315" s="543"/>
    </row>
    <row r="316" spans="1:24" s="544" customFormat="1" x14ac:dyDescent="0.3">
      <c r="A316" s="540"/>
      <c r="B316" s="541"/>
      <c r="C316" s="541"/>
      <c r="D316" s="541"/>
      <c r="E316" s="541"/>
      <c r="F316" s="541"/>
      <c r="G316" s="541"/>
      <c r="H316" s="636"/>
      <c r="I316" s="636"/>
      <c r="J316" s="636"/>
      <c r="K316" s="636"/>
      <c r="L316" s="636"/>
      <c r="M316" s="636"/>
      <c r="N316" s="636"/>
      <c r="O316" s="636"/>
      <c r="P316" s="636"/>
      <c r="Q316" s="636"/>
      <c r="R316" s="636"/>
      <c r="S316" s="636"/>
      <c r="T316" s="637"/>
      <c r="U316" s="636"/>
      <c r="V316" s="541"/>
      <c r="W316" s="541"/>
      <c r="X316" s="543"/>
    </row>
    <row r="317" spans="1:24" s="544" customFormat="1" x14ac:dyDescent="0.3">
      <c r="A317" s="540"/>
      <c r="B317" s="539" t="s">
        <v>91</v>
      </c>
      <c r="C317" s="541"/>
      <c r="D317" s="541"/>
      <c r="E317" s="541"/>
      <c r="F317" s="547" t="s">
        <v>97</v>
      </c>
      <c r="G317" s="541"/>
      <c r="H317" s="539" t="s">
        <v>99</v>
      </c>
      <c r="I317" s="539"/>
      <c r="J317" s="539"/>
      <c r="K317" s="541"/>
      <c r="L317" s="541"/>
      <c r="M317" s="541"/>
      <c r="N317" s="541"/>
      <c r="O317" s="541"/>
      <c r="P317" s="541"/>
      <c r="Q317" s="541"/>
      <c r="R317" s="541"/>
      <c r="S317" s="541"/>
      <c r="T317" s="541"/>
      <c r="U317" s="541"/>
      <c r="V317" s="541"/>
      <c r="W317" s="541"/>
      <c r="X317" s="543"/>
    </row>
    <row r="318" spans="1:24" s="544" customFormat="1" x14ac:dyDescent="0.3">
      <c r="A318" s="540"/>
      <c r="B318" s="539" t="s">
        <v>339</v>
      </c>
      <c r="C318" s="539"/>
      <c r="D318" s="539"/>
      <c r="E318" s="539"/>
      <c r="F318" s="638" t="s">
        <v>278</v>
      </c>
      <c r="G318" s="539"/>
      <c r="H318" s="639" t="s">
        <v>372</v>
      </c>
      <c r="I318" s="541"/>
      <c r="J318" s="539"/>
      <c r="K318" s="541"/>
      <c r="L318" s="541"/>
      <c r="M318" s="541"/>
      <c r="N318" s="541"/>
      <c r="O318" s="541"/>
      <c r="P318" s="541"/>
      <c r="Q318" s="541"/>
      <c r="R318" s="541"/>
      <c r="S318" s="541"/>
      <c r="T318" s="541"/>
      <c r="U318" s="541"/>
      <c r="V318" s="541"/>
      <c r="W318" s="541"/>
      <c r="X318" s="543"/>
    </row>
    <row r="319" spans="1:24" s="544" customFormat="1" x14ac:dyDescent="0.3">
      <c r="A319" s="540"/>
      <c r="B319" s="539" t="s">
        <v>340</v>
      </c>
      <c r="C319" s="539"/>
      <c r="D319" s="539"/>
      <c r="E319" s="539"/>
      <c r="F319" s="638" t="s">
        <v>147</v>
      </c>
      <c r="G319" s="539"/>
      <c r="H319" s="639" t="s">
        <v>373</v>
      </c>
      <c r="I319" s="539"/>
      <c r="J319" s="539"/>
      <c r="K319" s="541"/>
      <c r="L319" s="541"/>
      <c r="M319" s="541"/>
      <c r="N319" s="541"/>
      <c r="O319" s="541"/>
      <c r="P319" s="541"/>
      <c r="Q319" s="541"/>
      <c r="R319" s="541"/>
      <c r="S319" s="541"/>
      <c r="T319" s="541"/>
      <c r="U319" s="541"/>
      <c r="V319" s="541"/>
      <c r="W319" s="541"/>
      <c r="X319" s="543"/>
    </row>
    <row r="320" spans="1:24" s="544" customFormat="1" x14ac:dyDescent="0.3">
      <c r="A320" s="540"/>
      <c r="B320" s="539"/>
      <c r="C320" s="539"/>
      <c r="D320" s="539"/>
      <c r="E320" s="539"/>
      <c r="F320" s="638"/>
      <c r="G320" s="539"/>
      <c r="H320" s="539"/>
      <c r="I320" s="539"/>
      <c r="J320" s="539"/>
      <c r="K320" s="541"/>
      <c r="L320" s="541"/>
      <c r="M320" s="541"/>
      <c r="N320" s="541"/>
      <c r="O320" s="541"/>
      <c r="P320" s="541"/>
      <c r="Q320" s="541"/>
      <c r="R320" s="541"/>
      <c r="S320" s="541"/>
      <c r="T320" s="541"/>
      <c r="U320" s="541"/>
      <c r="V320" s="541"/>
      <c r="W320" s="541"/>
      <c r="X320" s="543"/>
    </row>
    <row r="321" spans="1:24" s="544" customFormat="1" x14ac:dyDescent="0.3">
      <c r="A321" s="540"/>
      <c r="B321" s="588" t="s">
        <v>368</v>
      </c>
      <c r="C321" s="539"/>
      <c r="D321" s="539"/>
      <c r="E321" s="539"/>
      <c r="F321" s="638"/>
      <c r="G321" s="539"/>
      <c r="H321" s="539"/>
      <c r="I321" s="539"/>
      <c r="J321" s="539"/>
      <c r="K321" s="541"/>
      <c r="L321" s="541"/>
      <c r="M321" s="541"/>
      <c r="N321" s="541"/>
      <c r="O321" s="541"/>
      <c r="P321" s="541"/>
      <c r="Q321" s="541"/>
      <c r="R321" s="541"/>
      <c r="S321" s="541"/>
      <c r="T321" s="541"/>
      <c r="U321" s="541"/>
      <c r="V321" s="541"/>
      <c r="W321" s="541"/>
      <c r="X321" s="543"/>
    </row>
    <row r="322" spans="1:24" s="544" customFormat="1" x14ac:dyDescent="0.3">
      <c r="A322" s="540"/>
      <c r="B322" s="588" t="s">
        <v>374</v>
      </c>
      <c r="C322" s="539"/>
      <c r="D322" s="539"/>
      <c r="E322" s="539"/>
      <c r="F322" s="638"/>
      <c r="G322" s="539"/>
      <c r="H322" s="539"/>
      <c r="I322" s="539"/>
      <c r="J322" s="539"/>
      <c r="K322" s="541"/>
      <c r="L322" s="541"/>
      <c r="M322" s="541"/>
      <c r="N322" s="541"/>
      <c r="O322" s="541"/>
      <c r="P322" s="541"/>
      <c r="Q322" s="541"/>
      <c r="R322" s="541"/>
      <c r="S322" s="541"/>
      <c r="T322" s="541"/>
      <c r="U322" s="541"/>
      <c r="V322" s="541"/>
      <c r="W322" s="541"/>
      <c r="X322" s="543"/>
    </row>
    <row r="323" spans="1:24" s="544" customFormat="1" x14ac:dyDescent="0.3">
      <c r="A323" s="540"/>
      <c r="B323" s="588" t="s">
        <v>365</v>
      </c>
      <c r="C323" s="539"/>
      <c r="D323" s="539"/>
      <c r="E323" s="539"/>
      <c r="F323" s="638"/>
      <c r="G323" s="539"/>
      <c r="H323" s="539"/>
      <c r="I323" s="539"/>
      <c r="J323" s="539"/>
      <c r="K323" s="541"/>
      <c r="L323" s="541"/>
      <c r="M323" s="541"/>
      <c r="N323" s="541"/>
      <c r="O323" s="541"/>
      <c r="P323" s="541"/>
      <c r="Q323" s="541"/>
      <c r="R323" s="541"/>
      <c r="S323" s="541"/>
      <c r="T323" s="541"/>
      <c r="U323" s="541"/>
      <c r="V323" s="541"/>
      <c r="W323" s="541"/>
      <c r="X323" s="543"/>
    </row>
    <row r="324" spans="1:24" s="544" customFormat="1" x14ac:dyDescent="0.3">
      <c r="A324" s="540"/>
      <c r="B324" s="588" t="s">
        <v>366</v>
      </c>
      <c r="C324" s="539"/>
      <c r="D324" s="539"/>
      <c r="E324" s="539"/>
      <c r="F324" s="638"/>
      <c r="G324" s="539"/>
      <c r="H324" s="539"/>
      <c r="I324" s="539"/>
      <c r="J324" s="539"/>
      <c r="K324" s="541"/>
      <c r="L324" s="541"/>
      <c r="M324" s="541"/>
      <c r="N324" s="541"/>
      <c r="O324" s="541"/>
      <c r="P324" s="541"/>
      <c r="Q324" s="541"/>
      <c r="R324" s="541"/>
      <c r="S324" s="541"/>
      <c r="T324" s="541"/>
      <c r="U324" s="541"/>
      <c r="V324" s="541"/>
      <c r="W324" s="541"/>
      <c r="X324" s="543"/>
    </row>
    <row r="325" spans="1:24" s="544" customFormat="1" x14ac:dyDescent="0.3">
      <c r="A325" s="540"/>
      <c r="B325" s="588"/>
      <c r="C325" s="539"/>
      <c r="D325" s="539"/>
      <c r="E325" s="539"/>
      <c r="F325" s="638"/>
      <c r="G325" s="539"/>
      <c r="H325" s="539"/>
      <c r="I325" s="539"/>
      <c r="J325" s="539"/>
      <c r="K325" s="541"/>
      <c r="L325" s="541"/>
      <c r="M325" s="541"/>
      <c r="N325" s="541"/>
      <c r="O325" s="541"/>
      <c r="P325" s="541"/>
      <c r="Q325" s="541"/>
      <c r="R325" s="541"/>
      <c r="S325" s="541"/>
      <c r="T325" s="541"/>
      <c r="U325" s="541"/>
      <c r="V325" s="541"/>
      <c r="W325" s="541"/>
      <c r="X325" s="543"/>
    </row>
    <row r="326" spans="1:24" s="544" customFormat="1" x14ac:dyDescent="0.3">
      <c r="A326" s="540"/>
      <c r="B326" s="644" t="s">
        <v>411</v>
      </c>
      <c r="C326" s="539"/>
      <c r="D326" s="539"/>
      <c r="E326" s="539"/>
      <c r="F326" s="638"/>
      <c r="G326" s="539"/>
      <c r="H326" s="539"/>
      <c r="I326" s="539"/>
      <c r="J326" s="539"/>
      <c r="K326" s="541"/>
      <c r="L326" s="541"/>
      <c r="M326" s="541"/>
      <c r="N326" s="541"/>
      <c r="O326" s="541"/>
      <c r="P326" s="541"/>
      <c r="Q326" s="541"/>
      <c r="R326" s="541"/>
      <c r="S326" s="541"/>
      <c r="T326" s="541"/>
      <c r="U326" s="541"/>
      <c r="V326" s="541"/>
      <c r="W326" s="541"/>
      <c r="X326" s="543"/>
    </row>
    <row r="327" spans="1:24" s="544" customFormat="1" x14ac:dyDescent="0.3">
      <c r="A327" s="540"/>
      <c r="B327" s="588"/>
      <c r="C327" s="539"/>
      <c r="D327" s="539"/>
      <c r="E327" s="539"/>
      <c r="F327" s="638"/>
      <c r="G327" s="539"/>
      <c r="H327" s="539"/>
      <c r="I327" s="539"/>
      <c r="J327" s="539"/>
      <c r="K327" s="541"/>
      <c r="L327" s="541"/>
      <c r="M327" s="541"/>
      <c r="N327" s="541"/>
      <c r="O327" s="541"/>
      <c r="P327" s="541"/>
      <c r="Q327" s="541"/>
      <c r="R327" s="541"/>
      <c r="S327" s="541"/>
      <c r="T327" s="541"/>
      <c r="U327" s="541"/>
      <c r="V327" s="541"/>
      <c r="W327" s="541"/>
      <c r="X327" s="543"/>
    </row>
    <row r="328" spans="1:24" x14ac:dyDescent="0.3">
      <c r="A328" s="417"/>
      <c r="B328" s="426"/>
      <c r="C328" s="426"/>
      <c r="D328" s="426"/>
      <c r="E328" s="426"/>
      <c r="F328" s="489"/>
      <c r="G328" s="426"/>
      <c r="H328" s="426"/>
      <c r="I328" s="426"/>
      <c r="J328" s="426"/>
      <c r="K328" s="427"/>
      <c r="L328" s="427"/>
      <c r="M328" s="427"/>
      <c r="N328" s="427"/>
      <c r="O328" s="427"/>
      <c r="P328" s="427"/>
      <c r="Q328" s="427"/>
      <c r="R328" s="427"/>
      <c r="S328" s="427"/>
      <c r="T328" s="427"/>
      <c r="U328" s="427"/>
      <c r="V328" s="427"/>
      <c r="W328" s="427"/>
      <c r="X328" s="415"/>
    </row>
    <row r="329" spans="1:24" ht="18" x14ac:dyDescent="0.35">
      <c r="A329" s="417"/>
      <c r="B329" s="514" t="s">
        <v>369</v>
      </c>
      <c r="C329" s="426"/>
      <c r="D329" s="426"/>
      <c r="E329" s="426"/>
      <c r="F329" s="426"/>
      <c r="G329" s="426"/>
      <c r="H329" s="427"/>
      <c r="I329" s="427"/>
      <c r="J329" s="427"/>
      <c r="K329" s="427"/>
      <c r="L329" s="419"/>
      <c r="M329" s="419"/>
      <c r="N329" s="490"/>
      <c r="O329" s="419"/>
      <c r="P329" s="412" t="s">
        <v>371</v>
      </c>
      <c r="Q329" s="427"/>
      <c r="R329" s="427"/>
      <c r="S329" s="427"/>
      <c r="T329" s="427"/>
      <c r="U329" s="427"/>
      <c r="V329" s="427"/>
      <c r="W329" s="427"/>
      <c r="X329" s="415"/>
    </row>
    <row r="330" spans="1:24" x14ac:dyDescent="0.3">
      <c r="A330" s="417"/>
      <c r="B330" s="426"/>
      <c r="C330" s="426"/>
      <c r="D330" s="426"/>
      <c r="E330" s="426"/>
      <c r="F330" s="426"/>
      <c r="G330" s="426"/>
      <c r="H330" s="427"/>
      <c r="I330" s="427"/>
      <c r="J330" s="427"/>
      <c r="K330" s="427"/>
      <c r="L330" s="427"/>
      <c r="M330" s="427"/>
      <c r="N330" s="427"/>
      <c r="O330" s="427"/>
      <c r="P330" s="427"/>
      <c r="Q330" s="427"/>
      <c r="R330" s="427"/>
      <c r="S330" s="427"/>
      <c r="T330" s="427"/>
      <c r="U330" s="427"/>
      <c r="V330" s="427"/>
      <c r="W330" s="427"/>
      <c r="X330" s="415"/>
    </row>
    <row r="331" spans="1:24" ht="18.600000000000001" thickBot="1" x14ac:dyDescent="0.4">
      <c r="A331" s="417"/>
      <c r="B331" s="640" t="str">
        <f>B206</f>
        <v>PM14 INVESTOR REPORT QUARTER ENDING MAY 2020</v>
      </c>
      <c r="C331" s="426"/>
      <c r="D331" s="426"/>
      <c r="E331" s="426"/>
      <c r="F331" s="426"/>
      <c r="G331" s="426"/>
      <c r="H331" s="427"/>
      <c r="I331" s="427"/>
      <c r="J331" s="427"/>
      <c r="K331" s="427"/>
      <c r="L331" s="427"/>
      <c r="M331" s="427"/>
      <c r="N331" s="427"/>
      <c r="O331" s="427"/>
      <c r="P331" s="427"/>
      <c r="Q331" s="427"/>
      <c r="R331" s="427"/>
      <c r="S331" s="427"/>
      <c r="T331" s="427"/>
      <c r="U331" s="427"/>
      <c r="V331" s="427"/>
      <c r="W331" s="427"/>
      <c r="X331" s="415"/>
    </row>
    <row r="332" spans="1:24" x14ac:dyDescent="0.3">
      <c r="A332" s="491"/>
      <c r="B332" s="491"/>
      <c r="C332" s="491"/>
      <c r="D332" s="491"/>
      <c r="E332" s="491"/>
      <c r="F332" s="491"/>
      <c r="G332" s="491"/>
      <c r="H332" s="491"/>
      <c r="I332" s="491"/>
      <c r="J332" s="491"/>
      <c r="K332" s="491"/>
      <c r="L332" s="491"/>
      <c r="M332" s="491"/>
      <c r="N332" s="491"/>
      <c r="O332" s="491"/>
      <c r="P332" s="491"/>
      <c r="Q332" s="491"/>
      <c r="R332" s="491"/>
      <c r="S332" s="491"/>
      <c r="T332" s="491"/>
      <c r="U332" s="491"/>
      <c r="V332" s="491"/>
      <c r="W332" s="491"/>
    </row>
    <row r="333" spans="1:24" x14ac:dyDescent="0.3">
      <c r="B333" s="645" t="s">
        <v>394</v>
      </c>
    </row>
    <row r="334" spans="1:24" x14ac:dyDescent="0.3">
      <c r="B334" s="646" t="s">
        <v>395</v>
      </c>
    </row>
    <row r="335" spans="1:24" x14ac:dyDescent="0.3">
      <c r="B335" s="646" t="s">
        <v>396</v>
      </c>
    </row>
    <row r="336" spans="1:24" x14ac:dyDescent="0.3">
      <c r="B336" s="646" t="s">
        <v>397</v>
      </c>
    </row>
    <row r="337" spans="2:2" x14ac:dyDescent="0.3">
      <c r="B337" s="646" t="s">
        <v>398</v>
      </c>
    </row>
    <row r="338" spans="2:2" x14ac:dyDescent="0.3">
      <c r="B338" s="646" t="s">
        <v>399</v>
      </c>
    </row>
    <row r="339" spans="2:2" x14ac:dyDescent="0.3">
      <c r="B339" s="646" t="s">
        <v>400</v>
      </c>
    </row>
    <row r="340" spans="2:2" x14ac:dyDescent="0.3">
      <c r="B340" s="646" t="s">
        <v>401</v>
      </c>
    </row>
    <row r="341" spans="2:2" x14ac:dyDescent="0.3">
      <c r="B341" s="646"/>
    </row>
    <row r="342" spans="2:2" x14ac:dyDescent="0.3">
      <c r="B342" s="645" t="s">
        <v>402</v>
      </c>
    </row>
    <row r="343" spans="2:2" x14ac:dyDescent="0.3">
      <c r="B343" s="646" t="s">
        <v>403</v>
      </c>
    </row>
    <row r="344" spans="2:2" x14ac:dyDescent="0.3">
      <c r="B344" s="646" t="s">
        <v>404</v>
      </c>
    </row>
  </sheetData>
  <hyperlinks>
    <hyperlink ref="I9" r:id="rId1" xr:uid="{491B72E9-1DE2-408D-8DBE-0209A0E4E2BF}"/>
    <hyperlink ref="P242" r:id="rId2" xr:uid="{75C1FE3B-52C9-4236-8A35-3EEA5C38B3F3}"/>
    <hyperlink ref="P329" r:id="rId3" xr:uid="{7D10836E-E9CE-4AA9-A349-38368D6B465E}"/>
  </hyperlinks>
  <printOptions horizontalCentered="1" verticalCentered="1"/>
  <pageMargins left="0.19685039370078741" right="0.19685039370078741" top="0.27559055118110237" bottom="0.27559055118110237" header="0" footer="0"/>
  <pageSetup scale="37" orientation="landscape" r:id="rId4"/>
  <headerFooter alignWithMargins="0"/>
  <rowBreaks count="3" manualBreakCount="3">
    <brk id="63" max="23" man="1"/>
    <brk id="140" max="14" man="1"/>
    <brk id="206" max="14" man="1"/>
  </rowBreaks>
  <drawing r:id="rId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FD602-134C-417F-9994-E5E3497D6A83}">
  <sheetPr>
    <tabColor theme="1"/>
  </sheetPr>
  <dimension ref="A1:IV351"/>
  <sheetViews>
    <sheetView showGridLines="0" showOutlineSymbols="0" zoomScale="70" zoomScaleNormal="70" workbookViewId="0"/>
  </sheetViews>
  <sheetFormatPr defaultColWidth="9.81640625" defaultRowHeight="15.6" x14ac:dyDescent="0.3"/>
  <cols>
    <col min="1" max="1" width="4" style="416" customWidth="1"/>
    <col min="2" max="2" width="71.08984375" style="416" customWidth="1"/>
    <col min="3" max="3" width="2.08984375" style="416" customWidth="1"/>
    <col min="4" max="4" width="19.1796875" style="416" customWidth="1"/>
    <col min="5" max="5" width="2.08984375" style="416" customWidth="1"/>
    <col min="6" max="6" width="25.08984375" style="416" customWidth="1"/>
    <col min="7" max="7" width="2.08984375" style="416" customWidth="1"/>
    <col min="8" max="8" width="16.08984375" style="416" customWidth="1"/>
    <col min="9" max="9" width="2.81640625" style="416" customWidth="1"/>
    <col min="10" max="10" width="16.08984375" style="416" customWidth="1"/>
    <col min="11" max="11" width="2.08984375" style="416" customWidth="1"/>
    <col min="12" max="12" width="17.81640625" style="416" customWidth="1"/>
    <col min="13" max="13" width="2.1796875" style="416" customWidth="1"/>
    <col min="14" max="14" width="14.81640625" style="416" customWidth="1"/>
    <col min="15" max="15" width="2.1796875" style="416" customWidth="1"/>
    <col min="16" max="16" width="15.54296875" style="416" customWidth="1"/>
    <col min="17" max="17" width="2.08984375" style="416" customWidth="1"/>
    <col min="18" max="18" width="15.54296875" style="416" customWidth="1"/>
    <col min="19" max="20" width="12.81640625" style="416" customWidth="1"/>
    <col min="21" max="21" width="7.81640625" style="416" customWidth="1"/>
    <col min="22" max="22" width="14.81640625" style="416" customWidth="1"/>
    <col min="23" max="23" width="11.81640625" style="416" customWidth="1"/>
    <col min="24" max="16384" width="9.81640625" style="416"/>
  </cols>
  <sheetData>
    <row r="1" spans="1:24" ht="21" x14ac:dyDescent="0.4">
      <c r="A1" s="413"/>
      <c r="B1" s="537" t="s">
        <v>244</v>
      </c>
      <c r="C1" s="414"/>
      <c r="D1" s="414"/>
      <c r="E1" s="414"/>
      <c r="F1" s="414"/>
      <c r="G1" s="414"/>
      <c r="H1" s="414"/>
      <c r="I1" s="414"/>
      <c r="J1" s="414"/>
      <c r="K1" s="414"/>
      <c r="L1" s="414"/>
      <c r="M1" s="414"/>
      <c r="N1" s="414"/>
      <c r="O1" s="414"/>
      <c r="P1" s="414"/>
      <c r="Q1" s="414"/>
      <c r="R1" s="414"/>
      <c r="S1" s="414"/>
      <c r="T1" s="414"/>
      <c r="U1" s="414"/>
      <c r="V1" s="414"/>
      <c r="W1" s="414"/>
      <c r="X1" s="415"/>
    </row>
    <row r="2" spans="1:24" x14ac:dyDescent="0.3">
      <c r="A2" s="417"/>
      <c r="B2" s="418"/>
      <c r="C2" s="419"/>
      <c r="D2" s="419"/>
      <c r="E2" s="419"/>
      <c r="F2" s="419"/>
      <c r="G2" s="419"/>
      <c r="H2" s="419"/>
      <c r="I2" s="419"/>
      <c r="J2" s="419"/>
      <c r="K2" s="419"/>
      <c r="L2" s="419"/>
      <c r="M2" s="419"/>
      <c r="N2" s="419"/>
      <c r="O2" s="419"/>
      <c r="P2" s="419"/>
      <c r="Q2" s="419"/>
      <c r="R2" s="419"/>
      <c r="S2" s="419"/>
      <c r="T2" s="419"/>
      <c r="U2" s="419"/>
      <c r="V2" s="419"/>
      <c r="W2" s="419"/>
      <c r="X2" s="415"/>
    </row>
    <row r="3" spans="1:24" x14ac:dyDescent="0.3">
      <c r="A3" s="420"/>
      <c r="B3" s="421" t="s">
        <v>245</v>
      </c>
      <c r="C3" s="419"/>
      <c r="D3" s="419"/>
      <c r="E3" s="419"/>
      <c r="F3" s="419"/>
      <c r="G3" s="419"/>
      <c r="H3" s="419"/>
      <c r="I3" s="419"/>
      <c r="J3" s="419"/>
      <c r="K3" s="419"/>
      <c r="L3" s="419"/>
      <c r="M3" s="419"/>
      <c r="N3" s="419"/>
      <c r="O3" s="419"/>
      <c r="P3" s="419"/>
      <c r="Q3" s="419"/>
      <c r="R3" s="419"/>
      <c r="S3" s="419"/>
      <c r="T3" s="419"/>
      <c r="U3" s="419"/>
      <c r="V3" s="419"/>
      <c r="W3" s="419"/>
      <c r="X3" s="415"/>
    </row>
    <row r="4" spans="1:24" x14ac:dyDescent="0.3">
      <c r="A4" s="417"/>
      <c r="B4" s="418"/>
      <c r="C4" s="419"/>
      <c r="D4" s="419"/>
      <c r="E4" s="419"/>
      <c r="F4" s="419"/>
      <c r="G4" s="419"/>
      <c r="H4" s="419"/>
      <c r="I4" s="419"/>
      <c r="J4" s="419"/>
      <c r="K4" s="419"/>
      <c r="L4" s="419"/>
      <c r="M4" s="419"/>
      <c r="N4" s="419"/>
      <c r="O4" s="419"/>
      <c r="P4" s="419"/>
      <c r="Q4" s="419"/>
      <c r="R4" s="419"/>
      <c r="S4" s="419"/>
      <c r="T4" s="419"/>
      <c r="U4" s="419"/>
      <c r="V4" s="419"/>
      <c r="W4" s="419"/>
      <c r="X4" s="415"/>
    </row>
    <row r="5" spans="1:24" x14ac:dyDescent="0.3">
      <c r="A5" s="417"/>
      <c r="B5" s="538" t="s">
        <v>137</v>
      </c>
      <c r="C5" s="419"/>
      <c r="D5" s="419"/>
      <c r="E5" s="419"/>
      <c r="F5" s="419"/>
      <c r="G5" s="419"/>
      <c r="H5" s="419"/>
      <c r="I5" s="419"/>
      <c r="J5" s="419"/>
      <c r="K5" s="419"/>
      <c r="L5" s="419"/>
      <c r="M5" s="419"/>
      <c r="N5" s="419"/>
      <c r="O5" s="419"/>
      <c r="P5" s="419"/>
      <c r="Q5" s="419"/>
      <c r="R5" s="419"/>
      <c r="S5" s="419"/>
      <c r="T5" s="419"/>
      <c r="U5" s="419"/>
      <c r="V5" s="419"/>
      <c r="W5" s="419"/>
      <c r="X5" s="415"/>
    </row>
    <row r="6" spans="1:24" x14ac:dyDescent="0.3">
      <c r="A6" s="417"/>
      <c r="B6" s="538" t="s">
        <v>139</v>
      </c>
      <c r="C6" s="419"/>
      <c r="D6" s="419"/>
      <c r="E6" s="419"/>
      <c r="F6" s="419"/>
      <c r="G6" s="419"/>
      <c r="H6" s="419"/>
      <c r="I6" s="419"/>
      <c r="J6" s="419"/>
      <c r="K6" s="419"/>
      <c r="L6" s="419"/>
      <c r="M6" s="419"/>
      <c r="N6" s="419"/>
      <c r="O6" s="419"/>
      <c r="P6" s="419"/>
      <c r="Q6" s="419"/>
      <c r="R6" s="419"/>
      <c r="S6" s="419"/>
      <c r="T6" s="419"/>
      <c r="U6" s="419"/>
      <c r="V6" s="419"/>
      <c r="W6" s="419"/>
      <c r="X6" s="415"/>
    </row>
    <row r="7" spans="1:24" x14ac:dyDescent="0.3">
      <c r="A7" s="417"/>
      <c r="B7" s="538" t="s">
        <v>138</v>
      </c>
      <c r="C7" s="419"/>
      <c r="D7" s="419"/>
      <c r="E7" s="419"/>
      <c r="F7" s="419"/>
      <c r="G7" s="419"/>
      <c r="H7" s="419"/>
      <c r="I7" s="419"/>
      <c r="J7" s="419"/>
      <c r="K7" s="419"/>
      <c r="L7" s="419"/>
      <c r="M7" s="419"/>
      <c r="N7" s="419"/>
      <c r="O7" s="419"/>
      <c r="P7" s="419"/>
      <c r="Q7" s="419"/>
      <c r="R7" s="419"/>
      <c r="S7" s="419"/>
      <c r="T7" s="419"/>
      <c r="U7" s="419"/>
      <c r="V7" s="419"/>
      <c r="W7" s="419"/>
      <c r="X7" s="415"/>
    </row>
    <row r="8" spans="1:24" x14ac:dyDescent="0.3">
      <c r="A8" s="417"/>
      <c r="B8" s="422"/>
      <c r="C8" s="419"/>
      <c r="D8" s="419"/>
      <c r="E8" s="419"/>
      <c r="F8" s="419"/>
      <c r="G8" s="419"/>
      <c r="H8" s="419"/>
      <c r="I8" s="419"/>
      <c r="J8" s="419"/>
      <c r="K8" s="419"/>
      <c r="L8" s="419"/>
      <c r="M8" s="419"/>
      <c r="N8" s="419"/>
      <c r="O8" s="419"/>
      <c r="P8" s="419"/>
      <c r="Q8" s="419"/>
      <c r="R8" s="419"/>
      <c r="S8" s="419"/>
      <c r="T8" s="419"/>
      <c r="U8" s="419"/>
      <c r="V8" s="419"/>
      <c r="W8" s="419"/>
      <c r="X8" s="415"/>
    </row>
    <row r="9" spans="1:24" ht="18" x14ac:dyDescent="0.35">
      <c r="A9" s="417"/>
      <c r="B9" s="423" t="s">
        <v>166</v>
      </c>
      <c r="C9" s="419"/>
      <c r="D9" s="419"/>
      <c r="E9" s="419"/>
      <c r="F9" s="419"/>
      <c r="G9" s="419"/>
      <c r="H9" s="419"/>
      <c r="I9" s="412" t="s">
        <v>371</v>
      </c>
      <c r="J9" s="419"/>
      <c r="K9" s="419"/>
      <c r="L9" s="424"/>
      <c r="M9" s="419"/>
      <c r="N9" s="424"/>
      <c r="O9" s="419"/>
      <c r="P9" s="419"/>
      <c r="Q9" s="419"/>
      <c r="R9" s="419"/>
      <c r="S9" s="419"/>
      <c r="T9" s="419"/>
      <c r="U9" s="419"/>
      <c r="V9" s="419"/>
      <c r="W9" s="419"/>
      <c r="X9" s="415"/>
    </row>
    <row r="10" spans="1:24" x14ac:dyDescent="0.3">
      <c r="A10" s="417"/>
      <c r="B10" s="422"/>
      <c r="C10" s="425"/>
      <c r="D10" s="425"/>
      <c r="E10" s="425"/>
      <c r="F10" s="419"/>
      <c r="G10" s="419"/>
      <c r="H10" s="419"/>
      <c r="I10" s="419"/>
      <c r="J10" s="419"/>
      <c r="K10" s="419"/>
      <c r="L10" s="419"/>
      <c r="M10" s="419"/>
      <c r="N10" s="419"/>
      <c r="O10" s="419"/>
      <c r="P10" s="419"/>
      <c r="Q10" s="419"/>
      <c r="R10" s="419"/>
      <c r="S10" s="419"/>
      <c r="T10" s="419"/>
      <c r="U10" s="419"/>
      <c r="V10" s="419"/>
      <c r="W10" s="419"/>
      <c r="X10" s="415"/>
    </row>
    <row r="11" spans="1:24" x14ac:dyDescent="0.3">
      <c r="A11" s="417"/>
      <c r="B11" s="539" t="s">
        <v>0</v>
      </c>
      <c r="C11" s="419"/>
      <c r="D11" s="419"/>
      <c r="E11" s="419"/>
      <c r="F11" s="419"/>
      <c r="G11" s="419"/>
      <c r="H11" s="419"/>
      <c r="I11" s="419"/>
      <c r="J11" s="419"/>
      <c r="K11" s="419"/>
      <c r="L11" s="419"/>
      <c r="M11" s="419"/>
      <c r="N11" s="419"/>
      <c r="O11" s="419"/>
      <c r="P11" s="419"/>
      <c r="Q11" s="419"/>
      <c r="R11" s="419"/>
      <c r="S11" s="419"/>
      <c r="T11" s="419"/>
      <c r="U11" s="419"/>
      <c r="V11" s="419"/>
      <c r="W11" s="419"/>
      <c r="X11" s="415"/>
    </row>
    <row r="12" spans="1:24" ht="16.2" thickBot="1" x14ac:dyDescent="0.35">
      <c r="A12" s="417"/>
      <c r="B12" s="425"/>
      <c r="C12" s="419"/>
      <c r="D12" s="419"/>
      <c r="E12" s="419"/>
      <c r="F12" s="419"/>
      <c r="G12" s="419"/>
      <c r="H12" s="419"/>
      <c r="I12" s="419"/>
      <c r="J12" s="419"/>
      <c r="K12" s="419"/>
      <c r="L12" s="419"/>
      <c r="M12" s="419"/>
      <c r="N12" s="419"/>
      <c r="O12" s="419"/>
      <c r="P12" s="419"/>
      <c r="Q12" s="419"/>
      <c r="R12" s="419"/>
      <c r="S12" s="419"/>
      <c r="T12" s="419"/>
      <c r="U12" s="419"/>
      <c r="V12" s="419"/>
      <c r="W12" s="419"/>
      <c r="X12" s="415"/>
    </row>
    <row r="13" spans="1:24" x14ac:dyDescent="0.3">
      <c r="A13" s="413"/>
      <c r="B13" s="414"/>
      <c r="C13" s="414"/>
      <c r="D13" s="414"/>
      <c r="E13" s="414"/>
      <c r="F13" s="414"/>
      <c r="G13" s="414"/>
      <c r="H13" s="414"/>
      <c r="I13" s="414"/>
      <c r="J13" s="414"/>
      <c r="K13" s="414"/>
      <c r="L13" s="414"/>
      <c r="M13" s="414"/>
      <c r="N13" s="414"/>
      <c r="O13" s="414"/>
      <c r="P13" s="414"/>
      <c r="Q13" s="414"/>
      <c r="R13" s="414"/>
      <c r="S13" s="414"/>
      <c r="T13" s="414"/>
      <c r="U13" s="414"/>
      <c r="V13" s="414"/>
      <c r="W13" s="414"/>
      <c r="X13" s="415"/>
    </row>
    <row r="14" spans="1:24" s="544" customFormat="1" x14ac:dyDescent="0.3">
      <c r="A14" s="540"/>
      <c r="B14" s="539" t="s">
        <v>1</v>
      </c>
      <c r="C14" s="541"/>
      <c r="D14" s="541"/>
      <c r="E14" s="541"/>
      <c r="F14" s="541"/>
      <c r="G14" s="541"/>
      <c r="H14" s="541"/>
      <c r="I14" s="541"/>
      <c r="J14" s="541"/>
      <c r="K14" s="541"/>
      <c r="L14" s="541"/>
      <c r="M14" s="541"/>
      <c r="N14" s="541"/>
      <c r="O14" s="541"/>
      <c r="P14" s="541"/>
      <c r="Q14" s="541"/>
      <c r="R14" s="541"/>
      <c r="S14" s="541"/>
      <c r="T14" s="541"/>
      <c r="U14" s="541"/>
      <c r="V14" s="542" t="s">
        <v>246</v>
      </c>
      <c r="W14" s="541"/>
      <c r="X14" s="543"/>
    </row>
    <row r="15" spans="1:24" s="544" customFormat="1" x14ac:dyDescent="0.3">
      <c r="A15" s="540"/>
      <c r="B15" s="539" t="s">
        <v>2</v>
      </c>
      <c r="C15" s="541"/>
      <c r="D15" s="541"/>
      <c r="E15" s="541"/>
      <c r="F15" s="541"/>
      <c r="G15" s="541"/>
      <c r="H15" s="545"/>
      <c r="I15" s="545"/>
      <c r="J15" s="545"/>
      <c r="K15" s="545"/>
      <c r="L15" s="545"/>
      <c r="M15" s="545"/>
      <c r="N15" s="545"/>
      <c r="O15" s="545"/>
      <c r="P15" s="545"/>
      <c r="Q15" s="545"/>
      <c r="R15" s="545" t="s">
        <v>104</v>
      </c>
      <c r="S15" s="546">
        <v>0.38300000000000001</v>
      </c>
      <c r="T15" s="547" t="s">
        <v>140</v>
      </c>
      <c r="U15" s="546">
        <v>0.61699999999999999</v>
      </c>
      <c r="V15" s="542"/>
      <c r="W15" s="541"/>
      <c r="X15" s="543"/>
    </row>
    <row r="16" spans="1:24" s="544" customFormat="1" x14ac:dyDescent="0.3">
      <c r="A16" s="540"/>
      <c r="B16" s="539" t="s">
        <v>3</v>
      </c>
      <c r="C16" s="541"/>
      <c r="D16" s="541"/>
      <c r="E16" s="541"/>
      <c r="F16" s="541"/>
      <c r="G16" s="541"/>
      <c r="H16" s="545"/>
      <c r="I16" s="545"/>
      <c r="J16" s="545"/>
      <c r="K16" s="545"/>
      <c r="L16" s="545"/>
      <c r="M16" s="545"/>
      <c r="N16" s="545"/>
      <c r="O16" s="545"/>
      <c r="P16" s="545"/>
      <c r="Q16" s="545"/>
      <c r="R16" s="545" t="s">
        <v>104</v>
      </c>
      <c r="S16" s="546">
        <v>0.51390000000000002</v>
      </c>
      <c r="T16" s="547" t="s">
        <v>140</v>
      </c>
      <c r="U16" s="546">
        <v>0.48609999999999998</v>
      </c>
      <c r="V16" s="542"/>
      <c r="W16" s="541"/>
      <c r="X16" s="543"/>
    </row>
    <row r="17" spans="1:24" s="544" customFormat="1" x14ac:dyDescent="0.3">
      <c r="A17" s="540"/>
      <c r="B17" s="539" t="s">
        <v>4</v>
      </c>
      <c r="C17" s="541"/>
      <c r="D17" s="541"/>
      <c r="E17" s="541"/>
      <c r="F17" s="541"/>
      <c r="G17" s="541"/>
      <c r="H17" s="541"/>
      <c r="I17" s="541"/>
      <c r="J17" s="541"/>
      <c r="K17" s="541"/>
      <c r="L17" s="541"/>
      <c r="M17" s="541"/>
      <c r="N17" s="541"/>
      <c r="O17" s="541"/>
      <c r="P17" s="541"/>
      <c r="Q17" s="541"/>
      <c r="R17" s="541"/>
      <c r="S17" s="541"/>
      <c r="T17" s="541"/>
      <c r="U17" s="541"/>
      <c r="V17" s="548">
        <v>39163</v>
      </c>
      <c r="W17" s="541"/>
      <c r="X17" s="543"/>
    </row>
    <row r="18" spans="1:24" s="544" customFormat="1" x14ac:dyDescent="0.3">
      <c r="A18" s="540"/>
      <c r="B18" s="539" t="s">
        <v>5</v>
      </c>
      <c r="C18" s="541"/>
      <c r="D18" s="541"/>
      <c r="E18" s="541"/>
      <c r="F18" s="541"/>
      <c r="G18" s="541"/>
      <c r="H18" s="541"/>
      <c r="I18" s="541"/>
      <c r="J18" s="541"/>
      <c r="K18" s="541"/>
      <c r="L18" s="541"/>
      <c r="M18" s="541"/>
      <c r="N18" s="541"/>
      <c r="O18" s="541"/>
      <c r="P18" s="541"/>
      <c r="Q18" s="541"/>
      <c r="R18" s="541"/>
      <c r="S18" s="541"/>
      <c r="T18" s="541"/>
      <c r="U18" s="541"/>
      <c r="V18" s="548">
        <v>44095</v>
      </c>
      <c r="W18" s="541"/>
      <c r="X18" s="543"/>
    </row>
    <row r="19" spans="1:24" s="544" customFormat="1" x14ac:dyDescent="0.3">
      <c r="A19" s="540"/>
      <c r="B19" s="541"/>
      <c r="C19" s="541"/>
      <c r="D19" s="541"/>
      <c r="E19" s="541"/>
      <c r="F19" s="541"/>
      <c r="G19" s="541"/>
      <c r="H19" s="541"/>
      <c r="I19" s="541"/>
      <c r="J19" s="541"/>
      <c r="K19" s="541"/>
      <c r="L19" s="541"/>
      <c r="M19" s="541"/>
      <c r="N19" s="541"/>
      <c r="O19" s="541"/>
      <c r="P19" s="541"/>
      <c r="Q19" s="541"/>
      <c r="R19" s="541"/>
      <c r="S19" s="541"/>
      <c r="T19" s="541"/>
      <c r="U19" s="541"/>
      <c r="V19" s="549"/>
      <c r="W19" s="541"/>
      <c r="X19" s="543"/>
    </row>
    <row r="20" spans="1:24" s="544" customFormat="1" x14ac:dyDescent="0.3">
      <c r="A20" s="540"/>
      <c r="B20" s="550" t="s">
        <v>6</v>
      </c>
      <c r="C20" s="541"/>
      <c r="D20" s="541"/>
      <c r="E20" s="541"/>
      <c r="F20" s="541"/>
      <c r="G20" s="541"/>
      <c r="H20" s="541"/>
      <c r="I20" s="541"/>
      <c r="J20" s="541"/>
      <c r="K20" s="541"/>
      <c r="L20" s="541"/>
      <c r="M20" s="541"/>
      <c r="N20" s="541"/>
      <c r="O20" s="541"/>
      <c r="P20" s="541"/>
      <c r="Q20" s="541"/>
      <c r="R20" s="541"/>
      <c r="S20" s="541"/>
      <c r="T20" s="549" t="s">
        <v>105</v>
      </c>
      <c r="U20" s="541"/>
      <c r="V20" s="541"/>
      <c r="W20" s="541"/>
      <c r="X20" s="543"/>
    </row>
    <row r="21" spans="1:24" x14ac:dyDescent="0.3">
      <c r="A21" s="417"/>
      <c r="B21" s="419"/>
      <c r="C21" s="419"/>
      <c r="D21" s="419"/>
      <c r="E21" s="419"/>
      <c r="F21" s="419"/>
      <c r="G21" s="419"/>
      <c r="H21" s="419"/>
      <c r="I21" s="419"/>
      <c r="J21" s="419"/>
      <c r="K21" s="419"/>
      <c r="L21" s="419"/>
      <c r="M21" s="419"/>
      <c r="N21" s="419"/>
      <c r="O21" s="419"/>
      <c r="P21" s="419"/>
      <c r="Q21" s="419"/>
      <c r="R21" s="419"/>
      <c r="S21" s="419"/>
      <c r="T21" s="419"/>
      <c r="U21" s="419"/>
      <c r="V21" s="430"/>
      <c r="W21" s="419"/>
      <c r="X21" s="415"/>
    </row>
    <row r="22" spans="1:24" x14ac:dyDescent="0.3">
      <c r="A22" s="515"/>
      <c r="B22" s="517"/>
      <c r="C22" s="518"/>
      <c r="D22" s="518" t="s">
        <v>177</v>
      </c>
      <c r="E22" s="518"/>
      <c r="F22" s="518" t="s">
        <v>178</v>
      </c>
      <c r="G22" s="518"/>
      <c r="H22" s="518" t="s">
        <v>179</v>
      </c>
      <c r="I22" s="518"/>
      <c r="J22" s="518" t="s">
        <v>220</v>
      </c>
      <c r="K22" s="518"/>
      <c r="L22" s="518" t="s">
        <v>180</v>
      </c>
      <c r="M22" s="518"/>
      <c r="N22" s="518" t="s">
        <v>181</v>
      </c>
      <c r="O22" s="518"/>
      <c r="P22" s="518" t="s">
        <v>221</v>
      </c>
      <c r="Q22" s="518"/>
      <c r="R22" s="518" t="s">
        <v>182</v>
      </c>
      <c r="S22" s="519"/>
      <c r="T22" s="519"/>
      <c r="U22" s="517"/>
      <c r="V22" s="517"/>
      <c r="W22" s="520"/>
      <c r="X22" s="415"/>
    </row>
    <row r="23" spans="1:24" s="544" customFormat="1" x14ac:dyDescent="0.3">
      <c r="A23" s="551"/>
      <c r="B23" s="552" t="s">
        <v>7</v>
      </c>
      <c r="C23" s="553"/>
      <c r="D23" s="553" t="s">
        <v>213</v>
      </c>
      <c r="E23" s="553"/>
      <c r="F23" s="553" t="s">
        <v>141</v>
      </c>
      <c r="G23" s="553"/>
      <c r="H23" s="553" t="s">
        <v>141</v>
      </c>
      <c r="I23" s="553"/>
      <c r="J23" s="553" t="s">
        <v>141</v>
      </c>
      <c r="K23" s="553"/>
      <c r="L23" s="553" t="s">
        <v>183</v>
      </c>
      <c r="M23" s="553"/>
      <c r="N23" s="553" t="s">
        <v>183</v>
      </c>
      <c r="O23" s="553"/>
      <c r="P23" s="553" t="s">
        <v>142</v>
      </c>
      <c r="Q23" s="553"/>
      <c r="R23" s="553" t="s">
        <v>142</v>
      </c>
      <c r="S23" s="553"/>
      <c r="T23" s="553"/>
      <c r="U23" s="552"/>
      <c r="V23" s="552"/>
      <c r="W23" s="554"/>
      <c r="X23" s="543"/>
    </row>
    <row r="24" spans="1:24" s="544" customFormat="1" x14ac:dyDescent="0.3">
      <c r="A24" s="555"/>
      <c r="B24" s="556" t="s">
        <v>8</v>
      </c>
      <c r="C24" s="557"/>
      <c r="D24" s="557" t="s">
        <v>214</v>
      </c>
      <c r="E24" s="557"/>
      <c r="F24" s="557" t="s">
        <v>143</v>
      </c>
      <c r="G24" s="557"/>
      <c r="H24" s="557" t="s">
        <v>143</v>
      </c>
      <c r="I24" s="557"/>
      <c r="J24" s="557" t="s">
        <v>143</v>
      </c>
      <c r="K24" s="557"/>
      <c r="L24" s="557" t="s">
        <v>165</v>
      </c>
      <c r="M24" s="557"/>
      <c r="N24" s="557" t="s">
        <v>165</v>
      </c>
      <c r="O24" s="557"/>
      <c r="P24" s="557" t="s">
        <v>144</v>
      </c>
      <c r="Q24" s="557"/>
      <c r="R24" s="557" t="s">
        <v>144</v>
      </c>
      <c r="S24" s="557"/>
      <c r="T24" s="557"/>
      <c r="U24" s="556"/>
      <c r="V24" s="556"/>
      <c r="W24" s="558"/>
      <c r="X24" s="543"/>
    </row>
    <row r="25" spans="1:24" s="544" customFormat="1" x14ac:dyDescent="0.3">
      <c r="A25" s="559"/>
      <c r="B25" s="556" t="s">
        <v>190</v>
      </c>
      <c r="C25" s="560"/>
      <c r="D25" s="557" t="s">
        <v>215</v>
      </c>
      <c r="E25" s="557"/>
      <c r="F25" s="557" t="s">
        <v>143</v>
      </c>
      <c r="G25" s="557"/>
      <c r="H25" s="557" t="s">
        <v>143</v>
      </c>
      <c r="I25" s="557"/>
      <c r="J25" s="557" t="s">
        <v>143</v>
      </c>
      <c r="K25" s="557"/>
      <c r="L25" s="557" t="s">
        <v>293</v>
      </c>
      <c r="M25" s="557"/>
      <c r="N25" s="557" t="s">
        <v>293</v>
      </c>
      <c r="O25" s="557"/>
      <c r="P25" s="557" t="s">
        <v>144</v>
      </c>
      <c r="Q25" s="557"/>
      <c r="R25" s="557" t="s">
        <v>144</v>
      </c>
      <c r="S25" s="560"/>
      <c r="T25" s="557"/>
      <c r="U25" s="556"/>
      <c r="V25" s="556"/>
      <c r="W25" s="558"/>
      <c r="X25" s="543"/>
    </row>
    <row r="26" spans="1:24" s="544" customFormat="1" x14ac:dyDescent="0.3">
      <c r="A26" s="559"/>
      <c r="B26" s="561" t="s">
        <v>9</v>
      </c>
      <c r="C26" s="560"/>
      <c r="D26" s="560" t="s">
        <v>333</v>
      </c>
      <c r="E26" s="560"/>
      <c r="F26" s="560" t="s">
        <v>333</v>
      </c>
      <c r="G26" s="560"/>
      <c r="H26" s="560" t="s">
        <v>333</v>
      </c>
      <c r="I26" s="560"/>
      <c r="J26" s="560" t="s">
        <v>333</v>
      </c>
      <c r="K26" s="560"/>
      <c r="L26" s="560" t="s">
        <v>333</v>
      </c>
      <c r="M26" s="560"/>
      <c r="N26" s="560" t="s">
        <v>333</v>
      </c>
      <c r="O26" s="560"/>
      <c r="P26" s="560" t="s">
        <v>334</v>
      </c>
      <c r="Q26" s="560"/>
      <c r="R26" s="560" t="s">
        <v>334</v>
      </c>
      <c r="S26" s="560"/>
      <c r="T26" s="557"/>
      <c r="U26" s="556"/>
      <c r="V26" s="556"/>
      <c r="W26" s="558"/>
      <c r="X26" s="543"/>
    </row>
    <row r="27" spans="1:24" s="544" customFormat="1" x14ac:dyDescent="0.3">
      <c r="A27" s="555"/>
      <c r="B27" s="561" t="s">
        <v>191</v>
      </c>
      <c r="C27" s="557"/>
      <c r="D27" s="560" t="s">
        <v>143</v>
      </c>
      <c r="E27" s="560"/>
      <c r="F27" s="560" t="s">
        <v>143</v>
      </c>
      <c r="G27" s="560"/>
      <c r="H27" s="560" t="s">
        <v>143</v>
      </c>
      <c r="I27" s="560"/>
      <c r="J27" s="560" t="s">
        <v>143</v>
      </c>
      <c r="K27" s="560"/>
      <c r="L27" s="560" t="s">
        <v>293</v>
      </c>
      <c r="M27" s="560"/>
      <c r="N27" s="560" t="s">
        <v>293</v>
      </c>
      <c r="O27" s="560"/>
      <c r="P27" s="560" t="s">
        <v>383</v>
      </c>
      <c r="Q27" s="560"/>
      <c r="R27" s="560" t="s">
        <v>383</v>
      </c>
      <c r="S27" s="557"/>
      <c r="T27" s="562"/>
      <c r="U27" s="556"/>
      <c r="V27" s="556"/>
      <c r="W27" s="558"/>
      <c r="X27" s="543"/>
    </row>
    <row r="28" spans="1:24" s="544" customFormat="1" x14ac:dyDescent="0.3">
      <c r="A28" s="555"/>
      <c r="B28" s="561" t="s">
        <v>192</v>
      </c>
      <c r="C28" s="557"/>
      <c r="D28" s="560" t="s">
        <v>143</v>
      </c>
      <c r="E28" s="560"/>
      <c r="F28" s="560" t="s">
        <v>143</v>
      </c>
      <c r="G28" s="560"/>
      <c r="H28" s="560" t="s">
        <v>143</v>
      </c>
      <c r="I28" s="560"/>
      <c r="J28" s="560" t="s">
        <v>143</v>
      </c>
      <c r="K28" s="560"/>
      <c r="L28" s="560" t="s">
        <v>143</v>
      </c>
      <c r="M28" s="560"/>
      <c r="N28" s="560" t="s">
        <v>143</v>
      </c>
      <c r="O28" s="560"/>
      <c r="P28" s="560" t="s">
        <v>383</v>
      </c>
      <c r="Q28" s="560"/>
      <c r="R28" s="560" t="s">
        <v>383</v>
      </c>
      <c r="S28" s="557"/>
      <c r="T28" s="562"/>
      <c r="U28" s="556"/>
      <c r="V28" s="556"/>
      <c r="W28" s="558"/>
      <c r="X28" s="543"/>
    </row>
    <row r="29" spans="1:24" s="544" customFormat="1" x14ac:dyDescent="0.3">
      <c r="A29" s="555"/>
      <c r="B29" s="556" t="s">
        <v>10</v>
      </c>
      <c r="C29" s="563"/>
      <c r="D29" s="557" t="s">
        <v>249</v>
      </c>
      <c r="E29" s="557"/>
      <c r="F29" s="562" t="s">
        <v>250</v>
      </c>
      <c r="G29" s="557"/>
      <c r="H29" s="557" t="s">
        <v>251</v>
      </c>
      <c r="I29" s="557"/>
      <c r="J29" s="557" t="s">
        <v>253</v>
      </c>
      <c r="K29" s="557"/>
      <c r="L29" s="557" t="s">
        <v>254</v>
      </c>
      <c r="M29" s="557"/>
      <c r="N29" s="557" t="s">
        <v>255</v>
      </c>
      <c r="O29" s="557"/>
      <c r="P29" s="557" t="s">
        <v>256</v>
      </c>
      <c r="Q29" s="557"/>
      <c r="R29" s="557" t="s">
        <v>257</v>
      </c>
      <c r="S29" s="564"/>
      <c r="T29" s="564"/>
      <c r="U29" s="563"/>
      <c r="V29" s="564"/>
      <c r="W29" s="565"/>
      <c r="X29" s="543"/>
    </row>
    <row r="30" spans="1:24" s="544" customFormat="1" x14ac:dyDescent="0.3">
      <c r="A30" s="555"/>
      <c r="B30" s="556" t="s">
        <v>10</v>
      </c>
      <c r="C30" s="563"/>
      <c r="D30" s="557" t="s">
        <v>248</v>
      </c>
      <c r="E30" s="557"/>
      <c r="F30" s="562" t="s">
        <v>118</v>
      </c>
      <c r="G30" s="557"/>
      <c r="H30" s="557" t="s">
        <v>118</v>
      </c>
      <c r="I30" s="557"/>
      <c r="J30" s="557" t="s">
        <v>252</v>
      </c>
      <c r="K30" s="557"/>
      <c r="L30" s="557" t="s">
        <v>118</v>
      </c>
      <c r="M30" s="557"/>
      <c r="N30" s="557" t="s">
        <v>118</v>
      </c>
      <c r="O30" s="557"/>
      <c r="P30" s="557" t="s">
        <v>118</v>
      </c>
      <c r="Q30" s="557"/>
      <c r="R30" s="557" t="s">
        <v>118</v>
      </c>
      <c r="S30" s="564"/>
      <c r="T30" s="564"/>
      <c r="U30" s="563"/>
      <c r="V30" s="564"/>
      <c r="W30" s="565"/>
      <c r="X30" s="543"/>
    </row>
    <row r="31" spans="1:24" s="544" customFormat="1" x14ac:dyDescent="0.3">
      <c r="A31" s="559"/>
      <c r="B31" s="556" t="s">
        <v>133</v>
      </c>
      <c r="C31" s="566"/>
      <c r="D31" s="567">
        <v>1500000</v>
      </c>
      <c r="E31" s="563"/>
      <c r="F31" s="564">
        <v>125000</v>
      </c>
      <c r="G31" s="564"/>
      <c r="H31" s="568">
        <v>246000</v>
      </c>
      <c r="I31" s="568"/>
      <c r="J31" s="567">
        <v>400000</v>
      </c>
      <c r="K31" s="564"/>
      <c r="L31" s="564">
        <v>51900</v>
      </c>
      <c r="M31" s="564"/>
      <c r="N31" s="568">
        <v>88800</v>
      </c>
      <c r="O31" s="564"/>
      <c r="P31" s="564">
        <v>20000</v>
      </c>
      <c r="Q31" s="564"/>
      <c r="R31" s="568">
        <v>135500</v>
      </c>
      <c r="S31" s="569"/>
      <c r="T31" s="569"/>
      <c r="U31" s="566"/>
      <c r="V31" s="569"/>
      <c r="W31" s="565"/>
      <c r="X31" s="543"/>
    </row>
    <row r="32" spans="1:24" s="544" customFormat="1" x14ac:dyDescent="0.3">
      <c r="A32" s="555"/>
      <c r="B32" s="556" t="s">
        <v>132</v>
      </c>
      <c r="C32" s="563"/>
      <c r="D32" s="570">
        <f>D34*D38</f>
        <v>298747.6745736</v>
      </c>
      <c r="E32" s="563"/>
      <c r="F32" s="564">
        <f>F31*F38</f>
        <v>48173.35</v>
      </c>
      <c r="G32" s="564"/>
      <c r="H32" s="568">
        <f>H31*H38</f>
        <v>94805.152799999996</v>
      </c>
      <c r="I32" s="568"/>
      <c r="J32" s="567">
        <f>J31*J38</f>
        <v>154153.76</v>
      </c>
      <c r="K32" s="564"/>
      <c r="L32" s="564">
        <f>+L31</f>
        <v>51900</v>
      </c>
      <c r="M32" s="564"/>
      <c r="N32" s="568">
        <f>+N31</f>
        <v>88800</v>
      </c>
      <c r="O32" s="564"/>
      <c r="P32" s="564">
        <f>+P31</f>
        <v>20000</v>
      </c>
      <c r="Q32" s="564"/>
      <c r="R32" s="568">
        <f>+R31</f>
        <v>135500</v>
      </c>
      <c r="S32" s="564"/>
      <c r="T32" s="564"/>
      <c r="U32" s="563"/>
      <c r="V32" s="564"/>
      <c r="W32" s="565"/>
      <c r="X32" s="543"/>
    </row>
    <row r="33" spans="1:24" s="544" customFormat="1" x14ac:dyDescent="0.3">
      <c r="A33" s="555"/>
      <c r="B33" s="561" t="s">
        <v>134</v>
      </c>
      <c r="C33" s="563"/>
      <c r="D33" s="571">
        <f>D34*D37</f>
        <v>292037.05267379998</v>
      </c>
      <c r="E33" s="566"/>
      <c r="F33" s="569">
        <f>F37*F31</f>
        <v>47091.275000000001</v>
      </c>
      <c r="G33" s="569"/>
      <c r="H33" s="572">
        <f>H31*H37</f>
        <v>92675.62920000001</v>
      </c>
      <c r="I33" s="572"/>
      <c r="J33" s="573">
        <f>J37*J31</f>
        <v>150691.07999999999</v>
      </c>
      <c r="K33" s="569"/>
      <c r="L33" s="569">
        <f>L31*L37</f>
        <v>51900</v>
      </c>
      <c r="M33" s="569"/>
      <c r="N33" s="572">
        <f>N31*N37</f>
        <v>88800</v>
      </c>
      <c r="O33" s="569"/>
      <c r="P33" s="569">
        <f>P31*P37</f>
        <v>20000</v>
      </c>
      <c r="Q33" s="569"/>
      <c r="R33" s="572">
        <f>R31*R37</f>
        <v>135500</v>
      </c>
      <c r="S33" s="564"/>
      <c r="T33" s="564"/>
      <c r="U33" s="563"/>
      <c r="V33" s="564"/>
      <c r="W33" s="565"/>
      <c r="X33" s="543"/>
    </row>
    <row r="34" spans="1:24" s="544" customFormat="1" x14ac:dyDescent="0.3">
      <c r="A34" s="559"/>
      <c r="B34" s="556" t="s">
        <v>296</v>
      </c>
      <c r="C34" s="566"/>
      <c r="D34" s="564">
        <v>775194</v>
      </c>
      <c r="E34" s="563"/>
      <c r="F34" s="564">
        <v>125000</v>
      </c>
      <c r="G34" s="564"/>
      <c r="H34" s="564">
        <v>168148</v>
      </c>
      <c r="I34" s="564"/>
      <c r="J34" s="564">
        <v>206718</v>
      </c>
      <c r="K34" s="564"/>
      <c r="L34" s="564">
        <v>51900</v>
      </c>
      <c r="M34" s="564"/>
      <c r="N34" s="564">
        <v>60697</v>
      </c>
      <c r="O34" s="564"/>
      <c r="P34" s="564">
        <v>20000</v>
      </c>
      <c r="Q34" s="564"/>
      <c r="R34" s="564">
        <v>92618</v>
      </c>
      <c r="S34" s="569"/>
      <c r="T34" s="569"/>
      <c r="U34" s="566"/>
      <c r="V34" s="564">
        <f>SUM(C34:R34)</f>
        <v>1500275</v>
      </c>
      <c r="W34" s="565"/>
      <c r="X34" s="543"/>
    </row>
    <row r="35" spans="1:24" s="544" customFormat="1" x14ac:dyDescent="0.3">
      <c r="A35" s="559"/>
      <c r="B35" s="556" t="s">
        <v>297</v>
      </c>
      <c r="C35" s="566"/>
      <c r="D35" s="564">
        <f>D34*D38</f>
        <v>298747.6745736</v>
      </c>
      <c r="E35" s="563"/>
      <c r="F35" s="564">
        <f>F34*F38</f>
        <v>48173.35</v>
      </c>
      <c r="G35" s="564"/>
      <c r="H35" s="564">
        <f>H34*H38</f>
        <v>64802.019646399996</v>
      </c>
      <c r="I35" s="564"/>
      <c r="J35" s="564">
        <f>J34*J38</f>
        <v>79665.892399200005</v>
      </c>
      <c r="K35" s="564"/>
      <c r="L35" s="564">
        <f>+L34</f>
        <v>51900</v>
      </c>
      <c r="M35" s="564"/>
      <c r="N35" s="564">
        <f>+N34</f>
        <v>60697</v>
      </c>
      <c r="O35" s="564"/>
      <c r="P35" s="564">
        <f>+P34</f>
        <v>20000</v>
      </c>
      <c r="Q35" s="564"/>
      <c r="R35" s="564">
        <f>+R34</f>
        <v>92618</v>
      </c>
      <c r="S35" s="564"/>
      <c r="T35" s="564"/>
      <c r="U35" s="563"/>
      <c r="V35" s="564">
        <f>SUM(C35:R35)</f>
        <v>716603.93661920005</v>
      </c>
      <c r="W35" s="565"/>
      <c r="X35" s="543"/>
    </row>
    <row r="36" spans="1:24" s="544" customFormat="1" x14ac:dyDescent="0.3">
      <c r="A36" s="559"/>
      <c r="B36" s="561" t="s">
        <v>298</v>
      </c>
      <c r="C36" s="566"/>
      <c r="D36" s="569">
        <f>D34*D37</f>
        <v>292037.05267379998</v>
      </c>
      <c r="E36" s="566"/>
      <c r="F36" s="569">
        <f>F34*F37</f>
        <v>47091.275000000001</v>
      </c>
      <c r="G36" s="569"/>
      <c r="H36" s="569">
        <f>H34*H37</f>
        <v>63346.429669600002</v>
      </c>
      <c r="I36" s="569"/>
      <c r="J36" s="569">
        <f>J34*J37</f>
        <v>77876.396688599998</v>
      </c>
      <c r="K36" s="569"/>
      <c r="L36" s="569">
        <f>L34*L37</f>
        <v>51900</v>
      </c>
      <c r="M36" s="569"/>
      <c r="N36" s="569">
        <f>N34*N37</f>
        <v>60697</v>
      </c>
      <c r="O36" s="569"/>
      <c r="P36" s="569">
        <f>P34*P37</f>
        <v>20000</v>
      </c>
      <c r="Q36" s="569"/>
      <c r="R36" s="569">
        <f>R34*R37</f>
        <v>92618</v>
      </c>
      <c r="S36" s="574"/>
      <c r="T36" s="574"/>
      <c r="U36" s="563"/>
      <c r="V36" s="569">
        <f>SUM(C36:R36)</f>
        <v>705566.15403199999</v>
      </c>
      <c r="W36" s="565"/>
      <c r="X36" s="543"/>
    </row>
    <row r="37" spans="1:24" s="499" customFormat="1" x14ac:dyDescent="0.3">
      <c r="A37" s="492"/>
      <c r="B37" s="493" t="s">
        <v>130</v>
      </c>
      <c r="C37" s="494"/>
      <c r="D37" s="495">
        <v>0.3767277</v>
      </c>
      <c r="E37" s="495"/>
      <c r="F37" s="495">
        <v>0.37673020000000002</v>
      </c>
      <c r="G37" s="495"/>
      <c r="H37" s="495">
        <v>0.37673020000000002</v>
      </c>
      <c r="I37" s="495"/>
      <c r="J37" s="495">
        <v>0.3767277</v>
      </c>
      <c r="K37" s="495"/>
      <c r="L37" s="495">
        <v>1</v>
      </c>
      <c r="M37" s="495"/>
      <c r="N37" s="495">
        <v>1</v>
      </c>
      <c r="O37" s="495"/>
      <c r="P37" s="495">
        <v>1</v>
      </c>
      <c r="Q37" s="495"/>
      <c r="R37" s="495">
        <v>1</v>
      </c>
      <c r="S37" s="496"/>
      <c r="T37" s="496"/>
      <c r="U37" s="494"/>
      <c r="V37" s="494"/>
      <c r="W37" s="497"/>
      <c r="X37" s="498"/>
    </row>
    <row r="38" spans="1:24" s="499" customFormat="1" x14ac:dyDescent="0.3">
      <c r="A38" s="492"/>
      <c r="B38" s="493" t="s">
        <v>131</v>
      </c>
      <c r="C38" s="494"/>
      <c r="D38" s="495">
        <v>0.38538440000000002</v>
      </c>
      <c r="E38" s="495"/>
      <c r="F38" s="495">
        <v>0.38538679999999997</v>
      </c>
      <c r="G38" s="495"/>
      <c r="H38" s="495">
        <v>0.38538679999999997</v>
      </c>
      <c r="I38" s="495"/>
      <c r="J38" s="495">
        <v>0.38538440000000002</v>
      </c>
      <c r="K38" s="495"/>
      <c r="L38" s="495">
        <v>1</v>
      </c>
      <c r="M38" s="495"/>
      <c r="N38" s="495">
        <v>1</v>
      </c>
      <c r="O38" s="495"/>
      <c r="P38" s="495">
        <v>1</v>
      </c>
      <c r="Q38" s="495"/>
      <c r="R38" s="495">
        <v>1</v>
      </c>
      <c r="S38" s="500"/>
      <c r="T38" s="501"/>
      <c r="U38" s="494"/>
      <c r="V38" s="500"/>
      <c r="W38" s="497"/>
      <c r="X38" s="498"/>
    </row>
    <row r="39" spans="1:24" s="544" customFormat="1" x14ac:dyDescent="0.3">
      <c r="A39" s="555"/>
      <c r="B39" s="556" t="s">
        <v>11</v>
      </c>
      <c r="C39" s="556"/>
      <c r="D39" s="562" t="s">
        <v>321</v>
      </c>
      <c r="E39" s="556"/>
      <c r="F39" s="562" t="s">
        <v>231</v>
      </c>
      <c r="G39" s="562"/>
      <c r="H39" s="562" t="s">
        <v>231</v>
      </c>
      <c r="I39" s="562"/>
      <c r="J39" s="562" t="s">
        <v>231</v>
      </c>
      <c r="K39" s="562"/>
      <c r="L39" s="562" t="s">
        <v>265</v>
      </c>
      <c r="M39" s="562"/>
      <c r="N39" s="562" t="s">
        <v>265</v>
      </c>
      <c r="O39" s="562"/>
      <c r="P39" s="562" t="s">
        <v>266</v>
      </c>
      <c r="Q39" s="562"/>
      <c r="R39" s="562" t="s">
        <v>266</v>
      </c>
      <c r="S39" s="575"/>
      <c r="T39" s="576"/>
      <c r="U39" s="556"/>
      <c r="V39" s="556"/>
      <c r="W39" s="558"/>
      <c r="X39" s="543"/>
    </row>
    <row r="40" spans="1:24" s="544" customFormat="1" x14ac:dyDescent="0.3">
      <c r="A40" s="555"/>
      <c r="B40" s="556" t="s">
        <v>12</v>
      </c>
      <c r="C40" s="556"/>
      <c r="D40" s="576">
        <v>3.9325000000000002E-3</v>
      </c>
      <c r="E40" s="556"/>
      <c r="F40" s="576">
        <v>3.9325000000000002E-3</v>
      </c>
      <c r="G40" s="575"/>
      <c r="H40" s="576">
        <v>0</v>
      </c>
      <c r="I40" s="576"/>
      <c r="J40" s="576">
        <v>5.1338E-3</v>
      </c>
      <c r="K40" s="575"/>
      <c r="L40" s="576">
        <v>5.5325000000000001E-3</v>
      </c>
      <c r="M40" s="575"/>
      <c r="N40" s="576">
        <v>2.0000000000000002E-5</v>
      </c>
      <c r="O40" s="575"/>
      <c r="P40" s="576">
        <v>9.5324999999999993E-3</v>
      </c>
      <c r="Q40" s="575"/>
      <c r="R40" s="576">
        <v>4.0200000000000001E-3</v>
      </c>
      <c r="S40" s="575"/>
      <c r="T40" s="576"/>
      <c r="U40" s="556"/>
      <c r="V40" s="562"/>
      <c r="W40" s="558"/>
      <c r="X40" s="543"/>
    </row>
    <row r="41" spans="1:24" s="544" customFormat="1" x14ac:dyDescent="0.3">
      <c r="A41" s="555"/>
      <c r="B41" s="556" t="s">
        <v>13</v>
      </c>
      <c r="C41" s="556"/>
      <c r="D41" s="576">
        <v>6.8675000000000003E-3</v>
      </c>
      <c r="E41" s="556"/>
      <c r="F41" s="576">
        <v>6.8675000000000003E-3</v>
      </c>
      <c r="G41" s="575"/>
      <c r="H41" s="576">
        <v>0</v>
      </c>
      <c r="I41" s="576"/>
      <c r="J41" s="576">
        <v>9.4050000000000002E-3</v>
      </c>
      <c r="K41" s="575"/>
      <c r="L41" s="576">
        <v>8.4674999999999993E-3</v>
      </c>
      <c r="M41" s="575"/>
      <c r="N41" s="576">
        <v>0</v>
      </c>
      <c r="O41" s="575"/>
      <c r="P41" s="576">
        <v>1.2467499999999999E-2</v>
      </c>
      <c r="Q41" s="575"/>
      <c r="R41" s="576">
        <v>2.7100000000000002E-3</v>
      </c>
      <c r="S41" s="575"/>
      <c r="T41" s="576"/>
      <c r="U41" s="556"/>
      <c r="V41" s="575" t="s">
        <v>193</v>
      </c>
      <c r="W41" s="558"/>
      <c r="X41" s="543"/>
    </row>
    <row r="42" spans="1:24" s="544" customFormat="1" x14ac:dyDescent="0.3">
      <c r="A42" s="555"/>
      <c r="B42" s="556" t="s">
        <v>299</v>
      </c>
      <c r="C42" s="556"/>
      <c r="D42" s="562" t="s">
        <v>321</v>
      </c>
      <c r="E42" s="556"/>
      <c r="F42" s="562" t="s">
        <v>231</v>
      </c>
      <c r="G42" s="562"/>
      <c r="H42" s="562" t="s">
        <v>323</v>
      </c>
      <c r="I42" s="562"/>
      <c r="J42" s="562" t="s">
        <v>324</v>
      </c>
      <c r="K42" s="562"/>
      <c r="L42" s="562" t="s">
        <v>265</v>
      </c>
      <c r="M42" s="562"/>
      <c r="N42" s="562" t="s">
        <v>234</v>
      </c>
      <c r="O42" s="562"/>
      <c r="P42" s="562" t="s">
        <v>266</v>
      </c>
      <c r="Q42" s="562"/>
      <c r="R42" s="562" t="s">
        <v>264</v>
      </c>
      <c r="S42" s="575"/>
      <c r="T42" s="576"/>
      <c r="U42" s="556"/>
      <c r="V42" s="556"/>
      <c r="W42" s="558"/>
      <c r="X42" s="543"/>
    </row>
    <row r="43" spans="1:24" s="544" customFormat="1" x14ac:dyDescent="0.3">
      <c r="A43" s="555"/>
      <c r="B43" s="556" t="s">
        <v>300</v>
      </c>
      <c r="C43" s="577"/>
      <c r="D43" s="576">
        <f>D40</f>
        <v>3.9325000000000002E-3</v>
      </c>
      <c r="E43" s="576"/>
      <c r="F43" s="576">
        <f>+F40</f>
        <v>3.9325000000000002E-3</v>
      </c>
      <c r="G43" s="576"/>
      <c r="H43" s="576">
        <v>4.2125000000000001E-3</v>
      </c>
      <c r="I43" s="576"/>
      <c r="J43" s="576">
        <v>4.6585000000000003E-3</v>
      </c>
      <c r="K43" s="576"/>
      <c r="L43" s="576">
        <f>+L40</f>
        <v>5.5325000000000001E-3</v>
      </c>
      <c r="M43" s="576"/>
      <c r="N43" s="576">
        <v>6.1244999999999997E-3</v>
      </c>
      <c r="O43" s="576"/>
      <c r="P43" s="576">
        <f>+P40</f>
        <v>9.5324999999999993E-3</v>
      </c>
      <c r="Q43" s="575"/>
      <c r="R43" s="576">
        <v>1.05985E-2</v>
      </c>
      <c r="S43" s="562"/>
      <c r="T43" s="562"/>
      <c r="U43" s="556"/>
      <c r="V43" s="575">
        <f>SUMPRODUCT(D43:R43,D35:R35)/V35</f>
        <v>5.3579197656265613E-3</v>
      </c>
      <c r="W43" s="558"/>
      <c r="X43" s="543"/>
    </row>
    <row r="44" spans="1:24" s="544" customFormat="1" x14ac:dyDescent="0.3">
      <c r="A44" s="555"/>
      <c r="B44" s="556" t="s">
        <v>301</v>
      </c>
      <c r="C44" s="577"/>
      <c r="D44" s="576">
        <f>D41</f>
        <v>6.8675000000000003E-3</v>
      </c>
      <c r="E44" s="576"/>
      <c r="F44" s="576">
        <f>+F41</f>
        <v>6.8675000000000003E-3</v>
      </c>
      <c r="G44" s="576"/>
      <c r="H44" s="576">
        <v>7.1475000000000002E-3</v>
      </c>
      <c r="I44" s="576"/>
      <c r="J44" s="576">
        <v>7.5935000000000004E-3</v>
      </c>
      <c r="K44" s="576"/>
      <c r="L44" s="576">
        <f>+L41</f>
        <v>8.4674999999999993E-3</v>
      </c>
      <c r="M44" s="576"/>
      <c r="N44" s="576">
        <v>9.0594999999999998E-3</v>
      </c>
      <c r="O44" s="576"/>
      <c r="P44" s="576">
        <f>+P41</f>
        <v>1.2467499999999999E-2</v>
      </c>
      <c r="Q44" s="575"/>
      <c r="R44" s="576">
        <v>1.35335E-2</v>
      </c>
      <c r="S44" s="562"/>
      <c r="T44" s="562"/>
      <c r="U44" s="556"/>
      <c r="V44" s="556"/>
      <c r="W44" s="558"/>
      <c r="X44" s="543"/>
    </row>
    <row r="45" spans="1:24" s="544" customFormat="1" x14ac:dyDescent="0.3">
      <c r="A45" s="555"/>
      <c r="B45" s="556" t="s">
        <v>14</v>
      </c>
      <c r="C45" s="556"/>
      <c r="D45" s="577">
        <v>40617</v>
      </c>
      <c r="E45" s="577"/>
      <c r="F45" s="577">
        <v>40617</v>
      </c>
      <c r="G45" s="577"/>
      <c r="H45" s="577">
        <v>40617</v>
      </c>
      <c r="I45" s="577"/>
      <c r="J45" s="577">
        <v>40617</v>
      </c>
      <c r="K45" s="577"/>
      <c r="L45" s="577">
        <v>40617</v>
      </c>
      <c r="M45" s="577"/>
      <c r="N45" s="577">
        <v>40617</v>
      </c>
      <c r="O45" s="577"/>
      <c r="P45" s="577">
        <v>40617</v>
      </c>
      <c r="Q45" s="577"/>
      <c r="R45" s="577">
        <v>40617</v>
      </c>
      <c r="S45" s="562"/>
      <c r="T45" s="562"/>
      <c r="U45" s="556"/>
      <c r="V45" s="556"/>
      <c r="W45" s="558"/>
      <c r="X45" s="543"/>
    </row>
    <row r="46" spans="1:24" s="544" customFormat="1" x14ac:dyDescent="0.3">
      <c r="A46" s="555"/>
      <c r="B46" s="556" t="s">
        <v>15</v>
      </c>
      <c r="C46" s="556"/>
      <c r="D46" s="577">
        <v>40983</v>
      </c>
      <c r="E46" s="577"/>
      <c r="F46" s="577">
        <v>40983</v>
      </c>
      <c r="G46" s="577"/>
      <c r="H46" s="577">
        <v>40983</v>
      </c>
      <c r="I46" s="577"/>
      <c r="J46" s="577">
        <v>40983</v>
      </c>
      <c r="K46" s="562"/>
      <c r="L46" s="577">
        <v>40983</v>
      </c>
      <c r="M46" s="562"/>
      <c r="N46" s="577">
        <v>40983</v>
      </c>
      <c r="O46" s="562"/>
      <c r="P46" s="577">
        <v>40983</v>
      </c>
      <c r="Q46" s="562"/>
      <c r="R46" s="577">
        <v>40983</v>
      </c>
      <c r="S46" s="562"/>
      <c r="T46" s="562"/>
      <c r="U46" s="556"/>
      <c r="V46" s="556"/>
      <c r="W46" s="558"/>
      <c r="X46" s="543"/>
    </row>
    <row r="47" spans="1:24" s="544" customFormat="1" x14ac:dyDescent="0.3">
      <c r="A47" s="555"/>
      <c r="B47" s="556" t="s">
        <v>119</v>
      </c>
      <c r="C47" s="556"/>
      <c r="D47" s="562" t="s">
        <v>231</v>
      </c>
      <c r="E47" s="556"/>
      <c r="F47" s="562" t="s">
        <v>231</v>
      </c>
      <c r="G47" s="562"/>
      <c r="H47" s="562" t="s">
        <v>231</v>
      </c>
      <c r="I47" s="562"/>
      <c r="J47" s="562" t="s">
        <v>231</v>
      </c>
      <c r="K47" s="562"/>
      <c r="L47" s="562" t="s">
        <v>265</v>
      </c>
      <c r="M47" s="562"/>
      <c r="N47" s="562" t="s">
        <v>265</v>
      </c>
      <c r="O47" s="562"/>
      <c r="P47" s="562" t="s">
        <v>266</v>
      </c>
      <c r="Q47" s="562"/>
      <c r="R47" s="562" t="s">
        <v>266</v>
      </c>
      <c r="S47" s="578"/>
      <c r="T47" s="578"/>
      <c r="U47" s="578"/>
      <c r="V47" s="578"/>
      <c r="W47" s="558"/>
      <c r="X47" s="543"/>
    </row>
    <row r="48" spans="1:24" s="544" customFormat="1" x14ac:dyDescent="0.3">
      <c r="A48" s="555"/>
      <c r="B48" s="556" t="s">
        <v>302</v>
      </c>
      <c r="C48" s="556"/>
      <c r="D48" s="562" t="s">
        <v>325</v>
      </c>
      <c r="E48" s="556"/>
      <c r="F48" s="562" t="s">
        <v>231</v>
      </c>
      <c r="G48" s="562"/>
      <c r="H48" s="562" t="s">
        <v>262</v>
      </c>
      <c r="I48" s="562"/>
      <c r="J48" s="562" t="s">
        <v>263</v>
      </c>
      <c r="K48" s="562"/>
      <c r="L48" s="562" t="s">
        <v>265</v>
      </c>
      <c r="M48" s="562"/>
      <c r="N48" s="562" t="s">
        <v>234</v>
      </c>
      <c r="O48" s="562"/>
      <c r="P48" s="562" t="s">
        <v>266</v>
      </c>
      <c r="Q48" s="562"/>
      <c r="R48" s="562" t="s">
        <v>264</v>
      </c>
      <c r="S48" s="556"/>
      <c r="T48" s="556"/>
      <c r="U48" s="556"/>
      <c r="V48" s="575"/>
      <c r="W48" s="558"/>
      <c r="X48" s="543"/>
    </row>
    <row r="49" spans="1:25" s="544" customFormat="1" x14ac:dyDescent="0.3">
      <c r="A49" s="555"/>
      <c r="B49" s="556"/>
      <c r="C49" s="556"/>
      <c r="D49" s="562"/>
      <c r="E49" s="556"/>
      <c r="F49" s="562"/>
      <c r="G49" s="562"/>
      <c r="H49" s="562"/>
      <c r="I49" s="562"/>
      <c r="J49" s="562"/>
      <c r="K49" s="562"/>
      <c r="L49" s="562"/>
      <c r="M49" s="562"/>
      <c r="N49" s="562"/>
      <c r="O49" s="562"/>
      <c r="P49" s="562"/>
      <c r="Q49" s="562"/>
      <c r="R49" s="562"/>
      <c r="S49" s="556"/>
      <c r="T49" s="556"/>
      <c r="U49" s="556"/>
      <c r="V49" s="575" t="s">
        <v>193</v>
      </c>
      <c r="W49" s="558"/>
      <c r="X49" s="543"/>
    </row>
    <row r="50" spans="1:25" s="544" customFormat="1" x14ac:dyDescent="0.3">
      <c r="A50" s="555"/>
      <c r="B50" s="556" t="s">
        <v>169</v>
      </c>
      <c r="C50" s="556"/>
      <c r="D50" s="562"/>
      <c r="E50" s="556"/>
      <c r="F50" s="562"/>
      <c r="G50" s="562"/>
      <c r="H50" s="562"/>
      <c r="I50" s="562"/>
      <c r="J50" s="562"/>
      <c r="K50" s="562"/>
      <c r="L50" s="562"/>
      <c r="M50" s="562"/>
      <c r="N50" s="562"/>
      <c r="O50" s="562"/>
      <c r="P50" s="562"/>
      <c r="Q50" s="562"/>
      <c r="R50" s="562"/>
      <c r="S50" s="556"/>
      <c r="T50" s="556"/>
      <c r="U50" s="556"/>
      <c r="V50" s="575">
        <f>SUM(L34:R34)/SUM(D34:J34)</f>
        <v>0.17663090364375009</v>
      </c>
      <c r="W50" s="558"/>
      <c r="X50" s="543"/>
    </row>
    <row r="51" spans="1:25" s="544" customFormat="1" x14ac:dyDescent="0.3">
      <c r="A51" s="555"/>
      <c r="B51" s="556" t="s">
        <v>170</v>
      </c>
      <c r="C51" s="556"/>
      <c r="D51" s="556"/>
      <c r="E51" s="556"/>
      <c r="F51" s="579"/>
      <c r="G51" s="556"/>
      <c r="H51" s="556"/>
      <c r="I51" s="556"/>
      <c r="J51" s="556"/>
      <c r="K51" s="556"/>
      <c r="L51" s="556"/>
      <c r="M51" s="556"/>
      <c r="N51" s="556"/>
      <c r="O51" s="556"/>
      <c r="P51" s="556"/>
      <c r="Q51" s="556"/>
      <c r="R51" s="556"/>
      <c r="S51" s="556"/>
      <c r="T51" s="556"/>
      <c r="U51" s="556"/>
      <c r="V51" s="575">
        <f>SUM(L36:R36)/SUM(D36:J36)</f>
        <v>0.46885491605375978</v>
      </c>
      <c r="W51" s="558"/>
      <c r="X51" s="543"/>
    </row>
    <row r="52" spans="1:25" s="544" customFormat="1" x14ac:dyDescent="0.3">
      <c r="A52" s="555"/>
      <c r="B52" s="556" t="s">
        <v>171</v>
      </c>
      <c r="C52" s="556"/>
      <c r="D52" s="556"/>
      <c r="E52" s="556"/>
      <c r="F52" s="556"/>
      <c r="G52" s="556"/>
      <c r="H52" s="556"/>
      <c r="I52" s="556"/>
      <c r="J52" s="556"/>
      <c r="K52" s="556"/>
      <c r="L52" s="556"/>
      <c r="M52" s="556"/>
      <c r="N52" s="556"/>
      <c r="O52" s="556"/>
      <c r="P52" s="556"/>
      <c r="Q52" s="556"/>
      <c r="R52" s="556"/>
      <c r="S52" s="556"/>
      <c r="T52" s="562"/>
      <c r="U52" s="562"/>
      <c r="V52" s="564" t="s">
        <v>276</v>
      </c>
      <c r="W52" s="558"/>
      <c r="X52" s="543"/>
    </row>
    <row r="53" spans="1:25" s="544" customFormat="1" x14ac:dyDescent="0.3">
      <c r="A53" s="555"/>
      <c r="B53" s="556"/>
      <c r="C53" s="556"/>
      <c r="D53" s="556"/>
      <c r="E53" s="556"/>
      <c r="F53" s="556"/>
      <c r="G53" s="556"/>
      <c r="H53" s="556"/>
      <c r="I53" s="556"/>
      <c r="J53" s="556"/>
      <c r="K53" s="556"/>
      <c r="L53" s="556"/>
      <c r="M53" s="556"/>
      <c r="N53" s="556"/>
      <c r="O53" s="556"/>
      <c r="P53" s="556"/>
      <c r="Q53" s="556"/>
      <c r="R53" s="556"/>
      <c r="S53" s="556"/>
      <c r="T53" s="556"/>
      <c r="U53" s="556"/>
      <c r="V53" s="580"/>
      <c r="W53" s="558"/>
      <c r="X53" s="543"/>
    </row>
    <row r="54" spans="1:25" s="544" customFormat="1" x14ac:dyDescent="0.3">
      <c r="A54" s="555"/>
      <c r="B54" s="556" t="s">
        <v>361</v>
      </c>
      <c r="C54" s="556"/>
      <c r="D54" s="556"/>
      <c r="E54" s="556"/>
      <c r="F54" s="556"/>
      <c r="G54" s="556"/>
      <c r="H54" s="556"/>
      <c r="I54" s="556"/>
      <c r="J54" s="556"/>
      <c r="K54" s="556"/>
      <c r="L54" s="556"/>
      <c r="M54" s="556"/>
      <c r="N54" s="556"/>
      <c r="O54" s="556"/>
      <c r="P54" s="556"/>
      <c r="Q54" s="556"/>
      <c r="R54" s="556"/>
      <c r="S54" s="556"/>
      <c r="T54" s="562"/>
      <c r="U54" s="562"/>
      <c r="V54" s="581" t="s">
        <v>111</v>
      </c>
      <c r="W54" s="558"/>
      <c r="X54" s="543"/>
    </row>
    <row r="55" spans="1:25" s="544" customFormat="1" x14ac:dyDescent="0.3">
      <c r="A55" s="555"/>
      <c r="B55" s="561" t="s">
        <v>201</v>
      </c>
      <c r="C55" s="561"/>
      <c r="D55" s="561"/>
      <c r="E55" s="561"/>
      <c r="F55" s="561"/>
      <c r="G55" s="561"/>
      <c r="H55" s="561"/>
      <c r="I55" s="561"/>
      <c r="J55" s="561"/>
      <c r="K55" s="561"/>
      <c r="L55" s="561"/>
      <c r="M55" s="561"/>
      <c r="N55" s="561"/>
      <c r="O55" s="561"/>
      <c r="P55" s="561"/>
      <c r="Q55" s="561"/>
      <c r="R55" s="561"/>
      <c r="S55" s="561"/>
      <c r="T55" s="582"/>
      <c r="U55" s="582"/>
      <c r="V55" s="583">
        <v>44089</v>
      </c>
      <c r="W55" s="558"/>
      <c r="X55" s="543"/>
    </row>
    <row r="56" spans="1:25" s="544" customFormat="1" x14ac:dyDescent="0.3">
      <c r="A56" s="555"/>
      <c r="B56" s="556" t="s">
        <v>121</v>
      </c>
      <c r="C56" s="556"/>
      <c r="D56" s="556"/>
      <c r="E56" s="556"/>
      <c r="F56" s="556"/>
      <c r="G56" s="556"/>
      <c r="H56" s="584"/>
      <c r="I56" s="584"/>
      <c r="J56" s="584"/>
      <c r="K56" s="584"/>
      <c r="L56" s="584"/>
      <c r="M56" s="584"/>
      <c r="N56" s="584"/>
      <c r="O56" s="584"/>
      <c r="P56" s="584"/>
      <c r="Q56" s="584"/>
      <c r="R56" s="556">
        <f>+V56-T56+1</f>
        <v>91</v>
      </c>
      <c r="S56" s="584"/>
      <c r="T56" s="585">
        <v>43906</v>
      </c>
      <c r="U56" s="586"/>
      <c r="V56" s="585">
        <v>43996</v>
      </c>
      <c r="W56" s="558"/>
      <c r="X56" s="543"/>
    </row>
    <row r="57" spans="1:25" s="544" customFormat="1" x14ac:dyDescent="0.3">
      <c r="A57" s="555"/>
      <c r="B57" s="556" t="s">
        <v>122</v>
      </c>
      <c r="C57" s="556"/>
      <c r="D57" s="556"/>
      <c r="E57" s="556"/>
      <c r="F57" s="556"/>
      <c r="G57" s="556"/>
      <c r="H57" s="556"/>
      <c r="I57" s="556"/>
      <c r="J57" s="556"/>
      <c r="K57" s="556"/>
      <c r="L57" s="556"/>
      <c r="M57" s="556"/>
      <c r="N57" s="556"/>
      <c r="O57" s="556"/>
      <c r="P57" s="556"/>
      <c r="Q57" s="556"/>
      <c r="R57" s="556">
        <f>+V57-T57+1</f>
        <v>92</v>
      </c>
      <c r="S57" s="556"/>
      <c r="T57" s="585">
        <v>43997</v>
      </c>
      <c r="U57" s="586"/>
      <c r="V57" s="585">
        <v>44088</v>
      </c>
      <c r="W57" s="558"/>
      <c r="X57" s="543"/>
    </row>
    <row r="58" spans="1:25" s="544" customFormat="1" x14ac:dyDescent="0.3">
      <c r="A58" s="555"/>
      <c r="B58" s="556" t="s">
        <v>360</v>
      </c>
      <c r="C58" s="556"/>
      <c r="D58" s="556"/>
      <c r="E58" s="556"/>
      <c r="F58" s="556"/>
      <c r="G58" s="556"/>
      <c r="H58" s="556"/>
      <c r="I58" s="556"/>
      <c r="J58" s="556"/>
      <c r="K58" s="556"/>
      <c r="L58" s="556"/>
      <c r="M58" s="556"/>
      <c r="N58" s="556"/>
      <c r="O58" s="556"/>
      <c r="P58" s="556"/>
      <c r="Q58" s="556"/>
      <c r="R58" s="556"/>
      <c r="S58" s="556"/>
      <c r="T58" s="585"/>
      <c r="U58" s="586"/>
      <c r="V58" s="585" t="s">
        <v>120</v>
      </c>
      <c r="W58" s="558"/>
      <c r="X58" s="543"/>
    </row>
    <row r="59" spans="1:25" s="544" customFormat="1" x14ac:dyDescent="0.3">
      <c r="A59" s="555"/>
      <c r="B59" s="556" t="s">
        <v>359</v>
      </c>
      <c r="C59" s="556"/>
      <c r="D59" s="556"/>
      <c r="E59" s="556"/>
      <c r="F59" s="556"/>
      <c r="G59" s="556"/>
      <c r="H59" s="556"/>
      <c r="I59" s="556"/>
      <c r="J59" s="556"/>
      <c r="K59" s="556"/>
      <c r="L59" s="556"/>
      <c r="M59" s="556"/>
      <c r="N59" s="556"/>
      <c r="O59" s="556"/>
      <c r="P59" s="556"/>
      <c r="Q59" s="556"/>
      <c r="R59" s="556"/>
      <c r="S59" s="556"/>
      <c r="T59" s="585"/>
      <c r="U59" s="586"/>
      <c r="V59" s="585" t="s">
        <v>154</v>
      </c>
      <c r="W59" s="558"/>
      <c r="X59" s="543"/>
      <c r="Y59" s="587"/>
    </row>
    <row r="60" spans="1:25" s="544" customFormat="1" x14ac:dyDescent="0.3">
      <c r="A60" s="555"/>
      <c r="B60" s="556" t="s">
        <v>16</v>
      </c>
      <c r="C60" s="556"/>
      <c r="D60" s="556"/>
      <c r="E60" s="556"/>
      <c r="F60" s="556"/>
      <c r="G60" s="556"/>
      <c r="H60" s="556"/>
      <c r="I60" s="556"/>
      <c r="J60" s="556"/>
      <c r="K60" s="556"/>
      <c r="L60" s="556"/>
      <c r="M60" s="556"/>
      <c r="N60" s="556"/>
      <c r="O60" s="556"/>
      <c r="P60" s="556"/>
      <c r="Q60" s="556"/>
      <c r="R60" s="556"/>
      <c r="S60" s="556"/>
      <c r="T60" s="585"/>
      <c r="U60" s="586"/>
      <c r="V60" s="585">
        <v>44075</v>
      </c>
      <c r="W60" s="558"/>
      <c r="X60" s="543"/>
    </row>
    <row r="61" spans="1:25" s="544" customFormat="1" x14ac:dyDescent="0.3">
      <c r="A61" s="540"/>
      <c r="B61" s="588"/>
      <c r="C61" s="588"/>
      <c r="D61" s="588"/>
      <c r="E61" s="588"/>
      <c r="F61" s="588"/>
      <c r="G61" s="588"/>
      <c r="H61" s="588"/>
      <c r="I61" s="588"/>
      <c r="J61" s="588"/>
      <c r="K61" s="588"/>
      <c r="L61" s="588"/>
      <c r="M61" s="588"/>
      <c r="N61" s="588"/>
      <c r="O61" s="588"/>
      <c r="P61" s="588"/>
      <c r="Q61" s="588"/>
      <c r="R61" s="588"/>
      <c r="S61" s="588"/>
      <c r="T61" s="589"/>
      <c r="U61" s="590"/>
      <c r="V61" s="589"/>
      <c r="W61" s="588"/>
      <c r="X61" s="543"/>
    </row>
    <row r="62" spans="1:25" s="544" customFormat="1" x14ac:dyDescent="0.3">
      <c r="A62" s="540"/>
      <c r="B62" s="541"/>
      <c r="C62" s="541"/>
      <c r="D62" s="541"/>
      <c r="E62" s="541"/>
      <c r="F62" s="541"/>
      <c r="G62" s="541"/>
      <c r="H62" s="541"/>
      <c r="I62" s="541"/>
      <c r="J62" s="541"/>
      <c r="K62" s="541"/>
      <c r="L62" s="541"/>
      <c r="M62" s="541"/>
      <c r="N62" s="541"/>
      <c r="O62" s="541"/>
      <c r="P62" s="541"/>
      <c r="Q62" s="541"/>
      <c r="R62" s="541"/>
      <c r="S62" s="541"/>
      <c r="T62" s="591"/>
      <c r="U62" s="592"/>
      <c r="V62" s="591"/>
      <c r="W62" s="541"/>
      <c r="X62" s="543"/>
    </row>
    <row r="63" spans="1:25" s="544" customFormat="1" ht="18.600000000000001" thickBot="1" x14ac:dyDescent="0.4">
      <c r="A63" s="593"/>
      <c r="B63" s="594" t="s">
        <v>414</v>
      </c>
      <c r="C63" s="595"/>
      <c r="D63" s="595"/>
      <c r="E63" s="595"/>
      <c r="F63" s="595"/>
      <c r="G63" s="595"/>
      <c r="H63" s="595"/>
      <c r="I63" s="595"/>
      <c r="J63" s="595"/>
      <c r="K63" s="595"/>
      <c r="L63" s="595"/>
      <c r="M63" s="595"/>
      <c r="N63" s="595"/>
      <c r="O63" s="595"/>
      <c r="P63" s="595"/>
      <c r="Q63" s="595"/>
      <c r="R63" s="595"/>
      <c r="S63" s="595"/>
      <c r="T63" s="595"/>
      <c r="U63" s="595"/>
      <c r="V63" s="596"/>
      <c r="W63" s="597"/>
      <c r="X63" s="543"/>
    </row>
    <row r="64" spans="1:25" x14ac:dyDescent="0.3">
      <c r="A64" s="515"/>
      <c r="B64" s="521" t="s">
        <v>17</v>
      </c>
      <c r="C64" s="516"/>
      <c r="D64" s="516"/>
      <c r="E64" s="516"/>
      <c r="F64" s="516"/>
      <c r="G64" s="516"/>
      <c r="H64" s="516"/>
      <c r="I64" s="516"/>
      <c r="J64" s="516"/>
      <c r="K64" s="516"/>
      <c r="L64" s="516"/>
      <c r="M64" s="516"/>
      <c r="N64" s="516"/>
      <c r="O64" s="516"/>
      <c r="P64" s="516"/>
      <c r="Q64" s="516"/>
      <c r="R64" s="516"/>
      <c r="S64" s="516"/>
      <c r="T64" s="516"/>
      <c r="U64" s="516"/>
      <c r="V64" s="522"/>
      <c r="W64" s="516"/>
      <c r="X64" s="415"/>
    </row>
    <row r="65" spans="1:24" x14ac:dyDescent="0.3">
      <c r="A65" s="417"/>
      <c r="B65" s="425"/>
      <c r="C65" s="419"/>
      <c r="D65" s="419"/>
      <c r="E65" s="419"/>
      <c r="F65" s="419"/>
      <c r="G65" s="419"/>
      <c r="H65" s="419"/>
      <c r="I65" s="419"/>
      <c r="J65" s="419"/>
      <c r="K65" s="419"/>
      <c r="L65" s="419"/>
      <c r="M65" s="419"/>
      <c r="N65" s="419"/>
      <c r="O65" s="419"/>
      <c r="P65" s="419"/>
      <c r="Q65" s="419"/>
      <c r="R65" s="419"/>
      <c r="S65" s="419"/>
      <c r="T65" s="419"/>
      <c r="U65" s="419"/>
      <c r="V65" s="439"/>
      <c r="W65" s="419"/>
      <c r="X65" s="415"/>
    </row>
    <row r="66" spans="1:24" s="499" customFormat="1" ht="46.8" x14ac:dyDescent="0.3">
      <c r="A66" s="502"/>
      <c r="B66" s="503" t="s">
        <v>18</v>
      </c>
      <c r="C66" s="504"/>
      <c r="D66" s="504"/>
      <c r="E66" s="504"/>
      <c r="F66" s="504"/>
      <c r="G66" s="504"/>
      <c r="H66" s="504"/>
      <c r="I66" s="504"/>
      <c r="J66" s="504"/>
      <c r="K66" s="504"/>
      <c r="L66" s="504" t="s">
        <v>94</v>
      </c>
      <c r="M66" s="504"/>
      <c r="N66" s="504" t="s">
        <v>96</v>
      </c>
      <c r="O66" s="504"/>
      <c r="P66" s="504" t="s">
        <v>98</v>
      </c>
      <c r="Q66" s="504"/>
      <c r="R66" s="504" t="s">
        <v>100</v>
      </c>
      <c r="S66" s="504"/>
      <c r="T66" s="504" t="s">
        <v>106</v>
      </c>
      <c r="U66" s="504"/>
      <c r="V66" s="505" t="s">
        <v>112</v>
      </c>
      <c r="W66" s="506"/>
      <c r="X66" s="498"/>
    </row>
    <row r="67" spans="1:24" s="544" customFormat="1" x14ac:dyDescent="0.3">
      <c r="A67" s="555"/>
      <c r="B67" s="556" t="s">
        <v>19</v>
      </c>
      <c r="C67" s="598"/>
      <c r="D67" s="598"/>
      <c r="E67" s="598"/>
      <c r="F67" s="598"/>
      <c r="G67" s="598"/>
      <c r="H67" s="598"/>
      <c r="I67" s="598"/>
      <c r="J67" s="598"/>
      <c r="K67" s="598"/>
      <c r="L67" s="598">
        <v>1158015</v>
      </c>
      <c r="M67" s="598"/>
      <c r="N67" s="599">
        <v>716604</v>
      </c>
      <c r="O67" s="598"/>
      <c r="P67" s="598">
        <v>11038</v>
      </c>
      <c r="Q67" s="598"/>
      <c r="R67" s="598">
        <v>0</v>
      </c>
      <c r="S67" s="598"/>
      <c r="T67" s="598">
        <v>0</v>
      </c>
      <c r="U67" s="598"/>
      <c r="V67" s="599">
        <f>+N67-P67+R67-T67</f>
        <v>705566</v>
      </c>
      <c r="W67" s="558"/>
      <c r="X67" s="543"/>
    </row>
    <row r="68" spans="1:24" s="544" customFormat="1" x14ac:dyDescent="0.3">
      <c r="A68" s="555"/>
      <c r="B68" s="556" t="s">
        <v>20</v>
      </c>
      <c r="C68" s="598"/>
      <c r="D68" s="598"/>
      <c r="E68" s="598"/>
      <c r="F68" s="598"/>
      <c r="G68" s="598"/>
      <c r="H68" s="598"/>
      <c r="I68" s="598"/>
      <c r="J68" s="598"/>
      <c r="K68" s="598"/>
      <c r="L68" s="598">
        <v>15</v>
      </c>
      <c r="M68" s="598"/>
      <c r="N68" s="599">
        <v>0</v>
      </c>
      <c r="O68" s="598"/>
      <c r="P68" s="598">
        <v>0</v>
      </c>
      <c r="Q68" s="598"/>
      <c r="R68" s="598">
        <v>0</v>
      </c>
      <c r="S68" s="598"/>
      <c r="T68" s="598">
        <v>0</v>
      </c>
      <c r="U68" s="598"/>
      <c r="V68" s="599">
        <v>0</v>
      </c>
      <c r="W68" s="558"/>
      <c r="X68" s="543"/>
    </row>
    <row r="69" spans="1:24" s="544" customFormat="1" x14ac:dyDescent="0.3">
      <c r="A69" s="555"/>
      <c r="B69" s="556"/>
      <c r="C69" s="598"/>
      <c r="D69" s="598"/>
      <c r="E69" s="598"/>
      <c r="F69" s="598"/>
      <c r="G69" s="598"/>
      <c r="H69" s="598"/>
      <c r="I69" s="598"/>
      <c r="J69" s="598"/>
      <c r="K69" s="598"/>
      <c r="L69" s="598"/>
      <c r="M69" s="598"/>
      <c r="N69" s="599"/>
      <c r="O69" s="598"/>
      <c r="P69" s="598"/>
      <c r="Q69" s="598"/>
      <c r="R69" s="598"/>
      <c r="S69" s="598"/>
      <c r="T69" s="598"/>
      <c r="U69" s="598"/>
      <c r="V69" s="599"/>
      <c r="W69" s="558"/>
      <c r="X69" s="543"/>
    </row>
    <row r="70" spans="1:24" s="544" customFormat="1" x14ac:dyDescent="0.3">
      <c r="A70" s="555"/>
      <c r="B70" s="556" t="s">
        <v>21</v>
      </c>
      <c r="C70" s="598"/>
      <c r="D70" s="598"/>
      <c r="E70" s="598"/>
      <c r="F70" s="598"/>
      <c r="G70" s="598"/>
      <c r="H70" s="598"/>
      <c r="I70" s="598"/>
      <c r="J70" s="598"/>
      <c r="K70" s="598"/>
      <c r="L70" s="598">
        <f>SUM(L67:L69)</f>
        <v>1158030</v>
      </c>
      <c r="M70" s="598"/>
      <c r="N70" s="598">
        <f>N67+N68</f>
        <v>716604</v>
      </c>
      <c r="O70" s="598"/>
      <c r="P70" s="598">
        <f>SUM(P67:P69)</f>
        <v>11038</v>
      </c>
      <c r="Q70" s="598"/>
      <c r="R70" s="598">
        <f>SUM(R67:R69)</f>
        <v>0</v>
      </c>
      <c r="S70" s="598"/>
      <c r="T70" s="598">
        <f>SUM(T67:T69)</f>
        <v>0</v>
      </c>
      <c r="U70" s="598"/>
      <c r="V70" s="598">
        <f>SUM(V67:V69)</f>
        <v>705566</v>
      </c>
      <c r="W70" s="558"/>
      <c r="X70" s="543"/>
    </row>
    <row r="71" spans="1:24" x14ac:dyDescent="0.3">
      <c r="A71" s="417"/>
      <c r="B71" s="441"/>
      <c r="C71" s="442"/>
      <c r="D71" s="442"/>
      <c r="E71" s="442"/>
      <c r="F71" s="442"/>
      <c r="G71" s="442"/>
      <c r="H71" s="442"/>
      <c r="I71" s="442"/>
      <c r="J71" s="442"/>
      <c r="K71" s="442"/>
      <c r="L71" s="442"/>
      <c r="M71" s="442"/>
      <c r="N71" s="442"/>
      <c r="O71" s="442"/>
      <c r="P71" s="442"/>
      <c r="Q71" s="442"/>
      <c r="R71" s="442"/>
      <c r="S71" s="442"/>
      <c r="T71" s="442"/>
      <c r="U71" s="442"/>
      <c r="V71" s="443"/>
      <c r="W71" s="441"/>
      <c r="X71" s="415"/>
    </row>
    <row r="72" spans="1:24" x14ac:dyDescent="0.3">
      <c r="A72" s="417"/>
      <c r="B72" s="421" t="s">
        <v>22</v>
      </c>
      <c r="C72" s="444"/>
      <c r="D72" s="444"/>
      <c r="E72" s="444"/>
      <c r="F72" s="444"/>
      <c r="G72" s="444"/>
      <c r="H72" s="444"/>
      <c r="I72" s="444"/>
      <c r="J72" s="444"/>
      <c r="K72" s="444"/>
      <c r="L72" s="444"/>
      <c r="M72" s="444"/>
      <c r="N72" s="444"/>
      <c r="O72" s="444"/>
      <c r="P72" s="444"/>
      <c r="Q72" s="444"/>
      <c r="R72" s="444"/>
      <c r="S72" s="444"/>
      <c r="T72" s="444"/>
      <c r="U72" s="444"/>
      <c r="V72" s="445"/>
      <c r="W72" s="419"/>
      <c r="X72" s="415"/>
    </row>
    <row r="73" spans="1:24" x14ac:dyDescent="0.3">
      <c r="A73" s="417"/>
      <c r="B73" s="419"/>
      <c r="C73" s="444"/>
      <c r="D73" s="444"/>
      <c r="E73" s="444"/>
      <c r="F73" s="444"/>
      <c r="G73" s="444"/>
      <c r="H73" s="444"/>
      <c r="I73" s="444"/>
      <c r="J73" s="444"/>
      <c r="K73" s="444"/>
      <c r="L73" s="444"/>
      <c r="M73" s="444"/>
      <c r="N73" s="444"/>
      <c r="O73" s="444"/>
      <c r="P73" s="444"/>
      <c r="Q73" s="444"/>
      <c r="R73" s="444"/>
      <c r="S73" s="444"/>
      <c r="T73" s="444"/>
      <c r="U73" s="444"/>
      <c r="V73" s="445"/>
      <c r="W73" s="419"/>
      <c r="X73" s="415"/>
    </row>
    <row r="74" spans="1:24" s="544" customFormat="1" x14ac:dyDescent="0.3">
      <c r="A74" s="555"/>
      <c r="B74" s="556" t="s">
        <v>19</v>
      </c>
      <c r="C74" s="598"/>
      <c r="D74" s="598"/>
      <c r="E74" s="598"/>
      <c r="F74" s="598"/>
      <c r="G74" s="598"/>
      <c r="H74" s="598"/>
      <c r="I74" s="598"/>
      <c r="J74" s="598"/>
      <c r="K74" s="598"/>
      <c r="L74" s="598"/>
      <c r="M74" s="598"/>
      <c r="N74" s="598"/>
      <c r="O74" s="598"/>
      <c r="P74" s="598"/>
      <c r="Q74" s="598"/>
      <c r="R74" s="598"/>
      <c r="S74" s="598"/>
      <c r="T74" s="598"/>
      <c r="U74" s="598"/>
      <c r="V74" s="598"/>
      <c r="W74" s="558"/>
      <c r="X74" s="543"/>
    </row>
    <row r="75" spans="1:24" s="544" customFormat="1" x14ac:dyDescent="0.3">
      <c r="A75" s="555"/>
      <c r="B75" s="556" t="s">
        <v>20</v>
      </c>
      <c r="C75" s="598"/>
      <c r="D75" s="598"/>
      <c r="E75" s="598"/>
      <c r="F75" s="598"/>
      <c r="G75" s="598"/>
      <c r="H75" s="598"/>
      <c r="I75" s="598"/>
      <c r="J75" s="598"/>
      <c r="K75" s="598"/>
      <c r="L75" s="598"/>
      <c r="M75" s="598"/>
      <c r="N75" s="598"/>
      <c r="O75" s="598"/>
      <c r="P75" s="598"/>
      <c r="Q75" s="598"/>
      <c r="R75" s="598"/>
      <c r="S75" s="598"/>
      <c r="T75" s="598"/>
      <c r="U75" s="598"/>
      <c r="V75" s="598"/>
      <c r="W75" s="558"/>
      <c r="X75" s="543"/>
    </row>
    <row r="76" spans="1:24" s="544" customFormat="1" x14ac:dyDescent="0.3">
      <c r="A76" s="555"/>
      <c r="B76" s="556"/>
      <c r="C76" s="598"/>
      <c r="D76" s="598"/>
      <c r="E76" s="598"/>
      <c r="F76" s="598"/>
      <c r="G76" s="598"/>
      <c r="H76" s="598"/>
      <c r="I76" s="598"/>
      <c r="J76" s="598"/>
      <c r="K76" s="598"/>
      <c r="L76" s="598"/>
      <c r="M76" s="598"/>
      <c r="N76" s="598"/>
      <c r="O76" s="598"/>
      <c r="P76" s="598"/>
      <c r="Q76" s="598"/>
      <c r="R76" s="598"/>
      <c r="S76" s="598"/>
      <c r="T76" s="598"/>
      <c r="U76" s="598"/>
      <c r="V76" s="598"/>
      <c r="W76" s="558"/>
      <c r="X76" s="543"/>
    </row>
    <row r="77" spans="1:24" s="544" customFormat="1" x14ac:dyDescent="0.3">
      <c r="A77" s="555"/>
      <c r="B77" s="556" t="s">
        <v>21</v>
      </c>
      <c r="C77" s="598"/>
      <c r="D77" s="598"/>
      <c r="E77" s="598"/>
      <c r="F77" s="598"/>
      <c r="G77" s="598"/>
      <c r="H77" s="598"/>
      <c r="I77" s="598"/>
      <c r="J77" s="598"/>
      <c r="K77" s="598"/>
      <c r="L77" s="598"/>
      <c r="M77" s="598"/>
      <c r="N77" s="598"/>
      <c r="O77" s="598"/>
      <c r="P77" s="598"/>
      <c r="Q77" s="598"/>
      <c r="R77" s="598"/>
      <c r="S77" s="598"/>
      <c r="T77" s="598"/>
      <c r="U77" s="598"/>
      <c r="V77" s="598"/>
      <c r="W77" s="558"/>
      <c r="X77" s="543"/>
    </row>
    <row r="78" spans="1:24" s="544" customFormat="1" x14ac:dyDescent="0.3">
      <c r="A78" s="555"/>
      <c r="B78" s="556"/>
      <c r="C78" s="598"/>
      <c r="D78" s="598"/>
      <c r="E78" s="598"/>
      <c r="F78" s="598"/>
      <c r="G78" s="598"/>
      <c r="H78" s="598"/>
      <c r="I78" s="598"/>
      <c r="J78" s="598"/>
      <c r="K78" s="598"/>
      <c r="L78" s="598"/>
      <c r="M78" s="598"/>
      <c r="N78" s="598"/>
      <c r="O78" s="598"/>
      <c r="P78" s="598"/>
      <c r="Q78" s="598"/>
      <c r="R78" s="598"/>
      <c r="S78" s="598"/>
      <c r="T78" s="598"/>
      <c r="U78" s="598"/>
      <c r="V78" s="598"/>
      <c r="W78" s="558"/>
      <c r="X78" s="543"/>
    </row>
    <row r="79" spans="1:24" s="544" customFormat="1" x14ac:dyDescent="0.3">
      <c r="A79" s="555"/>
      <c r="B79" s="556" t="s">
        <v>23</v>
      </c>
      <c r="C79" s="598"/>
      <c r="D79" s="598"/>
      <c r="E79" s="598"/>
      <c r="F79" s="598"/>
      <c r="G79" s="598"/>
      <c r="H79" s="598"/>
      <c r="I79" s="598"/>
      <c r="J79" s="598"/>
      <c r="K79" s="598"/>
      <c r="L79" s="598">
        <v>0</v>
      </c>
      <c r="M79" s="598"/>
      <c r="N79" s="598">
        <v>0</v>
      </c>
      <c r="O79" s="598"/>
      <c r="P79" s="598"/>
      <c r="Q79" s="598"/>
      <c r="R79" s="598"/>
      <c r="S79" s="598"/>
      <c r="T79" s="598"/>
      <c r="U79" s="598"/>
      <c r="V79" s="599">
        <v>0</v>
      </c>
      <c r="W79" s="558"/>
      <c r="X79" s="543"/>
    </row>
    <row r="80" spans="1:24" s="544" customFormat="1" x14ac:dyDescent="0.3">
      <c r="A80" s="555"/>
      <c r="B80" s="556" t="s">
        <v>117</v>
      </c>
      <c r="C80" s="598"/>
      <c r="D80" s="598"/>
      <c r="E80" s="598"/>
      <c r="F80" s="598"/>
      <c r="G80" s="598"/>
      <c r="H80" s="598"/>
      <c r="I80" s="598"/>
      <c r="J80" s="598"/>
      <c r="K80" s="598"/>
      <c r="L80" s="598">
        <v>342245</v>
      </c>
      <c r="M80" s="598"/>
      <c r="N80" s="598">
        <v>0</v>
      </c>
      <c r="O80" s="598"/>
      <c r="P80" s="598">
        <v>0</v>
      </c>
      <c r="Q80" s="598"/>
      <c r="R80" s="598"/>
      <c r="S80" s="598"/>
      <c r="T80" s="598"/>
      <c r="U80" s="598"/>
      <c r="V80" s="598">
        <f>SUM(N80:R80)</f>
        <v>0</v>
      </c>
      <c r="W80" s="558"/>
      <c r="X80" s="543"/>
    </row>
    <row r="81" spans="1:24" s="544" customFormat="1" x14ac:dyDescent="0.3">
      <c r="A81" s="555"/>
      <c r="B81" s="556" t="s">
        <v>146</v>
      </c>
      <c r="C81" s="598"/>
      <c r="D81" s="598"/>
      <c r="E81" s="598"/>
      <c r="F81" s="598"/>
      <c r="G81" s="598"/>
      <c r="H81" s="598"/>
      <c r="I81" s="598"/>
      <c r="J81" s="598"/>
      <c r="K81" s="598"/>
      <c r="L81" s="598">
        <v>0</v>
      </c>
      <c r="M81" s="598"/>
      <c r="N81" s="598">
        <v>0</v>
      </c>
      <c r="O81" s="598"/>
      <c r="P81" s="598">
        <v>0</v>
      </c>
      <c r="Q81" s="598"/>
      <c r="R81" s="598"/>
      <c r="S81" s="598"/>
      <c r="T81" s="598"/>
      <c r="U81" s="598"/>
      <c r="V81" s="598">
        <f>+N81+P81</f>
        <v>0</v>
      </c>
      <c r="W81" s="558"/>
      <c r="X81" s="543"/>
    </row>
    <row r="82" spans="1:24" s="544" customFormat="1" x14ac:dyDescent="0.3">
      <c r="A82" s="555"/>
      <c r="B82" s="556" t="s">
        <v>25</v>
      </c>
      <c r="C82" s="598"/>
      <c r="D82" s="598"/>
      <c r="E82" s="598"/>
      <c r="F82" s="598"/>
      <c r="G82" s="598"/>
      <c r="H82" s="598"/>
      <c r="I82" s="598"/>
      <c r="J82" s="598"/>
      <c r="K82" s="598"/>
      <c r="L82" s="598">
        <v>0</v>
      </c>
      <c r="M82" s="598"/>
      <c r="N82" s="598">
        <v>0</v>
      </c>
      <c r="O82" s="598"/>
      <c r="P82" s="598"/>
      <c r="Q82" s="598"/>
      <c r="R82" s="598"/>
      <c r="S82" s="598"/>
      <c r="T82" s="598"/>
      <c r="U82" s="598"/>
      <c r="V82" s="598">
        <v>0</v>
      </c>
      <c r="W82" s="558"/>
      <c r="X82" s="543"/>
    </row>
    <row r="83" spans="1:24" s="544" customFormat="1" x14ac:dyDescent="0.3">
      <c r="A83" s="555"/>
      <c r="B83" s="556" t="s">
        <v>26</v>
      </c>
      <c r="C83" s="598"/>
      <c r="D83" s="598"/>
      <c r="E83" s="598"/>
      <c r="F83" s="598"/>
      <c r="G83" s="598"/>
      <c r="H83" s="598"/>
      <c r="I83" s="598"/>
      <c r="J83" s="598"/>
      <c r="K83" s="598"/>
      <c r="L83" s="598">
        <f>SUM(L70:L82)</f>
        <v>1500275</v>
      </c>
      <c r="M83" s="598"/>
      <c r="N83" s="598">
        <f>SUM(N70:N82)</f>
        <v>716604</v>
      </c>
      <c r="O83" s="598"/>
      <c r="P83" s="598"/>
      <c r="Q83" s="598"/>
      <c r="R83" s="598"/>
      <c r="S83" s="598"/>
      <c r="T83" s="598"/>
      <c r="U83" s="598"/>
      <c r="V83" s="598">
        <f>SUM(V70:V82)</f>
        <v>705566</v>
      </c>
      <c r="W83" s="558"/>
      <c r="X83" s="543"/>
    </row>
    <row r="84" spans="1:24" x14ac:dyDescent="0.3">
      <c r="A84" s="446"/>
      <c r="B84" s="437"/>
      <c r="C84" s="447"/>
      <c r="D84" s="447"/>
      <c r="E84" s="447"/>
      <c r="F84" s="447"/>
      <c r="G84" s="447"/>
      <c r="H84" s="447"/>
      <c r="I84" s="447"/>
      <c r="J84" s="447"/>
      <c r="K84" s="447"/>
      <c r="L84" s="447"/>
      <c r="M84" s="447"/>
      <c r="N84" s="447"/>
      <c r="O84" s="447"/>
      <c r="P84" s="447"/>
      <c r="Q84" s="447"/>
      <c r="R84" s="447"/>
      <c r="S84" s="447"/>
      <c r="T84" s="447"/>
      <c r="U84" s="447"/>
      <c r="V84" s="447"/>
      <c r="W84" s="437"/>
      <c r="X84" s="415"/>
    </row>
    <row r="85" spans="1:24" x14ac:dyDescent="0.3">
      <c r="A85" s="446"/>
      <c r="B85" s="427"/>
      <c r="C85" s="427"/>
      <c r="D85" s="427"/>
      <c r="E85" s="427"/>
      <c r="F85" s="427"/>
      <c r="G85" s="427"/>
      <c r="H85" s="427"/>
      <c r="I85" s="427"/>
      <c r="J85" s="427"/>
      <c r="K85" s="427"/>
      <c r="L85" s="427"/>
      <c r="M85" s="427"/>
      <c r="N85" s="427"/>
      <c r="O85" s="427"/>
      <c r="P85" s="427"/>
      <c r="Q85" s="427"/>
      <c r="R85" s="427"/>
      <c r="S85" s="427"/>
      <c r="T85" s="427"/>
      <c r="U85" s="427"/>
      <c r="V85" s="427"/>
      <c r="W85" s="427"/>
      <c r="X85" s="415"/>
    </row>
    <row r="86" spans="1:24" x14ac:dyDescent="0.3">
      <c r="A86" s="515"/>
      <c r="B86" s="523" t="s">
        <v>27</v>
      </c>
      <c r="C86" s="523"/>
      <c r="D86" s="523"/>
      <c r="E86" s="523"/>
      <c r="F86" s="523"/>
      <c r="G86" s="523"/>
      <c r="H86" s="524"/>
      <c r="I86" s="524"/>
      <c r="J86" s="524"/>
      <c r="K86" s="524"/>
      <c r="L86" s="525" t="s">
        <v>95</v>
      </c>
      <c r="M86" s="524"/>
      <c r="N86" s="526">
        <f>+T207</f>
        <v>44071</v>
      </c>
      <c r="O86" s="524"/>
      <c r="P86" s="524"/>
      <c r="Q86" s="524"/>
      <c r="R86" s="524"/>
      <c r="S86" s="524"/>
      <c r="T86" s="524" t="s">
        <v>107</v>
      </c>
      <c r="U86" s="524"/>
      <c r="V86" s="524" t="s">
        <v>113</v>
      </c>
      <c r="W86" s="520"/>
      <c r="X86" s="415"/>
    </row>
    <row r="87" spans="1:24" s="544" customFormat="1" x14ac:dyDescent="0.3">
      <c r="A87" s="540"/>
      <c r="B87" s="588" t="s">
        <v>28</v>
      </c>
      <c r="C87" s="588"/>
      <c r="D87" s="588"/>
      <c r="E87" s="588"/>
      <c r="F87" s="588"/>
      <c r="G87" s="588"/>
      <c r="H87" s="588"/>
      <c r="I87" s="588"/>
      <c r="J87" s="588"/>
      <c r="K87" s="588"/>
      <c r="L87" s="588"/>
      <c r="M87" s="588"/>
      <c r="N87" s="588"/>
      <c r="O87" s="588"/>
      <c r="P87" s="588"/>
      <c r="Q87" s="588"/>
      <c r="R87" s="588"/>
      <c r="S87" s="588"/>
      <c r="T87" s="600">
        <v>0</v>
      </c>
      <c r="U87" s="588"/>
      <c r="V87" s="601">
        <v>0</v>
      </c>
      <c r="W87" s="588"/>
      <c r="X87" s="543"/>
    </row>
    <row r="88" spans="1:24" s="544" customFormat="1" x14ac:dyDescent="0.3">
      <c r="A88" s="555"/>
      <c r="B88" s="556" t="s">
        <v>29</v>
      </c>
      <c r="C88" s="556"/>
      <c r="D88" s="556"/>
      <c r="E88" s="556"/>
      <c r="F88" s="556"/>
      <c r="G88" s="556"/>
      <c r="H88" s="578"/>
      <c r="I88" s="578"/>
      <c r="J88" s="578"/>
      <c r="K88" s="602"/>
      <c r="L88" s="578"/>
      <c r="M88" s="556"/>
      <c r="N88" s="603"/>
      <c r="O88" s="556"/>
      <c r="P88" s="556"/>
      <c r="Q88" s="556"/>
      <c r="R88" s="556"/>
      <c r="S88" s="556"/>
      <c r="T88" s="598">
        <f>11038-20</f>
        <v>11018</v>
      </c>
      <c r="U88" s="556"/>
      <c r="V88" s="599"/>
      <c r="W88" s="558"/>
      <c r="X88" s="543"/>
    </row>
    <row r="89" spans="1:24" s="544" customFormat="1" x14ac:dyDescent="0.3">
      <c r="A89" s="555"/>
      <c r="B89" s="556" t="s">
        <v>216</v>
      </c>
      <c r="C89" s="556"/>
      <c r="D89" s="556"/>
      <c r="E89" s="556"/>
      <c r="F89" s="556"/>
      <c r="G89" s="556"/>
      <c r="H89" s="578"/>
      <c r="I89" s="578"/>
      <c r="J89" s="578"/>
      <c r="K89" s="602"/>
      <c r="L89" s="578"/>
      <c r="M89" s="556"/>
      <c r="N89" s="603"/>
      <c r="O89" s="556"/>
      <c r="P89" s="556"/>
      <c r="Q89" s="556"/>
      <c r="R89" s="556"/>
      <c r="S89" s="556"/>
      <c r="T89" s="598"/>
      <c r="U89" s="556"/>
      <c r="V89" s="599">
        <f>2406+2563-699-811</f>
        <v>3459</v>
      </c>
      <c r="W89" s="558"/>
      <c r="X89" s="543"/>
    </row>
    <row r="90" spans="1:24" s="544" customFormat="1" x14ac:dyDescent="0.3">
      <c r="A90" s="555"/>
      <c r="B90" s="556" t="s">
        <v>211</v>
      </c>
      <c r="C90" s="556"/>
      <c r="D90" s="556"/>
      <c r="E90" s="556"/>
      <c r="F90" s="556"/>
      <c r="G90" s="556"/>
      <c r="H90" s="578"/>
      <c r="I90" s="578"/>
      <c r="J90" s="578"/>
      <c r="K90" s="602"/>
      <c r="L90" s="578"/>
      <c r="M90" s="556"/>
      <c r="N90" s="603"/>
      <c r="O90" s="556"/>
      <c r="P90" s="556"/>
      <c r="Q90" s="556"/>
      <c r="R90" s="556"/>
      <c r="S90" s="556"/>
      <c r="T90" s="598"/>
      <c r="U90" s="556"/>
      <c r="V90" s="599">
        <f>36+18</f>
        <v>54</v>
      </c>
      <c r="W90" s="558"/>
      <c r="X90" s="543"/>
    </row>
    <row r="91" spans="1:24" s="544" customFormat="1" x14ac:dyDescent="0.3">
      <c r="A91" s="555"/>
      <c r="B91" s="556" t="s">
        <v>212</v>
      </c>
      <c r="C91" s="556"/>
      <c r="D91" s="556"/>
      <c r="E91" s="556"/>
      <c r="F91" s="556"/>
      <c r="G91" s="556"/>
      <c r="H91" s="578"/>
      <c r="I91" s="578"/>
      <c r="J91" s="578"/>
      <c r="K91" s="602"/>
      <c r="L91" s="578"/>
      <c r="M91" s="556"/>
      <c r="N91" s="603"/>
      <c r="O91" s="556"/>
      <c r="P91" s="556"/>
      <c r="Q91" s="556"/>
      <c r="R91" s="556"/>
      <c r="S91" s="556"/>
      <c r="T91" s="598"/>
      <c r="U91" s="556"/>
      <c r="V91" s="599">
        <v>25</v>
      </c>
      <c r="W91" s="558"/>
      <c r="X91" s="543"/>
    </row>
    <row r="92" spans="1:24" s="544" customFormat="1" x14ac:dyDescent="0.3">
      <c r="A92" s="555"/>
      <c r="B92" s="556" t="s">
        <v>272</v>
      </c>
      <c r="C92" s="556"/>
      <c r="D92" s="556"/>
      <c r="E92" s="556"/>
      <c r="F92" s="556"/>
      <c r="G92" s="556"/>
      <c r="H92" s="578"/>
      <c r="I92" s="578"/>
      <c r="J92" s="578"/>
      <c r="K92" s="602"/>
      <c r="L92" s="578"/>
      <c r="M92" s="556"/>
      <c r="N92" s="603"/>
      <c r="O92" s="556"/>
      <c r="P92" s="556"/>
      <c r="Q92" s="556"/>
      <c r="R92" s="556"/>
      <c r="S92" s="556"/>
      <c r="T92" s="598"/>
      <c r="U92" s="556"/>
      <c r="V92" s="599">
        <v>0</v>
      </c>
      <c r="W92" s="558"/>
      <c r="X92" s="543"/>
    </row>
    <row r="93" spans="1:24" s="544" customFormat="1" x14ac:dyDescent="0.3">
      <c r="A93" s="555"/>
      <c r="B93" s="556" t="s">
        <v>274</v>
      </c>
      <c r="C93" s="556"/>
      <c r="D93" s="556"/>
      <c r="E93" s="556"/>
      <c r="F93" s="556"/>
      <c r="G93" s="556"/>
      <c r="H93" s="578"/>
      <c r="I93" s="578"/>
      <c r="J93" s="578"/>
      <c r="K93" s="602"/>
      <c r="L93" s="578"/>
      <c r="M93" s="556"/>
      <c r="N93" s="603"/>
      <c r="O93" s="556"/>
      <c r="P93" s="556"/>
      <c r="Q93" s="556"/>
      <c r="R93" s="556"/>
      <c r="S93" s="556"/>
      <c r="T93" s="598"/>
      <c r="U93" s="556"/>
      <c r="V93" s="599">
        <v>0</v>
      </c>
      <c r="W93" s="558"/>
      <c r="X93" s="543"/>
    </row>
    <row r="94" spans="1:24" s="544" customFormat="1" x14ac:dyDescent="0.3">
      <c r="A94" s="555"/>
      <c r="B94" s="556" t="s">
        <v>135</v>
      </c>
      <c r="C94" s="556"/>
      <c r="D94" s="556"/>
      <c r="E94" s="556"/>
      <c r="F94" s="556"/>
      <c r="G94" s="556"/>
      <c r="H94" s="556"/>
      <c r="I94" s="556"/>
      <c r="J94" s="556"/>
      <c r="K94" s="556"/>
      <c r="L94" s="556"/>
      <c r="M94" s="556"/>
      <c r="N94" s="556"/>
      <c r="O94" s="556"/>
      <c r="P94" s="556"/>
      <c r="Q94" s="556"/>
      <c r="R94" s="556"/>
      <c r="S94" s="556"/>
      <c r="T94" s="598"/>
      <c r="U94" s="556"/>
      <c r="V94" s="599">
        <v>0</v>
      </c>
      <c r="W94" s="558"/>
      <c r="X94" s="543"/>
    </row>
    <row r="95" spans="1:24" s="544" customFormat="1" x14ac:dyDescent="0.3">
      <c r="A95" s="555"/>
      <c r="B95" s="556" t="s">
        <v>268</v>
      </c>
      <c r="C95" s="556"/>
      <c r="D95" s="556"/>
      <c r="E95" s="556"/>
      <c r="F95" s="556"/>
      <c r="G95" s="556"/>
      <c r="H95" s="556"/>
      <c r="I95" s="556"/>
      <c r="J95" s="556"/>
      <c r="K95" s="556"/>
      <c r="L95" s="556"/>
      <c r="M95" s="556"/>
      <c r="N95" s="556"/>
      <c r="O95" s="556"/>
      <c r="P95" s="556"/>
      <c r="Q95" s="556"/>
      <c r="R95" s="556"/>
      <c r="S95" s="556"/>
      <c r="T95" s="598"/>
      <c r="U95" s="556"/>
      <c r="V95" s="599">
        <v>132</v>
      </c>
      <c r="W95" s="558"/>
      <c r="X95" s="543"/>
    </row>
    <row r="96" spans="1:24" s="544" customFormat="1" x14ac:dyDescent="0.3">
      <c r="A96" s="555"/>
      <c r="B96" s="556" t="s">
        <v>30</v>
      </c>
      <c r="C96" s="556"/>
      <c r="D96" s="556"/>
      <c r="E96" s="556"/>
      <c r="F96" s="556"/>
      <c r="G96" s="556"/>
      <c r="H96" s="556"/>
      <c r="I96" s="556"/>
      <c r="J96" s="556"/>
      <c r="K96" s="556"/>
      <c r="L96" s="556"/>
      <c r="M96" s="556"/>
      <c r="N96" s="556"/>
      <c r="O96" s="556"/>
      <c r="P96" s="556"/>
      <c r="Q96" s="556"/>
      <c r="R96" s="556"/>
      <c r="S96" s="556"/>
      <c r="T96" s="598">
        <f>SUM(T87:T95)</f>
        <v>11018</v>
      </c>
      <c r="U96" s="556"/>
      <c r="V96" s="598">
        <f>SUM(V87:V95)</f>
        <v>3670</v>
      </c>
      <c r="W96" s="558"/>
      <c r="X96" s="543"/>
    </row>
    <row r="97" spans="1:25" s="544" customFormat="1" x14ac:dyDescent="0.3">
      <c r="A97" s="555"/>
      <c r="B97" s="556" t="s">
        <v>161</v>
      </c>
      <c r="C97" s="556"/>
      <c r="D97" s="556"/>
      <c r="E97" s="556"/>
      <c r="F97" s="556"/>
      <c r="G97" s="556"/>
      <c r="H97" s="556"/>
      <c r="I97" s="556"/>
      <c r="J97" s="556"/>
      <c r="K97" s="556"/>
      <c r="L97" s="556"/>
      <c r="M97" s="556"/>
      <c r="N97" s="556"/>
      <c r="O97" s="556"/>
      <c r="P97" s="556"/>
      <c r="Q97" s="556"/>
      <c r="R97" s="556"/>
      <c r="S97" s="556"/>
      <c r="T97" s="598">
        <f>-V97</f>
        <v>0</v>
      </c>
      <c r="U97" s="556"/>
      <c r="V97" s="598">
        <v>0</v>
      </c>
      <c r="W97" s="558"/>
      <c r="X97" s="543"/>
    </row>
    <row r="98" spans="1:25" s="544" customFormat="1" x14ac:dyDescent="0.3">
      <c r="A98" s="555"/>
      <c r="B98" s="556" t="s">
        <v>31</v>
      </c>
      <c r="C98" s="556"/>
      <c r="D98" s="556"/>
      <c r="E98" s="556"/>
      <c r="F98" s="556"/>
      <c r="G98" s="556"/>
      <c r="H98" s="556"/>
      <c r="I98" s="556"/>
      <c r="J98" s="556"/>
      <c r="K98" s="556"/>
      <c r="L98" s="556"/>
      <c r="M98" s="556"/>
      <c r="N98" s="556"/>
      <c r="O98" s="556"/>
      <c r="P98" s="556"/>
      <c r="Q98" s="556"/>
      <c r="R98" s="556"/>
      <c r="S98" s="556"/>
      <c r="T98" s="598">
        <f>-V98</f>
        <v>0</v>
      </c>
      <c r="U98" s="556"/>
      <c r="V98" s="599">
        <v>0</v>
      </c>
      <c r="W98" s="558"/>
      <c r="X98" s="543"/>
    </row>
    <row r="99" spans="1:25" s="544" customFormat="1" x14ac:dyDescent="0.3">
      <c r="A99" s="555"/>
      <c r="B99" s="556" t="s">
        <v>283</v>
      </c>
      <c r="C99" s="556"/>
      <c r="D99" s="556"/>
      <c r="E99" s="556"/>
      <c r="F99" s="556"/>
      <c r="G99" s="556"/>
      <c r="H99" s="556"/>
      <c r="I99" s="556"/>
      <c r="J99" s="556"/>
      <c r="K99" s="556"/>
      <c r="L99" s="556"/>
      <c r="M99" s="556"/>
      <c r="N99" s="556"/>
      <c r="O99" s="556"/>
      <c r="P99" s="556"/>
      <c r="Q99" s="556"/>
      <c r="R99" s="556"/>
      <c r="S99" s="556"/>
      <c r="T99" s="598"/>
      <c r="U99" s="556"/>
      <c r="V99" s="599">
        <v>-236</v>
      </c>
      <c r="W99" s="558"/>
      <c r="X99" s="543"/>
    </row>
    <row r="100" spans="1:25" s="544" customFormat="1" x14ac:dyDescent="0.3">
      <c r="A100" s="555"/>
      <c r="B100" s="556" t="s">
        <v>32</v>
      </c>
      <c r="C100" s="556"/>
      <c r="D100" s="556"/>
      <c r="E100" s="556"/>
      <c r="F100" s="556"/>
      <c r="G100" s="556"/>
      <c r="H100" s="556"/>
      <c r="I100" s="556"/>
      <c r="J100" s="556"/>
      <c r="K100" s="556"/>
      <c r="L100" s="556"/>
      <c r="M100" s="556"/>
      <c r="N100" s="556"/>
      <c r="O100" s="556"/>
      <c r="P100" s="556"/>
      <c r="Q100" s="556"/>
      <c r="R100" s="556"/>
      <c r="S100" s="556"/>
      <c r="T100" s="598">
        <f>T96+T98+T97</f>
        <v>11018</v>
      </c>
      <c r="U100" s="556"/>
      <c r="V100" s="598">
        <f>V96+V98+V97+V99</f>
        <v>3434</v>
      </c>
      <c r="W100" s="558"/>
      <c r="X100" s="543"/>
    </row>
    <row r="101" spans="1:25" x14ac:dyDescent="0.3">
      <c r="A101" s="431"/>
      <c r="B101" s="507" t="s">
        <v>33</v>
      </c>
      <c r="C101" s="434"/>
      <c r="D101" s="434"/>
      <c r="E101" s="434"/>
      <c r="F101" s="434"/>
      <c r="G101" s="434"/>
      <c r="H101" s="434"/>
      <c r="I101" s="434"/>
      <c r="J101" s="434"/>
      <c r="K101" s="434"/>
      <c r="L101" s="434"/>
      <c r="M101" s="434"/>
      <c r="N101" s="434"/>
      <c r="O101" s="434"/>
      <c r="P101" s="434"/>
      <c r="Q101" s="434"/>
      <c r="R101" s="434"/>
      <c r="S101" s="434"/>
      <c r="T101" s="448"/>
      <c r="U101" s="434"/>
      <c r="V101" s="449"/>
      <c r="W101" s="436"/>
      <c r="X101" s="415"/>
    </row>
    <row r="102" spans="1:25" s="544" customFormat="1" x14ac:dyDescent="0.3">
      <c r="A102" s="555">
        <v>1</v>
      </c>
      <c r="B102" s="556" t="s">
        <v>34</v>
      </c>
      <c r="C102" s="556"/>
      <c r="D102" s="556"/>
      <c r="E102" s="556"/>
      <c r="F102" s="556"/>
      <c r="G102" s="556"/>
      <c r="H102" s="556"/>
      <c r="I102" s="556"/>
      <c r="J102" s="556"/>
      <c r="K102" s="556"/>
      <c r="L102" s="556"/>
      <c r="M102" s="556"/>
      <c r="N102" s="556"/>
      <c r="O102" s="556"/>
      <c r="P102" s="556"/>
      <c r="Q102" s="556"/>
      <c r="R102" s="556"/>
      <c r="S102" s="556"/>
      <c r="T102" s="556"/>
      <c r="U102" s="556"/>
      <c r="V102" s="599">
        <v>0</v>
      </c>
      <c r="W102" s="558"/>
      <c r="X102" s="543"/>
    </row>
    <row r="103" spans="1:25" s="544" customFormat="1" x14ac:dyDescent="0.3">
      <c r="A103" s="555">
        <f>+A102+1</f>
        <v>2</v>
      </c>
      <c r="B103" s="556" t="s">
        <v>330</v>
      </c>
      <c r="C103" s="556"/>
      <c r="D103" s="556"/>
      <c r="E103" s="556"/>
      <c r="F103" s="556"/>
      <c r="G103" s="556"/>
      <c r="H103" s="556"/>
      <c r="I103" s="556"/>
      <c r="J103" s="556"/>
      <c r="K103" s="556"/>
      <c r="L103" s="556"/>
      <c r="M103" s="556"/>
      <c r="N103" s="556"/>
      <c r="O103" s="556"/>
      <c r="P103" s="556"/>
      <c r="Q103" s="556"/>
      <c r="R103" s="556"/>
      <c r="S103" s="556"/>
      <c r="T103" s="556"/>
      <c r="U103" s="556"/>
      <c r="V103" s="599">
        <v>-2</v>
      </c>
      <c r="W103" s="558"/>
      <c r="X103" s="543"/>
    </row>
    <row r="104" spans="1:25" s="544" customFormat="1" x14ac:dyDescent="0.3">
      <c r="A104" s="555">
        <f>+A103+1</f>
        <v>3</v>
      </c>
      <c r="B104" s="556" t="s">
        <v>331</v>
      </c>
      <c r="C104" s="556"/>
      <c r="D104" s="556"/>
      <c r="E104" s="556"/>
      <c r="F104" s="556"/>
      <c r="G104" s="556"/>
      <c r="H104" s="556"/>
      <c r="I104" s="556"/>
      <c r="J104" s="556"/>
      <c r="K104" s="556"/>
      <c r="L104" s="556"/>
      <c r="M104" s="556"/>
      <c r="N104" s="556"/>
      <c r="O104" s="556"/>
      <c r="P104" s="556"/>
      <c r="Q104" s="556"/>
      <c r="R104" s="556"/>
      <c r="S104" s="556"/>
      <c r="T104" s="556"/>
      <c r="U104" s="556"/>
      <c r="V104" s="599">
        <f>-92-114-9</f>
        <v>-215</v>
      </c>
      <c r="W104" s="558"/>
      <c r="X104" s="543"/>
    </row>
    <row r="105" spans="1:25" s="544" customFormat="1" x14ac:dyDescent="0.3">
      <c r="A105" s="555" t="s">
        <v>127</v>
      </c>
      <c r="B105" s="556" t="s">
        <v>116</v>
      </c>
      <c r="C105" s="556"/>
      <c r="D105" s="556"/>
      <c r="E105" s="556"/>
      <c r="F105" s="556"/>
      <c r="G105" s="556"/>
      <c r="H105" s="556"/>
      <c r="I105" s="556"/>
      <c r="J105" s="556"/>
      <c r="K105" s="556"/>
      <c r="L105" s="556"/>
      <c r="M105" s="556"/>
      <c r="N105" s="556"/>
      <c r="O105" s="556"/>
      <c r="P105" s="556"/>
      <c r="Q105" s="556"/>
      <c r="R105" s="556"/>
      <c r="S105" s="556"/>
      <c r="T105" s="556"/>
      <c r="U105" s="556"/>
      <c r="V105" s="599">
        <v>0</v>
      </c>
      <c r="W105" s="558"/>
      <c r="X105" s="543"/>
    </row>
    <row r="106" spans="1:25" s="544" customFormat="1" x14ac:dyDescent="0.3">
      <c r="A106" s="555" t="s">
        <v>128</v>
      </c>
      <c r="B106" s="556" t="s">
        <v>363</v>
      </c>
      <c r="C106" s="556"/>
      <c r="D106" s="556"/>
      <c r="E106" s="556"/>
      <c r="F106" s="556"/>
      <c r="G106" s="556"/>
      <c r="H106" s="556"/>
      <c r="I106" s="556"/>
      <c r="J106" s="556"/>
      <c r="K106" s="556"/>
      <c r="L106" s="556"/>
      <c r="M106" s="556"/>
      <c r="N106" s="556"/>
      <c r="O106" s="556"/>
      <c r="P106" s="556"/>
      <c r="Q106" s="556"/>
      <c r="R106" s="556"/>
      <c r="S106" s="556"/>
      <c r="T106" s="556"/>
      <c r="U106" s="556"/>
      <c r="V106" s="599">
        <v>-344</v>
      </c>
      <c r="W106" s="558"/>
      <c r="X106" s="543"/>
      <c r="Y106" s="604"/>
    </row>
    <row r="107" spans="1:25" s="544" customFormat="1" x14ac:dyDescent="0.3">
      <c r="A107" s="555" t="s">
        <v>150</v>
      </c>
      <c r="B107" s="556" t="s">
        <v>364</v>
      </c>
      <c r="C107" s="556"/>
      <c r="D107" s="556"/>
      <c r="E107" s="556"/>
      <c r="F107" s="556"/>
      <c r="G107" s="556"/>
      <c r="H107" s="556"/>
      <c r="I107" s="556"/>
      <c r="J107" s="556"/>
      <c r="K107" s="556"/>
      <c r="L107" s="556"/>
      <c r="M107" s="556"/>
      <c r="N107" s="556"/>
      <c r="O107" s="556"/>
      <c r="P107" s="556"/>
      <c r="Q107" s="556"/>
      <c r="R107" s="556"/>
      <c r="S107" s="556"/>
      <c r="T107" s="556"/>
      <c r="U107" s="556"/>
      <c r="V107" s="599">
        <v>-162</v>
      </c>
      <c r="W107" s="558"/>
      <c r="X107" s="543"/>
      <c r="Y107" s="604"/>
    </row>
    <row r="108" spans="1:25" s="544" customFormat="1" x14ac:dyDescent="0.3">
      <c r="A108" s="555" t="s">
        <v>236</v>
      </c>
      <c r="B108" s="556" t="s">
        <v>238</v>
      </c>
      <c r="C108" s="556"/>
      <c r="D108" s="556"/>
      <c r="E108" s="556"/>
      <c r="F108" s="556"/>
      <c r="G108" s="556"/>
      <c r="H108" s="556"/>
      <c r="I108" s="556"/>
      <c r="J108" s="556"/>
      <c r="K108" s="556"/>
      <c r="L108" s="556"/>
      <c r="M108" s="556"/>
      <c r="N108" s="556"/>
      <c r="O108" s="556"/>
      <c r="P108" s="556"/>
      <c r="Q108" s="556"/>
      <c r="R108" s="556"/>
      <c r="S108" s="556"/>
      <c r="T108" s="556"/>
      <c r="U108" s="556"/>
      <c r="V108" s="599">
        <v>0</v>
      </c>
      <c r="W108" s="558"/>
      <c r="X108" s="543"/>
    </row>
    <row r="109" spans="1:25" s="544" customFormat="1" x14ac:dyDescent="0.3">
      <c r="A109" s="555" t="s">
        <v>205</v>
      </c>
      <c r="B109" s="556" t="s">
        <v>185</v>
      </c>
      <c r="C109" s="556"/>
      <c r="D109" s="556"/>
      <c r="E109" s="556"/>
      <c r="F109" s="556"/>
      <c r="G109" s="556"/>
      <c r="H109" s="556"/>
      <c r="I109" s="556"/>
      <c r="J109" s="556"/>
      <c r="K109" s="556"/>
      <c r="L109" s="556"/>
      <c r="M109" s="556"/>
      <c r="N109" s="556"/>
      <c r="O109" s="556"/>
      <c r="P109" s="556"/>
      <c r="Q109" s="556"/>
      <c r="R109" s="556"/>
      <c r="S109" s="556"/>
      <c r="T109" s="556"/>
      <c r="U109" s="556"/>
      <c r="V109" s="599">
        <v>-94</v>
      </c>
      <c r="W109" s="558"/>
      <c r="X109" s="543"/>
      <c r="Y109" s="604"/>
    </row>
    <row r="110" spans="1:25" s="544" customFormat="1" x14ac:dyDescent="0.3">
      <c r="A110" s="555" t="s">
        <v>206</v>
      </c>
      <c r="B110" s="556" t="s">
        <v>186</v>
      </c>
      <c r="C110" s="556"/>
      <c r="D110" s="556"/>
      <c r="E110" s="556"/>
      <c r="F110" s="556"/>
      <c r="G110" s="556"/>
      <c r="H110" s="556"/>
      <c r="I110" s="556"/>
      <c r="J110" s="556"/>
      <c r="K110" s="556"/>
      <c r="L110" s="556"/>
      <c r="M110" s="556"/>
      <c r="N110" s="556"/>
      <c r="O110" s="556"/>
      <c r="P110" s="556"/>
      <c r="Q110" s="556"/>
      <c r="R110" s="556"/>
      <c r="S110" s="556"/>
      <c r="T110" s="556"/>
      <c r="U110" s="556"/>
      <c r="V110" s="599">
        <v>-72</v>
      </c>
      <c r="W110" s="558"/>
      <c r="X110" s="605"/>
      <c r="Y110" s="604"/>
    </row>
    <row r="111" spans="1:25" s="544" customFormat="1" x14ac:dyDescent="0.3">
      <c r="A111" s="555" t="s">
        <v>207</v>
      </c>
      <c r="B111" s="556" t="s">
        <v>196</v>
      </c>
      <c r="C111" s="556"/>
      <c r="D111" s="556"/>
      <c r="E111" s="556"/>
      <c r="F111" s="556"/>
      <c r="G111" s="556"/>
      <c r="H111" s="556"/>
      <c r="I111" s="556"/>
      <c r="J111" s="556"/>
      <c r="K111" s="556"/>
      <c r="L111" s="556"/>
      <c r="M111" s="556"/>
      <c r="N111" s="556"/>
      <c r="O111" s="556"/>
      <c r="P111" s="556"/>
      <c r="Q111" s="556"/>
      <c r="R111" s="556"/>
      <c r="S111" s="556"/>
      <c r="T111" s="556"/>
      <c r="U111" s="556"/>
      <c r="V111" s="599">
        <v>-247</v>
      </c>
      <c r="W111" s="558"/>
      <c r="X111" s="543"/>
      <c r="Y111" s="604"/>
    </row>
    <row r="112" spans="1:25" s="544" customFormat="1" x14ac:dyDescent="0.3">
      <c r="A112" s="555" t="s">
        <v>224</v>
      </c>
      <c r="B112" s="556" t="s">
        <v>223</v>
      </c>
      <c r="C112" s="556"/>
      <c r="D112" s="556"/>
      <c r="E112" s="556"/>
      <c r="F112" s="556"/>
      <c r="G112" s="556"/>
      <c r="H112" s="556"/>
      <c r="I112" s="556"/>
      <c r="J112" s="556"/>
      <c r="K112" s="556"/>
      <c r="L112" s="556"/>
      <c r="M112" s="556"/>
      <c r="N112" s="556"/>
      <c r="O112" s="556"/>
      <c r="P112" s="556"/>
      <c r="Q112" s="556"/>
      <c r="R112" s="556"/>
      <c r="S112" s="556"/>
      <c r="T112" s="556"/>
      <c r="U112" s="556"/>
      <c r="V112" s="599">
        <v>-48</v>
      </c>
      <c r="W112" s="558"/>
      <c r="X112" s="543"/>
      <c r="Y112" s="604"/>
    </row>
    <row r="113" spans="1:24" s="544" customFormat="1" x14ac:dyDescent="0.3">
      <c r="A113" s="555">
        <v>7</v>
      </c>
      <c r="B113" s="556" t="s">
        <v>35</v>
      </c>
      <c r="C113" s="556"/>
      <c r="D113" s="556"/>
      <c r="E113" s="556"/>
      <c r="F113" s="556"/>
      <c r="G113" s="556"/>
      <c r="H113" s="556"/>
      <c r="I113" s="556"/>
      <c r="J113" s="556"/>
      <c r="K113" s="556"/>
      <c r="L113" s="556"/>
      <c r="M113" s="556"/>
      <c r="N113" s="556"/>
      <c r="O113" s="556"/>
      <c r="P113" s="556"/>
      <c r="Q113" s="556"/>
      <c r="R113" s="556"/>
      <c r="S113" s="556"/>
      <c r="T113" s="556"/>
      <c r="U113" s="556"/>
      <c r="V113" s="599">
        <v>-11</v>
      </c>
      <c r="W113" s="558"/>
      <c r="X113" s="543"/>
    </row>
    <row r="114" spans="1:24" s="544" customFormat="1" x14ac:dyDescent="0.3">
      <c r="A114" s="555">
        <f t="shared" ref="A114:A123" si="0">+A113+1</f>
        <v>8</v>
      </c>
      <c r="B114" s="556" t="s">
        <v>45</v>
      </c>
      <c r="C114" s="556"/>
      <c r="D114" s="556"/>
      <c r="E114" s="556"/>
      <c r="F114" s="556"/>
      <c r="G114" s="556"/>
      <c r="H114" s="556"/>
      <c r="I114" s="556"/>
      <c r="J114" s="556"/>
      <c r="K114" s="556"/>
      <c r="L114" s="556"/>
      <c r="M114" s="556"/>
      <c r="N114" s="556"/>
      <c r="O114" s="556"/>
      <c r="P114" s="556"/>
      <c r="Q114" s="556"/>
      <c r="R114" s="556"/>
      <c r="S114" s="556"/>
      <c r="T114" s="598">
        <f>-V114</f>
        <v>20</v>
      </c>
      <c r="U114" s="556"/>
      <c r="V114" s="599">
        <v>-20</v>
      </c>
      <c r="W114" s="558"/>
      <c r="X114" s="543"/>
    </row>
    <row r="115" spans="1:24" s="544" customFormat="1" x14ac:dyDescent="0.3">
      <c r="A115" s="555">
        <f t="shared" si="0"/>
        <v>9</v>
      </c>
      <c r="B115" s="556" t="s">
        <v>125</v>
      </c>
      <c r="C115" s="556"/>
      <c r="D115" s="556"/>
      <c r="E115" s="556"/>
      <c r="F115" s="556"/>
      <c r="G115" s="556"/>
      <c r="H115" s="556"/>
      <c r="I115" s="556"/>
      <c r="J115" s="556"/>
      <c r="K115" s="556"/>
      <c r="L115" s="556"/>
      <c r="M115" s="556"/>
      <c r="N115" s="556"/>
      <c r="O115" s="556"/>
      <c r="P115" s="556"/>
      <c r="Q115" s="556"/>
      <c r="R115" s="556"/>
      <c r="S115" s="556"/>
      <c r="T115" s="556"/>
      <c r="U115" s="556"/>
      <c r="V115" s="599">
        <v>0</v>
      </c>
      <c r="W115" s="558"/>
      <c r="X115" s="543"/>
    </row>
    <row r="116" spans="1:24" s="544" customFormat="1" x14ac:dyDescent="0.3">
      <c r="A116" s="555">
        <f t="shared" si="0"/>
        <v>10</v>
      </c>
      <c r="B116" s="556" t="s">
        <v>240</v>
      </c>
      <c r="C116" s="556"/>
      <c r="D116" s="556"/>
      <c r="E116" s="556"/>
      <c r="F116" s="556"/>
      <c r="G116" s="556"/>
      <c r="H116" s="556"/>
      <c r="I116" s="556"/>
      <c r="J116" s="556"/>
      <c r="K116" s="556"/>
      <c r="L116" s="556"/>
      <c r="M116" s="556"/>
      <c r="N116" s="556"/>
      <c r="O116" s="556"/>
      <c r="P116" s="556"/>
      <c r="Q116" s="556"/>
      <c r="R116" s="556"/>
      <c r="S116" s="556"/>
      <c r="T116" s="556"/>
      <c r="U116" s="556"/>
      <c r="V116" s="599">
        <v>0</v>
      </c>
      <c r="W116" s="558"/>
      <c r="X116" s="543"/>
    </row>
    <row r="117" spans="1:24" s="544" customFormat="1" x14ac:dyDescent="0.3">
      <c r="A117" s="555">
        <f t="shared" si="0"/>
        <v>11</v>
      </c>
      <c r="B117" s="556" t="s">
        <v>36</v>
      </c>
      <c r="C117" s="556"/>
      <c r="D117" s="556"/>
      <c r="E117" s="556"/>
      <c r="F117" s="556"/>
      <c r="G117" s="556"/>
      <c r="H117" s="556"/>
      <c r="I117" s="556"/>
      <c r="J117" s="556"/>
      <c r="K117" s="556"/>
      <c r="L117" s="556"/>
      <c r="M117" s="556"/>
      <c r="N117" s="556"/>
      <c r="O117" s="556"/>
      <c r="P117" s="556"/>
      <c r="Q117" s="556"/>
      <c r="R117" s="556"/>
      <c r="S117" s="556"/>
      <c r="T117" s="556"/>
      <c r="U117" s="556"/>
      <c r="V117" s="599">
        <v>0</v>
      </c>
      <c r="W117" s="558"/>
      <c r="X117" s="543"/>
    </row>
    <row r="118" spans="1:24" s="544" customFormat="1" x14ac:dyDescent="0.3">
      <c r="A118" s="555">
        <f t="shared" si="0"/>
        <v>12</v>
      </c>
      <c r="B118" s="556" t="s">
        <v>239</v>
      </c>
      <c r="C118" s="556"/>
      <c r="D118" s="556"/>
      <c r="E118" s="556"/>
      <c r="F118" s="556"/>
      <c r="G118" s="556"/>
      <c r="H118" s="556"/>
      <c r="I118" s="556"/>
      <c r="J118" s="556"/>
      <c r="K118" s="556"/>
      <c r="L118" s="556"/>
      <c r="M118" s="556"/>
      <c r="N118" s="556"/>
      <c r="O118" s="556"/>
      <c r="P118" s="556"/>
      <c r="Q118" s="556"/>
      <c r="R118" s="556"/>
      <c r="S118" s="556"/>
      <c r="T118" s="556"/>
      <c r="U118" s="556"/>
      <c r="V118" s="599">
        <v>0</v>
      </c>
      <c r="W118" s="558"/>
      <c r="X118" s="543"/>
    </row>
    <row r="119" spans="1:24" s="544" customFormat="1" x14ac:dyDescent="0.3">
      <c r="A119" s="555">
        <f t="shared" si="0"/>
        <v>13</v>
      </c>
      <c r="B119" s="556" t="s">
        <v>149</v>
      </c>
      <c r="C119" s="556"/>
      <c r="D119" s="556"/>
      <c r="E119" s="556"/>
      <c r="F119" s="556"/>
      <c r="G119" s="556"/>
      <c r="H119" s="556"/>
      <c r="I119" s="556"/>
      <c r="J119" s="556"/>
      <c r="K119" s="556"/>
      <c r="L119" s="556"/>
      <c r="M119" s="556"/>
      <c r="N119" s="556"/>
      <c r="O119" s="556"/>
      <c r="P119" s="556"/>
      <c r="Q119" s="556"/>
      <c r="R119" s="556"/>
      <c r="S119" s="556"/>
      <c r="T119" s="556"/>
      <c r="U119" s="556"/>
      <c r="V119" s="599">
        <v>-458</v>
      </c>
      <c r="W119" s="558"/>
      <c r="X119" s="543"/>
    </row>
    <row r="120" spans="1:24" s="544" customFormat="1" x14ac:dyDescent="0.3">
      <c r="A120" s="555">
        <f t="shared" si="0"/>
        <v>14</v>
      </c>
      <c r="B120" s="641" t="s">
        <v>387</v>
      </c>
      <c r="C120" s="556"/>
      <c r="D120" s="556"/>
      <c r="E120" s="556"/>
      <c r="F120" s="556"/>
      <c r="G120" s="556"/>
      <c r="H120" s="556"/>
      <c r="I120" s="556"/>
      <c r="J120" s="556"/>
      <c r="K120" s="556"/>
      <c r="L120" s="556"/>
      <c r="M120" s="556"/>
      <c r="N120" s="556"/>
      <c r="O120" s="556"/>
      <c r="P120" s="556"/>
      <c r="Q120" s="556"/>
      <c r="R120" s="556"/>
      <c r="S120" s="556"/>
      <c r="T120" s="556"/>
      <c r="U120" s="556"/>
      <c r="V120" s="599">
        <v>-301</v>
      </c>
      <c r="W120" s="558"/>
      <c r="X120" s="543"/>
    </row>
    <row r="121" spans="1:24" s="544" customFormat="1" x14ac:dyDescent="0.3">
      <c r="A121" s="555">
        <f t="shared" si="0"/>
        <v>15</v>
      </c>
      <c r="B121" s="642" t="s">
        <v>384</v>
      </c>
      <c r="C121" s="556"/>
      <c r="D121" s="556"/>
      <c r="E121" s="556"/>
      <c r="F121" s="556"/>
      <c r="G121" s="556"/>
      <c r="H121" s="556"/>
      <c r="I121" s="556"/>
      <c r="J121" s="556"/>
      <c r="K121" s="556"/>
      <c r="L121" s="556"/>
      <c r="M121" s="556"/>
      <c r="N121" s="556"/>
      <c r="O121" s="556"/>
      <c r="P121" s="556"/>
      <c r="Q121" s="556"/>
      <c r="R121" s="556"/>
      <c r="S121" s="556"/>
      <c r="T121" s="556"/>
      <c r="U121" s="556"/>
      <c r="V121" s="599">
        <v>-132</v>
      </c>
      <c r="W121" s="558"/>
      <c r="X121" s="543"/>
    </row>
    <row r="122" spans="1:24" s="544" customFormat="1" x14ac:dyDescent="0.3">
      <c r="A122" s="555">
        <f t="shared" si="0"/>
        <v>16</v>
      </c>
      <c r="B122" s="642" t="s">
        <v>386</v>
      </c>
      <c r="C122" s="556"/>
      <c r="D122" s="556"/>
      <c r="E122" s="556"/>
      <c r="F122" s="556"/>
      <c r="G122" s="556"/>
      <c r="H122" s="556"/>
      <c r="I122" s="556"/>
      <c r="J122" s="556"/>
      <c r="K122" s="556"/>
      <c r="L122" s="556"/>
      <c r="M122" s="556"/>
      <c r="N122" s="556"/>
      <c r="O122" s="556"/>
      <c r="P122" s="556"/>
      <c r="Q122" s="556"/>
      <c r="R122" s="556"/>
      <c r="S122" s="556"/>
      <c r="T122" s="556"/>
      <c r="U122" s="556"/>
      <c r="V122" s="599">
        <v>0</v>
      </c>
      <c r="W122" s="558"/>
      <c r="X122" s="543"/>
    </row>
    <row r="123" spans="1:24" s="544" customFormat="1" x14ac:dyDescent="0.3">
      <c r="A123" s="555">
        <f t="shared" si="0"/>
        <v>17</v>
      </c>
      <c r="B123" s="642" t="s">
        <v>385</v>
      </c>
      <c r="C123" s="556"/>
      <c r="D123" s="556"/>
      <c r="E123" s="556"/>
      <c r="F123" s="556"/>
      <c r="G123" s="556"/>
      <c r="H123" s="556"/>
      <c r="I123" s="556"/>
      <c r="J123" s="556"/>
      <c r="K123" s="556"/>
      <c r="L123" s="556"/>
      <c r="M123" s="556"/>
      <c r="N123" s="556"/>
      <c r="O123" s="556"/>
      <c r="P123" s="556"/>
      <c r="Q123" s="556"/>
      <c r="R123" s="556"/>
      <c r="S123" s="556"/>
      <c r="T123" s="556"/>
      <c r="U123" s="556"/>
      <c r="V123" s="599">
        <f>-V100-SUM(V102:V122)</f>
        <v>-1328</v>
      </c>
      <c r="W123" s="558"/>
      <c r="X123" s="543"/>
    </row>
    <row r="124" spans="1:24" x14ac:dyDescent="0.3">
      <c r="A124" s="431"/>
      <c r="B124" s="507" t="s">
        <v>37</v>
      </c>
      <c r="C124" s="434"/>
      <c r="D124" s="434"/>
      <c r="E124" s="434"/>
      <c r="F124" s="434"/>
      <c r="G124" s="434"/>
      <c r="H124" s="434"/>
      <c r="I124" s="434"/>
      <c r="J124" s="434"/>
      <c r="K124" s="434"/>
      <c r="L124" s="434"/>
      <c r="M124" s="434"/>
      <c r="N124" s="434"/>
      <c r="O124" s="434"/>
      <c r="P124" s="434"/>
      <c r="Q124" s="434"/>
      <c r="R124" s="434"/>
      <c r="S124" s="434"/>
      <c r="T124" s="434"/>
      <c r="U124" s="434"/>
      <c r="V124" s="450"/>
      <c r="W124" s="436"/>
      <c r="X124" s="415"/>
    </row>
    <row r="125" spans="1:24" s="544" customFormat="1" x14ac:dyDescent="0.3">
      <c r="A125" s="555"/>
      <c r="B125" s="556" t="s">
        <v>173</v>
      </c>
      <c r="C125" s="556"/>
      <c r="D125" s="556"/>
      <c r="E125" s="556"/>
      <c r="F125" s="556"/>
      <c r="G125" s="556"/>
      <c r="H125" s="556"/>
      <c r="I125" s="556"/>
      <c r="J125" s="556"/>
      <c r="K125" s="556"/>
      <c r="L125" s="556"/>
      <c r="M125" s="556"/>
      <c r="N125" s="556"/>
      <c r="O125" s="556"/>
      <c r="P125" s="556"/>
      <c r="Q125" s="556"/>
      <c r="R125" s="556"/>
      <c r="S125" s="556"/>
      <c r="T125" s="598">
        <f>-T191</f>
        <v>0</v>
      </c>
      <c r="U125" s="598"/>
      <c r="V125" s="599"/>
      <c r="W125" s="558"/>
      <c r="X125" s="543"/>
    </row>
    <row r="126" spans="1:24" s="544" customFormat="1" x14ac:dyDescent="0.3">
      <c r="A126" s="555"/>
      <c r="B126" s="556" t="s">
        <v>174</v>
      </c>
      <c r="C126" s="556"/>
      <c r="D126" s="556"/>
      <c r="E126" s="556"/>
      <c r="F126" s="556"/>
      <c r="G126" s="556"/>
      <c r="H126" s="556"/>
      <c r="I126" s="556"/>
      <c r="J126" s="556"/>
      <c r="K126" s="556"/>
      <c r="L126" s="556"/>
      <c r="M126" s="556"/>
      <c r="N126" s="556"/>
      <c r="O126" s="556"/>
      <c r="P126" s="556"/>
      <c r="Q126" s="556"/>
      <c r="R126" s="556"/>
      <c r="S126" s="556"/>
      <c r="T126" s="598">
        <v>0</v>
      </c>
      <c r="U126" s="598"/>
      <c r="V126" s="599"/>
      <c r="W126" s="558"/>
      <c r="X126" s="543"/>
    </row>
    <row r="127" spans="1:24" s="544" customFormat="1" x14ac:dyDescent="0.3">
      <c r="A127" s="555"/>
      <c r="B127" s="556" t="s">
        <v>38</v>
      </c>
      <c r="C127" s="556"/>
      <c r="D127" s="556"/>
      <c r="E127" s="556"/>
      <c r="F127" s="556"/>
      <c r="G127" s="556"/>
      <c r="H127" s="556"/>
      <c r="I127" s="556"/>
      <c r="J127" s="556"/>
      <c r="K127" s="556"/>
      <c r="L127" s="556"/>
      <c r="M127" s="556"/>
      <c r="N127" s="556"/>
      <c r="O127" s="556"/>
      <c r="P127" s="556"/>
      <c r="Q127" s="556"/>
      <c r="R127" s="556"/>
      <c r="S127" s="556"/>
      <c r="T127" s="598">
        <f>-S191</f>
        <v>0</v>
      </c>
      <c r="U127" s="598"/>
      <c r="V127" s="599"/>
      <c r="W127" s="558"/>
      <c r="X127" s="543"/>
    </row>
    <row r="128" spans="1:24" s="544" customFormat="1" x14ac:dyDescent="0.3">
      <c r="A128" s="555"/>
      <c r="B128" s="556" t="s">
        <v>388</v>
      </c>
      <c r="C128" s="556"/>
      <c r="D128" s="556"/>
      <c r="E128" s="556"/>
      <c r="F128" s="556"/>
      <c r="G128" s="556"/>
      <c r="H128" s="556"/>
      <c r="I128" s="556"/>
      <c r="J128" s="556"/>
      <c r="K128" s="556"/>
      <c r="L128" s="556"/>
      <c r="M128" s="556"/>
      <c r="N128" s="556"/>
      <c r="O128" s="556"/>
      <c r="P128" s="556"/>
      <c r="Q128" s="556"/>
      <c r="R128" s="556"/>
      <c r="S128" s="556"/>
      <c r="T128" s="598">
        <v>-6711</v>
      </c>
      <c r="U128" s="598"/>
      <c r="V128" s="599"/>
      <c r="W128" s="558"/>
      <c r="X128" s="543"/>
    </row>
    <row r="129" spans="1:24" s="544" customFormat="1" x14ac:dyDescent="0.3">
      <c r="A129" s="555"/>
      <c r="B129" s="556" t="s">
        <v>195</v>
      </c>
      <c r="C129" s="556"/>
      <c r="D129" s="556"/>
      <c r="E129" s="556"/>
      <c r="F129" s="556"/>
      <c r="G129" s="556"/>
      <c r="H129" s="556"/>
      <c r="I129" s="556"/>
      <c r="J129" s="556"/>
      <c r="K129" s="556"/>
      <c r="L129" s="556"/>
      <c r="M129" s="556"/>
      <c r="N129" s="556"/>
      <c r="O129" s="556"/>
      <c r="P129" s="556"/>
      <c r="Q129" s="556"/>
      <c r="R129" s="556"/>
      <c r="S129" s="556"/>
      <c r="T129" s="598">
        <v>-1082</v>
      </c>
      <c r="U129" s="598"/>
      <c r="V129" s="599"/>
      <c r="W129" s="558"/>
      <c r="X129" s="543"/>
    </row>
    <row r="130" spans="1:24" s="544" customFormat="1" x14ac:dyDescent="0.3">
      <c r="A130" s="555"/>
      <c r="B130" s="556" t="s">
        <v>194</v>
      </c>
      <c r="C130" s="556"/>
      <c r="D130" s="556"/>
      <c r="E130" s="556"/>
      <c r="F130" s="556"/>
      <c r="G130" s="556"/>
      <c r="H130" s="556"/>
      <c r="I130" s="556"/>
      <c r="J130" s="556"/>
      <c r="K130" s="556"/>
      <c r="L130" s="556"/>
      <c r="M130" s="556"/>
      <c r="N130" s="556"/>
      <c r="O130" s="556"/>
      <c r="P130" s="556"/>
      <c r="Q130" s="556"/>
      <c r="R130" s="556"/>
      <c r="S130" s="556"/>
      <c r="T130" s="598">
        <v>-1456</v>
      </c>
      <c r="U130" s="598"/>
      <c r="V130" s="599"/>
      <c r="W130" s="558"/>
      <c r="X130" s="543"/>
    </row>
    <row r="131" spans="1:24" s="544" customFormat="1" x14ac:dyDescent="0.3">
      <c r="A131" s="555"/>
      <c r="B131" s="556" t="s">
        <v>226</v>
      </c>
      <c r="C131" s="556"/>
      <c r="D131" s="556"/>
      <c r="E131" s="556"/>
      <c r="F131" s="556"/>
      <c r="G131" s="556"/>
      <c r="H131" s="556"/>
      <c r="I131" s="556"/>
      <c r="J131" s="556"/>
      <c r="K131" s="556"/>
      <c r="L131" s="556"/>
      <c r="M131" s="556"/>
      <c r="N131" s="556"/>
      <c r="O131" s="556"/>
      <c r="P131" s="556"/>
      <c r="Q131" s="556"/>
      <c r="R131" s="556"/>
      <c r="S131" s="556"/>
      <c r="T131" s="598">
        <v>-1789</v>
      </c>
      <c r="U131" s="598"/>
      <c r="V131" s="599"/>
      <c r="W131" s="558"/>
      <c r="X131" s="543"/>
    </row>
    <row r="132" spans="1:24" s="544" customFormat="1" x14ac:dyDescent="0.3">
      <c r="A132" s="555"/>
      <c r="B132" s="556" t="s">
        <v>189</v>
      </c>
      <c r="C132" s="556"/>
      <c r="D132" s="556"/>
      <c r="E132" s="556"/>
      <c r="F132" s="556"/>
      <c r="G132" s="556"/>
      <c r="H132" s="556"/>
      <c r="I132" s="556"/>
      <c r="J132" s="556"/>
      <c r="K132" s="556"/>
      <c r="L132" s="556"/>
      <c r="M132" s="556"/>
      <c r="N132" s="556"/>
      <c r="O132" s="556"/>
      <c r="P132" s="556"/>
      <c r="Q132" s="556"/>
      <c r="R132" s="556"/>
      <c r="S132" s="556"/>
      <c r="T132" s="598">
        <v>0</v>
      </c>
      <c r="U132" s="598"/>
      <c r="V132" s="599"/>
      <c r="W132" s="558"/>
      <c r="X132" s="543"/>
    </row>
    <row r="133" spans="1:24" s="544" customFormat="1" x14ac:dyDescent="0.3">
      <c r="A133" s="555"/>
      <c r="B133" s="556" t="s">
        <v>188</v>
      </c>
      <c r="C133" s="556"/>
      <c r="D133" s="556"/>
      <c r="E133" s="556"/>
      <c r="F133" s="556"/>
      <c r="G133" s="556"/>
      <c r="H133" s="556"/>
      <c r="I133" s="556"/>
      <c r="J133" s="556"/>
      <c r="K133" s="556"/>
      <c r="L133" s="556"/>
      <c r="M133" s="556"/>
      <c r="N133" s="556"/>
      <c r="O133" s="556"/>
      <c r="P133" s="556"/>
      <c r="Q133" s="556"/>
      <c r="R133" s="556"/>
      <c r="S133" s="556"/>
      <c r="T133" s="598">
        <v>0</v>
      </c>
      <c r="U133" s="598"/>
      <c r="V133" s="599"/>
      <c r="W133" s="558"/>
      <c r="X133" s="543"/>
    </row>
    <row r="134" spans="1:24" s="544" customFormat="1" x14ac:dyDescent="0.3">
      <c r="A134" s="555"/>
      <c r="B134" s="556" t="s">
        <v>227</v>
      </c>
      <c r="C134" s="556"/>
      <c r="D134" s="556"/>
      <c r="E134" s="556"/>
      <c r="F134" s="556"/>
      <c r="G134" s="556"/>
      <c r="H134" s="556"/>
      <c r="I134" s="556"/>
      <c r="J134" s="556"/>
      <c r="K134" s="556"/>
      <c r="L134" s="556"/>
      <c r="M134" s="556"/>
      <c r="N134" s="556"/>
      <c r="O134" s="556"/>
      <c r="P134" s="556"/>
      <c r="Q134" s="556"/>
      <c r="R134" s="556"/>
      <c r="S134" s="556"/>
      <c r="T134" s="598">
        <v>0</v>
      </c>
      <c r="U134" s="598"/>
      <c r="V134" s="599"/>
      <c r="W134" s="558"/>
      <c r="X134" s="543"/>
    </row>
    <row r="135" spans="1:24" s="544" customFormat="1" x14ac:dyDescent="0.3">
      <c r="A135" s="555"/>
      <c r="B135" s="556" t="s">
        <v>187</v>
      </c>
      <c r="C135" s="556"/>
      <c r="D135" s="556"/>
      <c r="E135" s="556"/>
      <c r="F135" s="556"/>
      <c r="G135" s="556"/>
      <c r="H135" s="556"/>
      <c r="I135" s="556"/>
      <c r="J135" s="556"/>
      <c r="K135" s="556"/>
      <c r="L135" s="556"/>
      <c r="M135" s="556"/>
      <c r="N135" s="556"/>
      <c r="O135" s="556"/>
      <c r="P135" s="556"/>
      <c r="Q135" s="556"/>
      <c r="R135" s="556"/>
      <c r="S135" s="556"/>
      <c r="T135" s="598">
        <v>0</v>
      </c>
      <c r="U135" s="598"/>
      <c r="V135" s="599"/>
      <c r="W135" s="558"/>
      <c r="X135" s="543"/>
    </row>
    <row r="136" spans="1:24" s="544" customFormat="1" x14ac:dyDescent="0.3">
      <c r="A136" s="555"/>
      <c r="B136" s="556" t="s">
        <v>39</v>
      </c>
      <c r="C136" s="556"/>
      <c r="D136" s="556"/>
      <c r="E136" s="556"/>
      <c r="F136" s="556"/>
      <c r="G136" s="556"/>
      <c r="H136" s="556"/>
      <c r="I136" s="556"/>
      <c r="J136" s="556"/>
      <c r="K136" s="556"/>
      <c r="L136" s="556"/>
      <c r="M136" s="556"/>
      <c r="N136" s="556"/>
      <c r="O136" s="556"/>
      <c r="P136" s="556"/>
      <c r="Q136" s="556"/>
      <c r="R136" s="556"/>
      <c r="S136" s="556"/>
      <c r="T136" s="598">
        <f>SUM(T125:T135)</f>
        <v>-11038</v>
      </c>
      <c r="U136" s="598"/>
      <c r="V136" s="598">
        <f>SUM(V101:V133)</f>
        <v>-3434</v>
      </c>
      <c r="W136" s="558"/>
      <c r="X136" s="543"/>
    </row>
    <row r="137" spans="1:24" s="544" customFormat="1" x14ac:dyDescent="0.3">
      <c r="A137" s="555"/>
      <c r="B137" s="556" t="s">
        <v>40</v>
      </c>
      <c r="C137" s="556"/>
      <c r="D137" s="556"/>
      <c r="E137" s="556"/>
      <c r="F137" s="556"/>
      <c r="G137" s="556"/>
      <c r="H137" s="556"/>
      <c r="I137" s="556"/>
      <c r="J137" s="556"/>
      <c r="K137" s="556"/>
      <c r="L137" s="556"/>
      <c r="M137" s="556"/>
      <c r="N137" s="556"/>
      <c r="O137" s="556"/>
      <c r="P137" s="556"/>
      <c r="Q137" s="556"/>
      <c r="R137" s="556"/>
      <c r="S137" s="556"/>
      <c r="T137" s="598">
        <f>T100+T136+T114</f>
        <v>0</v>
      </c>
      <c r="U137" s="598"/>
      <c r="V137" s="598">
        <f>V100+V136</f>
        <v>0</v>
      </c>
      <c r="W137" s="558"/>
      <c r="X137" s="543"/>
    </row>
    <row r="138" spans="1:24" s="544" customFormat="1" x14ac:dyDescent="0.3">
      <c r="A138" s="540"/>
      <c r="B138" s="588"/>
      <c r="C138" s="588"/>
      <c r="D138" s="588"/>
      <c r="E138" s="588"/>
      <c r="F138" s="588"/>
      <c r="G138" s="588"/>
      <c r="H138" s="588"/>
      <c r="I138" s="588"/>
      <c r="J138" s="588"/>
      <c r="K138" s="588"/>
      <c r="L138" s="588"/>
      <c r="M138" s="588"/>
      <c r="N138" s="588"/>
      <c r="O138" s="588"/>
      <c r="P138" s="588"/>
      <c r="Q138" s="588"/>
      <c r="R138" s="588"/>
      <c r="S138" s="588"/>
      <c r="T138" s="600"/>
      <c r="U138" s="600"/>
      <c r="V138" s="600"/>
      <c r="W138" s="588"/>
      <c r="X138" s="543"/>
    </row>
    <row r="139" spans="1:24" s="544" customFormat="1" x14ac:dyDescent="0.3">
      <c r="A139" s="540"/>
      <c r="B139" s="541"/>
      <c r="C139" s="541"/>
      <c r="D139" s="541"/>
      <c r="E139" s="541"/>
      <c r="F139" s="541"/>
      <c r="G139" s="541"/>
      <c r="H139" s="541"/>
      <c r="I139" s="541"/>
      <c r="J139" s="541"/>
      <c r="K139" s="541"/>
      <c r="L139" s="541"/>
      <c r="M139" s="541"/>
      <c r="N139" s="541"/>
      <c r="O139" s="541"/>
      <c r="P139" s="541"/>
      <c r="Q139" s="541"/>
      <c r="R139" s="541"/>
      <c r="S139" s="541"/>
      <c r="T139" s="541"/>
      <c r="U139" s="541"/>
      <c r="V139" s="606"/>
      <c r="W139" s="541"/>
      <c r="X139" s="543"/>
    </row>
    <row r="140" spans="1:24" s="544" customFormat="1" ht="18.600000000000001" thickBot="1" x14ac:dyDescent="0.4">
      <c r="A140" s="593"/>
      <c r="B140" s="594" t="str">
        <f>B63</f>
        <v>PM14 INVESTOR REPORT QUARTER ENDING AUGUST 2020</v>
      </c>
      <c r="C140" s="595"/>
      <c r="D140" s="595"/>
      <c r="E140" s="595"/>
      <c r="F140" s="595"/>
      <c r="G140" s="595"/>
      <c r="H140" s="595"/>
      <c r="I140" s="595"/>
      <c r="J140" s="595"/>
      <c r="K140" s="595"/>
      <c r="L140" s="595"/>
      <c r="M140" s="595"/>
      <c r="N140" s="595"/>
      <c r="O140" s="595"/>
      <c r="P140" s="595"/>
      <c r="Q140" s="595"/>
      <c r="R140" s="595"/>
      <c r="S140" s="595"/>
      <c r="T140" s="595"/>
      <c r="U140" s="595"/>
      <c r="V140" s="607"/>
      <c r="W140" s="597"/>
      <c r="X140" s="543"/>
    </row>
    <row r="141" spans="1:24" x14ac:dyDescent="0.3">
      <c r="A141" s="527"/>
      <c r="B141" s="528" t="s">
        <v>41</v>
      </c>
      <c r="C141" s="529"/>
      <c r="D141" s="529"/>
      <c r="E141" s="529"/>
      <c r="F141" s="529"/>
      <c r="G141" s="529"/>
      <c r="H141" s="529"/>
      <c r="I141" s="529"/>
      <c r="J141" s="529"/>
      <c r="K141" s="529"/>
      <c r="L141" s="529"/>
      <c r="M141" s="529"/>
      <c r="N141" s="529"/>
      <c r="O141" s="529"/>
      <c r="P141" s="529"/>
      <c r="Q141" s="529"/>
      <c r="R141" s="529"/>
      <c r="S141" s="529"/>
      <c r="T141" s="529"/>
      <c r="U141" s="529"/>
      <c r="V141" s="530"/>
      <c r="W141" s="529"/>
      <c r="X141" s="415"/>
    </row>
    <row r="142" spans="1:24" x14ac:dyDescent="0.3">
      <c r="A142" s="417"/>
      <c r="B142" s="451"/>
      <c r="C142" s="419"/>
      <c r="D142" s="419"/>
      <c r="E142" s="419"/>
      <c r="F142" s="419"/>
      <c r="G142" s="419"/>
      <c r="H142" s="419"/>
      <c r="I142" s="419"/>
      <c r="J142" s="419"/>
      <c r="K142" s="419"/>
      <c r="L142" s="419"/>
      <c r="M142" s="419"/>
      <c r="N142" s="419"/>
      <c r="O142" s="419"/>
      <c r="P142" s="419"/>
      <c r="Q142" s="419"/>
      <c r="R142" s="419"/>
      <c r="S142" s="419"/>
      <c r="T142" s="419"/>
      <c r="U142" s="419"/>
      <c r="V142" s="439"/>
      <c r="W142" s="419"/>
      <c r="X142" s="415"/>
    </row>
    <row r="143" spans="1:24" x14ac:dyDescent="0.3">
      <c r="A143" s="417"/>
      <c r="B143" s="508" t="s">
        <v>42</v>
      </c>
      <c r="C143" s="419"/>
      <c r="D143" s="419"/>
      <c r="E143" s="419"/>
      <c r="F143" s="419"/>
      <c r="G143" s="419"/>
      <c r="H143" s="419"/>
      <c r="I143" s="419"/>
      <c r="J143" s="419"/>
      <c r="K143" s="419"/>
      <c r="L143" s="419"/>
      <c r="M143" s="419"/>
      <c r="N143" s="419"/>
      <c r="O143" s="419"/>
      <c r="P143" s="419"/>
      <c r="Q143" s="419"/>
      <c r="R143" s="419"/>
      <c r="S143" s="419"/>
      <c r="T143" s="419"/>
      <c r="U143" s="419"/>
      <c r="V143" s="439"/>
      <c r="W143" s="419"/>
      <c r="X143" s="415"/>
    </row>
    <row r="144" spans="1:24" s="544" customFormat="1" x14ac:dyDescent="0.3">
      <c r="A144" s="555"/>
      <c r="B144" s="556" t="s">
        <v>43</v>
      </c>
      <c r="C144" s="556"/>
      <c r="D144" s="556"/>
      <c r="E144" s="556"/>
      <c r="F144" s="556"/>
      <c r="G144" s="556"/>
      <c r="H144" s="556"/>
      <c r="I144" s="556"/>
      <c r="J144" s="556"/>
      <c r="K144" s="556"/>
      <c r="L144" s="556"/>
      <c r="M144" s="556"/>
      <c r="N144" s="556"/>
      <c r="O144" s="556"/>
      <c r="P144" s="556"/>
      <c r="Q144" s="556"/>
      <c r="R144" s="556"/>
      <c r="S144" s="556"/>
      <c r="T144" s="556"/>
      <c r="U144" s="556"/>
      <c r="V144" s="599">
        <f>+V34*0.019</f>
        <v>28505.224999999999</v>
      </c>
      <c r="W144" s="558"/>
      <c r="X144" s="543"/>
    </row>
    <row r="145" spans="1:25" s="544" customFormat="1" x14ac:dyDescent="0.3">
      <c r="A145" s="555"/>
      <c r="B145" s="556" t="s">
        <v>44</v>
      </c>
      <c r="C145" s="556"/>
      <c r="D145" s="556"/>
      <c r="E145" s="556"/>
      <c r="F145" s="556"/>
      <c r="G145" s="556"/>
      <c r="H145" s="556"/>
      <c r="I145" s="556"/>
      <c r="J145" s="556"/>
      <c r="K145" s="556"/>
      <c r="L145" s="556"/>
      <c r="M145" s="556"/>
      <c r="N145" s="556"/>
      <c r="O145" s="556"/>
      <c r="P145" s="556"/>
      <c r="Q145" s="556"/>
      <c r="R145" s="556"/>
      <c r="S145" s="556"/>
      <c r="T145" s="556"/>
      <c r="U145" s="556"/>
      <c r="V145" s="599">
        <v>28505</v>
      </c>
      <c r="W145" s="558"/>
      <c r="X145" s="543"/>
    </row>
    <row r="146" spans="1:25" s="544" customFormat="1" x14ac:dyDescent="0.3">
      <c r="A146" s="555"/>
      <c r="B146" s="556" t="s">
        <v>136</v>
      </c>
      <c r="C146" s="556"/>
      <c r="D146" s="556"/>
      <c r="E146" s="556"/>
      <c r="F146" s="556"/>
      <c r="G146" s="556"/>
      <c r="H146" s="556"/>
      <c r="I146" s="556"/>
      <c r="J146" s="556"/>
      <c r="K146" s="556"/>
      <c r="L146" s="556"/>
      <c r="M146" s="556"/>
      <c r="N146" s="556"/>
      <c r="O146" s="556"/>
      <c r="P146" s="556"/>
      <c r="Q146" s="556"/>
      <c r="R146" s="556"/>
      <c r="S146" s="556"/>
      <c r="T146" s="556"/>
      <c r="U146" s="556"/>
      <c r="V146" s="599"/>
      <c r="W146" s="558"/>
      <c r="X146" s="543"/>
    </row>
    <row r="147" spans="1:25" s="544" customFormat="1" x14ac:dyDescent="0.3">
      <c r="A147" s="555"/>
      <c r="B147" s="556" t="s">
        <v>123</v>
      </c>
      <c r="C147" s="556"/>
      <c r="D147" s="556"/>
      <c r="E147" s="556"/>
      <c r="F147" s="556"/>
      <c r="G147" s="556"/>
      <c r="H147" s="556"/>
      <c r="I147" s="556"/>
      <c r="J147" s="556"/>
      <c r="K147" s="556"/>
      <c r="L147" s="556"/>
      <c r="M147" s="556"/>
      <c r="N147" s="556"/>
      <c r="O147" s="556"/>
      <c r="P147" s="556"/>
      <c r="Q147" s="556"/>
      <c r="R147" s="556"/>
      <c r="S147" s="556"/>
      <c r="T147" s="556"/>
      <c r="U147" s="556"/>
      <c r="V147" s="599">
        <v>0</v>
      </c>
      <c r="W147" s="558"/>
      <c r="X147" s="543"/>
    </row>
    <row r="148" spans="1:25" s="544" customFormat="1" x14ac:dyDescent="0.3">
      <c r="A148" s="555"/>
      <c r="B148" s="556" t="s">
        <v>124</v>
      </c>
      <c r="C148" s="556"/>
      <c r="D148" s="556"/>
      <c r="E148" s="556"/>
      <c r="F148" s="556"/>
      <c r="G148" s="556"/>
      <c r="H148" s="556"/>
      <c r="I148" s="556"/>
      <c r="J148" s="556"/>
      <c r="K148" s="556"/>
      <c r="L148" s="556"/>
      <c r="M148" s="556"/>
      <c r="N148" s="556"/>
      <c r="O148" s="556"/>
      <c r="P148" s="556"/>
      <c r="Q148" s="556"/>
      <c r="R148" s="556"/>
      <c r="S148" s="556"/>
      <c r="T148" s="556"/>
      <c r="U148" s="556"/>
      <c r="V148" s="599">
        <v>0</v>
      </c>
      <c r="W148" s="558"/>
      <c r="X148" s="543"/>
    </row>
    <row r="149" spans="1:25" s="544" customFormat="1" x14ac:dyDescent="0.3">
      <c r="A149" s="555"/>
      <c r="B149" s="556" t="s">
        <v>175</v>
      </c>
      <c r="C149" s="556"/>
      <c r="D149" s="556"/>
      <c r="E149" s="556"/>
      <c r="F149" s="556"/>
      <c r="G149" s="556"/>
      <c r="H149" s="556"/>
      <c r="I149" s="556"/>
      <c r="J149" s="556"/>
      <c r="K149" s="556"/>
      <c r="L149" s="556"/>
      <c r="M149" s="556"/>
      <c r="N149" s="556"/>
      <c r="O149" s="556"/>
      <c r="P149" s="556"/>
      <c r="Q149" s="556"/>
      <c r="R149" s="556"/>
      <c r="S149" s="556"/>
      <c r="T149" s="556"/>
      <c r="U149" s="556"/>
      <c r="V149" s="599">
        <v>0</v>
      </c>
      <c r="W149" s="558"/>
      <c r="X149" s="543"/>
    </row>
    <row r="150" spans="1:25" s="544" customFormat="1" x14ac:dyDescent="0.3">
      <c r="A150" s="555"/>
      <c r="B150" s="556" t="s">
        <v>45</v>
      </c>
      <c r="C150" s="556"/>
      <c r="D150" s="556"/>
      <c r="E150" s="556"/>
      <c r="F150" s="556"/>
      <c r="G150" s="556"/>
      <c r="H150" s="556"/>
      <c r="I150" s="556"/>
      <c r="J150" s="556"/>
      <c r="K150" s="556"/>
      <c r="L150" s="556"/>
      <c r="M150" s="556"/>
      <c r="N150" s="556"/>
      <c r="O150" s="556"/>
      <c r="P150" s="556"/>
      <c r="Q150" s="556"/>
      <c r="R150" s="556"/>
      <c r="S150" s="556"/>
      <c r="T150" s="556"/>
      <c r="U150" s="556"/>
      <c r="V150" s="599">
        <v>0</v>
      </c>
      <c r="W150" s="558"/>
      <c r="X150" s="543"/>
    </row>
    <row r="151" spans="1:25" s="544" customFormat="1" x14ac:dyDescent="0.3">
      <c r="A151" s="555"/>
      <c r="B151" s="556" t="s">
        <v>129</v>
      </c>
      <c r="C151" s="556"/>
      <c r="D151" s="556"/>
      <c r="E151" s="556"/>
      <c r="F151" s="556"/>
      <c r="G151" s="556"/>
      <c r="H151" s="556"/>
      <c r="I151" s="556"/>
      <c r="J151" s="556"/>
      <c r="K151" s="556"/>
      <c r="L151" s="556"/>
      <c r="M151" s="556"/>
      <c r="N151" s="556"/>
      <c r="O151" s="556"/>
      <c r="P151" s="556"/>
      <c r="Q151" s="556"/>
      <c r="R151" s="556"/>
      <c r="S151" s="556"/>
      <c r="T151" s="556"/>
      <c r="U151" s="556"/>
      <c r="V151" s="599">
        <v>0</v>
      </c>
      <c r="W151" s="558"/>
      <c r="X151" s="543"/>
    </row>
    <row r="152" spans="1:25" s="544" customFormat="1" x14ac:dyDescent="0.3">
      <c r="A152" s="555"/>
      <c r="B152" s="556" t="s">
        <v>267</v>
      </c>
      <c r="C152" s="556"/>
      <c r="D152" s="556"/>
      <c r="E152" s="556"/>
      <c r="F152" s="556"/>
      <c r="G152" s="556"/>
      <c r="H152" s="556"/>
      <c r="I152" s="556"/>
      <c r="J152" s="556"/>
      <c r="K152" s="556"/>
      <c r="L152" s="556"/>
      <c r="M152" s="556"/>
      <c r="N152" s="556"/>
      <c r="O152" s="556"/>
      <c r="P152" s="556"/>
      <c r="Q152" s="556"/>
      <c r="R152" s="556"/>
      <c r="S152" s="556"/>
      <c r="T152" s="556"/>
      <c r="U152" s="556"/>
      <c r="V152" s="599">
        <v>0</v>
      </c>
      <c r="W152" s="558"/>
      <c r="X152" s="543"/>
      <c r="Y152" s="604"/>
    </row>
    <row r="153" spans="1:25" s="544" customFormat="1" x14ac:dyDescent="0.3">
      <c r="A153" s="555"/>
      <c r="B153" s="556" t="s">
        <v>46</v>
      </c>
      <c r="C153" s="556"/>
      <c r="D153" s="556"/>
      <c r="E153" s="556"/>
      <c r="F153" s="556"/>
      <c r="G153" s="556"/>
      <c r="H153" s="556"/>
      <c r="I153" s="556"/>
      <c r="J153" s="556"/>
      <c r="K153" s="556"/>
      <c r="L153" s="556"/>
      <c r="M153" s="556"/>
      <c r="N153" s="556"/>
      <c r="O153" s="556"/>
      <c r="P153" s="556"/>
      <c r="Q153" s="556"/>
      <c r="R153" s="556"/>
      <c r="S153" s="556"/>
      <c r="T153" s="556"/>
      <c r="U153" s="556"/>
      <c r="V153" s="599">
        <f>SUM(V145:V152)</f>
        <v>28505</v>
      </c>
      <c r="W153" s="558"/>
      <c r="X153" s="543"/>
    </row>
    <row r="154" spans="1:25" x14ac:dyDescent="0.3">
      <c r="A154" s="431"/>
      <c r="B154" s="434"/>
      <c r="C154" s="434"/>
      <c r="D154" s="434"/>
      <c r="E154" s="434"/>
      <c r="F154" s="434"/>
      <c r="G154" s="434"/>
      <c r="H154" s="434"/>
      <c r="I154" s="434"/>
      <c r="J154" s="434"/>
      <c r="K154" s="434"/>
      <c r="L154" s="434"/>
      <c r="M154" s="434"/>
      <c r="N154" s="434"/>
      <c r="O154" s="434"/>
      <c r="P154" s="434"/>
      <c r="Q154" s="434"/>
      <c r="R154" s="434"/>
      <c r="S154" s="434"/>
      <c r="T154" s="434"/>
      <c r="U154" s="434"/>
      <c r="V154" s="449"/>
      <c r="W154" s="436"/>
      <c r="X154" s="415"/>
    </row>
    <row r="155" spans="1:25" x14ac:dyDescent="0.3">
      <c r="A155" s="431"/>
      <c r="B155" s="507" t="s">
        <v>237</v>
      </c>
      <c r="C155" s="434"/>
      <c r="D155" s="434"/>
      <c r="E155" s="434"/>
      <c r="F155" s="434"/>
      <c r="G155" s="434"/>
      <c r="H155" s="434"/>
      <c r="I155" s="434"/>
      <c r="J155" s="434"/>
      <c r="K155" s="434"/>
      <c r="L155" s="434"/>
      <c r="M155" s="434"/>
      <c r="N155" s="434"/>
      <c r="O155" s="434"/>
      <c r="P155" s="434"/>
      <c r="Q155" s="434"/>
      <c r="R155" s="434"/>
      <c r="S155" s="434"/>
      <c r="T155" s="434"/>
      <c r="U155" s="434"/>
      <c r="V155" s="449"/>
      <c r="W155" s="436"/>
      <c r="X155" s="415"/>
    </row>
    <row r="156" spans="1:25" s="544" customFormat="1" x14ac:dyDescent="0.3">
      <c r="A156" s="555"/>
      <c r="B156" s="556" t="s">
        <v>155</v>
      </c>
      <c r="C156" s="556"/>
      <c r="D156" s="556"/>
      <c r="E156" s="556"/>
      <c r="F156" s="556"/>
      <c r="G156" s="556"/>
      <c r="H156" s="556"/>
      <c r="I156" s="556"/>
      <c r="J156" s="556"/>
      <c r="K156" s="556"/>
      <c r="L156" s="556"/>
      <c r="M156" s="556"/>
      <c r="N156" s="556"/>
      <c r="O156" s="556"/>
      <c r="P156" s="556"/>
      <c r="Q156" s="556"/>
      <c r="R156" s="556"/>
      <c r="S156" s="556"/>
      <c r="T156" s="556"/>
      <c r="U156" s="556"/>
      <c r="V156" s="599">
        <v>7500</v>
      </c>
      <c r="W156" s="558"/>
      <c r="X156" s="543"/>
    </row>
    <row r="157" spans="1:25" s="544" customFormat="1" x14ac:dyDescent="0.3">
      <c r="A157" s="555"/>
      <c r="B157" s="556" t="s">
        <v>172</v>
      </c>
      <c r="C157" s="556"/>
      <c r="D157" s="556"/>
      <c r="E157" s="556"/>
      <c r="F157" s="556"/>
      <c r="G157" s="556"/>
      <c r="H157" s="556"/>
      <c r="I157" s="556"/>
      <c r="J157" s="556"/>
      <c r="K157" s="556"/>
      <c r="L157" s="556"/>
      <c r="M157" s="556"/>
      <c r="N157" s="556"/>
      <c r="O157" s="556"/>
      <c r="P157" s="556"/>
      <c r="Q157" s="556"/>
      <c r="R157" s="556"/>
      <c r="S157" s="556"/>
      <c r="T157" s="556"/>
      <c r="U157" s="556"/>
      <c r="V157" s="599">
        <v>0</v>
      </c>
      <c r="W157" s="558"/>
      <c r="X157" s="543"/>
    </row>
    <row r="158" spans="1:25" s="544" customFormat="1" x14ac:dyDescent="0.3">
      <c r="A158" s="555"/>
      <c r="B158" s="556" t="s">
        <v>344</v>
      </c>
      <c r="C158" s="556"/>
      <c r="D158" s="556"/>
      <c r="E158" s="556"/>
      <c r="F158" s="556"/>
      <c r="G158" s="556"/>
      <c r="H158" s="556"/>
      <c r="I158" s="556"/>
      <c r="J158" s="556"/>
      <c r="K158" s="556"/>
      <c r="L158" s="556"/>
      <c r="M158" s="556"/>
      <c r="N158" s="556"/>
      <c r="O158" s="556"/>
      <c r="P158" s="556"/>
      <c r="Q158" s="556"/>
      <c r="R158" s="556"/>
      <c r="S158" s="556"/>
      <c r="T158" s="556"/>
      <c r="U158" s="556"/>
      <c r="V158" s="599">
        <v>0</v>
      </c>
      <c r="W158" s="558"/>
      <c r="X158" s="543"/>
    </row>
    <row r="159" spans="1:25" x14ac:dyDescent="0.3">
      <c r="A159" s="431"/>
      <c r="B159" s="432"/>
      <c r="C159" s="432"/>
      <c r="D159" s="432"/>
      <c r="E159" s="432"/>
      <c r="F159" s="432"/>
      <c r="G159" s="432"/>
      <c r="H159" s="432"/>
      <c r="I159" s="432"/>
      <c r="J159" s="432"/>
      <c r="K159" s="432"/>
      <c r="L159" s="432"/>
      <c r="M159" s="432"/>
      <c r="N159" s="432"/>
      <c r="O159" s="432"/>
      <c r="P159" s="432"/>
      <c r="Q159" s="432"/>
      <c r="R159" s="432"/>
      <c r="S159" s="432"/>
      <c r="T159" s="432"/>
      <c r="U159" s="432"/>
      <c r="V159" s="440"/>
      <c r="W159" s="433"/>
      <c r="X159" s="415"/>
    </row>
    <row r="160" spans="1:25" x14ac:dyDescent="0.3">
      <c r="A160" s="417"/>
      <c r="B160" s="441"/>
      <c r="C160" s="441"/>
      <c r="D160" s="441"/>
      <c r="E160" s="441"/>
      <c r="F160" s="441"/>
      <c r="G160" s="441"/>
      <c r="H160" s="441"/>
      <c r="I160" s="441"/>
      <c r="J160" s="441"/>
      <c r="K160" s="441"/>
      <c r="L160" s="441"/>
      <c r="M160" s="441"/>
      <c r="N160" s="441"/>
      <c r="O160" s="441"/>
      <c r="P160" s="441"/>
      <c r="Q160" s="441"/>
      <c r="R160" s="441"/>
      <c r="S160" s="441"/>
      <c r="T160" s="441"/>
      <c r="U160" s="441"/>
      <c r="V160" s="452"/>
      <c r="W160" s="441"/>
      <c r="X160" s="415"/>
    </row>
    <row r="161" spans="1:256" x14ac:dyDescent="0.3">
      <c r="A161" s="417"/>
      <c r="B161" s="508" t="s">
        <v>24</v>
      </c>
      <c r="C161" s="419"/>
      <c r="D161" s="419"/>
      <c r="E161" s="419"/>
      <c r="F161" s="419"/>
      <c r="G161" s="419"/>
      <c r="H161" s="419"/>
      <c r="I161" s="419"/>
      <c r="J161" s="419"/>
      <c r="K161" s="419"/>
      <c r="L161" s="419"/>
      <c r="M161" s="419"/>
      <c r="N161" s="419"/>
      <c r="O161" s="419"/>
      <c r="P161" s="419"/>
      <c r="Q161" s="419"/>
      <c r="R161" s="419"/>
      <c r="S161" s="419"/>
      <c r="T161" s="419"/>
      <c r="U161" s="419"/>
      <c r="V161" s="439"/>
      <c r="W161" s="419"/>
      <c r="X161" s="415"/>
    </row>
    <row r="162" spans="1:256" s="544" customFormat="1" x14ac:dyDescent="0.3">
      <c r="A162" s="555"/>
      <c r="B162" s="556" t="s">
        <v>47</v>
      </c>
      <c r="C162" s="556"/>
      <c r="D162" s="556"/>
      <c r="E162" s="556"/>
      <c r="F162" s="556"/>
      <c r="G162" s="556"/>
      <c r="H162" s="556"/>
      <c r="I162" s="556"/>
      <c r="J162" s="556"/>
      <c r="K162" s="556"/>
      <c r="L162" s="556"/>
      <c r="M162" s="556"/>
      <c r="N162" s="556"/>
      <c r="O162" s="556"/>
      <c r="P162" s="556"/>
      <c r="Q162" s="556"/>
      <c r="R162" s="556"/>
      <c r="S162" s="556"/>
      <c r="T162" s="556"/>
      <c r="U162" s="556"/>
      <c r="V162" s="608" t="s">
        <v>118</v>
      </c>
      <c r="W162" s="558"/>
      <c r="X162" s="543"/>
    </row>
    <row r="163" spans="1:256" s="544" customFormat="1" x14ac:dyDescent="0.3">
      <c r="A163" s="555"/>
      <c r="B163" s="556" t="s">
        <v>48</v>
      </c>
      <c r="C163" s="556"/>
      <c r="D163" s="556"/>
      <c r="E163" s="556"/>
      <c r="F163" s="556"/>
      <c r="G163" s="556"/>
      <c r="H163" s="556"/>
      <c r="I163" s="556"/>
      <c r="J163" s="556"/>
      <c r="K163" s="556"/>
      <c r="L163" s="556"/>
      <c r="M163" s="556"/>
      <c r="N163" s="556"/>
      <c r="O163" s="556"/>
      <c r="P163" s="556"/>
      <c r="Q163" s="556"/>
      <c r="R163" s="556"/>
      <c r="S163" s="556"/>
      <c r="T163" s="556"/>
      <c r="U163" s="556"/>
      <c r="V163" s="608" t="s">
        <v>118</v>
      </c>
      <c r="W163" s="558"/>
      <c r="X163" s="543"/>
    </row>
    <row r="164" spans="1:256" s="544" customFormat="1" x14ac:dyDescent="0.3">
      <c r="A164" s="555"/>
      <c r="B164" s="556" t="s">
        <v>49</v>
      </c>
      <c r="C164" s="556"/>
      <c r="D164" s="556"/>
      <c r="E164" s="556"/>
      <c r="F164" s="556"/>
      <c r="G164" s="556"/>
      <c r="H164" s="556"/>
      <c r="I164" s="556"/>
      <c r="J164" s="556"/>
      <c r="K164" s="556"/>
      <c r="L164" s="556"/>
      <c r="M164" s="556"/>
      <c r="N164" s="556"/>
      <c r="O164" s="556"/>
      <c r="P164" s="556"/>
      <c r="Q164" s="556"/>
      <c r="R164" s="556"/>
      <c r="S164" s="556"/>
      <c r="T164" s="556"/>
      <c r="U164" s="556"/>
      <c r="V164" s="608" t="s">
        <v>118</v>
      </c>
      <c r="W164" s="558"/>
      <c r="X164" s="543"/>
    </row>
    <row r="165" spans="1:256" s="544" customFormat="1" x14ac:dyDescent="0.3">
      <c r="A165" s="555"/>
      <c r="B165" s="556" t="s">
        <v>50</v>
      </c>
      <c r="C165" s="556"/>
      <c r="D165" s="556"/>
      <c r="E165" s="556"/>
      <c r="F165" s="556"/>
      <c r="G165" s="556"/>
      <c r="H165" s="556"/>
      <c r="I165" s="556"/>
      <c r="J165" s="556"/>
      <c r="K165" s="556"/>
      <c r="L165" s="556"/>
      <c r="M165" s="556"/>
      <c r="N165" s="556"/>
      <c r="O165" s="556"/>
      <c r="P165" s="556"/>
      <c r="Q165" s="556"/>
      <c r="R165" s="556"/>
      <c r="S165" s="556"/>
      <c r="T165" s="556"/>
      <c r="U165" s="556"/>
      <c r="V165" s="608" t="s">
        <v>118</v>
      </c>
      <c r="W165" s="558"/>
      <c r="X165" s="543"/>
    </row>
    <row r="166" spans="1:256" x14ac:dyDescent="0.3">
      <c r="A166" s="417"/>
      <c r="B166" s="441"/>
      <c r="C166" s="441"/>
      <c r="D166" s="441"/>
      <c r="E166" s="441"/>
      <c r="F166" s="441"/>
      <c r="G166" s="441"/>
      <c r="H166" s="441"/>
      <c r="I166" s="441"/>
      <c r="J166" s="441"/>
      <c r="K166" s="441"/>
      <c r="L166" s="441"/>
      <c r="M166" s="441"/>
      <c r="N166" s="441"/>
      <c r="O166" s="441"/>
      <c r="P166" s="441"/>
      <c r="Q166" s="441"/>
      <c r="R166" s="441"/>
      <c r="S166" s="441"/>
      <c r="T166" s="441"/>
      <c r="U166" s="441"/>
      <c r="V166" s="452"/>
      <c r="W166" s="441"/>
      <c r="X166" s="415"/>
    </row>
    <row r="167" spans="1:256" x14ac:dyDescent="0.3">
      <c r="A167" s="417"/>
      <c r="B167" s="508" t="s">
        <v>51</v>
      </c>
      <c r="C167" s="419"/>
      <c r="D167" s="419"/>
      <c r="E167" s="419"/>
      <c r="F167" s="419"/>
      <c r="G167" s="419"/>
      <c r="H167" s="419"/>
      <c r="I167" s="419"/>
      <c r="J167" s="419"/>
      <c r="K167" s="419"/>
      <c r="L167" s="419"/>
      <c r="M167" s="419"/>
      <c r="N167" s="419"/>
      <c r="O167" s="419"/>
      <c r="P167" s="419"/>
      <c r="Q167" s="419"/>
      <c r="R167" s="419"/>
      <c r="S167" s="419"/>
      <c r="T167" s="419"/>
      <c r="U167" s="419"/>
      <c r="V167" s="453"/>
      <c r="W167" s="419"/>
      <c r="X167" s="415"/>
    </row>
    <row r="168" spans="1:256" s="544" customFormat="1" x14ac:dyDescent="0.3">
      <c r="A168" s="555"/>
      <c r="B168" s="556" t="s">
        <v>52</v>
      </c>
      <c r="C168" s="556"/>
      <c r="D168" s="556"/>
      <c r="E168" s="556"/>
      <c r="F168" s="556"/>
      <c r="G168" s="556"/>
      <c r="H168" s="556"/>
      <c r="I168" s="556"/>
      <c r="J168" s="556"/>
      <c r="K168" s="556"/>
      <c r="L168" s="556"/>
      <c r="M168" s="556"/>
      <c r="N168" s="556"/>
      <c r="O168" s="556"/>
      <c r="P168" s="556"/>
      <c r="Q168" s="556"/>
      <c r="R168" s="556"/>
      <c r="S168" s="556"/>
      <c r="T168" s="556"/>
      <c r="U168" s="556"/>
      <c r="V168" s="599">
        <v>0</v>
      </c>
      <c r="W168" s="558"/>
      <c r="X168" s="543"/>
    </row>
    <row r="169" spans="1:256" s="544" customFormat="1" x14ac:dyDescent="0.3">
      <c r="A169" s="555"/>
      <c r="B169" s="556" t="s">
        <v>53</v>
      </c>
      <c r="C169" s="556"/>
      <c r="D169" s="556"/>
      <c r="E169" s="556"/>
      <c r="F169" s="556"/>
      <c r="G169" s="556"/>
      <c r="H169" s="556"/>
      <c r="I169" s="556"/>
      <c r="J169" s="556"/>
      <c r="K169" s="556"/>
      <c r="L169" s="556"/>
      <c r="M169" s="556"/>
      <c r="N169" s="556"/>
      <c r="O169" s="556"/>
      <c r="P169" s="556"/>
      <c r="Q169" s="556"/>
      <c r="R169" s="556"/>
      <c r="S169" s="556"/>
      <c r="T169" s="556"/>
      <c r="U169" s="556"/>
      <c r="V169" s="599">
        <v>20</v>
      </c>
      <c r="W169" s="558"/>
      <c r="X169" s="543"/>
    </row>
    <row r="170" spans="1:256" s="544" customFormat="1" x14ac:dyDescent="0.3">
      <c r="A170" s="555"/>
      <c r="B170" s="556" t="s">
        <v>54</v>
      </c>
      <c r="C170" s="556"/>
      <c r="D170" s="556"/>
      <c r="E170" s="556"/>
      <c r="F170" s="556"/>
      <c r="G170" s="556"/>
      <c r="H170" s="556"/>
      <c r="I170" s="556"/>
      <c r="J170" s="556"/>
      <c r="K170" s="556"/>
      <c r="L170" s="556"/>
      <c r="M170" s="556"/>
      <c r="N170" s="556"/>
      <c r="O170" s="556"/>
      <c r="P170" s="556"/>
      <c r="Q170" s="556"/>
      <c r="R170" s="556"/>
      <c r="S170" s="556"/>
      <c r="T170" s="556"/>
      <c r="U170" s="556"/>
      <c r="V170" s="599">
        <f>V169+V168</f>
        <v>20</v>
      </c>
      <c r="W170" s="558"/>
      <c r="X170" s="543"/>
    </row>
    <row r="171" spans="1:256" s="544" customFormat="1" x14ac:dyDescent="0.3">
      <c r="A171" s="555"/>
      <c r="B171" s="556" t="s">
        <v>315</v>
      </c>
      <c r="C171" s="556"/>
      <c r="D171" s="556"/>
      <c r="E171" s="556"/>
      <c r="F171" s="556"/>
      <c r="G171" s="556"/>
      <c r="H171" s="556"/>
      <c r="I171" s="556"/>
      <c r="J171" s="556"/>
      <c r="K171" s="556"/>
      <c r="L171" s="556"/>
      <c r="M171" s="556"/>
      <c r="N171" s="556"/>
      <c r="O171" s="556"/>
      <c r="P171" s="556"/>
      <c r="Q171" s="556"/>
      <c r="R171" s="556"/>
      <c r="S171" s="556"/>
      <c r="T171" s="556"/>
      <c r="U171" s="556"/>
      <c r="V171" s="599">
        <f>V114</f>
        <v>-20</v>
      </c>
      <c r="W171" s="558"/>
      <c r="X171" s="543"/>
    </row>
    <row r="172" spans="1:256" s="544" customFormat="1" x14ac:dyDescent="0.3">
      <c r="A172" s="555"/>
      <c r="B172" s="556" t="s">
        <v>55</v>
      </c>
      <c r="C172" s="556"/>
      <c r="D172" s="556"/>
      <c r="E172" s="556"/>
      <c r="F172" s="556"/>
      <c r="G172" s="556"/>
      <c r="H172" s="556"/>
      <c r="I172" s="556"/>
      <c r="J172" s="556"/>
      <c r="K172" s="556"/>
      <c r="L172" s="556"/>
      <c r="M172" s="556"/>
      <c r="N172" s="556"/>
      <c r="O172" s="556"/>
      <c r="P172" s="556"/>
      <c r="Q172" s="556"/>
      <c r="R172" s="556"/>
      <c r="S172" s="556"/>
      <c r="T172" s="556"/>
      <c r="U172" s="556"/>
      <c r="V172" s="599">
        <f>V170+V171</f>
        <v>0</v>
      </c>
      <c r="W172" s="558"/>
      <c r="X172" s="543"/>
    </row>
    <row r="173" spans="1:256" s="544" customFormat="1" x14ac:dyDescent="0.3">
      <c r="A173" s="555"/>
      <c r="B173" s="556" t="s">
        <v>283</v>
      </c>
      <c r="C173" s="556"/>
      <c r="D173" s="556"/>
      <c r="E173" s="556"/>
      <c r="F173" s="556"/>
      <c r="G173" s="556"/>
      <c r="H173" s="556"/>
      <c r="I173" s="556"/>
      <c r="J173" s="556"/>
      <c r="K173" s="556"/>
      <c r="L173" s="556"/>
      <c r="M173" s="556"/>
      <c r="N173" s="556"/>
      <c r="O173" s="556"/>
      <c r="P173" s="556"/>
      <c r="Q173" s="556"/>
      <c r="R173" s="556"/>
      <c r="S173" s="556"/>
      <c r="T173" s="556"/>
      <c r="U173" s="556"/>
      <c r="V173" s="599">
        <v>0</v>
      </c>
      <c r="W173" s="558"/>
      <c r="X173" s="543"/>
    </row>
    <row r="174" spans="1:256" ht="16.2" thickBot="1" x14ac:dyDescent="0.35">
      <c r="A174" s="417"/>
      <c r="B174" s="437"/>
      <c r="C174" s="437"/>
      <c r="D174" s="437"/>
      <c r="E174" s="437"/>
      <c r="F174" s="437"/>
      <c r="G174" s="437"/>
      <c r="H174" s="437"/>
      <c r="I174" s="437"/>
      <c r="J174" s="437"/>
      <c r="K174" s="437"/>
      <c r="L174" s="437"/>
      <c r="M174" s="437"/>
      <c r="N174" s="437"/>
      <c r="O174" s="437"/>
      <c r="P174" s="437"/>
      <c r="Q174" s="437"/>
      <c r="R174" s="437"/>
      <c r="S174" s="437"/>
      <c r="T174" s="437"/>
      <c r="U174" s="437"/>
      <c r="V174" s="454"/>
      <c r="W174" s="437"/>
      <c r="X174" s="415"/>
    </row>
    <row r="175" spans="1:256" x14ac:dyDescent="0.3">
      <c r="A175" s="413"/>
      <c r="B175" s="455"/>
      <c r="C175" s="455"/>
      <c r="D175" s="455"/>
      <c r="E175" s="455"/>
      <c r="F175" s="455"/>
      <c r="G175" s="455"/>
      <c r="H175" s="455"/>
      <c r="I175" s="455"/>
      <c r="J175" s="455"/>
      <c r="K175" s="455"/>
      <c r="L175" s="455"/>
      <c r="M175" s="455"/>
      <c r="N175" s="455"/>
      <c r="O175" s="455"/>
      <c r="P175" s="455"/>
      <c r="Q175" s="455"/>
      <c r="R175" s="455"/>
      <c r="S175" s="455"/>
      <c r="T175" s="455"/>
      <c r="U175" s="455"/>
      <c r="V175" s="456"/>
      <c r="W175" s="455"/>
      <c r="X175" s="415"/>
    </row>
    <row r="176" spans="1:256" s="458" customFormat="1" x14ac:dyDescent="0.3">
      <c r="A176" s="417"/>
      <c r="B176" s="508" t="s">
        <v>269</v>
      </c>
      <c r="C176" s="441"/>
      <c r="D176" s="441"/>
      <c r="E176" s="441"/>
      <c r="F176" s="441"/>
      <c r="G176" s="441"/>
      <c r="H176" s="441"/>
      <c r="I176" s="441"/>
      <c r="J176" s="441"/>
      <c r="K176" s="441"/>
      <c r="L176" s="441"/>
      <c r="M176" s="441"/>
      <c r="N176" s="441"/>
      <c r="O176" s="441"/>
      <c r="P176" s="441"/>
      <c r="Q176" s="441"/>
      <c r="R176" s="441"/>
      <c r="S176" s="441"/>
      <c r="T176" s="441"/>
      <c r="U176" s="441"/>
      <c r="V176" s="457"/>
      <c r="W176" s="441"/>
      <c r="X176" s="415"/>
      <c r="Y176" s="416"/>
      <c r="Z176" s="416"/>
      <c r="AA176" s="416"/>
      <c r="AB176" s="416"/>
      <c r="AC176" s="416"/>
      <c r="AD176" s="416"/>
      <c r="AE176" s="416"/>
      <c r="AF176" s="416"/>
      <c r="AG176" s="416"/>
      <c r="AH176" s="416"/>
      <c r="AI176" s="416"/>
      <c r="AJ176" s="416"/>
      <c r="AK176" s="416"/>
      <c r="AL176" s="416"/>
      <c r="AM176" s="416"/>
      <c r="AN176" s="416"/>
      <c r="AO176" s="416"/>
      <c r="AP176" s="416"/>
      <c r="AQ176" s="416"/>
      <c r="AR176" s="416"/>
      <c r="AS176" s="416"/>
      <c r="AT176" s="416"/>
      <c r="AU176" s="416"/>
      <c r="AV176" s="416"/>
      <c r="AW176" s="416"/>
      <c r="AX176" s="416"/>
      <c r="AY176" s="416"/>
      <c r="AZ176" s="416"/>
      <c r="BA176" s="416"/>
      <c r="BB176" s="416"/>
      <c r="BC176" s="416"/>
      <c r="BD176" s="416"/>
      <c r="BE176" s="416"/>
      <c r="BF176" s="416"/>
      <c r="BG176" s="416"/>
      <c r="BH176" s="416"/>
      <c r="BI176" s="416"/>
      <c r="BJ176" s="416"/>
      <c r="BK176" s="416"/>
      <c r="BL176" s="416"/>
      <c r="BM176" s="416"/>
      <c r="BN176" s="416"/>
      <c r="BO176" s="416"/>
      <c r="BP176" s="416"/>
      <c r="BQ176" s="416"/>
      <c r="BR176" s="416"/>
      <c r="BS176" s="416"/>
      <c r="BT176" s="416"/>
      <c r="BU176" s="416"/>
      <c r="BV176" s="416"/>
      <c r="BW176" s="416"/>
      <c r="BX176" s="416"/>
      <c r="BY176" s="416"/>
      <c r="BZ176" s="416"/>
      <c r="CA176" s="416"/>
      <c r="CB176" s="416"/>
      <c r="CC176" s="416"/>
      <c r="CD176" s="416"/>
      <c r="CE176" s="416"/>
      <c r="CF176" s="416"/>
      <c r="CG176" s="416"/>
      <c r="CH176" s="416"/>
      <c r="CI176" s="416"/>
      <c r="CJ176" s="416"/>
      <c r="CK176" s="416"/>
      <c r="CL176" s="416"/>
      <c r="CM176" s="416"/>
      <c r="CN176" s="416"/>
      <c r="CO176" s="416"/>
      <c r="CP176" s="416"/>
      <c r="CQ176" s="416"/>
      <c r="CR176" s="416"/>
      <c r="CS176" s="416"/>
      <c r="CT176" s="416"/>
      <c r="CU176" s="416"/>
      <c r="CV176" s="416"/>
      <c r="CW176" s="416"/>
      <c r="CX176" s="416"/>
      <c r="CY176" s="416"/>
      <c r="CZ176" s="416"/>
      <c r="DA176" s="416"/>
      <c r="DB176" s="416"/>
      <c r="DC176" s="416"/>
      <c r="DD176" s="416"/>
      <c r="DE176" s="416"/>
      <c r="DF176" s="416"/>
      <c r="DG176" s="416"/>
      <c r="DH176" s="416"/>
      <c r="DI176" s="416"/>
      <c r="DJ176" s="416"/>
      <c r="DK176" s="416"/>
      <c r="DL176" s="416"/>
      <c r="DM176" s="416"/>
      <c r="DN176" s="416"/>
      <c r="DO176" s="416"/>
      <c r="DP176" s="416"/>
      <c r="DQ176" s="416"/>
      <c r="DR176" s="416"/>
      <c r="DS176" s="416"/>
      <c r="DT176" s="416"/>
      <c r="DU176" s="416"/>
      <c r="DV176" s="416"/>
      <c r="DW176" s="416"/>
      <c r="DX176" s="416"/>
      <c r="DY176" s="416"/>
      <c r="DZ176" s="416"/>
      <c r="EA176" s="416"/>
      <c r="EB176" s="416"/>
      <c r="EC176" s="416"/>
      <c r="ED176" s="416"/>
      <c r="EE176" s="416"/>
      <c r="EF176" s="416"/>
      <c r="EG176" s="416"/>
      <c r="EH176" s="416"/>
      <c r="EI176" s="416"/>
      <c r="EJ176" s="416"/>
      <c r="EK176" s="416"/>
      <c r="EL176" s="416"/>
      <c r="EM176" s="416"/>
      <c r="EN176" s="416"/>
      <c r="EO176" s="416"/>
      <c r="EP176" s="416"/>
      <c r="EQ176" s="416"/>
      <c r="ER176" s="416"/>
      <c r="ES176" s="416"/>
      <c r="ET176" s="416"/>
      <c r="EU176" s="416"/>
      <c r="EV176" s="416"/>
      <c r="EW176" s="416"/>
      <c r="EX176" s="416"/>
      <c r="EY176" s="416"/>
      <c r="EZ176" s="416"/>
      <c r="FA176" s="416"/>
      <c r="FB176" s="416"/>
      <c r="FC176" s="416"/>
      <c r="FD176" s="416"/>
      <c r="FE176" s="416"/>
      <c r="FF176" s="416"/>
      <c r="FG176" s="416"/>
      <c r="FH176" s="416"/>
      <c r="FI176" s="416"/>
      <c r="FJ176" s="416"/>
      <c r="FK176" s="416"/>
      <c r="FL176" s="416"/>
      <c r="FM176" s="416"/>
      <c r="FN176" s="416"/>
      <c r="FO176" s="416"/>
      <c r="FP176" s="416"/>
      <c r="FQ176" s="416"/>
      <c r="FR176" s="416"/>
      <c r="FS176" s="416"/>
      <c r="FT176" s="416"/>
      <c r="FU176" s="416"/>
      <c r="FV176" s="416"/>
      <c r="FW176" s="416"/>
      <c r="FX176" s="416"/>
      <c r="FY176" s="416"/>
      <c r="FZ176" s="416"/>
      <c r="GA176" s="416"/>
      <c r="GB176" s="416"/>
      <c r="GC176" s="416"/>
      <c r="GD176" s="416"/>
      <c r="GE176" s="416"/>
      <c r="GF176" s="416"/>
      <c r="GG176" s="416"/>
      <c r="GH176" s="416"/>
      <c r="GI176" s="416"/>
      <c r="GJ176" s="416"/>
      <c r="GK176" s="416"/>
      <c r="GL176" s="416"/>
      <c r="GM176" s="416"/>
      <c r="GN176" s="416"/>
      <c r="GO176" s="416"/>
      <c r="GP176" s="416"/>
      <c r="GQ176" s="416"/>
      <c r="GR176" s="416"/>
      <c r="GS176" s="416"/>
      <c r="GT176" s="416"/>
      <c r="GU176" s="416"/>
      <c r="GV176" s="416"/>
      <c r="GW176" s="416"/>
      <c r="GX176" s="416"/>
      <c r="GY176" s="416"/>
      <c r="GZ176" s="416"/>
      <c r="HA176" s="416"/>
      <c r="HB176" s="416"/>
      <c r="HC176" s="416"/>
      <c r="HD176" s="416"/>
      <c r="HE176" s="416"/>
      <c r="HF176" s="416"/>
      <c r="HG176" s="416"/>
      <c r="HH176" s="416"/>
      <c r="HI176" s="416"/>
      <c r="HJ176" s="416"/>
      <c r="HK176" s="416"/>
      <c r="HL176" s="416"/>
      <c r="HM176" s="416"/>
      <c r="HN176" s="416"/>
      <c r="HO176" s="416"/>
      <c r="HP176" s="416"/>
      <c r="HQ176" s="416"/>
      <c r="HR176" s="416"/>
      <c r="HS176" s="416"/>
      <c r="HT176" s="416"/>
      <c r="HU176" s="416"/>
      <c r="HV176" s="416"/>
      <c r="HW176" s="416"/>
      <c r="HX176" s="416"/>
      <c r="HY176" s="416"/>
      <c r="HZ176" s="416"/>
      <c r="IA176" s="416"/>
      <c r="IB176" s="416"/>
      <c r="IC176" s="416"/>
      <c r="ID176" s="416"/>
      <c r="IE176" s="416"/>
      <c r="IF176" s="416"/>
      <c r="IG176" s="416"/>
      <c r="IH176" s="416"/>
      <c r="II176" s="416"/>
      <c r="IJ176" s="416"/>
      <c r="IK176" s="416"/>
      <c r="IL176" s="416"/>
      <c r="IM176" s="416"/>
      <c r="IN176" s="416"/>
      <c r="IO176" s="416"/>
      <c r="IP176" s="416"/>
      <c r="IQ176" s="416"/>
      <c r="IR176" s="416"/>
      <c r="IS176" s="416"/>
      <c r="IT176" s="416"/>
      <c r="IU176" s="416"/>
      <c r="IV176" s="416"/>
    </row>
    <row r="177" spans="1:256" s="609" customFormat="1" x14ac:dyDescent="0.3">
      <c r="A177" s="555"/>
      <c r="B177" s="556" t="s">
        <v>270</v>
      </c>
      <c r="C177" s="556"/>
      <c r="D177" s="556"/>
      <c r="E177" s="556"/>
      <c r="F177" s="556"/>
      <c r="G177" s="556"/>
      <c r="H177" s="556"/>
      <c r="I177" s="556"/>
      <c r="J177" s="556"/>
      <c r="K177" s="556"/>
      <c r="L177" s="556"/>
      <c r="M177" s="556"/>
      <c r="N177" s="556"/>
      <c r="O177" s="556"/>
      <c r="P177" s="556"/>
      <c r="Q177" s="556"/>
      <c r="R177" s="556"/>
      <c r="S177" s="556"/>
      <c r="T177" s="556"/>
      <c r="U177" s="556"/>
      <c r="V177" s="599">
        <f>+'Aug 08'!V177</f>
        <v>0</v>
      </c>
      <c r="W177" s="558"/>
      <c r="X177" s="543"/>
      <c r="Y177" s="544"/>
      <c r="Z177" s="544"/>
      <c r="AA177" s="544"/>
      <c r="AB177" s="544"/>
      <c r="AC177" s="544"/>
      <c r="AD177" s="544"/>
      <c r="AE177" s="544"/>
      <c r="AF177" s="544"/>
      <c r="AG177" s="544"/>
      <c r="AH177" s="544"/>
      <c r="AI177" s="544"/>
      <c r="AJ177" s="544"/>
      <c r="AK177" s="544"/>
      <c r="AL177" s="544"/>
      <c r="AM177" s="544"/>
      <c r="AN177" s="544"/>
      <c r="AO177" s="544"/>
      <c r="AP177" s="544"/>
      <c r="AQ177" s="544"/>
      <c r="AR177" s="544"/>
      <c r="AS177" s="544"/>
      <c r="AT177" s="544"/>
      <c r="AU177" s="544"/>
      <c r="AV177" s="544"/>
      <c r="AW177" s="544"/>
      <c r="AX177" s="544"/>
      <c r="AY177" s="544"/>
      <c r="AZ177" s="544"/>
      <c r="BA177" s="544"/>
      <c r="BB177" s="544"/>
      <c r="BC177" s="544"/>
      <c r="BD177" s="544"/>
      <c r="BE177" s="544"/>
      <c r="BF177" s="544"/>
      <c r="BG177" s="544"/>
      <c r="BH177" s="544"/>
      <c r="BI177" s="544"/>
      <c r="BJ177" s="544"/>
      <c r="BK177" s="544"/>
      <c r="BL177" s="544"/>
      <c r="BM177" s="544"/>
      <c r="BN177" s="544"/>
      <c r="BO177" s="544"/>
      <c r="BP177" s="544"/>
      <c r="BQ177" s="544"/>
      <c r="BR177" s="544"/>
      <c r="BS177" s="544"/>
      <c r="BT177" s="544"/>
      <c r="BU177" s="544"/>
      <c r="BV177" s="544"/>
      <c r="BW177" s="544"/>
      <c r="BX177" s="544"/>
      <c r="BY177" s="544"/>
      <c r="BZ177" s="544"/>
      <c r="CA177" s="544"/>
      <c r="CB177" s="544"/>
      <c r="CC177" s="544"/>
      <c r="CD177" s="544"/>
      <c r="CE177" s="544"/>
      <c r="CF177" s="544"/>
      <c r="CG177" s="544"/>
      <c r="CH177" s="544"/>
      <c r="CI177" s="544"/>
      <c r="CJ177" s="544"/>
      <c r="CK177" s="544"/>
      <c r="CL177" s="544"/>
      <c r="CM177" s="544"/>
      <c r="CN177" s="544"/>
      <c r="CO177" s="544"/>
      <c r="CP177" s="544"/>
      <c r="CQ177" s="544"/>
      <c r="CR177" s="544"/>
      <c r="CS177" s="544"/>
      <c r="CT177" s="544"/>
      <c r="CU177" s="544"/>
      <c r="CV177" s="544"/>
      <c r="CW177" s="544"/>
      <c r="CX177" s="544"/>
      <c r="CY177" s="544"/>
      <c r="CZ177" s="544"/>
      <c r="DA177" s="544"/>
      <c r="DB177" s="544"/>
      <c r="DC177" s="544"/>
      <c r="DD177" s="544"/>
      <c r="DE177" s="544"/>
      <c r="DF177" s="544"/>
      <c r="DG177" s="544"/>
      <c r="DH177" s="544"/>
      <c r="DI177" s="544"/>
      <c r="DJ177" s="544"/>
      <c r="DK177" s="544"/>
      <c r="DL177" s="544"/>
      <c r="DM177" s="544"/>
      <c r="DN177" s="544"/>
      <c r="DO177" s="544"/>
      <c r="DP177" s="544"/>
      <c r="DQ177" s="544"/>
      <c r="DR177" s="544"/>
      <c r="DS177" s="544"/>
      <c r="DT177" s="544"/>
      <c r="DU177" s="544"/>
      <c r="DV177" s="544"/>
      <c r="DW177" s="544"/>
      <c r="DX177" s="544"/>
      <c r="DY177" s="544"/>
      <c r="DZ177" s="544"/>
      <c r="EA177" s="544"/>
      <c r="EB177" s="544"/>
      <c r="EC177" s="544"/>
      <c r="ED177" s="544"/>
      <c r="EE177" s="544"/>
      <c r="EF177" s="544"/>
      <c r="EG177" s="544"/>
      <c r="EH177" s="544"/>
      <c r="EI177" s="544"/>
      <c r="EJ177" s="544"/>
      <c r="EK177" s="544"/>
      <c r="EL177" s="544"/>
      <c r="EM177" s="544"/>
      <c r="EN177" s="544"/>
      <c r="EO177" s="544"/>
      <c r="EP177" s="544"/>
      <c r="EQ177" s="544"/>
      <c r="ER177" s="544"/>
      <c r="ES177" s="544"/>
      <c r="ET177" s="544"/>
      <c r="EU177" s="544"/>
      <c r="EV177" s="544"/>
      <c r="EW177" s="544"/>
      <c r="EX177" s="544"/>
      <c r="EY177" s="544"/>
      <c r="EZ177" s="544"/>
      <c r="FA177" s="544"/>
      <c r="FB177" s="544"/>
      <c r="FC177" s="544"/>
      <c r="FD177" s="544"/>
      <c r="FE177" s="544"/>
      <c r="FF177" s="544"/>
      <c r="FG177" s="544"/>
      <c r="FH177" s="544"/>
      <c r="FI177" s="544"/>
      <c r="FJ177" s="544"/>
      <c r="FK177" s="544"/>
      <c r="FL177" s="544"/>
      <c r="FM177" s="544"/>
      <c r="FN177" s="544"/>
      <c r="FO177" s="544"/>
      <c r="FP177" s="544"/>
      <c r="FQ177" s="544"/>
      <c r="FR177" s="544"/>
      <c r="FS177" s="544"/>
      <c r="FT177" s="544"/>
      <c r="FU177" s="544"/>
      <c r="FV177" s="544"/>
      <c r="FW177" s="544"/>
      <c r="FX177" s="544"/>
      <c r="FY177" s="544"/>
      <c r="FZ177" s="544"/>
      <c r="GA177" s="544"/>
      <c r="GB177" s="544"/>
      <c r="GC177" s="544"/>
      <c r="GD177" s="544"/>
      <c r="GE177" s="544"/>
      <c r="GF177" s="544"/>
      <c r="GG177" s="544"/>
      <c r="GH177" s="544"/>
      <c r="GI177" s="544"/>
      <c r="GJ177" s="544"/>
      <c r="GK177" s="544"/>
      <c r="GL177" s="544"/>
      <c r="GM177" s="544"/>
      <c r="GN177" s="544"/>
      <c r="GO177" s="544"/>
      <c r="GP177" s="544"/>
      <c r="GQ177" s="544"/>
      <c r="GR177" s="544"/>
      <c r="GS177" s="544"/>
      <c r="GT177" s="544"/>
      <c r="GU177" s="544"/>
      <c r="GV177" s="544"/>
      <c r="GW177" s="544"/>
      <c r="GX177" s="544"/>
      <c r="GY177" s="544"/>
      <c r="GZ177" s="544"/>
      <c r="HA177" s="544"/>
      <c r="HB177" s="544"/>
      <c r="HC177" s="544"/>
      <c r="HD177" s="544"/>
      <c r="HE177" s="544"/>
      <c r="HF177" s="544"/>
      <c r="HG177" s="544"/>
      <c r="HH177" s="544"/>
      <c r="HI177" s="544"/>
      <c r="HJ177" s="544"/>
      <c r="HK177" s="544"/>
      <c r="HL177" s="544"/>
      <c r="HM177" s="544"/>
      <c r="HN177" s="544"/>
      <c r="HO177" s="544"/>
      <c r="HP177" s="544"/>
      <c r="HQ177" s="544"/>
      <c r="HR177" s="544"/>
      <c r="HS177" s="544"/>
      <c r="HT177" s="544"/>
      <c r="HU177" s="544"/>
      <c r="HV177" s="544"/>
      <c r="HW177" s="544"/>
      <c r="HX177" s="544"/>
      <c r="HY177" s="544"/>
      <c r="HZ177" s="544"/>
      <c r="IA177" s="544"/>
      <c r="IB177" s="544"/>
      <c r="IC177" s="544"/>
      <c r="ID177" s="544"/>
      <c r="IE177" s="544"/>
      <c r="IF177" s="544"/>
      <c r="IG177" s="544"/>
      <c r="IH177" s="544"/>
      <c r="II177" s="544"/>
      <c r="IJ177" s="544"/>
      <c r="IK177" s="544"/>
      <c r="IL177" s="544"/>
      <c r="IM177" s="544"/>
      <c r="IN177" s="544"/>
      <c r="IO177" s="544"/>
      <c r="IP177" s="544"/>
      <c r="IQ177" s="544"/>
      <c r="IR177" s="544"/>
      <c r="IS177" s="544"/>
      <c r="IT177" s="544"/>
      <c r="IU177" s="544"/>
      <c r="IV177" s="544"/>
    </row>
    <row r="178" spans="1:256" s="609" customFormat="1" x14ac:dyDescent="0.3">
      <c r="A178" s="555"/>
      <c r="B178" s="556" t="s">
        <v>273</v>
      </c>
      <c r="C178" s="556"/>
      <c r="D178" s="556"/>
      <c r="E178" s="556"/>
      <c r="F178" s="556"/>
      <c r="G178" s="556"/>
      <c r="H178" s="556"/>
      <c r="I178" s="556"/>
      <c r="J178" s="556"/>
      <c r="K178" s="556"/>
      <c r="L178" s="556"/>
      <c r="M178" s="556"/>
      <c r="N178" s="556"/>
      <c r="O178" s="556"/>
      <c r="P178" s="556"/>
      <c r="Q178" s="556"/>
      <c r="R178" s="556"/>
      <c r="S178" s="556"/>
      <c r="T178" s="556"/>
      <c r="U178" s="556"/>
      <c r="V178" s="599">
        <f>+V93</f>
        <v>0</v>
      </c>
      <c r="W178" s="558"/>
      <c r="X178" s="543"/>
      <c r="Y178" s="544"/>
      <c r="Z178" s="544"/>
      <c r="AA178" s="544"/>
      <c r="AB178" s="544"/>
      <c r="AC178" s="544"/>
      <c r="AD178" s="544"/>
      <c r="AE178" s="544"/>
      <c r="AF178" s="544"/>
      <c r="AG178" s="544"/>
      <c r="AH178" s="544"/>
      <c r="AI178" s="544"/>
      <c r="AJ178" s="544"/>
      <c r="AK178" s="544"/>
      <c r="AL178" s="544"/>
      <c r="AM178" s="544"/>
      <c r="AN178" s="544"/>
      <c r="AO178" s="544"/>
      <c r="AP178" s="544"/>
      <c r="AQ178" s="544"/>
      <c r="AR178" s="544"/>
      <c r="AS178" s="544"/>
      <c r="AT178" s="544"/>
      <c r="AU178" s="544"/>
      <c r="AV178" s="544"/>
      <c r="AW178" s="544"/>
      <c r="AX178" s="544"/>
      <c r="AY178" s="544"/>
      <c r="AZ178" s="544"/>
      <c r="BA178" s="544"/>
      <c r="BB178" s="544"/>
      <c r="BC178" s="544"/>
      <c r="BD178" s="544"/>
      <c r="BE178" s="544"/>
      <c r="BF178" s="544"/>
      <c r="BG178" s="544"/>
      <c r="BH178" s="544"/>
      <c r="BI178" s="544"/>
      <c r="BJ178" s="544"/>
      <c r="BK178" s="544"/>
      <c r="BL178" s="544"/>
      <c r="BM178" s="544"/>
      <c r="BN178" s="544"/>
      <c r="BO178" s="544"/>
      <c r="BP178" s="544"/>
      <c r="BQ178" s="544"/>
      <c r="BR178" s="544"/>
      <c r="BS178" s="544"/>
      <c r="BT178" s="544"/>
      <c r="BU178" s="544"/>
      <c r="BV178" s="544"/>
      <c r="BW178" s="544"/>
      <c r="BX178" s="544"/>
      <c r="BY178" s="544"/>
      <c r="BZ178" s="544"/>
      <c r="CA178" s="544"/>
      <c r="CB178" s="544"/>
      <c r="CC178" s="544"/>
      <c r="CD178" s="544"/>
      <c r="CE178" s="544"/>
      <c r="CF178" s="544"/>
      <c r="CG178" s="544"/>
      <c r="CH178" s="544"/>
      <c r="CI178" s="544"/>
      <c r="CJ178" s="544"/>
      <c r="CK178" s="544"/>
      <c r="CL178" s="544"/>
      <c r="CM178" s="544"/>
      <c r="CN178" s="544"/>
      <c r="CO178" s="544"/>
      <c r="CP178" s="544"/>
      <c r="CQ178" s="544"/>
      <c r="CR178" s="544"/>
      <c r="CS178" s="544"/>
      <c r="CT178" s="544"/>
      <c r="CU178" s="544"/>
      <c r="CV178" s="544"/>
      <c r="CW178" s="544"/>
      <c r="CX178" s="544"/>
      <c r="CY178" s="544"/>
      <c r="CZ178" s="544"/>
      <c r="DA178" s="544"/>
      <c r="DB178" s="544"/>
      <c r="DC178" s="544"/>
      <c r="DD178" s="544"/>
      <c r="DE178" s="544"/>
      <c r="DF178" s="544"/>
      <c r="DG178" s="544"/>
      <c r="DH178" s="544"/>
      <c r="DI178" s="544"/>
      <c r="DJ178" s="544"/>
      <c r="DK178" s="544"/>
      <c r="DL178" s="544"/>
      <c r="DM178" s="544"/>
      <c r="DN178" s="544"/>
      <c r="DO178" s="544"/>
      <c r="DP178" s="544"/>
      <c r="DQ178" s="544"/>
      <c r="DR178" s="544"/>
      <c r="DS178" s="544"/>
      <c r="DT178" s="544"/>
      <c r="DU178" s="544"/>
      <c r="DV178" s="544"/>
      <c r="DW178" s="544"/>
      <c r="DX178" s="544"/>
      <c r="DY178" s="544"/>
      <c r="DZ178" s="544"/>
      <c r="EA178" s="544"/>
      <c r="EB178" s="544"/>
      <c r="EC178" s="544"/>
      <c r="ED178" s="544"/>
      <c r="EE178" s="544"/>
      <c r="EF178" s="544"/>
      <c r="EG178" s="544"/>
      <c r="EH178" s="544"/>
      <c r="EI178" s="544"/>
      <c r="EJ178" s="544"/>
      <c r="EK178" s="544"/>
      <c r="EL178" s="544"/>
      <c r="EM178" s="544"/>
      <c r="EN178" s="544"/>
      <c r="EO178" s="544"/>
      <c r="EP178" s="544"/>
      <c r="EQ178" s="544"/>
      <c r="ER178" s="544"/>
      <c r="ES178" s="544"/>
      <c r="ET178" s="544"/>
      <c r="EU178" s="544"/>
      <c r="EV178" s="544"/>
      <c r="EW178" s="544"/>
      <c r="EX178" s="544"/>
      <c r="EY178" s="544"/>
      <c r="EZ178" s="544"/>
      <c r="FA178" s="544"/>
      <c r="FB178" s="544"/>
      <c r="FC178" s="544"/>
      <c r="FD178" s="544"/>
      <c r="FE178" s="544"/>
      <c r="FF178" s="544"/>
      <c r="FG178" s="544"/>
      <c r="FH178" s="544"/>
      <c r="FI178" s="544"/>
      <c r="FJ178" s="544"/>
      <c r="FK178" s="544"/>
      <c r="FL178" s="544"/>
      <c r="FM178" s="544"/>
      <c r="FN178" s="544"/>
      <c r="FO178" s="544"/>
      <c r="FP178" s="544"/>
      <c r="FQ178" s="544"/>
      <c r="FR178" s="544"/>
      <c r="FS178" s="544"/>
      <c r="FT178" s="544"/>
      <c r="FU178" s="544"/>
      <c r="FV178" s="544"/>
      <c r="FW178" s="544"/>
      <c r="FX178" s="544"/>
      <c r="FY178" s="544"/>
      <c r="FZ178" s="544"/>
      <c r="GA178" s="544"/>
      <c r="GB178" s="544"/>
      <c r="GC178" s="544"/>
      <c r="GD178" s="544"/>
      <c r="GE178" s="544"/>
      <c r="GF178" s="544"/>
      <c r="GG178" s="544"/>
      <c r="GH178" s="544"/>
      <c r="GI178" s="544"/>
      <c r="GJ178" s="544"/>
      <c r="GK178" s="544"/>
      <c r="GL178" s="544"/>
      <c r="GM178" s="544"/>
      <c r="GN178" s="544"/>
      <c r="GO178" s="544"/>
      <c r="GP178" s="544"/>
      <c r="GQ178" s="544"/>
      <c r="GR178" s="544"/>
      <c r="GS178" s="544"/>
      <c r="GT178" s="544"/>
      <c r="GU178" s="544"/>
      <c r="GV178" s="544"/>
      <c r="GW178" s="544"/>
      <c r="GX178" s="544"/>
      <c r="GY178" s="544"/>
      <c r="GZ178" s="544"/>
      <c r="HA178" s="544"/>
      <c r="HB178" s="544"/>
      <c r="HC178" s="544"/>
      <c r="HD178" s="544"/>
      <c r="HE178" s="544"/>
      <c r="HF178" s="544"/>
      <c r="HG178" s="544"/>
      <c r="HH178" s="544"/>
      <c r="HI178" s="544"/>
      <c r="HJ178" s="544"/>
      <c r="HK178" s="544"/>
      <c r="HL178" s="544"/>
      <c r="HM178" s="544"/>
      <c r="HN178" s="544"/>
      <c r="HO178" s="544"/>
      <c r="HP178" s="544"/>
      <c r="HQ178" s="544"/>
      <c r="HR178" s="544"/>
      <c r="HS178" s="544"/>
      <c r="HT178" s="544"/>
      <c r="HU178" s="544"/>
      <c r="HV178" s="544"/>
      <c r="HW178" s="544"/>
      <c r="HX178" s="544"/>
      <c r="HY178" s="544"/>
      <c r="HZ178" s="544"/>
      <c r="IA178" s="544"/>
      <c r="IB178" s="544"/>
      <c r="IC178" s="544"/>
      <c r="ID178" s="544"/>
      <c r="IE178" s="544"/>
      <c r="IF178" s="544"/>
      <c r="IG178" s="544"/>
      <c r="IH178" s="544"/>
      <c r="II178" s="544"/>
      <c r="IJ178" s="544"/>
      <c r="IK178" s="544"/>
      <c r="IL178" s="544"/>
      <c r="IM178" s="544"/>
      <c r="IN178" s="544"/>
      <c r="IO178" s="544"/>
      <c r="IP178" s="544"/>
      <c r="IQ178" s="544"/>
      <c r="IR178" s="544"/>
      <c r="IS178" s="544"/>
      <c r="IT178" s="544"/>
      <c r="IU178" s="544"/>
      <c r="IV178" s="544"/>
    </row>
    <row r="179" spans="1:256" s="609" customFormat="1" x14ac:dyDescent="0.3">
      <c r="A179" s="555"/>
      <c r="B179" s="556" t="s">
        <v>271</v>
      </c>
      <c r="C179" s="556"/>
      <c r="D179" s="556"/>
      <c r="E179" s="556"/>
      <c r="F179" s="556"/>
      <c r="G179" s="556"/>
      <c r="H179" s="556"/>
      <c r="I179" s="556"/>
      <c r="J179" s="556"/>
      <c r="K179" s="556"/>
      <c r="L179" s="556"/>
      <c r="M179" s="556"/>
      <c r="N179" s="556"/>
      <c r="O179" s="556"/>
      <c r="P179" s="556"/>
      <c r="Q179" s="556"/>
      <c r="R179" s="556"/>
      <c r="S179" s="556"/>
      <c r="T179" s="556"/>
      <c r="U179" s="556"/>
      <c r="V179" s="599">
        <f>+V177-V178</f>
        <v>0</v>
      </c>
      <c r="W179" s="558"/>
      <c r="X179" s="543"/>
      <c r="Y179" s="544"/>
      <c r="Z179" s="544"/>
      <c r="AA179" s="544"/>
      <c r="AB179" s="544"/>
      <c r="AC179" s="544"/>
      <c r="AD179" s="544"/>
      <c r="AE179" s="544"/>
      <c r="AF179" s="544"/>
      <c r="AG179" s="544"/>
      <c r="AH179" s="544"/>
      <c r="AI179" s="544"/>
      <c r="AJ179" s="544"/>
      <c r="AK179" s="544"/>
      <c r="AL179" s="544"/>
      <c r="AM179" s="544"/>
      <c r="AN179" s="544"/>
      <c r="AO179" s="544"/>
      <c r="AP179" s="544"/>
      <c r="AQ179" s="544"/>
      <c r="AR179" s="544"/>
      <c r="AS179" s="544"/>
      <c r="AT179" s="544"/>
      <c r="AU179" s="544"/>
      <c r="AV179" s="544"/>
      <c r="AW179" s="544"/>
      <c r="AX179" s="544"/>
      <c r="AY179" s="544"/>
      <c r="AZ179" s="544"/>
      <c r="BA179" s="544"/>
      <c r="BB179" s="544"/>
      <c r="BC179" s="544"/>
      <c r="BD179" s="544"/>
      <c r="BE179" s="544"/>
      <c r="BF179" s="544"/>
      <c r="BG179" s="544"/>
      <c r="BH179" s="544"/>
      <c r="BI179" s="544"/>
      <c r="BJ179" s="544"/>
      <c r="BK179" s="544"/>
      <c r="BL179" s="544"/>
      <c r="BM179" s="544"/>
      <c r="BN179" s="544"/>
      <c r="BO179" s="544"/>
      <c r="BP179" s="544"/>
      <c r="BQ179" s="544"/>
      <c r="BR179" s="544"/>
      <c r="BS179" s="544"/>
      <c r="BT179" s="544"/>
      <c r="BU179" s="544"/>
      <c r="BV179" s="544"/>
      <c r="BW179" s="544"/>
      <c r="BX179" s="544"/>
      <c r="BY179" s="544"/>
      <c r="BZ179" s="544"/>
      <c r="CA179" s="544"/>
      <c r="CB179" s="544"/>
      <c r="CC179" s="544"/>
      <c r="CD179" s="544"/>
      <c r="CE179" s="544"/>
      <c r="CF179" s="544"/>
      <c r="CG179" s="544"/>
      <c r="CH179" s="544"/>
      <c r="CI179" s="544"/>
      <c r="CJ179" s="544"/>
      <c r="CK179" s="544"/>
      <c r="CL179" s="544"/>
      <c r="CM179" s="544"/>
      <c r="CN179" s="544"/>
      <c r="CO179" s="544"/>
      <c r="CP179" s="544"/>
      <c r="CQ179" s="544"/>
      <c r="CR179" s="544"/>
      <c r="CS179" s="544"/>
      <c r="CT179" s="544"/>
      <c r="CU179" s="544"/>
      <c r="CV179" s="544"/>
      <c r="CW179" s="544"/>
      <c r="CX179" s="544"/>
      <c r="CY179" s="544"/>
      <c r="CZ179" s="544"/>
      <c r="DA179" s="544"/>
      <c r="DB179" s="544"/>
      <c r="DC179" s="544"/>
      <c r="DD179" s="544"/>
      <c r="DE179" s="544"/>
      <c r="DF179" s="544"/>
      <c r="DG179" s="544"/>
      <c r="DH179" s="544"/>
      <c r="DI179" s="544"/>
      <c r="DJ179" s="544"/>
      <c r="DK179" s="544"/>
      <c r="DL179" s="544"/>
      <c r="DM179" s="544"/>
      <c r="DN179" s="544"/>
      <c r="DO179" s="544"/>
      <c r="DP179" s="544"/>
      <c r="DQ179" s="544"/>
      <c r="DR179" s="544"/>
      <c r="DS179" s="544"/>
      <c r="DT179" s="544"/>
      <c r="DU179" s="544"/>
      <c r="DV179" s="544"/>
      <c r="DW179" s="544"/>
      <c r="DX179" s="544"/>
      <c r="DY179" s="544"/>
      <c r="DZ179" s="544"/>
      <c r="EA179" s="544"/>
      <c r="EB179" s="544"/>
      <c r="EC179" s="544"/>
      <c r="ED179" s="544"/>
      <c r="EE179" s="544"/>
      <c r="EF179" s="544"/>
      <c r="EG179" s="544"/>
      <c r="EH179" s="544"/>
      <c r="EI179" s="544"/>
      <c r="EJ179" s="544"/>
      <c r="EK179" s="544"/>
      <c r="EL179" s="544"/>
      <c r="EM179" s="544"/>
      <c r="EN179" s="544"/>
      <c r="EO179" s="544"/>
      <c r="EP179" s="544"/>
      <c r="EQ179" s="544"/>
      <c r="ER179" s="544"/>
      <c r="ES179" s="544"/>
      <c r="ET179" s="544"/>
      <c r="EU179" s="544"/>
      <c r="EV179" s="544"/>
      <c r="EW179" s="544"/>
      <c r="EX179" s="544"/>
      <c r="EY179" s="544"/>
      <c r="EZ179" s="544"/>
      <c r="FA179" s="544"/>
      <c r="FB179" s="544"/>
      <c r="FC179" s="544"/>
      <c r="FD179" s="544"/>
      <c r="FE179" s="544"/>
      <c r="FF179" s="544"/>
      <c r="FG179" s="544"/>
      <c r="FH179" s="544"/>
      <c r="FI179" s="544"/>
      <c r="FJ179" s="544"/>
      <c r="FK179" s="544"/>
      <c r="FL179" s="544"/>
      <c r="FM179" s="544"/>
      <c r="FN179" s="544"/>
      <c r="FO179" s="544"/>
      <c r="FP179" s="544"/>
      <c r="FQ179" s="544"/>
      <c r="FR179" s="544"/>
      <c r="FS179" s="544"/>
      <c r="FT179" s="544"/>
      <c r="FU179" s="544"/>
      <c r="FV179" s="544"/>
      <c r="FW179" s="544"/>
      <c r="FX179" s="544"/>
      <c r="FY179" s="544"/>
      <c r="FZ179" s="544"/>
      <c r="GA179" s="544"/>
      <c r="GB179" s="544"/>
      <c r="GC179" s="544"/>
      <c r="GD179" s="544"/>
      <c r="GE179" s="544"/>
      <c r="GF179" s="544"/>
      <c r="GG179" s="544"/>
      <c r="GH179" s="544"/>
      <c r="GI179" s="544"/>
      <c r="GJ179" s="544"/>
      <c r="GK179" s="544"/>
      <c r="GL179" s="544"/>
      <c r="GM179" s="544"/>
      <c r="GN179" s="544"/>
      <c r="GO179" s="544"/>
      <c r="GP179" s="544"/>
      <c r="GQ179" s="544"/>
      <c r="GR179" s="544"/>
      <c r="GS179" s="544"/>
      <c r="GT179" s="544"/>
      <c r="GU179" s="544"/>
      <c r="GV179" s="544"/>
      <c r="GW179" s="544"/>
      <c r="GX179" s="544"/>
      <c r="GY179" s="544"/>
      <c r="GZ179" s="544"/>
      <c r="HA179" s="544"/>
      <c r="HB179" s="544"/>
      <c r="HC179" s="544"/>
      <c r="HD179" s="544"/>
      <c r="HE179" s="544"/>
      <c r="HF179" s="544"/>
      <c r="HG179" s="544"/>
      <c r="HH179" s="544"/>
      <c r="HI179" s="544"/>
      <c r="HJ179" s="544"/>
      <c r="HK179" s="544"/>
      <c r="HL179" s="544"/>
      <c r="HM179" s="544"/>
      <c r="HN179" s="544"/>
      <c r="HO179" s="544"/>
      <c r="HP179" s="544"/>
      <c r="HQ179" s="544"/>
      <c r="HR179" s="544"/>
      <c r="HS179" s="544"/>
      <c r="HT179" s="544"/>
      <c r="HU179" s="544"/>
      <c r="HV179" s="544"/>
      <c r="HW179" s="544"/>
      <c r="HX179" s="544"/>
      <c r="HY179" s="544"/>
      <c r="HZ179" s="544"/>
      <c r="IA179" s="544"/>
      <c r="IB179" s="544"/>
      <c r="IC179" s="544"/>
      <c r="ID179" s="544"/>
      <c r="IE179" s="544"/>
      <c r="IF179" s="544"/>
      <c r="IG179" s="544"/>
      <c r="IH179" s="544"/>
      <c r="II179" s="544"/>
      <c r="IJ179" s="544"/>
      <c r="IK179" s="544"/>
      <c r="IL179" s="544"/>
      <c r="IM179" s="544"/>
      <c r="IN179" s="544"/>
      <c r="IO179" s="544"/>
      <c r="IP179" s="544"/>
      <c r="IQ179" s="544"/>
      <c r="IR179" s="544"/>
      <c r="IS179" s="544"/>
      <c r="IT179" s="544"/>
      <c r="IU179" s="544"/>
      <c r="IV179" s="544"/>
    </row>
    <row r="180" spans="1:256" s="459" customFormat="1" ht="16.2" thickBot="1" x14ac:dyDescent="0.35">
      <c r="A180" s="438"/>
      <c r="B180" s="441"/>
      <c r="C180" s="441"/>
      <c r="D180" s="441"/>
      <c r="E180" s="441"/>
      <c r="F180" s="441"/>
      <c r="G180" s="441"/>
      <c r="H180" s="441"/>
      <c r="I180" s="441"/>
      <c r="J180" s="441"/>
      <c r="K180" s="441"/>
      <c r="L180" s="441"/>
      <c r="M180" s="441"/>
      <c r="N180" s="441"/>
      <c r="O180" s="441"/>
      <c r="P180" s="441"/>
      <c r="Q180" s="441"/>
      <c r="R180" s="441"/>
      <c r="S180" s="441"/>
      <c r="T180" s="441"/>
      <c r="U180" s="441"/>
      <c r="V180" s="452"/>
      <c r="W180" s="441"/>
      <c r="X180" s="415"/>
      <c r="Y180" s="416"/>
      <c r="Z180" s="416"/>
      <c r="AA180" s="416"/>
      <c r="AB180" s="416"/>
      <c r="AC180" s="416"/>
      <c r="AD180" s="416"/>
      <c r="AE180" s="416"/>
      <c r="AF180" s="416"/>
      <c r="AG180" s="416"/>
      <c r="AH180" s="416"/>
      <c r="AI180" s="416"/>
      <c r="AJ180" s="416"/>
      <c r="AK180" s="416"/>
      <c r="AL180" s="416"/>
      <c r="AM180" s="416"/>
      <c r="AN180" s="416"/>
      <c r="AO180" s="416"/>
      <c r="AP180" s="416"/>
      <c r="AQ180" s="416"/>
      <c r="AR180" s="416"/>
      <c r="AS180" s="416"/>
      <c r="AT180" s="416"/>
      <c r="AU180" s="416"/>
      <c r="AV180" s="416"/>
      <c r="AW180" s="416"/>
      <c r="AX180" s="416"/>
      <c r="AY180" s="416"/>
      <c r="AZ180" s="416"/>
      <c r="BA180" s="416"/>
      <c r="BB180" s="416"/>
      <c r="BC180" s="416"/>
      <c r="BD180" s="416"/>
      <c r="BE180" s="416"/>
      <c r="BF180" s="416"/>
      <c r="BG180" s="416"/>
      <c r="BH180" s="416"/>
      <c r="BI180" s="416"/>
      <c r="BJ180" s="416"/>
      <c r="BK180" s="416"/>
      <c r="BL180" s="416"/>
      <c r="BM180" s="416"/>
      <c r="BN180" s="416"/>
      <c r="BO180" s="416"/>
      <c r="BP180" s="416"/>
      <c r="BQ180" s="416"/>
      <c r="BR180" s="416"/>
      <c r="BS180" s="416"/>
      <c r="BT180" s="416"/>
      <c r="BU180" s="416"/>
      <c r="BV180" s="416"/>
      <c r="BW180" s="416"/>
      <c r="BX180" s="416"/>
      <c r="BY180" s="416"/>
      <c r="BZ180" s="416"/>
      <c r="CA180" s="416"/>
      <c r="CB180" s="416"/>
      <c r="CC180" s="416"/>
      <c r="CD180" s="416"/>
      <c r="CE180" s="416"/>
      <c r="CF180" s="416"/>
      <c r="CG180" s="416"/>
      <c r="CH180" s="416"/>
      <c r="CI180" s="416"/>
      <c r="CJ180" s="416"/>
      <c r="CK180" s="416"/>
      <c r="CL180" s="416"/>
      <c r="CM180" s="416"/>
      <c r="CN180" s="416"/>
      <c r="CO180" s="416"/>
      <c r="CP180" s="416"/>
      <c r="CQ180" s="416"/>
      <c r="CR180" s="416"/>
      <c r="CS180" s="416"/>
      <c r="CT180" s="416"/>
      <c r="CU180" s="416"/>
      <c r="CV180" s="416"/>
      <c r="CW180" s="416"/>
      <c r="CX180" s="416"/>
      <c r="CY180" s="416"/>
      <c r="CZ180" s="416"/>
      <c r="DA180" s="416"/>
      <c r="DB180" s="416"/>
      <c r="DC180" s="416"/>
      <c r="DD180" s="416"/>
      <c r="DE180" s="416"/>
      <c r="DF180" s="416"/>
      <c r="DG180" s="416"/>
      <c r="DH180" s="416"/>
      <c r="DI180" s="416"/>
      <c r="DJ180" s="416"/>
      <c r="DK180" s="416"/>
      <c r="DL180" s="416"/>
      <c r="DM180" s="416"/>
      <c r="DN180" s="416"/>
      <c r="DO180" s="416"/>
      <c r="DP180" s="416"/>
      <c r="DQ180" s="416"/>
      <c r="DR180" s="416"/>
      <c r="DS180" s="416"/>
      <c r="DT180" s="416"/>
      <c r="DU180" s="416"/>
      <c r="DV180" s="416"/>
      <c r="DW180" s="416"/>
      <c r="DX180" s="416"/>
      <c r="DY180" s="416"/>
      <c r="DZ180" s="416"/>
      <c r="EA180" s="416"/>
      <c r="EB180" s="416"/>
      <c r="EC180" s="416"/>
      <c r="ED180" s="416"/>
      <c r="EE180" s="416"/>
      <c r="EF180" s="416"/>
      <c r="EG180" s="416"/>
      <c r="EH180" s="416"/>
      <c r="EI180" s="416"/>
      <c r="EJ180" s="416"/>
      <c r="EK180" s="416"/>
      <c r="EL180" s="416"/>
      <c r="EM180" s="416"/>
      <c r="EN180" s="416"/>
      <c r="EO180" s="416"/>
      <c r="EP180" s="416"/>
      <c r="EQ180" s="416"/>
      <c r="ER180" s="416"/>
      <c r="ES180" s="416"/>
      <c r="ET180" s="416"/>
      <c r="EU180" s="416"/>
      <c r="EV180" s="416"/>
      <c r="EW180" s="416"/>
      <c r="EX180" s="416"/>
      <c r="EY180" s="416"/>
      <c r="EZ180" s="416"/>
      <c r="FA180" s="416"/>
      <c r="FB180" s="416"/>
      <c r="FC180" s="416"/>
      <c r="FD180" s="416"/>
      <c r="FE180" s="416"/>
      <c r="FF180" s="416"/>
      <c r="FG180" s="416"/>
      <c r="FH180" s="416"/>
      <c r="FI180" s="416"/>
      <c r="FJ180" s="416"/>
      <c r="FK180" s="416"/>
      <c r="FL180" s="416"/>
      <c r="FM180" s="416"/>
      <c r="FN180" s="416"/>
      <c r="FO180" s="416"/>
      <c r="FP180" s="416"/>
      <c r="FQ180" s="416"/>
      <c r="FR180" s="416"/>
      <c r="FS180" s="416"/>
      <c r="FT180" s="416"/>
      <c r="FU180" s="416"/>
      <c r="FV180" s="416"/>
      <c r="FW180" s="416"/>
      <c r="FX180" s="416"/>
      <c r="FY180" s="416"/>
      <c r="FZ180" s="416"/>
      <c r="GA180" s="416"/>
      <c r="GB180" s="416"/>
      <c r="GC180" s="416"/>
      <c r="GD180" s="416"/>
      <c r="GE180" s="416"/>
      <c r="GF180" s="416"/>
      <c r="GG180" s="416"/>
      <c r="GH180" s="416"/>
      <c r="GI180" s="416"/>
      <c r="GJ180" s="416"/>
      <c r="GK180" s="416"/>
      <c r="GL180" s="416"/>
      <c r="GM180" s="416"/>
      <c r="GN180" s="416"/>
      <c r="GO180" s="416"/>
      <c r="GP180" s="416"/>
      <c r="GQ180" s="416"/>
      <c r="GR180" s="416"/>
      <c r="GS180" s="416"/>
      <c r="GT180" s="416"/>
      <c r="GU180" s="416"/>
      <c r="GV180" s="416"/>
      <c r="GW180" s="416"/>
      <c r="GX180" s="416"/>
      <c r="GY180" s="416"/>
      <c r="GZ180" s="416"/>
      <c r="HA180" s="416"/>
      <c r="HB180" s="416"/>
      <c r="HC180" s="416"/>
      <c r="HD180" s="416"/>
      <c r="HE180" s="416"/>
      <c r="HF180" s="416"/>
      <c r="HG180" s="416"/>
      <c r="HH180" s="416"/>
      <c r="HI180" s="416"/>
      <c r="HJ180" s="416"/>
      <c r="HK180" s="416"/>
      <c r="HL180" s="416"/>
      <c r="HM180" s="416"/>
      <c r="HN180" s="416"/>
      <c r="HO180" s="416"/>
      <c r="HP180" s="416"/>
      <c r="HQ180" s="416"/>
      <c r="HR180" s="416"/>
      <c r="HS180" s="416"/>
      <c r="HT180" s="416"/>
      <c r="HU180" s="416"/>
      <c r="HV180" s="416"/>
      <c r="HW180" s="416"/>
      <c r="HX180" s="416"/>
      <c r="HY180" s="416"/>
      <c r="HZ180" s="416"/>
      <c r="IA180" s="416"/>
      <c r="IB180" s="416"/>
      <c r="IC180" s="416"/>
      <c r="ID180" s="416"/>
      <c r="IE180" s="416"/>
      <c r="IF180" s="416"/>
      <c r="IG180" s="416"/>
      <c r="IH180" s="416"/>
      <c r="II180" s="416"/>
      <c r="IJ180" s="416"/>
      <c r="IK180" s="416"/>
      <c r="IL180" s="416"/>
      <c r="IM180" s="416"/>
      <c r="IN180" s="416"/>
      <c r="IO180" s="416"/>
      <c r="IP180" s="416"/>
      <c r="IQ180" s="416"/>
      <c r="IR180" s="416"/>
      <c r="IS180" s="416"/>
      <c r="IT180" s="416"/>
      <c r="IU180" s="416"/>
      <c r="IV180" s="416"/>
    </row>
    <row r="181" spans="1:256" s="461" customFormat="1" x14ac:dyDescent="0.3">
      <c r="A181" s="413"/>
      <c r="B181" s="414"/>
      <c r="C181" s="414"/>
      <c r="D181" s="414"/>
      <c r="E181" s="414"/>
      <c r="F181" s="414"/>
      <c r="G181" s="414"/>
      <c r="H181" s="414"/>
      <c r="I181" s="414"/>
      <c r="J181" s="414"/>
      <c r="K181" s="414"/>
      <c r="L181" s="414"/>
      <c r="M181" s="414"/>
      <c r="N181" s="414"/>
      <c r="O181" s="414"/>
      <c r="P181" s="414"/>
      <c r="Q181" s="414"/>
      <c r="R181" s="414"/>
      <c r="S181" s="414"/>
      <c r="T181" s="414"/>
      <c r="U181" s="414"/>
      <c r="V181" s="460"/>
      <c r="W181" s="414"/>
      <c r="X181" s="415"/>
      <c r="Y181" s="416"/>
      <c r="Z181" s="416"/>
      <c r="AA181" s="416"/>
      <c r="AB181" s="416"/>
      <c r="AC181" s="416"/>
      <c r="AD181" s="416"/>
      <c r="AE181" s="416"/>
      <c r="AF181" s="416"/>
      <c r="AG181" s="416"/>
      <c r="AH181" s="416"/>
      <c r="AI181" s="416"/>
      <c r="AJ181" s="416"/>
      <c r="AK181" s="416"/>
      <c r="AL181" s="416"/>
      <c r="AM181" s="416"/>
      <c r="AN181" s="416"/>
      <c r="AO181" s="416"/>
      <c r="AP181" s="416"/>
      <c r="AQ181" s="416"/>
      <c r="AR181" s="416"/>
      <c r="AS181" s="416"/>
      <c r="AT181" s="416"/>
      <c r="AU181" s="416"/>
      <c r="AV181" s="416"/>
      <c r="AW181" s="416"/>
      <c r="AX181" s="416"/>
      <c r="AY181" s="416"/>
      <c r="AZ181" s="416"/>
      <c r="BA181" s="416"/>
      <c r="BB181" s="416"/>
      <c r="BC181" s="416"/>
      <c r="BD181" s="416"/>
      <c r="BE181" s="416"/>
      <c r="BF181" s="416"/>
      <c r="BG181" s="416"/>
      <c r="BH181" s="416"/>
      <c r="BI181" s="416"/>
      <c r="BJ181" s="416"/>
      <c r="BK181" s="416"/>
      <c r="BL181" s="416"/>
      <c r="BM181" s="416"/>
      <c r="BN181" s="416"/>
      <c r="BO181" s="416"/>
      <c r="BP181" s="416"/>
      <c r="BQ181" s="416"/>
      <c r="BR181" s="416"/>
      <c r="BS181" s="416"/>
      <c r="BT181" s="416"/>
      <c r="BU181" s="416"/>
      <c r="BV181" s="416"/>
      <c r="BW181" s="416"/>
      <c r="BX181" s="416"/>
      <c r="BY181" s="416"/>
      <c r="BZ181" s="416"/>
      <c r="CA181" s="416"/>
      <c r="CB181" s="416"/>
      <c r="CC181" s="416"/>
      <c r="CD181" s="416"/>
      <c r="CE181" s="416"/>
      <c r="CF181" s="416"/>
      <c r="CG181" s="416"/>
      <c r="CH181" s="416"/>
      <c r="CI181" s="416"/>
      <c r="CJ181" s="416"/>
      <c r="CK181" s="416"/>
      <c r="CL181" s="416"/>
      <c r="CM181" s="416"/>
      <c r="CN181" s="416"/>
      <c r="CO181" s="416"/>
      <c r="CP181" s="416"/>
      <c r="CQ181" s="416"/>
      <c r="CR181" s="416"/>
      <c r="CS181" s="416"/>
      <c r="CT181" s="416"/>
      <c r="CU181" s="416"/>
      <c r="CV181" s="416"/>
      <c r="CW181" s="416"/>
      <c r="CX181" s="416"/>
      <c r="CY181" s="416"/>
      <c r="CZ181" s="416"/>
      <c r="DA181" s="416"/>
      <c r="DB181" s="416"/>
      <c r="DC181" s="416"/>
      <c r="DD181" s="416"/>
      <c r="DE181" s="416"/>
      <c r="DF181" s="416"/>
      <c r="DG181" s="416"/>
      <c r="DH181" s="416"/>
      <c r="DI181" s="416"/>
      <c r="DJ181" s="416"/>
      <c r="DK181" s="416"/>
      <c r="DL181" s="416"/>
      <c r="DM181" s="416"/>
      <c r="DN181" s="416"/>
      <c r="DO181" s="416"/>
      <c r="DP181" s="416"/>
      <c r="DQ181" s="416"/>
      <c r="DR181" s="416"/>
      <c r="DS181" s="416"/>
      <c r="DT181" s="416"/>
      <c r="DU181" s="416"/>
      <c r="DV181" s="416"/>
      <c r="DW181" s="416"/>
      <c r="DX181" s="416"/>
      <c r="DY181" s="416"/>
      <c r="DZ181" s="416"/>
      <c r="EA181" s="416"/>
      <c r="EB181" s="416"/>
      <c r="EC181" s="416"/>
      <c r="ED181" s="416"/>
      <c r="EE181" s="416"/>
      <c r="EF181" s="416"/>
      <c r="EG181" s="416"/>
      <c r="EH181" s="416"/>
      <c r="EI181" s="416"/>
      <c r="EJ181" s="416"/>
      <c r="EK181" s="416"/>
      <c r="EL181" s="416"/>
      <c r="EM181" s="416"/>
      <c r="EN181" s="416"/>
      <c r="EO181" s="416"/>
      <c r="EP181" s="416"/>
      <c r="EQ181" s="416"/>
      <c r="ER181" s="416"/>
      <c r="ES181" s="416"/>
      <c r="ET181" s="416"/>
      <c r="EU181" s="416"/>
      <c r="EV181" s="416"/>
      <c r="EW181" s="416"/>
      <c r="EX181" s="416"/>
      <c r="EY181" s="416"/>
      <c r="EZ181" s="416"/>
      <c r="FA181" s="416"/>
      <c r="FB181" s="416"/>
      <c r="FC181" s="416"/>
      <c r="FD181" s="416"/>
      <c r="FE181" s="416"/>
      <c r="FF181" s="416"/>
      <c r="FG181" s="416"/>
      <c r="FH181" s="416"/>
      <c r="FI181" s="416"/>
      <c r="FJ181" s="416"/>
      <c r="FK181" s="416"/>
      <c r="FL181" s="416"/>
      <c r="FM181" s="416"/>
      <c r="FN181" s="416"/>
      <c r="FO181" s="416"/>
      <c r="FP181" s="416"/>
      <c r="FQ181" s="416"/>
      <c r="FR181" s="416"/>
      <c r="FS181" s="416"/>
      <c r="FT181" s="416"/>
      <c r="FU181" s="416"/>
      <c r="FV181" s="416"/>
      <c r="FW181" s="416"/>
      <c r="FX181" s="416"/>
      <c r="FY181" s="416"/>
      <c r="FZ181" s="416"/>
      <c r="GA181" s="416"/>
      <c r="GB181" s="416"/>
      <c r="GC181" s="416"/>
      <c r="GD181" s="416"/>
      <c r="GE181" s="416"/>
      <c r="GF181" s="416"/>
      <c r="GG181" s="416"/>
      <c r="GH181" s="416"/>
      <c r="GI181" s="416"/>
      <c r="GJ181" s="416"/>
      <c r="GK181" s="416"/>
      <c r="GL181" s="416"/>
      <c r="GM181" s="416"/>
      <c r="GN181" s="416"/>
      <c r="GO181" s="416"/>
      <c r="GP181" s="416"/>
      <c r="GQ181" s="416"/>
      <c r="GR181" s="416"/>
      <c r="GS181" s="416"/>
      <c r="GT181" s="416"/>
      <c r="GU181" s="416"/>
      <c r="GV181" s="416"/>
      <c r="GW181" s="416"/>
      <c r="GX181" s="416"/>
      <c r="GY181" s="416"/>
      <c r="GZ181" s="416"/>
      <c r="HA181" s="416"/>
      <c r="HB181" s="416"/>
      <c r="HC181" s="416"/>
      <c r="HD181" s="416"/>
      <c r="HE181" s="416"/>
      <c r="HF181" s="416"/>
      <c r="HG181" s="416"/>
      <c r="HH181" s="416"/>
      <c r="HI181" s="416"/>
      <c r="HJ181" s="416"/>
      <c r="HK181" s="416"/>
      <c r="HL181" s="416"/>
      <c r="HM181" s="416"/>
      <c r="HN181" s="416"/>
      <c r="HO181" s="416"/>
      <c r="HP181" s="416"/>
      <c r="HQ181" s="416"/>
      <c r="HR181" s="416"/>
      <c r="HS181" s="416"/>
      <c r="HT181" s="416"/>
      <c r="HU181" s="416"/>
      <c r="HV181" s="416"/>
      <c r="HW181" s="416"/>
      <c r="HX181" s="416"/>
      <c r="HY181" s="416"/>
      <c r="HZ181" s="416"/>
      <c r="IA181" s="416"/>
      <c r="IB181" s="416"/>
      <c r="IC181" s="416"/>
      <c r="ID181" s="416"/>
      <c r="IE181" s="416"/>
      <c r="IF181" s="416"/>
      <c r="IG181" s="416"/>
      <c r="IH181" s="416"/>
      <c r="II181" s="416"/>
      <c r="IJ181" s="416"/>
      <c r="IK181" s="416"/>
      <c r="IL181" s="416"/>
      <c r="IM181" s="416"/>
      <c r="IN181" s="416"/>
      <c r="IO181" s="416"/>
      <c r="IP181" s="416"/>
      <c r="IQ181" s="416"/>
      <c r="IR181" s="416"/>
      <c r="IS181" s="416"/>
      <c r="IT181" s="416"/>
      <c r="IU181" s="416"/>
      <c r="IV181" s="416"/>
    </row>
    <row r="182" spans="1:256" x14ac:dyDescent="0.3">
      <c r="A182" s="417"/>
      <c r="B182" s="508" t="s">
        <v>56</v>
      </c>
      <c r="C182" s="419"/>
      <c r="D182" s="419"/>
      <c r="E182" s="419"/>
      <c r="F182" s="419"/>
      <c r="G182" s="419"/>
      <c r="H182" s="419"/>
      <c r="I182" s="419"/>
      <c r="J182" s="419"/>
      <c r="K182" s="419"/>
      <c r="L182" s="419"/>
      <c r="M182" s="419"/>
      <c r="N182" s="419"/>
      <c r="O182" s="419"/>
      <c r="P182" s="419"/>
      <c r="Q182" s="419"/>
      <c r="R182" s="419"/>
      <c r="S182" s="419"/>
      <c r="T182" s="419"/>
      <c r="U182" s="419"/>
      <c r="V182" s="439"/>
      <c r="W182" s="419"/>
      <c r="X182" s="415"/>
    </row>
    <row r="183" spans="1:256" x14ac:dyDescent="0.3">
      <c r="A183" s="417"/>
      <c r="B183" s="451"/>
      <c r="C183" s="419"/>
      <c r="D183" s="419"/>
      <c r="E183" s="419"/>
      <c r="F183" s="419"/>
      <c r="G183" s="419"/>
      <c r="H183" s="419"/>
      <c r="I183" s="419"/>
      <c r="J183" s="419"/>
      <c r="K183" s="419"/>
      <c r="L183" s="419"/>
      <c r="M183" s="419"/>
      <c r="N183" s="419"/>
      <c r="O183" s="419"/>
      <c r="P183" s="419"/>
      <c r="Q183" s="419"/>
      <c r="R183" s="419"/>
      <c r="S183" s="419"/>
      <c r="T183" s="419"/>
      <c r="U183" s="419"/>
      <c r="V183" s="439"/>
      <c r="W183" s="419"/>
      <c r="X183" s="415"/>
    </row>
    <row r="184" spans="1:256" s="544" customFormat="1" x14ac:dyDescent="0.3">
      <c r="A184" s="555"/>
      <c r="B184" s="556" t="s">
        <v>57</v>
      </c>
      <c r="C184" s="556"/>
      <c r="D184" s="556"/>
      <c r="E184" s="556"/>
      <c r="F184" s="556"/>
      <c r="G184" s="556"/>
      <c r="H184" s="556"/>
      <c r="I184" s="556"/>
      <c r="J184" s="556"/>
      <c r="K184" s="556"/>
      <c r="L184" s="556"/>
      <c r="M184" s="556"/>
      <c r="N184" s="556"/>
      <c r="O184" s="556"/>
      <c r="P184" s="556"/>
      <c r="Q184" s="556"/>
      <c r="R184" s="556"/>
      <c r="S184" s="556"/>
      <c r="T184" s="556"/>
      <c r="U184" s="556"/>
      <c r="V184" s="599">
        <f>V70</f>
        <v>705566</v>
      </c>
      <c r="W184" s="558"/>
      <c r="X184" s="543"/>
    </row>
    <row r="185" spans="1:256" s="544" customFormat="1" x14ac:dyDescent="0.3">
      <c r="A185" s="555"/>
      <c r="B185" s="556" t="s">
        <v>58</v>
      </c>
      <c r="C185" s="556"/>
      <c r="D185" s="556"/>
      <c r="E185" s="556"/>
      <c r="F185" s="556"/>
      <c r="G185" s="556"/>
      <c r="H185" s="556"/>
      <c r="I185" s="556"/>
      <c r="J185" s="556"/>
      <c r="K185" s="556"/>
      <c r="L185" s="556"/>
      <c r="M185" s="556"/>
      <c r="N185" s="556"/>
      <c r="O185" s="556"/>
      <c r="P185" s="556"/>
      <c r="Q185" s="556"/>
      <c r="R185" s="556"/>
      <c r="S185" s="556"/>
      <c r="T185" s="556"/>
      <c r="U185" s="556"/>
      <c r="V185" s="599">
        <f>V83</f>
        <v>705566</v>
      </c>
      <c r="W185" s="558"/>
      <c r="X185" s="543"/>
    </row>
    <row r="186" spans="1:256" ht="16.2" thickBot="1" x14ac:dyDescent="0.35">
      <c r="A186" s="417"/>
      <c r="B186" s="441"/>
      <c r="C186" s="441"/>
      <c r="D186" s="441"/>
      <c r="E186" s="441"/>
      <c r="F186" s="441"/>
      <c r="G186" s="441"/>
      <c r="H186" s="441"/>
      <c r="I186" s="441"/>
      <c r="J186" s="441"/>
      <c r="K186" s="441"/>
      <c r="L186" s="441"/>
      <c r="M186" s="441"/>
      <c r="N186" s="441"/>
      <c r="O186" s="441"/>
      <c r="P186" s="441"/>
      <c r="Q186" s="441"/>
      <c r="R186" s="441"/>
      <c r="S186" s="441"/>
      <c r="T186" s="441"/>
      <c r="U186" s="441"/>
      <c r="V186" s="452"/>
      <c r="W186" s="441"/>
      <c r="X186" s="415"/>
    </row>
    <row r="187" spans="1:256" x14ac:dyDescent="0.3">
      <c r="A187" s="413"/>
      <c r="B187" s="414"/>
      <c r="C187" s="414"/>
      <c r="D187" s="414"/>
      <c r="E187" s="414"/>
      <c r="F187" s="414"/>
      <c r="G187" s="414"/>
      <c r="H187" s="414"/>
      <c r="I187" s="414"/>
      <c r="J187" s="414"/>
      <c r="K187" s="414"/>
      <c r="L187" s="414"/>
      <c r="M187" s="414"/>
      <c r="N187" s="414"/>
      <c r="O187" s="414"/>
      <c r="P187" s="414"/>
      <c r="Q187" s="414"/>
      <c r="R187" s="414"/>
      <c r="S187" s="414"/>
      <c r="T187" s="414"/>
      <c r="U187" s="414"/>
      <c r="V187" s="460"/>
      <c r="W187" s="414"/>
      <c r="X187" s="415"/>
    </row>
    <row r="188" spans="1:256" s="499" customFormat="1" x14ac:dyDescent="0.3">
      <c r="A188" s="502"/>
      <c r="B188" s="508" t="s">
        <v>59</v>
      </c>
      <c r="C188" s="506"/>
      <c r="D188" s="506"/>
      <c r="E188" s="506"/>
      <c r="F188" s="506"/>
      <c r="G188" s="506"/>
      <c r="H188" s="509"/>
      <c r="I188" s="509"/>
      <c r="J188" s="509"/>
      <c r="K188" s="509"/>
      <c r="L188" s="509"/>
      <c r="M188" s="509"/>
      <c r="N188" s="509"/>
      <c r="O188" s="509"/>
      <c r="P188" s="509"/>
      <c r="Q188" s="509"/>
      <c r="R188" s="509"/>
      <c r="S188" s="509" t="s">
        <v>101</v>
      </c>
      <c r="T188" s="509" t="s">
        <v>176</v>
      </c>
      <c r="U188" s="421"/>
      <c r="V188" s="510" t="s">
        <v>114</v>
      </c>
      <c r="W188" s="421"/>
      <c r="X188" s="498"/>
    </row>
    <row r="189" spans="1:256" s="544" customFormat="1" x14ac:dyDescent="0.3">
      <c r="A189" s="555"/>
      <c r="B189" s="556" t="s">
        <v>60</v>
      </c>
      <c r="C189" s="556"/>
      <c r="D189" s="556"/>
      <c r="E189" s="556"/>
      <c r="F189" s="556"/>
      <c r="G189" s="556"/>
      <c r="H189" s="556"/>
      <c r="I189" s="556"/>
      <c r="J189" s="556"/>
      <c r="K189" s="556"/>
      <c r="L189" s="556"/>
      <c r="M189" s="556"/>
      <c r="N189" s="556"/>
      <c r="O189" s="556"/>
      <c r="P189" s="556"/>
      <c r="Q189" s="556"/>
      <c r="R189" s="556"/>
      <c r="S189" s="599">
        <f>+V34*0.16</f>
        <v>240044</v>
      </c>
      <c r="T189" s="578"/>
      <c r="U189" s="556"/>
      <c r="V189" s="599"/>
      <c r="W189" s="558"/>
      <c r="X189" s="543"/>
    </row>
    <row r="190" spans="1:256" s="544" customFormat="1" x14ac:dyDescent="0.3">
      <c r="A190" s="555"/>
      <c r="B190" s="556" t="s">
        <v>61</v>
      </c>
      <c r="C190" s="556"/>
      <c r="D190" s="556"/>
      <c r="E190" s="556"/>
      <c r="F190" s="556"/>
      <c r="G190" s="556"/>
      <c r="H190" s="556"/>
      <c r="I190" s="556"/>
      <c r="J190" s="556"/>
      <c r="K190" s="556"/>
      <c r="L190" s="556"/>
      <c r="M190" s="556"/>
      <c r="N190" s="556"/>
      <c r="O190" s="556"/>
      <c r="P190" s="556"/>
      <c r="Q190" s="556"/>
      <c r="R190" s="556"/>
      <c r="S190" s="599">
        <f>+'May 20'!S192</f>
        <v>33453</v>
      </c>
      <c r="T190" s="599">
        <f>+'May 20'!T192</f>
        <v>6019</v>
      </c>
      <c r="U190" s="556"/>
      <c r="V190" s="599">
        <f>S190+T190</f>
        <v>39472</v>
      </c>
      <c r="W190" s="558"/>
      <c r="X190" s="543"/>
    </row>
    <row r="191" spans="1:256" s="544" customFormat="1" x14ac:dyDescent="0.3">
      <c r="A191" s="555"/>
      <c r="B191" s="556" t="s">
        <v>62</v>
      </c>
      <c r="C191" s="556"/>
      <c r="D191" s="556"/>
      <c r="E191" s="556"/>
      <c r="F191" s="556"/>
      <c r="G191" s="556"/>
      <c r="H191" s="556"/>
      <c r="I191" s="556"/>
      <c r="J191" s="556"/>
      <c r="K191" s="556"/>
      <c r="L191" s="556"/>
      <c r="M191" s="556"/>
      <c r="N191" s="556"/>
      <c r="O191" s="556"/>
      <c r="P191" s="556"/>
      <c r="Q191" s="556"/>
      <c r="R191" s="556"/>
      <c r="S191" s="598">
        <v>0</v>
      </c>
      <c r="T191" s="598">
        <v>0</v>
      </c>
      <c r="U191" s="556"/>
      <c r="V191" s="599">
        <f>S191+T191</f>
        <v>0</v>
      </c>
      <c r="W191" s="558"/>
      <c r="X191" s="543"/>
    </row>
    <row r="192" spans="1:256" s="544" customFormat="1" x14ac:dyDescent="0.3">
      <c r="A192" s="555"/>
      <c r="B192" s="556" t="s">
        <v>63</v>
      </c>
      <c r="C192" s="556"/>
      <c r="D192" s="556"/>
      <c r="E192" s="556"/>
      <c r="F192" s="556"/>
      <c r="G192" s="556"/>
      <c r="H192" s="556"/>
      <c r="I192" s="556"/>
      <c r="J192" s="556"/>
      <c r="K192" s="556"/>
      <c r="L192" s="556"/>
      <c r="M192" s="556"/>
      <c r="N192" s="556"/>
      <c r="O192" s="556"/>
      <c r="P192" s="556"/>
      <c r="Q192" s="556"/>
      <c r="R192" s="556"/>
      <c r="S192" s="599">
        <f>S190+S191</f>
        <v>33453</v>
      </c>
      <c r="T192" s="599">
        <f>T191+T190</f>
        <v>6019</v>
      </c>
      <c r="U192" s="556"/>
      <c r="V192" s="599">
        <f>S192+T192</f>
        <v>39472</v>
      </c>
      <c r="W192" s="558"/>
      <c r="X192" s="543"/>
    </row>
    <row r="193" spans="1:24" s="544" customFormat="1" x14ac:dyDescent="0.3">
      <c r="A193" s="555"/>
      <c r="B193" s="556" t="s">
        <v>64</v>
      </c>
      <c r="C193" s="556"/>
      <c r="D193" s="556"/>
      <c r="E193" s="556"/>
      <c r="F193" s="556"/>
      <c r="G193" s="556"/>
      <c r="H193" s="556"/>
      <c r="I193" s="556"/>
      <c r="J193" s="556"/>
      <c r="K193" s="556"/>
      <c r="L193" s="556"/>
      <c r="M193" s="556"/>
      <c r="N193" s="556"/>
      <c r="O193" s="556"/>
      <c r="P193" s="556"/>
      <c r="Q193" s="556"/>
      <c r="R193" s="556"/>
      <c r="S193" s="599">
        <f>S189-S192-T192</f>
        <v>200572</v>
      </c>
      <c r="T193" s="578"/>
      <c r="U193" s="556"/>
      <c r="V193" s="599"/>
      <c r="W193" s="558"/>
      <c r="X193" s="543"/>
    </row>
    <row r="194" spans="1:24" ht="16.2" thickBot="1" x14ac:dyDescent="0.35">
      <c r="A194" s="417"/>
      <c r="B194" s="441"/>
      <c r="C194" s="441"/>
      <c r="D194" s="441"/>
      <c r="E194" s="441"/>
      <c r="F194" s="441"/>
      <c r="G194" s="441"/>
      <c r="H194" s="441"/>
      <c r="I194" s="441"/>
      <c r="J194" s="441"/>
      <c r="K194" s="441"/>
      <c r="L194" s="441"/>
      <c r="M194" s="441"/>
      <c r="N194" s="441"/>
      <c r="O194" s="441"/>
      <c r="P194" s="441"/>
      <c r="Q194" s="441"/>
      <c r="R194" s="441"/>
      <c r="S194" s="441"/>
      <c r="T194" s="441"/>
      <c r="U194" s="441"/>
      <c r="V194" s="452"/>
      <c r="W194" s="441"/>
      <c r="X194" s="415"/>
    </row>
    <row r="195" spans="1:24" x14ac:dyDescent="0.3">
      <c r="A195" s="413"/>
      <c r="B195" s="414"/>
      <c r="C195" s="414"/>
      <c r="D195" s="414"/>
      <c r="E195" s="414"/>
      <c r="F195" s="414"/>
      <c r="G195" s="414"/>
      <c r="H195" s="414"/>
      <c r="I195" s="414"/>
      <c r="J195" s="414"/>
      <c r="K195" s="414"/>
      <c r="L195" s="414"/>
      <c r="M195" s="414"/>
      <c r="N195" s="414"/>
      <c r="O195" s="414"/>
      <c r="P195" s="414"/>
      <c r="Q195" s="414"/>
      <c r="R195" s="414"/>
      <c r="S195" s="414"/>
      <c r="T195" s="414"/>
      <c r="U195" s="414"/>
      <c r="V195" s="460"/>
      <c r="W195" s="414"/>
      <c r="X195" s="415"/>
    </row>
    <row r="196" spans="1:24" x14ac:dyDescent="0.3">
      <c r="A196" s="417"/>
      <c r="B196" s="508" t="s">
        <v>65</v>
      </c>
      <c r="C196" s="419"/>
      <c r="D196" s="419"/>
      <c r="E196" s="419"/>
      <c r="F196" s="419"/>
      <c r="G196" s="419"/>
      <c r="H196" s="419"/>
      <c r="I196" s="419"/>
      <c r="J196" s="419"/>
      <c r="K196" s="419"/>
      <c r="L196" s="419"/>
      <c r="M196" s="419"/>
      <c r="N196" s="419"/>
      <c r="O196" s="419"/>
      <c r="P196" s="419"/>
      <c r="Q196" s="419"/>
      <c r="R196" s="419"/>
      <c r="S196" s="419"/>
      <c r="T196" s="419"/>
      <c r="U196" s="419"/>
      <c r="V196" s="462"/>
      <c r="W196" s="419"/>
      <c r="X196" s="415"/>
    </row>
    <row r="197" spans="1:24" s="544" customFormat="1" x14ac:dyDescent="0.3">
      <c r="A197" s="555"/>
      <c r="B197" s="556" t="s">
        <v>66</v>
      </c>
      <c r="C197" s="556"/>
      <c r="D197" s="556"/>
      <c r="E197" s="556"/>
      <c r="F197" s="556"/>
      <c r="G197" s="556"/>
      <c r="H197" s="556"/>
      <c r="I197" s="556"/>
      <c r="J197" s="556"/>
      <c r="K197" s="556"/>
      <c r="L197" s="556"/>
      <c r="M197" s="556"/>
      <c r="N197" s="556"/>
      <c r="O197" s="556"/>
      <c r="P197" s="556"/>
      <c r="Q197" s="556"/>
      <c r="R197" s="556"/>
      <c r="S197" s="556"/>
      <c r="T197" s="556"/>
      <c r="U197" s="556"/>
      <c r="V197" s="608">
        <f>(V100+V102+V103+V104+V105)/-(V106+V107)</f>
        <v>6.3577075098814229</v>
      </c>
      <c r="W197" s="558" t="s">
        <v>115</v>
      </c>
      <c r="X197" s="543"/>
    </row>
    <row r="198" spans="1:24" s="544" customFormat="1" x14ac:dyDescent="0.3">
      <c r="A198" s="555"/>
      <c r="B198" s="556" t="s">
        <v>67</v>
      </c>
      <c r="C198" s="556"/>
      <c r="D198" s="556"/>
      <c r="E198" s="556"/>
      <c r="F198" s="556"/>
      <c r="G198" s="556"/>
      <c r="H198" s="556"/>
      <c r="I198" s="556"/>
      <c r="J198" s="556"/>
      <c r="K198" s="556"/>
      <c r="L198" s="556"/>
      <c r="M198" s="556"/>
      <c r="N198" s="556"/>
      <c r="O198" s="556"/>
      <c r="P198" s="556"/>
      <c r="Q198" s="556"/>
      <c r="R198" s="556"/>
      <c r="S198" s="556"/>
      <c r="T198" s="556"/>
      <c r="U198" s="556"/>
      <c r="V198" s="610">
        <v>2.2000000000000002</v>
      </c>
      <c r="W198" s="558" t="s">
        <v>115</v>
      </c>
      <c r="X198" s="543"/>
    </row>
    <row r="199" spans="1:24" s="544" customFormat="1" x14ac:dyDescent="0.3">
      <c r="A199" s="555"/>
      <c r="B199" s="556" t="s">
        <v>68</v>
      </c>
      <c r="C199" s="556"/>
      <c r="D199" s="556"/>
      <c r="E199" s="556"/>
      <c r="F199" s="556"/>
      <c r="G199" s="556"/>
      <c r="H199" s="556"/>
      <c r="I199" s="556"/>
      <c r="J199" s="556"/>
      <c r="K199" s="556"/>
      <c r="L199" s="556"/>
      <c r="M199" s="556"/>
      <c r="N199" s="556"/>
      <c r="O199" s="556"/>
      <c r="P199" s="556"/>
      <c r="Q199" s="556"/>
      <c r="R199" s="556"/>
      <c r="S199" s="556"/>
      <c r="T199" s="556"/>
      <c r="U199" s="556"/>
      <c r="V199" s="608">
        <f>(V100+V102+V103+V104+V105+V106+V107)/-(V109+V110)</f>
        <v>16.331325301204821</v>
      </c>
      <c r="W199" s="558" t="s">
        <v>115</v>
      </c>
      <c r="X199" s="543"/>
    </row>
    <row r="200" spans="1:24" s="544" customFormat="1" x14ac:dyDescent="0.3">
      <c r="A200" s="555"/>
      <c r="B200" s="556" t="s">
        <v>69</v>
      </c>
      <c r="C200" s="556"/>
      <c r="D200" s="556"/>
      <c r="E200" s="556"/>
      <c r="F200" s="556"/>
      <c r="G200" s="556"/>
      <c r="H200" s="556"/>
      <c r="I200" s="556"/>
      <c r="J200" s="556"/>
      <c r="K200" s="556"/>
      <c r="L200" s="556"/>
      <c r="M200" s="556"/>
      <c r="N200" s="556"/>
      <c r="O200" s="556"/>
      <c r="P200" s="556"/>
      <c r="Q200" s="556"/>
      <c r="R200" s="556"/>
      <c r="S200" s="556"/>
      <c r="T200" s="556"/>
      <c r="U200" s="556"/>
      <c r="V200" s="610">
        <v>9.94</v>
      </c>
      <c r="W200" s="558" t="s">
        <v>115</v>
      </c>
      <c r="X200" s="543"/>
    </row>
    <row r="201" spans="1:24" s="544" customFormat="1" x14ac:dyDescent="0.3">
      <c r="A201" s="555"/>
      <c r="B201" s="556" t="s">
        <v>198</v>
      </c>
      <c r="C201" s="556"/>
      <c r="D201" s="556"/>
      <c r="E201" s="556"/>
      <c r="F201" s="556"/>
      <c r="G201" s="556"/>
      <c r="H201" s="556"/>
      <c r="I201" s="556"/>
      <c r="J201" s="556"/>
      <c r="K201" s="556"/>
      <c r="L201" s="556"/>
      <c r="M201" s="556"/>
      <c r="N201" s="556"/>
      <c r="O201" s="556"/>
      <c r="P201" s="556"/>
      <c r="Q201" s="556"/>
      <c r="R201" s="556"/>
      <c r="S201" s="556"/>
      <c r="T201" s="556"/>
      <c r="U201" s="556"/>
      <c r="V201" s="608">
        <f>(V100+V102+V103+V104+V105+V106+V107+V109+V110)/-(V111+V112)</f>
        <v>8.6271186440677958</v>
      </c>
      <c r="W201" s="558" t="s">
        <v>115</v>
      </c>
      <c r="X201" s="543"/>
    </row>
    <row r="202" spans="1:24" s="544" customFormat="1" x14ac:dyDescent="0.3">
      <c r="A202" s="555"/>
      <c r="B202" s="556" t="s">
        <v>199</v>
      </c>
      <c r="C202" s="556"/>
      <c r="D202" s="556"/>
      <c r="E202" s="556"/>
      <c r="F202" s="556"/>
      <c r="G202" s="556"/>
      <c r="H202" s="556"/>
      <c r="I202" s="556"/>
      <c r="J202" s="556"/>
      <c r="K202" s="556"/>
      <c r="L202" s="556"/>
      <c r="M202" s="556"/>
      <c r="N202" s="556"/>
      <c r="O202" s="556"/>
      <c r="P202" s="556"/>
      <c r="Q202" s="556"/>
      <c r="R202" s="556"/>
      <c r="S202" s="556"/>
      <c r="T202" s="556"/>
      <c r="U202" s="556"/>
      <c r="V202" s="610">
        <v>7.36</v>
      </c>
      <c r="W202" s="558" t="s">
        <v>115</v>
      </c>
      <c r="X202" s="543"/>
    </row>
    <row r="203" spans="1:24" s="544" customFormat="1" x14ac:dyDescent="0.3">
      <c r="A203" s="555"/>
      <c r="B203" s="556"/>
      <c r="C203" s="556"/>
      <c r="D203" s="556"/>
      <c r="E203" s="556"/>
      <c r="F203" s="556"/>
      <c r="G203" s="556"/>
      <c r="H203" s="556"/>
      <c r="I203" s="556"/>
      <c r="J203" s="556"/>
      <c r="K203" s="556"/>
      <c r="L203" s="556"/>
      <c r="M203" s="556"/>
      <c r="N203" s="556"/>
      <c r="O203" s="556"/>
      <c r="P203" s="556"/>
      <c r="Q203" s="556"/>
      <c r="R203" s="556"/>
      <c r="S203" s="556"/>
      <c r="T203" s="556"/>
      <c r="U203" s="556"/>
      <c r="V203" s="556"/>
      <c r="W203" s="558"/>
      <c r="X203" s="543"/>
    </row>
    <row r="204" spans="1:24" s="544" customFormat="1" x14ac:dyDescent="0.3">
      <c r="A204" s="540"/>
      <c r="B204" s="588"/>
      <c r="C204" s="588"/>
      <c r="D204" s="588"/>
      <c r="E204" s="588"/>
      <c r="F204" s="588"/>
      <c r="G204" s="588"/>
      <c r="H204" s="588"/>
      <c r="I204" s="588"/>
      <c r="J204" s="588"/>
      <c r="K204" s="588"/>
      <c r="L204" s="588"/>
      <c r="M204" s="588"/>
      <c r="N204" s="588"/>
      <c r="O204" s="588"/>
      <c r="P204" s="588"/>
      <c r="Q204" s="588"/>
      <c r="R204" s="588"/>
      <c r="S204" s="588"/>
      <c r="T204" s="588"/>
      <c r="U204" s="588"/>
      <c r="V204" s="588"/>
      <c r="W204" s="588"/>
      <c r="X204" s="543"/>
    </row>
    <row r="205" spans="1:24" s="544" customFormat="1" x14ac:dyDescent="0.3">
      <c r="A205" s="540"/>
      <c r="B205" s="541"/>
      <c r="C205" s="541"/>
      <c r="D205" s="541"/>
      <c r="E205" s="541"/>
      <c r="F205" s="541"/>
      <c r="G205" s="541"/>
      <c r="H205" s="541"/>
      <c r="I205" s="541"/>
      <c r="J205" s="541"/>
      <c r="K205" s="541"/>
      <c r="L205" s="541"/>
      <c r="M205" s="541"/>
      <c r="N205" s="541"/>
      <c r="O205" s="541"/>
      <c r="P205" s="541"/>
      <c r="Q205" s="541"/>
      <c r="R205" s="541"/>
      <c r="S205" s="541"/>
      <c r="T205" s="541"/>
      <c r="U205" s="541"/>
      <c r="V205" s="541"/>
      <c r="W205" s="541"/>
      <c r="X205" s="543"/>
    </row>
    <row r="206" spans="1:24" s="544" customFormat="1" ht="18.600000000000001" thickBot="1" x14ac:dyDescent="0.4">
      <c r="A206" s="593"/>
      <c r="B206" s="594" t="str">
        <f>B140</f>
        <v>PM14 INVESTOR REPORT QUARTER ENDING AUGUST 2020</v>
      </c>
      <c r="C206" s="595"/>
      <c r="D206" s="595"/>
      <c r="E206" s="595"/>
      <c r="F206" s="595"/>
      <c r="G206" s="595"/>
      <c r="H206" s="595"/>
      <c r="I206" s="595"/>
      <c r="J206" s="595"/>
      <c r="K206" s="595"/>
      <c r="L206" s="595"/>
      <c r="M206" s="595"/>
      <c r="N206" s="595"/>
      <c r="O206" s="595"/>
      <c r="P206" s="595"/>
      <c r="Q206" s="595"/>
      <c r="R206" s="595"/>
      <c r="S206" s="595"/>
      <c r="T206" s="595"/>
      <c r="U206" s="595"/>
      <c r="V206" s="595"/>
      <c r="W206" s="597"/>
      <c r="X206" s="543"/>
    </row>
    <row r="207" spans="1:24" x14ac:dyDescent="0.3">
      <c r="A207" s="527"/>
      <c r="B207" s="528" t="s">
        <v>70</v>
      </c>
      <c r="C207" s="531"/>
      <c r="D207" s="531"/>
      <c r="E207" s="531"/>
      <c r="F207" s="531"/>
      <c r="G207" s="532"/>
      <c r="H207" s="532"/>
      <c r="I207" s="532"/>
      <c r="J207" s="532"/>
      <c r="K207" s="532"/>
      <c r="L207" s="532"/>
      <c r="M207" s="532"/>
      <c r="N207" s="532"/>
      <c r="O207" s="532"/>
      <c r="P207" s="532"/>
      <c r="Q207" s="532"/>
      <c r="R207" s="532"/>
      <c r="S207" s="532"/>
      <c r="T207" s="532">
        <v>44071</v>
      </c>
      <c r="U207" s="529"/>
      <c r="V207" s="529"/>
      <c r="W207" s="529"/>
      <c r="X207" s="415"/>
    </row>
    <row r="208" spans="1:24" x14ac:dyDescent="0.3">
      <c r="A208" s="463"/>
      <c r="B208" s="429"/>
      <c r="C208" s="464"/>
      <c r="D208" s="464"/>
      <c r="E208" s="464"/>
      <c r="F208" s="464"/>
      <c r="G208" s="428"/>
      <c r="H208" s="428"/>
      <c r="I208" s="428"/>
      <c r="J208" s="428"/>
      <c r="K208" s="428"/>
      <c r="L208" s="428"/>
      <c r="M208" s="428"/>
      <c r="N208" s="428"/>
      <c r="O208" s="428"/>
      <c r="P208" s="428"/>
      <c r="Q208" s="428"/>
      <c r="R208" s="428"/>
      <c r="S208" s="428"/>
      <c r="T208" s="428"/>
      <c r="U208" s="427"/>
      <c r="V208" s="427"/>
      <c r="W208" s="427"/>
      <c r="X208" s="415"/>
    </row>
    <row r="209" spans="1:24" s="544" customFormat="1" x14ac:dyDescent="0.3">
      <c r="A209" s="555"/>
      <c r="B209" s="556" t="s">
        <v>71</v>
      </c>
      <c r="C209" s="611"/>
      <c r="D209" s="611"/>
      <c r="E209" s="611"/>
      <c r="F209" s="611"/>
      <c r="G209" s="582"/>
      <c r="H209" s="582"/>
      <c r="I209" s="582"/>
      <c r="J209" s="582"/>
      <c r="K209" s="582"/>
      <c r="L209" s="582"/>
      <c r="M209" s="582"/>
      <c r="N209" s="582"/>
      <c r="O209" s="582"/>
      <c r="P209" s="582"/>
      <c r="Q209" s="582"/>
      <c r="R209" s="582"/>
      <c r="S209" s="582"/>
      <c r="T209" s="575">
        <v>5.2819999999999999E-2</v>
      </c>
      <c r="U209" s="556"/>
      <c r="V209" s="556"/>
      <c r="W209" s="558"/>
      <c r="X209" s="543"/>
    </row>
    <row r="210" spans="1:24" s="544" customFormat="1" x14ac:dyDescent="0.3">
      <c r="A210" s="555"/>
      <c r="B210" s="556" t="s">
        <v>151</v>
      </c>
      <c r="C210" s="611"/>
      <c r="D210" s="611"/>
      <c r="E210" s="611"/>
      <c r="F210" s="611"/>
      <c r="G210" s="582"/>
      <c r="H210" s="582"/>
      <c r="I210" s="582"/>
      <c r="J210" s="582"/>
      <c r="K210" s="582"/>
      <c r="L210" s="582"/>
      <c r="M210" s="582"/>
      <c r="N210" s="582"/>
      <c r="O210" s="582"/>
      <c r="P210" s="582"/>
      <c r="Q210" s="582"/>
      <c r="R210" s="582"/>
      <c r="S210" s="582"/>
      <c r="T210" s="575">
        <v>5.7799999999999997E-2</v>
      </c>
      <c r="U210" s="556"/>
      <c r="V210" s="556"/>
      <c r="W210" s="558"/>
      <c r="X210" s="543"/>
    </row>
    <row r="211" spans="1:24" s="544" customFormat="1" x14ac:dyDescent="0.3">
      <c r="A211" s="555"/>
      <c r="B211" s="556" t="s">
        <v>72</v>
      </c>
      <c r="C211" s="611"/>
      <c r="D211" s="611"/>
      <c r="E211" s="611"/>
      <c r="F211" s="611"/>
      <c r="G211" s="582"/>
      <c r="H211" s="582"/>
      <c r="I211" s="582"/>
      <c r="J211" s="582"/>
      <c r="K211" s="582"/>
      <c r="L211" s="582"/>
      <c r="M211" s="582"/>
      <c r="N211" s="582"/>
      <c r="O211" s="582"/>
      <c r="P211" s="582"/>
      <c r="Q211" s="582"/>
      <c r="R211" s="582"/>
      <c r="S211" s="582"/>
      <c r="T211" s="575">
        <f>T209-T210</f>
        <v>-4.9799999999999983E-3</v>
      </c>
      <c r="U211" s="556"/>
      <c r="V211" s="556"/>
      <c r="W211" s="558"/>
      <c r="X211" s="543"/>
    </row>
    <row r="212" spans="1:24" s="544" customFormat="1" x14ac:dyDescent="0.3">
      <c r="A212" s="555"/>
      <c r="B212" s="556" t="s">
        <v>73</v>
      </c>
      <c r="C212" s="611"/>
      <c r="D212" s="611"/>
      <c r="E212" s="611"/>
      <c r="F212" s="611"/>
      <c r="G212" s="582"/>
      <c r="H212" s="582"/>
      <c r="I212" s="582"/>
      <c r="J212" s="582"/>
      <c r="K212" s="582"/>
      <c r="L212" s="582"/>
      <c r="M212" s="582"/>
      <c r="N212" s="582"/>
      <c r="O212" s="582"/>
      <c r="P212" s="582"/>
      <c r="Q212" s="582"/>
      <c r="R212" s="582"/>
      <c r="S212" s="582"/>
      <c r="T212" s="575">
        <v>2.036E-2</v>
      </c>
      <c r="U212" s="556"/>
      <c r="V212" s="556"/>
      <c r="W212" s="558"/>
      <c r="X212" s="543"/>
    </row>
    <row r="213" spans="1:24" s="544" customFormat="1" x14ac:dyDescent="0.3">
      <c r="A213" s="555"/>
      <c r="B213" s="556" t="s">
        <v>219</v>
      </c>
      <c r="C213" s="611"/>
      <c r="D213" s="611"/>
      <c r="E213" s="611"/>
      <c r="F213" s="611"/>
      <c r="G213" s="582"/>
      <c r="H213" s="582"/>
      <c r="I213" s="582"/>
      <c r="J213" s="582"/>
      <c r="K213" s="582"/>
      <c r="L213" s="582"/>
      <c r="M213" s="582"/>
      <c r="N213" s="582"/>
      <c r="O213" s="582"/>
      <c r="P213" s="582"/>
      <c r="Q213" s="582"/>
      <c r="R213" s="582"/>
      <c r="S213" s="582"/>
      <c r="T213" s="575">
        <f>V43</f>
        <v>5.3579197656265613E-3</v>
      </c>
      <c r="U213" s="556"/>
      <c r="V213" s="556"/>
      <c r="W213" s="558"/>
      <c r="X213" s="543"/>
    </row>
    <row r="214" spans="1:24" s="544" customFormat="1" x14ac:dyDescent="0.3">
      <c r="A214" s="555"/>
      <c r="B214" s="556" t="s">
        <v>74</v>
      </c>
      <c r="C214" s="611"/>
      <c r="D214" s="611"/>
      <c r="E214" s="611"/>
      <c r="F214" s="611"/>
      <c r="G214" s="582"/>
      <c r="H214" s="582"/>
      <c r="I214" s="582"/>
      <c r="J214" s="582"/>
      <c r="K214" s="582"/>
      <c r="L214" s="582"/>
      <c r="M214" s="582"/>
      <c r="N214" s="582"/>
      <c r="O214" s="582"/>
      <c r="P214" s="582"/>
      <c r="Q214" s="582"/>
      <c r="R214" s="582"/>
      <c r="S214" s="582"/>
      <c r="T214" s="575">
        <f>T212-T213</f>
        <v>1.5002080234373438E-2</v>
      </c>
      <c r="U214" s="556"/>
      <c r="V214" s="556"/>
      <c r="W214" s="558"/>
      <c r="X214" s="543"/>
    </row>
    <row r="215" spans="1:24" s="544" customFormat="1" x14ac:dyDescent="0.3">
      <c r="A215" s="555"/>
      <c r="B215" s="556" t="s">
        <v>242</v>
      </c>
      <c r="C215" s="611"/>
      <c r="D215" s="611"/>
      <c r="E215" s="611"/>
      <c r="F215" s="611"/>
      <c r="G215" s="582"/>
      <c r="H215" s="582"/>
      <c r="I215" s="582"/>
      <c r="J215" s="582"/>
      <c r="K215" s="582"/>
      <c r="L215" s="582"/>
      <c r="M215" s="582"/>
      <c r="N215" s="582"/>
      <c r="O215" s="582"/>
      <c r="P215" s="582"/>
      <c r="Q215" s="582"/>
      <c r="R215" s="582"/>
      <c r="S215" s="582"/>
      <c r="T215" s="575">
        <f>V100/N70</f>
        <v>4.7920469324759562E-3</v>
      </c>
      <c r="U215" s="556"/>
      <c r="V215" s="556"/>
      <c r="W215" s="558"/>
      <c r="X215" s="543"/>
    </row>
    <row r="216" spans="1:24" s="544" customFormat="1" x14ac:dyDescent="0.3">
      <c r="A216" s="555"/>
      <c r="B216" s="556" t="s">
        <v>208</v>
      </c>
      <c r="C216" s="611"/>
      <c r="D216" s="611"/>
      <c r="E216" s="611"/>
      <c r="F216" s="611"/>
      <c r="G216" s="582"/>
      <c r="H216" s="582"/>
      <c r="I216" s="582"/>
      <c r="J216" s="582"/>
      <c r="K216" s="582"/>
      <c r="L216" s="582"/>
      <c r="M216" s="582"/>
      <c r="N216" s="582"/>
      <c r="O216" s="582"/>
      <c r="P216" s="582"/>
      <c r="Q216" s="582"/>
      <c r="R216" s="582"/>
      <c r="S216" s="582"/>
      <c r="T216" s="612">
        <v>51014</v>
      </c>
      <c r="U216" s="556"/>
      <c r="V216" s="556"/>
      <c r="W216" s="558"/>
      <c r="X216" s="543"/>
    </row>
    <row r="217" spans="1:24" s="544" customFormat="1" x14ac:dyDescent="0.3">
      <c r="A217" s="555"/>
      <c r="B217" s="556" t="s">
        <v>209</v>
      </c>
      <c r="C217" s="611"/>
      <c r="D217" s="611"/>
      <c r="E217" s="611"/>
      <c r="F217" s="611"/>
      <c r="G217" s="582"/>
      <c r="H217" s="582"/>
      <c r="I217" s="582"/>
      <c r="J217" s="582"/>
      <c r="K217" s="582"/>
      <c r="L217" s="582"/>
      <c r="M217" s="582"/>
      <c r="N217" s="582"/>
      <c r="O217" s="582"/>
      <c r="P217" s="582"/>
      <c r="Q217" s="582"/>
      <c r="R217" s="582"/>
      <c r="S217" s="582"/>
      <c r="T217" s="612">
        <v>51014</v>
      </c>
      <c r="U217" s="556"/>
      <c r="V217" s="556"/>
      <c r="W217" s="558"/>
      <c r="X217" s="543"/>
    </row>
    <row r="218" spans="1:24" s="544" customFormat="1" x14ac:dyDescent="0.3">
      <c r="A218" s="555"/>
      <c r="B218" s="556" t="s">
        <v>210</v>
      </c>
      <c r="C218" s="611"/>
      <c r="D218" s="611"/>
      <c r="E218" s="611"/>
      <c r="F218" s="611"/>
      <c r="G218" s="582"/>
      <c r="H218" s="582"/>
      <c r="I218" s="582"/>
      <c r="J218" s="582"/>
      <c r="K218" s="582"/>
      <c r="L218" s="582"/>
      <c r="M218" s="582"/>
      <c r="N218" s="582"/>
      <c r="O218" s="582"/>
      <c r="P218" s="582"/>
      <c r="Q218" s="582"/>
      <c r="R218" s="582"/>
      <c r="S218" s="582"/>
      <c r="T218" s="612">
        <v>51014</v>
      </c>
      <c r="U218" s="556"/>
      <c r="V218" s="556"/>
      <c r="W218" s="558"/>
      <c r="X218" s="543"/>
    </row>
    <row r="219" spans="1:24" s="544" customFormat="1" x14ac:dyDescent="0.3">
      <c r="A219" s="555"/>
      <c r="B219" s="556" t="s">
        <v>75</v>
      </c>
      <c r="C219" s="611"/>
      <c r="D219" s="611"/>
      <c r="E219" s="611"/>
      <c r="F219" s="611"/>
      <c r="G219" s="582"/>
      <c r="H219" s="582"/>
      <c r="I219" s="582"/>
      <c r="J219" s="582"/>
      <c r="K219" s="582"/>
      <c r="L219" s="582"/>
      <c r="M219" s="582"/>
      <c r="N219" s="582"/>
      <c r="O219" s="582"/>
      <c r="P219" s="582"/>
      <c r="Q219" s="582"/>
      <c r="R219" s="582"/>
      <c r="S219" s="582"/>
      <c r="T219" s="580">
        <v>20.66</v>
      </c>
      <c r="U219" s="556" t="s">
        <v>110</v>
      </c>
      <c r="V219" s="556"/>
      <c r="W219" s="558"/>
      <c r="X219" s="543"/>
    </row>
    <row r="220" spans="1:24" s="544" customFormat="1" x14ac:dyDescent="0.3">
      <c r="A220" s="555"/>
      <c r="B220" s="556" t="s">
        <v>76</v>
      </c>
      <c r="C220" s="611"/>
      <c r="D220" s="611"/>
      <c r="E220" s="611"/>
      <c r="F220" s="611"/>
      <c r="G220" s="582"/>
      <c r="H220" s="582"/>
      <c r="I220" s="582"/>
      <c r="J220" s="582"/>
      <c r="K220" s="582"/>
      <c r="L220" s="582"/>
      <c r="M220" s="582"/>
      <c r="N220" s="582"/>
      <c r="O220" s="582"/>
      <c r="P220" s="582"/>
      <c r="Q220" s="582"/>
      <c r="R220" s="582"/>
      <c r="S220" s="582"/>
      <c r="T220" s="580">
        <v>8.82</v>
      </c>
      <c r="U220" s="556" t="s">
        <v>110</v>
      </c>
      <c r="V220" s="556"/>
      <c r="W220" s="558"/>
      <c r="X220" s="543"/>
    </row>
    <row r="221" spans="1:24" s="544" customFormat="1" x14ac:dyDescent="0.3">
      <c r="A221" s="555"/>
      <c r="B221" s="556" t="s">
        <v>77</v>
      </c>
      <c r="C221" s="611"/>
      <c r="D221" s="611"/>
      <c r="E221" s="611"/>
      <c r="F221" s="611"/>
      <c r="G221" s="582"/>
      <c r="H221" s="582"/>
      <c r="I221" s="582"/>
      <c r="J221" s="582"/>
      <c r="K221" s="582"/>
      <c r="L221" s="582"/>
      <c r="M221" s="582"/>
      <c r="N221" s="582"/>
      <c r="O221" s="582"/>
      <c r="P221" s="582"/>
      <c r="Q221" s="582"/>
      <c r="R221" s="582"/>
      <c r="S221" s="582"/>
      <c r="T221" s="575">
        <f>+P67/N67</f>
        <v>1.5403207350224112E-2</v>
      </c>
      <c r="U221" s="556"/>
      <c r="V221" s="556"/>
      <c r="W221" s="558"/>
      <c r="X221" s="543"/>
    </row>
    <row r="222" spans="1:24" s="544" customFormat="1" x14ac:dyDescent="0.3">
      <c r="A222" s="555"/>
      <c r="B222" s="556" t="s">
        <v>78</v>
      </c>
      <c r="C222" s="611"/>
      <c r="D222" s="611"/>
      <c r="E222" s="611"/>
      <c r="F222" s="611"/>
      <c r="G222" s="582"/>
      <c r="H222" s="582"/>
      <c r="I222" s="582"/>
      <c r="J222" s="582"/>
      <c r="K222" s="582"/>
      <c r="L222" s="582"/>
      <c r="M222" s="582"/>
      <c r="N222" s="582"/>
      <c r="O222" s="582"/>
      <c r="P222" s="582"/>
      <c r="Q222" s="582"/>
      <c r="R222" s="582"/>
      <c r="S222" s="582"/>
      <c r="T222" s="575">
        <v>5.6800000000000003E-2</v>
      </c>
      <c r="U222" s="556"/>
      <c r="V222" s="556"/>
      <c r="W222" s="558"/>
      <c r="X222" s="543"/>
    </row>
    <row r="223" spans="1:24" x14ac:dyDescent="0.3">
      <c r="A223" s="463"/>
      <c r="B223" s="437"/>
      <c r="C223" s="437"/>
      <c r="D223" s="437"/>
      <c r="E223" s="437"/>
      <c r="F223" s="437"/>
      <c r="G223" s="437"/>
      <c r="H223" s="437"/>
      <c r="I223" s="437"/>
      <c r="J223" s="437"/>
      <c r="K223" s="437"/>
      <c r="L223" s="437"/>
      <c r="M223" s="437"/>
      <c r="N223" s="437"/>
      <c r="O223" s="437"/>
      <c r="P223" s="437"/>
      <c r="Q223" s="437"/>
      <c r="R223" s="437"/>
      <c r="S223" s="437"/>
      <c r="T223" s="454"/>
      <c r="U223" s="437"/>
      <c r="V223" s="465"/>
      <c r="W223" s="437"/>
      <c r="X223" s="415"/>
    </row>
    <row r="224" spans="1:24" x14ac:dyDescent="0.3">
      <c r="A224" s="533"/>
      <c r="B224" s="523" t="s">
        <v>79</v>
      </c>
      <c r="C224" s="524"/>
      <c r="D224" s="524"/>
      <c r="E224" s="524"/>
      <c r="F224" s="534"/>
      <c r="G224" s="524"/>
      <c r="H224" s="524"/>
      <c r="I224" s="524"/>
      <c r="J224" s="524"/>
      <c r="K224" s="524"/>
      <c r="L224" s="524"/>
      <c r="M224" s="524"/>
      <c r="N224" s="524"/>
      <c r="O224" s="524"/>
      <c r="P224" s="524"/>
      <c r="Q224" s="524"/>
      <c r="R224" s="524"/>
      <c r="S224" s="524" t="s">
        <v>102</v>
      </c>
      <c r="T224" s="534" t="s">
        <v>108</v>
      </c>
      <c r="U224" s="517"/>
      <c r="V224" s="517"/>
      <c r="W224" s="520"/>
      <c r="X224" s="415"/>
    </row>
    <row r="225" spans="1:24" s="544" customFormat="1" x14ac:dyDescent="0.3">
      <c r="A225" s="613"/>
      <c r="B225" s="588" t="s">
        <v>80</v>
      </c>
      <c r="C225" s="600"/>
      <c r="D225" s="600"/>
      <c r="E225" s="600"/>
      <c r="F225" s="588"/>
      <c r="G225" s="588"/>
      <c r="H225" s="614"/>
      <c r="I225" s="614"/>
      <c r="J225" s="614"/>
      <c r="K225" s="614"/>
      <c r="L225" s="614"/>
      <c r="M225" s="614"/>
      <c r="N225" s="614"/>
      <c r="O225" s="614"/>
      <c r="P225" s="614"/>
      <c r="Q225" s="614"/>
      <c r="R225" s="614"/>
      <c r="S225" s="614">
        <v>1</v>
      </c>
      <c r="T225" s="615">
        <v>111</v>
      </c>
      <c r="U225" s="588"/>
      <c r="V225" s="616"/>
      <c r="W225" s="617"/>
      <c r="X225" s="543"/>
    </row>
    <row r="226" spans="1:24" s="544" customFormat="1" x14ac:dyDescent="0.3">
      <c r="A226" s="618"/>
      <c r="B226" s="556" t="s">
        <v>145</v>
      </c>
      <c r="C226" s="598"/>
      <c r="D226" s="598"/>
      <c r="E226" s="598"/>
      <c r="F226" s="556"/>
      <c r="G226" s="556"/>
      <c r="H226" s="562"/>
      <c r="I226" s="562"/>
      <c r="J226" s="562"/>
      <c r="K226" s="562"/>
      <c r="L226" s="562"/>
      <c r="M226" s="562"/>
      <c r="N226" s="562"/>
      <c r="O226" s="562"/>
      <c r="P226" s="562"/>
      <c r="Q226" s="562"/>
      <c r="R226" s="562"/>
      <c r="S226" s="619">
        <f>+R278</f>
        <v>112</v>
      </c>
      <c r="T226" s="620">
        <f>+T278</f>
        <v>17349</v>
      </c>
      <c r="U226" s="556"/>
      <c r="V226" s="621"/>
      <c r="W226" s="622"/>
      <c r="X226" s="543"/>
    </row>
    <row r="227" spans="1:24" s="544" customFormat="1" x14ac:dyDescent="0.3">
      <c r="A227" s="618"/>
      <c r="B227" s="556" t="s">
        <v>81</v>
      </c>
      <c r="C227" s="598"/>
      <c r="D227" s="598"/>
      <c r="E227" s="598"/>
      <c r="F227" s="556"/>
      <c r="G227" s="556"/>
      <c r="H227" s="562"/>
      <c r="I227" s="562"/>
      <c r="J227" s="562"/>
      <c r="K227" s="562"/>
      <c r="L227" s="562"/>
      <c r="M227" s="562"/>
      <c r="N227" s="562"/>
      <c r="O227" s="562"/>
      <c r="P227" s="562"/>
      <c r="Q227" s="562"/>
      <c r="R227" s="562"/>
      <c r="S227" s="619">
        <f>+R300</f>
        <v>0</v>
      </c>
      <c r="T227" s="620">
        <f>+T300</f>
        <v>0</v>
      </c>
      <c r="U227" s="556"/>
      <c r="V227" s="621"/>
      <c r="W227" s="622"/>
      <c r="X227" s="543"/>
    </row>
    <row r="228" spans="1:24" x14ac:dyDescent="0.3">
      <c r="A228" s="466"/>
      <c r="B228" s="493" t="s">
        <v>82</v>
      </c>
      <c r="C228" s="467"/>
      <c r="D228" s="467"/>
      <c r="E228" s="467"/>
      <c r="F228" s="434"/>
      <c r="G228" s="434"/>
      <c r="H228" s="434"/>
      <c r="I228" s="434"/>
      <c r="J228" s="434"/>
      <c r="K228" s="434"/>
      <c r="L228" s="434"/>
      <c r="M228" s="434"/>
      <c r="N228" s="434"/>
      <c r="O228" s="434"/>
      <c r="P228" s="434"/>
      <c r="Q228" s="434"/>
      <c r="R228" s="434"/>
      <c r="S228" s="434"/>
      <c r="T228" s="620">
        <v>0</v>
      </c>
      <c r="U228" s="434"/>
      <c r="V228" s="468"/>
      <c r="W228" s="469"/>
      <c r="X228" s="415"/>
    </row>
    <row r="229" spans="1:24" x14ac:dyDescent="0.3">
      <c r="A229" s="466"/>
      <c r="B229" s="493" t="s">
        <v>243</v>
      </c>
      <c r="C229" s="467"/>
      <c r="D229" s="467"/>
      <c r="E229" s="467"/>
      <c r="F229" s="434"/>
      <c r="G229" s="434"/>
      <c r="H229" s="434"/>
      <c r="I229" s="434"/>
      <c r="J229" s="434"/>
      <c r="K229" s="434"/>
      <c r="L229" s="434"/>
      <c r="M229" s="434"/>
      <c r="N229" s="434"/>
      <c r="O229" s="434"/>
      <c r="P229" s="434"/>
      <c r="Q229" s="434"/>
      <c r="R229" s="434"/>
      <c r="S229" s="434"/>
      <c r="T229" s="620">
        <f>+N80</f>
        <v>0</v>
      </c>
      <c r="U229" s="434"/>
      <c r="V229" s="468"/>
      <c r="W229" s="469"/>
      <c r="X229" s="415"/>
    </row>
    <row r="230" spans="1:24" x14ac:dyDescent="0.3">
      <c r="A230" s="470"/>
      <c r="B230" s="493" t="s">
        <v>83</v>
      </c>
      <c r="C230" s="471"/>
      <c r="D230" s="471"/>
      <c r="E230" s="471"/>
      <c r="F230" s="471"/>
      <c r="G230" s="434"/>
      <c r="H230" s="434"/>
      <c r="I230" s="434"/>
      <c r="J230" s="434"/>
      <c r="K230" s="434"/>
      <c r="L230" s="434"/>
      <c r="M230" s="434"/>
      <c r="N230" s="434"/>
      <c r="O230" s="434"/>
      <c r="P230" s="434"/>
      <c r="Q230" s="434"/>
      <c r="R230" s="434"/>
      <c r="S230" s="434"/>
      <c r="T230" s="472"/>
      <c r="U230" s="434"/>
      <c r="V230" s="468"/>
      <c r="W230" s="473"/>
      <c r="X230" s="415"/>
    </row>
    <row r="231" spans="1:24" s="544" customFormat="1" x14ac:dyDescent="0.3">
      <c r="A231" s="623"/>
      <c r="B231" s="556" t="s">
        <v>84</v>
      </c>
      <c r="C231" s="556"/>
      <c r="D231" s="556"/>
      <c r="E231" s="556"/>
      <c r="F231" s="556"/>
      <c r="G231" s="556"/>
      <c r="H231" s="556"/>
      <c r="I231" s="556"/>
      <c r="J231" s="556"/>
      <c r="K231" s="556"/>
      <c r="L231" s="556"/>
      <c r="M231" s="556"/>
      <c r="N231" s="556"/>
      <c r="O231" s="556"/>
      <c r="P231" s="556"/>
      <c r="Q231" s="556"/>
      <c r="R231" s="556"/>
      <c r="S231" s="562"/>
      <c r="T231" s="620">
        <f>V169</f>
        <v>20</v>
      </c>
      <c r="U231" s="556"/>
      <c r="V231" s="621"/>
      <c r="W231" s="624"/>
      <c r="X231" s="543"/>
    </row>
    <row r="232" spans="1:24" s="544" customFormat="1" x14ac:dyDescent="0.3">
      <c r="A232" s="618"/>
      <c r="B232" s="556" t="s">
        <v>85</v>
      </c>
      <c r="C232" s="598"/>
      <c r="D232" s="598"/>
      <c r="E232" s="598"/>
      <c r="F232" s="598"/>
      <c r="G232" s="556"/>
      <c r="H232" s="556"/>
      <c r="I232" s="556"/>
      <c r="J232" s="556"/>
      <c r="K232" s="556"/>
      <c r="L232" s="556"/>
      <c r="M232" s="556"/>
      <c r="N232" s="556"/>
      <c r="O232" s="556"/>
      <c r="P232" s="556"/>
      <c r="Q232" s="556"/>
      <c r="R232" s="556"/>
      <c r="S232" s="562"/>
      <c r="T232" s="620">
        <f>'May 20'!T232+T231</f>
        <v>9396</v>
      </c>
      <c r="U232" s="556"/>
      <c r="V232" s="621"/>
      <c r="W232" s="624"/>
      <c r="X232" s="543"/>
    </row>
    <row r="233" spans="1:24" x14ac:dyDescent="0.3">
      <c r="A233" s="470"/>
      <c r="B233" s="493" t="s">
        <v>295</v>
      </c>
      <c r="C233" s="471"/>
      <c r="D233" s="471"/>
      <c r="E233" s="471"/>
      <c r="F233" s="471"/>
      <c r="G233" s="434"/>
      <c r="H233" s="434"/>
      <c r="I233" s="434"/>
      <c r="J233" s="434"/>
      <c r="K233" s="434"/>
      <c r="L233" s="434"/>
      <c r="M233" s="434"/>
      <c r="N233" s="434"/>
      <c r="O233" s="434"/>
      <c r="P233" s="434"/>
      <c r="Q233" s="434"/>
      <c r="R233" s="434"/>
      <c r="S233" s="435"/>
      <c r="T233" s="472"/>
      <c r="U233" s="434"/>
      <c r="V233" s="468"/>
      <c r="W233" s="473"/>
      <c r="X233" s="415"/>
    </row>
    <row r="234" spans="1:24" s="544" customFormat="1" x14ac:dyDescent="0.3">
      <c r="A234" s="623"/>
      <c r="B234" s="556" t="s">
        <v>291</v>
      </c>
      <c r="C234" s="556"/>
      <c r="D234" s="556"/>
      <c r="E234" s="556"/>
      <c r="F234" s="556"/>
      <c r="G234" s="556"/>
      <c r="H234" s="556"/>
      <c r="I234" s="556"/>
      <c r="J234" s="556"/>
      <c r="K234" s="556"/>
      <c r="L234" s="556"/>
      <c r="M234" s="556"/>
      <c r="N234" s="556"/>
      <c r="O234" s="556"/>
      <c r="P234" s="556"/>
      <c r="Q234" s="556"/>
      <c r="R234" s="556"/>
      <c r="S234" s="562">
        <v>1</v>
      </c>
      <c r="T234" s="620">
        <v>89</v>
      </c>
      <c r="U234" s="556"/>
      <c r="V234" s="621"/>
      <c r="W234" s="624"/>
      <c r="X234" s="543"/>
    </row>
    <row r="235" spans="1:24" s="544" customFormat="1" x14ac:dyDescent="0.3">
      <c r="A235" s="618"/>
      <c r="B235" s="556" t="s">
        <v>86</v>
      </c>
      <c r="C235" s="578"/>
      <c r="D235" s="578"/>
      <c r="E235" s="578"/>
      <c r="F235" s="625"/>
      <c r="G235" s="556"/>
      <c r="H235" s="556"/>
      <c r="I235" s="556"/>
      <c r="J235" s="556"/>
      <c r="K235" s="556"/>
      <c r="L235" s="556"/>
      <c r="M235" s="556"/>
      <c r="N235" s="556"/>
      <c r="O235" s="556"/>
      <c r="P235" s="556"/>
      <c r="Q235" s="556"/>
      <c r="R235" s="556"/>
      <c r="S235" s="556"/>
      <c r="T235" s="626">
        <v>11.43</v>
      </c>
      <c r="U235" s="556"/>
      <c r="V235" s="621"/>
      <c r="W235" s="624"/>
      <c r="X235" s="543"/>
    </row>
    <row r="236" spans="1:24" s="544" customFormat="1" x14ac:dyDescent="0.3">
      <c r="A236" s="618"/>
      <c r="B236" s="556" t="s">
        <v>87</v>
      </c>
      <c r="C236" s="578"/>
      <c r="D236" s="578"/>
      <c r="E236" s="578"/>
      <c r="F236" s="625"/>
      <c r="G236" s="556"/>
      <c r="H236" s="556"/>
      <c r="I236" s="556"/>
      <c r="J236" s="556"/>
      <c r="K236" s="556"/>
      <c r="L236" s="556"/>
      <c r="M236" s="556"/>
      <c r="N236" s="556"/>
      <c r="O236" s="556"/>
      <c r="P236" s="556"/>
      <c r="Q236" s="556"/>
      <c r="R236" s="556"/>
      <c r="S236" s="556"/>
      <c r="T236" s="626">
        <v>8.02</v>
      </c>
      <c r="U236" s="556"/>
      <c r="V236" s="621"/>
      <c r="W236" s="624"/>
      <c r="X236" s="543"/>
    </row>
    <row r="237" spans="1:24" x14ac:dyDescent="0.3">
      <c r="A237" s="466"/>
      <c r="B237" s="493" t="s">
        <v>217</v>
      </c>
      <c r="C237" s="474"/>
      <c r="D237" s="474"/>
      <c r="E237" s="474"/>
      <c r="F237" s="475"/>
      <c r="G237" s="434"/>
      <c r="H237" s="434"/>
      <c r="I237" s="434"/>
      <c r="J237" s="434"/>
      <c r="K237" s="434"/>
      <c r="L237" s="434"/>
      <c r="M237" s="434"/>
      <c r="N237" s="434"/>
      <c r="O237" s="434"/>
      <c r="P237" s="434"/>
      <c r="Q237" s="434"/>
      <c r="R237" s="434"/>
      <c r="S237" s="434"/>
      <c r="T237" s="476"/>
      <c r="U237" s="434"/>
      <c r="V237" s="468"/>
      <c r="W237" s="473"/>
      <c r="X237" s="415"/>
    </row>
    <row r="238" spans="1:24" s="544" customFormat="1" x14ac:dyDescent="0.3">
      <c r="A238" s="618"/>
      <c r="B238" s="556" t="s">
        <v>291</v>
      </c>
      <c r="C238" s="578"/>
      <c r="D238" s="578"/>
      <c r="E238" s="578"/>
      <c r="F238" s="625"/>
      <c r="G238" s="556"/>
      <c r="H238" s="556"/>
      <c r="I238" s="556"/>
      <c r="J238" s="556"/>
      <c r="K238" s="556"/>
      <c r="L238" s="556"/>
      <c r="M238" s="556"/>
      <c r="N238" s="556"/>
      <c r="O238" s="556"/>
      <c r="P238" s="556"/>
      <c r="Q238" s="556"/>
      <c r="R238" s="556"/>
      <c r="S238" s="562">
        <v>1</v>
      </c>
      <c r="T238" s="620">
        <v>273</v>
      </c>
      <c r="U238" s="556"/>
      <c r="V238" s="621"/>
      <c r="W238" s="624"/>
      <c r="X238" s="543"/>
    </row>
    <row r="239" spans="1:24" s="544" customFormat="1" x14ac:dyDescent="0.3">
      <c r="A239" s="618"/>
      <c r="B239" s="556" t="s">
        <v>218</v>
      </c>
      <c r="C239" s="578"/>
      <c r="D239" s="578"/>
      <c r="E239" s="578"/>
      <c r="F239" s="625"/>
      <c r="G239" s="556"/>
      <c r="H239" s="556"/>
      <c r="I239" s="556"/>
      <c r="J239" s="556"/>
      <c r="K239" s="556"/>
      <c r="L239" s="556"/>
      <c r="M239" s="556"/>
      <c r="N239" s="556"/>
      <c r="O239" s="556"/>
      <c r="P239" s="556"/>
      <c r="Q239" s="556"/>
      <c r="R239" s="556"/>
      <c r="S239" s="556"/>
      <c r="T239" s="626">
        <v>0</v>
      </c>
      <c r="U239" s="556"/>
      <c r="V239" s="621"/>
      <c r="W239" s="624"/>
      <c r="X239" s="543"/>
    </row>
    <row r="240" spans="1:24" x14ac:dyDescent="0.3">
      <c r="A240" s="466"/>
      <c r="B240" s="471"/>
      <c r="C240" s="474"/>
      <c r="D240" s="474"/>
      <c r="E240" s="474"/>
      <c r="F240" s="475"/>
      <c r="G240" s="434"/>
      <c r="H240" s="434"/>
      <c r="I240" s="434"/>
      <c r="J240" s="434"/>
      <c r="K240" s="434"/>
      <c r="L240" s="434"/>
      <c r="M240" s="434"/>
      <c r="N240" s="434"/>
      <c r="O240" s="434"/>
      <c r="P240" s="434"/>
      <c r="Q240" s="434"/>
      <c r="R240" s="434"/>
      <c r="S240" s="434"/>
      <c r="T240" s="476"/>
      <c r="U240" s="434"/>
      <c r="V240" s="468"/>
      <c r="W240" s="473"/>
      <c r="X240" s="415"/>
    </row>
    <row r="241" spans="1:25" x14ac:dyDescent="0.3">
      <c r="A241" s="466"/>
      <c r="B241" s="471"/>
      <c r="C241" s="474"/>
      <c r="D241" s="474"/>
      <c r="E241" s="474"/>
      <c r="F241" s="475"/>
      <c r="G241" s="434"/>
      <c r="H241" s="434"/>
      <c r="I241" s="434"/>
      <c r="J241" s="434"/>
      <c r="K241" s="434"/>
      <c r="L241" s="434"/>
      <c r="M241" s="434"/>
      <c r="N241" s="434"/>
      <c r="O241" s="434"/>
      <c r="P241" s="434"/>
      <c r="Q241" s="434"/>
      <c r="R241" s="434"/>
      <c r="S241" s="434"/>
      <c r="T241" s="476"/>
      <c r="U241" s="434"/>
      <c r="V241" s="468"/>
      <c r="W241" s="473"/>
      <c r="X241" s="415"/>
    </row>
    <row r="242" spans="1:25" ht="18" x14ac:dyDescent="0.35">
      <c r="A242" s="466"/>
      <c r="B242" s="512" t="s">
        <v>168</v>
      </c>
      <c r="C242" s="474"/>
      <c r="D242" s="474"/>
      <c r="E242" s="474"/>
      <c r="F242" s="475"/>
      <c r="G242" s="434"/>
      <c r="H242" s="434"/>
      <c r="I242" s="434"/>
      <c r="J242" s="434"/>
      <c r="K242" s="434"/>
      <c r="L242" s="434"/>
      <c r="M242" s="434"/>
      <c r="N242" s="434"/>
      <c r="O242" s="434"/>
      <c r="P242" s="513" t="s">
        <v>371</v>
      </c>
      <c r="Q242" s="434"/>
      <c r="R242" s="434"/>
      <c r="S242" s="434"/>
      <c r="T242" s="476"/>
      <c r="U242" s="434"/>
      <c r="V242" s="468"/>
      <c r="W242" s="473"/>
      <c r="X242" s="415"/>
    </row>
    <row r="243" spans="1:25" x14ac:dyDescent="0.3">
      <c r="A243" s="477"/>
      <c r="B243" s="511"/>
      <c r="C243" s="478"/>
      <c r="D243" s="478"/>
      <c r="E243" s="478"/>
      <c r="F243" s="479"/>
      <c r="G243" s="441"/>
      <c r="H243" s="441"/>
      <c r="I243" s="441"/>
      <c r="J243" s="441"/>
      <c r="K243" s="441"/>
      <c r="L243" s="441"/>
      <c r="M243" s="441"/>
      <c r="N243" s="441"/>
      <c r="O243" s="441"/>
      <c r="P243" s="441"/>
      <c r="Q243" s="441"/>
      <c r="R243" s="441"/>
      <c r="S243" s="441"/>
      <c r="T243" s="480"/>
      <c r="U243" s="441"/>
      <c r="V243" s="481"/>
      <c r="W243" s="482"/>
      <c r="X243" s="415"/>
    </row>
    <row r="244" spans="1:25" x14ac:dyDescent="0.3">
      <c r="A244" s="515"/>
      <c r="B244" s="523" t="s">
        <v>308</v>
      </c>
      <c r="C244" s="524"/>
      <c r="D244" s="524"/>
      <c r="E244" s="524"/>
      <c r="F244" s="534"/>
      <c r="G244" s="524"/>
      <c r="H244" s="524"/>
      <c r="I244" s="524"/>
      <c r="J244" s="524"/>
      <c r="K244" s="524"/>
      <c r="L244" s="524"/>
      <c r="M244" s="524"/>
      <c r="N244" s="524"/>
      <c r="O244" s="524"/>
      <c r="P244" s="524"/>
      <c r="Q244" s="524"/>
      <c r="R244" s="534" t="s">
        <v>102</v>
      </c>
      <c r="S244" s="524" t="s">
        <v>103</v>
      </c>
      <c r="T244" s="534" t="s">
        <v>109</v>
      </c>
      <c r="U244" s="524" t="s">
        <v>103</v>
      </c>
      <c r="V244" s="517"/>
      <c r="W244" s="535"/>
      <c r="X244" s="415"/>
    </row>
    <row r="245" spans="1:25" s="544" customFormat="1" x14ac:dyDescent="0.3">
      <c r="A245" s="540"/>
      <c r="B245" s="600" t="s">
        <v>88</v>
      </c>
      <c r="C245" s="627"/>
      <c r="D245" s="627"/>
      <c r="E245" s="627"/>
      <c r="F245" s="588"/>
      <c r="G245" s="627"/>
      <c r="H245" s="627"/>
      <c r="I245" s="627"/>
      <c r="J245" s="627"/>
      <c r="K245" s="627"/>
      <c r="L245" s="627"/>
      <c r="M245" s="627"/>
      <c r="N245" s="627"/>
      <c r="O245" s="627"/>
      <c r="P245" s="627"/>
      <c r="Q245" s="627"/>
      <c r="R245" s="600">
        <f t="shared" ref="R245:R252" si="1">+R257+R269+R291</f>
        <v>5186</v>
      </c>
      <c r="S245" s="628">
        <f t="shared" ref="S245:S252" si="2">R245/$R$254</f>
        <v>0.99310608962083491</v>
      </c>
      <c r="T245" s="601">
        <f t="shared" ref="T245:T252" si="3">+T257+T269+T291</f>
        <v>700775</v>
      </c>
      <c r="U245" s="628">
        <f t="shared" ref="U245:U252" si="4">T245/$T$254</f>
        <v>0.99320970681693843</v>
      </c>
      <c r="V245" s="616"/>
      <c r="W245" s="629"/>
      <c r="X245" s="543"/>
    </row>
    <row r="246" spans="1:25" s="544" customFormat="1" x14ac:dyDescent="0.3">
      <c r="A246" s="555"/>
      <c r="B246" s="598" t="s">
        <v>89</v>
      </c>
      <c r="C246" s="630"/>
      <c r="D246" s="630"/>
      <c r="E246" s="630"/>
      <c r="F246" s="556"/>
      <c r="G246" s="631"/>
      <c r="H246" s="630"/>
      <c r="I246" s="630"/>
      <c r="J246" s="630"/>
      <c r="K246" s="630"/>
      <c r="L246" s="630"/>
      <c r="M246" s="630"/>
      <c r="N246" s="630"/>
      <c r="O246" s="630"/>
      <c r="P246" s="630"/>
      <c r="Q246" s="630"/>
      <c r="R246" s="598">
        <f t="shared" si="1"/>
        <v>9</v>
      </c>
      <c r="S246" s="631">
        <f t="shared" si="2"/>
        <v>1.7234775947912676E-3</v>
      </c>
      <c r="T246" s="599">
        <f t="shared" si="3"/>
        <v>1397</v>
      </c>
      <c r="U246" s="631">
        <f t="shared" si="4"/>
        <v>1.979970690197657E-3</v>
      </c>
      <c r="V246" s="621"/>
      <c r="W246" s="624"/>
      <c r="X246" s="543"/>
      <c r="Y246" s="604"/>
    </row>
    <row r="247" spans="1:25" s="544" customFormat="1" x14ac:dyDescent="0.3">
      <c r="A247" s="555"/>
      <c r="B247" s="598" t="s">
        <v>90</v>
      </c>
      <c r="C247" s="630"/>
      <c r="D247" s="630"/>
      <c r="E247" s="630"/>
      <c r="F247" s="556"/>
      <c r="G247" s="631"/>
      <c r="H247" s="630"/>
      <c r="I247" s="630"/>
      <c r="J247" s="630"/>
      <c r="K247" s="630"/>
      <c r="L247" s="630"/>
      <c r="M247" s="630"/>
      <c r="N247" s="630"/>
      <c r="O247" s="630"/>
      <c r="P247" s="630"/>
      <c r="Q247" s="630"/>
      <c r="R247" s="598">
        <f t="shared" si="1"/>
        <v>5</v>
      </c>
      <c r="S247" s="631">
        <f t="shared" si="2"/>
        <v>9.5748755266181543E-4</v>
      </c>
      <c r="T247" s="599">
        <f t="shared" si="3"/>
        <v>539</v>
      </c>
      <c r="U247" s="631">
        <f t="shared" si="4"/>
        <v>7.639256993675999E-4</v>
      </c>
      <c r="V247" s="621"/>
      <c r="W247" s="624"/>
      <c r="X247" s="543"/>
    </row>
    <row r="248" spans="1:25" s="544" customFormat="1" x14ac:dyDescent="0.3">
      <c r="A248" s="555"/>
      <c r="B248" s="598" t="s">
        <v>156</v>
      </c>
      <c r="C248" s="630"/>
      <c r="D248" s="630"/>
      <c r="E248" s="630"/>
      <c r="F248" s="556"/>
      <c r="G248" s="631"/>
      <c r="H248" s="630"/>
      <c r="I248" s="630"/>
      <c r="J248" s="630"/>
      <c r="K248" s="630"/>
      <c r="L248" s="630"/>
      <c r="M248" s="630"/>
      <c r="N248" s="630"/>
      <c r="O248" s="630"/>
      <c r="P248" s="630"/>
      <c r="Q248" s="630"/>
      <c r="R248" s="598">
        <f t="shared" si="1"/>
        <v>4</v>
      </c>
      <c r="S248" s="631">
        <f t="shared" si="2"/>
        <v>7.659900421294523E-4</v>
      </c>
      <c r="T248" s="599">
        <f t="shared" si="3"/>
        <v>336</v>
      </c>
      <c r="U248" s="631">
        <f t="shared" si="4"/>
        <v>4.7621342298239994E-4</v>
      </c>
      <c r="V248" s="621"/>
      <c r="W248" s="624"/>
      <c r="X248" s="543"/>
      <c r="Y248" s="604"/>
    </row>
    <row r="249" spans="1:25" s="544" customFormat="1" x14ac:dyDescent="0.3">
      <c r="A249" s="555"/>
      <c r="B249" s="598" t="s">
        <v>157</v>
      </c>
      <c r="C249" s="630"/>
      <c r="D249" s="630"/>
      <c r="E249" s="630"/>
      <c r="F249" s="556"/>
      <c r="G249" s="631"/>
      <c r="H249" s="630"/>
      <c r="I249" s="630"/>
      <c r="J249" s="630"/>
      <c r="K249" s="630"/>
      <c r="L249" s="630"/>
      <c r="M249" s="630"/>
      <c r="N249" s="630"/>
      <c r="O249" s="630"/>
      <c r="P249" s="630"/>
      <c r="Q249" s="630"/>
      <c r="R249" s="598">
        <f t="shared" si="1"/>
        <v>3</v>
      </c>
      <c r="S249" s="631">
        <f t="shared" si="2"/>
        <v>5.7449253159708928E-4</v>
      </c>
      <c r="T249" s="599">
        <f t="shared" si="3"/>
        <v>756</v>
      </c>
      <c r="U249" s="631">
        <f t="shared" si="4"/>
        <v>1.0714802017103998E-3</v>
      </c>
      <c r="V249" s="621"/>
      <c r="W249" s="624"/>
      <c r="X249" s="543"/>
    </row>
    <row r="250" spans="1:25" s="544" customFormat="1" x14ac:dyDescent="0.3">
      <c r="A250" s="555"/>
      <c r="B250" s="598" t="s">
        <v>158</v>
      </c>
      <c r="C250" s="630"/>
      <c r="D250" s="630"/>
      <c r="E250" s="630"/>
      <c r="F250" s="556"/>
      <c r="G250" s="631"/>
      <c r="H250" s="630"/>
      <c r="I250" s="630"/>
      <c r="J250" s="630"/>
      <c r="K250" s="630"/>
      <c r="L250" s="630"/>
      <c r="M250" s="630"/>
      <c r="N250" s="630"/>
      <c r="O250" s="630"/>
      <c r="P250" s="630"/>
      <c r="Q250" s="630"/>
      <c r="R250" s="598">
        <f t="shared" si="1"/>
        <v>2</v>
      </c>
      <c r="S250" s="631">
        <f t="shared" si="2"/>
        <v>3.8299502106472615E-4</v>
      </c>
      <c r="T250" s="599">
        <f t="shared" si="3"/>
        <v>135</v>
      </c>
      <c r="U250" s="631">
        <f t="shared" si="4"/>
        <v>1.9133575030542854E-4</v>
      </c>
      <c r="V250" s="621"/>
      <c r="W250" s="624"/>
      <c r="X250" s="543"/>
      <c r="Y250" s="604"/>
    </row>
    <row r="251" spans="1:25" s="544" customFormat="1" x14ac:dyDescent="0.3">
      <c r="A251" s="555"/>
      <c r="B251" s="598" t="s">
        <v>159</v>
      </c>
      <c r="C251" s="630"/>
      <c r="D251" s="630"/>
      <c r="E251" s="630"/>
      <c r="F251" s="556"/>
      <c r="G251" s="631"/>
      <c r="H251" s="630"/>
      <c r="I251" s="630"/>
      <c r="J251" s="630"/>
      <c r="K251" s="630"/>
      <c r="L251" s="630"/>
      <c r="M251" s="630"/>
      <c r="N251" s="630"/>
      <c r="O251" s="630"/>
      <c r="P251" s="630"/>
      <c r="Q251" s="630"/>
      <c r="R251" s="598">
        <f t="shared" si="1"/>
        <v>7</v>
      </c>
      <c r="S251" s="631">
        <f t="shared" si="2"/>
        <v>1.3404825737265416E-3</v>
      </c>
      <c r="T251" s="599">
        <f t="shared" si="3"/>
        <v>818</v>
      </c>
      <c r="U251" s="631">
        <f t="shared" si="4"/>
        <v>1.1593529166654855E-3</v>
      </c>
      <c r="V251" s="621"/>
      <c r="W251" s="624"/>
      <c r="X251" s="543"/>
    </row>
    <row r="252" spans="1:25" s="544" customFormat="1" x14ac:dyDescent="0.3">
      <c r="A252" s="555"/>
      <c r="B252" s="598" t="s">
        <v>160</v>
      </c>
      <c r="C252" s="630"/>
      <c r="D252" s="630"/>
      <c r="E252" s="630"/>
      <c r="F252" s="556"/>
      <c r="G252" s="631"/>
      <c r="H252" s="630"/>
      <c r="I252" s="630"/>
      <c r="J252" s="630"/>
      <c r="K252" s="630"/>
      <c r="L252" s="630"/>
      <c r="M252" s="630"/>
      <c r="N252" s="630"/>
      <c r="O252" s="630"/>
      <c r="P252" s="630"/>
      <c r="Q252" s="630"/>
      <c r="R252" s="600">
        <f t="shared" si="1"/>
        <v>6</v>
      </c>
      <c r="S252" s="628">
        <f t="shared" si="2"/>
        <v>1.1489850631941786E-3</v>
      </c>
      <c r="T252" s="601">
        <f t="shared" si="3"/>
        <v>810</v>
      </c>
      <c r="U252" s="628">
        <f t="shared" si="4"/>
        <v>1.1480145018325713E-3</v>
      </c>
      <c r="V252" s="621"/>
      <c r="W252" s="624"/>
      <c r="X252" s="543"/>
      <c r="Y252" s="604"/>
    </row>
    <row r="253" spans="1:25" s="544" customFormat="1" x14ac:dyDescent="0.3">
      <c r="A253" s="555"/>
      <c r="B253" s="598"/>
      <c r="C253" s="630"/>
      <c r="D253" s="630"/>
      <c r="E253" s="630"/>
      <c r="F253" s="556"/>
      <c r="G253" s="631"/>
      <c r="H253" s="630"/>
      <c r="I253" s="630"/>
      <c r="J253" s="630"/>
      <c r="K253" s="630"/>
      <c r="L253" s="630"/>
      <c r="M253" s="630"/>
      <c r="N253" s="630"/>
      <c r="O253" s="630"/>
      <c r="P253" s="630"/>
      <c r="Q253" s="630"/>
      <c r="R253" s="598"/>
      <c r="S253" s="631"/>
      <c r="T253" s="599"/>
      <c r="U253" s="631"/>
      <c r="V253" s="621"/>
      <c r="W253" s="624"/>
      <c r="X253" s="543"/>
    </row>
    <row r="254" spans="1:25" s="544" customFormat="1" x14ac:dyDescent="0.3">
      <c r="A254" s="555"/>
      <c r="B254" s="556" t="s">
        <v>114</v>
      </c>
      <c r="C254" s="556"/>
      <c r="D254" s="556"/>
      <c r="E254" s="556"/>
      <c r="F254" s="556"/>
      <c r="G254" s="556"/>
      <c r="H254" s="632"/>
      <c r="I254" s="632"/>
      <c r="J254" s="632"/>
      <c r="K254" s="632"/>
      <c r="L254" s="632"/>
      <c r="M254" s="632"/>
      <c r="N254" s="632"/>
      <c r="O254" s="632"/>
      <c r="P254" s="632"/>
      <c r="Q254" s="632"/>
      <c r="R254" s="598">
        <f>SUM(R245:R253)</f>
        <v>5222</v>
      </c>
      <c r="S254" s="631">
        <f>SUM(S245:S253)</f>
        <v>1</v>
      </c>
      <c r="T254" s="599">
        <f>SUM(T245:T253)</f>
        <v>705566</v>
      </c>
      <c r="U254" s="631">
        <f>SUM(U245:U253)</f>
        <v>0.99999999999999989</v>
      </c>
      <c r="V254" s="556"/>
      <c r="W254" s="558"/>
      <c r="X254" s="543"/>
    </row>
    <row r="255" spans="1:25" x14ac:dyDescent="0.3">
      <c r="A255" s="417"/>
      <c r="B255" s="441"/>
      <c r="C255" s="441"/>
      <c r="D255" s="441"/>
      <c r="E255" s="441"/>
      <c r="F255" s="441"/>
      <c r="G255" s="441"/>
      <c r="H255" s="485"/>
      <c r="I255" s="485"/>
      <c r="J255" s="485"/>
      <c r="K255" s="485"/>
      <c r="L255" s="485"/>
      <c r="M255" s="485"/>
      <c r="N255" s="485"/>
      <c r="O255" s="485"/>
      <c r="P255" s="485"/>
      <c r="Q255" s="485"/>
      <c r="R255" s="442"/>
      <c r="S255" s="486"/>
      <c r="T255" s="487"/>
      <c r="U255" s="486"/>
      <c r="V255" s="441"/>
      <c r="W255" s="441"/>
      <c r="X255" s="415"/>
    </row>
    <row r="256" spans="1:25" x14ac:dyDescent="0.3">
      <c r="A256" s="515"/>
      <c r="B256" s="523" t="s">
        <v>162</v>
      </c>
      <c r="C256" s="524"/>
      <c r="D256" s="524"/>
      <c r="E256" s="524"/>
      <c r="F256" s="534"/>
      <c r="G256" s="524"/>
      <c r="H256" s="524"/>
      <c r="I256" s="524"/>
      <c r="J256" s="524"/>
      <c r="K256" s="524"/>
      <c r="L256" s="524"/>
      <c r="M256" s="524"/>
      <c r="N256" s="524"/>
      <c r="O256" s="524"/>
      <c r="P256" s="524"/>
      <c r="Q256" s="524"/>
      <c r="R256" s="534" t="s">
        <v>102</v>
      </c>
      <c r="S256" s="524" t="s">
        <v>103</v>
      </c>
      <c r="T256" s="534" t="s">
        <v>109</v>
      </c>
      <c r="U256" s="524" t="s">
        <v>103</v>
      </c>
      <c r="V256" s="517"/>
      <c r="W256" s="535"/>
      <c r="X256" s="415"/>
    </row>
    <row r="257" spans="1:25" s="544" customFormat="1" x14ac:dyDescent="0.3">
      <c r="A257" s="540"/>
      <c r="B257" s="600" t="s">
        <v>88</v>
      </c>
      <c r="C257" s="627"/>
      <c r="D257" s="627"/>
      <c r="E257" s="627"/>
      <c r="F257" s="588"/>
      <c r="G257" s="627"/>
      <c r="H257" s="627"/>
      <c r="I257" s="627"/>
      <c r="J257" s="627"/>
      <c r="K257" s="627"/>
      <c r="L257" s="627"/>
      <c r="M257" s="627"/>
      <c r="N257" s="627"/>
      <c r="O257" s="627"/>
      <c r="P257" s="627"/>
      <c r="Q257" s="627"/>
      <c r="R257" s="600">
        <v>5088</v>
      </c>
      <c r="S257" s="628">
        <f t="shared" ref="S257:S264" si="5">R257/$R$266</f>
        <v>0.99569471624266148</v>
      </c>
      <c r="T257" s="601">
        <v>685558</v>
      </c>
      <c r="U257" s="628">
        <f t="shared" ref="U257:U264" si="6">T257/$T$266</f>
        <v>0.99613639302719925</v>
      </c>
      <c r="V257" s="616"/>
      <c r="W257" s="629"/>
      <c r="X257" s="543"/>
    </row>
    <row r="258" spans="1:25" s="544" customFormat="1" x14ac:dyDescent="0.3">
      <c r="A258" s="555"/>
      <c r="B258" s="598" t="s">
        <v>89</v>
      </c>
      <c r="C258" s="630"/>
      <c r="D258" s="630"/>
      <c r="E258" s="630"/>
      <c r="F258" s="556"/>
      <c r="G258" s="631"/>
      <c r="H258" s="630"/>
      <c r="I258" s="630"/>
      <c r="J258" s="630"/>
      <c r="K258" s="630"/>
      <c r="L258" s="630"/>
      <c r="M258" s="630"/>
      <c r="N258" s="630"/>
      <c r="O258" s="630"/>
      <c r="P258" s="630"/>
      <c r="Q258" s="630"/>
      <c r="R258" s="598">
        <v>6</v>
      </c>
      <c r="S258" s="631">
        <f t="shared" si="5"/>
        <v>1.1741682974559687E-3</v>
      </c>
      <c r="T258" s="599">
        <v>1003</v>
      </c>
      <c r="U258" s="631">
        <f t="shared" si="6"/>
        <v>1.4573891664983573E-3</v>
      </c>
      <c r="V258" s="621"/>
      <c r="W258" s="624"/>
      <c r="X258" s="543"/>
      <c r="Y258" s="604"/>
    </row>
    <row r="259" spans="1:25" s="544" customFormat="1" x14ac:dyDescent="0.3">
      <c r="A259" s="555"/>
      <c r="B259" s="598" t="s">
        <v>90</v>
      </c>
      <c r="C259" s="630"/>
      <c r="D259" s="630"/>
      <c r="E259" s="630"/>
      <c r="F259" s="556"/>
      <c r="G259" s="631"/>
      <c r="H259" s="630"/>
      <c r="I259" s="630"/>
      <c r="J259" s="630"/>
      <c r="K259" s="630"/>
      <c r="L259" s="630"/>
      <c r="M259" s="630"/>
      <c r="N259" s="630"/>
      <c r="O259" s="630"/>
      <c r="P259" s="630"/>
      <c r="Q259" s="630"/>
      <c r="R259" s="598">
        <v>4</v>
      </c>
      <c r="S259" s="631">
        <f t="shared" si="5"/>
        <v>7.8277886497064581E-4</v>
      </c>
      <c r="T259" s="599">
        <v>428</v>
      </c>
      <c r="U259" s="631">
        <f t="shared" si="6"/>
        <v>6.2189687264336689E-4</v>
      </c>
      <c r="V259" s="621"/>
      <c r="W259" s="624"/>
      <c r="X259" s="543"/>
    </row>
    <row r="260" spans="1:25" s="544" customFormat="1" x14ac:dyDescent="0.3">
      <c r="A260" s="555"/>
      <c r="B260" s="598" t="s">
        <v>156</v>
      </c>
      <c r="C260" s="630"/>
      <c r="D260" s="630"/>
      <c r="E260" s="630"/>
      <c r="F260" s="556"/>
      <c r="G260" s="631"/>
      <c r="H260" s="630"/>
      <c r="I260" s="630"/>
      <c r="J260" s="630"/>
      <c r="K260" s="630"/>
      <c r="L260" s="630"/>
      <c r="M260" s="630"/>
      <c r="N260" s="630"/>
      <c r="O260" s="630"/>
      <c r="P260" s="630"/>
      <c r="Q260" s="630"/>
      <c r="R260" s="598">
        <v>3</v>
      </c>
      <c r="S260" s="631">
        <f t="shared" si="5"/>
        <v>5.8708414872798433E-4</v>
      </c>
      <c r="T260" s="599">
        <v>190</v>
      </c>
      <c r="U260" s="631">
        <f t="shared" si="6"/>
        <v>2.7607571449121427E-4</v>
      </c>
      <c r="V260" s="621"/>
      <c r="W260" s="624"/>
      <c r="X260" s="543"/>
      <c r="Y260" s="604"/>
    </row>
    <row r="261" spans="1:25" s="544" customFormat="1" x14ac:dyDescent="0.3">
      <c r="A261" s="555"/>
      <c r="B261" s="598" t="s">
        <v>157</v>
      </c>
      <c r="C261" s="630"/>
      <c r="D261" s="630"/>
      <c r="E261" s="630"/>
      <c r="F261" s="556"/>
      <c r="G261" s="631"/>
      <c r="H261" s="630"/>
      <c r="I261" s="630"/>
      <c r="J261" s="630"/>
      <c r="K261" s="630"/>
      <c r="L261" s="630"/>
      <c r="M261" s="630"/>
      <c r="N261" s="630"/>
      <c r="O261" s="630"/>
      <c r="P261" s="630"/>
      <c r="Q261" s="630"/>
      <c r="R261" s="598">
        <v>2</v>
      </c>
      <c r="S261" s="631">
        <f t="shared" si="5"/>
        <v>3.9138943248532291E-4</v>
      </c>
      <c r="T261" s="599">
        <v>416</v>
      </c>
      <c r="U261" s="631">
        <f t="shared" si="6"/>
        <v>6.0446051172813222E-4</v>
      </c>
      <c r="V261" s="621"/>
      <c r="W261" s="624"/>
      <c r="X261" s="543"/>
    </row>
    <row r="262" spans="1:25" s="544" customFormat="1" x14ac:dyDescent="0.3">
      <c r="A262" s="555"/>
      <c r="B262" s="598" t="s">
        <v>158</v>
      </c>
      <c r="C262" s="630"/>
      <c r="D262" s="630"/>
      <c r="E262" s="630"/>
      <c r="F262" s="556"/>
      <c r="G262" s="631"/>
      <c r="H262" s="630"/>
      <c r="I262" s="630"/>
      <c r="J262" s="630"/>
      <c r="K262" s="630"/>
      <c r="L262" s="630"/>
      <c r="M262" s="630"/>
      <c r="N262" s="630"/>
      <c r="O262" s="630"/>
      <c r="P262" s="630"/>
      <c r="Q262" s="630"/>
      <c r="R262" s="598">
        <v>2</v>
      </c>
      <c r="S262" s="631">
        <f t="shared" si="5"/>
        <v>3.9138943248532291E-4</v>
      </c>
      <c r="T262" s="599">
        <v>135</v>
      </c>
      <c r="U262" s="631">
        <f t="shared" si="6"/>
        <v>1.9615906029638909E-4</v>
      </c>
      <c r="V262" s="621"/>
      <c r="W262" s="624"/>
      <c r="X262" s="543"/>
      <c r="Y262" s="604"/>
    </row>
    <row r="263" spans="1:25" s="544" customFormat="1" x14ac:dyDescent="0.3">
      <c r="A263" s="555"/>
      <c r="B263" s="598" t="s">
        <v>159</v>
      </c>
      <c r="C263" s="630"/>
      <c r="D263" s="630"/>
      <c r="E263" s="630"/>
      <c r="F263" s="556"/>
      <c r="G263" s="631"/>
      <c r="H263" s="630"/>
      <c r="I263" s="630"/>
      <c r="J263" s="630"/>
      <c r="K263" s="630"/>
      <c r="L263" s="630"/>
      <c r="M263" s="630"/>
      <c r="N263" s="630"/>
      <c r="O263" s="630"/>
      <c r="P263" s="630"/>
      <c r="Q263" s="630"/>
      <c r="R263" s="598">
        <v>5</v>
      </c>
      <c r="S263" s="631">
        <f t="shared" si="5"/>
        <v>9.7847358121330719E-4</v>
      </c>
      <c r="T263" s="599">
        <v>487</v>
      </c>
      <c r="U263" s="631">
        <f t="shared" si="6"/>
        <v>7.0762564714327021E-4</v>
      </c>
      <c r="V263" s="621"/>
      <c r="W263" s="624"/>
      <c r="X263" s="543"/>
    </row>
    <row r="264" spans="1:25" s="544" customFormat="1" x14ac:dyDescent="0.3">
      <c r="A264" s="555"/>
      <c r="B264" s="598" t="s">
        <v>160</v>
      </c>
      <c r="C264" s="630"/>
      <c r="D264" s="630"/>
      <c r="E264" s="630"/>
      <c r="F264" s="556"/>
      <c r="G264" s="631"/>
      <c r="H264" s="630"/>
      <c r="I264" s="630"/>
      <c r="J264" s="630"/>
      <c r="K264" s="630"/>
      <c r="L264" s="630"/>
      <c r="M264" s="630"/>
      <c r="N264" s="630"/>
      <c r="O264" s="630"/>
      <c r="P264" s="630"/>
      <c r="Q264" s="630"/>
      <c r="R264" s="598">
        <v>0</v>
      </c>
      <c r="S264" s="631">
        <f t="shared" si="5"/>
        <v>0</v>
      </c>
      <c r="T264" s="599">
        <v>0</v>
      </c>
      <c r="U264" s="631">
        <f t="shared" si="6"/>
        <v>0</v>
      </c>
      <c r="V264" s="621"/>
      <c r="W264" s="624"/>
      <c r="X264" s="543"/>
      <c r="Y264" s="604"/>
    </row>
    <row r="265" spans="1:25" s="544" customFormat="1" x14ac:dyDescent="0.3">
      <c r="A265" s="555"/>
      <c r="B265" s="598"/>
      <c r="C265" s="630"/>
      <c r="D265" s="630"/>
      <c r="E265" s="630"/>
      <c r="F265" s="556"/>
      <c r="G265" s="631"/>
      <c r="H265" s="630"/>
      <c r="I265" s="630"/>
      <c r="J265" s="630"/>
      <c r="K265" s="630"/>
      <c r="L265" s="630"/>
      <c r="M265" s="630"/>
      <c r="N265" s="630"/>
      <c r="O265" s="630"/>
      <c r="P265" s="630"/>
      <c r="Q265" s="630"/>
      <c r="R265" s="598"/>
      <c r="S265" s="631"/>
      <c r="T265" s="599"/>
      <c r="U265" s="631"/>
      <c r="V265" s="621"/>
      <c r="W265" s="624"/>
      <c r="X265" s="543"/>
    </row>
    <row r="266" spans="1:25" s="544" customFormat="1" x14ac:dyDescent="0.3">
      <c r="A266" s="555"/>
      <c r="B266" s="556" t="s">
        <v>114</v>
      </c>
      <c r="C266" s="556"/>
      <c r="D266" s="556"/>
      <c r="E266" s="556"/>
      <c r="F266" s="556"/>
      <c r="G266" s="556"/>
      <c r="H266" s="632"/>
      <c r="I266" s="632"/>
      <c r="J266" s="632"/>
      <c r="K266" s="632"/>
      <c r="L266" s="632"/>
      <c r="M266" s="632"/>
      <c r="N266" s="632"/>
      <c r="O266" s="632"/>
      <c r="P266" s="632"/>
      <c r="Q266" s="632"/>
      <c r="R266" s="598">
        <f>SUM(R257:R265)</f>
        <v>5110</v>
      </c>
      <c r="S266" s="631">
        <f>SUM(S257:S265)</f>
        <v>1</v>
      </c>
      <c r="T266" s="599">
        <f>SUM(T257:T265)</f>
        <v>688217</v>
      </c>
      <c r="U266" s="631">
        <f>SUM(U257:U265)</f>
        <v>0.99999999999999989</v>
      </c>
      <c r="V266" s="556"/>
      <c r="W266" s="558"/>
      <c r="X266" s="543"/>
    </row>
    <row r="267" spans="1:25" x14ac:dyDescent="0.3">
      <c r="A267" s="417"/>
      <c r="B267" s="441"/>
      <c r="C267" s="441"/>
      <c r="D267" s="441"/>
      <c r="E267" s="441"/>
      <c r="F267" s="441"/>
      <c r="G267" s="441"/>
      <c r="H267" s="485"/>
      <c r="I267" s="485"/>
      <c r="J267" s="485"/>
      <c r="K267" s="485"/>
      <c r="L267" s="485"/>
      <c r="M267" s="485"/>
      <c r="N267" s="485"/>
      <c r="O267" s="485"/>
      <c r="P267" s="485"/>
      <c r="Q267" s="485"/>
      <c r="R267" s="442"/>
      <c r="S267" s="486"/>
      <c r="T267" s="487"/>
      <c r="U267" s="486"/>
      <c r="V267" s="441"/>
      <c r="W267" s="441"/>
      <c r="X267" s="415"/>
    </row>
    <row r="268" spans="1:25" x14ac:dyDescent="0.3">
      <c r="A268" s="515"/>
      <c r="B268" s="523" t="s">
        <v>275</v>
      </c>
      <c r="C268" s="524"/>
      <c r="D268" s="524"/>
      <c r="E268" s="524"/>
      <c r="F268" s="534"/>
      <c r="G268" s="524"/>
      <c r="H268" s="524"/>
      <c r="I268" s="524"/>
      <c r="J268" s="524"/>
      <c r="K268" s="524"/>
      <c r="L268" s="524"/>
      <c r="M268" s="524"/>
      <c r="N268" s="524"/>
      <c r="O268" s="524"/>
      <c r="P268" s="524"/>
      <c r="Q268" s="524"/>
      <c r="R268" s="534" t="s">
        <v>102</v>
      </c>
      <c r="S268" s="524" t="s">
        <v>103</v>
      </c>
      <c r="T268" s="534" t="s">
        <v>109</v>
      </c>
      <c r="U268" s="524" t="s">
        <v>103</v>
      </c>
      <c r="V268" s="517"/>
      <c r="W268" s="520"/>
      <c r="X268" s="415"/>
    </row>
    <row r="269" spans="1:25" s="544" customFormat="1" x14ac:dyDescent="0.3">
      <c r="A269" s="540"/>
      <c r="B269" s="600" t="s">
        <v>88</v>
      </c>
      <c r="C269" s="627"/>
      <c r="D269" s="627"/>
      <c r="E269" s="627"/>
      <c r="F269" s="588"/>
      <c r="G269" s="627"/>
      <c r="H269" s="627"/>
      <c r="I269" s="627"/>
      <c r="J269" s="627"/>
      <c r="K269" s="627"/>
      <c r="L269" s="627"/>
      <c r="M269" s="627"/>
      <c r="N269" s="627"/>
      <c r="O269" s="627"/>
      <c r="P269" s="627"/>
      <c r="Q269" s="627"/>
      <c r="R269" s="600">
        <v>98</v>
      </c>
      <c r="S269" s="628">
        <f t="shared" ref="S269:S276" si="7">R269/$R$278</f>
        <v>0.875</v>
      </c>
      <c r="T269" s="601">
        <v>15217</v>
      </c>
      <c r="U269" s="628">
        <f t="shared" ref="U269:U276" si="8">T269/$T$278</f>
        <v>0.87711107268430455</v>
      </c>
      <c r="V269" s="588"/>
      <c r="W269" s="588"/>
      <c r="X269" s="543"/>
    </row>
    <row r="270" spans="1:25" s="544" customFormat="1" x14ac:dyDescent="0.3">
      <c r="A270" s="555"/>
      <c r="B270" s="598" t="s">
        <v>89</v>
      </c>
      <c r="C270" s="630"/>
      <c r="D270" s="630"/>
      <c r="E270" s="630"/>
      <c r="F270" s="556"/>
      <c r="G270" s="631"/>
      <c r="H270" s="630"/>
      <c r="I270" s="630"/>
      <c r="J270" s="630"/>
      <c r="K270" s="630"/>
      <c r="L270" s="630"/>
      <c r="M270" s="630"/>
      <c r="N270" s="630"/>
      <c r="O270" s="630"/>
      <c r="P270" s="630"/>
      <c r="Q270" s="630"/>
      <c r="R270" s="598">
        <v>3</v>
      </c>
      <c r="S270" s="631">
        <f t="shared" si="7"/>
        <v>2.6785714285714284E-2</v>
      </c>
      <c r="T270" s="599">
        <v>394</v>
      </c>
      <c r="U270" s="631">
        <f t="shared" si="8"/>
        <v>2.2710242665283303E-2</v>
      </c>
      <c r="V270" s="556"/>
      <c r="W270" s="558"/>
      <c r="X270" s="543"/>
    </row>
    <row r="271" spans="1:25" s="544" customFormat="1" x14ac:dyDescent="0.3">
      <c r="A271" s="555"/>
      <c r="B271" s="598" t="s">
        <v>90</v>
      </c>
      <c r="C271" s="630"/>
      <c r="D271" s="630"/>
      <c r="E271" s="630"/>
      <c r="F271" s="556"/>
      <c r="G271" s="631"/>
      <c r="H271" s="630"/>
      <c r="I271" s="630"/>
      <c r="J271" s="630"/>
      <c r="K271" s="630"/>
      <c r="L271" s="630"/>
      <c r="M271" s="630"/>
      <c r="N271" s="630"/>
      <c r="O271" s="630"/>
      <c r="P271" s="630"/>
      <c r="Q271" s="630"/>
      <c r="R271" s="598">
        <v>1</v>
      </c>
      <c r="S271" s="631">
        <f t="shared" si="7"/>
        <v>8.9285714285714281E-3</v>
      </c>
      <c r="T271" s="599">
        <v>111</v>
      </c>
      <c r="U271" s="631">
        <f t="shared" si="8"/>
        <v>6.3980632889503722E-3</v>
      </c>
      <c r="V271" s="556"/>
      <c r="W271" s="558"/>
      <c r="X271" s="543"/>
    </row>
    <row r="272" spans="1:25" s="544" customFormat="1" x14ac:dyDescent="0.3">
      <c r="A272" s="555"/>
      <c r="B272" s="598" t="s">
        <v>156</v>
      </c>
      <c r="C272" s="630"/>
      <c r="D272" s="630"/>
      <c r="E272" s="630"/>
      <c r="F272" s="556"/>
      <c r="G272" s="631"/>
      <c r="H272" s="630"/>
      <c r="I272" s="630"/>
      <c r="J272" s="630"/>
      <c r="K272" s="630"/>
      <c r="L272" s="630"/>
      <c r="M272" s="630"/>
      <c r="N272" s="630"/>
      <c r="O272" s="630"/>
      <c r="P272" s="630"/>
      <c r="Q272" s="630"/>
      <c r="R272" s="598">
        <v>1</v>
      </c>
      <c r="S272" s="631">
        <f t="shared" si="7"/>
        <v>8.9285714285714281E-3</v>
      </c>
      <c r="T272" s="599">
        <v>146</v>
      </c>
      <c r="U272" s="631">
        <f t="shared" si="8"/>
        <v>8.4154706323131025E-3</v>
      </c>
      <c r="V272" s="556"/>
      <c r="W272" s="558"/>
      <c r="X272" s="543"/>
    </row>
    <row r="273" spans="1:24" s="544" customFormat="1" x14ac:dyDescent="0.3">
      <c r="A273" s="555"/>
      <c r="B273" s="598" t="s">
        <v>157</v>
      </c>
      <c r="C273" s="630"/>
      <c r="D273" s="630"/>
      <c r="E273" s="630"/>
      <c r="F273" s="556"/>
      <c r="G273" s="631"/>
      <c r="H273" s="630"/>
      <c r="I273" s="630"/>
      <c r="J273" s="630"/>
      <c r="K273" s="630"/>
      <c r="L273" s="630"/>
      <c r="M273" s="630"/>
      <c r="N273" s="630"/>
      <c r="O273" s="630"/>
      <c r="P273" s="630"/>
      <c r="Q273" s="630"/>
      <c r="R273" s="598">
        <v>1</v>
      </c>
      <c r="S273" s="631">
        <f t="shared" si="7"/>
        <v>8.9285714285714281E-3</v>
      </c>
      <c r="T273" s="599">
        <v>340</v>
      </c>
      <c r="U273" s="631">
        <f t="shared" si="8"/>
        <v>1.9597671335523661E-2</v>
      </c>
      <c r="V273" s="556"/>
      <c r="W273" s="558"/>
      <c r="X273" s="543"/>
    </row>
    <row r="274" spans="1:24" s="544" customFormat="1" x14ac:dyDescent="0.3">
      <c r="A274" s="555"/>
      <c r="B274" s="598" t="s">
        <v>158</v>
      </c>
      <c r="C274" s="630"/>
      <c r="D274" s="630"/>
      <c r="E274" s="630"/>
      <c r="F274" s="556"/>
      <c r="G274" s="631"/>
      <c r="H274" s="630"/>
      <c r="I274" s="630"/>
      <c r="J274" s="630"/>
      <c r="K274" s="630"/>
      <c r="L274" s="630"/>
      <c r="M274" s="630"/>
      <c r="N274" s="630"/>
      <c r="O274" s="630"/>
      <c r="P274" s="630"/>
      <c r="Q274" s="630"/>
      <c r="R274" s="598">
        <v>0</v>
      </c>
      <c r="S274" s="631">
        <f t="shared" si="7"/>
        <v>0</v>
      </c>
      <c r="T274" s="599">
        <v>0</v>
      </c>
      <c r="U274" s="631">
        <f t="shared" si="8"/>
        <v>0</v>
      </c>
      <c r="V274" s="556"/>
      <c r="W274" s="558"/>
      <c r="X274" s="543"/>
    </row>
    <row r="275" spans="1:24" s="544" customFormat="1" x14ac:dyDescent="0.3">
      <c r="A275" s="555"/>
      <c r="B275" s="598" t="s">
        <v>159</v>
      </c>
      <c r="C275" s="630"/>
      <c r="D275" s="630"/>
      <c r="E275" s="630"/>
      <c r="F275" s="556"/>
      <c r="G275" s="631"/>
      <c r="H275" s="630"/>
      <c r="I275" s="630"/>
      <c r="J275" s="630"/>
      <c r="K275" s="630"/>
      <c r="L275" s="630"/>
      <c r="M275" s="630"/>
      <c r="N275" s="630"/>
      <c r="O275" s="630"/>
      <c r="P275" s="630"/>
      <c r="Q275" s="630"/>
      <c r="R275" s="598">
        <v>2</v>
      </c>
      <c r="S275" s="631">
        <f t="shared" si="7"/>
        <v>1.7857142857142856E-2</v>
      </c>
      <c r="T275" s="599">
        <v>331</v>
      </c>
      <c r="U275" s="631">
        <f t="shared" si="8"/>
        <v>1.9078909447230386E-2</v>
      </c>
      <c r="V275" s="556"/>
      <c r="W275" s="558"/>
      <c r="X275" s="543"/>
    </row>
    <row r="276" spans="1:24" s="544" customFormat="1" x14ac:dyDescent="0.3">
      <c r="A276" s="555"/>
      <c r="B276" s="598" t="s">
        <v>160</v>
      </c>
      <c r="C276" s="630"/>
      <c r="D276" s="630"/>
      <c r="E276" s="630"/>
      <c r="F276" s="556"/>
      <c r="G276" s="631"/>
      <c r="H276" s="630"/>
      <c r="I276" s="630"/>
      <c r="J276" s="630"/>
      <c r="K276" s="630"/>
      <c r="L276" s="630"/>
      <c r="M276" s="630"/>
      <c r="N276" s="630"/>
      <c r="O276" s="630"/>
      <c r="P276" s="630"/>
      <c r="Q276" s="630"/>
      <c r="R276" s="598">
        <v>6</v>
      </c>
      <c r="S276" s="631">
        <f t="shared" si="7"/>
        <v>5.3571428571428568E-2</v>
      </c>
      <c r="T276" s="599">
        <v>810</v>
      </c>
      <c r="U276" s="631">
        <f t="shared" si="8"/>
        <v>4.6688569946394608E-2</v>
      </c>
      <c r="V276" s="556"/>
      <c r="W276" s="558"/>
      <c r="X276" s="543"/>
    </row>
    <row r="277" spans="1:24" s="544" customFormat="1" x14ac:dyDescent="0.3">
      <c r="A277" s="555"/>
      <c r="B277" s="598"/>
      <c r="C277" s="630"/>
      <c r="D277" s="630"/>
      <c r="E277" s="630"/>
      <c r="F277" s="556"/>
      <c r="G277" s="631"/>
      <c r="H277" s="630"/>
      <c r="I277" s="630"/>
      <c r="J277" s="630"/>
      <c r="K277" s="630"/>
      <c r="L277" s="630"/>
      <c r="M277" s="630"/>
      <c r="N277" s="630"/>
      <c r="O277" s="630"/>
      <c r="P277" s="630"/>
      <c r="Q277" s="630"/>
      <c r="R277" s="598"/>
      <c r="S277" s="631"/>
      <c r="T277" s="599"/>
      <c r="U277" s="631"/>
      <c r="V277" s="556"/>
      <c r="W277" s="558"/>
      <c r="X277" s="543"/>
    </row>
    <row r="278" spans="1:24" s="544" customFormat="1" x14ac:dyDescent="0.3">
      <c r="A278" s="555"/>
      <c r="B278" s="556" t="s">
        <v>114</v>
      </c>
      <c r="C278" s="556"/>
      <c r="D278" s="556"/>
      <c r="E278" s="556"/>
      <c r="F278" s="556"/>
      <c r="G278" s="556"/>
      <c r="H278" s="632"/>
      <c r="I278" s="632"/>
      <c r="J278" s="632"/>
      <c r="K278" s="632"/>
      <c r="L278" s="632"/>
      <c r="M278" s="632"/>
      <c r="N278" s="632"/>
      <c r="O278" s="632"/>
      <c r="P278" s="632"/>
      <c r="Q278" s="632"/>
      <c r="R278" s="598">
        <f>SUM(R269:R277)</f>
        <v>112</v>
      </c>
      <c r="S278" s="631">
        <f>SUM(S269:S277)</f>
        <v>1</v>
      </c>
      <c r="T278" s="599">
        <f>SUM(T269:T277)</f>
        <v>17349</v>
      </c>
      <c r="U278" s="631">
        <f>SUM(U269:U277)</f>
        <v>0.99999999999999989</v>
      </c>
      <c r="V278" s="556"/>
      <c r="W278" s="558"/>
      <c r="X278" s="543"/>
    </row>
    <row r="279" spans="1:24" s="544" customFormat="1" x14ac:dyDescent="0.3">
      <c r="A279" s="540"/>
      <c r="B279" s="588"/>
      <c r="C279" s="588"/>
      <c r="D279" s="588"/>
      <c r="E279" s="588"/>
      <c r="F279" s="588"/>
      <c r="G279" s="588"/>
      <c r="H279" s="633"/>
      <c r="I279" s="633"/>
      <c r="J279" s="633"/>
      <c r="K279" s="633"/>
      <c r="L279" s="633"/>
      <c r="M279" s="633"/>
      <c r="N279" s="633"/>
      <c r="O279" s="633"/>
      <c r="P279" s="633"/>
      <c r="Q279" s="633"/>
      <c r="R279" s="600"/>
      <c r="S279" s="628"/>
      <c r="T279" s="601"/>
      <c r="U279" s="628"/>
      <c r="V279" s="588"/>
      <c r="W279" s="588"/>
      <c r="X279" s="543"/>
    </row>
    <row r="280" spans="1:24" s="544" customFormat="1" x14ac:dyDescent="0.3">
      <c r="A280" s="647"/>
      <c r="B280" s="648" t="s">
        <v>405</v>
      </c>
      <c r="C280" s="649"/>
      <c r="D280" s="649"/>
      <c r="E280" s="649"/>
      <c r="F280" s="650"/>
      <c r="G280" s="649"/>
      <c r="H280" s="649"/>
      <c r="I280" s="649"/>
      <c r="J280" s="649"/>
      <c r="K280" s="649"/>
      <c r="L280" s="649"/>
      <c r="M280" s="649"/>
      <c r="N280" s="649"/>
      <c r="O280" s="649"/>
      <c r="P280" s="649"/>
      <c r="Q280" s="649"/>
      <c r="R280" s="650" t="s">
        <v>102</v>
      </c>
      <c r="S280" s="649" t="s">
        <v>103</v>
      </c>
      <c r="T280" s="650" t="s">
        <v>109</v>
      </c>
      <c r="U280" s="649" t="s">
        <v>103</v>
      </c>
      <c r="V280" s="649"/>
      <c r="W280" s="649"/>
      <c r="X280" s="543"/>
    </row>
    <row r="281" spans="1:24" s="544" customFormat="1" x14ac:dyDescent="0.3">
      <c r="A281" s="651"/>
      <c r="B281" s="652" t="s">
        <v>406</v>
      </c>
      <c r="C281" s="652"/>
      <c r="D281" s="652"/>
      <c r="E281" s="652"/>
      <c r="F281" s="652"/>
      <c r="G281" s="652"/>
      <c r="H281" s="653"/>
      <c r="I281" s="653"/>
      <c r="J281" s="653"/>
      <c r="K281" s="653"/>
      <c r="L281" s="653"/>
      <c r="M281" s="653"/>
      <c r="N281" s="653"/>
      <c r="O281" s="653"/>
      <c r="P281" s="653"/>
      <c r="Q281" s="653"/>
      <c r="R281" s="655">
        <v>87</v>
      </c>
      <c r="S281" s="656">
        <f>R281/R288</f>
        <v>0.7767857142857143</v>
      </c>
      <c r="T281" s="657">
        <v>13532</v>
      </c>
      <c r="U281" s="656">
        <f>T281/T288</f>
        <v>0.77998731915384167</v>
      </c>
      <c r="V281" s="653"/>
      <c r="W281" s="653"/>
      <c r="X281" s="543"/>
    </row>
    <row r="282" spans="1:24" s="544" customFormat="1" x14ac:dyDescent="0.3">
      <c r="A282" s="651"/>
      <c r="B282" s="652" t="s">
        <v>407</v>
      </c>
      <c r="C282" s="652"/>
      <c r="D282" s="652"/>
      <c r="E282" s="652"/>
      <c r="F282" s="652"/>
      <c r="G282" s="652"/>
      <c r="H282" s="653"/>
      <c r="I282" s="653"/>
      <c r="J282" s="653"/>
      <c r="K282" s="653"/>
      <c r="L282" s="653"/>
      <c r="M282" s="653"/>
      <c r="N282" s="653"/>
      <c r="O282" s="653"/>
      <c r="P282" s="653"/>
      <c r="Q282" s="653"/>
      <c r="R282" s="655">
        <v>4</v>
      </c>
      <c r="S282" s="656">
        <f>R282/R288</f>
        <v>3.5714285714285712E-2</v>
      </c>
      <c r="T282" s="657">
        <v>597</v>
      </c>
      <c r="U282" s="656">
        <f>T282/T288</f>
        <v>3.4411205256787133E-2</v>
      </c>
      <c r="V282" s="653"/>
      <c r="W282" s="653"/>
      <c r="X282" s="543"/>
    </row>
    <row r="283" spans="1:24" s="544" customFormat="1" x14ac:dyDescent="0.3">
      <c r="A283" s="651"/>
      <c r="B283" s="652" t="s">
        <v>408</v>
      </c>
      <c r="C283" s="652"/>
      <c r="D283" s="652"/>
      <c r="E283" s="652"/>
      <c r="F283" s="652"/>
      <c r="G283" s="652"/>
      <c r="H283" s="653"/>
      <c r="I283" s="653"/>
      <c r="J283" s="653"/>
      <c r="K283" s="653"/>
      <c r="L283" s="653"/>
      <c r="M283" s="653"/>
      <c r="N283" s="653"/>
      <c r="O283" s="653"/>
      <c r="P283" s="653"/>
      <c r="Q283" s="653"/>
      <c r="R283" s="655">
        <v>9</v>
      </c>
      <c r="S283" s="656">
        <f>R283/R288</f>
        <v>8.0357142857142863E-2</v>
      </c>
      <c r="T283" s="657">
        <v>1283</v>
      </c>
      <c r="U283" s="656">
        <f>T283/T288</f>
        <v>7.3952389186696638E-2</v>
      </c>
      <c r="V283" s="653"/>
      <c r="W283" s="653"/>
      <c r="X283" s="543"/>
    </row>
    <row r="284" spans="1:24" s="544" customFormat="1" x14ac:dyDescent="0.3">
      <c r="A284" s="651"/>
      <c r="B284" s="652" t="s">
        <v>409</v>
      </c>
      <c r="C284" s="652"/>
      <c r="D284" s="652"/>
      <c r="E284" s="652"/>
      <c r="F284" s="652"/>
      <c r="G284" s="652"/>
      <c r="H284" s="653"/>
      <c r="I284" s="653"/>
      <c r="J284" s="653"/>
      <c r="K284" s="653"/>
      <c r="L284" s="653"/>
      <c r="M284" s="653"/>
      <c r="N284" s="653"/>
      <c r="O284" s="653"/>
      <c r="P284" s="653"/>
      <c r="Q284" s="653"/>
      <c r="R284" s="655">
        <v>6</v>
      </c>
      <c r="S284" s="656">
        <f>R284/R288</f>
        <v>5.3571428571428568E-2</v>
      </c>
      <c r="T284" s="657">
        <v>1022</v>
      </c>
      <c r="U284" s="656">
        <f>T284/T288</f>
        <v>5.8908294426191714E-2</v>
      </c>
      <c r="V284" s="653"/>
      <c r="W284" s="653"/>
      <c r="X284" s="543"/>
    </row>
    <row r="285" spans="1:24" s="544" customFormat="1" x14ac:dyDescent="0.3">
      <c r="A285" s="651"/>
      <c r="B285" s="652" t="s">
        <v>413</v>
      </c>
      <c r="C285" s="652"/>
      <c r="D285" s="652"/>
      <c r="E285" s="652"/>
      <c r="F285" s="652"/>
      <c r="G285" s="652"/>
      <c r="H285" s="653"/>
      <c r="I285" s="653"/>
      <c r="J285" s="653"/>
      <c r="K285" s="653"/>
      <c r="L285" s="653"/>
      <c r="M285" s="653"/>
      <c r="N285" s="653"/>
      <c r="O285" s="653"/>
      <c r="P285" s="653"/>
      <c r="Q285" s="653"/>
      <c r="R285" s="655">
        <v>4</v>
      </c>
      <c r="S285" s="656">
        <f>R285/R288</f>
        <v>3.5714285714285712E-2</v>
      </c>
      <c r="T285" s="657">
        <v>693</v>
      </c>
      <c r="U285" s="656">
        <f>T285/T288</f>
        <v>3.9944665398582054E-2</v>
      </c>
      <c r="V285" s="653"/>
      <c r="W285" s="653"/>
      <c r="X285" s="543"/>
    </row>
    <row r="286" spans="1:24" s="544" customFormat="1" x14ac:dyDescent="0.3">
      <c r="A286" s="651"/>
      <c r="B286" s="654" t="s">
        <v>410</v>
      </c>
      <c r="C286" s="652"/>
      <c r="D286" s="652"/>
      <c r="E286" s="652"/>
      <c r="F286" s="652"/>
      <c r="G286" s="652"/>
      <c r="H286" s="653"/>
      <c r="I286" s="653"/>
      <c r="J286" s="653"/>
      <c r="K286" s="653"/>
      <c r="L286" s="653"/>
      <c r="M286" s="653"/>
      <c r="N286" s="653"/>
      <c r="O286" s="653"/>
      <c r="P286" s="653"/>
      <c r="Q286" s="653"/>
      <c r="R286" s="655">
        <v>2</v>
      </c>
      <c r="S286" s="656">
        <f>R286/R288</f>
        <v>1.7857142857142856E-2</v>
      </c>
      <c r="T286" s="657">
        <v>222</v>
      </c>
      <c r="U286" s="656">
        <f>T286/T288</f>
        <v>1.2796126577900744E-2</v>
      </c>
      <c r="V286" s="653"/>
      <c r="W286" s="653"/>
      <c r="X286" s="543"/>
    </row>
    <row r="287" spans="1:24" s="544" customFormat="1" x14ac:dyDescent="0.3">
      <c r="A287" s="651"/>
      <c r="B287" s="652"/>
      <c r="C287" s="652"/>
      <c r="D287" s="652"/>
      <c r="E287" s="652"/>
      <c r="F287" s="652"/>
      <c r="G287" s="652"/>
      <c r="H287" s="653"/>
      <c r="I287" s="653"/>
      <c r="J287" s="653"/>
      <c r="K287" s="653"/>
      <c r="L287" s="653"/>
      <c r="M287" s="653"/>
      <c r="N287" s="653"/>
      <c r="O287" s="653"/>
      <c r="P287" s="653"/>
      <c r="Q287" s="653"/>
      <c r="R287" s="655"/>
      <c r="S287" s="656"/>
      <c r="T287" s="657"/>
      <c r="U287" s="656"/>
      <c r="V287" s="653"/>
      <c r="W287" s="653"/>
      <c r="X287" s="543"/>
    </row>
    <row r="288" spans="1:24" s="544" customFormat="1" x14ac:dyDescent="0.3">
      <c r="A288" s="651"/>
      <c r="B288" s="652" t="s">
        <v>114</v>
      </c>
      <c r="C288" s="652"/>
      <c r="D288" s="652"/>
      <c r="E288" s="652"/>
      <c r="F288" s="652"/>
      <c r="G288" s="652"/>
      <c r="H288" s="653"/>
      <c r="I288" s="653"/>
      <c r="J288" s="653"/>
      <c r="K288" s="653"/>
      <c r="L288" s="653"/>
      <c r="M288" s="653"/>
      <c r="N288" s="653"/>
      <c r="O288" s="653"/>
      <c r="P288" s="653"/>
      <c r="Q288" s="653"/>
      <c r="R288" s="655">
        <f>SUM(R281:R287)</f>
        <v>112</v>
      </c>
      <c r="S288" s="656">
        <f>SUM(S281:S286)</f>
        <v>1</v>
      </c>
      <c r="T288" s="657">
        <f>SUM(T281:T286)</f>
        <v>17349</v>
      </c>
      <c r="U288" s="656">
        <f>SUM(U281:U287)</f>
        <v>1</v>
      </c>
      <c r="V288" s="653"/>
      <c r="W288" s="653"/>
      <c r="X288" s="543"/>
    </row>
    <row r="289" spans="1:24" x14ac:dyDescent="0.3">
      <c r="A289" s="417"/>
      <c r="B289" s="437"/>
      <c r="C289" s="437"/>
      <c r="D289" s="437"/>
      <c r="E289" s="437"/>
      <c r="F289" s="437"/>
      <c r="G289" s="437"/>
      <c r="H289" s="488"/>
      <c r="I289" s="488"/>
      <c r="J289" s="488"/>
      <c r="K289" s="488"/>
      <c r="L289" s="488"/>
      <c r="M289" s="488"/>
      <c r="N289" s="488"/>
      <c r="O289" s="488"/>
      <c r="P289" s="488"/>
      <c r="Q289" s="488"/>
      <c r="R289" s="447"/>
      <c r="S289" s="483"/>
      <c r="T289" s="484"/>
      <c r="U289" s="483"/>
      <c r="V289" s="437"/>
      <c r="W289" s="437"/>
      <c r="X289" s="415"/>
    </row>
    <row r="290" spans="1:24" x14ac:dyDescent="0.3">
      <c r="A290" s="515"/>
      <c r="B290" s="523" t="s">
        <v>163</v>
      </c>
      <c r="C290" s="517"/>
      <c r="D290" s="517"/>
      <c r="E290" s="517"/>
      <c r="F290" s="517"/>
      <c r="G290" s="517"/>
      <c r="H290" s="536"/>
      <c r="I290" s="536"/>
      <c r="J290" s="536"/>
      <c r="K290" s="536"/>
      <c r="L290" s="536"/>
      <c r="M290" s="536"/>
      <c r="N290" s="536"/>
      <c r="O290" s="536"/>
      <c r="P290" s="536"/>
      <c r="Q290" s="536"/>
      <c r="R290" s="534" t="s">
        <v>102</v>
      </c>
      <c r="S290" s="524" t="s">
        <v>103</v>
      </c>
      <c r="T290" s="534" t="s">
        <v>109</v>
      </c>
      <c r="U290" s="524" t="s">
        <v>103</v>
      </c>
      <c r="V290" s="517"/>
      <c r="W290" s="520"/>
      <c r="X290" s="415"/>
    </row>
    <row r="291" spans="1:24" s="544" customFormat="1" x14ac:dyDescent="0.3">
      <c r="A291" s="540"/>
      <c r="B291" s="600" t="s">
        <v>88</v>
      </c>
      <c r="C291" s="588"/>
      <c r="D291" s="588"/>
      <c r="E291" s="588"/>
      <c r="F291" s="588"/>
      <c r="G291" s="588"/>
      <c r="H291" s="633"/>
      <c r="I291" s="633"/>
      <c r="J291" s="633"/>
      <c r="K291" s="633"/>
      <c r="L291" s="633"/>
      <c r="M291" s="633"/>
      <c r="N291" s="633"/>
      <c r="O291" s="633"/>
      <c r="P291" s="633"/>
      <c r="Q291" s="633"/>
      <c r="R291" s="600">
        <v>0</v>
      </c>
      <c r="S291" s="628">
        <v>0</v>
      </c>
      <c r="T291" s="601">
        <v>0</v>
      </c>
      <c r="U291" s="628">
        <v>0</v>
      </c>
      <c r="V291" s="588"/>
      <c r="W291" s="588"/>
      <c r="X291" s="543"/>
    </row>
    <row r="292" spans="1:24" s="544" customFormat="1" x14ac:dyDescent="0.3">
      <c r="A292" s="555"/>
      <c r="B292" s="598" t="s">
        <v>89</v>
      </c>
      <c r="C292" s="556"/>
      <c r="D292" s="556"/>
      <c r="E292" s="556"/>
      <c r="F292" s="556"/>
      <c r="G292" s="556"/>
      <c r="H292" s="632"/>
      <c r="I292" s="632"/>
      <c r="J292" s="632"/>
      <c r="K292" s="632"/>
      <c r="L292" s="632"/>
      <c r="M292" s="632"/>
      <c r="N292" s="632"/>
      <c r="O292" s="632"/>
      <c r="P292" s="632"/>
      <c r="Q292" s="632"/>
      <c r="R292" s="598">
        <v>0</v>
      </c>
      <c r="S292" s="631">
        <v>0</v>
      </c>
      <c r="T292" s="599">
        <v>0</v>
      </c>
      <c r="U292" s="631">
        <v>0</v>
      </c>
      <c r="V292" s="556"/>
      <c r="W292" s="558"/>
      <c r="X292" s="543"/>
    </row>
    <row r="293" spans="1:24" s="544" customFormat="1" x14ac:dyDescent="0.3">
      <c r="A293" s="555"/>
      <c r="B293" s="598" t="s">
        <v>90</v>
      </c>
      <c r="C293" s="556"/>
      <c r="D293" s="556"/>
      <c r="E293" s="556"/>
      <c r="F293" s="556"/>
      <c r="G293" s="556"/>
      <c r="H293" s="632"/>
      <c r="I293" s="632"/>
      <c r="J293" s="632"/>
      <c r="K293" s="632"/>
      <c r="L293" s="632"/>
      <c r="M293" s="632"/>
      <c r="N293" s="632"/>
      <c r="O293" s="632"/>
      <c r="P293" s="632"/>
      <c r="Q293" s="632"/>
      <c r="R293" s="598">
        <v>0</v>
      </c>
      <c r="S293" s="631">
        <v>0</v>
      </c>
      <c r="T293" s="599">
        <v>0</v>
      </c>
      <c r="U293" s="631">
        <v>0</v>
      </c>
      <c r="V293" s="556"/>
      <c r="W293" s="558"/>
      <c r="X293" s="543"/>
    </row>
    <row r="294" spans="1:24" s="544" customFormat="1" x14ac:dyDescent="0.3">
      <c r="A294" s="555"/>
      <c r="B294" s="598" t="s">
        <v>156</v>
      </c>
      <c r="C294" s="556"/>
      <c r="D294" s="556"/>
      <c r="E294" s="556"/>
      <c r="F294" s="556"/>
      <c r="G294" s="556"/>
      <c r="H294" s="632"/>
      <c r="I294" s="632"/>
      <c r="J294" s="632"/>
      <c r="K294" s="632"/>
      <c r="L294" s="632"/>
      <c r="M294" s="632"/>
      <c r="N294" s="632"/>
      <c r="O294" s="632"/>
      <c r="P294" s="632"/>
      <c r="Q294" s="632"/>
      <c r="R294" s="598">
        <v>0</v>
      </c>
      <c r="S294" s="631">
        <v>0</v>
      </c>
      <c r="T294" s="599">
        <v>0</v>
      </c>
      <c r="U294" s="631">
        <v>0</v>
      </c>
      <c r="V294" s="556"/>
      <c r="W294" s="558"/>
      <c r="X294" s="543"/>
    </row>
    <row r="295" spans="1:24" s="544" customFormat="1" x14ac:dyDescent="0.3">
      <c r="A295" s="555"/>
      <c r="B295" s="598" t="s">
        <v>157</v>
      </c>
      <c r="C295" s="556"/>
      <c r="D295" s="556"/>
      <c r="E295" s="556"/>
      <c r="F295" s="556"/>
      <c r="G295" s="556"/>
      <c r="H295" s="632"/>
      <c r="I295" s="632"/>
      <c r="J295" s="632"/>
      <c r="K295" s="632"/>
      <c r="L295" s="632"/>
      <c r="M295" s="632"/>
      <c r="N295" s="632"/>
      <c r="O295" s="632"/>
      <c r="P295" s="632"/>
      <c r="Q295" s="632"/>
      <c r="R295" s="598">
        <v>0</v>
      </c>
      <c r="S295" s="631">
        <v>0</v>
      </c>
      <c r="T295" s="599">
        <v>0</v>
      </c>
      <c r="U295" s="631">
        <v>0</v>
      </c>
      <c r="V295" s="556"/>
      <c r="W295" s="558"/>
      <c r="X295" s="543"/>
    </row>
    <row r="296" spans="1:24" s="544" customFormat="1" x14ac:dyDescent="0.3">
      <c r="A296" s="555"/>
      <c r="B296" s="598" t="s">
        <v>158</v>
      </c>
      <c r="C296" s="556"/>
      <c r="D296" s="556"/>
      <c r="E296" s="556"/>
      <c r="F296" s="556"/>
      <c r="G296" s="556"/>
      <c r="H296" s="632"/>
      <c r="I296" s="632"/>
      <c r="J296" s="632"/>
      <c r="K296" s="632"/>
      <c r="L296" s="632"/>
      <c r="M296" s="632"/>
      <c r="N296" s="632"/>
      <c r="O296" s="632"/>
      <c r="P296" s="632"/>
      <c r="Q296" s="632"/>
      <c r="R296" s="598">
        <v>0</v>
      </c>
      <c r="S296" s="631">
        <v>0</v>
      </c>
      <c r="T296" s="599">
        <v>0</v>
      </c>
      <c r="U296" s="631">
        <v>0</v>
      </c>
      <c r="V296" s="556"/>
      <c r="W296" s="558"/>
      <c r="X296" s="543"/>
    </row>
    <row r="297" spans="1:24" s="544" customFormat="1" x14ac:dyDescent="0.3">
      <c r="A297" s="555"/>
      <c r="B297" s="598" t="s">
        <v>159</v>
      </c>
      <c r="C297" s="556"/>
      <c r="D297" s="556"/>
      <c r="E297" s="556"/>
      <c r="F297" s="556"/>
      <c r="G297" s="556"/>
      <c r="H297" s="632"/>
      <c r="I297" s="632"/>
      <c r="J297" s="632"/>
      <c r="K297" s="632"/>
      <c r="L297" s="632"/>
      <c r="M297" s="632"/>
      <c r="N297" s="632"/>
      <c r="O297" s="632"/>
      <c r="P297" s="632"/>
      <c r="Q297" s="632"/>
      <c r="R297" s="598">
        <v>0</v>
      </c>
      <c r="S297" s="631">
        <v>0</v>
      </c>
      <c r="T297" s="599">
        <v>0</v>
      </c>
      <c r="U297" s="631">
        <v>0</v>
      </c>
      <c r="V297" s="556"/>
      <c r="W297" s="558"/>
      <c r="X297" s="543"/>
    </row>
    <row r="298" spans="1:24" s="544" customFormat="1" x14ac:dyDescent="0.3">
      <c r="A298" s="555"/>
      <c r="B298" s="598" t="s">
        <v>160</v>
      </c>
      <c r="C298" s="556"/>
      <c r="D298" s="556"/>
      <c r="E298" s="556"/>
      <c r="F298" s="556"/>
      <c r="G298" s="556"/>
      <c r="H298" s="632"/>
      <c r="I298" s="632"/>
      <c r="J298" s="632"/>
      <c r="K298" s="632"/>
      <c r="L298" s="632"/>
      <c r="M298" s="632"/>
      <c r="N298" s="632"/>
      <c r="O298" s="632"/>
      <c r="P298" s="632"/>
      <c r="Q298" s="632"/>
      <c r="R298" s="598">
        <v>0</v>
      </c>
      <c r="S298" s="631">
        <v>0</v>
      </c>
      <c r="T298" s="599">
        <v>0</v>
      </c>
      <c r="U298" s="631">
        <v>0</v>
      </c>
      <c r="V298" s="556"/>
      <c r="W298" s="558"/>
      <c r="X298" s="543"/>
    </row>
    <row r="299" spans="1:24" s="544" customFormat="1" x14ac:dyDescent="0.3">
      <c r="A299" s="555"/>
      <c r="B299" s="598"/>
      <c r="C299" s="556"/>
      <c r="D299" s="556"/>
      <c r="E299" s="556"/>
      <c r="F299" s="556"/>
      <c r="G299" s="556"/>
      <c r="H299" s="632"/>
      <c r="I299" s="632"/>
      <c r="J299" s="632"/>
      <c r="K299" s="632"/>
      <c r="L299" s="632"/>
      <c r="M299" s="632"/>
      <c r="N299" s="632"/>
      <c r="O299" s="632"/>
      <c r="P299" s="632"/>
      <c r="Q299" s="632"/>
      <c r="R299" s="598"/>
      <c r="S299" s="631"/>
      <c r="T299" s="599"/>
      <c r="U299" s="631"/>
      <c r="V299" s="556"/>
      <c r="W299" s="558"/>
      <c r="X299" s="543"/>
    </row>
    <row r="300" spans="1:24" s="544" customFormat="1" x14ac:dyDescent="0.3">
      <c r="A300" s="555"/>
      <c r="B300" s="556" t="s">
        <v>114</v>
      </c>
      <c r="C300" s="556"/>
      <c r="D300" s="556"/>
      <c r="E300" s="556"/>
      <c r="F300" s="556"/>
      <c r="G300" s="556"/>
      <c r="H300" s="632"/>
      <c r="I300" s="632"/>
      <c r="J300" s="632"/>
      <c r="K300" s="632"/>
      <c r="L300" s="632"/>
      <c r="M300" s="632"/>
      <c r="N300" s="632"/>
      <c r="O300" s="632"/>
      <c r="P300" s="632"/>
      <c r="Q300" s="632"/>
      <c r="R300" s="598">
        <f>SUM(R291:R298)</f>
        <v>0</v>
      </c>
      <c r="S300" s="631">
        <f>SUM(S291:S299)</f>
        <v>0</v>
      </c>
      <c r="T300" s="599">
        <f>SUM(T291:T298)</f>
        <v>0</v>
      </c>
      <c r="U300" s="631">
        <f>SUM(U291:U299)</f>
        <v>0</v>
      </c>
      <c r="V300" s="556"/>
      <c r="W300" s="558"/>
      <c r="X300" s="543"/>
    </row>
    <row r="301" spans="1:24" s="544" customFormat="1" x14ac:dyDescent="0.3">
      <c r="A301" s="555"/>
      <c r="B301" s="556"/>
      <c r="C301" s="556"/>
      <c r="D301" s="556"/>
      <c r="E301" s="556"/>
      <c r="F301" s="556"/>
      <c r="G301" s="556"/>
      <c r="H301" s="632"/>
      <c r="I301" s="632"/>
      <c r="J301" s="632"/>
      <c r="K301" s="632"/>
      <c r="L301" s="632"/>
      <c r="M301" s="632"/>
      <c r="N301" s="632"/>
      <c r="O301" s="632"/>
      <c r="P301" s="632"/>
      <c r="Q301" s="632"/>
      <c r="R301" s="598"/>
      <c r="S301" s="631"/>
      <c r="T301" s="599"/>
      <c r="U301" s="631"/>
      <c r="V301" s="556"/>
      <c r="W301" s="558"/>
      <c r="X301" s="543"/>
    </row>
    <row r="302" spans="1:24" s="544" customFormat="1" x14ac:dyDescent="0.3">
      <c r="A302" s="555"/>
      <c r="B302" s="561" t="s">
        <v>164</v>
      </c>
      <c r="C302" s="556"/>
      <c r="D302" s="556"/>
      <c r="E302" s="556"/>
      <c r="F302" s="556"/>
      <c r="G302" s="556"/>
      <c r="H302" s="632"/>
      <c r="I302" s="632"/>
      <c r="J302" s="632"/>
      <c r="K302" s="632"/>
      <c r="L302" s="632"/>
      <c r="M302" s="632"/>
      <c r="N302" s="632"/>
      <c r="O302" s="632"/>
      <c r="P302" s="632"/>
      <c r="Q302" s="632"/>
      <c r="R302" s="634">
        <f>R300+R278+R266</f>
        <v>5222</v>
      </c>
      <c r="S302" s="631"/>
      <c r="T302" s="635">
        <f>+T300+T278+T266</f>
        <v>705566</v>
      </c>
      <c r="U302" s="631"/>
      <c r="V302" s="556"/>
      <c r="W302" s="558"/>
      <c r="X302" s="543"/>
    </row>
    <row r="303" spans="1:24" s="544" customFormat="1" x14ac:dyDescent="0.3">
      <c r="A303" s="540"/>
      <c r="B303" s="629"/>
      <c r="C303" s="588"/>
      <c r="D303" s="588"/>
      <c r="E303" s="588"/>
      <c r="F303" s="588"/>
      <c r="G303" s="588"/>
      <c r="H303" s="633"/>
      <c r="I303" s="633"/>
      <c r="J303" s="633"/>
      <c r="K303" s="633"/>
      <c r="L303" s="633"/>
      <c r="M303" s="633"/>
      <c r="N303" s="633"/>
      <c r="O303" s="633"/>
      <c r="P303" s="633"/>
      <c r="Q303" s="633"/>
      <c r="R303" s="617"/>
      <c r="S303" s="628"/>
      <c r="T303" s="643"/>
      <c r="U303" s="628"/>
      <c r="V303" s="588"/>
      <c r="W303" s="588"/>
      <c r="X303" s="543"/>
    </row>
    <row r="304" spans="1:24" s="544" customFormat="1" x14ac:dyDescent="0.3">
      <c r="A304" s="515" t="s">
        <v>392</v>
      </c>
      <c r="B304" s="523" t="s">
        <v>393</v>
      </c>
      <c r="C304" s="517"/>
      <c r="D304" s="517"/>
      <c r="E304" s="517"/>
      <c r="F304" s="517"/>
      <c r="G304" s="517"/>
      <c r="H304" s="536"/>
      <c r="I304" s="536"/>
      <c r="J304" s="536"/>
      <c r="K304" s="536"/>
      <c r="L304" s="536"/>
      <c r="M304" s="536"/>
      <c r="N304" s="536"/>
      <c r="O304" s="536"/>
      <c r="P304" s="536"/>
      <c r="Q304" s="536"/>
      <c r="R304" s="534" t="s">
        <v>102</v>
      </c>
      <c r="S304" s="524" t="s">
        <v>103</v>
      </c>
      <c r="T304" s="534" t="s">
        <v>109</v>
      </c>
      <c r="U304" s="524" t="s">
        <v>103</v>
      </c>
      <c r="V304" s="648" t="s">
        <v>421</v>
      </c>
      <c r="W304" s="520"/>
      <c r="X304" s="543"/>
    </row>
    <row r="305" spans="1:24" s="544" customFormat="1" x14ac:dyDescent="0.3">
      <c r="A305" s="540"/>
      <c r="B305" s="600" t="s">
        <v>88</v>
      </c>
      <c r="C305" s="588"/>
      <c r="D305" s="588"/>
      <c r="E305" s="588"/>
      <c r="F305" s="588"/>
      <c r="G305" s="588"/>
      <c r="H305" s="633"/>
      <c r="I305" s="633"/>
      <c r="J305" s="633"/>
      <c r="K305" s="633"/>
      <c r="L305" s="633"/>
      <c r="M305" s="633"/>
      <c r="N305" s="633"/>
      <c r="O305" s="633"/>
      <c r="P305" s="633"/>
      <c r="Q305" s="633"/>
      <c r="R305" s="600">
        <v>324</v>
      </c>
      <c r="S305" s="628">
        <f>+R305/R314</f>
        <v>0.99082568807339455</v>
      </c>
      <c r="T305" s="601">
        <v>56773</v>
      </c>
      <c r="U305" s="628">
        <f>+T305/T314</f>
        <v>0.99399467749842429</v>
      </c>
      <c r="V305" s="588"/>
      <c r="W305" s="588"/>
      <c r="X305" s="543"/>
    </row>
    <row r="306" spans="1:24" s="544" customFormat="1" x14ac:dyDescent="0.3">
      <c r="A306" s="555"/>
      <c r="B306" s="598" t="s">
        <v>89</v>
      </c>
      <c r="C306" s="556"/>
      <c r="D306" s="556"/>
      <c r="E306" s="556"/>
      <c r="F306" s="556"/>
      <c r="G306" s="556"/>
      <c r="H306" s="632"/>
      <c r="I306" s="632"/>
      <c r="J306" s="632"/>
      <c r="K306" s="632"/>
      <c r="L306" s="632"/>
      <c r="M306" s="632"/>
      <c r="N306" s="632"/>
      <c r="O306" s="632"/>
      <c r="P306" s="632"/>
      <c r="Q306" s="632"/>
      <c r="R306" s="598">
        <v>1</v>
      </c>
      <c r="S306" s="631">
        <f>+R306/R314</f>
        <v>3.0581039755351682E-3</v>
      </c>
      <c r="T306" s="599">
        <v>242</v>
      </c>
      <c r="U306" s="631">
        <f>+T306/T314</f>
        <v>4.2369913859513974E-3</v>
      </c>
      <c r="V306" s="556"/>
      <c r="W306" s="558"/>
      <c r="X306" s="543"/>
    </row>
    <row r="307" spans="1:24" s="544" customFormat="1" x14ac:dyDescent="0.3">
      <c r="A307" s="555"/>
      <c r="B307" s="598" t="s">
        <v>90</v>
      </c>
      <c r="C307" s="556"/>
      <c r="D307" s="556"/>
      <c r="E307" s="556"/>
      <c r="F307" s="556"/>
      <c r="G307" s="556"/>
      <c r="H307" s="632"/>
      <c r="I307" s="632"/>
      <c r="J307" s="632"/>
      <c r="K307" s="632"/>
      <c r="L307" s="632"/>
      <c r="M307" s="632"/>
      <c r="N307" s="632"/>
      <c r="O307" s="632"/>
      <c r="P307" s="632"/>
      <c r="Q307" s="632"/>
      <c r="R307" s="598">
        <v>0</v>
      </c>
      <c r="S307" s="631">
        <f>+R307/R314</f>
        <v>0</v>
      </c>
      <c r="T307" s="599">
        <v>0</v>
      </c>
      <c r="U307" s="631">
        <f>+T307/T314</f>
        <v>0</v>
      </c>
      <c r="V307" s="556"/>
      <c r="W307" s="558"/>
      <c r="X307" s="543"/>
    </row>
    <row r="308" spans="1:24" s="544" customFormat="1" x14ac:dyDescent="0.3">
      <c r="A308" s="555"/>
      <c r="B308" s="598" t="s">
        <v>156</v>
      </c>
      <c r="C308" s="556"/>
      <c r="D308" s="556"/>
      <c r="E308" s="556"/>
      <c r="F308" s="556"/>
      <c r="G308" s="556"/>
      <c r="H308" s="632"/>
      <c r="I308" s="632"/>
      <c r="J308" s="632"/>
      <c r="K308" s="632"/>
      <c r="L308" s="632"/>
      <c r="M308" s="632"/>
      <c r="N308" s="632"/>
      <c r="O308" s="632"/>
      <c r="P308" s="632"/>
      <c r="Q308" s="632"/>
      <c r="R308" s="598">
        <v>2</v>
      </c>
      <c r="S308" s="631">
        <f>+R308/R314</f>
        <v>6.1162079510703364E-3</v>
      </c>
      <c r="T308" s="599">
        <v>101</v>
      </c>
      <c r="U308" s="631">
        <f>+T308/T314</f>
        <v>1.7683311156243434E-3</v>
      </c>
      <c r="V308" s="556"/>
      <c r="W308" s="558"/>
      <c r="X308" s="543"/>
    </row>
    <row r="309" spans="1:24" s="544" customFormat="1" x14ac:dyDescent="0.3">
      <c r="A309" s="555"/>
      <c r="B309" s="598" t="s">
        <v>157</v>
      </c>
      <c r="C309" s="556"/>
      <c r="D309" s="556"/>
      <c r="E309" s="556"/>
      <c r="F309" s="556"/>
      <c r="G309" s="556"/>
      <c r="H309" s="632"/>
      <c r="I309" s="632"/>
      <c r="J309" s="632"/>
      <c r="K309" s="632"/>
      <c r="L309" s="632"/>
      <c r="M309" s="632"/>
      <c r="N309" s="632"/>
      <c r="O309" s="632"/>
      <c r="P309" s="632"/>
      <c r="Q309" s="632"/>
      <c r="R309" s="598">
        <v>0</v>
      </c>
      <c r="S309" s="631">
        <f>+R309/R314</f>
        <v>0</v>
      </c>
      <c r="T309" s="599">
        <v>0</v>
      </c>
      <c r="U309" s="631">
        <f>+T309/T314</f>
        <v>0</v>
      </c>
      <c r="V309" s="556"/>
      <c r="W309" s="558"/>
      <c r="X309" s="543"/>
    </row>
    <row r="310" spans="1:24" s="544" customFormat="1" x14ac:dyDescent="0.3">
      <c r="A310" s="555"/>
      <c r="B310" s="598" t="s">
        <v>158</v>
      </c>
      <c r="C310" s="556"/>
      <c r="D310" s="556"/>
      <c r="E310" s="556"/>
      <c r="F310" s="556"/>
      <c r="G310" s="556"/>
      <c r="H310" s="632"/>
      <c r="I310" s="632"/>
      <c r="J310" s="632"/>
      <c r="K310" s="632"/>
      <c r="L310" s="632"/>
      <c r="M310" s="632"/>
      <c r="N310" s="632"/>
      <c r="O310" s="632"/>
      <c r="P310" s="632"/>
      <c r="Q310" s="632"/>
      <c r="R310" s="598">
        <v>0</v>
      </c>
      <c r="S310" s="631">
        <f>+R310/R314</f>
        <v>0</v>
      </c>
      <c r="T310" s="599">
        <v>0</v>
      </c>
      <c r="U310" s="631">
        <f>+T310/T314</f>
        <v>0</v>
      </c>
      <c r="V310" s="556"/>
      <c r="W310" s="558"/>
      <c r="X310" s="543"/>
    </row>
    <row r="311" spans="1:24" s="544" customFormat="1" x14ac:dyDescent="0.3">
      <c r="A311" s="555"/>
      <c r="B311" s="598" t="s">
        <v>159</v>
      </c>
      <c r="C311" s="556"/>
      <c r="D311" s="556"/>
      <c r="E311" s="556"/>
      <c r="F311" s="556"/>
      <c r="G311" s="556"/>
      <c r="H311" s="632"/>
      <c r="I311" s="632"/>
      <c r="J311" s="632"/>
      <c r="K311" s="632"/>
      <c r="L311" s="632"/>
      <c r="M311" s="632"/>
      <c r="N311" s="632"/>
      <c r="O311" s="632"/>
      <c r="P311" s="632"/>
      <c r="Q311" s="632"/>
      <c r="R311" s="598">
        <v>0</v>
      </c>
      <c r="S311" s="631">
        <f>+R311/R314</f>
        <v>0</v>
      </c>
      <c r="T311" s="599">
        <v>0</v>
      </c>
      <c r="U311" s="631">
        <f>+T311/T314</f>
        <v>0</v>
      </c>
      <c r="V311" s="556"/>
      <c r="W311" s="558"/>
      <c r="X311" s="543"/>
    </row>
    <row r="312" spans="1:24" s="544" customFormat="1" x14ac:dyDescent="0.3">
      <c r="A312" s="555"/>
      <c r="B312" s="598" t="s">
        <v>160</v>
      </c>
      <c r="C312" s="556"/>
      <c r="D312" s="556"/>
      <c r="E312" s="556"/>
      <c r="F312" s="556"/>
      <c r="G312" s="556"/>
      <c r="H312" s="632"/>
      <c r="I312" s="632"/>
      <c r="J312" s="632"/>
      <c r="K312" s="632"/>
      <c r="L312" s="632"/>
      <c r="M312" s="632"/>
      <c r="N312" s="632"/>
      <c r="O312" s="632"/>
      <c r="P312" s="632"/>
      <c r="Q312" s="632"/>
      <c r="R312" s="598">
        <v>0</v>
      </c>
      <c r="S312" s="631">
        <f>+R312/R314</f>
        <v>0</v>
      </c>
      <c r="T312" s="599">
        <v>0</v>
      </c>
      <c r="U312" s="631">
        <f>+T312/T314</f>
        <v>0</v>
      </c>
      <c r="V312" s="556"/>
      <c r="W312" s="558"/>
      <c r="X312" s="543"/>
    </row>
    <row r="313" spans="1:24" s="544" customFormat="1" x14ac:dyDescent="0.3">
      <c r="A313" s="555"/>
      <c r="B313" s="598"/>
      <c r="C313" s="556"/>
      <c r="D313" s="556"/>
      <c r="E313" s="556"/>
      <c r="F313" s="556"/>
      <c r="G313" s="556"/>
      <c r="H313" s="632"/>
      <c r="I313" s="632"/>
      <c r="J313" s="632"/>
      <c r="K313" s="632"/>
      <c r="L313" s="632"/>
      <c r="M313" s="632"/>
      <c r="N313" s="632"/>
      <c r="O313" s="632"/>
      <c r="P313" s="632"/>
      <c r="Q313" s="632"/>
      <c r="R313" s="598"/>
      <c r="S313" s="631"/>
      <c r="T313" s="599"/>
      <c r="U313" s="631"/>
      <c r="V313" s="556"/>
      <c r="W313" s="558"/>
      <c r="X313" s="543"/>
    </row>
    <row r="314" spans="1:24" s="544" customFormat="1" x14ac:dyDescent="0.3">
      <c r="A314" s="555"/>
      <c r="B314" s="556" t="s">
        <v>114</v>
      </c>
      <c r="C314" s="556"/>
      <c r="D314" s="556"/>
      <c r="E314" s="556"/>
      <c r="F314" s="556"/>
      <c r="G314" s="556"/>
      <c r="H314" s="632"/>
      <c r="I314" s="632"/>
      <c r="J314" s="632"/>
      <c r="K314" s="632"/>
      <c r="L314" s="632"/>
      <c r="M314" s="632"/>
      <c r="N314" s="632"/>
      <c r="O314" s="632"/>
      <c r="P314" s="632"/>
      <c r="Q314" s="632"/>
      <c r="R314" s="598">
        <f>SUM(R305:R312)</f>
        <v>327</v>
      </c>
      <c r="S314" s="631">
        <f>SUM(S305:S313)</f>
        <v>1</v>
      </c>
      <c r="T314" s="599">
        <f>SUM(T305:T312)</f>
        <v>57116</v>
      </c>
      <c r="U314" s="631">
        <f>SUM(U305:U313)</f>
        <v>1</v>
      </c>
      <c r="V314" s="556"/>
      <c r="W314" s="558"/>
      <c r="X314" s="543"/>
    </row>
    <row r="315" spans="1:24" s="544" customFormat="1" ht="16.2" thickBot="1" x14ac:dyDescent="0.35">
      <c r="A315" s="555"/>
      <c r="B315" s="556" t="s">
        <v>412</v>
      </c>
      <c r="C315" s="556"/>
      <c r="D315" s="556"/>
      <c r="E315" s="556"/>
      <c r="F315" s="556"/>
      <c r="G315" s="556"/>
      <c r="H315" s="632"/>
      <c r="I315" s="632"/>
      <c r="J315" s="632"/>
      <c r="K315" s="632"/>
      <c r="L315" s="632"/>
      <c r="M315" s="632"/>
      <c r="N315" s="632"/>
      <c r="O315" s="632"/>
      <c r="P315" s="632"/>
      <c r="Q315" s="632"/>
      <c r="R315" s="658"/>
      <c r="S315" s="658">
        <f>+R314/R302</f>
        <v>6.2619685944082723E-2</v>
      </c>
      <c r="T315" s="660"/>
      <c r="U315" s="660">
        <f>+T314/T302</f>
        <v>8.0950612699591529E-2</v>
      </c>
      <c r="V315" s="556"/>
      <c r="W315" s="558"/>
      <c r="X315" s="543"/>
    </row>
    <row r="316" spans="1:24" s="544" customFormat="1" ht="16.2" thickTop="1" x14ac:dyDescent="0.3">
      <c r="A316" s="661"/>
      <c r="B316" s="662" t="s">
        <v>415</v>
      </c>
      <c r="C316" s="556"/>
      <c r="D316" s="556"/>
      <c r="E316" s="556"/>
      <c r="F316" s="556"/>
      <c r="G316" s="556"/>
      <c r="H316" s="632"/>
      <c r="I316" s="632"/>
      <c r="J316" s="632"/>
      <c r="K316" s="632"/>
      <c r="L316" s="632"/>
      <c r="M316" s="632"/>
      <c r="N316" s="632"/>
      <c r="O316" s="632"/>
      <c r="P316" s="632"/>
      <c r="Q316" s="632"/>
      <c r="R316" s="663">
        <v>29</v>
      </c>
      <c r="S316" s="664">
        <f>R316/R314</f>
        <v>8.8685015290519878E-2</v>
      </c>
      <c r="T316" s="665">
        <v>5620</v>
      </c>
      <c r="U316" s="664">
        <f>T316/T314</f>
        <v>9.8396246235730789E-2</v>
      </c>
      <c r="V316" s="666">
        <v>0.53938884216428362</v>
      </c>
      <c r="W316" s="558"/>
      <c r="X316" s="543"/>
    </row>
    <row r="317" spans="1:24" s="544" customFormat="1" ht="16.2" thickBot="1" x14ac:dyDescent="0.35">
      <c r="A317" s="661"/>
      <c r="B317" s="662" t="s">
        <v>416</v>
      </c>
      <c r="C317" s="556"/>
      <c r="D317" s="556"/>
      <c r="E317" s="556"/>
      <c r="F317" s="556"/>
      <c r="G317" s="556"/>
      <c r="H317" s="632"/>
      <c r="I317" s="632"/>
      <c r="J317" s="632"/>
      <c r="K317" s="632"/>
      <c r="L317" s="632"/>
      <c r="M317" s="632"/>
      <c r="N317" s="632"/>
      <c r="O317" s="632"/>
      <c r="P317" s="632"/>
      <c r="Q317" s="632"/>
      <c r="R317" s="667">
        <v>298</v>
      </c>
      <c r="S317" s="668">
        <f>R317/R314</f>
        <v>0.91131498470948014</v>
      </c>
      <c r="T317" s="669">
        <v>51496</v>
      </c>
      <c r="U317" s="670">
        <f>T317/T314</f>
        <v>0.90160375376426916</v>
      </c>
      <c r="V317" s="671">
        <v>0.75968824420870318</v>
      </c>
      <c r="W317" s="558"/>
      <c r="X317" s="543"/>
    </row>
    <row r="318" spans="1:24" s="544" customFormat="1" ht="16.2" thickTop="1" x14ac:dyDescent="0.3">
      <c r="A318" s="540"/>
      <c r="B318" s="541"/>
      <c r="C318" s="541"/>
      <c r="D318" s="541"/>
      <c r="E318" s="541"/>
      <c r="F318" s="541"/>
      <c r="G318" s="541"/>
      <c r="H318" s="636"/>
      <c r="I318" s="636"/>
      <c r="J318" s="636"/>
      <c r="K318" s="636"/>
      <c r="L318" s="636"/>
      <c r="M318" s="636"/>
      <c r="N318" s="636"/>
      <c r="O318" s="636"/>
      <c r="P318" s="636"/>
      <c r="Q318" s="636"/>
      <c r="R318" s="636"/>
      <c r="S318" s="636"/>
      <c r="T318" s="637"/>
      <c r="U318" s="636"/>
      <c r="V318" s="541"/>
      <c r="W318" s="541"/>
      <c r="X318" s="543"/>
    </row>
    <row r="319" spans="1:24" s="544" customFormat="1" x14ac:dyDescent="0.3">
      <c r="A319" s="540"/>
      <c r="B319" s="539" t="s">
        <v>91</v>
      </c>
      <c r="C319" s="541"/>
      <c r="D319" s="541"/>
      <c r="E319" s="541"/>
      <c r="F319" s="547" t="s">
        <v>97</v>
      </c>
      <c r="G319" s="541"/>
      <c r="H319" s="539" t="s">
        <v>99</v>
      </c>
      <c r="I319" s="539"/>
      <c r="J319" s="539"/>
      <c r="K319" s="541"/>
      <c r="L319" s="541"/>
      <c r="M319" s="541"/>
      <c r="N319" s="541"/>
      <c r="O319" s="541"/>
      <c r="P319" s="541"/>
      <c r="Q319" s="541"/>
      <c r="R319" s="541"/>
      <c r="S319" s="541"/>
      <c r="T319" s="541"/>
      <c r="U319" s="541"/>
      <c r="V319" s="541"/>
      <c r="W319" s="541"/>
      <c r="X319" s="543"/>
    </row>
    <row r="320" spans="1:24" s="544" customFormat="1" x14ac:dyDescent="0.3">
      <c r="A320" s="540"/>
      <c r="B320" s="539" t="s">
        <v>339</v>
      </c>
      <c r="C320" s="539"/>
      <c r="D320" s="539"/>
      <c r="E320" s="539"/>
      <c r="F320" s="638" t="s">
        <v>278</v>
      </c>
      <c r="G320" s="539"/>
      <c r="H320" s="639" t="s">
        <v>372</v>
      </c>
      <c r="I320" s="541"/>
      <c r="J320" s="539"/>
      <c r="K320" s="541"/>
      <c r="L320" s="541"/>
      <c r="M320" s="541"/>
      <c r="N320" s="541"/>
      <c r="O320" s="541"/>
      <c r="P320" s="541"/>
      <c r="Q320" s="541"/>
      <c r="R320" s="541"/>
      <c r="S320" s="541"/>
      <c r="T320" s="541"/>
      <c r="U320" s="541"/>
      <c r="V320" s="541"/>
      <c r="W320" s="541"/>
      <c r="X320" s="543"/>
    </row>
    <row r="321" spans="1:24" s="544" customFormat="1" x14ac:dyDescent="0.3">
      <c r="A321" s="540"/>
      <c r="B321" s="539" t="s">
        <v>340</v>
      </c>
      <c r="C321" s="539"/>
      <c r="D321" s="539"/>
      <c r="E321" s="539"/>
      <c r="F321" s="638" t="s">
        <v>147</v>
      </c>
      <c r="G321" s="539"/>
      <c r="H321" s="639" t="s">
        <v>373</v>
      </c>
      <c r="I321" s="539"/>
      <c r="J321" s="539"/>
      <c r="K321" s="541"/>
      <c r="L321" s="541"/>
      <c r="M321" s="541"/>
      <c r="N321" s="541"/>
      <c r="O321" s="541"/>
      <c r="P321" s="541"/>
      <c r="Q321" s="541"/>
      <c r="R321" s="541"/>
      <c r="S321" s="541"/>
      <c r="T321" s="541"/>
      <c r="U321" s="541"/>
      <c r="V321" s="541"/>
      <c r="W321" s="541"/>
      <c r="X321" s="543"/>
    </row>
    <row r="322" spans="1:24" s="544" customFormat="1" x14ac:dyDescent="0.3">
      <c r="A322" s="540"/>
      <c r="B322" s="539"/>
      <c r="C322" s="539"/>
      <c r="D322" s="539"/>
      <c r="E322" s="539"/>
      <c r="F322" s="638"/>
      <c r="G322" s="539"/>
      <c r="H322" s="539"/>
      <c r="I322" s="539"/>
      <c r="J322" s="539"/>
      <c r="K322" s="541"/>
      <c r="L322" s="541"/>
      <c r="M322" s="541"/>
      <c r="N322" s="541"/>
      <c r="O322" s="541"/>
      <c r="P322" s="541"/>
      <c r="Q322" s="541"/>
      <c r="R322" s="541"/>
      <c r="S322" s="541"/>
      <c r="T322" s="541"/>
      <c r="U322" s="541"/>
      <c r="V322" s="541"/>
      <c r="W322" s="541"/>
      <c r="X322" s="543"/>
    </row>
    <row r="323" spans="1:24" s="544" customFormat="1" x14ac:dyDescent="0.3">
      <c r="A323" s="540"/>
      <c r="B323" s="588" t="s">
        <v>368</v>
      </c>
      <c r="C323" s="539"/>
      <c r="D323" s="539"/>
      <c r="E323" s="539"/>
      <c r="F323" s="638"/>
      <c r="G323" s="539"/>
      <c r="H323" s="539"/>
      <c r="I323" s="539"/>
      <c r="J323" s="539"/>
      <c r="K323" s="541"/>
      <c r="L323" s="541"/>
      <c r="M323" s="541"/>
      <c r="N323" s="541"/>
      <c r="O323" s="541"/>
      <c r="P323" s="541"/>
      <c r="Q323" s="541"/>
      <c r="R323" s="541"/>
      <c r="S323" s="541"/>
      <c r="T323" s="541"/>
      <c r="U323" s="541"/>
      <c r="V323" s="541"/>
      <c r="W323" s="541"/>
      <c r="X323" s="543"/>
    </row>
    <row r="324" spans="1:24" s="544" customFormat="1" x14ac:dyDescent="0.3">
      <c r="A324" s="540"/>
      <c r="B324" s="588" t="s">
        <v>374</v>
      </c>
      <c r="C324" s="539"/>
      <c r="D324" s="539"/>
      <c r="E324" s="539"/>
      <c r="F324" s="638"/>
      <c r="G324" s="539"/>
      <c r="H324" s="539"/>
      <c r="I324" s="539"/>
      <c r="J324" s="539"/>
      <c r="K324" s="541"/>
      <c r="L324" s="541"/>
      <c r="M324" s="541"/>
      <c r="N324" s="541"/>
      <c r="O324" s="541"/>
      <c r="P324" s="541"/>
      <c r="Q324" s="541"/>
      <c r="R324" s="541"/>
      <c r="S324" s="541"/>
      <c r="T324" s="541"/>
      <c r="U324" s="541"/>
      <c r="V324" s="541"/>
      <c r="W324" s="541"/>
      <c r="X324" s="543"/>
    </row>
    <row r="325" spans="1:24" s="544" customFormat="1" x14ac:dyDescent="0.3">
      <c r="A325" s="540"/>
      <c r="B325" s="588" t="s">
        <v>365</v>
      </c>
      <c r="C325" s="539"/>
      <c r="D325" s="539"/>
      <c r="E325" s="539"/>
      <c r="F325" s="638"/>
      <c r="G325" s="539"/>
      <c r="H325" s="539"/>
      <c r="I325" s="539"/>
      <c r="J325" s="539"/>
      <c r="K325" s="541"/>
      <c r="L325" s="541"/>
      <c r="M325" s="541"/>
      <c r="N325" s="541"/>
      <c r="O325" s="541"/>
      <c r="P325" s="541"/>
      <c r="Q325" s="541"/>
      <c r="R325" s="541"/>
      <c r="S325" s="541"/>
      <c r="T325" s="541"/>
      <c r="U325" s="541"/>
      <c r="V325" s="541"/>
      <c r="W325" s="541"/>
      <c r="X325" s="543"/>
    </row>
    <row r="326" spans="1:24" s="544" customFormat="1" x14ac:dyDescent="0.3">
      <c r="A326" s="540"/>
      <c r="B326" s="588" t="s">
        <v>366</v>
      </c>
      <c r="C326" s="539"/>
      <c r="D326" s="539"/>
      <c r="E326" s="539"/>
      <c r="F326" s="638"/>
      <c r="G326" s="539"/>
      <c r="H326" s="539"/>
      <c r="I326" s="539"/>
      <c r="J326" s="539"/>
      <c r="K326" s="541"/>
      <c r="L326" s="541"/>
      <c r="M326" s="541"/>
      <c r="N326" s="541"/>
      <c r="O326" s="541"/>
      <c r="P326" s="541"/>
      <c r="Q326" s="541"/>
      <c r="R326" s="541"/>
      <c r="S326" s="541"/>
      <c r="T326" s="541"/>
      <c r="U326" s="541"/>
      <c r="V326" s="541"/>
      <c r="W326" s="541"/>
      <c r="X326" s="543"/>
    </row>
    <row r="327" spans="1:24" s="544" customFormat="1" x14ac:dyDescent="0.3">
      <c r="A327" s="540"/>
      <c r="B327" s="588"/>
      <c r="C327" s="539"/>
      <c r="D327" s="539"/>
      <c r="E327" s="539"/>
      <c r="F327" s="638"/>
      <c r="G327" s="539"/>
      <c r="H327" s="539"/>
      <c r="I327" s="539"/>
      <c r="J327" s="539"/>
      <c r="K327" s="541"/>
      <c r="L327" s="541"/>
      <c r="M327" s="541"/>
      <c r="N327" s="541"/>
      <c r="O327" s="541"/>
      <c r="P327" s="541"/>
      <c r="Q327" s="541"/>
      <c r="R327" s="541"/>
      <c r="S327" s="541"/>
      <c r="T327" s="541"/>
      <c r="U327" s="541"/>
      <c r="V327" s="541"/>
      <c r="W327" s="541"/>
      <c r="X327" s="543"/>
    </row>
    <row r="328" spans="1:24" s="544" customFormat="1" x14ac:dyDescent="0.3">
      <c r="A328" s="540"/>
      <c r="B328" s="644" t="s">
        <v>411</v>
      </c>
      <c r="C328" s="539"/>
      <c r="D328" s="539"/>
      <c r="E328" s="539"/>
      <c r="F328" s="638"/>
      <c r="G328" s="539"/>
      <c r="H328" s="539"/>
      <c r="I328" s="539"/>
      <c r="J328" s="539"/>
      <c r="K328" s="541"/>
      <c r="L328" s="541"/>
      <c r="M328" s="541"/>
      <c r="N328" s="541"/>
      <c r="O328" s="541"/>
      <c r="P328" s="541"/>
      <c r="Q328" s="541"/>
      <c r="R328" s="541"/>
      <c r="S328" s="541"/>
      <c r="T328" s="541"/>
      <c r="U328" s="541"/>
      <c r="V328" s="541"/>
      <c r="W328" s="541"/>
      <c r="X328" s="543"/>
    </row>
    <row r="329" spans="1:24" s="544" customFormat="1" x14ac:dyDescent="0.3">
      <c r="A329" s="540"/>
      <c r="B329" s="588"/>
      <c r="C329" s="539"/>
      <c r="D329" s="539"/>
      <c r="E329" s="539"/>
      <c r="F329" s="638"/>
      <c r="G329" s="539"/>
      <c r="H329" s="539"/>
      <c r="I329" s="539"/>
      <c r="J329" s="539"/>
      <c r="K329" s="541"/>
      <c r="L329" s="541"/>
      <c r="M329" s="541"/>
      <c r="N329" s="541"/>
      <c r="O329" s="541"/>
      <c r="P329" s="541"/>
      <c r="Q329" s="541"/>
      <c r="R329" s="541"/>
      <c r="S329" s="541"/>
      <c r="T329" s="541"/>
      <c r="U329" s="541"/>
      <c r="V329" s="541"/>
      <c r="W329" s="541"/>
      <c r="X329" s="543"/>
    </row>
    <row r="330" spans="1:24" x14ac:dyDescent="0.3">
      <c r="A330" s="417"/>
      <c r="B330" s="426"/>
      <c r="C330" s="426"/>
      <c r="D330" s="426"/>
      <c r="E330" s="426"/>
      <c r="F330" s="489"/>
      <c r="G330" s="426"/>
      <c r="H330" s="426"/>
      <c r="I330" s="426"/>
      <c r="J330" s="426"/>
      <c r="K330" s="427"/>
      <c r="L330" s="427"/>
      <c r="M330" s="427"/>
      <c r="N330" s="427"/>
      <c r="O330" s="427"/>
      <c r="P330" s="427"/>
      <c r="Q330" s="427"/>
      <c r="R330" s="427"/>
      <c r="S330" s="427"/>
      <c r="T330" s="427"/>
      <c r="U330" s="427"/>
      <c r="V330" s="427"/>
      <c r="W330" s="427"/>
      <c r="X330" s="415"/>
    </row>
    <row r="331" spans="1:24" ht="18" x14ac:dyDescent="0.35">
      <c r="A331" s="417"/>
      <c r="B331" s="514" t="s">
        <v>369</v>
      </c>
      <c r="C331" s="426"/>
      <c r="D331" s="426"/>
      <c r="E331" s="426"/>
      <c r="F331" s="426"/>
      <c r="G331" s="426"/>
      <c r="H331" s="427"/>
      <c r="I331" s="427"/>
      <c r="J331" s="427"/>
      <c r="K331" s="427"/>
      <c r="L331" s="419"/>
      <c r="M331" s="419"/>
      <c r="N331" s="490"/>
      <c r="O331" s="419"/>
      <c r="P331" s="412" t="s">
        <v>371</v>
      </c>
      <c r="Q331" s="427"/>
      <c r="R331" s="427"/>
      <c r="S331" s="427"/>
      <c r="T331" s="427"/>
      <c r="U331" s="427"/>
      <c r="V331" s="427"/>
      <c r="W331" s="427"/>
      <c r="X331" s="415"/>
    </row>
    <row r="332" spans="1:24" x14ac:dyDescent="0.3">
      <c r="A332" s="417"/>
      <c r="B332" s="426"/>
      <c r="C332" s="426"/>
      <c r="D332" s="426"/>
      <c r="E332" s="426"/>
      <c r="F332" s="426"/>
      <c r="G332" s="426"/>
      <c r="H332" s="427"/>
      <c r="I332" s="427"/>
      <c r="J332" s="427"/>
      <c r="K332" s="427"/>
      <c r="L332" s="427"/>
      <c r="M332" s="427"/>
      <c r="N332" s="427"/>
      <c r="O332" s="427"/>
      <c r="P332" s="427"/>
      <c r="Q332" s="427"/>
      <c r="R332" s="427"/>
      <c r="S332" s="427"/>
      <c r="T332" s="427"/>
      <c r="U332" s="427"/>
      <c r="V332" s="427"/>
      <c r="W332" s="427"/>
      <c r="X332" s="415"/>
    </row>
    <row r="333" spans="1:24" ht="18.600000000000001" thickBot="1" x14ac:dyDescent="0.4">
      <c r="A333" s="417"/>
      <c r="B333" s="640" t="str">
        <f>B206</f>
        <v>PM14 INVESTOR REPORT QUARTER ENDING AUGUST 2020</v>
      </c>
      <c r="C333" s="426"/>
      <c r="D333" s="426"/>
      <c r="E333" s="426"/>
      <c r="F333" s="426"/>
      <c r="G333" s="426"/>
      <c r="H333" s="427"/>
      <c r="I333" s="427"/>
      <c r="J333" s="427"/>
      <c r="K333" s="427"/>
      <c r="L333" s="427"/>
      <c r="M333" s="427"/>
      <c r="N333" s="427"/>
      <c r="O333" s="427"/>
      <c r="P333" s="427"/>
      <c r="Q333" s="427"/>
      <c r="R333" s="427"/>
      <c r="S333" s="427"/>
      <c r="T333" s="427"/>
      <c r="U333" s="427"/>
      <c r="V333" s="427"/>
      <c r="W333" s="427"/>
      <c r="X333" s="415"/>
    </row>
    <row r="334" spans="1:24" x14ac:dyDescent="0.3">
      <c r="A334" s="491"/>
      <c r="B334" s="491"/>
      <c r="C334" s="491"/>
      <c r="D334" s="491"/>
      <c r="E334" s="491"/>
      <c r="F334" s="491"/>
      <c r="G334" s="491"/>
      <c r="H334" s="491"/>
      <c r="I334" s="491"/>
      <c r="J334" s="491"/>
      <c r="K334" s="491"/>
      <c r="L334" s="491"/>
      <c r="M334" s="491"/>
      <c r="N334" s="491"/>
      <c r="O334" s="491"/>
      <c r="P334" s="491"/>
      <c r="Q334" s="491"/>
      <c r="R334" s="491"/>
      <c r="S334" s="491"/>
      <c r="T334" s="491"/>
      <c r="U334" s="491"/>
      <c r="V334" s="491"/>
      <c r="W334" s="491"/>
    </row>
    <row r="335" spans="1:24" x14ac:dyDescent="0.3">
      <c r="B335" s="645" t="s">
        <v>394</v>
      </c>
    </row>
    <row r="336" spans="1:24" x14ac:dyDescent="0.3">
      <c r="B336" s="646" t="s">
        <v>395</v>
      </c>
    </row>
    <row r="337" spans="2:2" x14ac:dyDescent="0.3">
      <c r="B337" s="646" t="s">
        <v>396</v>
      </c>
    </row>
    <row r="338" spans="2:2" x14ac:dyDescent="0.3">
      <c r="B338" s="646" t="s">
        <v>397</v>
      </c>
    </row>
    <row r="339" spans="2:2" x14ac:dyDescent="0.3">
      <c r="B339" s="646" t="s">
        <v>398</v>
      </c>
    </row>
    <row r="340" spans="2:2" x14ac:dyDescent="0.3">
      <c r="B340" s="646" t="s">
        <v>399</v>
      </c>
    </row>
    <row r="341" spans="2:2" x14ac:dyDescent="0.3">
      <c r="B341" s="646" t="s">
        <v>400</v>
      </c>
    </row>
    <row r="342" spans="2:2" x14ac:dyDescent="0.3">
      <c r="B342" s="646" t="s">
        <v>401</v>
      </c>
    </row>
    <row r="343" spans="2:2" x14ac:dyDescent="0.3">
      <c r="B343" s="646"/>
    </row>
    <row r="344" spans="2:2" x14ac:dyDescent="0.3">
      <c r="B344" s="645" t="s">
        <v>417</v>
      </c>
    </row>
    <row r="345" spans="2:2" x14ac:dyDescent="0.3">
      <c r="B345" s="646" t="s">
        <v>418</v>
      </c>
    </row>
    <row r="346" spans="2:2" x14ac:dyDescent="0.3">
      <c r="B346" s="646" t="s">
        <v>419</v>
      </c>
    </row>
    <row r="347" spans="2:2" x14ac:dyDescent="0.3">
      <c r="B347" s="646" t="s">
        <v>420</v>
      </c>
    </row>
    <row r="348" spans="2:2" x14ac:dyDescent="0.3">
      <c r="B348" s="646"/>
    </row>
    <row r="349" spans="2:2" x14ac:dyDescent="0.3">
      <c r="B349" s="645" t="s">
        <v>402</v>
      </c>
    </row>
    <row r="350" spans="2:2" x14ac:dyDescent="0.3">
      <c r="B350" s="646" t="s">
        <v>403</v>
      </c>
    </row>
    <row r="351" spans="2:2" x14ac:dyDescent="0.3">
      <c r="B351" s="646" t="s">
        <v>404</v>
      </c>
    </row>
  </sheetData>
  <hyperlinks>
    <hyperlink ref="I9" r:id="rId1" xr:uid="{D46A103A-3FF6-4551-BC7E-D2BB1E5BFE63}"/>
    <hyperlink ref="P242" r:id="rId2" xr:uid="{4516FB40-20F8-41D9-B6E8-C242B6976301}"/>
    <hyperlink ref="P331" r:id="rId3" xr:uid="{04D50B78-DE87-4E8B-A7B0-1D59DE3703CE}"/>
  </hyperlinks>
  <printOptions horizontalCentered="1" verticalCentered="1"/>
  <pageMargins left="0.19685039370078741" right="0.19685039370078741" top="0.27559055118110237" bottom="0.27559055118110237" header="0" footer="0"/>
  <pageSetup scale="37" orientation="landscape" r:id="rId4"/>
  <headerFooter alignWithMargins="0"/>
  <rowBreaks count="3" manualBreakCount="3">
    <brk id="63" max="23" man="1"/>
    <brk id="140" max="14" man="1"/>
    <brk id="206" max="14" man="1"/>
  </rowBreaks>
  <drawing r:id="rId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11DFA-73A5-4AB5-9393-884BC97EEB5E}">
  <sheetPr>
    <tabColor rgb="FF89CB31"/>
  </sheetPr>
  <dimension ref="A1:IV350"/>
  <sheetViews>
    <sheetView showGridLines="0" showOutlineSymbols="0" zoomScale="70" zoomScaleNormal="70" workbookViewId="0"/>
  </sheetViews>
  <sheetFormatPr defaultColWidth="9.81640625" defaultRowHeight="15.6" x14ac:dyDescent="0.3"/>
  <cols>
    <col min="1" max="1" width="4" style="416" customWidth="1"/>
    <col min="2" max="2" width="71.08984375" style="416" customWidth="1"/>
    <col min="3" max="3" width="2.08984375" style="416" customWidth="1"/>
    <col min="4" max="4" width="19.1796875" style="416" customWidth="1"/>
    <col min="5" max="5" width="2.08984375" style="416" customWidth="1"/>
    <col min="6" max="6" width="25.08984375" style="416" customWidth="1"/>
    <col min="7" max="7" width="2.08984375" style="416" customWidth="1"/>
    <col min="8" max="8" width="16.08984375" style="416" customWidth="1"/>
    <col min="9" max="9" width="2.81640625" style="416" customWidth="1"/>
    <col min="10" max="10" width="16.08984375" style="416" customWidth="1"/>
    <col min="11" max="11" width="2.08984375" style="416" customWidth="1"/>
    <col min="12" max="12" width="17.81640625" style="416" customWidth="1"/>
    <col min="13" max="13" width="2.1796875" style="416" customWidth="1"/>
    <col min="14" max="14" width="14.81640625" style="416" customWidth="1"/>
    <col min="15" max="15" width="2.1796875" style="416" customWidth="1"/>
    <col min="16" max="16" width="15.54296875" style="416" customWidth="1"/>
    <col min="17" max="17" width="2.08984375" style="416" customWidth="1"/>
    <col min="18" max="18" width="15.54296875" style="416" customWidth="1"/>
    <col min="19" max="20" width="12.81640625" style="416" customWidth="1"/>
    <col min="21" max="21" width="7.81640625" style="416" customWidth="1"/>
    <col min="22" max="22" width="14.81640625" style="416" customWidth="1"/>
    <col min="23" max="23" width="11.81640625" style="416" customWidth="1"/>
    <col min="24" max="16384" width="9.81640625" style="416"/>
  </cols>
  <sheetData>
    <row r="1" spans="1:24" ht="21" x14ac:dyDescent="0.4">
      <c r="A1" s="413"/>
      <c r="B1" s="537" t="s">
        <v>244</v>
      </c>
      <c r="C1" s="414"/>
      <c r="D1" s="414"/>
      <c r="E1" s="414"/>
      <c r="F1" s="414"/>
      <c r="G1" s="414"/>
      <c r="H1" s="414"/>
      <c r="I1" s="414"/>
      <c r="J1" s="414"/>
      <c r="K1" s="414"/>
      <c r="L1" s="414"/>
      <c r="M1" s="414"/>
      <c r="N1" s="414"/>
      <c r="O1" s="414"/>
      <c r="P1" s="414"/>
      <c r="Q1" s="414"/>
      <c r="R1" s="414"/>
      <c r="S1" s="414"/>
      <c r="T1" s="414"/>
      <c r="U1" s="414"/>
      <c r="V1" s="414"/>
      <c r="W1" s="414"/>
      <c r="X1" s="415"/>
    </row>
    <row r="2" spans="1:24" x14ac:dyDescent="0.3">
      <c r="A2" s="417"/>
      <c r="B2" s="418"/>
      <c r="C2" s="419"/>
      <c r="D2" s="419"/>
      <c r="E2" s="419"/>
      <c r="F2" s="419"/>
      <c r="G2" s="419"/>
      <c r="H2" s="419"/>
      <c r="I2" s="419"/>
      <c r="J2" s="419"/>
      <c r="K2" s="419"/>
      <c r="L2" s="419"/>
      <c r="M2" s="419"/>
      <c r="N2" s="419"/>
      <c r="O2" s="419"/>
      <c r="P2" s="419"/>
      <c r="Q2" s="419"/>
      <c r="R2" s="419"/>
      <c r="S2" s="419"/>
      <c r="T2" s="419"/>
      <c r="U2" s="419"/>
      <c r="V2" s="419"/>
      <c r="W2" s="419"/>
      <c r="X2" s="415"/>
    </row>
    <row r="3" spans="1:24" x14ac:dyDescent="0.3">
      <c r="A3" s="420"/>
      <c r="B3" s="421" t="s">
        <v>245</v>
      </c>
      <c r="C3" s="419"/>
      <c r="D3" s="419"/>
      <c r="E3" s="419"/>
      <c r="F3" s="419"/>
      <c r="G3" s="419"/>
      <c r="H3" s="419"/>
      <c r="I3" s="419"/>
      <c r="J3" s="419"/>
      <c r="K3" s="419"/>
      <c r="L3" s="419"/>
      <c r="M3" s="419"/>
      <c r="N3" s="419"/>
      <c r="O3" s="419"/>
      <c r="P3" s="419"/>
      <c r="Q3" s="419"/>
      <c r="R3" s="419"/>
      <c r="S3" s="419"/>
      <c r="T3" s="419"/>
      <c r="U3" s="419"/>
      <c r="V3" s="419"/>
      <c r="W3" s="419"/>
      <c r="X3" s="415"/>
    </row>
    <row r="4" spans="1:24" x14ac:dyDescent="0.3">
      <c r="A4" s="417"/>
      <c r="B4" s="418"/>
      <c r="C4" s="419"/>
      <c r="D4" s="419"/>
      <c r="E4" s="419"/>
      <c r="F4" s="419"/>
      <c r="G4" s="419"/>
      <c r="H4" s="419"/>
      <c r="I4" s="419"/>
      <c r="J4" s="419"/>
      <c r="K4" s="419"/>
      <c r="L4" s="419"/>
      <c r="M4" s="419"/>
      <c r="N4" s="419"/>
      <c r="O4" s="419"/>
      <c r="P4" s="419"/>
      <c r="Q4" s="419"/>
      <c r="R4" s="419"/>
      <c r="S4" s="419"/>
      <c r="T4" s="419"/>
      <c r="U4" s="419"/>
      <c r="V4" s="419"/>
      <c r="W4" s="419"/>
      <c r="X4" s="415"/>
    </row>
    <row r="5" spans="1:24" x14ac:dyDescent="0.3">
      <c r="A5" s="417"/>
      <c r="B5" s="538" t="s">
        <v>137</v>
      </c>
      <c r="C5" s="419"/>
      <c r="D5" s="419"/>
      <c r="E5" s="419"/>
      <c r="F5" s="419"/>
      <c r="G5" s="419"/>
      <c r="H5" s="419"/>
      <c r="I5" s="419"/>
      <c r="J5" s="419"/>
      <c r="K5" s="419"/>
      <c r="L5" s="419"/>
      <c r="M5" s="419"/>
      <c r="N5" s="419"/>
      <c r="O5" s="419"/>
      <c r="P5" s="419"/>
      <c r="Q5" s="419"/>
      <c r="R5" s="419"/>
      <c r="S5" s="419"/>
      <c r="T5" s="419"/>
      <c r="U5" s="419"/>
      <c r="V5" s="419"/>
      <c r="W5" s="419"/>
      <c r="X5" s="415"/>
    </row>
    <row r="6" spans="1:24" x14ac:dyDescent="0.3">
      <c r="A6" s="417"/>
      <c r="B6" s="538" t="s">
        <v>139</v>
      </c>
      <c r="C6" s="419"/>
      <c r="D6" s="419"/>
      <c r="E6" s="419"/>
      <c r="F6" s="419"/>
      <c r="G6" s="419"/>
      <c r="H6" s="419"/>
      <c r="I6" s="419"/>
      <c r="J6" s="419"/>
      <c r="K6" s="419"/>
      <c r="L6" s="419"/>
      <c r="M6" s="419"/>
      <c r="N6" s="419"/>
      <c r="O6" s="419"/>
      <c r="P6" s="419"/>
      <c r="Q6" s="419"/>
      <c r="R6" s="419"/>
      <c r="S6" s="419"/>
      <c r="T6" s="419"/>
      <c r="U6" s="419"/>
      <c r="V6" s="419"/>
      <c r="W6" s="419"/>
      <c r="X6" s="415"/>
    </row>
    <row r="7" spans="1:24" x14ac:dyDescent="0.3">
      <c r="A7" s="417"/>
      <c r="B7" s="538" t="s">
        <v>138</v>
      </c>
      <c r="C7" s="419"/>
      <c r="D7" s="419"/>
      <c r="E7" s="419"/>
      <c r="F7" s="419"/>
      <c r="G7" s="419"/>
      <c r="H7" s="419"/>
      <c r="I7" s="419"/>
      <c r="J7" s="419"/>
      <c r="K7" s="419"/>
      <c r="L7" s="419"/>
      <c r="M7" s="419"/>
      <c r="N7" s="419"/>
      <c r="O7" s="419"/>
      <c r="P7" s="419"/>
      <c r="Q7" s="419"/>
      <c r="R7" s="419"/>
      <c r="S7" s="419"/>
      <c r="T7" s="419"/>
      <c r="U7" s="419"/>
      <c r="V7" s="419"/>
      <c r="W7" s="419"/>
      <c r="X7" s="415"/>
    </row>
    <row r="8" spans="1:24" x14ac:dyDescent="0.3">
      <c r="A8" s="417"/>
      <c r="B8" s="422"/>
      <c r="C8" s="419"/>
      <c r="D8" s="419"/>
      <c r="E8" s="419"/>
      <c r="F8" s="419"/>
      <c r="G8" s="419"/>
      <c r="H8" s="419"/>
      <c r="I8" s="419"/>
      <c r="J8" s="419"/>
      <c r="K8" s="419"/>
      <c r="L8" s="419"/>
      <c r="M8" s="419"/>
      <c r="N8" s="419"/>
      <c r="O8" s="419"/>
      <c r="P8" s="419"/>
      <c r="Q8" s="419"/>
      <c r="R8" s="419"/>
      <c r="S8" s="419"/>
      <c r="T8" s="419"/>
      <c r="U8" s="419"/>
      <c r="V8" s="419"/>
      <c r="W8" s="419"/>
      <c r="X8" s="415"/>
    </row>
    <row r="9" spans="1:24" ht="18" x14ac:dyDescent="0.35">
      <c r="A9" s="417"/>
      <c r="B9" s="423" t="s">
        <v>166</v>
      </c>
      <c r="C9" s="419"/>
      <c r="D9" s="419"/>
      <c r="E9" s="419"/>
      <c r="F9" s="419"/>
      <c r="G9" s="419"/>
      <c r="H9" s="419"/>
      <c r="I9" s="412" t="s">
        <v>371</v>
      </c>
      <c r="J9" s="419"/>
      <c r="K9" s="419"/>
      <c r="L9" s="424"/>
      <c r="M9" s="419"/>
      <c r="N9" s="424"/>
      <c r="O9" s="419"/>
      <c r="P9" s="419"/>
      <c r="Q9" s="419"/>
      <c r="R9" s="419"/>
      <c r="S9" s="419"/>
      <c r="T9" s="419"/>
      <c r="U9" s="419"/>
      <c r="V9" s="419"/>
      <c r="W9" s="419"/>
      <c r="X9" s="415"/>
    </row>
    <row r="10" spans="1:24" x14ac:dyDescent="0.3">
      <c r="A10" s="417"/>
      <c r="B10" s="422"/>
      <c r="C10" s="425"/>
      <c r="D10" s="425"/>
      <c r="E10" s="425"/>
      <c r="F10" s="419"/>
      <c r="G10" s="419"/>
      <c r="H10" s="419"/>
      <c r="I10" s="419"/>
      <c r="J10" s="419"/>
      <c r="K10" s="419"/>
      <c r="L10" s="419"/>
      <c r="M10" s="419"/>
      <c r="N10" s="419"/>
      <c r="O10" s="419"/>
      <c r="P10" s="419"/>
      <c r="Q10" s="419"/>
      <c r="R10" s="419"/>
      <c r="S10" s="419"/>
      <c r="T10" s="419"/>
      <c r="U10" s="419"/>
      <c r="V10" s="419"/>
      <c r="W10" s="419"/>
      <c r="X10" s="415"/>
    </row>
    <row r="11" spans="1:24" x14ac:dyDescent="0.3">
      <c r="A11" s="417"/>
      <c r="B11" s="539" t="s">
        <v>0</v>
      </c>
      <c r="C11" s="419"/>
      <c r="D11" s="419"/>
      <c r="E11" s="419"/>
      <c r="F11" s="419"/>
      <c r="G11" s="419"/>
      <c r="H11" s="419"/>
      <c r="I11" s="419"/>
      <c r="J11" s="419"/>
      <c r="K11" s="419"/>
      <c r="L11" s="419"/>
      <c r="M11" s="419"/>
      <c r="N11" s="419"/>
      <c r="O11" s="419"/>
      <c r="P11" s="419"/>
      <c r="Q11" s="419"/>
      <c r="R11" s="419"/>
      <c r="S11" s="419"/>
      <c r="T11" s="419"/>
      <c r="U11" s="419"/>
      <c r="V11" s="419"/>
      <c r="W11" s="419"/>
      <c r="X11" s="415"/>
    </row>
    <row r="12" spans="1:24" ht="16.2" thickBot="1" x14ac:dyDescent="0.35">
      <c r="A12" s="417"/>
      <c r="B12" s="425"/>
      <c r="C12" s="419"/>
      <c r="D12" s="419"/>
      <c r="E12" s="419"/>
      <c r="F12" s="419"/>
      <c r="G12" s="419"/>
      <c r="H12" s="419"/>
      <c r="I12" s="419"/>
      <c r="J12" s="419"/>
      <c r="K12" s="419"/>
      <c r="L12" s="419"/>
      <c r="M12" s="419"/>
      <c r="N12" s="419"/>
      <c r="O12" s="419"/>
      <c r="P12" s="419"/>
      <c r="Q12" s="419"/>
      <c r="R12" s="419"/>
      <c r="S12" s="419"/>
      <c r="T12" s="419"/>
      <c r="U12" s="419"/>
      <c r="V12" s="419"/>
      <c r="W12" s="419"/>
      <c r="X12" s="415"/>
    </row>
    <row r="13" spans="1:24" x14ac:dyDescent="0.3">
      <c r="A13" s="413"/>
      <c r="B13" s="414"/>
      <c r="C13" s="414"/>
      <c r="D13" s="414"/>
      <c r="E13" s="414"/>
      <c r="F13" s="414"/>
      <c r="G13" s="414"/>
      <c r="H13" s="414"/>
      <c r="I13" s="414"/>
      <c r="J13" s="414"/>
      <c r="K13" s="414"/>
      <c r="L13" s="414"/>
      <c r="M13" s="414"/>
      <c r="N13" s="414"/>
      <c r="O13" s="414"/>
      <c r="P13" s="414"/>
      <c r="Q13" s="414"/>
      <c r="R13" s="414"/>
      <c r="S13" s="414"/>
      <c r="T13" s="414"/>
      <c r="U13" s="414"/>
      <c r="V13" s="414"/>
      <c r="W13" s="414"/>
      <c r="X13" s="415"/>
    </row>
    <row r="14" spans="1:24" s="544" customFormat="1" x14ac:dyDescent="0.3">
      <c r="A14" s="540"/>
      <c r="B14" s="539" t="s">
        <v>1</v>
      </c>
      <c r="C14" s="541"/>
      <c r="D14" s="541"/>
      <c r="E14" s="541"/>
      <c r="F14" s="541"/>
      <c r="G14" s="541"/>
      <c r="H14" s="541"/>
      <c r="I14" s="541"/>
      <c r="J14" s="541"/>
      <c r="K14" s="541"/>
      <c r="L14" s="541"/>
      <c r="M14" s="541"/>
      <c r="N14" s="541"/>
      <c r="O14" s="541"/>
      <c r="P14" s="541"/>
      <c r="Q14" s="541"/>
      <c r="R14" s="541"/>
      <c r="S14" s="541"/>
      <c r="T14" s="541"/>
      <c r="U14" s="541"/>
      <c r="V14" s="542" t="s">
        <v>246</v>
      </c>
      <c r="W14" s="541"/>
      <c r="X14" s="543"/>
    </row>
    <row r="15" spans="1:24" s="544" customFormat="1" x14ac:dyDescent="0.3">
      <c r="A15" s="540"/>
      <c r="B15" s="539" t="s">
        <v>2</v>
      </c>
      <c r="C15" s="541"/>
      <c r="D15" s="541"/>
      <c r="E15" s="541"/>
      <c r="F15" s="541"/>
      <c r="G15" s="541"/>
      <c r="H15" s="545"/>
      <c r="I15" s="545"/>
      <c r="J15" s="545"/>
      <c r="K15" s="545"/>
      <c r="L15" s="545"/>
      <c r="M15" s="545"/>
      <c r="N15" s="545"/>
      <c r="O15" s="545"/>
      <c r="P15" s="545"/>
      <c r="Q15" s="545"/>
      <c r="R15" s="545" t="s">
        <v>104</v>
      </c>
      <c r="S15" s="546">
        <v>0.38300000000000001</v>
      </c>
      <c r="T15" s="547" t="s">
        <v>140</v>
      </c>
      <c r="U15" s="546">
        <v>0.61699999999999999</v>
      </c>
      <c r="V15" s="542"/>
      <c r="W15" s="541"/>
      <c r="X15" s="543"/>
    </row>
    <row r="16" spans="1:24" s="544" customFormat="1" x14ac:dyDescent="0.3">
      <c r="A16" s="540"/>
      <c r="B16" s="539" t="s">
        <v>3</v>
      </c>
      <c r="C16" s="541"/>
      <c r="D16" s="541"/>
      <c r="E16" s="541"/>
      <c r="F16" s="541"/>
      <c r="G16" s="541"/>
      <c r="H16" s="545"/>
      <c r="I16" s="545"/>
      <c r="J16" s="545"/>
      <c r="K16" s="545"/>
      <c r="L16" s="545"/>
      <c r="M16" s="545"/>
      <c r="N16" s="545"/>
      <c r="O16" s="545"/>
      <c r="P16" s="545"/>
      <c r="Q16" s="545"/>
      <c r="R16" s="545" t="s">
        <v>104</v>
      </c>
      <c r="S16" s="546">
        <v>0.51612459781076769</v>
      </c>
      <c r="T16" s="547" t="s">
        <v>140</v>
      </c>
      <c r="U16" s="546">
        <v>0.48387540218923236</v>
      </c>
      <c r="V16" s="542"/>
      <c r="W16" s="541"/>
      <c r="X16" s="543"/>
    </row>
    <row r="17" spans="1:24" s="544" customFormat="1" x14ac:dyDescent="0.3">
      <c r="A17" s="540"/>
      <c r="B17" s="539" t="s">
        <v>4</v>
      </c>
      <c r="C17" s="541"/>
      <c r="D17" s="541"/>
      <c r="E17" s="541"/>
      <c r="F17" s="541"/>
      <c r="G17" s="541"/>
      <c r="H17" s="541"/>
      <c r="I17" s="541"/>
      <c r="J17" s="541"/>
      <c r="K17" s="541"/>
      <c r="L17" s="541"/>
      <c r="M17" s="541"/>
      <c r="N17" s="541"/>
      <c r="O17" s="541"/>
      <c r="P17" s="541"/>
      <c r="Q17" s="541"/>
      <c r="R17" s="541"/>
      <c r="S17" s="541"/>
      <c r="T17" s="541"/>
      <c r="U17" s="541"/>
      <c r="V17" s="548">
        <v>39163</v>
      </c>
      <c r="W17" s="541"/>
      <c r="X17" s="543"/>
    </row>
    <row r="18" spans="1:24" s="544" customFormat="1" x14ac:dyDescent="0.3">
      <c r="A18" s="540"/>
      <c r="B18" s="539" t="s">
        <v>5</v>
      </c>
      <c r="C18" s="541"/>
      <c r="D18" s="541"/>
      <c r="E18" s="541"/>
      <c r="F18" s="541"/>
      <c r="G18" s="541"/>
      <c r="H18" s="541"/>
      <c r="I18" s="541"/>
      <c r="J18" s="541"/>
      <c r="K18" s="541"/>
      <c r="L18" s="541"/>
      <c r="M18" s="541"/>
      <c r="N18" s="541"/>
      <c r="O18" s="541"/>
      <c r="P18" s="541"/>
      <c r="Q18" s="541"/>
      <c r="R18" s="541"/>
      <c r="S18" s="541"/>
      <c r="T18" s="541"/>
      <c r="U18" s="541"/>
      <c r="V18" s="548">
        <v>44187</v>
      </c>
      <c r="W18" s="541"/>
      <c r="X18" s="543"/>
    </row>
    <row r="19" spans="1:24" s="544" customFormat="1" x14ac:dyDescent="0.3">
      <c r="A19" s="540"/>
      <c r="B19" s="541"/>
      <c r="C19" s="541"/>
      <c r="D19" s="541"/>
      <c r="E19" s="541"/>
      <c r="F19" s="541"/>
      <c r="G19" s="541"/>
      <c r="H19" s="541"/>
      <c r="I19" s="541"/>
      <c r="J19" s="541"/>
      <c r="K19" s="541"/>
      <c r="L19" s="541"/>
      <c r="M19" s="541"/>
      <c r="N19" s="541"/>
      <c r="O19" s="541"/>
      <c r="P19" s="541"/>
      <c r="Q19" s="541"/>
      <c r="R19" s="541"/>
      <c r="S19" s="541"/>
      <c r="T19" s="541"/>
      <c r="U19" s="541"/>
      <c r="V19" s="549"/>
      <c r="W19" s="541"/>
      <c r="X19" s="543"/>
    </row>
    <row r="20" spans="1:24" s="544" customFormat="1" x14ac:dyDescent="0.3">
      <c r="A20" s="540"/>
      <c r="B20" s="550" t="s">
        <v>6</v>
      </c>
      <c r="C20" s="541"/>
      <c r="D20" s="541"/>
      <c r="E20" s="541"/>
      <c r="F20" s="541"/>
      <c r="G20" s="541"/>
      <c r="H20" s="541"/>
      <c r="I20" s="541"/>
      <c r="J20" s="541"/>
      <c r="K20" s="541"/>
      <c r="L20" s="541"/>
      <c r="M20" s="541"/>
      <c r="N20" s="541"/>
      <c r="O20" s="541"/>
      <c r="P20" s="541"/>
      <c r="Q20" s="541"/>
      <c r="R20" s="541"/>
      <c r="S20" s="541"/>
      <c r="T20" s="549" t="s">
        <v>105</v>
      </c>
      <c r="U20" s="541"/>
      <c r="V20" s="541"/>
      <c r="W20" s="541"/>
      <c r="X20" s="543"/>
    </row>
    <row r="21" spans="1:24" x14ac:dyDescent="0.3">
      <c r="A21" s="417"/>
      <c r="B21" s="419"/>
      <c r="C21" s="419"/>
      <c r="D21" s="419"/>
      <c r="E21" s="419"/>
      <c r="F21" s="419"/>
      <c r="G21" s="419"/>
      <c r="H21" s="419"/>
      <c r="I21" s="419"/>
      <c r="J21" s="419"/>
      <c r="K21" s="419"/>
      <c r="L21" s="419"/>
      <c r="M21" s="419"/>
      <c r="N21" s="419"/>
      <c r="O21" s="419"/>
      <c r="P21" s="419"/>
      <c r="Q21" s="419"/>
      <c r="R21" s="419"/>
      <c r="S21" s="419"/>
      <c r="T21" s="419"/>
      <c r="U21" s="419"/>
      <c r="V21" s="430"/>
      <c r="W21" s="419"/>
      <c r="X21" s="415"/>
    </row>
    <row r="22" spans="1:24" x14ac:dyDescent="0.3">
      <c r="A22" s="515"/>
      <c r="B22" s="517"/>
      <c r="C22" s="518"/>
      <c r="D22" s="518" t="s">
        <v>177</v>
      </c>
      <c r="E22" s="518"/>
      <c r="F22" s="518" t="s">
        <v>178</v>
      </c>
      <c r="G22" s="518"/>
      <c r="H22" s="518" t="s">
        <v>179</v>
      </c>
      <c r="I22" s="518"/>
      <c r="J22" s="518" t="s">
        <v>220</v>
      </c>
      <c r="K22" s="518"/>
      <c r="L22" s="518" t="s">
        <v>180</v>
      </c>
      <c r="M22" s="518"/>
      <c r="N22" s="518" t="s">
        <v>181</v>
      </c>
      <c r="O22" s="518"/>
      <c r="P22" s="518" t="s">
        <v>221</v>
      </c>
      <c r="Q22" s="518"/>
      <c r="R22" s="518" t="s">
        <v>182</v>
      </c>
      <c r="S22" s="519"/>
      <c r="T22" s="519"/>
      <c r="U22" s="517"/>
      <c r="V22" s="517"/>
      <c r="W22" s="520"/>
      <c r="X22" s="415"/>
    </row>
    <row r="23" spans="1:24" s="544" customFormat="1" x14ac:dyDescent="0.3">
      <c r="A23" s="551"/>
      <c r="B23" s="552" t="s">
        <v>7</v>
      </c>
      <c r="C23" s="553"/>
      <c r="D23" s="553" t="s">
        <v>213</v>
      </c>
      <c r="E23" s="553"/>
      <c r="F23" s="553" t="s">
        <v>141</v>
      </c>
      <c r="G23" s="553"/>
      <c r="H23" s="553" t="s">
        <v>141</v>
      </c>
      <c r="I23" s="553"/>
      <c r="J23" s="553" t="s">
        <v>141</v>
      </c>
      <c r="K23" s="553"/>
      <c r="L23" s="553" t="s">
        <v>183</v>
      </c>
      <c r="M23" s="553"/>
      <c r="N23" s="553" t="s">
        <v>183</v>
      </c>
      <c r="O23" s="553"/>
      <c r="P23" s="553" t="s">
        <v>142</v>
      </c>
      <c r="Q23" s="553"/>
      <c r="R23" s="553" t="s">
        <v>142</v>
      </c>
      <c r="S23" s="553"/>
      <c r="T23" s="553"/>
      <c r="U23" s="552"/>
      <c r="V23" s="552"/>
      <c r="W23" s="554"/>
      <c r="X23" s="543"/>
    </row>
    <row r="24" spans="1:24" s="544" customFormat="1" x14ac:dyDescent="0.3">
      <c r="A24" s="555"/>
      <c r="B24" s="556" t="s">
        <v>8</v>
      </c>
      <c r="C24" s="557"/>
      <c r="D24" s="557" t="s">
        <v>214</v>
      </c>
      <c r="E24" s="557"/>
      <c r="F24" s="557" t="s">
        <v>143</v>
      </c>
      <c r="G24" s="557"/>
      <c r="H24" s="557" t="s">
        <v>143</v>
      </c>
      <c r="I24" s="557"/>
      <c r="J24" s="557" t="s">
        <v>143</v>
      </c>
      <c r="K24" s="557"/>
      <c r="L24" s="557" t="s">
        <v>165</v>
      </c>
      <c r="M24" s="557"/>
      <c r="N24" s="557" t="s">
        <v>165</v>
      </c>
      <c r="O24" s="557"/>
      <c r="P24" s="557" t="s">
        <v>144</v>
      </c>
      <c r="Q24" s="557"/>
      <c r="R24" s="557" t="s">
        <v>144</v>
      </c>
      <c r="S24" s="557"/>
      <c r="T24" s="557"/>
      <c r="U24" s="556"/>
      <c r="V24" s="556"/>
      <c r="W24" s="558"/>
      <c r="X24" s="543"/>
    </row>
    <row r="25" spans="1:24" s="544" customFormat="1" x14ac:dyDescent="0.3">
      <c r="A25" s="559"/>
      <c r="B25" s="556" t="s">
        <v>190</v>
      </c>
      <c r="C25" s="560"/>
      <c r="D25" s="557" t="s">
        <v>215</v>
      </c>
      <c r="E25" s="557"/>
      <c r="F25" s="557" t="s">
        <v>143</v>
      </c>
      <c r="G25" s="557"/>
      <c r="H25" s="557" t="s">
        <v>143</v>
      </c>
      <c r="I25" s="557"/>
      <c r="J25" s="557" t="s">
        <v>143</v>
      </c>
      <c r="K25" s="557"/>
      <c r="L25" s="557" t="s">
        <v>293</v>
      </c>
      <c r="M25" s="557"/>
      <c r="N25" s="557" t="s">
        <v>293</v>
      </c>
      <c r="O25" s="557"/>
      <c r="P25" s="557" t="s">
        <v>144</v>
      </c>
      <c r="Q25" s="557"/>
      <c r="R25" s="557" t="s">
        <v>144</v>
      </c>
      <c r="S25" s="560"/>
      <c r="T25" s="557"/>
      <c r="U25" s="556"/>
      <c r="V25" s="556"/>
      <c r="W25" s="558"/>
      <c r="X25" s="543"/>
    </row>
    <row r="26" spans="1:24" s="544" customFormat="1" x14ac:dyDescent="0.3">
      <c r="A26" s="559"/>
      <c r="B26" s="561" t="s">
        <v>9</v>
      </c>
      <c r="C26" s="560"/>
      <c r="D26" s="560" t="s">
        <v>333</v>
      </c>
      <c r="E26" s="560"/>
      <c r="F26" s="560" t="s">
        <v>333</v>
      </c>
      <c r="G26" s="560"/>
      <c r="H26" s="560" t="s">
        <v>333</v>
      </c>
      <c r="I26" s="560"/>
      <c r="J26" s="560" t="s">
        <v>333</v>
      </c>
      <c r="K26" s="560"/>
      <c r="L26" s="560" t="s">
        <v>333</v>
      </c>
      <c r="M26" s="560"/>
      <c r="N26" s="560" t="s">
        <v>333</v>
      </c>
      <c r="O26" s="560"/>
      <c r="P26" s="560" t="s">
        <v>334</v>
      </c>
      <c r="Q26" s="560"/>
      <c r="R26" s="560" t="s">
        <v>334</v>
      </c>
      <c r="S26" s="560"/>
      <c r="T26" s="557"/>
      <c r="U26" s="556"/>
      <c r="V26" s="556"/>
      <c r="W26" s="558"/>
      <c r="X26" s="543"/>
    </row>
    <row r="27" spans="1:24" s="544" customFormat="1" x14ac:dyDescent="0.3">
      <c r="A27" s="555"/>
      <c r="B27" s="561" t="s">
        <v>191</v>
      </c>
      <c r="C27" s="557"/>
      <c r="D27" s="560" t="s">
        <v>143</v>
      </c>
      <c r="E27" s="560"/>
      <c r="F27" s="560" t="s">
        <v>143</v>
      </c>
      <c r="G27" s="560"/>
      <c r="H27" s="560" t="s">
        <v>143</v>
      </c>
      <c r="I27" s="560"/>
      <c r="J27" s="560" t="s">
        <v>143</v>
      </c>
      <c r="K27" s="560"/>
      <c r="L27" s="560" t="s">
        <v>293</v>
      </c>
      <c r="M27" s="560"/>
      <c r="N27" s="560" t="s">
        <v>293</v>
      </c>
      <c r="O27" s="560"/>
      <c r="P27" s="560" t="s">
        <v>383</v>
      </c>
      <c r="Q27" s="560"/>
      <c r="R27" s="560" t="s">
        <v>383</v>
      </c>
      <c r="S27" s="557"/>
      <c r="T27" s="562"/>
      <c r="U27" s="556"/>
      <c r="V27" s="556"/>
      <c r="W27" s="558"/>
      <c r="X27" s="543"/>
    </row>
    <row r="28" spans="1:24" s="544" customFormat="1" x14ac:dyDescent="0.3">
      <c r="A28" s="555"/>
      <c r="B28" s="561" t="s">
        <v>192</v>
      </c>
      <c r="C28" s="557"/>
      <c r="D28" s="560" t="s">
        <v>143</v>
      </c>
      <c r="E28" s="560"/>
      <c r="F28" s="560" t="s">
        <v>143</v>
      </c>
      <c r="G28" s="560"/>
      <c r="H28" s="560" t="s">
        <v>143</v>
      </c>
      <c r="I28" s="560"/>
      <c r="J28" s="560" t="s">
        <v>143</v>
      </c>
      <c r="K28" s="560"/>
      <c r="L28" s="560" t="s">
        <v>143</v>
      </c>
      <c r="M28" s="560"/>
      <c r="N28" s="560" t="s">
        <v>143</v>
      </c>
      <c r="O28" s="560"/>
      <c r="P28" s="560" t="s">
        <v>383</v>
      </c>
      <c r="Q28" s="560"/>
      <c r="R28" s="560" t="s">
        <v>383</v>
      </c>
      <c r="S28" s="557"/>
      <c r="T28" s="562"/>
      <c r="U28" s="556"/>
      <c r="V28" s="556"/>
      <c r="W28" s="558"/>
      <c r="X28" s="543"/>
    </row>
    <row r="29" spans="1:24" s="544" customFormat="1" x14ac:dyDescent="0.3">
      <c r="A29" s="555"/>
      <c r="B29" s="556" t="s">
        <v>10</v>
      </c>
      <c r="C29" s="563"/>
      <c r="D29" s="557" t="s">
        <v>249</v>
      </c>
      <c r="E29" s="557"/>
      <c r="F29" s="562" t="s">
        <v>250</v>
      </c>
      <c r="G29" s="557"/>
      <c r="H29" s="557" t="s">
        <v>251</v>
      </c>
      <c r="I29" s="557"/>
      <c r="J29" s="557" t="s">
        <v>253</v>
      </c>
      <c r="K29" s="557"/>
      <c r="L29" s="557" t="s">
        <v>254</v>
      </c>
      <c r="M29" s="557"/>
      <c r="N29" s="557" t="s">
        <v>255</v>
      </c>
      <c r="O29" s="557"/>
      <c r="P29" s="557" t="s">
        <v>256</v>
      </c>
      <c r="Q29" s="557"/>
      <c r="R29" s="557" t="s">
        <v>257</v>
      </c>
      <c r="S29" s="564"/>
      <c r="T29" s="564"/>
      <c r="U29" s="563"/>
      <c r="V29" s="564"/>
      <c r="W29" s="565"/>
      <c r="X29" s="543"/>
    </row>
    <row r="30" spans="1:24" s="544" customFormat="1" x14ac:dyDescent="0.3">
      <c r="A30" s="555"/>
      <c r="B30" s="556" t="s">
        <v>10</v>
      </c>
      <c r="C30" s="563"/>
      <c r="D30" s="557" t="s">
        <v>248</v>
      </c>
      <c r="E30" s="557"/>
      <c r="F30" s="562" t="s">
        <v>118</v>
      </c>
      <c r="G30" s="557"/>
      <c r="H30" s="557" t="s">
        <v>118</v>
      </c>
      <c r="I30" s="557"/>
      <c r="J30" s="557" t="s">
        <v>252</v>
      </c>
      <c r="K30" s="557"/>
      <c r="L30" s="557" t="s">
        <v>118</v>
      </c>
      <c r="M30" s="557"/>
      <c r="N30" s="557" t="s">
        <v>118</v>
      </c>
      <c r="O30" s="557"/>
      <c r="P30" s="557" t="s">
        <v>118</v>
      </c>
      <c r="Q30" s="557"/>
      <c r="R30" s="557" t="s">
        <v>118</v>
      </c>
      <c r="S30" s="564"/>
      <c r="T30" s="564"/>
      <c r="U30" s="563"/>
      <c r="V30" s="564"/>
      <c r="W30" s="565"/>
      <c r="X30" s="543"/>
    </row>
    <row r="31" spans="1:24" s="544" customFormat="1" x14ac:dyDescent="0.3">
      <c r="A31" s="559"/>
      <c r="B31" s="556" t="s">
        <v>133</v>
      </c>
      <c r="C31" s="566"/>
      <c r="D31" s="567">
        <v>1500000</v>
      </c>
      <c r="E31" s="563"/>
      <c r="F31" s="564">
        <v>125000</v>
      </c>
      <c r="G31" s="564"/>
      <c r="H31" s="568">
        <v>246000</v>
      </c>
      <c r="I31" s="568"/>
      <c r="J31" s="567">
        <v>400000</v>
      </c>
      <c r="K31" s="564"/>
      <c r="L31" s="564">
        <v>51900</v>
      </c>
      <c r="M31" s="564"/>
      <c r="N31" s="568">
        <v>88800</v>
      </c>
      <c r="O31" s="564"/>
      <c r="P31" s="564">
        <v>20000</v>
      </c>
      <c r="Q31" s="564"/>
      <c r="R31" s="568">
        <v>135500</v>
      </c>
      <c r="S31" s="569"/>
      <c r="T31" s="569"/>
      <c r="U31" s="566"/>
      <c r="V31" s="569"/>
      <c r="W31" s="565"/>
      <c r="X31" s="543"/>
    </row>
    <row r="32" spans="1:24" s="544" customFormat="1" x14ac:dyDescent="0.3">
      <c r="A32" s="555"/>
      <c r="B32" s="556" t="s">
        <v>132</v>
      </c>
      <c r="C32" s="563"/>
      <c r="D32" s="570">
        <f>D34*D38</f>
        <v>292037.05267379998</v>
      </c>
      <c r="E32" s="563"/>
      <c r="F32" s="564">
        <f>F31*F38</f>
        <v>47091.275000000001</v>
      </c>
      <c r="G32" s="564"/>
      <c r="H32" s="568">
        <f>H31*H38</f>
        <v>92675.62920000001</v>
      </c>
      <c r="I32" s="568"/>
      <c r="J32" s="567">
        <f>J31*J38</f>
        <v>150691.07999999999</v>
      </c>
      <c r="K32" s="564"/>
      <c r="L32" s="564">
        <f>+L31</f>
        <v>51900</v>
      </c>
      <c r="M32" s="564"/>
      <c r="N32" s="568">
        <f>+N31</f>
        <v>88800</v>
      </c>
      <c r="O32" s="564"/>
      <c r="P32" s="564">
        <f>+P31</f>
        <v>20000</v>
      </c>
      <c r="Q32" s="564"/>
      <c r="R32" s="568">
        <f>+R31</f>
        <v>135500</v>
      </c>
      <c r="S32" s="564"/>
      <c r="T32" s="564"/>
      <c r="U32" s="563"/>
      <c r="V32" s="564"/>
      <c r="W32" s="565"/>
      <c r="X32" s="543"/>
    </row>
    <row r="33" spans="1:24" s="544" customFormat="1" x14ac:dyDescent="0.3">
      <c r="A33" s="555"/>
      <c r="B33" s="561" t="s">
        <v>134</v>
      </c>
      <c r="C33" s="563"/>
      <c r="D33" s="571">
        <f>D34*D37</f>
        <v>284326.66307219997</v>
      </c>
      <c r="E33" s="566"/>
      <c r="F33" s="569">
        <f>F37*F31</f>
        <v>45847.974999999999</v>
      </c>
      <c r="G33" s="569"/>
      <c r="H33" s="572">
        <f>H31*H37</f>
        <v>90228.814799999993</v>
      </c>
      <c r="I33" s="572"/>
      <c r="J33" s="573">
        <f>J37*J31</f>
        <v>146712.51999999999</v>
      </c>
      <c r="K33" s="569"/>
      <c r="L33" s="569">
        <f>L31*L37</f>
        <v>51900</v>
      </c>
      <c r="M33" s="569"/>
      <c r="N33" s="572">
        <f>N31*N37</f>
        <v>88800</v>
      </c>
      <c r="O33" s="569"/>
      <c r="P33" s="569">
        <f>P31*P37</f>
        <v>20000</v>
      </c>
      <c r="Q33" s="569"/>
      <c r="R33" s="572">
        <f>R31*R37</f>
        <v>135500</v>
      </c>
      <c r="S33" s="564"/>
      <c r="T33" s="564"/>
      <c r="U33" s="563"/>
      <c r="V33" s="564"/>
      <c r="W33" s="565"/>
      <c r="X33" s="543"/>
    </row>
    <row r="34" spans="1:24" s="544" customFormat="1" x14ac:dyDescent="0.3">
      <c r="A34" s="559"/>
      <c r="B34" s="556" t="s">
        <v>296</v>
      </c>
      <c r="C34" s="566"/>
      <c r="D34" s="564">
        <v>775194</v>
      </c>
      <c r="E34" s="563"/>
      <c r="F34" s="564">
        <v>125000</v>
      </c>
      <c r="G34" s="564"/>
      <c r="H34" s="564">
        <v>168148</v>
      </c>
      <c r="I34" s="564"/>
      <c r="J34" s="564">
        <v>206718</v>
      </c>
      <c r="K34" s="564"/>
      <c r="L34" s="564">
        <v>51900</v>
      </c>
      <c r="M34" s="564"/>
      <c r="N34" s="564">
        <v>60697</v>
      </c>
      <c r="O34" s="564"/>
      <c r="P34" s="564">
        <v>20000</v>
      </c>
      <c r="Q34" s="564"/>
      <c r="R34" s="564">
        <v>92618</v>
      </c>
      <c r="S34" s="569"/>
      <c r="T34" s="569"/>
      <c r="U34" s="566"/>
      <c r="V34" s="564">
        <f>SUM(C34:R34)</f>
        <v>1500275</v>
      </c>
      <c r="W34" s="565"/>
      <c r="X34" s="543"/>
    </row>
    <row r="35" spans="1:24" s="544" customFormat="1" x14ac:dyDescent="0.3">
      <c r="A35" s="559"/>
      <c r="B35" s="556" t="s">
        <v>297</v>
      </c>
      <c r="C35" s="566"/>
      <c r="D35" s="564">
        <f>D34*D38</f>
        <v>292037.05267379998</v>
      </c>
      <c r="E35" s="563"/>
      <c r="F35" s="564">
        <f>F34*F38</f>
        <v>47091.275000000001</v>
      </c>
      <c r="G35" s="564"/>
      <c r="H35" s="564">
        <f>H34*H38</f>
        <v>63346.429669600002</v>
      </c>
      <c r="I35" s="564"/>
      <c r="J35" s="564">
        <f>J34*J38</f>
        <v>77876.396688599998</v>
      </c>
      <c r="K35" s="564"/>
      <c r="L35" s="564">
        <f>+L34</f>
        <v>51900</v>
      </c>
      <c r="M35" s="564"/>
      <c r="N35" s="564">
        <f>+N34</f>
        <v>60697</v>
      </c>
      <c r="O35" s="564"/>
      <c r="P35" s="564">
        <f>+P34</f>
        <v>20000</v>
      </c>
      <c r="Q35" s="564"/>
      <c r="R35" s="564">
        <f>+R34</f>
        <v>92618</v>
      </c>
      <c r="S35" s="564"/>
      <c r="T35" s="564"/>
      <c r="U35" s="563"/>
      <c r="V35" s="564">
        <f>SUM(C35:R35)</f>
        <v>705566.15403199999</v>
      </c>
      <c r="W35" s="565"/>
      <c r="X35" s="543"/>
    </row>
    <row r="36" spans="1:24" s="544" customFormat="1" x14ac:dyDescent="0.3">
      <c r="A36" s="559"/>
      <c r="B36" s="561" t="s">
        <v>298</v>
      </c>
      <c r="C36" s="566"/>
      <c r="D36" s="569">
        <f>D34*D37</f>
        <v>284326.66307219997</v>
      </c>
      <c r="E36" s="566"/>
      <c r="F36" s="569">
        <f>F34*F37</f>
        <v>45847.974999999999</v>
      </c>
      <c r="G36" s="569"/>
      <c r="H36" s="569">
        <f>H34*H37</f>
        <v>61673.9624024</v>
      </c>
      <c r="I36" s="569"/>
      <c r="J36" s="569">
        <f>J34*J37</f>
        <v>75820.296773399998</v>
      </c>
      <c r="K36" s="569"/>
      <c r="L36" s="569">
        <f>L34*L37</f>
        <v>51900</v>
      </c>
      <c r="M36" s="569"/>
      <c r="N36" s="569">
        <f>N34*N37</f>
        <v>60697</v>
      </c>
      <c r="O36" s="569"/>
      <c r="P36" s="569">
        <f>P34*P37</f>
        <v>20000</v>
      </c>
      <c r="Q36" s="569"/>
      <c r="R36" s="569">
        <f>R34*R37</f>
        <v>92618</v>
      </c>
      <c r="S36" s="574"/>
      <c r="T36" s="574"/>
      <c r="U36" s="563"/>
      <c r="V36" s="569">
        <f>SUM(C36:R36)</f>
        <v>692883.89724799991</v>
      </c>
      <c r="W36" s="565"/>
      <c r="X36" s="543"/>
    </row>
    <row r="37" spans="1:24" s="499" customFormat="1" x14ac:dyDescent="0.3">
      <c r="A37" s="492"/>
      <c r="B37" s="493" t="s">
        <v>130</v>
      </c>
      <c r="C37" s="494"/>
      <c r="D37" s="495">
        <v>0.36678129999999998</v>
      </c>
      <c r="E37" s="495"/>
      <c r="F37" s="495">
        <v>0.36678379999999999</v>
      </c>
      <c r="G37" s="495"/>
      <c r="H37" s="495">
        <v>0.36678379999999999</v>
      </c>
      <c r="I37" s="495"/>
      <c r="J37" s="495">
        <v>0.36678129999999998</v>
      </c>
      <c r="K37" s="495"/>
      <c r="L37" s="495">
        <v>1</v>
      </c>
      <c r="M37" s="495"/>
      <c r="N37" s="495">
        <v>1</v>
      </c>
      <c r="O37" s="495"/>
      <c r="P37" s="495">
        <v>1</v>
      </c>
      <c r="Q37" s="495"/>
      <c r="R37" s="495">
        <v>1</v>
      </c>
      <c r="S37" s="496"/>
      <c r="T37" s="496"/>
      <c r="U37" s="494"/>
      <c r="V37" s="494"/>
      <c r="W37" s="497"/>
      <c r="X37" s="498"/>
    </row>
    <row r="38" spans="1:24" s="499" customFormat="1" x14ac:dyDescent="0.3">
      <c r="A38" s="492"/>
      <c r="B38" s="493" t="s">
        <v>131</v>
      </c>
      <c r="C38" s="494"/>
      <c r="D38" s="495">
        <v>0.3767277</v>
      </c>
      <c r="E38" s="495"/>
      <c r="F38" s="495">
        <v>0.37673020000000002</v>
      </c>
      <c r="G38" s="495"/>
      <c r="H38" s="495">
        <v>0.37673020000000002</v>
      </c>
      <c r="I38" s="495"/>
      <c r="J38" s="495">
        <v>0.3767277</v>
      </c>
      <c r="K38" s="495"/>
      <c r="L38" s="495">
        <v>1</v>
      </c>
      <c r="M38" s="495"/>
      <c r="N38" s="495">
        <v>1</v>
      </c>
      <c r="O38" s="495"/>
      <c r="P38" s="495">
        <v>1</v>
      </c>
      <c r="Q38" s="495"/>
      <c r="R38" s="495">
        <v>1</v>
      </c>
      <c r="S38" s="500"/>
      <c r="T38" s="501"/>
      <c r="U38" s="494"/>
      <c r="V38" s="500"/>
      <c r="W38" s="497"/>
      <c r="X38" s="498"/>
    </row>
    <row r="39" spans="1:24" s="544" customFormat="1" x14ac:dyDescent="0.3">
      <c r="A39" s="555"/>
      <c r="B39" s="556" t="s">
        <v>11</v>
      </c>
      <c r="C39" s="556"/>
      <c r="D39" s="562" t="s">
        <v>321</v>
      </c>
      <c r="E39" s="556"/>
      <c r="F39" s="562" t="s">
        <v>231</v>
      </c>
      <c r="G39" s="562"/>
      <c r="H39" s="562" t="s">
        <v>231</v>
      </c>
      <c r="I39" s="562"/>
      <c r="J39" s="562" t="s">
        <v>231</v>
      </c>
      <c r="K39" s="562"/>
      <c r="L39" s="562" t="s">
        <v>265</v>
      </c>
      <c r="M39" s="562"/>
      <c r="N39" s="562" t="s">
        <v>265</v>
      </c>
      <c r="O39" s="562"/>
      <c r="P39" s="562" t="s">
        <v>266</v>
      </c>
      <c r="Q39" s="562"/>
      <c r="R39" s="562" t="s">
        <v>266</v>
      </c>
      <c r="S39" s="575"/>
      <c r="T39" s="576"/>
      <c r="U39" s="556"/>
      <c r="V39" s="556"/>
      <c r="W39" s="558"/>
      <c r="X39" s="543"/>
    </row>
    <row r="40" spans="1:24" s="544" customFormat="1" x14ac:dyDescent="0.3">
      <c r="A40" s="555"/>
      <c r="B40" s="556" t="s">
        <v>12</v>
      </c>
      <c r="C40" s="556"/>
      <c r="D40" s="576">
        <v>2.5912999999999999E-3</v>
      </c>
      <c r="E40" s="556"/>
      <c r="F40" s="576">
        <v>2.5912999999999999E-3</v>
      </c>
      <c r="G40" s="575"/>
      <c r="H40" s="576">
        <v>0</v>
      </c>
      <c r="I40" s="576"/>
      <c r="J40" s="576">
        <v>4.5037999999999996E-3</v>
      </c>
      <c r="K40" s="575"/>
      <c r="L40" s="576">
        <v>4.1913000000000002E-3</v>
      </c>
      <c r="M40" s="575"/>
      <c r="N40" s="576">
        <v>0</v>
      </c>
      <c r="O40" s="575"/>
      <c r="P40" s="576">
        <v>8.1913000000000003E-3</v>
      </c>
      <c r="Q40" s="575"/>
      <c r="R40" s="576">
        <v>2.7599999999999999E-3</v>
      </c>
      <c r="S40" s="575"/>
      <c r="T40" s="576"/>
      <c r="U40" s="556"/>
      <c r="V40" s="562"/>
      <c r="W40" s="558"/>
      <c r="X40" s="543"/>
    </row>
    <row r="41" spans="1:24" s="544" customFormat="1" x14ac:dyDescent="0.3">
      <c r="A41" s="555"/>
      <c r="B41" s="556" t="s">
        <v>13</v>
      </c>
      <c r="C41" s="556"/>
      <c r="D41" s="576">
        <v>3.9325000000000002E-3</v>
      </c>
      <c r="E41" s="556"/>
      <c r="F41" s="576">
        <v>3.9325000000000002E-3</v>
      </c>
      <c r="G41" s="575"/>
      <c r="H41" s="576">
        <v>0</v>
      </c>
      <c r="I41" s="576"/>
      <c r="J41" s="576">
        <v>5.1338E-3</v>
      </c>
      <c r="K41" s="575"/>
      <c r="L41" s="576">
        <v>5.5325000000000001E-3</v>
      </c>
      <c r="M41" s="575"/>
      <c r="N41" s="576">
        <v>2.0000000000000002E-5</v>
      </c>
      <c r="O41" s="575"/>
      <c r="P41" s="576">
        <v>9.5324999999999993E-3</v>
      </c>
      <c r="Q41" s="575"/>
      <c r="R41" s="576">
        <v>4.0200000000000001E-3</v>
      </c>
      <c r="S41" s="575"/>
      <c r="T41" s="576"/>
      <c r="U41" s="556"/>
      <c r="V41" s="575" t="s">
        <v>193</v>
      </c>
      <c r="W41" s="558"/>
      <c r="X41" s="543"/>
    </row>
    <row r="42" spans="1:24" s="544" customFormat="1" x14ac:dyDescent="0.3">
      <c r="A42" s="555"/>
      <c r="B42" s="556" t="s">
        <v>299</v>
      </c>
      <c r="C42" s="556"/>
      <c r="D42" s="562" t="s">
        <v>321</v>
      </c>
      <c r="E42" s="556"/>
      <c r="F42" s="562" t="s">
        <v>231</v>
      </c>
      <c r="G42" s="562"/>
      <c r="H42" s="562" t="s">
        <v>323</v>
      </c>
      <c r="I42" s="562"/>
      <c r="J42" s="562" t="s">
        <v>324</v>
      </c>
      <c r="K42" s="562"/>
      <c r="L42" s="562" t="s">
        <v>265</v>
      </c>
      <c r="M42" s="562"/>
      <c r="N42" s="562" t="s">
        <v>234</v>
      </c>
      <c r="O42" s="562"/>
      <c r="P42" s="562" t="s">
        <v>266</v>
      </c>
      <c r="Q42" s="562"/>
      <c r="R42" s="562" t="s">
        <v>264</v>
      </c>
      <c r="S42" s="575"/>
      <c r="T42" s="576"/>
      <c r="U42" s="556"/>
      <c r="V42" s="556"/>
      <c r="W42" s="558"/>
      <c r="X42" s="543"/>
    </row>
    <row r="43" spans="1:24" s="544" customFormat="1" x14ac:dyDescent="0.3">
      <c r="A43" s="555"/>
      <c r="B43" s="556" t="s">
        <v>300</v>
      </c>
      <c r="C43" s="577"/>
      <c r="D43" s="576">
        <f>D40</f>
        <v>2.5912999999999999E-3</v>
      </c>
      <c r="E43" s="576"/>
      <c r="F43" s="576">
        <f>+F40</f>
        <v>2.5912999999999999E-3</v>
      </c>
      <c r="G43" s="576"/>
      <c r="H43" s="576">
        <v>2.8712999999999998E-3</v>
      </c>
      <c r="I43" s="576"/>
      <c r="J43" s="576">
        <v>3.3173E-3</v>
      </c>
      <c r="K43" s="576"/>
      <c r="L43" s="576">
        <f>+L40</f>
        <v>4.1913000000000002E-3</v>
      </c>
      <c r="M43" s="576"/>
      <c r="N43" s="576">
        <v>4.7832999999999999E-3</v>
      </c>
      <c r="O43" s="576"/>
      <c r="P43" s="576">
        <f>+P40</f>
        <v>8.1913000000000003E-3</v>
      </c>
      <c r="Q43" s="575"/>
      <c r="R43" s="576">
        <v>9.2572999999999996E-3</v>
      </c>
      <c r="S43" s="562"/>
      <c r="T43" s="562"/>
      <c r="U43" s="556"/>
      <c r="V43" s="575">
        <f>SUMPRODUCT(D43:R43,D35:R35)/V35</f>
        <v>4.0365998779433544E-3</v>
      </c>
      <c r="W43" s="558"/>
      <c r="X43" s="543"/>
    </row>
    <row r="44" spans="1:24" s="544" customFormat="1" x14ac:dyDescent="0.3">
      <c r="A44" s="555"/>
      <c r="B44" s="556" t="s">
        <v>301</v>
      </c>
      <c r="C44" s="577"/>
      <c r="D44" s="576">
        <f>D41</f>
        <v>3.9325000000000002E-3</v>
      </c>
      <c r="E44" s="576"/>
      <c r="F44" s="576">
        <f>+F41</f>
        <v>3.9325000000000002E-3</v>
      </c>
      <c r="G44" s="576"/>
      <c r="H44" s="576">
        <v>4.2125000000000001E-3</v>
      </c>
      <c r="I44" s="576"/>
      <c r="J44" s="576">
        <v>4.6585000000000003E-3</v>
      </c>
      <c r="K44" s="576"/>
      <c r="L44" s="576">
        <f>+L41</f>
        <v>5.5325000000000001E-3</v>
      </c>
      <c r="M44" s="576"/>
      <c r="N44" s="576">
        <v>6.1244999999999997E-3</v>
      </c>
      <c r="O44" s="576"/>
      <c r="P44" s="576">
        <f>+P41</f>
        <v>9.5324999999999993E-3</v>
      </c>
      <c r="Q44" s="575"/>
      <c r="R44" s="576">
        <v>1.05985E-2</v>
      </c>
      <c r="S44" s="562"/>
      <c r="T44" s="562"/>
      <c r="U44" s="556"/>
      <c r="V44" s="556"/>
      <c r="W44" s="558"/>
      <c r="X44" s="543"/>
    </row>
    <row r="45" spans="1:24" s="544" customFormat="1" x14ac:dyDescent="0.3">
      <c r="A45" s="555"/>
      <c r="B45" s="556" t="s">
        <v>14</v>
      </c>
      <c r="C45" s="556"/>
      <c r="D45" s="577">
        <v>40617</v>
      </c>
      <c r="E45" s="577"/>
      <c r="F45" s="577">
        <v>40617</v>
      </c>
      <c r="G45" s="577"/>
      <c r="H45" s="577">
        <v>40617</v>
      </c>
      <c r="I45" s="577"/>
      <c r="J45" s="577">
        <v>40617</v>
      </c>
      <c r="K45" s="577"/>
      <c r="L45" s="577">
        <v>40617</v>
      </c>
      <c r="M45" s="577"/>
      <c r="N45" s="577">
        <v>40617</v>
      </c>
      <c r="O45" s="577"/>
      <c r="P45" s="577">
        <v>40617</v>
      </c>
      <c r="Q45" s="577"/>
      <c r="R45" s="577">
        <v>40617</v>
      </c>
      <c r="S45" s="562"/>
      <c r="T45" s="562"/>
      <c r="U45" s="556"/>
      <c r="V45" s="556"/>
      <c r="W45" s="558"/>
      <c r="X45" s="543"/>
    </row>
    <row r="46" spans="1:24" s="544" customFormat="1" x14ac:dyDescent="0.3">
      <c r="A46" s="555"/>
      <c r="B46" s="556" t="s">
        <v>15</v>
      </c>
      <c r="C46" s="556"/>
      <c r="D46" s="577">
        <v>40983</v>
      </c>
      <c r="E46" s="577"/>
      <c r="F46" s="577">
        <v>40983</v>
      </c>
      <c r="G46" s="577"/>
      <c r="H46" s="577">
        <v>40983</v>
      </c>
      <c r="I46" s="577"/>
      <c r="J46" s="577">
        <v>40983</v>
      </c>
      <c r="K46" s="562"/>
      <c r="L46" s="577">
        <v>40983</v>
      </c>
      <c r="M46" s="562"/>
      <c r="N46" s="577">
        <v>40983</v>
      </c>
      <c r="O46" s="562"/>
      <c r="P46" s="577">
        <v>40983</v>
      </c>
      <c r="Q46" s="562"/>
      <c r="R46" s="577">
        <v>40983</v>
      </c>
      <c r="S46" s="562"/>
      <c r="T46" s="562"/>
      <c r="U46" s="556"/>
      <c r="V46" s="556"/>
      <c r="W46" s="558"/>
      <c r="X46" s="543"/>
    </row>
    <row r="47" spans="1:24" s="544" customFormat="1" x14ac:dyDescent="0.3">
      <c r="A47" s="555"/>
      <c r="B47" s="556" t="s">
        <v>119</v>
      </c>
      <c r="C47" s="556"/>
      <c r="D47" s="562" t="s">
        <v>231</v>
      </c>
      <c r="E47" s="556"/>
      <c r="F47" s="562" t="s">
        <v>231</v>
      </c>
      <c r="G47" s="562"/>
      <c r="H47" s="562" t="s">
        <v>231</v>
      </c>
      <c r="I47" s="562"/>
      <c r="J47" s="562" t="s">
        <v>231</v>
      </c>
      <c r="K47" s="562"/>
      <c r="L47" s="562" t="s">
        <v>265</v>
      </c>
      <c r="M47" s="562"/>
      <c r="N47" s="562" t="s">
        <v>265</v>
      </c>
      <c r="O47" s="562"/>
      <c r="P47" s="562" t="s">
        <v>266</v>
      </c>
      <c r="Q47" s="562"/>
      <c r="R47" s="562" t="s">
        <v>266</v>
      </c>
      <c r="S47" s="578"/>
      <c r="T47" s="578"/>
      <c r="U47" s="578"/>
      <c r="V47" s="578"/>
      <c r="W47" s="558"/>
      <c r="X47" s="543"/>
    </row>
    <row r="48" spans="1:24" s="544" customFormat="1" x14ac:dyDescent="0.3">
      <c r="A48" s="555"/>
      <c r="B48" s="556" t="s">
        <v>302</v>
      </c>
      <c r="C48" s="556"/>
      <c r="D48" s="562" t="s">
        <v>325</v>
      </c>
      <c r="E48" s="556"/>
      <c r="F48" s="562" t="s">
        <v>231</v>
      </c>
      <c r="G48" s="562"/>
      <c r="H48" s="562" t="s">
        <v>262</v>
      </c>
      <c r="I48" s="562"/>
      <c r="J48" s="562" t="s">
        <v>263</v>
      </c>
      <c r="K48" s="562"/>
      <c r="L48" s="562" t="s">
        <v>265</v>
      </c>
      <c r="M48" s="562"/>
      <c r="N48" s="562" t="s">
        <v>234</v>
      </c>
      <c r="O48" s="562"/>
      <c r="P48" s="562" t="s">
        <v>266</v>
      </c>
      <c r="Q48" s="562"/>
      <c r="R48" s="562" t="s">
        <v>264</v>
      </c>
      <c r="S48" s="556"/>
      <c r="T48" s="556"/>
      <c r="U48" s="556"/>
      <c r="V48" s="575"/>
      <c r="W48" s="558"/>
      <c r="X48" s="543"/>
    </row>
    <row r="49" spans="1:25" s="544" customFormat="1" x14ac:dyDescent="0.3">
      <c r="A49" s="555"/>
      <c r="B49" s="556"/>
      <c r="C49" s="556"/>
      <c r="D49" s="562"/>
      <c r="E49" s="556"/>
      <c r="F49" s="562"/>
      <c r="G49" s="562"/>
      <c r="H49" s="562"/>
      <c r="I49" s="562"/>
      <c r="J49" s="562"/>
      <c r="K49" s="562"/>
      <c r="L49" s="562"/>
      <c r="M49" s="562"/>
      <c r="N49" s="562"/>
      <c r="O49" s="562"/>
      <c r="P49" s="562"/>
      <c r="Q49" s="562"/>
      <c r="R49" s="562"/>
      <c r="S49" s="556"/>
      <c r="T49" s="556"/>
      <c r="U49" s="556"/>
      <c r="V49" s="575" t="s">
        <v>193</v>
      </c>
      <c r="W49" s="558"/>
      <c r="X49" s="543"/>
    </row>
    <row r="50" spans="1:25" s="544" customFormat="1" x14ac:dyDescent="0.3">
      <c r="A50" s="555"/>
      <c r="B50" s="556" t="s">
        <v>169</v>
      </c>
      <c r="C50" s="556"/>
      <c r="D50" s="562"/>
      <c r="E50" s="556"/>
      <c r="F50" s="562"/>
      <c r="G50" s="562"/>
      <c r="H50" s="562"/>
      <c r="I50" s="562"/>
      <c r="J50" s="562"/>
      <c r="K50" s="562"/>
      <c r="L50" s="562"/>
      <c r="M50" s="562"/>
      <c r="N50" s="562"/>
      <c r="O50" s="562"/>
      <c r="P50" s="562"/>
      <c r="Q50" s="562"/>
      <c r="R50" s="562"/>
      <c r="S50" s="556"/>
      <c r="T50" s="556"/>
      <c r="U50" s="556"/>
      <c r="V50" s="575">
        <f>SUM(L34:R34)/SUM(D34:J34)</f>
        <v>0.17663090364375009</v>
      </c>
      <c r="W50" s="558"/>
      <c r="X50" s="543"/>
    </row>
    <row r="51" spans="1:25" s="544" customFormat="1" x14ac:dyDescent="0.3">
      <c r="A51" s="555"/>
      <c r="B51" s="556" t="s">
        <v>170</v>
      </c>
      <c r="C51" s="556"/>
      <c r="D51" s="556"/>
      <c r="E51" s="556"/>
      <c r="F51" s="579"/>
      <c r="G51" s="556"/>
      <c r="H51" s="556"/>
      <c r="I51" s="556"/>
      <c r="J51" s="556"/>
      <c r="K51" s="556"/>
      <c r="L51" s="556"/>
      <c r="M51" s="556"/>
      <c r="N51" s="556"/>
      <c r="O51" s="556"/>
      <c r="P51" s="556"/>
      <c r="Q51" s="556"/>
      <c r="R51" s="556"/>
      <c r="S51" s="556"/>
      <c r="T51" s="556"/>
      <c r="U51" s="556"/>
      <c r="V51" s="575">
        <f>SUM(L36:R36)/SUM(D36:J36)</f>
        <v>0.48156933532522445</v>
      </c>
      <c r="W51" s="558"/>
      <c r="X51" s="543"/>
    </row>
    <row r="52" spans="1:25" s="544" customFormat="1" x14ac:dyDescent="0.3">
      <c r="A52" s="555"/>
      <c r="B52" s="556" t="s">
        <v>171</v>
      </c>
      <c r="C52" s="556"/>
      <c r="D52" s="556"/>
      <c r="E52" s="556"/>
      <c r="F52" s="556"/>
      <c r="G52" s="556"/>
      <c r="H52" s="556"/>
      <c r="I52" s="556"/>
      <c r="J52" s="556"/>
      <c r="K52" s="556"/>
      <c r="L52" s="556"/>
      <c r="M52" s="556"/>
      <c r="N52" s="556"/>
      <c r="O52" s="556"/>
      <c r="P52" s="556"/>
      <c r="Q52" s="556"/>
      <c r="R52" s="556"/>
      <c r="S52" s="556"/>
      <c r="T52" s="562"/>
      <c r="U52" s="562"/>
      <c r="V52" s="564" t="s">
        <v>276</v>
      </c>
      <c r="W52" s="558"/>
      <c r="X52" s="543"/>
    </row>
    <row r="53" spans="1:25" s="544" customFormat="1" x14ac:dyDescent="0.3">
      <c r="A53" s="555"/>
      <c r="B53" s="556"/>
      <c r="C53" s="556"/>
      <c r="D53" s="556"/>
      <c r="E53" s="556"/>
      <c r="F53" s="556"/>
      <c r="G53" s="556"/>
      <c r="H53" s="556"/>
      <c r="I53" s="556"/>
      <c r="J53" s="556"/>
      <c r="K53" s="556"/>
      <c r="L53" s="556"/>
      <c r="M53" s="556"/>
      <c r="N53" s="556"/>
      <c r="O53" s="556"/>
      <c r="P53" s="556"/>
      <c r="Q53" s="556"/>
      <c r="R53" s="556"/>
      <c r="S53" s="556"/>
      <c r="T53" s="556"/>
      <c r="U53" s="556"/>
      <c r="V53" s="580"/>
      <c r="W53" s="558"/>
      <c r="X53" s="543"/>
    </row>
    <row r="54" spans="1:25" s="544" customFormat="1" x14ac:dyDescent="0.3">
      <c r="A54" s="555"/>
      <c r="B54" s="556" t="s">
        <v>361</v>
      </c>
      <c r="C54" s="556"/>
      <c r="D54" s="556"/>
      <c r="E54" s="556"/>
      <c r="F54" s="556"/>
      <c r="G54" s="556"/>
      <c r="H54" s="556"/>
      <c r="I54" s="556"/>
      <c r="J54" s="556"/>
      <c r="K54" s="556"/>
      <c r="L54" s="556"/>
      <c r="M54" s="556"/>
      <c r="N54" s="556"/>
      <c r="O54" s="556"/>
      <c r="P54" s="556"/>
      <c r="Q54" s="556"/>
      <c r="R54" s="556"/>
      <c r="S54" s="556"/>
      <c r="T54" s="562"/>
      <c r="U54" s="562"/>
      <c r="V54" s="581" t="s">
        <v>111</v>
      </c>
      <c r="W54" s="558"/>
      <c r="X54" s="543"/>
    </row>
    <row r="55" spans="1:25" s="544" customFormat="1" x14ac:dyDescent="0.3">
      <c r="A55" s="555"/>
      <c r="B55" s="561" t="s">
        <v>201</v>
      </c>
      <c r="C55" s="561"/>
      <c r="D55" s="561"/>
      <c r="E55" s="561"/>
      <c r="F55" s="561"/>
      <c r="G55" s="561"/>
      <c r="H55" s="561"/>
      <c r="I55" s="561"/>
      <c r="J55" s="561"/>
      <c r="K55" s="561"/>
      <c r="L55" s="561"/>
      <c r="M55" s="561"/>
      <c r="N55" s="561"/>
      <c r="O55" s="561"/>
      <c r="P55" s="561"/>
      <c r="Q55" s="561"/>
      <c r="R55" s="561"/>
      <c r="S55" s="561"/>
      <c r="T55" s="582"/>
      <c r="U55" s="582"/>
      <c r="V55" s="583">
        <v>44180</v>
      </c>
      <c r="W55" s="558"/>
      <c r="X55" s="543"/>
    </row>
    <row r="56" spans="1:25" s="544" customFormat="1" x14ac:dyDescent="0.3">
      <c r="A56" s="555"/>
      <c r="B56" s="556" t="s">
        <v>121</v>
      </c>
      <c r="C56" s="556"/>
      <c r="D56" s="556"/>
      <c r="E56" s="556"/>
      <c r="F56" s="556"/>
      <c r="G56" s="556"/>
      <c r="H56" s="584"/>
      <c r="I56" s="584"/>
      <c r="J56" s="584"/>
      <c r="K56" s="584"/>
      <c r="L56" s="584"/>
      <c r="M56" s="584"/>
      <c r="N56" s="584"/>
      <c r="O56" s="584"/>
      <c r="P56" s="584"/>
      <c r="Q56" s="584"/>
      <c r="R56" s="556">
        <f>+V56-T56+1</f>
        <v>92</v>
      </c>
      <c r="S56" s="584"/>
      <c r="T56" s="585">
        <v>43997</v>
      </c>
      <c r="U56" s="586"/>
      <c r="V56" s="585">
        <v>44088</v>
      </c>
      <c r="W56" s="558"/>
      <c r="X56" s="543"/>
    </row>
    <row r="57" spans="1:25" s="544" customFormat="1" x14ac:dyDescent="0.3">
      <c r="A57" s="555"/>
      <c r="B57" s="556" t="s">
        <v>122</v>
      </c>
      <c r="C57" s="556"/>
      <c r="D57" s="556"/>
      <c r="E57" s="556"/>
      <c r="F57" s="556"/>
      <c r="G57" s="556"/>
      <c r="H57" s="556"/>
      <c r="I57" s="556"/>
      <c r="J57" s="556"/>
      <c r="K57" s="556"/>
      <c r="L57" s="556"/>
      <c r="M57" s="556"/>
      <c r="N57" s="556"/>
      <c r="O57" s="556"/>
      <c r="P57" s="556"/>
      <c r="Q57" s="556"/>
      <c r="R57" s="556">
        <f>+V57-T57+1</f>
        <v>91</v>
      </c>
      <c r="S57" s="556"/>
      <c r="T57" s="585">
        <v>44089</v>
      </c>
      <c r="U57" s="586"/>
      <c r="V57" s="585">
        <v>44179</v>
      </c>
      <c r="W57" s="558"/>
      <c r="X57" s="543"/>
    </row>
    <row r="58" spans="1:25" s="544" customFormat="1" x14ac:dyDescent="0.3">
      <c r="A58" s="555"/>
      <c r="B58" s="556" t="s">
        <v>360</v>
      </c>
      <c r="C58" s="556"/>
      <c r="D58" s="556"/>
      <c r="E58" s="556"/>
      <c r="F58" s="556"/>
      <c r="G58" s="556"/>
      <c r="H58" s="556"/>
      <c r="I58" s="556"/>
      <c r="J58" s="556"/>
      <c r="K58" s="556"/>
      <c r="L58" s="556"/>
      <c r="M58" s="556"/>
      <c r="N58" s="556"/>
      <c r="O58" s="556"/>
      <c r="P58" s="556"/>
      <c r="Q58" s="556"/>
      <c r="R58" s="556"/>
      <c r="S58" s="556"/>
      <c r="T58" s="585"/>
      <c r="U58" s="586"/>
      <c r="V58" s="585" t="s">
        <v>120</v>
      </c>
      <c r="W58" s="558"/>
      <c r="X58" s="543"/>
    </row>
    <row r="59" spans="1:25" s="544" customFormat="1" x14ac:dyDescent="0.3">
      <c r="A59" s="555"/>
      <c r="B59" s="556" t="s">
        <v>359</v>
      </c>
      <c r="C59" s="556"/>
      <c r="D59" s="556"/>
      <c r="E59" s="556"/>
      <c r="F59" s="556"/>
      <c r="G59" s="556"/>
      <c r="H59" s="556"/>
      <c r="I59" s="556"/>
      <c r="J59" s="556"/>
      <c r="K59" s="556"/>
      <c r="L59" s="556"/>
      <c r="M59" s="556"/>
      <c r="N59" s="556"/>
      <c r="O59" s="556"/>
      <c r="P59" s="556"/>
      <c r="Q59" s="556"/>
      <c r="R59" s="556"/>
      <c r="S59" s="556"/>
      <c r="T59" s="585"/>
      <c r="U59" s="586"/>
      <c r="V59" s="585" t="s">
        <v>154</v>
      </c>
      <c r="W59" s="558"/>
      <c r="X59" s="543"/>
      <c r="Y59" s="587"/>
    </row>
    <row r="60" spans="1:25" s="544" customFormat="1" x14ac:dyDescent="0.3">
      <c r="A60" s="555"/>
      <c r="B60" s="556" t="s">
        <v>16</v>
      </c>
      <c r="C60" s="556"/>
      <c r="D60" s="556"/>
      <c r="E60" s="556"/>
      <c r="F60" s="556"/>
      <c r="G60" s="556"/>
      <c r="H60" s="556"/>
      <c r="I60" s="556"/>
      <c r="J60" s="556"/>
      <c r="K60" s="556"/>
      <c r="L60" s="556"/>
      <c r="M60" s="556"/>
      <c r="N60" s="556"/>
      <c r="O60" s="556"/>
      <c r="P60" s="556"/>
      <c r="Q60" s="556"/>
      <c r="R60" s="556"/>
      <c r="S60" s="556"/>
      <c r="T60" s="585"/>
      <c r="U60" s="586"/>
      <c r="V60" s="585">
        <v>44166</v>
      </c>
      <c r="W60" s="558"/>
      <c r="X60" s="543"/>
    </row>
    <row r="61" spans="1:25" s="544" customFormat="1" x14ac:dyDescent="0.3">
      <c r="A61" s="540"/>
      <c r="B61" s="588"/>
      <c r="C61" s="588"/>
      <c r="D61" s="588"/>
      <c r="E61" s="588"/>
      <c r="F61" s="588"/>
      <c r="G61" s="588"/>
      <c r="H61" s="588"/>
      <c r="I61" s="588"/>
      <c r="J61" s="588"/>
      <c r="K61" s="588"/>
      <c r="L61" s="588"/>
      <c r="M61" s="588"/>
      <c r="N61" s="588"/>
      <c r="O61" s="588"/>
      <c r="P61" s="588"/>
      <c r="Q61" s="588"/>
      <c r="R61" s="588"/>
      <c r="S61" s="588"/>
      <c r="T61" s="589"/>
      <c r="U61" s="590"/>
      <c r="V61" s="589"/>
      <c r="W61" s="588"/>
      <c r="X61" s="543"/>
    </row>
    <row r="62" spans="1:25" s="544" customFormat="1" x14ac:dyDescent="0.3">
      <c r="A62" s="540"/>
      <c r="B62" s="541"/>
      <c r="C62" s="541"/>
      <c r="D62" s="541"/>
      <c r="E62" s="541"/>
      <c r="F62" s="541"/>
      <c r="G62" s="541"/>
      <c r="H62" s="541"/>
      <c r="I62" s="541"/>
      <c r="J62" s="541"/>
      <c r="K62" s="541"/>
      <c r="L62" s="541"/>
      <c r="M62" s="541"/>
      <c r="N62" s="541"/>
      <c r="O62" s="541"/>
      <c r="P62" s="541"/>
      <c r="Q62" s="541"/>
      <c r="R62" s="541"/>
      <c r="S62" s="541"/>
      <c r="T62" s="591"/>
      <c r="U62" s="592"/>
      <c r="V62" s="591"/>
      <c r="W62" s="541"/>
      <c r="X62" s="543"/>
    </row>
    <row r="63" spans="1:25" s="544" customFormat="1" ht="18.600000000000001" thickBot="1" x14ac:dyDescent="0.4">
      <c r="A63" s="593"/>
      <c r="B63" s="594" t="s">
        <v>422</v>
      </c>
      <c r="C63" s="595"/>
      <c r="D63" s="595"/>
      <c r="E63" s="595"/>
      <c r="F63" s="595"/>
      <c r="G63" s="595"/>
      <c r="H63" s="595"/>
      <c r="I63" s="595"/>
      <c r="J63" s="595"/>
      <c r="K63" s="595"/>
      <c r="L63" s="595"/>
      <c r="M63" s="595"/>
      <c r="N63" s="595"/>
      <c r="O63" s="595"/>
      <c r="P63" s="595"/>
      <c r="Q63" s="595"/>
      <c r="R63" s="595"/>
      <c r="S63" s="595"/>
      <c r="T63" s="595"/>
      <c r="U63" s="595"/>
      <c r="V63" s="596"/>
      <c r="W63" s="597"/>
      <c r="X63" s="543"/>
    </row>
    <row r="64" spans="1:25" x14ac:dyDescent="0.3">
      <c r="A64" s="515"/>
      <c r="B64" s="521" t="s">
        <v>17</v>
      </c>
      <c r="C64" s="516"/>
      <c r="D64" s="516"/>
      <c r="E64" s="516"/>
      <c r="F64" s="516"/>
      <c r="G64" s="516"/>
      <c r="H64" s="516"/>
      <c r="I64" s="516"/>
      <c r="J64" s="516"/>
      <c r="K64" s="516"/>
      <c r="L64" s="516"/>
      <c r="M64" s="516"/>
      <c r="N64" s="516"/>
      <c r="O64" s="516"/>
      <c r="P64" s="516"/>
      <c r="Q64" s="516"/>
      <c r="R64" s="516"/>
      <c r="S64" s="516"/>
      <c r="T64" s="516"/>
      <c r="U64" s="516"/>
      <c r="V64" s="522"/>
      <c r="W64" s="516"/>
      <c r="X64" s="415"/>
    </row>
    <row r="65" spans="1:24" x14ac:dyDescent="0.3">
      <c r="A65" s="417"/>
      <c r="B65" s="425"/>
      <c r="C65" s="419"/>
      <c r="D65" s="419"/>
      <c r="E65" s="419"/>
      <c r="F65" s="419"/>
      <c r="G65" s="419"/>
      <c r="H65" s="419"/>
      <c r="I65" s="419"/>
      <c r="J65" s="419"/>
      <c r="K65" s="419"/>
      <c r="L65" s="419"/>
      <c r="M65" s="419"/>
      <c r="N65" s="419"/>
      <c r="O65" s="419"/>
      <c r="P65" s="419"/>
      <c r="Q65" s="419"/>
      <c r="R65" s="419"/>
      <c r="S65" s="419"/>
      <c r="T65" s="419"/>
      <c r="U65" s="419"/>
      <c r="V65" s="439"/>
      <c r="W65" s="419"/>
      <c r="X65" s="415"/>
    </row>
    <row r="66" spans="1:24" s="499" customFormat="1" ht="46.8" x14ac:dyDescent="0.3">
      <c r="A66" s="502"/>
      <c r="B66" s="503" t="s">
        <v>18</v>
      </c>
      <c r="C66" s="504"/>
      <c r="D66" s="504"/>
      <c r="E66" s="504"/>
      <c r="F66" s="504"/>
      <c r="G66" s="504"/>
      <c r="H66" s="504"/>
      <c r="I66" s="504"/>
      <c r="J66" s="504"/>
      <c r="K66" s="504"/>
      <c r="L66" s="504" t="s">
        <v>94</v>
      </c>
      <c r="M66" s="504"/>
      <c r="N66" s="504" t="s">
        <v>96</v>
      </c>
      <c r="O66" s="504"/>
      <c r="P66" s="504" t="s">
        <v>98</v>
      </c>
      <c r="Q66" s="504"/>
      <c r="R66" s="504" t="s">
        <v>100</v>
      </c>
      <c r="S66" s="504"/>
      <c r="T66" s="504" t="s">
        <v>106</v>
      </c>
      <c r="U66" s="504"/>
      <c r="V66" s="505" t="s">
        <v>112</v>
      </c>
      <c r="W66" s="506"/>
      <c r="X66" s="498"/>
    </row>
    <row r="67" spans="1:24" s="544" customFormat="1" x14ac:dyDescent="0.3">
      <c r="A67" s="555"/>
      <c r="B67" s="556" t="s">
        <v>19</v>
      </c>
      <c r="C67" s="598"/>
      <c r="D67" s="598"/>
      <c r="E67" s="598"/>
      <c r="F67" s="598"/>
      <c r="G67" s="598"/>
      <c r="H67" s="598"/>
      <c r="I67" s="598"/>
      <c r="J67" s="598"/>
      <c r="K67" s="598"/>
      <c r="L67" s="598">
        <v>1158015</v>
      </c>
      <c r="M67" s="598"/>
      <c r="N67" s="599">
        <v>705566</v>
      </c>
      <c r="O67" s="598"/>
      <c r="P67" s="598">
        <v>12682</v>
      </c>
      <c r="Q67" s="598"/>
      <c r="R67" s="598">
        <v>0</v>
      </c>
      <c r="S67" s="598"/>
      <c r="T67" s="598">
        <v>0</v>
      </c>
      <c r="U67" s="598"/>
      <c r="V67" s="599">
        <f>+N67-P67+R67-T67</f>
        <v>692884</v>
      </c>
      <c r="W67" s="558"/>
      <c r="X67" s="543"/>
    </row>
    <row r="68" spans="1:24" s="544" customFormat="1" x14ac:dyDescent="0.3">
      <c r="A68" s="555"/>
      <c r="B68" s="556" t="s">
        <v>20</v>
      </c>
      <c r="C68" s="598"/>
      <c r="D68" s="598"/>
      <c r="E68" s="598"/>
      <c r="F68" s="598"/>
      <c r="G68" s="598"/>
      <c r="H68" s="598"/>
      <c r="I68" s="598"/>
      <c r="J68" s="598"/>
      <c r="K68" s="598"/>
      <c r="L68" s="598">
        <v>15</v>
      </c>
      <c r="M68" s="598"/>
      <c r="N68" s="599">
        <v>0</v>
      </c>
      <c r="O68" s="598"/>
      <c r="P68" s="598">
        <v>0</v>
      </c>
      <c r="Q68" s="598"/>
      <c r="R68" s="598">
        <v>0</v>
      </c>
      <c r="S68" s="598"/>
      <c r="T68" s="598">
        <v>0</v>
      </c>
      <c r="U68" s="598"/>
      <c r="V68" s="599">
        <v>0</v>
      </c>
      <c r="W68" s="558"/>
      <c r="X68" s="543"/>
    </row>
    <row r="69" spans="1:24" s="544" customFormat="1" x14ac:dyDescent="0.3">
      <c r="A69" s="555"/>
      <c r="B69" s="556"/>
      <c r="C69" s="598"/>
      <c r="D69" s="598"/>
      <c r="E69" s="598"/>
      <c r="F69" s="598"/>
      <c r="G69" s="598"/>
      <c r="H69" s="598"/>
      <c r="I69" s="598"/>
      <c r="J69" s="598"/>
      <c r="K69" s="598"/>
      <c r="L69" s="598"/>
      <c r="M69" s="598"/>
      <c r="N69" s="599"/>
      <c r="O69" s="598"/>
      <c r="P69" s="598"/>
      <c r="Q69" s="598"/>
      <c r="R69" s="598"/>
      <c r="S69" s="598"/>
      <c r="T69" s="598"/>
      <c r="U69" s="598"/>
      <c r="V69" s="599"/>
      <c r="W69" s="558"/>
      <c r="X69" s="543"/>
    </row>
    <row r="70" spans="1:24" s="544" customFormat="1" x14ac:dyDescent="0.3">
      <c r="A70" s="555"/>
      <c r="B70" s="556" t="s">
        <v>21</v>
      </c>
      <c r="C70" s="598"/>
      <c r="D70" s="598"/>
      <c r="E70" s="598"/>
      <c r="F70" s="598"/>
      <c r="G70" s="598"/>
      <c r="H70" s="598"/>
      <c r="I70" s="598"/>
      <c r="J70" s="598"/>
      <c r="K70" s="598"/>
      <c r="L70" s="598">
        <f>SUM(L67:L69)</f>
        <v>1158030</v>
      </c>
      <c r="M70" s="598"/>
      <c r="N70" s="598">
        <f>N67+N68</f>
        <v>705566</v>
      </c>
      <c r="O70" s="598"/>
      <c r="P70" s="598">
        <f>SUM(P67:P69)</f>
        <v>12682</v>
      </c>
      <c r="Q70" s="598"/>
      <c r="R70" s="598">
        <f>SUM(R67:R69)</f>
        <v>0</v>
      </c>
      <c r="S70" s="598"/>
      <c r="T70" s="598">
        <f>SUM(T67:T69)</f>
        <v>0</v>
      </c>
      <c r="U70" s="598"/>
      <c r="V70" s="598">
        <f>SUM(V67:V69)</f>
        <v>692884</v>
      </c>
      <c r="W70" s="558"/>
      <c r="X70" s="543"/>
    </row>
    <row r="71" spans="1:24" x14ac:dyDescent="0.3">
      <c r="A71" s="417"/>
      <c r="B71" s="441"/>
      <c r="C71" s="442"/>
      <c r="D71" s="442"/>
      <c r="E71" s="442"/>
      <c r="F71" s="442"/>
      <c r="G71" s="442"/>
      <c r="H71" s="442"/>
      <c r="I71" s="442"/>
      <c r="J71" s="442"/>
      <c r="K71" s="442"/>
      <c r="L71" s="442"/>
      <c r="M71" s="442"/>
      <c r="N71" s="442"/>
      <c r="O71" s="442"/>
      <c r="P71" s="442"/>
      <c r="Q71" s="442"/>
      <c r="R71" s="442"/>
      <c r="S71" s="442"/>
      <c r="T71" s="442"/>
      <c r="U71" s="442"/>
      <c r="V71" s="443"/>
      <c r="W71" s="441"/>
      <c r="X71" s="415"/>
    </row>
    <row r="72" spans="1:24" x14ac:dyDescent="0.3">
      <c r="A72" s="417"/>
      <c r="B72" s="421" t="s">
        <v>22</v>
      </c>
      <c r="C72" s="444"/>
      <c r="D72" s="444"/>
      <c r="E72" s="444"/>
      <c r="F72" s="444"/>
      <c r="G72" s="444"/>
      <c r="H72" s="444"/>
      <c r="I72" s="444"/>
      <c r="J72" s="444"/>
      <c r="K72" s="444"/>
      <c r="L72" s="444"/>
      <c r="M72" s="444"/>
      <c r="N72" s="444"/>
      <c r="O72" s="444"/>
      <c r="P72" s="444"/>
      <c r="Q72" s="444"/>
      <c r="R72" s="444"/>
      <c r="S72" s="444"/>
      <c r="T72" s="444"/>
      <c r="U72" s="444"/>
      <c r="V72" s="445"/>
      <c r="W72" s="419"/>
      <c r="X72" s="415"/>
    </row>
    <row r="73" spans="1:24" x14ac:dyDescent="0.3">
      <c r="A73" s="417"/>
      <c r="B73" s="419"/>
      <c r="C73" s="444"/>
      <c r="D73" s="444"/>
      <c r="E73" s="444"/>
      <c r="F73" s="444"/>
      <c r="G73" s="444"/>
      <c r="H73" s="444"/>
      <c r="I73" s="444"/>
      <c r="J73" s="444"/>
      <c r="K73" s="444"/>
      <c r="L73" s="444"/>
      <c r="M73" s="444"/>
      <c r="N73" s="444"/>
      <c r="O73" s="444"/>
      <c r="P73" s="444"/>
      <c r="Q73" s="444"/>
      <c r="R73" s="444"/>
      <c r="S73" s="444"/>
      <c r="T73" s="444"/>
      <c r="U73" s="444"/>
      <c r="V73" s="445"/>
      <c r="W73" s="419"/>
      <c r="X73" s="415"/>
    </row>
    <row r="74" spans="1:24" s="544" customFormat="1" x14ac:dyDescent="0.3">
      <c r="A74" s="555"/>
      <c r="B74" s="556" t="s">
        <v>19</v>
      </c>
      <c r="C74" s="598"/>
      <c r="D74" s="598"/>
      <c r="E74" s="598"/>
      <c r="F74" s="598"/>
      <c r="G74" s="598"/>
      <c r="H74" s="598"/>
      <c r="I74" s="598"/>
      <c r="J74" s="598"/>
      <c r="K74" s="598"/>
      <c r="L74" s="598"/>
      <c r="M74" s="598"/>
      <c r="N74" s="598"/>
      <c r="O74" s="598"/>
      <c r="P74" s="598"/>
      <c r="Q74" s="598"/>
      <c r="R74" s="598"/>
      <c r="S74" s="598"/>
      <c r="T74" s="598"/>
      <c r="U74" s="598"/>
      <c r="V74" s="598"/>
      <c r="W74" s="558"/>
      <c r="X74" s="543"/>
    </row>
    <row r="75" spans="1:24" s="544" customFormat="1" x14ac:dyDescent="0.3">
      <c r="A75" s="555"/>
      <c r="B75" s="556" t="s">
        <v>20</v>
      </c>
      <c r="C75" s="598"/>
      <c r="D75" s="598"/>
      <c r="E75" s="598"/>
      <c r="F75" s="598"/>
      <c r="G75" s="598"/>
      <c r="H75" s="598"/>
      <c r="I75" s="598"/>
      <c r="J75" s="598"/>
      <c r="K75" s="598"/>
      <c r="L75" s="598"/>
      <c r="M75" s="598"/>
      <c r="N75" s="598"/>
      <c r="O75" s="598"/>
      <c r="P75" s="598"/>
      <c r="Q75" s="598"/>
      <c r="R75" s="598"/>
      <c r="S75" s="598"/>
      <c r="T75" s="598"/>
      <c r="U75" s="598"/>
      <c r="V75" s="598"/>
      <c r="W75" s="558"/>
      <c r="X75" s="543"/>
    </row>
    <row r="76" spans="1:24" s="544" customFormat="1" x14ac:dyDescent="0.3">
      <c r="A76" s="555"/>
      <c r="B76" s="556"/>
      <c r="C76" s="598"/>
      <c r="D76" s="598"/>
      <c r="E76" s="598"/>
      <c r="F76" s="598"/>
      <c r="G76" s="598"/>
      <c r="H76" s="598"/>
      <c r="I76" s="598"/>
      <c r="J76" s="598"/>
      <c r="K76" s="598"/>
      <c r="L76" s="598"/>
      <c r="M76" s="598"/>
      <c r="N76" s="598"/>
      <c r="O76" s="598"/>
      <c r="P76" s="598"/>
      <c r="Q76" s="598"/>
      <c r="R76" s="598"/>
      <c r="S76" s="598"/>
      <c r="T76" s="598"/>
      <c r="U76" s="598"/>
      <c r="V76" s="598"/>
      <c r="W76" s="558"/>
      <c r="X76" s="543"/>
    </row>
    <row r="77" spans="1:24" s="544" customFormat="1" x14ac:dyDescent="0.3">
      <c r="A77" s="555"/>
      <c r="B77" s="556" t="s">
        <v>21</v>
      </c>
      <c r="C77" s="598"/>
      <c r="D77" s="598"/>
      <c r="E77" s="598"/>
      <c r="F77" s="598"/>
      <c r="G77" s="598"/>
      <c r="H77" s="598"/>
      <c r="I77" s="598"/>
      <c r="J77" s="598"/>
      <c r="K77" s="598"/>
      <c r="L77" s="598"/>
      <c r="M77" s="598"/>
      <c r="N77" s="598"/>
      <c r="O77" s="598"/>
      <c r="P77" s="598"/>
      <c r="Q77" s="598"/>
      <c r="R77" s="598"/>
      <c r="S77" s="598"/>
      <c r="T77" s="598"/>
      <c r="U77" s="598"/>
      <c r="V77" s="598"/>
      <c r="W77" s="558"/>
      <c r="X77" s="543"/>
    </row>
    <row r="78" spans="1:24" s="544" customFormat="1" x14ac:dyDescent="0.3">
      <c r="A78" s="555"/>
      <c r="B78" s="556"/>
      <c r="C78" s="598"/>
      <c r="D78" s="598"/>
      <c r="E78" s="598"/>
      <c r="F78" s="598"/>
      <c r="G78" s="598"/>
      <c r="H78" s="598"/>
      <c r="I78" s="598"/>
      <c r="J78" s="598"/>
      <c r="K78" s="598"/>
      <c r="L78" s="598"/>
      <c r="M78" s="598"/>
      <c r="N78" s="598"/>
      <c r="O78" s="598"/>
      <c r="P78" s="598"/>
      <c r="Q78" s="598"/>
      <c r="R78" s="598"/>
      <c r="S78" s="598"/>
      <c r="T78" s="598"/>
      <c r="U78" s="598"/>
      <c r="V78" s="598"/>
      <c r="W78" s="558"/>
      <c r="X78" s="543"/>
    </row>
    <row r="79" spans="1:24" s="544" customFormat="1" x14ac:dyDescent="0.3">
      <c r="A79" s="555"/>
      <c r="B79" s="556" t="s">
        <v>23</v>
      </c>
      <c r="C79" s="598"/>
      <c r="D79" s="598"/>
      <c r="E79" s="598"/>
      <c r="F79" s="598"/>
      <c r="G79" s="598"/>
      <c r="H79" s="598"/>
      <c r="I79" s="598"/>
      <c r="J79" s="598"/>
      <c r="K79" s="598"/>
      <c r="L79" s="598">
        <v>0</v>
      </c>
      <c r="M79" s="598"/>
      <c r="N79" s="598">
        <v>0</v>
      </c>
      <c r="O79" s="598"/>
      <c r="P79" s="598"/>
      <c r="Q79" s="598"/>
      <c r="R79" s="598"/>
      <c r="S79" s="598"/>
      <c r="T79" s="598"/>
      <c r="U79" s="598"/>
      <c r="V79" s="599">
        <v>0</v>
      </c>
      <c r="W79" s="558"/>
      <c r="X79" s="543"/>
    </row>
    <row r="80" spans="1:24" s="544" customFormat="1" x14ac:dyDescent="0.3">
      <c r="A80" s="555"/>
      <c r="B80" s="556" t="s">
        <v>117</v>
      </c>
      <c r="C80" s="598"/>
      <c r="D80" s="598"/>
      <c r="E80" s="598"/>
      <c r="F80" s="598"/>
      <c r="G80" s="598"/>
      <c r="H80" s="598"/>
      <c r="I80" s="598"/>
      <c r="J80" s="598"/>
      <c r="K80" s="598"/>
      <c r="L80" s="598">
        <v>342245</v>
      </c>
      <c r="M80" s="598"/>
      <c r="N80" s="598">
        <v>0</v>
      </c>
      <c r="O80" s="598"/>
      <c r="P80" s="598">
        <v>0</v>
      </c>
      <c r="Q80" s="598"/>
      <c r="R80" s="598"/>
      <c r="S80" s="598"/>
      <c r="T80" s="598"/>
      <c r="U80" s="598"/>
      <c r="V80" s="598">
        <f>SUM(N80:R80)</f>
        <v>0</v>
      </c>
      <c r="W80" s="558"/>
      <c r="X80" s="543"/>
    </row>
    <row r="81" spans="1:24" s="544" customFormat="1" x14ac:dyDescent="0.3">
      <c r="A81" s="555"/>
      <c r="B81" s="556" t="s">
        <v>146</v>
      </c>
      <c r="C81" s="598"/>
      <c r="D81" s="598"/>
      <c r="E81" s="598"/>
      <c r="F81" s="598"/>
      <c r="G81" s="598"/>
      <c r="H81" s="598"/>
      <c r="I81" s="598"/>
      <c r="J81" s="598"/>
      <c r="K81" s="598"/>
      <c r="L81" s="598">
        <v>0</v>
      </c>
      <c r="M81" s="598"/>
      <c r="N81" s="598">
        <v>0</v>
      </c>
      <c r="O81" s="598"/>
      <c r="P81" s="598">
        <v>0</v>
      </c>
      <c r="Q81" s="598"/>
      <c r="R81" s="598"/>
      <c r="S81" s="598"/>
      <c r="T81" s="598"/>
      <c r="U81" s="598"/>
      <c r="V81" s="598">
        <f>+N81+P81</f>
        <v>0</v>
      </c>
      <c r="W81" s="558"/>
      <c r="X81" s="543"/>
    </row>
    <row r="82" spans="1:24" s="544" customFormat="1" x14ac:dyDescent="0.3">
      <c r="A82" s="555"/>
      <c r="B82" s="556" t="s">
        <v>25</v>
      </c>
      <c r="C82" s="598"/>
      <c r="D82" s="598"/>
      <c r="E82" s="598"/>
      <c r="F82" s="598"/>
      <c r="G82" s="598"/>
      <c r="H82" s="598"/>
      <c r="I82" s="598"/>
      <c r="J82" s="598"/>
      <c r="K82" s="598"/>
      <c r="L82" s="598">
        <v>0</v>
      </c>
      <c r="M82" s="598"/>
      <c r="N82" s="598">
        <v>0</v>
      </c>
      <c r="O82" s="598"/>
      <c r="P82" s="598"/>
      <c r="Q82" s="598"/>
      <c r="R82" s="598"/>
      <c r="S82" s="598"/>
      <c r="T82" s="598"/>
      <c r="U82" s="598"/>
      <c r="V82" s="598">
        <v>0</v>
      </c>
      <c r="W82" s="558"/>
      <c r="X82" s="543"/>
    </row>
    <row r="83" spans="1:24" s="544" customFormat="1" x14ac:dyDescent="0.3">
      <c r="A83" s="555"/>
      <c r="B83" s="556" t="s">
        <v>26</v>
      </c>
      <c r="C83" s="598"/>
      <c r="D83" s="598"/>
      <c r="E83" s="598"/>
      <c r="F83" s="598"/>
      <c r="G83" s="598"/>
      <c r="H83" s="598"/>
      <c r="I83" s="598"/>
      <c r="J83" s="598"/>
      <c r="K83" s="598"/>
      <c r="L83" s="598">
        <f>SUM(L70:L82)</f>
        <v>1500275</v>
      </c>
      <c r="M83" s="598"/>
      <c r="N83" s="598">
        <f>SUM(N70:N82)</f>
        <v>705566</v>
      </c>
      <c r="O83" s="598"/>
      <c r="P83" s="598"/>
      <c r="Q83" s="598"/>
      <c r="R83" s="598"/>
      <c r="S83" s="598"/>
      <c r="T83" s="598"/>
      <c r="U83" s="598"/>
      <c r="V83" s="598">
        <f>SUM(V70:V82)</f>
        <v>692884</v>
      </c>
      <c r="W83" s="558"/>
      <c r="X83" s="543"/>
    </row>
    <row r="84" spans="1:24" x14ac:dyDescent="0.3">
      <c r="A84" s="446"/>
      <c r="B84" s="437"/>
      <c r="C84" s="447"/>
      <c r="D84" s="447"/>
      <c r="E84" s="447"/>
      <c r="F84" s="447"/>
      <c r="G84" s="447"/>
      <c r="H84" s="447"/>
      <c r="I84" s="447"/>
      <c r="J84" s="447"/>
      <c r="K84" s="447"/>
      <c r="L84" s="447"/>
      <c r="M84" s="447"/>
      <c r="N84" s="447"/>
      <c r="O84" s="447"/>
      <c r="P84" s="447"/>
      <c r="Q84" s="447"/>
      <c r="R84" s="447"/>
      <c r="S84" s="447"/>
      <c r="T84" s="447"/>
      <c r="U84" s="447"/>
      <c r="V84" s="447"/>
      <c r="W84" s="437"/>
      <c r="X84" s="415"/>
    </row>
    <row r="85" spans="1:24" x14ac:dyDescent="0.3">
      <c r="A85" s="446"/>
      <c r="B85" s="427"/>
      <c r="C85" s="427"/>
      <c r="D85" s="427"/>
      <c r="E85" s="427"/>
      <c r="F85" s="427"/>
      <c r="G85" s="427"/>
      <c r="H85" s="427"/>
      <c r="I85" s="427"/>
      <c r="J85" s="427"/>
      <c r="K85" s="427"/>
      <c r="L85" s="427"/>
      <c r="M85" s="427"/>
      <c r="N85" s="427"/>
      <c r="O85" s="427"/>
      <c r="P85" s="427"/>
      <c r="Q85" s="427"/>
      <c r="R85" s="427"/>
      <c r="S85" s="427"/>
      <c r="T85" s="427"/>
      <c r="U85" s="427"/>
      <c r="V85" s="427"/>
      <c r="W85" s="427"/>
      <c r="X85" s="415"/>
    </row>
    <row r="86" spans="1:24" x14ac:dyDescent="0.3">
      <c r="A86" s="515"/>
      <c r="B86" s="523" t="s">
        <v>27</v>
      </c>
      <c r="C86" s="523"/>
      <c r="D86" s="523"/>
      <c r="E86" s="523"/>
      <c r="F86" s="523"/>
      <c r="G86" s="523"/>
      <c r="H86" s="524"/>
      <c r="I86" s="524"/>
      <c r="J86" s="524"/>
      <c r="K86" s="524"/>
      <c r="L86" s="525" t="s">
        <v>95</v>
      </c>
      <c r="M86" s="524"/>
      <c r="N86" s="526">
        <f>+T207</f>
        <v>44165</v>
      </c>
      <c r="O86" s="524"/>
      <c r="P86" s="524"/>
      <c r="Q86" s="524"/>
      <c r="R86" s="524"/>
      <c r="S86" s="524"/>
      <c r="T86" s="524" t="s">
        <v>107</v>
      </c>
      <c r="U86" s="524"/>
      <c r="V86" s="524" t="s">
        <v>113</v>
      </c>
      <c r="W86" s="520"/>
      <c r="X86" s="415"/>
    </row>
    <row r="87" spans="1:24" s="544" customFormat="1" x14ac:dyDescent="0.3">
      <c r="A87" s="540"/>
      <c r="B87" s="588" t="s">
        <v>28</v>
      </c>
      <c r="C87" s="588"/>
      <c r="D87" s="588"/>
      <c r="E87" s="588"/>
      <c r="F87" s="588"/>
      <c r="G87" s="588"/>
      <c r="H87" s="588"/>
      <c r="I87" s="588"/>
      <c r="J87" s="588"/>
      <c r="K87" s="588"/>
      <c r="L87" s="588"/>
      <c r="M87" s="588"/>
      <c r="N87" s="588"/>
      <c r="O87" s="588"/>
      <c r="P87" s="588"/>
      <c r="Q87" s="588"/>
      <c r="R87" s="588"/>
      <c r="S87" s="588"/>
      <c r="T87" s="600">
        <v>0</v>
      </c>
      <c r="U87" s="588"/>
      <c r="V87" s="601">
        <v>0</v>
      </c>
      <c r="W87" s="588"/>
      <c r="X87" s="543"/>
    </row>
    <row r="88" spans="1:24" s="544" customFormat="1" x14ac:dyDescent="0.3">
      <c r="A88" s="555"/>
      <c r="B88" s="556" t="s">
        <v>29</v>
      </c>
      <c r="C88" s="556"/>
      <c r="D88" s="556"/>
      <c r="E88" s="556"/>
      <c r="F88" s="556"/>
      <c r="G88" s="556"/>
      <c r="H88" s="578"/>
      <c r="I88" s="578"/>
      <c r="J88" s="578"/>
      <c r="K88" s="602"/>
      <c r="L88" s="578"/>
      <c r="M88" s="556"/>
      <c r="N88" s="603"/>
      <c r="O88" s="556"/>
      <c r="P88" s="556"/>
      <c r="Q88" s="556"/>
      <c r="R88" s="556"/>
      <c r="S88" s="556"/>
      <c r="T88" s="598">
        <f>12682-67</f>
        <v>12615</v>
      </c>
      <c r="U88" s="556"/>
      <c r="V88" s="599"/>
      <c r="W88" s="558"/>
      <c r="X88" s="543"/>
    </row>
    <row r="89" spans="1:24" s="544" customFormat="1" x14ac:dyDescent="0.3">
      <c r="A89" s="555"/>
      <c r="B89" s="556" t="s">
        <v>216</v>
      </c>
      <c r="C89" s="556"/>
      <c r="D89" s="556"/>
      <c r="E89" s="556"/>
      <c r="F89" s="556"/>
      <c r="G89" s="556"/>
      <c r="H89" s="578"/>
      <c r="I89" s="578"/>
      <c r="J89" s="578"/>
      <c r="K89" s="602"/>
      <c r="L89" s="578"/>
      <c r="M89" s="556"/>
      <c r="N89" s="603"/>
      <c r="O89" s="556"/>
      <c r="P89" s="556"/>
      <c r="Q89" s="556"/>
      <c r="R89" s="556"/>
      <c r="S89" s="556"/>
      <c r="T89" s="598"/>
      <c r="U89" s="556"/>
      <c r="V89" s="599">
        <f>2259+2761-441-1019</f>
        <v>3560</v>
      </c>
      <c r="W89" s="558"/>
      <c r="X89" s="543"/>
    </row>
    <row r="90" spans="1:24" s="544" customFormat="1" x14ac:dyDescent="0.3">
      <c r="A90" s="555"/>
      <c r="B90" s="556" t="s">
        <v>211</v>
      </c>
      <c r="C90" s="556"/>
      <c r="D90" s="556"/>
      <c r="E90" s="556"/>
      <c r="F90" s="556"/>
      <c r="G90" s="556"/>
      <c r="H90" s="578"/>
      <c r="I90" s="578"/>
      <c r="J90" s="578"/>
      <c r="K90" s="602"/>
      <c r="L90" s="578"/>
      <c r="M90" s="556"/>
      <c r="N90" s="603"/>
      <c r="O90" s="556"/>
      <c r="P90" s="556"/>
      <c r="Q90" s="556"/>
      <c r="R90" s="556"/>
      <c r="S90" s="556"/>
      <c r="T90" s="598"/>
      <c r="U90" s="556"/>
      <c r="V90" s="599">
        <f>38+50</f>
        <v>88</v>
      </c>
      <c r="W90" s="558"/>
      <c r="X90" s="543"/>
    </row>
    <row r="91" spans="1:24" s="544" customFormat="1" x14ac:dyDescent="0.3">
      <c r="A91" s="555"/>
      <c r="B91" s="556" t="s">
        <v>212</v>
      </c>
      <c r="C91" s="556"/>
      <c r="D91" s="556"/>
      <c r="E91" s="556"/>
      <c r="F91" s="556"/>
      <c r="G91" s="556"/>
      <c r="H91" s="578"/>
      <c r="I91" s="578"/>
      <c r="J91" s="578"/>
      <c r="K91" s="602"/>
      <c r="L91" s="578"/>
      <c r="M91" s="556"/>
      <c r="N91" s="603"/>
      <c r="O91" s="556"/>
      <c r="P91" s="556"/>
      <c r="Q91" s="556"/>
      <c r="R91" s="556"/>
      <c r="S91" s="556"/>
      <c r="T91" s="598"/>
      <c r="U91" s="556"/>
      <c r="V91" s="599">
        <v>21</v>
      </c>
      <c r="W91" s="558"/>
      <c r="X91" s="543"/>
    </row>
    <row r="92" spans="1:24" s="544" customFormat="1" x14ac:dyDescent="0.3">
      <c r="A92" s="555"/>
      <c r="B92" s="556" t="s">
        <v>272</v>
      </c>
      <c r="C92" s="556"/>
      <c r="D92" s="556"/>
      <c r="E92" s="556"/>
      <c r="F92" s="556"/>
      <c r="G92" s="556"/>
      <c r="H92" s="578"/>
      <c r="I92" s="578"/>
      <c r="J92" s="578"/>
      <c r="K92" s="602"/>
      <c r="L92" s="578"/>
      <c r="M92" s="556"/>
      <c r="N92" s="603"/>
      <c r="O92" s="556"/>
      <c r="P92" s="556"/>
      <c r="Q92" s="556"/>
      <c r="R92" s="556"/>
      <c r="S92" s="556"/>
      <c r="T92" s="598"/>
      <c r="U92" s="556"/>
      <c r="V92" s="599">
        <v>0</v>
      </c>
      <c r="W92" s="558"/>
      <c r="X92" s="543"/>
    </row>
    <row r="93" spans="1:24" s="544" customFormat="1" x14ac:dyDescent="0.3">
      <c r="A93" s="555"/>
      <c r="B93" s="556" t="s">
        <v>274</v>
      </c>
      <c r="C93" s="556"/>
      <c r="D93" s="556"/>
      <c r="E93" s="556"/>
      <c r="F93" s="556"/>
      <c r="G93" s="556"/>
      <c r="H93" s="578"/>
      <c r="I93" s="578"/>
      <c r="J93" s="578"/>
      <c r="K93" s="602"/>
      <c r="L93" s="578"/>
      <c r="M93" s="556"/>
      <c r="N93" s="603"/>
      <c r="O93" s="556"/>
      <c r="P93" s="556"/>
      <c r="Q93" s="556"/>
      <c r="R93" s="556"/>
      <c r="S93" s="556"/>
      <c r="T93" s="598"/>
      <c r="U93" s="556"/>
      <c r="V93" s="599">
        <v>0</v>
      </c>
      <c r="W93" s="558"/>
      <c r="X93" s="543"/>
    </row>
    <row r="94" spans="1:24" s="544" customFormat="1" x14ac:dyDescent="0.3">
      <c r="A94" s="555"/>
      <c r="B94" s="556" t="s">
        <v>135</v>
      </c>
      <c r="C94" s="556"/>
      <c r="D94" s="556"/>
      <c r="E94" s="556"/>
      <c r="F94" s="556"/>
      <c r="G94" s="556"/>
      <c r="H94" s="556"/>
      <c r="I94" s="556"/>
      <c r="J94" s="556"/>
      <c r="K94" s="556"/>
      <c r="L94" s="556"/>
      <c r="M94" s="556"/>
      <c r="N94" s="556"/>
      <c r="O94" s="556"/>
      <c r="P94" s="556"/>
      <c r="Q94" s="556"/>
      <c r="R94" s="556"/>
      <c r="S94" s="556"/>
      <c r="T94" s="598"/>
      <c r="U94" s="556"/>
      <c r="V94" s="599">
        <v>0</v>
      </c>
      <c r="W94" s="558"/>
      <c r="X94" s="543"/>
    </row>
    <row r="95" spans="1:24" s="544" customFormat="1" x14ac:dyDescent="0.3">
      <c r="A95" s="555"/>
      <c r="B95" s="556" t="s">
        <v>268</v>
      </c>
      <c r="C95" s="556"/>
      <c r="D95" s="556"/>
      <c r="E95" s="556"/>
      <c r="F95" s="556"/>
      <c r="G95" s="556"/>
      <c r="H95" s="556"/>
      <c r="I95" s="556"/>
      <c r="J95" s="556"/>
      <c r="K95" s="556"/>
      <c r="L95" s="556"/>
      <c r="M95" s="556"/>
      <c r="N95" s="556"/>
      <c r="O95" s="556"/>
      <c r="P95" s="556"/>
      <c r="Q95" s="556"/>
      <c r="R95" s="556"/>
      <c r="S95" s="556"/>
      <c r="T95" s="598"/>
      <c r="U95" s="556"/>
      <c r="V95" s="599">
        <v>68</v>
      </c>
      <c r="W95" s="558"/>
      <c r="X95" s="543"/>
    </row>
    <row r="96" spans="1:24" s="544" customFormat="1" x14ac:dyDescent="0.3">
      <c r="A96" s="555"/>
      <c r="B96" s="556" t="s">
        <v>30</v>
      </c>
      <c r="C96" s="556"/>
      <c r="D96" s="556"/>
      <c r="E96" s="556"/>
      <c r="F96" s="556"/>
      <c r="G96" s="556"/>
      <c r="H96" s="556"/>
      <c r="I96" s="556"/>
      <c r="J96" s="556"/>
      <c r="K96" s="556"/>
      <c r="L96" s="556"/>
      <c r="M96" s="556"/>
      <c r="N96" s="556"/>
      <c r="O96" s="556"/>
      <c r="P96" s="556"/>
      <c r="Q96" s="556"/>
      <c r="R96" s="556"/>
      <c r="S96" s="556"/>
      <c r="T96" s="598">
        <f>SUM(T87:T95)</f>
        <v>12615</v>
      </c>
      <c r="U96" s="556"/>
      <c r="V96" s="598">
        <f>SUM(V87:V95)</f>
        <v>3737</v>
      </c>
      <c r="W96" s="558"/>
      <c r="X96" s="543"/>
    </row>
    <row r="97" spans="1:25" s="544" customFormat="1" x14ac:dyDescent="0.3">
      <c r="A97" s="555"/>
      <c r="B97" s="556" t="s">
        <v>161</v>
      </c>
      <c r="C97" s="556"/>
      <c r="D97" s="556"/>
      <c r="E97" s="556"/>
      <c r="F97" s="556"/>
      <c r="G97" s="556"/>
      <c r="H97" s="556"/>
      <c r="I97" s="556"/>
      <c r="J97" s="556"/>
      <c r="K97" s="556"/>
      <c r="L97" s="556"/>
      <c r="M97" s="556"/>
      <c r="N97" s="556"/>
      <c r="O97" s="556"/>
      <c r="P97" s="556"/>
      <c r="Q97" s="556"/>
      <c r="R97" s="556"/>
      <c r="S97" s="556"/>
      <c r="T97" s="598">
        <f>-V97</f>
        <v>0</v>
      </c>
      <c r="U97" s="556"/>
      <c r="V97" s="598">
        <v>0</v>
      </c>
      <c r="W97" s="558"/>
      <c r="X97" s="543"/>
    </row>
    <row r="98" spans="1:25" s="544" customFormat="1" x14ac:dyDescent="0.3">
      <c r="A98" s="555"/>
      <c r="B98" s="556" t="s">
        <v>31</v>
      </c>
      <c r="C98" s="556"/>
      <c r="D98" s="556"/>
      <c r="E98" s="556"/>
      <c r="F98" s="556"/>
      <c r="G98" s="556"/>
      <c r="H98" s="556"/>
      <c r="I98" s="556"/>
      <c r="J98" s="556"/>
      <c r="K98" s="556"/>
      <c r="L98" s="556"/>
      <c r="M98" s="556"/>
      <c r="N98" s="556"/>
      <c r="O98" s="556"/>
      <c r="P98" s="556"/>
      <c r="Q98" s="556"/>
      <c r="R98" s="556"/>
      <c r="S98" s="556"/>
      <c r="T98" s="598">
        <f>-V98</f>
        <v>0</v>
      </c>
      <c r="U98" s="556"/>
      <c r="V98" s="599">
        <v>0</v>
      </c>
      <c r="W98" s="558"/>
      <c r="X98" s="543"/>
    </row>
    <row r="99" spans="1:25" s="544" customFormat="1" x14ac:dyDescent="0.3">
      <c r="A99" s="555"/>
      <c r="B99" s="556" t="s">
        <v>283</v>
      </c>
      <c r="C99" s="556"/>
      <c r="D99" s="556"/>
      <c r="E99" s="556"/>
      <c r="F99" s="556"/>
      <c r="G99" s="556"/>
      <c r="H99" s="556"/>
      <c r="I99" s="556"/>
      <c r="J99" s="556"/>
      <c r="K99" s="556"/>
      <c r="L99" s="556"/>
      <c r="M99" s="556"/>
      <c r="N99" s="556"/>
      <c r="O99" s="556"/>
      <c r="P99" s="556"/>
      <c r="Q99" s="556"/>
      <c r="R99" s="556"/>
      <c r="S99" s="556"/>
      <c r="T99" s="598"/>
      <c r="U99" s="556"/>
      <c r="V99" s="599">
        <v>19</v>
      </c>
      <c r="W99" s="558"/>
      <c r="X99" s="543"/>
    </row>
    <row r="100" spans="1:25" s="544" customFormat="1" x14ac:dyDescent="0.3">
      <c r="A100" s="555"/>
      <c r="B100" s="556" t="s">
        <v>32</v>
      </c>
      <c r="C100" s="556"/>
      <c r="D100" s="556"/>
      <c r="E100" s="556"/>
      <c r="F100" s="556"/>
      <c r="G100" s="556"/>
      <c r="H100" s="556"/>
      <c r="I100" s="556"/>
      <c r="J100" s="556"/>
      <c r="K100" s="556"/>
      <c r="L100" s="556"/>
      <c r="M100" s="556"/>
      <c r="N100" s="556"/>
      <c r="O100" s="556"/>
      <c r="P100" s="556"/>
      <c r="Q100" s="556"/>
      <c r="R100" s="556"/>
      <c r="S100" s="556"/>
      <c r="T100" s="598">
        <f>T96+T98+T97</f>
        <v>12615</v>
      </c>
      <c r="U100" s="556"/>
      <c r="V100" s="598">
        <f>V96+V98+V97+V99</f>
        <v>3756</v>
      </c>
      <c r="W100" s="558"/>
      <c r="X100" s="543"/>
    </row>
    <row r="101" spans="1:25" x14ac:dyDescent="0.3">
      <c r="A101" s="431"/>
      <c r="B101" s="507" t="s">
        <v>33</v>
      </c>
      <c r="C101" s="434"/>
      <c r="D101" s="434"/>
      <c r="E101" s="434"/>
      <c r="F101" s="434"/>
      <c r="G101" s="434"/>
      <c r="H101" s="434"/>
      <c r="I101" s="434"/>
      <c r="J101" s="434"/>
      <c r="K101" s="434"/>
      <c r="L101" s="434"/>
      <c r="M101" s="434"/>
      <c r="N101" s="434"/>
      <c r="O101" s="434"/>
      <c r="P101" s="434"/>
      <c r="Q101" s="434"/>
      <c r="R101" s="434"/>
      <c r="S101" s="434"/>
      <c r="T101" s="448"/>
      <c r="U101" s="434"/>
      <c r="V101" s="449"/>
      <c r="W101" s="436"/>
      <c r="X101" s="415"/>
    </row>
    <row r="102" spans="1:25" s="544" customFormat="1" x14ac:dyDescent="0.3">
      <c r="A102" s="555">
        <v>1</v>
      </c>
      <c r="B102" s="556" t="s">
        <v>34</v>
      </c>
      <c r="C102" s="556"/>
      <c r="D102" s="556"/>
      <c r="E102" s="556"/>
      <c r="F102" s="556"/>
      <c r="G102" s="556"/>
      <c r="H102" s="556"/>
      <c r="I102" s="556"/>
      <c r="J102" s="556"/>
      <c r="K102" s="556"/>
      <c r="L102" s="556"/>
      <c r="M102" s="556"/>
      <c r="N102" s="556"/>
      <c r="O102" s="556"/>
      <c r="P102" s="556"/>
      <c r="Q102" s="556"/>
      <c r="R102" s="556"/>
      <c r="S102" s="556"/>
      <c r="T102" s="556"/>
      <c r="U102" s="556"/>
      <c r="V102" s="599">
        <v>0</v>
      </c>
      <c r="W102" s="558"/>
      <c r="X102" s="543"/>
    </row>
    <row r="103" spans="1:25" s="544" customFormat="1" x14ac:dyDescent="0.3">
      <c r="A103" s="555">
        <f>+A102+1</f>
        <v>2</v>
      </c>
      <c r="B103" s="556" t="s">
        <v>330</v>
      </c>
      <c r="C103" s="556"/>
      <c r="D103" s="556"/>
      <c r="E103" s="556"/>
      <c r="F103" s="556"/>
      <c r="G103" s="556"/>
      <c r="H103" s="556"/>
      <c r="I103" s="556"/>
      <c r="J103" s="556"/>
      <c r="K103" s="556"/>
      <c r="L103" s="556"/>
      <c r="M103" s="556"/>
      <c r="N103" s="556"/>
      <c r="O103" s="556"/>
      <c r="P103" s="556"/>
      <c r="Q103" s="556"/>
      <c r="R103" s="556"/>
      <c r="S103" s="556"/>
      <c r="T103" s="556"/>
      <c r="U103" s="556"/>
      <c r="V103" s="599">
        <v>-2</v>
      </c>
      <c r="W103" s="558"/>
      <c r="X103" s="543"/>
    </row>
    <row r="104" spans="1:25" s="544" customFormat="1" x14ac:dyDescent="0.3">
      <c r="A104" s="555">
        <f>+A103+1</f>
        <v>3</v>
      </c>
      <c r="B104" s="556" t="s">
        <v>331</v>
      </c>
      <c r="C104" s="556"/>
      <c r="D104" s="556"/>
      <c r="E104" s="556"/>
      <c r="F104" s="556"/>
      <c r="G104" s="556"/>
      <c r="H104" s="556"/>
      <c r="I104" s="556"/>
      <c r="J104" s="556"/>
      <c r="K104" s="556"/>
      <c r="L104" s="556"/>
      <c r="M104" s="556"/>
      <c r="N104" s="556"/>
      <c r="O104" s="556"/>
      <c r="P104" s="556"/>
      <c r="Q104" s="556"/>
      <c r="R104" s="556"/>
      <c r="S104" s="556"/>
      <c r="T104" s="556"/>
      <c r="U104" s="556"/>
      <c r="V104" s="599">
        <f>-89-81-9</f>
        <v>-179</v>
      </c>
      <c r="W104" s="558"/>
      <c r="X104" s="543"/>
    </row>
    <row r="105" spans="1:25" s="544" customFormat="1" x14ac:dyDescent="0.3">
      <c r="A105" s="555" t="s">
        <v>127</v>
      </c>
      <c r="B105" s="556" t="s">
        <v>116</v>
      </c>
      <c r="C105" s="556"/>
      <c r="D105" s="556"/>
      <c r="E105" s="556"/>
      <c r="F105" s="556"/>
      <c r="G105" s="556"/>
      <c r="H105" s="556"/>
      <c r="I105" s="556"/>
      <c r="J105" s="556"/>
      <c r="K105" s="556"/>
      <c r="L105" s="556"/>
      <c r="M105" s="556"/>
      <c r="N105" s="556"/>
      <c r="O105" s="556"/>
      <c r="P105" s="556"/>
      <c r="Q105" s="556"/>
      <c r="R105" s="556"/>
      <c r="S105" s="556"/>
      <c r="T105" s="556"/>
      <c r="U105" s="556"/>
      <c r="V105" s="599">
        <v>0</v>
      </c>
      <c r="W105" s="558"/>
      <c r="X105" s="543"/>
    </row>
    <row r="106" spans="1:25" s="544" customFormat="1" x14ac:dyDescent="0.3">
      <c r="A106" s="555" t="s">
        <v>128</v>
      </c>
      <c r="B106" s="556" t="s">
        <v>363</v>
      </c>
      <c r="C106" s="556"/>
      <c r="D106" s="556"/>
      <c r="E106" s="556"/>
      <c r="F106" s="556"/>
      <c r="G106" s="556"/>
      <c r="H106" s="556"/>
      <c r="I106" s="556"/>
      <c r="J106" s="556"/>
      <c r="K106" s="556"/>
      <c r="L106" s="556"/>
      <c r="M106" s="556"/>
      <c r="N106" s="556"/>
      <c r="O106" s="556"/>
      <c r="P106" s="556"/>
      <c r="Q106" s="556"/>
      <c r="R106" s="556"/>
      <c r="S106" s="556"/>
      <c r="T106" s="556"/>
      <c r="U106" s="556"/>
      <c r="V106" s="599">
        <f>-189-30</f>
        <v>-219</v>
      </c>
      <c r="W106" s="558"/>
      <c r="X106" s="543"/>
      <c r="Y106" s="604"/>
    </row>
    <row r="107" spans="1:25" s="544" customFormat="1" x14ac:dyDescent="0.3">
      <c r="A107" s="555" t="s">
        <v>150</v>
      </c>
      <c r="B107" s="556" t="s">
        <v>364</v>
      </c>
      <c r="C107" s="556"/>
      <c r="D107" s="556"/>
      <c r="E107" s="556"/>
      <c r="F107" s="556"/>
      <c r="G107" s="556"/>
      <c r="H107" s="556"/>
      <c r="I107" s="556"/>
      <c r="J107" s="556"/>
      <c r="K107" s="556"/>
      <c r="L107" s="556"/>
      <c r="M107" s="556"/>
      <c r="N107" s="556"/>
      <c r="O107" s="556"/>
      <c r="P107" s="556"/>
      <c r="Q107" s="556"/>
      <c r="R107" s="556"/>
      <c r="S107" s="556"/>
      <c r="T107" s="556"/>
      <c r="U107" s="556"/>
      <c r="V107" s="599">
        <f>-45-65</f>
        <v>-110</v>
      </c>
      <c r="W107" s="558"/>
      <c r="X107" s="543"/>
      <c r="Y107" s="604"/>
    </row>
    <row r="108" spans="1:25" s="544" customFormat="1" x14ac:dyDescent="0.3">
      <c r="A108" s="555" t="s">
        <v>236</v>
      </c>
      <c r="B108" s="556" t="s">
        <v>238</v>
      </c>
      <c r="C108" s="556"/>
      <c r="D108" s="556"/>
      <c r="E108" s="556"/>
      <c r="F108" s="556"/>
      <c r="G108" s="556"/>
      <c r="H108" s="556"/>
      <c r="I108" s="556"/>
      <c r="J108" s="556"/>
      <c r="K108" s="556"/>
      <c r="L108" s="556"/>
      <c r="M108" s="556"/>
      <c r="N108" s="556"/>
      <c r="O108" s="556"/>
      <c r="P108" s="556"/>
      <c r="Q108" s="556"/>
      <c r="R108" s="556"/>
      <c r="S108" s="556"/>
      <c r="T108" s="556"/>
      <c r="U108" s="556"/>
      <c r="V108" s="599">
        <v>0</v>
      </c>
      <c r="W108" s="558"/>
      <c r="X108" s="543"/>
    </row>
    <row r="109" spans="1:25" s="544" customFormat="1" x14ac:dyDescent="0.3">
      <c r="A109" s="555" t="s">
        <v>205</v>
      </c>
      <c r="B109" s="556" t="s">
        <v>185</v>
      </c>
      <c r="C109" s="556"/>
      <c r="D109" s="556"/>
      <c r="E109" s="556"/>
      <c r="F109" s="556"/>
      <c r="G109" s="556"/>
      <c r="H109" s="556"/>
      <c r="I109" s="556"/>
      <c r="J109" s="556"/>
      <c r="K109" s="556"/>
      <c r="L109" s="556"/>
      <c r="M109" s="556"/>
      <c r="N109" s="556"/>
      <c r="O109" s="556"/>
      <c r="P109" s="556"/>
      <c r="Q109" s="556"/>
      <c r="R109" s="556"/>
      <c r="S109" s="556"/>
      <c r="T109" s="556"/>
      <c r="U109" s="556"/>
      <c r="V109" s="599">
        <v>-73</v>
      </c>
      <c r="W109" s="558"/>
      <c r="X109" s="543"/>
      <c r="Y109" s="604"/>
    </row>
    <row r="110" spans="1:25" s="544" customFormat="1" x14ac:dyDescent="0.3">
      <c r="A110" s="555" t="s">
        <v>206</v>
      </c>
      <c r="B110" s="556" t="s">
        <v>186</v>
      </c>
      <c r="C110" s="556"/>
      <c r="D110" s="556"/>
      <c r="E110" s="556"/>
      <c r="F110" s="556"/>
      <c r="G110" s="556"/>
      <c r="H110" s="556"/>
      <c r="I110" s="556"/>
      <c r="J110" s="556"/>
      <c r="K110" s="556"/>
      <c r="L110" s="556"/>
      <c r="M110" s="556"/>
      <c r="N110" s="556"/>
      <c r="O110" s="556"/>
      <c r="P110" s="556"/>
      <c r="Q110" s="556"/>
      <c r="R110" s="556"/>
      <c r="S110" s="556"/>
      <c r="T110" s="556"/>
      <c r="U110" s="556"/>
      <c r="V110" s="599">
        <v>-54</v>
      </c>
      <c r="W110" s="558"/>
      <c r="X110" s="605"/>
      <c r="Y110" s="604"/>
    </row>
    <row r="111" spans="1:25" s="544" customFormat="1" x14ac:dyDescent="0.3">
      <c r="A111" s="555" t="s">
        <v>207</v>
      </c>
      <c r="B111" s="556" t="s">
        <v>196</v>
      </c>
      <c r="C111" s="556"/>
      <c r="D111" s="556"/>
      <c r="E111" s="556"/>
      <c r="F111" s="556"/>
      <c r="G111" s="556"/>
      <c r="H111" s="556"/>
      <c r="I111" s="556"/>
      <c r="J111" s="556"/>
      <c r="K111" s="556"/>
      <c r="L111" s="556"/>
      <c r="M111" s="556"/>
      <c r="N111" s="556"/>
      <c r="O111" s="556"/>
      <c r="P111" s="556"/>
      <c r="Q111" s="556"/>
      <c r="R111" s="556"/>
      <c r="S111" s="556"/>
      <c r="T111" s="556"/>
      <c r="U111" s="556"/>
      <c r="V111" s="599">
        <v>-214</v>
      </c>
      <c r="W111" s="558"/>
      <c r="X111" s="543"/>
      <c r="Y111" s="604"/>
    </row>
    <row r="112" spans="1:25" s="544" customFormat="1" x14ac:dyDescent="0.3">
      <c r="A112" s="555" t="s">
        <v>224</v>
      </c>
      <c r="B112" s="556" t="s">
        <v>223</v>
      </c>
      <c r="C112" s="556"/>
      <c r="D112" s="556"/>
      <c r="E112" s="556"/>
      <c r="F112" s="556"/>
      <c r="G112" s="556"/>
      <c r="H112" s="556"/>
      <c r="I112" s="556"/>
      <c r="J112" s="556"/>
      <c r="K112" s="556"/>
      <c r="L112" s="556"/>
      <c r="M112" s="556"/>
      <c r="N112" s="556"/>
      <c r="O112" s="556"/>
      <c r="P112" s="556"/>
      <c r="Q112" s="556"/>
      <c r="R112" s="556"/>
      <c r="S112" s="556"/>
      <c r="T112" s="556"/>
      <c r="U112" s="556"/>
      <c r="V112" s="599">
        <v>-41</v>
      </c>
      <c r="W112" s="558"/>
      <c r="X112" s="543"/>
      <c r="Y112" s="604"/>
    </row>
    <row r="113" spans="1:24" s="544" customFormat="1" x14ac:dyDescent="0.3">
      <c r="A113" s="555">
        <v>7</v>
      </c>
      <c r="B113" s="556" t="s">
        <v>35</v>
      </c>
      <c r="C113" s="556"/>
      <c r="D113" s="556"/>
      <c r="E113" s="556"/>
      <c r="F113" s="556"/>
      <c r="G113" s="556"/>
      <c r="H113" s="556"/>
      <c r="I113" s="556"/>
      <c r="J113" s="556"/>
      <c r="K113" s="556"/>
      <c r="L113" s="556"/>
      <c r="M113" s="556"/>
      <c r="N113" s="556"/>
      <c r="O113" s="556"/>
      <c r="P113" s="556"/>
      <c r="Q113" s="556"/>
      <c r="R113" s="556"/>
      <c r="S113" s="556"/>
      <c r="T113" s="556"/>
      <c r="U113" s="556"/>
      <c r="V113" s="599">
        <v>-11</v>
      </c>
      <c r="W113" s="558"/>
      <c r="X113" s="543"/>
    </row>
    <row r="114" spans="1:24" s="544" customFormat="1" x14ac:dyDescent="0.3">
      <c r="A114" s="555">
        <f t="shared" ref="A114:A123" si="0">+A113+1</f>
        <v>8</v>
      </c>
      <c r="B114" s="556" t="s">
        <v>45</v>
      </c>
      <c r="C114" s="556"/>
      <c r="D114" s="556"/>
      <c r="E114" s="556"/>
      <c r="F114" s="556"/>
      <c r="G114" s="556"/>
      <c r="H114" s="556"/>
      <c r="I114" s="556"/>
      <c r="J114" s="556"/>
      <c r="K114" s="556"/>
      <c r="L114" s="556"/>
      <c r="M114" s="556"/>
      <c r="N114" s="556"/>
      <c r="O114" s="556"/>
      <c r="P114" s="556"/>
      <c r="Q114" s="556"/>
      <c r="R114" s="556"/>
      <c r="S114" s="556"/>
      <c r="T114" s="598">
        <f>-V114</f>
        <v>67</v>
      </c>
      <c r="U114" s="556"/>
      <c r="V114" s="599">
        <v>-67</v>
      </c>
      <c r="W114" s="558"/>
      <c r="X114" s="543"/>
    </row>
    <row r="115" spans="1:24" s="544" customFormat="1" x14ac:dyDescent="0.3">
      <c r="A115" s="555">
        <f t="shared" si="0"/>
        <v>9</v>
      </c>
      <c r="B115" s="556" t="s">
        <v>125</v>
      </c>
      <c r="C115" s="556"/>
      <c r="D115" s="556"/>
      <c r="E115" s="556"/>
      <c r="F115" s="556"/>
      <c r="G115" s="556"/>
      <c r="H115" s="556"/>
      <c r="I115" s="556"/>
      <c r="J115" s="556"/>
      <c r="K115" s="556"/>
      <c r="L115" s="556"/>
      <c r="M115" s="556"/>
      <c r="N115" s="556"/>
      <c r="O115" s="556"/>
      <c r="P115" s="556"/>
      <c r="Q115" s="556"/>
      <c r="R115" s="556"/>
      <c r="S115" s="556"/>
      <c r="T115" s="556"/>
      <c r="U115" s="556"/>
      <c r="V115" s="599">
        <v>0</v>
      </c>
      <c r="W115" s="558"/>
      <c r="X115" s="543"/>
    </row>
    <row r="116" spans="1:24" s="544" customFormat="1" x14ac:dyDescent="0.3">
      <c r="A116" s="555">
        <f t="shared" si="0"/>
        <v>10</v>
      </c>
      <c r="B116" s="556" t="s">
        <v>240</v>
      </c>
      <c r="C116" s="556"/>
      <c r="D116" s="556"/>
      <c r="E116" s="556"/>
      <c r="F116" s="556"/>
      <c r="G116" s="556"/>
      <c r="H116" s="556"/>
      <c r="I116" s="556"/>
      <c r="J116" s="556"/>
      <c r="K116" s="556"/>
      <c r="L116" s="556"/>
      <c r="M116" s="556"/>
      <c r="N116" s="556"/>
      <c r="O116" s="556"/>
      <c r="P116" s="556"/>
      <c r="Q116" s="556"/>
      <c r="R116" s="556"/>
      <c r="S116" s="556"/>
      <c r="T116" s="556"/>
      <c r="U116" s="556"/>
      <c r="V116" s="599">
        <v>0</v>
      </c>
      <c r="W116" s="558"/>
      <c r="X116" s="543"/>
    </row>
    <row r="117" spans="1:24" s="544" customFormat="1" x14ac:dyDescent="0.3">
      <c r="A117" s="555">
        <f t="shared" si="0"/>
        <v>11</v>
      </c>
      <c r="B117" s="556" t="s">
        <v>36</v>
      </c>
      <c r="C117" s="556"/>
      <c r="D117" s="556"/>
      <c r="E117" s="556"/>
      <c r="F117" s="556"/>
      <c r="G117" s="556"/>
      <c r="H117" s="556"/>
      <c r="I117" s="556"/>
      <c r="J117" s="556"/>
      <c r="K117" s="556"/>
      <c r="L117" s="556"/>
      <c r="M117" s="556"/>
      <c r="N117" s="556"/>
      <c r="O117" s="556"/>
      <c r="P117" s="556"/>
      <c r="Q117" s="556"/>
      <c r="R117" s="556"/>
      <c r="S117" s="556"/>
      <c r="T117" s="556"/>
      <c r="U117" s="556"/>
      <c r="V117" s="599">
        <v>0</v>
      </c>
      <c r="W117" s="558"/>
      <c r="X117" s="543"/>
    </row>
    <row r="118" spans="1:24" s="544" customFormat="1" x14ac:dyDescent="0.3">
      <c r="A118" s="555">
        <f t="shared" si="0"/>
        <v>12</v>
      </c>
      <c r="B118" s="556" t="s">
        <v>239</v>
      </c>
      <c r="C118" s="556"/>
      <c r="D118" s="556"/>
      <c r="E118" s="556"/>
      <c r="F118" s="556"/>
      <c r="G118" s="556"/>
      <c r="H118" s="556"/>
      <c r="I118" s="556"/>
      <c r="J118" s="556"/>
      <c r="K118" s="556"/>
      <c r="L118" s="556"/>
      <c r="M118" s="556"/>
      <c r="N118" s="556"/>
      <c r="O118" s="556"/>
      <c r="P118" s="556"/>
      <c r="Q118" s="556"/>
      <c r="R118" s="556"/>
      <c r="S118" s="556"/>
      <c r="T118" s="556"/>
      <c r="U118" s="556"/>
      <c r="V118" s="599">
        <v>0</v>
      </c>
      <c r="W118" s="558"/>
      <c r="X118" s="543"/>
    </row>
    <row r="119" spans="1:24" s="544" customFormat="1" x14ac:dyDescent="0.3">
      <c r="A119" s="555">
        <f t="shared" si="0"/>
        <v>13</v>
      </c>
      <c r="B119" s="556" t="s">
        <v>149</v>
      </c>
      <c r="C119" s="556"/>
      <c r="D119" s="556"/>
      <c r="E119" s="556"/>
      <c r="F119" s="556"/>
      <c r="G119" s="556"/>
      <c r="H119" s="556"/>
      <c r="I119" s="556"/>
      <c r="J119" s="556"/>
      <c r="K119" s="556"/>
      <c r="L119" s="556"/>
      <c r="M119" s="556"/>
      <c r="N119" s="556"/>
      <c r="O119" s="556"/>
      <c r="P119" s="556"/>
      <c r="Q119" s="556"/>
      <c r="R119" s="556"/>
      <c r="S119" s="556"/>
      <c r="T119" s="556"/>
      <c r="U119" s="556"/>
      <c r="V119" s="599">
        <v>-447</v>
      </c>
      <c r="W119" s="558"/>
      <c r="X119" s="543"/>
    </row>
    <row r="120" spans="1:24" s="544" customFormat="1" x14ac:dyDescent="0.3">
      <c r="A120" s="555">
        <f t="shared" si="0"/>
        <v>14</v>
      </c>
      <c r="B120" s="641" t="s">
        <v>387</v>
      </c>
      <c r="C120" s="556"/>
      <c r="D120" s="556"/>
      <c r="E120" s="556"/>
      <c r="F120" s="556"/>
      <c r="G120" s="556"/>
      <c r="H120" s="556"/>
      <c r="I120" s="556"/>
      <c r="J120" s="556"/>
      <c r="K120" s="556"/>
      <c r="L120" s="556"/>
      <c r="M120" s="556"/>
      <c r="N120" s="556"/>
      <c r="O120" s="556"/>
      <c r="P120" s="556"/>
      <c r="Q120" s="556"/>
      <c r="R120" s="556"/>
      <c r="S120" s="556"/>
      <c r="T120" s="556"/>
      <c r="U120" s="556"/>
      <c r="V120" s="599">
        <v>-288</v>
      </c>
      <c r="W120" s="558"/>
      <c r="X120" s="543"/>
    </row>
    <row r="121" spans="1:24" s="544" customFormat="1" x14ac:dyDescent="0.3">
      <c r="A121" s="555">
        <f t="shared" si="0"/>
        <v>15</v>
      </c>
      <c r="B121" s="642" t="s">
        <v>384</v>
      </c>
      <c r="C121" s="556"/>
      <c r="D121" s="556"/>
      <c r="E121" s="556"/>
      <c r="F121" s="556"/>
      <c r="G121" s="556"/>
      <c r="H121" s="556"/>
      <c r="I121" s="556"/>
      <c r="J121" s="556"/>
      <c r="K121" s="556"/>
      <c r="L121" s="556"/>
      <c r="M121" s="556"/>
      <c r="N121" s="556"/>
      <c r="O121" s="556"/>
      <c r="P121" s="556"/>
      <c r="Q121" s="556"/>
      <c r="R121" s="556"/>
      <c r="S121" s="556"/>
      <c r="T121" s="556"/>
      <c r="U121" s="556"/>
      <c r="V121" s="599">
        <v>-68</v>
      </c>
      <c r="W121" s="558"/>
      <c r="X121" s="543"/>
    </row>
    <row r="122" spans="1:24" s="544" customFormat="1" x14ac:dyDescent="0.3">
      <c r="A122" s="555">
        <f t="shared" si="0"/>
        <v>16</v>
      </c>
      <c r="B122" s="642" t="s">
        <v>386</v>
      </c>
      <c r="C122" s="556"/>
      <c r="D122" s="556"/>
      <c r="E122" s="556"/>
      <c r="F122" s="556"/>
      <c r="G122" s="556"/>
      <c r="H122" s="556"/>
      <c r="I122" s="556"/>
      <c r="J122" s="556"/>
      <c r="K122" s="556"/>
      <c r="L122" s="556"/>
      <c r="M122" s="556"/>
      <c r="N122" s="556"/>
      <c r="O122" s="556"/>
      <c r="P122" s="556"/>
      <c r="Q122" s="556"/>
      <c r="R122" s="556"/>
      <c r="S122" s="556"/>
      <c r="T122" s="556"/>
      <c r="U122" s="556"/>
      <c r="V122" s="599">
        <v>0</v>
      </c>
      <c r="W122" s="558"/>
      <c r="X122" s="543"/>
    </row>
    <row r="123" spans="1:24" s="544" customFormat="1" x14ac:dyDescent="0.3">
      <c r="A123" s="555">
        <f t="shared" si="0"/>
        <v>17</v>
      </c>
      <c r="B123" s="642" t="s">
        <v>385</v>
      </c>
      <c r="C123" s="556"/>
      <c r="D123" s="556"/>
      <c r="E123" s="556"/>
      <c r="F123" s="556"/>
      <c r="G123" s="556"/>
      <c r="H123" s="556"/>
      <c r="I123" s="556"/>
      <c r="J123" s="556"/>
      <c r="K123" s="556"/>
      <c r="L123" s="556"/>
      <c r="M123" s="556"/>
      <c r="N123" s="556"/>
      <c r="O123" s="556"/>
      <c r="P123" s="556"/>
      <c r="Q123" s="556"/>
      <c r="R123" s="556"/>
      <c r="S123" s="556"/>
      <c r="T123" s="556"/>
      <c r="U123" s="556"/>
      <c r="V123" s="599">
        <f>-V100-SUM(V102:V122)</f>
        <v>-1983</v>
      </c>
      <c r="W123" s="558"/>
      <c r="X123" s="543"/>
    </row>
    <row r="124" spans="1:24" x14ac:dyDescent="0.3">
      <c r="A124" s="431"/>
      <c r="B124" s="507" t="s">
        <v>37</v>
      </c>
      <c r="C124" s="434"/>
      <c r="D124" s="434"/>
      <c r="E124" s="434"/>
      <c r="F124" s="434"/>
      <c r="G124" s="434"/>
      <c r="H124" s="434"/>
      <c r="I124" s="434"/>
      <c r="J124" s="434"/>
      <c r="K124" s="434"/>
      <c r="L124" s="434"/>
      <c r="M124" s="434"/>
      <c r="N124" s="434"/>
      <c r="O124" s="434"/>
      <c r="P124" s="434"/>
      <c r="Q124" s="434"/>
      <c r="R124" s="434"/>
      <c r="S124" s="434"/>
      <c r="T124" s="434"/>
      <c r="U124" s="434"/>
      <c r="V124" s="450"/>
      <c r="W124" s="436"/>
      <c r="X124" s="415"/>
    </row>
    <row r="125" spans="1:24" s="544" customFormat="1" x14ac:dyDescent="0.3">
      <c r="A125" s="555"/>
      <c r="B125" s="556" t="s">
        <v>173</v>
      </c>
      <c r="C125" s="556"/>
      <c r="D125" s="556"/>
      <c r="E125" s="556"/>
      <c r="F125" s="556"/>
      <c r="G125" s="556"/>
      <c r="H125" s="556"/>
      <c r="I125" s="556"/>
      <c r="J125" s="556"/>
      <c r="K125" s="556"/>
      <c r="L125" s="556"/>
      <c r="M125" s="556"/>
      <c r="N125" s="556"/>
      <c r="O125" s="556"/>
      <c r="P125" s="556"/>
      <c r="Q125" s="556"/>
      <c r="R125" s="556"/>
      <c r="S125" s="556"/>
      <c r="T125" s="598">
        <f>-T191</f>
        <v>0</v>
      </c>
      <c r="U125" s="598"/>
      <c r="V125" s="599"/>
      <c r="W125" s="558"/>
      <c r="X125" s="543"/>
    </row>
    <row r="126" spans="1:24" s="544" customFormat="1" x14ac:dyDescent="0.3">
      <c r="A126" s="555"/>
      <c r="B126" s="556" t="s">
        <v>174</v>
      </c>
      <c r="C126" s="556"/>
      <c r="D126" s="556"/>
      <c r="E126" s="556"/>
      <c r="F126" s="556"/>
      <c r="G126" s="556"/>
      <c r="H126" s="556"/>
      <c r="I126" s="556"/>
      <c r="J126" s="556"/>
      <c r="K126" s="556"/>
      <c r="L126" s="556"/>
      <c r="M126" s="556"/>
      <c r="N126" s="556"/>
      <c r="O126" s="556"/>
      <c r="P126" s="556"/>
      <c r="Q126" s="556"/>
      <c r="R126" s="556"/>
      <c r="S126" s="556"/>
      <c r="T126" s="598">
        <v>0</v>
      </c>
      <c r="U126" s="598"/>
      <c r="V126" s="599"/>
      <c r="W126" s="558"/>
      <c r="X126" s="543"/>
    </row>
    <row r="127" spans="1:24" s="544" customFormat="1" x14ac:dyDescent="0.3">
      <c r="A127" s="555"/>
      <c r="B127" s="556" t="s">
        <v>38</v>
      </c>
      <c r="C127" s="556"/>
      <c r="D127" s="556"/>
      <c r="E127" s="556"/>
      <c r="F127" s="556"/>
      <c r="G127" s="556"/>
      <c r="H127" s="556"/>
      <c r="I127" s="556"/>
      <c r="J127" s="556"/>
      <c r="K127" s="556"/>
      <c r="L127" s="556"/>
      <c r="M127" s="556"/>
      <c r="N127" s="556"/>
      <c r="O127" s="556"/>
      <c r="P127" s="556"/>
      <c r="Q127" s="556"/>
      <c r="R127" s="556"/>
      <c r="S127" s="556"/>
      <c r="T127" s="598">
        <f>-S191</f>
        <v>0</v>
      </c>
      <c r="U127" s="598"/>
      <c r="V127" s="599"/>
      <c r="W127" s="558"/>
      <c r="X127" s="543"/>
    </row>
    <row r="128" spans="1:24" s="544" customFormat="1" x14ac:dyDescent="0.3">
      <c r="A128" s="555"/>
      <c r="B128" s="556" t="s">
        <v>388</v>
      </c>
      <c r="C128" s="556"/>
      <c r="D128" s="556"/>
      <c r="E128" s="556"/>
      <c r="F128" s="556"/>
      <c r="G128" s="556"/>
      <c r="H128" s="556"/>
      <c r="I128" s="556"/>
      <c r="J128" s="556"/>
      <c r="K128" s="556"/>
      <c r="L128" s="556"/>
      <c r="M128" s="556"/>
      <c r="N128" s="556"/>
      <c r="O128" s="556"/>
      <c r="P128" s="556"/>
      <c r="Q128" s="556"/>
      <c r="R128" s="556"/>
      <c r="S128" s="556"/>
      <c r="T128" s="598">
        <v>-7710</v>
      </c>
      <c r="U128" s="598"/>
      <c r="V128" s="599"/>
      <c r="W128" s="558"/>
      <c r="X128" s="543"/>
    </row>
    <row r="129" spans="1:24" s="544" customFormat="1" x14ac:dyDescent="0.3">
      <c r="A129" s="555"/>
      <c r="B129" s="556" t="s">
        <v>195</v>
      </c>
      <c r="C129" s="556"/>
      <c r="D129" s="556"/>
      <c r="E129" s="556"/>
      <c r="F129" s="556"/>
      <c r="G129" s="556"/>
      <c r="H129" s="556"/>
      <c r="I129" s="556"/>
      <c r="J129" s="556"/>
      <c r="K129" s="556"/>
      <c r="L129" s="556"/>
      <c r="M129" s="556"/>
      <c r="N129" s="556"/>
      <c r="O129" s="556"/>
      <c r="P129" s="556"/>
      <c r="Q129" s="556"/>
      <c r="R129" s="556"/>
      <c r="S129" s="556"/>
      <c r="T129" s="598">
        <v>-1243</v>
      </c>
      <c r="U129" s="598"/>
      <c r="V129" s="599"/>
      <c r="W129" s="558"/>
      <c r="X129" s="543"/>
    </row>
    <row r="130" spans="1:24" s="544" customFormat="1" x14ac:dyDescent="0.3">
      <c r="A130" s="555"/>
      <c r="B130" s="556" t="s">
        <v>194</v>
      </c>
      <c r="C130" s="556"/>
      <c r="D130" s="556"/>
      <c r="E130" s="556"/>
      <c r="F130" s="556"/>
      <c r="G130" s="556"/>
      <c r="H130" s="556"/>
      <c r="I130" s="556"/>
      <c r="J130" s="556"/>
      <c r="K130" s="556"/>
      <c r="L130" s="556"/>
      <c r="M130" s="556"/>
      <c r="N130" s="556"/>
      <c r="O130" s="556"/>
      <c r="P130" s="556"/>
      <c r="Q130" s="556"/>
      <c r="R130" s="556"/>
      <c r="S130" s="556"/>
      <c r="T130" s="598">
        <v>-1673</v>
      </c>
      <c r="U130" s="598"/>
      <c r="V130" s="599"/>
      <c r="W130" s="558"/>
      <c r="X130" s="543"/>
    </row>
    <row r="131" spans="1:24" s="544" customFormat="1" x14ac:dyDescent="0.3">
      <c r="A131" s="555"/>
      <c r="B131" s="556" t="s">
        <v>226</v>
      </c>
      <c r="C131" s="556"/>
      <c r="D131" s="556"/>
      <c r="E131" s="556"/>
      <c r="F131" s="556"/>
      <c r="G131" s="556"/>
      <c r="H131" s="556"/>
      <c r="I131" s="556"/>
      <c r="J131" s="556"/>
      <c r="K131" s="556"/>
      <c r="L131" s="556"/>
      <c r="M131" s="556"/>
      <c r="N131" s="556"/>
      <c r="O131" s="556"/>
      <c r="P131" s="556"/>
      <c r="Q131" s="556"/>
      <c r="R131" s="556"/>
      <c r="S131" s="556"/>
      <c r="T131" s="598">
        <v>-2056</v>
      </c>
      <c r="U131" s="598"/>
      <c r="V131" s="599"/>
      <c r="W131" s="558"/>
      <c r="X131" s="543"/>
    </row>
    <row r="132" spans="1:24" s="544" customFormat="1" x14ac:dyDescent="0.3">
      <c r="A132" s="555"/>
      <c r="B132" s="556" t="s">
        <v>189</v>
      </c>
      <c r="C132" s="556"/>
      <c r="D132" s="556"/>
      <c r="E132" s="556"/>
      <c r="F132" s="556"/>
      <c r="G132" s="556"/>
      <c r="H132" s="556"/>
      <c r="I132" s="556"/>
      <c r="J132" s="556"/>
      <c r="K132" s="556"/>
      <c r="L132" s="556"/>
      <c r="M132" s="556"/>
      <c r="N132" s="556"/>
      <c r="O132" s="556"/>
      <c r="P132" s="556"/>
      <c r="Q132" s="556"/>
      <c r="R132" s="556"/>
      <c r="S132" s="556"/>
      <c r="T132" s="598">
        <v>0</v>
      </c>
      <c r="U132" s="598"/>
      <c r="V132" s="599"/>
      <c r="W132" s="558"/>
      <c r="X132" s="543"/>
    </row>
    <row r="133" spans="1:24" s="544" customFormat="1" x14ac:dyDescent="0.3">
      <c r="A133" s="555"/>
      <c r="B133" s="556" t="s">
        <v>188</v>
      </c>
      <c r="C133" s="556"/>
      <c r="D133" s="556"/>
      <c r="E133" s="556"/>
      <c r="F133" s="556"/>
      <c r="G133" s="556"/>
      <c r="H133" s="556"/>
      <c r="I133" s="556"/>
      <c r="J133" s="556"/>
      <c r="K133" s="556"/>
      <c r="L133" s="556"/>
      <c r="M133" s="556"/>
      <c r="N133" s="556"/>
      <c r="O133" s="556"/>
      <c r="P133" s="556"/>
      <c r="Q133" s="556"/>
      <c r="R133" s="556"/>
      <c r="S133" s="556"/>
      <c r="T133" s="598">
        <v>0</v>
      </c>
      <c r="U133" s="598"/>
      <c r="V133" s="599"/>
      <c r="W133" s="558"/>
      <c r="X133" s="543"/>
    </row>
    <row r="134" spans="1:24" s="544" customFormat="1" x14ac:dyDescent="0.3">
      <c r="A134" s="555"/>
      <c r="B134" s="556" t="s">
        <v>227</v>
      </c>
      <c r="C134" s="556"/>
      <c r="D134" s="556"/>
      <c r="E134" s="556"/>
      <c r="F134" s="556"/>
      <c r="G134" s="556"/>
      <c r="H134" s="556"/>
      <c r="I134" s="556"/>
      <c r="J134" s="556"/>
      <c r="K134" s="556"/>
      <c r="L134" s="556"/>
      <c r="M134" s="556"/>
      <c r="N134" s="556"/>
      <c r="O134" s="556"/>
      <c r="P134" s="556"/>
      <c r="Q134" s="556"/>
      <c r="R134" s="556"/>
      <c r="S134" s="556"/>
      <c r="T134" s="598">
        <v>0</v>
      </c>
      <c r="U134" s="598"/>
      <c r="V134" s="599"/>
      <c r="W134" s="558"/>
      <c r="X134" s="543"/>
    </row>
    <row r="135" spans="1:24" s="544" customFormat="1" x14ac:dyDescent="0.3">
      <c r="A135" s="555"/>
      <c r="B135" s="556" t="s">
        <v>187</v>
      </c>
      <c r="C135" s="556"/>
      <c r="D135" s="556"/>
      <c r="E135" s="556"/>
      <c r="F135" s="556"/>
      <c r="G135" s="556"/>
      <c r="H135" s="556"/>
      <c r="I135" s="556"/>
      <c r="J135" s="556"/>
      <c r="K135" s="556"/>
      <c r="L135" s="556"/>
      <c r="M135" s="556"/>
      <c r="N135" s="556"/>
      <c r="O135" s="556"/>
      <c r="P135" s="556"/>
      <c r="Q135" s="556"/>
      <c r="R135" s="556"/>
      <c r="S135" s="556"/>
      <c r="T135" s="598">
        <v>0</v>
      </c>
      <c r="U135" s="598"/>
      <c r="V135" s="599"/>
      <c r="W135" s="558"/>
      <c r="X135" s="543"/>
    </row>
    <row r="136" spans="1:24" s="544" customFormat="1" x14ac:dyDescent="0.3">
      <c r="A136" s="555"/>
      <c r="B136" s="556" t="s">
        <v>39</v>
      </c>
      <c r="C136" s="556"/>
      <c r="D136" s="556"/>
      <c r="E136" s="556"/>
      <c r="F136" s="556"/>
      <c r="G136" s="556"/>
      <c r="H136" s="556"/>
      <c r="I136" s="556"/>
      <c r="J136" s="556"/>
      <c r="K136" s="556"/>
      <c r="L136" s="556"/>
      <c r="M136" s="556"/>
      <c r="N136" s="556"/>
      <c r="O136" s="556"/>
      <c r="P136" s="556"/>
      <c r="Q136" s="556"/>
      <c r="R136" s="556"/>
      <c r="S136" s="556"/>
      <c r="T136" s="598">
        <f>SUM(T125:T135)</f>
        <v>-12682</v>
      </c>
      <c r="U136" s="598"/>
      <c r="V136" s="598">
        <f>SUM(V101:V133)</f>
        <v>-3756</v>
      </c>
      <c r="W136" s="558"/>
      <c r="X136" s="543"/>
    </row>
    <row r="137" spans="1:24" s="544" customFormat="1" x14ac:dyDescent="0.3">
      <c r="A137" s="555"/>
      <c r="B137" s="556" t="s">
        <v>40</v>
      </c>
      <c r="C137" s="556"/>
      <c r="D137" s="556"/>
      <c r="E137" s="556"/>
      <c r="F137" s="556"/>
      <c r="G137" s="556"/>
      <c r="H137" s="556"/>
      <c r="I137" s="556"/>
      <c r="J137" s="556"/>
      <c r="K137" s="556"/>
      <c r="L137" s="556"/>
      <c r="M137" s="556"/>
      <c r="N137" s="556"/>
      <c r="O137" s="556"/>
      <c r="P137" s="556"/>
      <c r="Q137" s="556"/>
      <c r="R137" s="556"/>
      <c r="S137" s="556"/>
      <c r="T137" s="598">
        <f>T100+T136+T114</f>
        <v>0</v>
      </c>
      <c r="U137" s="598"/>
      <c r="V137" s="598">
        <f>V100+V136</f>
        <v>0</v>
      </c>
      <c r="W137" s="558"/>
      <c r="X137" s="543"/>
    </row>
    <row r="138" spans="1:24" s="544" customFormat="1" x14ac:dyDescent="0.3">
      <c r="A138" s="540"/>
      <c r="B138" s="588"/>
      <c r="C138" s="588"/>
      <c r="D138" s="588"/>
      <c r="E138" s="588"/>
      <c r="F138" s="588"/>
      <c r="G138" s="588"/>
      <c r="H138" s="588"/>
      <c r="I138" s="588"/>
      <c r="J138" s="588"/>
      <c r="K138" s="588"/>
      <c r="L138" s="588"/>
      <c r="M138" s="588"/>
      <c r="N138" s="588"/>
      <c r="O138" s="588"/>
      <c r="P138" s="588"/>
      <c r="Q138" s="588"/>
      <c r="R138" s="588"/>
      <c r="S138" s="588"/>
      <c r="T138" s="600"/>
      <c r="U138" s="600"/>
      <c r="V138" s="600"/>
      <c r="W138" s="588"/>
      <c r="X138" s="543"/>
    </row>
    <row r="139" spans="1:24" s="544" customFormat="1" x14ac:dyDescent="0.3">
      <c r="A139" s="540"/>
      <c r="B139" s="541"/>
      <c r="C139" s="541"/>
      <c r="D139" s="541"/>
      <c r="E139" s="541"/>
      <c r="F139" s="541"/>
      <c r="G139" s="541"/>
      <c r="H139" s="541"/>
      <c r="I139" s="541"/>
      <c r="J139" s="541"/>
      <c r="K139" s="541"/>
      <c r="L139" s="541"/>
      <c r="M139" s="541"/>
      <c r="N139" s="541"/>
      <c r="O139" s="541"/>
      <c r="P139" s="541"/>
      <c r="Q139" s="541"/>
      <c r="R139" s="541"/>
      <c r="S139" s="541"/>
      <c r="T139" s="541"/>
      <c r="U139" s="541"/>
      <c r="V139" s="606"/>
      <c r="W139" s="541"/>
      <c r="X139" s="543"/>
    </row>
    <row r="140" spans="1:24" s="544" customFormat="1" ht="18.600000000000001" thickBot="1" x14ac:dyDescent="0.4">
      <c r="A140" s="593"/>
      <c r="B140" s="594" t="str">
        <f>B63</f>
        <v>PM14 INVESTOR REPORT QUARTER ENDING NOVEMBER 2020</v>
      </c>
      <c r="C140" s="595"/>
      <c r="D140" s="595"/>
      <c r="E140" s="595"/>
      <c r="F140" s="595"/>
      <c r="G140" s="595"/>
      <c r="H140" s="595"/>
      <c r="I140" s="595"/>
      <c r="J140" s="595"/>
      <c r="K140" s="595"/>
      <c r="L140" s="595"/>
      <c r="M140" s="595"/>
      <c r="N140" s="595"/>
      <c r="O140" s="595"/>
      <c r="P140" s="595"/>
      <c r="Q140" s="595"/>
      <c r="R140" s="595"/>
      <c r="S140" s="595"/>
      <c r="T140" s="595"/>
      <c r="U140" s="595"/>
      <c r="V140" s="607"/>
      <c r="W140" s="597"/>
      <c r="X140" s="543"/>
    </row>
    <row r="141" spans="1:24" x14ac:dyDescent="0.3">
      <c r="A141" s="527"/>
      <c r="B141" s="528" t="s">
        <v>41</v>
      </c>
      <c r="C141" s="529"/>
      <c r="D141" s="529"/>
      <c r="E141" s="529"/>
      <c r="F141" s="529"/>
      <c r="G141" s="529"/>
      <c r="H141" s="529"/>
      <c r="I141" s="529"/>
      <c r="J141" s="529"/>
      <c r="K141" s="529"/>
      <c r="L141" s="529"/>
      <c r="M141" s="529"/>
      <c r="N141" s="529"/>
      <c r="O141" s="529"/>
      <c r="P141" s="529"/>
      <c r="Q141" s="529"/>
      <c r="R141" s="529"/>
      <c r="S141" s="529"/>
      <c r="T141" s="529"/>
      <c r="U141" s="529"/>
      <c r="V141" s="530"/>
      <c r="W141" s="529"/>
      <c r="X141" s="415"/>
    </row>
    <row r="142" spans="1:24" x14ac:dyDescent="0.3">
      <c r="A142" s="417"/>
      <c r="B142" s="451"/>
      <c r="C142" s="419"/>
      <c r="D142" s="419"/>
      <c r="E142" s="419"/>
      <c r="F142" s="419"/>
      <c r="G142" s="419"/>
      <c r="H142" s="419"/>
      <c r="I142" s="419"/>
      <c r="J142" s="419"/>
      <c r="K142" s="419"/>
      <c r="L142" s="419"/>
      <c r="M142" s="419"/>
      <c r="N142" s="419"/>
      <c r="O142" s="419"/>
      <c r="P142" s="419"/>
      <c r="Q142" s="419"/>
      <c r="R142" s="419"/>
      <c r="S142" s="419"/>
      <c r="T142" s="419"/>
      <c r="U142" s="419"/>
      <c r="V142" s="439"/>
      <c r="W142" s="419"/>
      <c r="X142" s="415"/>
    </row>
    <row r="143" spans="1:24" x14ac:dyDescent="0.3">
      <c r="A143" s="417"/>
      <c r="B143" s="508" t="s">
        <v>42</v>
      </c>
      <c r="C143" s="419"/>
      <c r="D143" s="419"/>
      <c r="E143" s="419"/>
      <c r="F143" s="419"/>
      <c r="G143" s="419"/>
      <c r="H143" s="419"/>
      <c r="I143" s="419"/>
      <c r="J143" s="419"/>
      <c r="K143" s="419"/>
      <c r="L143" s="419"/>
      <c r="M143" s="419"/>
      <c r="N143" s="419"/>
      <c r="O143" s="419"/>
      <c r="P143" s="419"/>
      <c r="Q143" s="419"/>
      <c r="R143" s="419"/>
      <c r="S143" s="419"/>
      <c r="T143" s="419"/>
      <c r="U143" s="419"/>
      <c r="V143" s="439"/>
      <c r="W143" s="419"/>
      <c r="X143" s="415"/>
    </row>
    <row r="144" spans="1:24" s="544" customFormat="1" x14ac:dyDescent="0.3">
      <c r="A144" s="555"/>
      <c r="B144" s="556" t="s">
        <v>43</v>
      </c>
      <c r="C144" s="556"/>
      <c r="D144" s="556"/>
      <c r="E144" s="556"/>
      <c r="F144" s="556"/>
      <c r="G144" s="556"/>
      <c r="H144" s="556"/>
      <c r="I144" s="556"/>
      <c r="J144" s="556"/>
      <c r="K144" s="556"/>
      <c r="L144" s="556"/>
      <c r="M144" s="556"/>
      <c r="N144" s="556"/>
      <c r="O144" s="556"/>
      <c r="P144" s="556"/>
      <c r="Q144" s="556"/>
      <c r="R144" s="556"/>
      <c r="S144" s="556"/>
      <c r="T144" s="556"/>
      <c r="U144" s="556"/>
      <c r="V144" s="599">
        <f>+V34*0.019</f>
        <v>28505.224999999999</v>
      </c>
      <c r="W144" s="558"/>
      <c r="X144" s="543"/>
    </row>
    <row r="145" spans="1:25" s="544" customFormat="1" x14ac:dyDescent="0.3">
      <c r="A145" s="555"/>
      <c r="B145" s="556" t="s">
        <v>44</v>
      </c>
      <c r="C145" s="556"/>
      <c r="D145" s="556"/>
      <c r="E145" s="556"/>
      <c r="F145" s="556"/>
      <c r="G145" s="556"/>
      <c r="H145" s="556"/>
      <c r="I145" s="556"/>
      <c r="J145" s="556"/>
      <c r="K145" s="556"/>
      <c r="L145" s="556"/>
      <c r="M145" s="556"/>
      <c r="N145" s="556"/>
      <c r="O145" s="556"/>
      <c r="P145" s="556"/>
      <c r="Q145" s="556"/>
      <c r="R145" s="556"/>
      <c r="S145" s="556"/>
      <c r="T145" s="556"/>
      <c r="U145" s="556"/>
      <c r="V145" s="599">
        <v>28505</v>
      </c>
      <c r="W145" s="558"/>
      <c r="X145" s="543"/>
    </row>
    <row r="146" spans="1:25" s="544" customFormat="1" x14ac:dyDescent="0.3">
      <c r="A146" s="555"/>
      <c r="B146" s="556" t="s">
        <v>136</v>
      </c>
      <c r="C146" s="556"/>
      <c r="D146" s="556"/>
      <c r="E146" s="556"/>
      <c r="F146" s="556"/>
      <c r="G146" s="556"/>
      <c r="H146" s="556"/>
      <c r="I146" s="556"/>
      <c r="J146" s="556"/>
      <c r="K146" s="556"/>
      <c r="L146" s="556"/>
      <c r="M146" s="556"/>
      <c r="N146" s="556"/>
      <c r="O146" s="556"/>
      <c r="P146" s="556"/>
      <c r="Q146" s="556"/>
      <c r="R146" s="556"/>
      <c r="S146" s="556"/>
      <c r="T146" s="556"/>
      <c r="U146" s="556"/>
      <c r="V146" s="599"/>
      <c r="W146" s="558"/>
      <c r="X146" s="543"/>
    </row>
    <row r="147" spans="1:25" s="544" customFormat="1" x14ac:dyDescent="0.3">
      <c r="A147" s="555"/>
      <c r="B147" s="556" t="s">
        <v>123</v>
      </c>
      <c r="C147" s="556"/>
      <c r="D147" s="556"/>
      <c r="E147" s="556"/>
      <c r="F147" s="556"/>
      <c r="G147" s="556"/>
      <c r="H147" s="556"/>
      <c r="I147" s="556"/>
      <c r="J147" s="556"/>
      <c r="K147" s="556"/>
      <c r="L147" s="556"/>
      <c r="M147" s="556"/>
      <c r="N147" s="556"/>
      <c r="O147" s="556"/>
      <c r="P147" s="556"/>
      <c r="Q147" s="556"/>
      <c r="R147" s="556"/>
      <c r="S147" s="556"/>
      <c r="T147" s="556"/>
      <c r="U147" s="556"/>
      <c r="V147" s="599">
        <v>0</v>
      </c>
      <c r="W147" s="558"/>
      <c r="X147" s="543"/>
    </row>
    <row r="148" spans="1:25" s="544" customFormat="1" x14ac:dyDescent="0.3">
      <c r="A148" s="555"/>
      <c r="B148" s="556" t="s">
        <v>124</v>
      </c>
      <c r="C148" s="556"/>
      <c r="D148" s="556"/>
      <c r="E148" s="556"/>
      <c r="F148" s="556"/>
      <c r="G148" s="556"/>
      <c r="H148" s="556"/>
      <c r="I148" s="556"/>
      <c r="J148" s="556"/>
      <c r="K148" s="556"/>
      <c r="L148" s="556"/>
      <c r="M148" s="556"/>
      <c r="N148" s="556"/>
      <c r="O148" s="556"/>
      <c r="P148" s="556"/>
      <c r="Q148" s="556"/>
      <c r="R148" s="556"/>
      <c r="S148" s="556"/>
      <c r="T148" s="556"/>
      <c r="U148" s="556"/>
      <c r="V148" s="599">
        <v>0</v>
      </c>
      <c r="W148" s="558"/>
      <c r="X148" s="543"/>
    </row>
    <row r="149" spans="1:25" s="544" customFormat="1" x14ac:dyDescent="0.3">
      <c r="A149" s="555"/>
      <c r="B149" s="556" t="s">
        <v>175</v>
      </c>
      <c r="C149" s="556"/>
      <c r="D149" s="556"/>
      <c r="E149" s="556"/>
      <c r="F149" s="556"/>
      <c r="G149" s="556"/>
      <c r="H149" s="556"/>
      <c r="I149" s="556"/>
      <c r="J149" s="556"/>
      <c r="K149" s="556"/>
      <c r="L149" s="556"/>
      <c r="M149" s="556"/>
      <c r="N149" s="556"/>
      <c r="O149" s="556"/>
      <c r="P149" s="556"/>
      <c r="Q149" s="556"/>
      <c r="R149" s="556"/>
      <c r="S149" s="556"/>
      <c r="T149" s="556"/>
      <c r="U149" s="556"/>
      <c r="V149" s="599">
        <v>0</v>
      </c>
      <c r="W149" s="558"/>
      <c r="X149" s="543"/>
    </row>
    <row r="150" spans="1:25" s="544" customFormat="1" x14ac:dyDescent="0.3">
      <c r="A150" s="555"/>
      <c r="B150" s="556" t="s">
        <v>45</v>
      </c>
      <c r="C150" s="556"/>
      <c r="D150" s="556"/>
      <c r="E150" s="556"/>
      <c r="F150" s="556"/>
      <c r="G150" s="556"/>
      <c r="H150" s="556"/>
      <c r="I150" s="556"/>
      <c r="J150" s="556"/>
      <c r="K150" s="556"/>
      <c r="L150" s="556"/>
      <c r="M150" s="556"/>
      <c r="N150" s="556"/>
      <c r="O150" s="556"/>
      <c r="P150" s="556"/>
      <c r="Q150" s="556"/>
      <c r="R150" s="556"/>
      <c r="S150" s="556"/>
      <c r="T150" s="556"/>
      <c r="U150" s="556"/>
      <c r="V150" s="599">
        <v>0</v>
      </c>
      <c r="W150" s="558"/>
      <c r="X150" s="543"/>
    </row>
    <row r="151" spans="1:25" s="544" customFormat="1" x14ac:dyDescent="0.3">
      <c r="A151" s="555"/>
      <c r="B151" s="556" t="s">
        <v>129</v>
      </c>
      <c r="C151" s="556"/>
      <c r="D151" s="556"/>
      <c r="E151" s="556"/>
      <c r="F151" s="556"/>
      <c r="G151" s="556"/>
      <c r="H151" s="556"/>
      <c r="I151" s="556"/>
      <c r="J151" s="556"/>
      <c r="K151" s="556"/>
      <c r="L151" s="556"/>
      <c r="M151" s="556"/>
      <c r="N151" s="556"/>
      <c r="O151" s="556"/>
      <c r="P151" s="556"/>
      <c r="Q151" s="556"/>
      <c r="R151" s="556"/>
      <c r="S151" s="556"/>
      <c r="T151" s="556"/>
      <c r="U151" s="556"/>
      <c r="V151" s="599">
        <v>0</v>
      </c>
      <c r="W151" s="558"/>
      <c r="X151" s="543"/>
    </row>
    <row r="152" spans="1:25" s="544" customFormat="1" x14ac:dyDescent="0.3">
      <c r="A152" s="555"/>
      <c r="B152" s="556" t="s">
        <v>267</v>
      </c>
      <c r="C152" s="556"/>
      <c r="D152" s="556"/>
      <c r="E152" s="556"/>
      <c r="F152" s="556"/>
      <c r="G152" s="556"/>
      <c r="H152" s="556"/>
      <c r="I152" s="556"/>
      <c r="J152" s="556"/>
      <c r="K152" s="556"/>
      <c r="L152" s="556"/>
      <c r="M152" s="556"/>
      <c r="N152" s="556"/>
      <c r="O152" s="556"/>
      <c r="P152" s="556"/>
      <c r="Q152" s="556"/>
      <c r="R152" s="556"/>
      <c r="S152" s="556"/>
      <c r="T152" s="556"/>
      <c r="U152" s="556"/>
      <c r="V152" s="599">
        <v>0</v>
      </c>
      <c r="W152" s="558"/>
      <c r="X152" s="543"/>
      <c r="Y152" s="604"/>
    </row>
    <row r="153" spans="1:25" s="544" customFormat="1" x14ac:dyDescent="0.3">
      <c r="A153" s="555"/>
      <c r="B153" s="556" t="s">
        <v>46</v>
      </c>
      <c r="C153" s="556"/>
      <c r="D153" s="556"/>
      <c r="E153" s="556"/>
      <c r="F153" s="556"/>
      <c r="G153" s="556"/>
      <c r="H153" s="556"/>
      <c r="I153" s="556"/>
      <c r="J153" s="556"/>
      <c r="K153" s="556"/>
      <c r="L153" s="556"/>
      <c r="M153" s="556"/>
      <c r="N153" s="556"/>
      <c r="O153" s="556"/>
      <c r="P153" s="556"/>
      <c r="Q153" s="556"/>
      <c r="R153" s="556"/>
      <c r="S153" s="556"/>
      <c r="T153" s="556"/>
      <c r="U153" s="556"/>
      <c r="V153" s="599">
        <f>SUM(V145:V152)</f>
        <v>28505</v>
      </c>
      <c r="W153" s="558"/>
      <c r="X153" s="543"/>
    </row>
    <row r="154" spans="1:25" x14ac:dyDescent="0.3">
      <c r="A154" s="431"/>
      <c r="B154" s="434"/>
      <c r="C154" s="434"/>
      <c r="D154" s="434"/>
      <c r="E154" s="434"/>
      <c r="F154" s="434"/>
      <c r="G154" s="434"/>
      <c r="H154" s="434"/>
      <c r="I154" s="434"/>
      <c r="J154" s="434"/>
      <c r="K154" s="434"/>
      <c r="L154" s="434"/>
      <c r="M154" s="434"/>
      <c r="N154" s="434"/>
      <c r="O154" s="434"/>
      <c r="P154" s="434"/>
      <c r="Q154" s="434"/>
      <c r="R154" s="434"/>
      <c r="S154" s="434"/>
      <c r="T154" s="434"/>
      <c r="U154" s="434"/>
      <c r="V154" s="449"/>
      <c r="W154" s="436"/>
      <c r="X154" s="415"/>
    </row>
    <row r="155" spans="1:25" x14ac:dyDescent="0.3">
      <c r="A155" s="431"/>
      <c r="B155" s="507" t="s">
        <v>237</v>
      </c>
      <c r="C155" s="434"/>
      <c r="D155" s="434"/>
      <c r="E155" s="434"/>
      <c r="F155" s="434"/>
      <c r="G155" s="434"/>
      <c r="H155" s="434"/>
      <c r="I155" s="434"/>
      <c r="J155" s="434"/>
      <c r="K155" s="434"/>
      <c r="L155" s="434"/>
      <c r="M155" s="434"/>
      <c r="N155" s="434"/>
      <c r="O155" s="434"/>
      <c r="P155" s="434"/>
      <c r="Q155" s="434"/>
      <c r="R155" s="434"/>
      <c r="S155" s="434"/>
      <c r="T155" s="434"/>
      <c r="U155" s="434"/>
      <c r="V155" s="449"/>
      <c r="W155" s="436"/>
      <c r="X155" s="415"/>
    </row>
    <row r="156" spans="1:25" s="544" customFormat="1" x14ac:dyDescent="0.3">
      <c r="A156" s="555"/>
      <c r="B156" s="556" t="s">
        <v>155</v>
      </c>
      <c r="C156" s="556"/>
      <c r="D156" s="556"/>
      <c r="E156" s="556"/>
      <c r="F156" s="556"/>
      <c r="G156" s="556"/>
      <c r="H156" s="556"/>
      <c r="I156" s="556"/>
      <c r="J156" s="556"/>
      <c r="K156" s="556"/>
      <c r="L156" s="556"/>
      <c r="M156" s="556"/>
      <c r="N156" s="556"/>
      <c r="O156" s="556"/>
      <c r="P156" s="556"/>
      <c r="Q156" s="556"/>
      <c r="R156" s="556"/>
      <c r="S156" s="556"/>
      <c r="T156" s="556"/>
      <c r="U156" s="556"/>
      <c r="V156" s="599">
        <v>7500</v>
      </c>
      <c r="W156" s="558"/>
      <c r="X156" s="543"/>
    </row>
    <row r="157" spans="1:25" s="544" customFormat="1" x14ac:dyDescent="0.3">
      <c r="A157" s="555"/>
      <c r="B157" s="556" t="s">
        <v>172</v>
      </c>
      <c r="C157" s="556"/>
      <c r="D157" s="556"/>
      <c r="E157" s="556"/>
      <c r="F157" s="556"/>
      <c r="G157" s="556"/>
      <c r="H157" s="556"/>
      <c r="I157" s="556"/>
      <c r="J157" s="556"/>
      <c r="K157" s="556"/>
      <c r="L157" s="556"/>
      <c r="M157" s="556"/>
      <c r="N157" s="556"/>
      <c r="O157" s="556"/>
      <c r="P157" s="556"/>
      <c r="Q157" s="556"/>
      <c r="R157" s="556"/>
      <c r="S157" s="556"/>
      <c r="T157" s="556"/>
      <c r="U157" s="556"/>
      <c r="V157" s="599">
        <v>0</v>
      </c>
      <c r="W157" s="558"/>
      <c r="X157" s="543"/>
    </row>
    <row r="158" spans="1:25" s="544" customFormat="1" x14ac:dyDescent="0.3">
      <c r="A158" s="555"/>
      <c r="B158" s="556" t="s">
        <v>344</v>
      </c>
      <c r="C158" s="556"/>
      <c r="D158" s="556"/>
      <c r="E158" s="556"/>
      <c r="F158" s="556"/>
      <c r="G158" s="556"/>
      <c r="H158" s="556"/>
      <c r="I158" s="556"/>
      <c r="J158" s="556"/>
      <c r="K158" s="556"/>
      <c r="L158" s="556"/>
      <c r="M158" s="556"/>
      <c r="N158" s="556"/>
      <c r="O158" s="556"/>
      <c r="P158" s="556"/>
      <c r="Q158" s="556"/>
      <c r="R158" s="556"/>
      <c r="S158" s="556"/>
      <c r="T158" s="556"/>
      <c r="U158" s="556"/>
      <c r="V158" s="599">
        <v>0</v>
      </c>
      <c r="W158" s="558"/>
      <c r="X158" s="543"/>
    </row>
    <row r="159" spans="1:25" x14ac:dyDescent="0.3">
      <c r="A159" s="431"/>
      <c r="B159" s="432"/>
      <c r="C159" s="432"/>
      <c r="D159" s="432"/>
      <c r="E159" s="432"/>
      <c r="F159" s="432"/>
      <c r="G159" s="432"/>
      <c r="H159" s="432"/>
      <c r="I159" s="432"/>
      <c r="J159" s="432"/>
      <c r="K159" s="432"/>
      <c r="L159" s="432"/>
      <c r="M159" s="432"/>
      <c r="N159" s="432"/>
      <c r="O159" s="432"/>
      <c r="P159" s="432"/>
      <c r="Q159" s="432"/>
      <c r="R159" s="432"/>
      <c r="S159" s="432"/>
      <c r="T159" s="432"/>
      <c r="U159" s="432"/>
      <c r="V159" s="440"/>
      <c r="W159" s="433"/>
      <c r="X159" s="415"/>
    </row>
    <row r="160" spans="1:25" x14ac:dyDescent="0.3">
      <c r="A160" s="417"/>
      <c r="B160" s="441"/>
      <c r="C160" s="441"/>
      <c r="D160" s="441"/>
      <c r="E160" s="441"/>
      <c r="F160" s="441"/>
      <c r="G160" s="441"/>
      <c r="H160" s="441"/>
      <c r="I160" s="441"/>
      <c r="J160" s="441"/>
      <c r="K160" s="441"/>
      <c r="L160" s="441"/>
      <c r="M160" s="441"/>
      <c r="N160" s="441"/>
      <c r="O160" s="441"/>
      <c r="P160" s="441"/>
      <c r="Q160" s="441"/>
      <c r="R160" s="441"/>
      <c r="S160" s="441"/>
      <c r="T160" s="441"/>
      <c r="U160" s="441"/>
      <c r="V160" s="452"/>
      <c r="W160" s="441"/>
      <c r="X160" s="415"/>
    </row>
    <row r="161" spans="1:256" x14ac:dyDescent="0.3">
      <c r="A161" s="417"/>
      <c r="B161" s="508" t="s">
        <v>24</v>
      </c>
      <c r="C161" s="419"/>
      <c r="D161" s="419"/>
      <c r="E161" s="419"/>
      <c r="F161" s="419"/>
      <c r="G161" s="419"/>
      <c r="H161" s="419"/>
      <c r="I161" s="419"/>
      <c r="J161" s="419"/>
      <c r="K161" s="419"/>
      <c r="L161" s="419"/>
      <c r="M161" s="419"/>
      <c r="N161" s="419"/>
      <c r="O161" s="419"/>
      <c r="P161" s="419"/>
      <c r="Q161" s="419"/>
      <c r="R161" s="419"/>
      <c r="S161" s="419"/>
      <c r="T161" s="419"/>
      <c r="U161" s="419"/>
      <c r="V161" s="439"/>
      <c r="W161" s="419"/>
      <c r="X161" s="415"/>
    </row>
    <row r="162" spans="1:256" s="544" customFormat="1" x14ac:dyDescent="0.3">
      <c r="A162" s="555"/>
      <c r="B162" s="556" t="s">
        <v>47</v>
      </c>
      <c r="C162" s="556"/>
      <c r="D162" s="556"/>
      <c r="E162" s="556"/>
      <c r="F162" s="556"/>
      <c r="G162" s="556"/>
      <c r="H162" s="556"/>
      <c r="I162" s="556"/>
      <c r="J162" s="556"/>
      <c r="K162" s="556"/>
      <c r="L162" s="556"/>
      <c r="M162" s="556"/>
      <c r="N162" s="556"/>
      <c r="O162" s="556"/>
      <c r="P162" s="556"/>
      <c r="Q162" s="556"/>
      <c r="R162" s="556"/>
      <c r="S162" s="556"/>
      <c r="T162" s="556"/>
      <c r="U162" s="556"/>
      <c r="V162" s="608" t="s">
        <v>118</v>
      </c>
      <c r="W162" s="558"/>
      <c r="X162" s="543"/>
    </row>
    <row r="163" spans="1:256" s="544" customFormat="1" x14ac:dyDescent="0.3">
      <c r="A163" s="555"/>
      <c r="B163" s="556" t="s">
        <v>48</v>
      </c>
      <c r="C163" s="556"/>
      <c r="D163" s="556"/>
      <c r="E163" s="556"/>
      <c r="F163" s="556"/>
      <c r="G163" s="556"/>
      <c r="H163" s="556"/>
      <c r="I163" s="556"/>
      <c r="J163" s="556"/>
      <c r="K163" s="556"/>
      <c r="L163" s="556"/>
      <c r="M163" s="556"/>
      <c r="N163" s="556"/>
      <c r="O163" s="556"/>
      <c r="P163" s="556"/>
      <c r="Q163" s="556"/>
      <c r="R163" s="556"/>
      <c r="S163" s="556"/>
      <c r="T163" s="556"/>
      <c r="U163" s="556"/>
      <c r="V163" s="608" t="s">
        <v>118</v>
      </c>
      <c r="W163" s="558"/>
      <c r="X163" s="543"/>
    </row>
    <row r="164" spans="1:256" s="544" customFormat="1" x14ac:dyDescent="0.3">
      <c r="A164" s="555"/>
      <c r="B164" s="556" t="s">
        <v>49</v>
      </c>
      <c r="C164" s="556"/>
      <c r="D164" s="556"/>
      <c r="E164" s="556"/>
      <c r="F164" s="556"/>
      <c r="G164" s="556"/>
      <c r="H164" s="556"/>
      <c r="I164" s="556"/>
      <c r="J164" s="556"/>
      <c r="K164" s="556"/>
      <c r="L164" s="556"/>
      <c r="M164" s="556"/>
      <c r="N164" s="556"/>
      <c r="O164" s="556"/>
      <c r="P164" s="556"/>
      <c r="Q164" s="556"/>
      <c r="R164" s="556"/>
      <c r="S164" s="556"/>
      <c r="T164" s="556"/>
      <c r="U164" s="556"/>
      <c r="V164" s="608" t="s">
        <v>118</v>
      </c>
      <c r="W164" s="558"/>
      <c r="X164" s="543"/>
    </row>
    <row r="165" spans="1:256" s="544" customFormat="1" x14ac:dyDescent="0.3">
      <c r="A165" s="555"/>
      <c r="B165" s="556" t="s">
        <v>50</v>
      </c>
      <c r="C165" s="556"/>
      <c r="D165" s="556"/>
      <c r="E165" s="556"/>
      <c r="F165" s="556"/>
      <c r="G165" s="556"/>
      <c r="H165" s="556"/>
      <c r="I165" s="556"/>
      <c r="J165" s="556"/>
      <c r="K165" s="556"/>
      <c r="L165" s="556"/>
      <c r="M165" s="556"/>
      <c r="N165" s="556"/>
      <c r="O165" s="556"/>
      <c r="P165" s="556"/>
      <c r="Q165" s="556"/>
      <c r="R165" s="556"/>
      <c r="S165" s="556"/>
      <c r="T165" s="556"/>
      <c r="U165" s="556"/>
      <c r="V165" s="608" t="s">
        <v>118</v>
      </c>
      <c r="W165" s="558"/>
      <c r="X165" s="543"/>
    </row>
    <row r="166" spans="1:256" x14ac:dyDescent="0.3">
      <c r="A166" s="417"/>
      <c r="B166" s="441"/>
      <c r="C166" s="441"/>
      <c r="D166" s="441"/>
      <c r="E166" s="441"/>
      <c r="F166" s="441"/>
      <c r="G166" s="441"/>
      <c r="H166" s="441"/>
      <c r="I166" s="441"/>
      <c r="J166" s="441"/>
      <c r="K166" s="441"/>
      <c r="L166" s="441"/>
      <c r="M166" s="441"/>
      <c r="N166" s="441"/>
      <c r="O166" s="441"/>
      <c r="P166" s="441"/>
      <c r="Q166" s="441"/>
      <c r="R166" s="441"/>
      <c r="S166" s="441"/>
      <c r="T166" s="441"/>
      <c r="U166" s="441"/>
      <c r="V166" s="452"/>
      <c r="W166" s="441"/>
      <c r="X166" s="415"/>
    </row>
    <row r="167" spans="1:256" x14ac:dyDescent="0.3">
      <c r="A167" s="417"/>
      <c r="B167" s="508" t="s">
        <v>51</v>
      </c>
      <c r="C167" s="419"/>
      <c r="D167" s="419"/>
      <c r="E167" s="419"/>
      <c r="F167" s="419"/>
      <c r="G167" s="419"/>
      <c r="H167" s="419"/>
      <c r="I167" s="419"/>
      <c r="J167" s="419"/>
      <c r="K167" s="419"/>
      <c r="L167" s="419"/>
      <c r="M167" s="419"/>
      <c r="N167" s="419"/>
      <c r="O167" s="419"/>
      <c r="P167" s="419"/>
      <c r="Q167" s="419"/>
      <c r="R167" s="419"/>
      <c r="S167" s="419"/>
      <c r="T167" s="419"/>
      <c r="U167" s="419"/>
      <c r="V167" s="453"/>
      <c r="W167" s="419"/>
      <c r="X167" s="415"/>
    </row>
    <row r="168" spans="1:256" s="544" customFormat="1" x14ac:dyDescent="0.3">
      <c r="A168" s="555"/>
      <c r="B168" s="556" t="s">
        <v>52</v>
      </c>
      <c r="C168" s="556"/>
      <c r="D168" s="556"/>
      <c r="E168" s="556"/>
      <c r="F168" s="556"/>
      <c r="G168" s="556"/>
      <c r="H168" s="556"/>
      <c r="I168" s="556"/>
      <c r="J168" s="556"/>
      <c r="K168" s="556"/>
      <c r="L168" s="556"/>
      <c r="M168" s="556"/>
      <c r="N168" s="556"/>
      <c r="O168" s="556"/>
      <c r="P168" s="556"/>
      <c r="Q168" s="556"/>
      <c r="R168" s="556"/>
      <c r="S168" s="556"/>
      <c r="T168" s="556"/>
      <c r="U168" s="556"/>
      <c r="V168" s="599">
        <v>0</v>
      </c>
      <c r="W168" s="558"/>
      <c r="X168" s="543"/>
    </row>
    <row r="169" spans="1:256" s="544" customFormat="1" x14ac:dyDescent="0.3">
      <c r="A169" s="555"/>
      <c r="B169" s="556" t="s">
        <v>53</v>
      </c>
      <c r="C169" s="556"/>
      <c r="D169" s="556"/>
      <c r="E169" s="556"/>
      <c r="F169" s="556"/>
      <c r="G169" s="556"/>
      <c r="H169" s="556"/>
      <c r="I169" s="556"/>
      <c r="J169" s="556"/>
      <c r="K169" s="556"/>
      <c r="L169" s="556"/>
      <c r="M169" s="556"/>
      <c r="N169" s="556"/>
      <c r="O169" s="556"/>
      <c r="P169" s="556"/>
      <c r="Q169" s="556"/>
      <c r="R169" s="556"/>
      <c r="S169" s="556"/>
      <c r="T169" s="556"/>
      <c r="U169" s="556"/>
      <c r="V169" s="599">
        <v>67</v>
      </c>
      <c r="W169" s="558"/>
      <c r="X169" s="543"/>
    </row>
    <row r="170" spans="1:256" s="544" customFormat="1" x14ac:dyDescent="0.3">
      <c r="A170" s="555"/>
      <c r="B170" s="556" t="s">
        <v>54</v>
      </c>
      <c r="C170" s="556"/>
      <c r="D170" s="556"/>
      <c r="E170" s="556"/>
      <c r="F170" s="556"/>
      <c r="G170" s="556"/>
      <c r="H170" s="556"/>
      <c r="I170" s="556"/>
      <c r="J170" s="556"/>
      <c r="K170" s="556"/>
      <c r="L170" s="556"/>
      <c r="M170" s="556"/>
      <c r="N170" s="556"/>
      <c r="O170" s="556"/>
      <c r="P170" s="556"/>
      <c r="Q170" s="556"/>
      <c r="R170" s="556"/>
      <c r="S170" s="556"/>
      <c r="T170" s="556"/>
      <c r="U170" s="556"/>
      <c r="V170" s="599">
        <f>V169+V168</f>
        <v>67</v>
      </c>
      <c r="W170" s="558"/>
      <c r="X170" s="543"/>
    </row>
    <row r="171" spans="1:256" s="544" customFormat="1" x14ac:dyDescent="0.3">
      <c r="A171" s="555"/>
      <c r="B171" s="556" t="s">
        <v>315</v>
      </c>
      <c r="C171" s="556"/>
      <c r="D171" s="556"/>
      <c r="E171" s="556"/>
      <c r="F171" s="556"/>
      <c r="G171" s="556"/>
      <c r="H171" s="556"/>
      <c r="I171" s="556"/>
      <c r="J171" s="556"/>
      <c r="K171" s="556"/>
      <c r="L171" s="556"/>
      <c r="M171" s="556"/>
      <c r="N171" s="556"/>
      <c r="O171" s="556"/>
      <c r="P171" s="556"/>
      <c r="Q171" s="556"/>
      <c r="R171" s="556"/>
      <c r="S171" s="556"/>
      <c r="T171" s="556"/>
      <c r="U171" s="556"/>
      <c r="V171" s="599">
        <f>V114</f>
        <v>-67</v>
      </c>
      <c r="W171" s="558"/>
      <c r="X171" s="543"/>
    </row>
    <row r="172" spans="1:256" s="544" customFormat="1" x14ac:dyDescent="0.3">
      <c r="A172" s="555"/>
      <c r="B172" s="556" t="s">
        <v>55</v>
      </c>
      <c r="C172" s="556"/>
      <c r="D172" s="556"/>
      <c r="E172" s="556"/>
      <c r="F172" s="556"/>
      <c r="G172" s="556"/>
      <c r="H172" s="556"/>
      <c r="I172" s="556"/>
      <c r="J172" s="556"/>
      <c r="K172" s="556"/>
      <c r="L172" s="556"/>
      <c r="M172" s="556"/>
      <c r="N172" s="556"/>
      <c r="O172" s="556"/>
      <c r="P172" s="556"/>
      <c r="Q172" s="556"/>
      <c r="R172" s="556"/>
      <c r="S172" s="556"/>
      <c r="T172" s="556"/>
      <c r="U172" s="556"/>
      <c r="V172" s="599">
        <f>V170+V171</f>
        <v>0</v>
      </c>
      <c r="W172" s="558"/>
      <c r="X172" s="543"/>
    </row>
    <row r="173" spans="1:256" s="544" customFormat="1" x14ac:dyDescent="0.3">
      <c r="A173" s="555"/>
      <c r="B173" s="556" t="s">
        <v>283</v>
      </c>
      <c r="C173" s="556"/>
      <c r="D173" s="556"/>
      <c r="E173" s="556"/>
      <c r="F173" s="556"/>
      <c r="G173" s="556"/>
      <c r="H173" s="556"/>
      <c r="I173" s="556"/>
      <c r="J173" s="556"/>
      <c r="K173" s="556"/>
      <c r="L173" s="556"/>
      <c r="M173" s="556"/>
      <c r="N173" s="556"/>
      <c r="O173" s="556"/>
      <c r="P173" s="556"/>
      <c r="Q173" s="556"/>
      <c r="R173" s="556"/>
      <c r="S173" s="556"/>
      <c r="T173" s="556"/>
      <c r="U173" s="556"/>
      <c r="V173" s="599">
        <v>0</v>
      </c>
      <c r="W173" s="558"/>
      <c r="X173" s="543"/>
    </row>
    <row r="174" spans="1:256" ht="16.2" thickBot="1" x14ac:dyDescent="0.35">
      <c r="A174" s="417"/>
      <c r="B174" s="437"/>
      <c r="C174" s="437"/>
      <c r="D174" s="437"/>
      <c r="E174" s="437"/>
      <c r="F174" s="437"/>
      <c r="G174" s="437"/>
      <c r="H174" s="437"/>
      <c r="I174" s="437"/>
      <c r="J174" s="437"/>
      <c r="K174" s="437"/>
      <c r="L174" s="437"/>
      <c r="M174" s="437"/>
      <c r="N174" s="437"/>
      <c r="O174" s="437"/>
      <c r="P174" s="437"/>
      <c r="Q174" s="437"/>
      <c r="R174" s="437"/>
      <c r="S174" s="437"/>
      <c r="T174" s="437"/>
      <c r="U174" s="437"/>
      <c r="V174" s="454"/>
      <c r="W174" s="437"/>
      <c r="X174" s="415"/>
    </row>
    <row r="175" spans="1:256" x14ac:dyDescent="0.3">
      <c r="A175" s="413"/>
      <c r="B175" s="455"/>
      <c r="C175" s="455"/>
      <c r="D175" s="455"/>
      <c r="E175" s="455"/>
      <c r="F175" s="455"/>
      <c r="G175" s="455"/>
      <c r="H175" s="455"/>
      <c r="I175" s="455"/>
      <c r="J175" s="455"/>
      <c r="K175" s="455"/>
      <c r="L175" s="455"/>
      <c r="M175" s="455"/>
      <c r="N175" s="455"/>
      <c r="O175" s="455"/>
      <c r="P175" s="455"/>
      <c r="Q175" s="455"/>
      <c r="R175" s="455"/>
      <c r="S175" s="455"/>
      <c r="T175" s="455"/>
      <c r="U175" s="455"/>
      <c r="V175" s="456"/>
      <c r="W175" s="455"/>
      <c r="X175" s="415"/>
    </row>
    <row r="176" spans="1:256" s="458" customFormat="1" x14ac:dyDescent="0.3">
      <c r="A176" s="417"/>
      <c r="B176" s="508" t="s">
        <v>269</v>
      </c>
      <c r="C176" s="441"/>
      <c r="D176" s="441"/>
      <c r="E176" s="441"/>
      <c r="F176" s="441"/>
      <c r="G176" s="441"/>
      <c r="H176" s="441"/>
      <c r="I176" s="441"/>
      <c r="J176" s="441"/>
      <c r="K176" s="441"/>
      <c r="L176" s="441"/>
      <c r="M176" s="441"/>
      <c r="N176" s="441"/>
      <c r="O176" s="441"/>
      <c r="P176" s="441"/>
      <c r="Q176" s="441"/>
      <c r="R176" s="441"/>
      <c r="S176" s="441"/>
      <c r="T176" s="441"/>
      <c r="U176" s="441"/>
      <c r="V176" s="457"/>
      <c r="W176" s="441"/>
      <c r="X176" s="415"/>
      <c r="Y176" s="416"/>
      <c r="Z176" s="416"/>
      <c r="AA176" s="416"/>
      <c r="AB176" s="416"/>
      <c r="AC176" s="416"/>
      <c r="AD176" s="416"/>
      <c r="AE176" s="416"/>
      <c r="AF176" s="416"/>
      <c r="AG176" s="416"/>
      <c r="AH176" s="416"/>
      <c r="AI176" s="416"/>
      <c r="AJ176" s="416"/>
      <c r="AK176" s="416"/>
      <c r="AL176" s="416"/>
      <c r="AM176" s="416"/>
      <c r="AN176" s="416"/>
      <c r="AO176" s="416"/>
      <c r="AP176" s="416"/>
      <c r="AQ176" s="416"/>
      <c r="AR176" s="416"/>
      <c r="AS176" s="416"/>
      <c r="AT176" s="416"/>
      <c r="AU176" s="416"/>
      <c r="AV176" s="416"/>
      <c r="AW176" s="416"/>
      <c r="AX176" s="416"/>
      <c r="AY176" s="416"/>
      <c r="AZ176" s="416"/>
      <c r="BA176" s="416"/>
      <c r="BB176" s="416"/>
      <c r="BC176" s="416"/>
      <c r="BD176" s="416"/>
      <c r="BE176" s="416"/>
      <c r="BF176" s="416"/>
      <c r="BG176" s="416"/>
      <c r="BH176" s="416"/>
      <c r="BI176" s="416"/>
      <c r="BJ176" s="416"/>
      <c r="BK176" s="416"/>
      <c r="BL176" s="416"/>
      <c r="BM176" s="416"/>
      <c r="BN176" s="416"/>
      <c r="BO176" s="416"/>
      <c r="BP176" s="416"/>
      <c r="BQ176" s="416"/>
      <c r="BR176" s="416"/>
      <c r="BS176" s="416"/>
      <c r="BT176" s="416"/>
      <c r="BU176" s="416"/>
      <c r="BV176" s="416"/>
      <c r="BW176" s="416"/>
      <c r="BX176" s="416"/>
      <c r="BY176" s="416"/>
      <c r="BZ176" s="416"/>
      <c r="CA176" s="416"/>
      <c r="CB176" s="416"/>
      <c r="CC176" s="416"/>
      <c r="CD176" s="416"/>
      <c r="CE176" s="416"/>
      <c r="CF176" s="416"/>
      <c r="CG176" s="416"/>
      <c r="CH176" s="416"/>
      <c r="CI176" s="416"/>
      <c r="CJ176" s="416"/>
      <c r="CK176" s="416"/>
      <c r="CL176" s="416"/>
      <c r="CM176" s="416"/>
      <c r="CN176" s="416"/>
      <c r="CO176" s="416"/>
      <c r="CP176" s="416"/>
      <c r="CQ176" s="416"/>
      <c r="CR176" s="416"/>
      <c r="CS176" s="416"/>
      <c r="CT176" s="416"/>
      <c r="CU176" s="416"/>
      <c r="CV176" s="416"/>
      <c r="CW176" s="416"/>
      <c r="CX176" s="416"/>
      <c r="CY176" s="416"/>
      <c r="CZ176" s="416"/>
      <c r="DA176" s="416"/>
      <c r="DB176" s="416"/>
      <c r="DC176" s="416"/>
      <c r="DD176" s="416"/>
      <c r="DE176" s="416"/>
      <c r="DF176" s="416"/>
      <c r="DG176" s="416"/>
      <c r="DH176" s="416"/>
      <c r="DI176" s="416"/>
      <c r="DJ176" s="416"/>
      <c r="DK176" s="416"/>
      <c r="DL176" s="416"/>
      <c r="DM176" s="416"/>
      <c r="DN176" s="416"/>
      <c r="DO176" s="416"/>
      <c r="DP176" s="416"/>
      <c r="DQ176" s="416"/>
      <c r="DR176" s="416"/>
      <c r="DS176" s="416"/>
      <c r="DT176" s="416"/>
      <c r="DU176" s="416"/>
      <c r="DV176" s="416"/>
      <c r="DW176" s="416"/>
      <c r="DX176" s="416"/>
      <c r="DY176" s="416"/>
      <c r="DZ176" s="416"/>
      <c r="EA176" s="416"/>
      <c r="EB176" s="416"/>
      <c r="EC176" s="416"/>
      <c r="ED176" s="416"/>
      <c r="EE176" s="416"/>
      <c r="EF176" s="416"/>
      <c r="EG176" s="416"/>
      <c r="EH176" s="416"/>
      <c r="EI176" s="416"/>
      <c r="EJ176" s="416"/>
      <c r="EK176" s="416"/>
      <c r="EL176" s="416"/>
      <c r="EM176" s="416"/>
      <c r="EN176" s="416"/>
      <c r="EO176" s="416"/>
      <c r="EP176" s="416"/>
      <c r="EQ176" s="416"/>
      <c r="ER176" s="416"/>
      <c r="ES176" s="416"/>
      <c r="ET176" s="416"/>
      <c r="EU176" s="416"/>
      <c r="EV176" s="416"/>
      <c r="EW176" s="416"/>
      <c r="EX176" s="416"/>
      <c r="EY176" s="416"/>
      <c r="EZ176" s="416"/>
      <c r="FA176" s="416"/>
      <c r="FB176" s="416"/>
      <c r="FC176" s="416"/>
      <c r="FD176" s="416"/>
      <c r="FE176" s="416"/>
      <c r="FF176" s="416"/>
      <c r="FG176" s="416"/>
      <c r="FH176" s="416"/>
      <c r="FI176" s="416"/>
      <c r="FJ176" s="416"/>
      <c r="FK176" s="416"/>
      <c r="FL176" s="416"/>
      <c r="FM176" s="416"/>
      <c r="FN176" s="416"/>
      <c r="FO176" s="416"/>
      <c r="FP176" s="416"/>
      <c r="FQ176" s="416"/>
      <c r="FR176" s="416"/>
      <c r="FS176" s="416"/>
      <c r="FT176" s="416"/>
      <c r="FU176" s="416"/>
      <c r="FV176" s="416"/>
      <c r="FW176" s="416"/>
      <c r="FX176" s="416"/>
      <c r="FY176" s="416"/>
      <c r="FZ176" s="416"/>
      <c r="GA176" s="416"/>
      <c r="GB176" s="416"/>
      <c r="GC176" s="416"/>
      <c r="GD176" s="416"/>
      <c r="GE176" s="416"/>
      <c r="GF176" s="416"/>
      <c r="GG176" s="416"/>
      <c r="GH176" s="416"/>
      <c r="GI176" s="416"/>
      <c r="GJ176" s="416"/>
      <c r="GK176" s="416"/>
      <c r="GL176" s="416"/>
      <c r="GM176" s="416"/>
      <c r="GN176" s="416"/>
      <c r="GO176" s="416"/>
      <c r="GP176" s="416"/>
      <c r="GQ176" s="416"/>
      <c r="GR176" s="416"/>
      <c r="GS176" s="416"/>
      <c r="GT176" s="416"/>
      <c r="GU176" s="416"/>
      <c r="GV176" s="416"/>
      <c r="GW176" s="416"/>
      <c r="GX176" s="416"/>
      <c r="GY176" s="416"/>
      <c r="GZ176" s="416"/>
      <c r="HA176" s="416"/>
      <c r="HB176" s="416"/>
      <c r="HC176" s="416"/>
      <c r="HD176" s="416"/>
      <c r="HE176" s="416"/>
      <c r="HF176" s="416"/>
      <c r="HG176" s="416"/>
      <c r="HH176" s="416"/>
      <c r="HI176" s="416"/>
      <c r="HJ176" s="416"/>
      <c r="HK176" s="416"/>
      <c r="HL176" s="416"/>
      <c r="HM176" s="416"/>
      <c r="HN176" s="416"/>
      <c r="HO176" s="416"/>
      <c r="HP176" s="416"/>
      <c r="HQ176" s="416"/>
      <c r="HR176" s="416"/>
      <c r="HS176" s="416"/>
      <c r="HT176" s="416"/>
      <c r="HU176" s="416"/>
      <c r="HV176" s="416"/>
      <c r="HW176" s="416"/>
      <c r="HX176" s="416"/>
      <c r="HY176" s="416"/>
      <c r="HZ176" s="416"/>
      <c r="IA176" s="416"/>
      <c r="IB176" s="416"/>
      <c r="IC176" s="416"/>
      <c r="ID176" s="416"/>
      <c r="IE176" s="416"/>
      <c r="IF176" s="416"/>
      <c r="IG176" s="416"/>
      <c r="IH176" s="416"/>
      <c r="II176" s="416"/>
      <c r="IJ176" s="416"/>
      <c r="IK176" s="416"/>
      <c r="IL176" s="416"/>
      <c r="IM176" s="416"/>
      <c r="IN176" s="416"/>
      <c r="IO176" s="416"/>
      <c r="IP176" s="416"/>
      <c r="IQ176" s="416"/>
      <c r="IR176" s="416"/>
      <c r="IS176" s="416"/>
      <c r="IT176" s="416"/>
      <c r="IU176" s="416"/>
      <c r="IV176" s="416"/>
    </row>
    <row r="177" spans="1:256" s="609" customFormat="1" x14ac:dyDescent="0.3">
      <c r="A177" s="555"/>
      <c r="B177" s="556" t="s">
        <v>270</v>
      </c>
      <c r="C177" s="556"/>
      <c r="D177" s="556"/>
      <c r="E177" s="556"/>
      <c r="F177" s="556"/>
      <c r="G177" s="556"/>
      <c r="H177" s="556"/>
      <c r="I177" s="556"/>
      <c r="J177" s="556"/>
      <c r="K177" s="556"/>
      <c r="L177" s="556"/>
      <c r="M177" s="556"/>
      <c r="N177" s="556"/>
      <c r="O177" s="556"/>
      <c r="P177" s="556"/>
      <c r="Q177" s="556"/>
      <c r="R177" s="556"/>
      <c r="S177" s="556"/>
      <c r="T177" s="556"/>
      <c r="U177" s="556"/>
      <c r="V177" s="599">
        <f>+'Aug 08'!V177</f>
        <v>0</v>
      </c>
      <c r="W177" s="558"/>
      <c r="X177" s="543"/>
      <c r="Y177" s="544"/>
      <c r="Z177" s="544"/>
      <c r="AA177" s="544"/>
      <c r="AB177" s="544"/>
      <c r="AC177" s="544"/>
      <c r="AD177" s="544"/>
      <c r="AE177" s="544"/>
      <c r="AF177" s="544"/>
      <c r="AG177" s="544"/>
      <c r="AH177" s="544"/>
      <c r="AI177" s="544"/>
      <c r="AJ177" s="544"/>
      <c r="AK177" s="544"/>
      <c r="AL177" s="544"/>
      <c r="AM177" s="544"/>
      <c r="AN177" s="544"/>
      <c r="AO177" s="544"/>
      <c r="AP177" s="544"/>
      <c r="AQ177" s="544"/>
      <c r="AR177" s="544"/>
      <c r="AS177" s="544"/>
      <c r="AT177" s="544"/>
      <c r="AU177" s="544"/>
      <c r="AV177" s="544"/>
      <c r="AW177" s="544"/>
      <c r="AX177" s="544"/>
      <c r="AY177" s="544"/>
      <c r="AZ177" s="544"/>
      <c r="BA177" s="544"/>
      <c r="BB177" s="544"/>
      <c r="BC177" s="544"/>
      <c r="BD177" s="544"/>
      <c r="BE177" s="544"/>
      <c r="BF177" s="544"/>
      <c r="BG177" s="544"/>
      <c r="BH177" s="544"/>
      <c r="BI177" s="544"/>
      <c r="BJ177" s="544"/>
      <c r="BK177" s="544"/>
      <c r="BL177" s="544"/>
      <c r="BM177" s="544"/>
      <c r="BN177" s="544"/>
      <c r="BO177" s="544"/>
      <c r="BP177" s="544"/>
      <c r="BQ177" s="544"/>
      <c r="BR177" s="544"/>
      <c r="BS177" s="544"/>
      <c r="BT177" s="544"/>
      <c r="BU177" s="544"/>
      <c r="BV177" s="544"/>
      <c r="BW177" s="544"/>
      <c r="BX177" s="544"/>
      <c r="BY177" s="544"/>
      <c r="BZ177" s="544"/>
      <c r="CA177" s="544"/>
      <c r="CB177" s="544"/>
      <c r="CC177" s="544"/>
      <c r="CD177" s="544"/>
      <c r="CE177" s="544"/>
      <c r="CF177" s="544"/>
      <c r="CG177" s="544"/>
      <c r="CH177" s="544"/>
      <c r="CI177" s="544"/>
      <c r="CJ177" s="544"/>
      <c r="CK177" s="544"/>
      <c r="CL177" s="544"/>
      <c r="CM177" s="544"/>
      <c r="CN177" s="544"/>
      <c r="CO177" s="544"/>
      <c r="CP177" s="544"/>
      <c r="CQ177" s="544"/>
      <c r="CR177" s="544"/>
      <c r="CS177" s="544"/>
      <c r="CT177" s="544"/>
      <c r="CU177" s="544"/>
      <c r="CV177" s="544"/>
      <c r="CW177" s="544"/>
      <c r="CX177" s="544"/>
      <c r="CY177" s="544"/>
      <c r="CZ177" s="544"/>
      <c r="DA177" s="544"/>
      <c r="DB177" s="544"/>
      <c r="DC177" s="544"/>
      <c r="DD177" s="544"/>
      <c r="DE177" s="544"/>
      <c r="DF177" s="544"/>
      <c r="DG177" s="544"/>
      <c r="DH177" s="544"/>
      <c r="DI177" s="544"/>
      <c r="DJ177" s="544"/>
      <c r="DK177" s="544"/>
      <c r="DL177" s="544"/>
      <c r="DM177" s="544"/>
      <c r="DN177" s="544"/>
      <c r="DO177" s="544"/>
      <c r="DP177" s="544"/>
      <c r="DQ177" s="544"/>
      <c r="DR177" s="544"/>
      <c r="DS177" s="544"/>
      <c r="DT177" s="544"/>
      <c r="DU177" s="544"/>
      <c r="DV177" s="544"/>
      <c r="DW177" s="544"/>
      <c r="DX177" s="544"/>
      <c r="DY177" s="544"/>
      <c r="DZ177" s="544"/>
      <c r="EA177" s="544"/>
      <c r="EB177" s="544"/>
      <c r="EC177" s="544"/>
      <c r="ED177" s="544"/>
      <c r="EE177" s="544"/>
      <c r="EF177" s="544"/>
      <c r="EG177" s="544"/>
      <c r="EH177" s="544"/>
      <c r="EI177" s="544"/>
      <c r="EJ177" s="544"/>
      <c r="EK177" s="544"/>
      <c r="EL177" s="544"/>
      <c r="EM177" s="544"/>
      <c r="EN177" s="544"/>
      <c r="EO177" s="544"/>
      <c r="EP177" s="544"/>
      <c r="EQ177" s="544"/>
      <c r="ER177" s="544"/>
      <c r="ES177" s="544"/>
      <c r="ET177" s="544"/>
      <c r="EU177" s="544"/>
      <c r="EV177" s="544"/>
      <c r="EW177" s="544"/>
      <c r="EX177" s="544"/>
      <c r="EY177" s="544"/>
      <c r="EZ177" s="544"/>
      <c r="FA177" s="544"/>
      <c r="FB177" s="544"/>
      <c r="FC177" s="544"/>
      <c r="FD177" s="544"/>
      <c r="FE177" s="544"/>
      <c r="FF177" s="544"/>
      <c r="FG177" s="544"/>
      <c r="FH177" s="544"/>
      <c r="FI177" s="544"/>
      <c r="FJ177" s="544"/>
      <c r="FK177" s="544"/>
      <c r="FL177" s="544"/>
      <c r="FM177" s="544"/>
      <c r="FN177" s="544"/>
      <c r="FO177" s="544"/>
      <c r="FP177" s="544"/>
      <c r="FQ177" s="544"/>
      <c r="FR177" s="544"/>
      <c r="FS177" s="544"/>
      <c r="FT177" s="544"/>
      <c r="FU177" s="544"/>
      <c r="FV177" s="544"/>
      <c r="FW177" s="544"/>
      <c r="FX177" s="544"/>
      <c r="FY177" s="544"/>
      <c r="FZ177" s="544"/>
      <c r="GA177" s="544"/>
      <c r="GB177" s="544"/>
      <c r="GC177" s="544"/>
      <c r="GD177" s="544"/>
      <c r="GE177" s="544"/>
      <c r="GF177" s="544"/>
      <c r="GG177" s="544"/>
      <c r="GH177" s="544"/>
      <c r="GI177" s="544"/>
      <c r="GJ177" s="544"/>
      <c r="GK177" s="544"/>
      <c r="GL177" s="544"/>
      <c r="GM177" s="544"/>
      <c r="GN177" s="544"/>
      <c r="GO177" s="544"/>
      <c r="GP177" s="544"/>
      <c r="GQ177" s="544"/>
      <c r="GR177" s="544"/>
      <c r="GS177" s="544"/>
      <c r="GT177" s="544"/>
      <c r="GU177" s="544"/>
      <c r="GV177" s="544"/>
      <c r="GW177" s="544"/>
      <c r="GX177" s="544"/>
      <c r="GY177" s="544"/>
      <c r="GZ177" s="544"/>
      <c r="HA177" s="544"/>
      <c r="HB177" s="544"/>
      <c r="HC177" s="544"/>
      <c r="HD177" s="544"/>
      <c r="HE177" s="544"/>
      <c r="HF177" s="544"/>
      <c r="HG177" s="544"/>
      <c r="HH177" s="544"/>
      <c r="HI177" s="544"/>
      <c r="HJ177" s="544"/>
      <c r="HK177" s="544"/>
      <c r="HL177" s="544"/>
      <c r="HM177" s="544"/>
      <c r="HN177" s="544"/>
      <c r="HO177" s="544"/>
      <c r="HP177" s="544"/>
      <c r="HQ177" s="544"/>
      <c r="HR177" s="544"/>
      <c r="HS177" s="544"/>
      <c r="HT177" s="544"/>
      <c r="HU177" s="544"/>
      <c r="HV177" s="544"/>
      <c r="HW177" s="544"/>
      <c r="HX177" s="544"/>
      <c r="HY177" s="544"/>
      <c r="HZ177" s="544"/>
      <c r="IA177" s="544"/>
      <c r="IB177" s="544"/>
      <c r="IC177" s="544"/>
      <c r="ID177" s="544"/>
      <c r="IE177" s="544"/>
      <c r="IF177" s="544"/>
      <c r="IG177" s="544"/>
      <c r="IH177" s="544"/>
      <c r="II177" s="544"/>
      <c r="IJ177" s="544"/>
      <c r="IK177" s="544"/>
      <c r="IL177" s="544"/>
      <c r="IM177" s="544"/>
      <c r="IN177" s="544"/>
      <c r="IO177" s="544"/>
      <c r="IP177" s="544"/>
      <c r="IQ177" s="544"/>
      <c r="IR177" s="544"/>
      <c r="IS177" s="544"/>
      <c r="IT177" s="544"/>
      <c r="IU177" s="544"/>
      <c r="IV177" s="544"/>
    </row>
    <row r="178" spans="1:256" s="609" customFormat="1" x14ac:dyDescent="0.3">
      <c r="A178" s="555"/>
      <c r="B178" s="556" t="s">
        <v>273</v>
      </c>
      <c r="C178" s="556"/>
      <c r="D178" s="556"/>
      <c r="E178" s="556"/>
      <c r="F178" s="556"/>
      <c r="G178" s="556"/>
      <c r="H178" s="556"/>
      <c r="I178" s="556"/>
      <c r="J178" s="556"/>
      <c r="K178" s="556"/>
      <c r="L178" s="556"/>
      <c r="M178" s="556"/>
      <c r="N178" s="556"/>
      <c r="O178" s="556"/>
      <c r="P178" s="556"/>
      <c r="Q178" s="556"/>
      <c r="R178" s="556"/>
      <c r="S178" s="556"/>
      <c r="T178" s="556"/>
      <c r="U178" s="556"/>
      <c r="V178" s="599">
        <f>+V93</f>
        <v>0</v>
      </c>
      <c r="W178" s="558"/>
      <c r="X178" s="543"/>
      <c r="Y178" s="544"/>
      <c r="Z178" s="544"/>
      <c r="AA178" s="544"/>
      <c r="AB178" s="544"/>
      <c r="AC178" s="544"/>
      <c r="AD178" s="544"/>
      <c r="AE178" s="544"/>
      <c r="AF178" s="544"/>
      <c r="AG178" s="544"/>
      <c r="AH178" s="544"/>
      <c r="AI178" s="544"/>
      <c r="AJ178" s="544"/>
      <c r="AK178" s="544"/>
      <c r="AL178" s="544"/>
      <c r="AM178" s="544"/>
      <c r="AN178" s="544"/>
      <c r="AO178" s="544"/>
      <c r="AP178" s="544"/>
      <c r="AQ178" s="544"/>
      <c r="AR178" s="544"/>
      <c r="AS178" s="544"/>
      <c r="AT178" s="544"/>
      <c r="AU178" s="544"/>
      <c r="AV178" s="544"/>
      <c r="AW178" s="544"/>
      <c r="AX178" s="544"/>
      <c r="AY178" s="544"/>
      <c r="AZ178" s="544"/>
      <c r="BA178" s="544"/>
      <c r="BB178" s="544"/>
      <c r="BC178" s="544"/>
      <c r="BD178" s="544"/>
      <c r="BE178" s="544"/>
      <c r="BF178" s="544"/>
      <c r="BG178" s="544"/>
      <c r="BH178" s="544"/>
      <c r="BI178" s="544"/>
      <c r="BJ178" s="544"/>
      <c r="BK178" s="544"/>
      <c r="BL178" s="544"/>
      <c r="BM178" s="544"/>
      <c r="BN178" s="544"/>
      <c r="BO178" s="544"/>
      <c r="BP178" s="544"/>
      <c r="BQ178" s="544"/>
      <c r="BR178" s="544"/>
      <c r="BS178" s="544"/>
      <c r="BT178" s="544"/>
      <c r="BU178" s="544"/>
      <c r="BV178" s="544"/>
      <c r="BW178" s="544"/>
      <c r="BX178" s="544"/>
      <c r="BY178" s="544"/>
      <c r="BZ178" s="544"/>
      <c r="CA178" s="544"/>
      <c r="CB178" s="544"/>
      <c r="CC178" s="544"/>
      <c r="CD178" s="544"/>
      <c r="CE178" s="544"/>
      <c r="CF178" s="544"/>
      <c r="CG178" s="544"/>
      <c r="CH178" s="544"/>
      <c r="CI178" s="544"/>
      <c r="CJ178" s="544"/>
      <c r="CK178" s="544"/>
      <c r="CL178" s="544"/>
      <c r="CM178" s="544"/>
      <c r="CN178" s="544"/>
      <c r="CO178" s="544"/>
      <c r="CP178" s="544"/>
      <c r="CQ178" s="544"/>
      <c r="CR178" s="544"/>
      <c r="CS178" s="544"/>
      <c r="CT178" s="544"/>
      <c r="CU178" s="544"/>
      <c r="CV178" s="544"/>
      <c r="CW178" s="544"/>
      <c r="CX178" s="544"/>
      <c r="CY178" s="544"/>
      <c r="CZ178" s="544"/>
      <c r="DA178" s="544"/>
      <c r="DB178" s="544"/>
      <c r="DC178" s="544"/>
      <c r="DD178" s="544"/>
      <c r="DE178" s="544"/>
      <c r="DF178" s="544"/>
      <c r="DG178" s="544"/>
      <c r="DH178" s="544"/>
      <c r="DI178" s="544"/>
      <c r="DJ178" s="544"/>
      <c r="DK178" s="544"/>
      <c r="DL178" s="544"/>
      <c r="DM178" s="544"/>
      <c r="DN178" s="544"/>
      <c r="DO178" s="544"/>
      <c r="DP178" s="544"/>
      <c r="DQ178" s="544"/>
      <c r="DR178" s="544"/>
      <c r="DS178" s="544"/>
      <c r="DT178" s="544"/>
      <c r="DU178" s="544"/>
      <c r="DV178" s="544"/>
      <c r="DW178" s="544"/>
      <c r="DX178" s="544"/>
      <c r="DY178" s="544"/>
      <c r="DZ178" s="544"/>
      <c r="EA178" s="544"/>
      <c r="EB178" s="544"/>
      <c r="EC178" s="544"/>
      <c r="ED178" s="544"/>
      <c r="EE178" s="544"/>
      <c r="EF178" s="544"/>
      <c r="EG178" s="544"/>
      <c r="EH178" s="544"/>
      <c r="EI178" s="544"/>
      <c r="EJ178" s="544"/>
      <c r="EK178" s="544"/>
      <c r="EL178" s="544"/>
      <c r="EM178" s="544"/>
      <c r="EN178" s="544"/>
      <c r="EO178" s="544"/>
      <c r="EP178" s="544"/>
      <c r="EQ178" s="544"/>
      <c r="ER178" s="544"/>
      <c r="ES178" s="544"/>
      <c r="ET178" s="544"/>
      <c r="EU178" s="544"/>
      <c r="EV178" s="544"/>
      <c r="EW178" s="544"/>
      <c r="EX178" s="544"/>
      <c r="EY178" s="544"/>
      <c r="EZ178" s="544"/>
      <c r="FA178" s="544"/>
      <c r="FB178" s="544"/>
      <c r="FC178" s="544"/>
      <c r="FD178" s="544"/>
      <c r="FE178" s="544"/>
      <c r="FF178" s="544"/>
      <c r="FG178" s="544"/>
      <c r="FH178" s="544"/>
      <c r="FI178" s="544"/>
      <c r="FJ178" s="544"/>
      <c r="FK178" s="544"/>
      <c r="FL178" s="544"/>
      <c r="FM178" s="544"/>
      <c r="FN178" s="544"/>
      <c r="FO178" s="544"/>
      <c r="FP178" s="544"/>
      <c r="FQ178" s="544"/>
      <c r="FR178" s="544"/>
      <c r="FS178" s="544"/>
      <c r="FT178" s="544"/>
      <c r="FU178" s="544"/>
      <c r="FV178" s="544"/>
      <c r="FW178" s="544"/>
      <c r="FX178" s="544"/>
      <c r="FY178" s="544"/>
      <c r="FZ178" s="544"/>
      <c r="GA178" s="544"/>
      <c r="GB178" s="544"/>
      <c r="GC178" s="544"/>
      <c r="GD178" s="544"/>
      <c r="GE178" s="544"/>
      <c r="GF178" s="544"/>
      <c r="GG178" s="544"/>
      <c r="GH178" s="544"/>
      <c r="GI178" s="544"/>
      <c r="GJ178" s="544"/>
      <c r="GK178" s="544"/>
      <c r="GL178" s="544"/>
      <c r="GM178" s="544"/>
      <c r="GN178" s="544"/>
      <c r="GO178" s="544"/>
      <c r="GP178" s="544"/>
      <c r="GQ178" s="544"/>
      <c r="GR178" s="544"/>
      <c r="GS178" s="544"/>
      <c r="GT178" s="544"/>
      <c r="GU178" s="544"/>
      <c r="GV178" s="544"/>
      <c r="GW178" s="544"/>
      <c r="GX178" s="544"/>
      <c r="GY178" s="544"/>
      <c r="GZ178" s="544"/>
      <c r="HA178" s="544"/>
      <c r="HB178" s="544"/>
      <c r="HC178" s="544"/>
      <c r="HD178" s="544"/>
      <c r="HE178" s="544"/>
      <c r="HF178" s="544"/>
      <c r="HG178" s="544"/>
      <c r="HH178" s="544"/>
      <c r="HI178" s="544"/>
      <c r="HJ178" s="544"/>
      <c r="HK178" s="544"/>
      <c r="HL178" s="544"/>
      <c r="HM178" s="544"/>
      <c r="HN178" s="544"/>
      <c r="HO178" s="544"/>
      <c r="HP178" s="544"/>
      <c r="HQ178" s="544"/>
      <c r="HR178" s="544"/>
      <c r="HS178" s="544"/>
      <c r="HT178" s="544"/>
      <c r="HU178" s="544"/>
      <c r="HV178" s="544"/>
      <c r="HW178" s="544"/>
      <c r="HX178" s="544"/>
      <c r="HY178" s="544"/>
      <c r="HZ178" s="544"/>
      <c r="IA178" s="544"/>
      <c r="IB178" s="544"/>
      <c r="IC178" s="544"/>
      <c r="ID178" s="544"/>
      <c r="IE178" s="544"/>
      <c r="IF178" s="544"/>
      <c r="IG178" s="544"/>
      <c r="IH178" s="544"/>
      <c r="II178" s="544"/>
      <c r="IJ178" s="544"/>
      <c r="IK178" s="544"/>
      <c r="IL178" s="544"/>
      <c r="IM178" s="544"/>
      <c r="IN178" s="544"/>
      <c r="IO178" s="544"/>
      <c r="IP178" s="544"/>
      <c r="IQ178" s="544"/>
      <c r="IR178" s="544"/>
      <c r="IS178" s="544"/>
      <c r="IT178" s="544"/>
      <c r="IU178" s="544"/>
      <c r="IV178" s="544"/>
    </row>
    <row r="179" spans="1:256" s="609" customFormat="1" x14ac:dyDescent="0.3">
      <c r="A179" s="555"/>
      <c r="B179" s="556" t="s">
        <v>271</v>
      </c>
      <c r="C179" s="556"/>
      <c r="D179" s="556"/>
      <c r="E179" s="556"/>
      <c r="F179" s="556"/>
      <c r="G179" s="556"/>
      <c r="H179" s="556"/>
      <c r="I179" s="556"/>
      <c r="J179" s="556"/>
      <c r="K179" s="556"/>
      <c r="L179" s="556"/>
      <c r="M179" s="556"/>
      <c r="N179" s="556"/>
      <c r="O179" s="556"/>
      <c r="P179" s="556"/>
      <c r="Q179" s="556"/>
      <c r="R179" s="556"/>
      <c r="S179" s="556"/>
      <c r="T179" s="556"/>
      <c r="U179" s="556"/>
      <c r="V179" s="599">
        <f>+V177-V178</f>
        <v>0</v>
      </c>
      <c r="W179" s="558"/>
      <c r="X179" s="543"/>
      <c r="Y179" s="544"/>
      <c r="Z179" s="544"/>
      <c r="AA179" s="544"/>
      <c r="AB179" s="544"/>
      <c r="AC179" s="544"/>
      <c r="AD179" s="544"/>
      <c r="AE179" s="544"/>
      <c r="AF179" s="544"/>
      <c r="AG179" s="544"/>
      <c r="AH179" s="544"/>
      <c r="AI179" s="544"/>
      <c r="AJ179" s="544"/>
      <c r="AK179" s="544"/>
      <c r="AL179" s="544"/>
      <c r="AM179" s="544"/>
      <c r="AN179" s="544"/>
      <c r="AO179" s="544"/>
      <c r="AP179" s="544"/>
      <c r="AQ179" s="544"/>
      <c r="AR179" s="544"/>
      <c r="AS179" s="544"/>
      <c r="AT179" s="544"/>
      <c r="AU179" s="544"/>
      <c r="AV179" s="544"/>
      <c r="AW179" s="544"/>
      <c r="AX179" s="544"/>
      <c r="AY179" s="544"/>
      <c r="AZ179" s="544"/>
      <c r="BA179" s="544"/>
      <c r="BB179" s="544"/>
      <c r="BC179" s="544"/>
      <c r="BD179" s="544"/>
      <c r="BE179" s="544"/>
      <c r="BF179" s="544"/>
      <c r="BG179" s="544"/>
      <c r="BH179" s="544"/>
      <c r="BI179" s="544"/>
      <c r="BJ179" s="544"/>
      <c r="BK179" s="544"/>
      <c r="BL179" s="544"/>
      <c r="BM179" s="544"/>
      <c r="BN179" s="544"/>
      <c r="BO179" s="544"/>
      <c r="BP179" s="544"/>
      <c r="BQ179" s="544"/>
      <c r="BR179" s="544"/>
      <c r="BS179" s="544"/>
      <c r="BT179" s="544"/>
      <c r="BU179" s="544"/>
      <c r="BV179" s="544"/>
      <c r="BW179" s="544"/>
      <c r="BX179" s="544"/>
      <c r="BY179" s="544"/>
      <c r="BZ179" s="544"/>
      <c r="CA179" s="544"/>
      <c r="CB179" s="544"/>
      <c r="CC179" s="544"/>
      <c r="CD179" s="544"/>
      <c r="CE179" s="544"/>
      <c r="CF179" s="544"/>
      <c r="CG179" s="544"/>
      <c r="CH179" s="544"/>
      <c r="CI179" s="544"/>
      <c r="CJ179" s="544"/>
      <c r="CK179" s="544"/>
      <c r="CL179" s="544"/>
      <c r="CM179" s="544"/>
      <c r="CN179" s="544"/>
      <c r="CO179" s="544"/>
      <c r="CP179" s="544"/>
      <c r="CQ179" s="544"/>
      <c r="CR179" s="544"/>
      <c r="CS179" s="544"/>
      <c r="CT179" s="544"/>
      <c r="CU179" s="544"/>
      <c r="CV179" s="544"/>
      <c r="CW179" s="544"/>
      <c r="CX179" s="544"/>
      <c r="CY179" s="544"/>
      <c r="CZ179" s="544"/>
      <c r="DA179" s="544"/>
      <c r="DB179" s="544"/>
      <c r="DC179" s="544"/>
      <c r="DD179" s="544"/>
      <c r="DE179" s="544"/>
      <c r="DF179" s="544"/>
      <c r="DG179" s="544"/>
      <c r="DH179" s="544"/>
      <c r="DI179" s="544"/>
      <c r="DJ179" s="544"/>
      <c r="DK179" s="544"/>
      <c r="DL179" s="544"/>
      <c r="DM179" s="544"/>
      <c r="DN179" s="544"/>
      <c r="DO179" s="544"/>
      <c r="DP179" s="544"/>
      <c r="DQ179" s="544"/>
      <c r="DR179" s="544"/>
      <c r="DS179" s="544"/>
      <c r="DT179" s="544"/>
      <c r="DU179" s="544"/>
      <c r="DV179" s="544"/>
      <c r="DW179" s="544"/>
      <c r="DX179" s="544"/>
      <c r="DY179" s="544"/>
      <c r="DZ179" s="544"/>
      <c r="EA179" s="544"/>
      <c r="EB179" s="544"/>
      <c r="EC179" s="544"/>
      <c r="ED179" s="544"/>
      <c r="EE179" s="544"/>
      <c r="EF179" s="544"/>
      <c r="EG179" s="544"/>
      <c r="EH179" s="544"/>
      <c r="EI179" s="544"/>
      <c r="EJ179" s="544"/>
      <c r="EK179" s="544"/>
      <c r="EL179" s="544"/>
      <c r="EM179" s="544"/>
      <c r="EN179" s="544"/>
      <c r="EO179" s="544"/>
      <c r="EP179" s="544"/>
      <c r="EQ179" s="544"/>
      <c r="ER179" s="544"/>
      <c r="ES179" s="544"/>
      <c r="ET179" s="544"/>
      <c r="EU179" s="544"/>
      <c r="EV179" s="544"/>
      <c r="EW179" s="544"/>
      <c r="EX179" s="544"/>
      <c r="EY179" s="544"/>
      <c r="EZ179" s="544"/>
      <c r="FA179" s="544"/>
      <c r="FB179" s="544"/>
      <c r="FC179" s="544"/>
      <c r="FD179" s="544"/>
      <c r="FE179" s="544"/>
      <c r="FF179" s="544"/>
      <c r="FG179" s="544"/>
      <c r="FH179" s="544"/>
      <c r="FI179" s="544"/>
      <c r="FJ179" s="544"/>
      <c r="FK179" s="544"/>
      <c r="FL179" s="544"/>
      <c r="FM179" s="544"/>
      <c r="FN179" s="544"/>
      <c r="FO179" s="544"/>
      <c r="FP179" s="544"/>
      <c r="FQ179" s="544"/>
      <c r="FR179" s="544"/>
      <c r="FS179" s="544"/>
      <c r="FT179" s="544"/>
      <c r="FU179" s="544"/>
      <c r="FV179" s="544"/>
      <c r="FW179" s="544"/>
      <c r="FX179" s="544"/>
      <c r="FY179" s="544"/>
      <c r="FZ179" s="544"/>
      <c r="GA179" s="544"/>
      <c r="GB179" s="544"/>
      <c r="GC179" s="544"/>
      <c r="GD179" s="544"/>
      <c r="GE179" s="544"/>
      <c r="GF179" s="544"/>
      <c r="GG179" s="544"/>
      <c r="GH179" s="544"/>
      <c r="GI179" s="544"/>
      <c r="GJ179" s="544"/>
      <c r="GK179" s="544"/>
      <c r="GL179" s="544"/>
      <c r="GM179" s="544"/>
      <c r="GN179" s="544"/>
      <c r="GO179" s="544"/>
      <c r="GP179" s="544"/>
      <c r="GQ179" s="544"/>
      <c r="GR179" s="544"/>
      <c r="GS179" s="544"/>
      <c r="GT179" s="544"/>
      <c r="GU179" s="544"/>
      <c r="GV179" s="544"/>
      <c r="GW179" s="544"/>
      <c r="GX179" s="544"/>
      <c r="GY179" s="544"/>
      <c r="GZ179" s="544"/>
      <c r="HA179" s="544"/>
      <c r="HB179" s="544"/>
      <c r="HC179" s="544"/>
      <c r="HD179" s="544"/>
      <c r="HE179" s="544"/>
      <c r="HF179" s="544"/>
      <c r="HG179" s="544"/>
      <c r="HH179" s="544"/>
      <c r="HI179" s="544"/>
      <c r="HJ179" s="544"/>
      <c r="HK179" s="544"/>
      <c r="HL179" s="544"/>
      <c r="HM179" s="544"/>
      <c r="HN179" s="544"/>
      <c r="HO179" s="544"/>
      <c r="HP179" s="544"/>
      <c r="HQ179" s="544"/>
      <c r="HR179" s="544"/>
      <c r="HS179" s="544"/>
      <c r="HT179" s="544"/>
      <c r="HU179" s="544"/>
      <c r="HV179" s="544"/>
      <c r="HW179" s="544"/>
      <c r="HX179" s="544"/>
      <c r="HY179" s="544"/>
      <c r="HZ179" s="544"/>
      <c r="IA179" s="544"/>
      <c r="IB179" s="544"/>
      <c r="IC179" s="544"/>
      <c r="ID179" s="544"/>
      <c r="IE179" s="544"/>
      <c r="IF179" s="544"/>
      <c r="IG179" s="544"/>
      <c r="IH179" s="544"/>
      <c r="II179" s="544"/>
      <c r="IJ179" s="544"/>
      <c r="IK179" s="544"/>
      <c r="IL179" s="544"/>
      <c r="IM179" s="544"/>
      <c r="IN179" s="544"/>
      <c r="IO179" s="544"/>
      <c r="IP179" s="544"/>
      <c r="IQ179" s="544"/>
      <c r="IR179" s="544"/>
      <c r="IS179" s="544"/>
      <c r="IT179" s="544"/>
      <c r="IU179" s="544"/>
      <c r="IV179" s="544"/>
    </row>
    <row r="180" spans="1:256" s="459" customFormat="1" ht="16.2" thickBot="1" x14ac:dyDescent="0.35">
      <c r="A180" s="438"/>
      <c r="B180" s="441"/>
      <c r="C180" s="441"/>
      <c r="D180" s="441"/>
      <c r="E180" s="441"/>
      <c r="F180" s="441"/>
      <c r="G180" s="441"/>
      <c r="H180" s="441"/>
      <c r="I180" s="441"/>
      <c r="J180" s="441"/>
      <c r="K180" s="441"/>
      <c r="L180" s="441"/>
      <c r="M180" s="441"/>
      <c r="N180" s="441"/>
      <c r="O180" s="441"/>
      <c r="P180" s="441"/>
      <c r="Q180" s="441"/>
      <c r="R180" s="441"/>
      <c r="S180" s="441"/>
      <c r="T180" s="441"/>
      <c r="U180" s="441"/>
      <c r="V180" s="452"/>
      <c r="W180" s="441"/>
      <c r="X180" s="415"/>
      <c r="Y180" s="416"/>
      <c r="Z180" s="416"/>
      <c r="AA180" s="416"/>
      <c r="AB180" s="416"/>
      <c r="AC180" s="416"/>
      <c r="AD180" s="416"/>
      <c r="AE180" s="416"/>
      <c r="AF180" s="416"/>
      <c r="AG180" s="416"/>
      <c r="AH180" s="416"/>
      <c r="AI180" s="416"/>
      <c r="AJ180" s="416"/>
      <c r="AK180" s="416"/>
      <c r="AL180" s="416"/>
      <c r="AM180" s="416"/>
      <c r="AN180" s="416"/>
      <c r="AO180" s="416"/>
      <c r="AP180" s="416"/>
      <c r="AQ180" s="416"/>
      <c r="AR180" s="416"/>
      <c r="AS180" s="416"/>
      <c r="AT180" s="416"/>
      <c r="AU180" s="416"/>
      <c r="AV180" s="416"/>
      <c r="AW180" s="416"/>
      <c r="AX180" s="416"/>
      <c r="AY180" s="416"/>
      <c r="AZ180" s="416"/>
      <c r="BA180" s="416"/>
      <c r="BB180" s="416"/>
      <c r="BC180" s="416"/>
      <c r="BD180" s="416"/>
      <c r="BE180" s="416"/>
      <c r="BF180" s="416"/>
      <c r="BG180" s="416"/>
      <c r="BH180" s="416"/>
      <c r="BI180" s="416"/>
      <c r="BJ180" s="416"/>
      <c r="BK180" s="416"/>
      <c r="BL180" s="416"/>
      <c r="BM180" s="416"/>
      <c r="BN180" s="416"/>
      <c r="BO180" s="416"/>
      <c r="BP180" s="416"/>
      <c r="BQ180" s="416"/>
      <c r="BR180" s="416"/>
      <c r="BS180" s="416"/>
      <c r="BT180" s="416"/>
      <c r="BU180" s="416"/>
      <c r="BV180" s="416"/>
      <c r="BW180" s="416"/>
      <c r="BX180" s="416"/>
      <c r="BY180" s="416"/>
      <c r="BZ180" s="416"/>
      <c r="CA180" s="416"/>
      <c r="CB180" s="416"/>
      <c r="CC180" s="416"/>
      <c r="CD180" s="416"/>
      <c r="CE180" s="416"/>
      <c r="CF180" s="416"/>
      <c r="CG180" s="416"/>
      <c r="CH180" s="416"/>
      <c r="CI180" s="416"/>
      <c r="CJ180" s="416"/>
      <c r="CK180" s="416"/>
      <c r="CL180" s="416"/>
      <c r="CM180" s="416"/>
      <c r="CN180" s="416"/>
      <c r="CO180" s="416"/>
      <c r="CP180" s="416"/>
      <c r="CQ180" s="416"/>
      <c r="CR180" s="416"/>
      <c r="CS180" s="416"/>
      <c r="CT180" s="416"/>
      <c r="CU180" s="416"/>
      <c r="CV180" s="416"/>
      <c r="CW180" s="416"/>
      <c r="CX180" s="416"/>
      <c r="CY180" s="416"/>
      <c r="CZ180" s="416"/>
      <c r="DA180" s="416"/>
      <c r="DB180" s="416"/>
      <c r="DC180" s="416"/>
      <c r="DD180" s="416"/>
      <c r="DE180" s="416"/>
      <c r="DF180" s="416"/>
      <c r="DG180" s="416"/>
      <c r="DH180" s="416"/>
      <c r="DI180" s="416"/>
      <c r="DJ180" s="416"/>
      <c r="DK180" s="416"/>
      <c r="DL180" s="416"/>
      <c r="DM180" s="416"/>
      <c r="DN180" s="416"/>
      <c r="DO180" s="416"/>
      <c r="DP180" s="416"/>
      <c r="DQ180" s="416"/>
      <c r="DR180" s="416"/>
      <c r="DS180" s="416"/>
      <c r="DT180" s="416"/>
      <c r="DU180" s="416"/>
      <c r="DV180" s="416"/>
      <c r="DW180" s="416"/>
      <c r="DX180" s="416"/>
      <c r="DY180" s="416"/>
      <c r="DZ180" s="416"/>
      <c r="EA180" s="416"/>
      <c r="EB180" s="416"/>
      <c r="EC180" s="416"/>
      <c r="ED180" s="416"/>
      <c r="EE180" s="416"/>
      <c r="EF180" s="416"/>
      <c r="EG180" s="416"/>
      <c r="EH180" s="416"/>
      <c r="EI180" s="416"/>
      <c r="EJ180" s="416"/>
      <c r="EK180" s="416"/>
      <c r="EL180" s="416"/>
      <c r="EM180" s="416"/>
      <c r="EN180" s="416"/>
      <c r="EO180" s="416"/>
      <c r="EP180" s="416"/>
      <c r="EQ180" s="416"/>
      <c r="ER180" s="416"/>
      <c r="ES180" s="416"/>
      <c r="ET180" s="416"/>
      <c r="EU180" s="416"/>
      <c r="EV180" s="416"/>
      <c r="EW180" s="416"/>
      <c r="EX180" s="416"/>
      <c r="EY180" s="416"/>
      <c r="EZ180" s="416"/>
      <c r="FA180" s="416"/>
      <c r="FB180" s="416"/>
      <c r="FC180" s="416"/>
      <c r="FD180" s="416"/>
      <c r="FE180" s="416"/>
      <c r="FF180" s="416"/>
      <c r="FG180" s="416"/>
      <c r="FH180" s="416"/>
      <c r="FI180" s="416"/>
      <c r="FJ180" s="416"/>
      <c r="FK180" s="416"/>
      <c r="FL180" s="416"/>
      <c r="FM180" s="416"/>
      <c r="FN180" s="416"/>
      <c r="FO180" s="416"/>
      <c r="FP180" s="416"/>
      <c r="FQ180" s="416"/>
      <c r="FR180" s="416"/>
      <c r="FS180" s="416"/>
      <c r="FT180" s="416"/>
      <c r="FU180" s="416"/>
      <c r="FV180" s="416"/>
      <c r="FW180" s="416"/>
      <c r="FX180" s="416"/>
      <c r="FY180" s="416"/>
      <c r="FZ180" s="416"/>
      <c r="GA180" s="416"/>
      <c r="GB180" s="416"/>
      <c r="GC180" s="416"/>
      <c r="GD180" s="416"/>
      <c r="GE180" s="416"/>
      <c r="GF180" s="416"/>
      <c r="GG180" s="416"/>
      <c r="GH180" s="416"/>
      <c r="GI180" s="416"/>
      <c r="GJ180" s="416"/>
      <c r="GK180" s="416"/>
      <c r="GL180" s="416"/>
      <c r="GM180" s="416"/>
      <c r="GN180" s="416"/>
      <c r="GO180" s="416"/>
      <c r="GP180" s="416"/>
      <c r="GQ180" s="416"/>
      <c r="GR180" s="416"/>
      <c r="GS180" s="416"/>
      <c r="GT180" s="416"/>
      <c r="GU180" s="416"/>
      <c r="GV180" s="416"/>
      <c r="GW180" s="416"/>
      <c r="GX180" s="416"/>
      <c r="GY180" s="416"/>
      <c r="GZ180" s="416"/>
      <c r="HA180" s="416"/>
      <c r="HB180" s="416"/>
      <c r="HC180" s="416"/>
      <c r="HD180" s="416"/>
      <c r="HE180" s="416"/>
      <c r="HF180" s="416"/>
      <c r="HG180" s="416"/>
      <c r="HH180" s="416"/>
      <c r="HI180" s="416"/>
      <c r="HJ180" s="416"/>
      <c r="HK180" s="416"/>
      <c r="HL180" s="416"/>
      <c r="HM180" s="416"/>
      <c r="HN180" s="416"/>
      <c r="HO180" s="416"/>
      <c r="HP180" s="416"/>
      <c r="HQ180" s="416"/>
      <c r="HR180" s="416"/>
      <c r="HS180" s="416"/>
      <c r="HT180" s="416"/>
      <c r="HU180" s="416"/>
      <c r="HV180" s="416"/>
      <c r="HW180" s="416"/>
      <c r="HX180" s="416"/>
      <c r="HY180" s="416"/>
      <c r="HZ180" s="416"/>
      <c r="IA180" s="416"/>
      <c r="IB180" s="416"/>
      <c r="IC180" s="416"/>
      <c r="ID180" s="416"/>
      <c r="IE180" s="416"/>
      <c r="IF180" s="416"/>
      <c r="IG180" s="416"/>
      <c r="IH180" s="416"/>
      <c r="II180" s="416"/>
      <c r="IJ180" s="416"/>
      <c r="IK180" s="416"/>
      <c r="IL180" s="416"/>
      <c r="IM180" s="416"/>
      <c r="IN180" s="416"/>
      <c r="IO180" s="416"/>
      <c r="IP180" s="416"/>
      <c r="IQ180" s="416"/>
      <c r="IR180" s="416"/>
      <c r="IS180" s="416"/>
      <c r="IT180" s="416"/>
      <c r="IU180" s="416"/>
      <c r="IV180" s="416"/>
    </row>
    <row r="181" spans="1:256" s="461" customFormat="1" x14ac:dyDescent="0.3">
      <c r="A181" s="413"/>
      <c r="B181" s="414"/>
      <c r="C181" s="414"/>
      <c r="D181" s="414"/>
      <c r="E181" s="414"/>
      <c r="F181" s="414"/>
      <c r="G181" s="414"/>
      <c r="H181" s="414"/>
      <c r="I181" s="414"/>
      <c r="J181" s="414"/>
      <c r="K181" s="414"/>
      <c r="L181" s="414"/>
      <c r="M181" s="414"/>
      <c r="N181" s="414"/>
      <c r="O181" s="414"/>
      <c r="P181" s="414"/>
      <c r="Q181" s="414"/>
      <c r="R181" s="414"/>
      <c r="S181" s="414"/>
      <c r="T181" s="414"/>
      <c r="U181" s="414"/>
      <c r="V181" s="460"/>
      <c r="W181" s="414"/>
      <c r="X181" s="415"/>
      <c r="Y181" s="416"/>
      <c r="Z181" s="416"/>
      <c r="AA181" s="416"/>
      <c r="AB181" s="416"/>
      <c r="AC181" s="416"/>
      <c r="AD181" s="416"/>
      <c r="AE181" s="416"/>
      <c r="AF181" s="416"/>
      <c r="AG181" s="416"/>
      <c r="AH181" s="416"/>
      <c r="AI181" s="416"/>
      <c r="AJ181" s="416"/>
      <c r="AK181" s="416"/>
      <c r="AL181" s="416"/>
      <c r="AM181" s="416"/>
      <c r="AN181" s="416"/>
      <c r="AO181" s="416"/>
      <c r="AP181" s="416"/>
      <c r="AQ181" s="416"/>
      <c r="AR181" s="416"/>
      <c r="AS181" s="416"/>
      <c r="AT181" s="416"/>
      <c r="AU181" s="416"/>
      <c r="AV181" s="416"/>
      <c r="AW181" s="416"/>
      <c r="AX181" s="416"/>
      <c r="AY181" s="416"/>
      <c r="AZ181" s="416"/>
      <c r="BA181" s="416"/>
      <c r="BB181" s="416"/>
      <c r="BC181" s="416"/>
      <c r="BD181" s="416"/>
      <c r="BE181" s="416"/>
      <c r="BF181" s="416"/>
      <c r="BG181" s="416"/>
      <c r="BH181" s="416"/>
      <c r="BI181" s="416"/>
      <c r="BJ181" s="416"/>
      <c r="BK181" s="416"/>
      <c r="BL181" s="416"/>
      <c r="BM181" s="416"/>
      <c r="BN181" s="416"/>
      <c r="BO181" s="416"/>
      <c r="BP181" s="416"/>
      <c r="BQ181" s="416"/>
      <c r="BR181" s="416"/>
      <c r="BS181" s="416"/>
      <c r="BT181" s="416"/>
      <c r="BU181" s="416"/>
      <c r="BV181" s="416"/>
      <c r="BW181" s="416"/>
      <c r="BX181" s="416"/>
      <c r="BY181" s="416"/>
      <c r="BZ181" s="416"/>
      <c r="CA181" s="416"/>
      <c r="CB181" s="416"/>
      <c r="CC181" s="416"/>
      <c r="CD181" s="416"/>
      <c r="CE181" s="416"/>
      <c r="CF181" s="416"/>
      <c r="CG181" s="416"/>
      <c r="CH181" s="416"/>
      <c r="CI181" s="416"/>
      <c r="CJ181" s="416"/>
      <c r="CK181" s="416"/>
      <c r="CL181" s="416"/>
      <c r="CM181" s="416"/>
      <c r="CN181" s="416"/>
      <c r="CO181" s="416"/>
      <c r="CP181" s="416"/>
      <c r="CQ181" s="416"/>
      <c r="CR181" s="416"/>
      <c r="CS181" s="416"/>
      <c r="CT181" s="416"/>
      <c r="CU181" s="416"/>
      <c r="CV181" s="416"/>
      <c r="CW181" s="416"/>
      <c r="CX181" s="416"/>
      <c r="CY181" s="416"/>
      <c r="CZ181" s="416"/>
      <c r="DA181" s="416"/>
      <c r="DB181" s="416"/>
      <c r="DC181" s="416"/>
      <c r="DD181" s="416"/>
      <c r="DE181" s="416"/>
      <c r="DF181" s="416"/>
      <c r="DG181" s="416"/>
      <c r="DH181" s="416"/>
      <c r="DI181" s="416"/>
      <c r="DJ181" s="416"/>
      <c r="DK181" s="416"/>
      <c r="DL181" s="416"/>
      <c r="DM181" s="416"/>
      <c r="DN181" s="416"/>
      <c r="DO181" s="416"/>
      <c r="DP181" s="416"/>
      <c r="DQ181" s="416"/>
      <c r="DR181" s="416"/>
      <c r="DS181" s="416"/>
      <c r="DT181" s="416"/>
      <c r="DU181" s="416"/>
      <c r="DV181" s="416"/>
      <c r="DW181" s="416"/>
      <c r="DX181" s="416"/>
      <c r="DY181" s="416"/>
      <c r="DZ181" s="416"/>
      <c r="EA181" s="416"/>
      <c r="EB181" s="416"/>
      <c r="EC181" s="416"/>
      <c r="ED181" s="416"/>
      <c r="EE181" s="416"/>
      <c r="EF181" s="416"/>
      <c r="EG181" s="416"/>
      <c r="EH181" s="416"/>
      <c r="EI181" s="416"/>
      <c r="EJ181" s="416"/>
      <c r="EK181" s="416"/>
      <c r="EL181" s="416"/>
      <c r="EM181" s="416"/>
      <c r="EN181" s="416"/>
      <c r="EO181" s="416"/>
      <c r="EP181" s="416"/>
      <c r="EQ181" s="416"/>
      <c r="ER181" s="416"/>
      <c r="ES181" s="416"/>
      <c r="ET181" s="416"/>
      <c r="EU181" s="416"/>
      <c r="EV181" s="416"/>
      <c r="EW181" s="416"/>
      <c r="EX181" s="416"/>
      <c r="EY181" s="416"/>
      <c r="EZ181" s="416"/>
      <c r="FA181" s="416"/>
      <c r="FB181" s="416"/>
      <c r="FC181" s="416"/>
      <c r="FD181" s="416"/>
      <c r="FE181" s="416"/>
      <c r="FF181" s="416"/>
      <c r="FG181" s="416"/>
      <c r="FH181" s="416"/>
      <c r="FI181" s="416"/>
      <c r="FJ181" s="416"/>
      <c r="FK181" s="416"/>
      <c r="FL181" s="416"/>
      <c r="FM181" s="416"/>
      <c r="FN181" s="416"/>
      <c r="FO181" s="416"/>
      <c r="FP181" s="416"/>
      <c r="FQ181" s="416"/>
      <c r="FR181" s="416"/>
      <c r="FS181" s="416"/>
      <c r="FT181" s="416"/>
      <c r="FU181" s="416"/>
      <c r="FV181" s="416"/>
      <c r="FW181" s="416"/>
      <c r="FX181" s="416"/>
      <c r="FY181" s="416"/>
      <c r="FZ181" s="416"/>
      <c r="GA181" s="416"/>
      <c r="GB181" s="416"/>
      <c r="GC181" s="416"/>
      <c r="GD181" s="416"/>
      <c r="GE181" s="416"/>
      <c r="GF181" s="416"/>
      <c r="GG181" s="416"/>
      <c r="GH181" s="416"/>
      <c r="GI181" s="416"/>
      <c r="GJ181" s="416"/>
      <c r="GK181" s="416"/>
      <c r="GL181" s="416"/>
      <c r="GM181" s="416"/>
      <c r="GN181" s="416"/>
      <c r="GO181" s="416"/>
      <c r="GP181" s="416"/>
      <c r="GQ181" s="416"/>
      <c r="GR181" s="416"/>
      <c r="GS181" s="416"/>
      <c r="GT181" s="416"/>
      <c r="GU181" s="416"/>
      <c r="GV181" s="416"/>
      <c r="GW181" s="416"/>
      <c r="GX181" s="416"/>
      <c r="GY181" s="416"/>
      <c r="GZ181" s="416"/>
      <c r="HA181" s="416"/>
      <c r="HB181" s="416"/>
      <c r="HC181" s="416"/>
      <c r="HD181" s="416"/>
      <c r="HE181" s="416"/>
      <c r="HF181" s="416"/>
      <c r="HG181" s="416"/>
      <c r="HH181" s="416"/>
      <c r="HI181" s="416"/>
      <c r="HJ181" s="416"/>
      <c r="HK181" s="416"/>
      <c r="HL181" s="416"/>
      <c r="HM181" s="416"/>
      <c r="HN181" s="416"/>
      <c r="HO181" s="416"/>
      <c r="HP181" s="416"/>
      <c r="HQ181" s="416"/>
      <c r="HR181" s="416"/>
      <c r="HS181" s="416"/>
      <c r="HT181" s="416"/>
      <c r="HU181" s="416"/>
      <c r="HV181" s="416"/>
      <c r="HW181" s="416"/>
      <c r="HX181" s="416"/>
      <c r="HY181" s="416"/>
      <c r="HZ181" s="416"/>
      <c r="IA181" s="416"/>
      <c r="IB181" s="416"/>
      <c r="IC181" s="416"/>
      <c r="ID181" s="416"/>
      <c r="IE181" s="416"/>
      <c r="IF181" s="416"/>
      <c r="IG181" s="416"/>
      <c r="IH181" s="416"/>
      <c r="II181" s="416"/>
      <c r="IJ181" s="416"/>
      <c r="IK181" s="416"/>
      <c r="IL181" s="416"/>
      <c r="IM181" s="416"/>
      <c r="IN181" s="416"/>
      <c r="IO181" s="416"/>
      <c r="IP181" s="416"/>
      <c r="IQ181" s="416"/>
      <c r="IR181" s="416"/>
      <c r="IS181" s="416"/>
      <c r="IT181" s="416"/>
      <c r="IU181" s="416"/>
      <c r="IV181" s="416"/>
    </row>
    <row r="182" spans="1:256" x14ac:dyDescent="0.3">
      <c r="A182" s="417"/>
      <c r="B182" s="508" t="s">
        <v>56</v>
      </c>
      <c r="C182" s="419"/>
      <c r="D182" s="419"/>
      <c r="E182" s="419"/>
      <c r="F182" s="419"/>
      <c r="G182" s="419"/>
      <c r="H182" s="419"/>
      <c r="I182" s="419"/>
      <c r="J182" s="419"/>
      <c r="K182" s="419"/>
      <c r="L182" s="419"/>
      <c r="M182" s="419"/>
      <c r="N182" s="419"/>
      <c r="O182" s="419"/>
      <c r="P182" s="419"/>
      <c r="Q182" s="419"/>
      <c r="R182" s="419"/>
      <c r="S182" s="419"/>
      <c r="T182" s="419"/>
      <c r="U182" s="419"/>
      <c r="V182" s="439"/>
      <c r="W182" s="419"/>
      <c r="X182" s="415"/>
    </row>
    <row r="183" spans="1:256" x14ac:dyDescent="0.3">
      <c r="A183" s="417"/>
      <c r="B183" s="451"/>
      <c r="C183" s="419"/>
      <c r="D183" s="419"/>
      <c r="E183" s="419"/>
      <c r="F183" s="419"/>
      <c r="G183" s="419"/>
      <c r="H183" s="419"/>
      <c r="I183" s="419"/>
      <c r="J183" s="419"/>
      <c r="K183" s="419"/>
      <c r="L183" s="419"/>
      <c r="M183" s="419"/>
      <c r="N183" s="419"/>
      <c r="O183" s="419"/>
      <c r="P183" s="419"/>
      <c r="Q183" s="419"/>
      <c r="R183" s="419"/>
      <c r="S183" s="419"/>
      <c r="T183" s="419"/>
      <c r="U183" s="419"/>
      <c r="V183" s="439"/>
      <c r="W183" s="419"/>
      <c r="X183" s="415"/>
    </row>
    <row r="184" spans="1:256" s="544" customFormat="1" x14ac:dyDescent="0.3">
      <c r="A184" s="555"/>
      <c r="B184" s="556" t="s">
        <v>57</v>
      </c>
      <c r="C184" s="556"/>
      <c r="D184" s="556"/>
      <c r="E184" s="556"/>
      <c r="F184" s="556"/>
      <c r="G184" s="556"/>
      <c r="H184" s="556"/>
      <c r="I184" s="556"/>
      <c r="J184" s="556"/>
      <c r="K184" s="556"/>
      <c r="L184" s="556"/>
      <c r="M184" s="556"/>
      <c r="N184" s="556"/>
      <c r="O184" s="556"/>
      <c r="P184" s="556"/>
      <c r="Q184" s="556"/>
      <c r="R184" s="556"/>
      <c r="S184" s="556"/>
      <c r="T184" s="556"/>
      <c r="U184" s="556"/>
      <c r="V184" s="599">
        <f>V70</f>
        <v>692884</v>
      </c>
      <c r="W184" s="558"/>
      <c r="X184" s="543"/>
    </row>
    <row r="185" spans="1:256" s="544" customFormat="1" x14ac:dyDescent="0.3">
      <c r="A185" s="555"/>
      <c r="B185" s="556" t="s">
        <v>58</v>
      </c>
      <c r="C185" s="556"/>
      <c r="D185" s="556"/>
      <c r="E185" s="556"/>
      <c r="F185" s="556"/>
      <c r="G185" s="556"/>
      <c r="H185" s="556"/>
      <c r="I185" s="556"/>
      <c r="J185" s="556"/>
      <c r="K185" s="556"/>
      <c r="L185" s="556"/>
      <c r="M185" s="556"/>
      <c r="N185" s="556"/>
      <c r="O185" s="556"/>
      <c r="P185" s="556"/>
      <c r="Q185" s="556"/>
      <c r="R185" s="556"/>
      <c r="S185" s="556"/>
      <c r="T185" s="556"/>
      <c r="U185" s="556"/>
      <c r="V185" s="599">
        <f>V83</f>
        <v>692884</v>
      </c>
      <c r="W185" s="558"/>
      <c r="X185" s="543"/>
    </row>
    <row r="186" spans="1:256" ht="16.2" thickBot="1" x14ac:dyDescent="0.35">
      <c r="A186" s="417"/>
      <c r="B186" s="441"/>
      <c r="C186" s="441"/>
      <c r="D186" s="441"/>
      <c r="E186" s="441"/>
      <c r="F186" s="441"/>
      <c r="G186" s="441"/>
      <c r="H186" s="441"/>
      <c r="I186" s="441"/>
      <c r="J186" s="441"/>
      <c r="K186" s="441"/>
      <c r="L186" s="441"/>
      <c r="M186" s="441"/>
      <c r="N186" s="441"/>
      <c r="O186" s="441"/>
      <c r="P186" s="441"/>
      <c r="Q186" s="441"/>
      <c r="R186" s="441"/>
      <c r="S186" s="441"/>
      <c r="T186" s="441"/>
      <c r="U186" s="441"/>
      <c r="V186" s="452"/>
      <c r="W186" s="441"/>
      <c r="X186" s="415"/>
    </row>
    <row r="187" spans="1:256" x14ac:dyDescent="0.3">
      <c r="A187" s="413"/>
      <c r="B187" s="414"/>
      <c r="C187" s="414"/>
      <c r="D187" s="414"/>
      <c r="E187" s="414"/>
      <c r="F187" s="414"/>
      <c r="G187" s="414"/>
      <c r="H187" s="414"/>
      <c r="I187" s="414"/>
      <c r="J187" s="414"/>
      <c r="K187" s="414"/>
      <c r="L187" s="414"/>
      <c r="M187" s="414"/>
      <c r="N187" s="414"/>
      <c r="O187" s="414"/>
      <c r="P187" s="414"/>
      <c r="Q187" s="414"/>
      <c r="R187" s="414"/>
      <c r="S187" s="414"/>
      <c r="T187" s="414"/>
      <c r="U187" s="414"/>
      <c r="V187" s="460"/>
      <c r="W187" s="414"/>
      <c r="X187" s="415"/>
    </row>
    <row r="188" spans="1:256" s="499" customFormat="1" x14ac:dyDescent="0.3">
      <c r="A188" s="502"/>
      <c r="B188" s="508" t="s">
        <v>59</v>
      </c>
      <c r="C188" s="506"/>
      <c r="D188" s="506"/>
      <c r="E188" s="506"/>
      <c r="F188" s="506"/>
      <c r="G188" s="506"/>
      <c r="H188" s="509"/>
      <c r="I188" s="509"/>
      <c r="J188" s="509"/>
      <c r="K188" s="509"/>
      <c r="L188" s="509"/>
      <c r="M188" s="509"/>
      <c r="N188" s="509"/>
      <c r="O188" s="509"/>
      <c r="P188" s="509"/>
      <c r="Q188" s="509"/>
      <c r="R188" s="509"/>
      <c r="S188" s="509" t="s">
        <v>101</v>
      </c>
      <c r="T188" s="509" t="s">
        <v>176</v>
      </c>
      <c r="U188" s="421"/>
      <c r="V188" s="510" t="s">
        <v>114</v>
      </c>
      <c r="W188" s="421"/>
      <c r="X188" s="498"/>
    </row>
    <row r="189" spans="1:256" s="544" customFormat="1" x14ac:dyDescent="0.3">
      <c r="A189" s="555"/>
      <c r="B189" s="556" t="s">
        <v>60</v>
      </c>
      <c r="C189" s="556"/>
      <c r="D189" s="556"/>
      <c r="E189" s="556"/>
      <c r="F189" s="556"/>
      <c r="G189" s="556"/>
      <c r="H189" s="556"/>
      <c r="I189" s="556"/>
      <c r="J189" s="556"/>
      <c r="K189" s="556"/>
      <c r="L189" s="556"/>
      <c r="M189" s="556"/>
      <c r="N189" s="556"/>
      <c r="O189" s="556"/>
      <c r="P189" s="556"/>
      <c r="Q189" s="556"/>
      <c r="R189" s="556"/>
      <c r="S189" s="599">
        <f>+V34*0.16</f>
        <v>240044</v>
      </c>
      <c r="T189" s="578"/>
      <c r="U189" s="556"/>
      <c r="V189" s="599"/>
      <c r="W189" s="558"/>
      <c r="X189" s="543"/>
    </row>
    <row r="190" spans="1:256" s="544" customFormat="1" x14ac:dyDescent="0.3">
      <c r="A190" s="555"/>
      <c r="B190" s="556" t="s">
        <v>61</v>
      </c>
      <c r="C190" s="556"/>
      <c r="D190" s="556"/>
      <c r="E190" s="556"/>
      <c r="F190" s="556"/>
      <c r="G190" s="556"/>
      <c r="H190" s="556"/>
      <c r="I190" s="556"/>
      <c r="J190" s="556"/>
      <c r="K190" s="556"/>
      <c r="L190" s="556"/>
      <c r="M190" s="556"/>
      <c r="N190" s="556"/>
      <c r="O190" s="556"/>
      <c r="P190" s="556"/>
      <c r="Q190" s="556"/>
      <c r="R190" s="556"/>
      <c r="S190" s="599">
        <f>+'Aug 20'!S192</f>
        <v>33453</v>
      </c>
      <c r="T190" s="599">
        <f>+'Aug 20'!T192</f>
        <v>6019</v>
      </c>
      <c r="U190" s="556"/>
      <c r="V190" s="599">
        <f>S190+T190</f>
        <v>39472</v>
      </c>
      <c r="W190" s="558"/>
      <c r="X190" s="543"/>
    </row>
    <row r="191" spans="1:256" s="544" customFormat="1" x14ac:dyDescent="0.3">
      <c r="A191" s="555"/>
      <c r="B191" s="556" t="s">
        <v>62</v>
      </c>
      <c r="C191" s="556"/>
      <c r="D191" s="556"/>
      <c r="E191" s="556"/>
      <c r="F191" s="556"/>
      <c r="G191" s="556"/>
      <c r="H191" s="556"/>
      <c r="I191" s="556"/>
      <c r="J191" s="556"/>
      <c r="K191" s="556"/>
      <c r="L191" s="556"/>
      <c r="M191" s="556"/>
      <c r="N191" s="556"/>
      <c r="O191" s="556"/>
      <c r="P191" s="556"/>
      <c r="Q191" s="556"/>
      <c r="R191" s="556"/>
      <c r="S191" s="598">
        <v>0</v>
      </c>
      <c r="T191" s="598">
        <v>0</v>
      </c>
      <c r="U191" s="556"/>
      <c r="V191" s="599">
        <f>S191+T191</f>
        <v>0</v>
      </c>
      <c r="W191" s="558"/>
      <c r="X191" s="543"/>
    </row>
    <row r="192" spans="1:256" s="544" customFormat="1" x14ac:dyDescent="0.3">
      <c r="A192" s="555"/>
      <c r="B192" s="556" t="s">
        <v>63</v>
      </c>
      <c r="C192" s="556"/>
      <c r="D192" s="556"/>
      <c r="E192" s="556"/>
      <c r="F192" s="556"/>
      <c r="G192" s="556"/>
      <c r="H192" s="556"/>
      <c r="I192" s="556"/>
      <c r="J192" s="556"/>
      <c r="K192" s="556"/>
      <c r="L192" s="556"/>
      <c r="M192" s="556"/>
      <c r="N192" s="556"/>
      <c r="O192" s="556"/>
      <c r="P192" s="556"/>
      <c r="Q192" s="556"/>
      <c r="R192" s="556"/>
      <c r="S192" s="599">
        <f>S190+S191</f>
        <v>33453</v>
      </c>
      <c r="T192" s="599">
        <f>T191+T190</f>
        <v>6019</v>
      </c>
      <c r="U192" s="556"/>
      <c r="V192" s="599">
        <f>S192+T192</f>
        <v>39472</v>
      </c>
      <c r="W192" s="558"/>
      <c r="X192" s="543"/>
    </row>
    <row r="193" spans="1:24" s="544" customFormat="1" x14ac:dyDescent="0.3">
      <c r="A193" s="555"/>
      <c r="B193" s="556" t="s">
        <v>64</v>
      </c>
      <c r="C193" s="556"/>
      <c r="D193" s="556"/>
      <c r="E193" s="556"/>
      <c r="F193" s="556"/>
      <c r="G193" s="556"/>
      <c r="H193" s="556"/>
      <c r="I193" s="556"/>
      <c r="J193" s="556"/>
      <c r="K193" s="556"/>
      <c r="L193" s="556"/>
      <c r="M193" s="556"/>
      <c r="N193" s="556"/>
      <c r="O193" s="556"/>
      <c r="P193" s="556"/>
      <c r="Q193" s="556"/>
      <c r="R193" s="556"/>
      <c r="S193" s="599">
        <f>S189-S192-T192</f>
        <v>200572</v>
      </c>
      <c r="T193" s="578"/>
      <c r="U193" s="556"/>
      <c r="V193" s="599"/>
      <c r="W193" s="558"/>
      <c r="X193" s="543"/>
    </row>
    <row r="194" spans="1:24" ht="16.2" thickBot="1" x14ac:dyDescent="0.35">
      <c r="A194" s="417"/>
      <c r="B194" s="441"/>
      <c r="C194" s="441"/>
      <c r="D194" s="441"/>
      <c r="E194" s="441"/>
      <c r="F194" s="441"/>
      <c r="G194" s="441"/>
      <c r="H194" s="441"/>
      <c r="I194" s="441"/>
      <c r="J194" s="441"/>
      <c r="K194" s="441"/>
      <c r="L194" s="441"/>
      <c r="M194" s="441"/>
      <c r="N194" s="441"/>
      <c r="O194" s="441"/>
      <c r="P194" s="441"/>
      <c r="Q194" s="441"/>
      <c r="R194" s="441"/>
      <c r="S194" s="441"/>
      <c r="T194" s="441"/>
      <c r="U194" s="441"/>
      <c r="V194" s="452"/>
      <c r="W194" s="441"/>
      <c r="X194" s="415"/>
    </row>
    <row r="195" spans="1:24" x14ac:dyDescent="0.3">
      <c r="A195" s="413"/>
      <c r="B195" s="414"/>
      <c r="C195" s="414"/>
      <c r="D195" s="414"/>
      <c r="E195" s="414"/>
      <c r="F195" s="414"/>
      <c r="G195" s="414"/>
      <c r="H195" s="414"/>
      <c r="I195" s="414"/>
      <c r="J195" s="414"/>
      <c r="K195" s="414"/>
      <c r="L195" s="414"/>
      <c r="M195" s="414"/>
      <c r="N195" s="414"/>
      <c r="O195" s="414"/>
      <c r="P195" s="414"/>
      <c r="Q195" s="414"/>
      <c r="R195" s="414"/>
      <c r="S195" s="414"/>
      <c r="T195" s="414"/>
      <c r="U195" s="414"/>
      <c r="V195" s="460"/>
      <c r="W195" s="414"/>
      <c r="X195" s="415"/>
    </row>
    <row r="196" spans="1:24" x14ac:dyDescent="0.3">
      <c r="A196" s="417"/>
      <c r="B196" s="508" t="s">
        <v>65</v>
      </c>
      <c r="C196" s="419"/>
      <c r="D196" s="419"/>
      <c r="E196" s="419"/>
      <c r="F196" s="419"/>
      <c r="G196" s="419"/>
      <c r="H196" s="419"/>
      <c r="I196" s="419"/>
      <c r="J196" s="419"/>
      <c r="K196" s="419"/>
      <c r="L196" s="419"/>
      <c r="M196" s="419"/>
      <c r="N196" s="419"/>
      <c r="O196" s="419"/>
      <c r="P196" s="419"/>
      <c r="Q196" s="419"/>
      <c r="R196" s="419"/>
      <c r="S196" s="419"/>
      <c r="T196" s="419"/>
      <c r="U196" s="419"/>
      <c r="V196" s="462"/>
      <c r="W196" s="419"/>
      <c r="X196" s="415"/>
    </row>
    <row r="197" spans="1:24" s="544" customFormat="1" x14ac:dyDescent="0.3">
      <c r="A197" s="555"/>
      <c r="B197" s="556" t="s">
        <v>66</v>
      </c>
      <c r="C197" s="556"/>
      <c r="D197" s="556"/>
      <c r="E197" s="556"/>
      <c r="F197" s="556"/>
      <c r="G197" s="556"/>
      <c r="H197" s="556"/>
      <c r="I197" s="556"/>
      <c r="J197" s="556"/>
      <c r="K197" s="556"/>
      <c r="L197" s="556"/>
      <c r="M197" s="556"/>
      <c r="N197" s="556"/>
      <c r="O197" s="556"/>
      <c r="P197" s="556"/>
      <c r="Q197" s="556"/>
      <c r="R197" s="556"/>
      <c r="S197" s="556"/>
      <c r="T197" s="556"/>
      <c r="U197" s="556"/>
      <c r="V197" s="608">
        <f>(V100+V102+V103+V104+V105)/-(V106+V107)</f>
        <v>10.866261398176292</v>
      </c>
      <c r="W197" s="558" t="s">
        <v>115</v>
      </c>
      <c r="X197" s="543"/>
    </row>
    <row r="198" spans="1:24" s="544" customFormat="1" x14ac:dyDescent="0.3">
      <c r="A198" s="555"/>
      <c r="B198" s="556" t="s">
        <v>67</v>
      </c>
      <c r="C198" s="556"/>
      <c r="D198" s="556"/>
      <c r="E198" s="556"/>
      <c r="F198" s="556"/>
      <c r="G198" s="556"/>
      <c r="H198" s="556"/>
      <c r="I198" s="556"/>
      <c r="J198" s="556"/>
      <c r="K198" s="556"/>
      <c r="L198" s="556"/>
      <c r="M198" s="556"/>
      <c r="N198" s="556"/>
      <c r="O198" s="556"/>
      <c r="P198" s="556"/>
      <c r="Q198" s="556"/>
      <c r="R198" s="556"/>
      <c r="S198" s="556"/>
      <c r="T198" s="556"/>
      <c r="U198" s="556"/>
      <c r="V198" s="610">
        <v>2.2200000000000002</v>
      </c>
      <c r="W198" s="558" t="s">
        <v>115</v>
      </c>
      <c r="X198" s="543"/>
    </row>
    <row r="199" spans="1:24" s="544" customFormat="1" x14ac:dyDescent="0.3">
      <c r="A199" s="555"/>
      <c r="B199" s="556" t="s">
        <v>68</v>
      </c>
      <c r="C199" s="556"/>
      <c r="D199" s="556"/>
      <c r="E199" s="556"/>
      <c r="F199" s="556"/>
      <c r="G199" s="556"/>
      <c r="H199" s="556"/>
      <c r="I199" s="556"/>
      <c r="J199" s="556"/>
      <c r="K199" s="556"/>
      <c r="L199" s="556"/>
      <c r="M199" s="556"/>
      <c r="N199" s="556"/>
      <c r="O199" s="556"/>
      <c r="P199" s="556"/>
      <c r="Q199" s="556"/>
      <c r="R199" s="556"/>
      <c r="S199" s="556"/>
      <c r="T199" s="556"/>
      <c r="U199" s="556"/>
      <c r="V199" s="608">
        <f>(V100+V102+V103+V104+V105+V106+V107)/-(V109+V110)</f>
        <v>25.559055118110237</v>
      </c>
      <c r="W199" s="558" t="s">
        <v>115</v>
      </c>
      <c r="X199" s="543"/>
    </row>
    <row r="200" spans="1:24" s="544" customFormat="1" x14ac:dyDescent="0.3">
      <c r="A200" s="555"/>
      <c r="B200" s="556" t="s">
        <v>69</v>
      </c>
      <c r="C200" s="556"/>
      <c r="D200" s="556"/>
      <c r="E200" s="556"/>
      <c r="F200" s="556"/>
      <c r="G200" s="556"/>
      <c r="H200" s="556"/>
      <c r="I200" s="556"/>
      <c r="J200" s="556"/>
      <c r="K200" s="556"/>
      <c r="L200" s="556"/>
      <c r="M200" s="556"/>
      <c r="N200" s="556"/>
      <c r="O200" s="556"/>
      <c r="P200" s="556"/>
      <c r="Q200" s="556"/>
      <c r="R200" s="556"/>
      <c r="S200" s="556"/>
      <c r="T200" s="556"/>
      <c r="U200" s="556"/>
      <c r="V200" s="610">
        <v>10.02</v>
      </c>
      <c r="W200" s="558" t="s">
        <v>115</v>
      </c>
      <c r="X200" s="543"/>
    </row>
    <row r="201" spans="1:24" s="544" customFormat="1" x14ac:dyDescent="0.3">
      <c r="A201" s="555"/>
      <c r="B201" s="556" t="s">
        <v>198</v>
      </c>
      <c r="C201" s="556"/>
      <c r="D201" s="556"/>
      <c r="E201" s="556"/>
      <c r="F201" s="556"/>
      <c r="G201" s="556"/>
      <c r="H201" s="556"/>
      <c r="I201" s="556"/>
      <c r="J201" s="556"/>
      <c r="K201" s="556"/>
      <c r="L201" s="556"/>
      <c r="M201" s="556"/>
      <c r="N201" s="556"/>
      <c r="O201" s="556"/>
      <c r="P201" s="556"/>
      <c r="Q201" s="556"/>
      <c r="R201" s="556"/>
      <c r="S201" s="556"/>
      <c r="T201" s="556"/>
      <c r="U201" s="556"/>
      <c r="V201" s="608">
        <f>(V100+V102+V103+V104+V105+V106+V107+V109+V110)/-(V111+V112)</f>
        <v>12.231372549019607</v>
      </c>
      <c r="W201" s="558" t="s">
        <v>115</v>
      </c>
      <c r="X201" s="543"/>
    </row>
    <row r="202" spans="1:24" s="544" customFormat="1" x14ac:dyDescent="0.3">
      <c r="A202" s="555"/>
      <c r="B202" s="556" t="s">
        <v>199</v>
      </c>
      <c r="C202" s="556"/>
      <c r="D202" s="556"/>
      <c r="E202" s="556"/>
      <c r="F202" s="556"/>
      <c r="G202" s="556"/>
      <c r="H202" s="556"/>
      <c r="I202" s="556"/>
      <c r="J202" s="556"/>
      <c r="K202" s="556"/>
      <c r="L202" s="556"/>
      <c r="M202" s="556"/>
      <c r="N202" s="556"/>
      <c r="O202" s="556"/>
      <c r="P202" s="556"/>
      <c r="Q202" s="556"/>
      <c r="R202" s="556"/>
      <c r="S202" s="556"/>
      <c r="T202" s="556"/>
      <c r="U202" s="556"/>
      <c r="V202" s="610">
        <v>7.4</v>
      </c>
      <c r="W202" s="558" t="s">
        <v>115</v>
      </c>
      <c r="X202" s="543"/>
    </row>
    <row r="203" spans="1:24" s="544" customFormat="1" x14ac:dyDescent="0.3">
      <c r="A203" s="555"/>
      <c r="B203" s="556"/>
      <c r="C203" s="556"/>
      <c r="D203" s="556"/>
      <c r="E203" s="556"/>
      <c r="F203" s="556"/>
      <c r="G203" s="556"/>
      <c r="H203" s="556"/>
      <c r="I203" s="556"/>
      <c r="J203" s="556"/>
      <c r="K203" s="556"/>
      <c r="L203" s="556"/>
      <c r="M203" s="556"/>
      <c r="N203" s="556"/>
      <c r="O203" s="556"/>
      <c r="P203" s="556"/>
      <c r="Q203" s="556"/>
      <c r="R203" s="556"/>
      <c r="S203" s="556"/>
      <c r="T203" s="556"/>
      <c r="U203" s="556"/>
      <c r="V203" s="556"/>
      <c r="W203" s="558"/>
      <c r="X203" s="543"/>
    </row>
    <row r="204" spans="1:24" s="544" customFormat="1" x14ac:dyDescent="0.3">
      <c r="A204" s="540"/>
      <c r="B204" s="588"/>
      <c r="C204" s="588"/>
      <c r="D204" s="588"/>
      <c r="E204" s="588"/>
      <c r="F204" s="588"/>
      <c r="G204" s="588"/>
      <c r="H204" s="588"/>
      <c r="I204" s="588"/>
      <c r="J204" s="588"/>
      <c r="K204" s="588"/>
      <c r="L204" s="588"/>
      <c r="M204" s="588"/>
      <c r="N204" s="588"/>
      <c r="O204" s="588"/>
      <c r="P204" s="588"/>
      <c r="Q204" s="588"/>
      <c r="R204" s="588"/>
      <c r="S204" s="588"/>
      <c r="T204" s="588"/>
      <c r="U204" s="588"/>
      <c r="V204" s="588"/>
      <c r="W204" s="588"/>
      <c r="X204" s="543"/>
    </row>
    <row r="205" spans="1:24" s="544" customFormat="1" x14ac:dyDescent="0.3">
      <c r="A205" s="540"/>
      <c r="B205" s="541"/>
      <c r="C205" s="541"/>
      <c r="D205" s="541"/>
      <c r="E205" s="541"/>
      <c r="F205" s="541"/>
      <c r="G205" s="541"/>
      <c r="H205" s="541"/>
      <c r="I205" s="541"/>
      <c r="J205" s="541"/>
      <c r="K205" s="541"/>
      <c r="L205" s="541"/>
      <c r="M205" s="541"/>
      <c r="N205" s="541"/>
      <c r="O205" s="541"/>
      <c r="P205" s="541"/>
      <c r="Q205" s="541"/>
      <c r="R205" s="541"/>
      <c r="S205" s="541"/>
      <c r="T205" s="541"/>
      <c r="U205" s="541"/>
      <c r="V205" s="541"/>
      <c r="W205" s="541"/>
      <c r="X205" s="543"/>
    </row>
    <row r="206" spans="1:24" s="544" customFormat="1" ht="18.600000000000001" thickBot="1" x14ac:dyDescent="0.4">
      <c r="A206" s="593"/>
      <c r="B206" s="594" t="str">
        <f>B140</f>
        <v>PM14 INVESTOR REPORT QUARTER ENDING NOVEMBER 2020</v>
      </c>
      <c r="C206" s="595"/>
      <c r="D206" s="595"/>
      <c r="E206" s="595"/>
      <c r="F206" s="595"/>
      <c r="G206" s="595"/>
      <c r="H206" s="595"/>
      <c r="I206" s="595"/>
      <c r="J206" s="595"/>
      <c r="K206" s="595"/>
      <c r="L206" s="595"/>
      <c r="M206" s="595"/>
      <c r="N206" s="595"/>
      <c r="O206" s="595"/>
      <c r="P206" s="595"/>
      <c r="Q206" s="595"/>
      <c r="R206" s="595"/>
      <c r="S206" s="595"/>
      <c r="T206" s="595"/>
      <c r="U206" s="595"/>
      <c r="V206" s="595"/>
      <c r="W206" s="597"/>
      <c r="X206" s="543"/>
    </row>
    <row r="207" spans="1:24" x14ac:dyDescent="0.3">
      <c r="A207" s="527"/>
      <c r="B207" s="528" t="s">
        <v>70</v>
      </c>
      <c r="C207" s="531"/>
      <c r="D207" s="531"/>
      <c r="E207" s="531"/>
      <c r="F207" s="531"/>
      <c r="G207" s="532"/>
      <c r="H207" s="532"/>
      <c r="I207" s="532"/>
      <c r="J207" s="532"/>
      <c r="K207" s="532"/>
      <c r="L207" s="532"/>
      <c r="M207" s="532"/>
      <c r="N207" s="532"/>
      <c r="O207" s="532"/>
      <c r="P207" s="532"/>
      <c r="Q207" s="532"/>
      <c r="R207" s="532"/>
      <c r="S207" s="532"/>
      <c r="T207" s="532">
        <v>44165</v>
      </c>
      <c r="U207" s="529"/>
      <c r="V207" s="529"/>
      <c r="W207" s="529"/>
      <c r="X207" s="415"/>
    </row>
    <row r="208" spans="1:24" x14ac:dyDescent="0.3">
      <c r="A208" s="463"/>
      <c r="B208" s="429"/>
      <c r="C208" s="464"/>
      <c r="D208" s="464"/>
      <c r="E208" s="464"/>
      <c r="F208" s="464"/>
      <c r="G208" s="428"/>
      <c r="H208" s="428"/>
      <c r="I208" s="428"/>
      <c r="J208" s="428"/>
      <c r="K208" s="428"/>
      <c r="L208" s="428"/>
      <c r="M208" s="428"/>
      <c r="N208" s="428"/>
      <c r="O208" s="428"/>
      <c r="P208" s="428"/>
      <c r="Q208" s="428"/>
      <c r="R208" s="428"/>
      <c r="S208" s="428"/>
      <c r="T208" s="428"/>
      <c r="U208" s="427"/>
      <c r="V208" s="427"/>
      <c r="W208" s="427"/>
      <c r="X208" s="415"/>
    </row>
    <row r="209" spans="1:24" s="544" customFormat="1" x14ac:dyDescent="0.3">
      <c r="A209" s="555"/>
      <c r="B209" s="556" t="s">
        <v>71</v>
      </c>
      <c r="C209" s="611"/>
      <c r="D209" s="611"/>
      <c r="E209" s="611"/>
      <c r="F209" s="611"/>
      <c r="G209" s="582"/>
      <c r="H209" s="582"/>
      <c r="I209" s="582"/>
      <c r="J209" s="582"/>
      <c r="K209" s="582"/>
      <c r="L209" s="582"/>
      <c r="M209" s="582"/>
      <c r="N209" s="582"/>
      <c r="O209" s="582"/>
      <c r="P209" s="582"/>
      <c r="Q209" s="582"/>
      <c r="R209" s="582"/>
      <c r="S209" s="582"/>
      <c r="T209" s="575">
        <v>5.2819999999999999E-2</v>
      </c>
      <c r="U209" s="556"/>
      <c r="V209" s="556"/>
      <c r="W209" s="558"/>
      <c r="X209" s="543"/>
    </row>
    <row r="210" spans="1:24" s="544" customFormat="1" x14ac:dyDescent="0.3">
      <c r="A210" s="555"/>
      <c r="B210" s="556" t="s">
        <v>151</v>
      </c>
      <c r="C210" s="611"/>
      <c r="D210" s="611"/>
      <c r="E210" s="611"/>
      <c r="F210" s="611"/>
      <c r="G210" s="582"/>
      <c r="H210" s="582"/>
      <c r="I210" s="582"/>
      <c r="J210" s="582"/>
      <c r="K210" s="582"/>
      <c r="L210" s="582"/>
      <c r="M210" s="582"/>
      <c r="N210" s="582"/>
      <c r="O210" s="582"/>
      <c r="P210" s="582"/>
      <c r="Q210" s="582"/>
      <c r="R210" s="582"/>
      <c r="S210" s="582"/>
      <c r="T210" s="575">
        <v>5.7799999999999997E-2</v>
      </c>
      <c r="U210" s="556"/>
      <c r="V210" s="556"/>
      <c r="W210" s="558"/>
      <c r="X210" s="543"/>
    </row>
    <row r="211" spans="1:24" s="544" customFormat="1" x14ac:dyDescent="0.3">
      <c r="A211" s="555"/>
      <c r="B211" s="556" t="s">
        <v>72</v>
      </c>
      <c r="C211" s="611"/>
      <c r="D211" s="611"/>
      <c r="E211" s="611"/>
      <c r="F211" s="611"/>
      <c r="G211" s="582"/>
      <c r="H211" s="582"/>
      <c r="I211" s="582"/>
      <c r="J211" s="582"/>
      <c r="K211" s="582"/>
      <c r="L211" s="582"/>
      <c r="M211" s="582"/>
      <c r="N211" s="582"/>
      <c r="O211" s="582"/>
      <c r="P211" s="582"/>
      <c r="Q211" s="582"/>
      <c r="R211" s="582"/>
      <c r="S211" s="582"/>
      <c r="T211" s="575">
        <f>T209-T210</f>
        <v>-4.9799999999999983E-3</v>
      </c>
      <c r="U211" s="556"/>
      <c r="V211" s="556"/>
      <c r="W211" s="558"/>
      <c r="X211" s="543"/>
    </row>
    <row r="212" spans="1:24" s="544" customFormat="1" x14ac:dyDescent="0.3">
      <c r="A212" s="555"/>
      <c r="B212" s="556" t="s">
        <v>73</v>
      </c>
      <c r="C212" s="611"/>
      <c r="D212" s="611"/>
      <c r="E212" s="611"/>
      <c r="F212" s="611"/>
      <c r="G212" s="582"/>
      <c r="H212" s="582"/>
      <c r="I212" s="582"/>
      <c r="J212" s="582"/>
      <c r="K212" s="582"/>
      <c r="L212" s="582"/>
      <c r="M212" s="582"/>
      <c r="N212" s="582"/>
      <c r="O212" s="582"/>
      <c r="P212" s="582"/>
      <c r="Q212" s="582"/>
      <c r="R212" s="582"/>
      <c r="S212" s="582"/>
      <c r="T212" s="575">
        <v>1.9470000000000001E-2</v>
      </c>
      <c r="U212" s="556"/>
      <c r="V212" s="556"/>
      <c r="W212" s="558"/>
      <c r="X212" s="543"/>
    </row>
    <row r="213" spans="1:24" s="544" customFormat="1" x14ac:dyDescent="0.3">
      <c r="A213" s="555"/>
      <c r="B213" s="556" t="s">
        <v>219</v>
      </c>
      <c r="C213" s="611"/>
      <c r="D213" s="611"/>
      <c r="E213" s="611"/>
      <c r="F213" s="611"/>
      <c r="G213" s="582"/>
      <c r="H213" s="582"/>
      <c r="I213" s="582"/>
      <c r="J213" s="582"/>
      <c r="K213" s="582"/>
      <c r="L213" s="582"/>
      <c r="M213" s="582"/>
      <c r="N213" s="582"/>
      <c r="O213" s="582"/>
      <c r="P213" s="582"/>
      <c r="Q213" s="582"/>
      <c r="R213" s="582"/>
      <c r="S213" s="582"/>
      <c r="T213" s="575">
        <f>V43</f>
        <v>4.0365998779433544E-3</v>
      </c>
      <c r="U213" s="556"/>
      <c r="V213" s="556"/>
      <c r="W213" s="558"/>
      <c r="X213" s="543"/>
    </row>
    <row r="214" spans="1:24" s="544" customFormat="1" x14ac:dyDescent="0.3">
      <c r="A214" s="555"/>
      <c r="B214" s="556" t="s">
        <v>74</v>
      </c>
      <c r="C214" s="611"/>
      <c r="D214" s="611"/>
      <c r="E214" s="611"/>
      <c r="F214" s="611"/>
      <c r="G214" s="582"/>
      <c r="H214" s="582"/>
      <c r="I214" s="582"/>
      <c r="J214" s="582"/>
      <c r="K214" s="582"/>
      <c r="L214" s="582"/>
      <c r="M214" s="582"/>
      <c r="N214" s="582"/>
      <c r="O214" s="582"/>
      <c r="P214" s="582"/>
      <c r="Q214" s="582"/>
      <c r="R214" s="582"/>
      <c r="S214" s="582"/>
      <c r="T214" s="575">
        <f>T212-T213</f>
        <v>1.5433400122056646E-2</v>
      </c>
      <c r="U214" s="556"/>
      <c r="V214" s="556"/>
      <c r="W214" s="558"/>
      <c r="X214" s="543"/>
    </row>
    <row r="215" spans="1:24" s="544" customFormat="1" x14ac:dyDescent="0.3">
      <c r="A215" s="555"/>
      <c r="B215" s="556" t="s">
        <v>242</v>
      </c>
      <c r="C215" s="611"/>
      <c r="D215" s="611"/>
      <c r="E215" s="611"/>
      <c r="F215" s="611"/>
      <c r="G215" s="582"/>
      <c r="H215" s="582"/>
      <c r="I215" s="582"/>
      <c r="J215" s="582"/>
      <c r="K215" s="582"/>
      <c r="L215" s="582"/>
      <c r="M215" s="582"/>
      <c r="N215" s="582"/>
      <c r="O215" s="582"/>
      <c r="P215" s="582"/>
      <c r="Q215" s="582"/>
      <c r="R215" s="582"/>
      <c r="S215" s="582"/>
      <c r="T215" s="575">
        <f>V100/N70</f>
        <v>5.3233857640532563E-3</v>
      </c>
      <c r="U215" s="556"/>
      <c r="V215" s="556"/>
      <c r="W215" s="558"/>
      <c r="X215" s="543"/>
    </row>
    <row r="216" spans="1:24" s="544" customFormat="1" x14ac:dyDescent="0.3">
      <c r="A216" s="555"/>
      <c r="B216" s="556" t="s">
        <v>208</v>
      </c>
      <c r="C216" s="611"/>
      <c r="D216" s="611"/>
      <c r="E216" s="611"/>
      <c r="F216" s="611"/>
      <c r="G216" s="582"/>
      <c r="H216" s="582"/>
      <c r="I216" s="582"/>
      <c r="J216" s="582"/>
      <c r="K216" s="582"/>
      <c r="L216" s="582"/>
      <c r="M216" s="582"/>
      <c r="N216" s="582"/>
      <c r="O216" s="582"/>
      <c r="P216" s="582"/>
      <c r="Q216" s="582"/>
      <c r="R216" s="582"/>
      <c r="S216" s="582"/>
      <c r="T216" s="612">
        <v>51014</v>
      </c>
      <c r="U216" s="556"/>
      <c r="V216" s="556"/>
      <c r="W216" s="558"/>
      <c r="X216" s="543"/>
    </row>
    <row r="217" spans="1:24" s="544" customFormat="1" x14ac:dyDescent="0.3">
      <c r="A217" s="555"/>
      <c r="B217" s="556" t="s">
        <v>209</v>
      </c>
      <c r="C217" s="611"/>
      <c r="D217" s="611"/>
      <c r="E217" s="611"/>
      <c r="F217" s="611"/>
      <c r="G217" s="582"/>
      <c r="H217" s="582"/>
      <c r="I217" s="582"/>
      <c r="J217" s="582"/>
      <c r="K217" s="582"/>
      <c r="L217" s="582"/>
      <c r="M217" s="582"/>
      <c r="N217" s="582"/>
      <c r="O217" s="582"/>
      <c r="P217" s="582"/>
      <c r="Q217" s="582"/>
      <c r="R217" s="582"/>
      <c r="S217" s="582"/>
      <c r="T217" s="612">
        <v>51014</v>
      </c>
      <c r="U217" s="556"/>
      <c r="V217" s="556"/>
      <c r="W217" s="558"/>
      <c r="X217" s="543"/>
    </row>
    <row r="218" spans="1:24" s="544" customFormat="1" x14ac:dyDescent="0.3">
      <c r="A218" s="555"/>
      <c r="B218" s="556" t="s">
        <v>210</v>
      </c>
      <c r="C218" s="611"/>
      <c r="D218" s="611"/>
      <c r="E218" s="611"/>
      <c r="F218" s="611"/>
      <c r="G218" s="582"/>
      <c r="H218" s="582"/>
      <c r="I218" s="582"/>
      <c r="J218" s="582"/>
      <c r="K218" s="582"/>
      <c r="L218" s="582"/>
      <c r="M218" s="582"/>
      <c r="N218" s="582"/>
      <c r="O218" s="582"/>
      <c r="P218" s="582"/>
      <c r="Q218" s="582"/>
      <c r="R218" s="582"/>
      <c r="S218" s="582"/>
      <c r="T218" s="612">
        <v>51014</v>
      </c>
      <c r="U218" s="556"/>
      <c r="V218" s="556"/>
      <c r="W218" s="558"/>
      <c r="X218" s="543"/>
    </row>
    <row r="219" spans="1:24" s="544" customFormat="1" x14ac:dyDescent="0.3">
      <c r="A219" s="555"/>
      <c r="B219" s="556" t="s">
        <v>75</v>
      </c>
      <c r="C219" s="611"/>
      <c r="D219" s="611"/>
      <c r="E219" s="611"/>
      <c r="F219" s="611"/>
      <c r="G219" s="582"/>
      <c r="H219" s="582"/>
      <c r="I219" s="582"/>
      <c r="J219" s="582"/>
      <c r="K219" s="582"/>
      <c r="L219" s="582"/>
      <c r="M219" s="582"/>
      <c r="N219" s="582"/>
      <c r="O219" s="582"/>
      <c r="P219" s="582"/>
      <c r="Q219" s="582"/>
      <c r="R219" s="582"/>
      <c r="S219" s="582"/>
      <c r="T219" s="580">
        <v>20.66</v>
      </c>
      <c r="U219" s="556" t="s">
        <v>110</v>
      </c>
      <c r="V219" s="556"/>
      <c r="W219" s="558"/>
      <c r="X219" s="543"/>
    </row>
    <row r="220" spans="1:24" s="544" customFormat="1" x14ac:dyDescent="0.3">
      <c r="A220" s="555"/>
      <c r="B220" s="556" t="s">
        <v>76</v>
      </c>
      <c r="C220" s="611"/>
      <c r="D220" s="611"/>
      <c r="E220" s="611"/>
      <c r="F220" s="611"/>
      <c r="G220" s="582"/>
      <c r="H220" s="582"/>
      <c r="I220" s="582"/>
      <c r="J220" s="582"/>
      <c r="K220" s="582"/>
      <c r="L220" s="582"/>
      <c r="M220" s="582"/>
      <c r="N220" s="582"/>
      <c r="O220" s="582"/>
      <c r="P220" s="582"/>
      <c r="Q220" s="582"/>
      <c r="R220" s="582"/>
      <c r="S220" s="582"/>
      <c r="T220" s="580">
        <v>8.61</v>
      </c>
      <c r="U220" s="556" t="s">
        <v>110</v>
      </c>
      <c r="V220" s="556"/>
      <c r="W220" s="558"/>
      <c r="X220" s="543"/>
    </row>
    <row r="221" spans="1:24" s="544" customFormat="1" x14ac:dyDescent="0.3">
      <c r="A221" s="555"/>
      <c r="B221" s="556" t="s">
        <v>77</v>
      </c>
      <c r="C221" s="611"/>
      <c r="D221" s="611"/>
      <c r="E221" s="611"/>
      <c r="F221" s="611"/>
      <c r="G221" s="582"/>
      <c r="H221" s="582"/>
      <c r="I221" s="582"/>
      <c r="J221" s="582"/>
      <c r="K221" s="582"/>
      <c r="L221" s="582"/>
      <c r="M221" s="582"/>
      <c r="N221" s="582"/>
      <c r="O221" s="582"/>
      <c r="P221" s="582"/>
      <c r="Q221" s="582"/>
      <c r="R221" s="582"/>
      <c r="S221" s="582"/>
      <c r="T221" s="575">
        <f>+P67/N67</f>
        <v>1.7974222113877371E-2</v>
      </c>
      <c r="U221" s="556"/>
      <c r="V221" s="556"/>
      <c r="W221" s="558"/>
      <c r="X221" s="543"/>
    </row>
    <row r="222" spans="1:24" s="544" customFormat="1" x14ac:dyDescent="0.3">
      <c r="A222" s="555"/>
      <c r="B222" s="556" t="s">
        <v>78</v>
      </c>
      <c r="C222" s="611"/>
      <c r="D222" s="611"/>
      <c r="E222" s="611"/>
      <c r="F222" s="611"/>
      <c r="G222" s="582"/>
      <c r="H222" s="582"/>
      <c r="I222" s="582"/>
      <c r="J222" s="582"/>
      <c r="K222" s="582"/>
      <c r="L222" s="582"/>
      <c r="M222" s="582"/>
      <c r="N222" s="582"/>
      <c r="O222" s="582"/>
      <c r="P222" s="582"/>
      <c r="Q222" s="582"/>
      <c r="R222" s="582"/>
      <c r="S222" s="582"/>
      <c r="T222" s="575">
        <v>5.7099999999999998E-2</v>
      </c>
      <c r="U222" s="556"/>
      <c r="V222" s="556"/>
      <c r="W222" s="558"/>
      <c r="X222" s="543"/>
    </row>
    <row r="223" spans="1:24" x14ac:dyDescent="0.3">
      <c r="A223" s="463"/>
      <c r="B223" s="437"/>
      <c r="C223" s="437"/>
      <c r="D223" s="437"/>
      <c r="E223" s="437"/>
      <c r="F223" s="437"/>
      <c r="G223" s="437"/>
      <c r="H223" s="437"/>
      <c r="I223" s="437"/>
      <c r="J223" s="437"/>
      <c r="K223" s="437"/>
      <c r="L223" s="437"/>
      <c r="M223" s="437"/>
      <c r="N223" s="437"/>
      <c r="O223" s="437"/>
      <c r="P223" s="437"/>
      <c r="Q223" s="437"/>
      <c r="R223" s="437"/>
      <c r="S223" s="437"/>
      <c r="T223" s="454"/>
      <c r="U223" s="437"/>
      <c r="V223" s="465"/>
      <c r="W223" s="437"/>
      <c r="X223" s="415"/>
    </row>
    <row r="224" spans="1:24" x14ac:dyDescent="0.3">
      <c r="A224" s="533"/>
      <c r="B224" s="523" t="s">
        <v>79</v>
      </c>
      <c r="C224" s="524"/>
      <c r="D224" s="524"/>
      <c r="E224" s="524"/>
      <c r="F224" s="534"/>
      <c r="G224" s="524"/>
      <c r="H224" s="524"/>
      <c r="I224" s="524"/>
      <c r="J224" s="524"/>
      <c r="K224" s="524"/>
      <c r="L224" s="524"/>
      <c r="M224" s="524"/>
      <c r="N224" s="524"/>
      <c r="O224" s="524"/>
      <c r="P224" s="524"/>
      <c r="Q224" s="524"/>
      <c r="R224" s="524"/>
      <c r="S224" s="524" t="s">
        <v>102</v>
      </c>
      <c r="T224" s="534" t="s">
        <v>108</v>
      </c>
      <c r="U224" s="517"/>
      <c r="V224" s="517"/>
      <c r="W224" s="520"/>
      <c r="X224" s="415"/>
    </row>
    <row r="225" spans="1:24" s="544" customFormat="1" x14ac:dyDescent="0.3">
      <c r="A225" s="613"/>
      <c r="B225" s="588" t="s">
        <v>80</v>
      </c>
      <c r="C225" s="600"/>
      <c r="D225" s="600"/>
      <c r="E225" s="600"/>
      <c r="F225" s="588"/>
      <c r="G225" s="588"/>
      <c r="H225" s="614"/>
      <c r="I225" s="614"/>
      <c r="J225" s="614"/>
      <c r="K225" s="614"/>
      <c r="L225" s="614"/>
      <c r="M225" s="614"/>
      <c r="N225" s="614"/>
      <c r="O225" s="614"/>
      <c r="P225" s="614"/>
      <c r="Q225" s="614"/>
      <c r="R225" s="614"/>
      <c r="S225" s="614">
        <v>1</v>
      </c>
      <c r="T225" s="615">
        <v>111</v>
      </c>
      <c r="U225" s="588"/>
      <c r="V225" s="616"/>
      <c r="W225" s="617"/>
      <c r="X225" s="543"/>
    </row>
    <row r="226" spans="1:24" s="544" customFormat="1" x14ac:dyDescent="0.3">
      <c r="A226" s="618"/>
      <c r="B226" s="556" t="s">
        <v>145</v>
      </c>
      <c r="C226" s="598"/>
      <c r="D226" s="598"/>
      <c r="E226" s="598"/>
      <c r="F226" s="556"/>
      <c r="G226" s="556"/>
      <c r="H226" s="562"/>
      <c r="I226" s="562"/>
      <c r="J226" s="562"/>
      <c r="K226" s="562"/>
      <c r="L226" s="562"/>
      <c r="M226" s="562"/>
      <c r="N226" s="562"/>
      <c r="O226" s="562"/>
      <c r="P226" s="562"/>
      <c r="Q226" s="562"/>
      <c r="R226" s="562"/>
      <c r="S226" s="619">
        <f>+R278</f>
        <v>108</v>
      </c>
      <c r="T226" s="620">
        <f>+T278</f>
        <v>16533</v>
      </c>
      <c r="U226" s="556"/>
      <c r="V226" s="621"/>
      <c r="W226" s="622"/>
      <c r="X226" s="543"/>
    </row>
    <row r="227" spans="1:24" s="544" customFormat="1" x14ac:dyDescent="0.3">
      <c r="A227" s="618"/>
      <c r="B227" s="556" t="s">
        <v>81</v>
      </c>
      <c r="C227" s="598"/>
      <c r="D227" s="598"/>
      <c r="E227" s="598"/>
      <c r="F227" s="556"/>
      <c r="G227" s="556"/>
      <c r="H227" s="562"/>
      <c r="I227" s="562"/>
      <c r="J227" s="562"/>
      <c r="K227" s="562"/>
      <c r="L227" s="562"/>
      <c r="M227" s="562"/>
      <c r="N227" s="562"/>
      <c r="O227" s="562"/>
      <c r="P227" s="562"/>
      <c r="Q227" s="562"/>
      <c r="R227" s="562"/>
      <c r="S227" s="619">
        <f>+R300</f>
        <v>0</v>
      </c>
      <c r="T227" s="620">
        <f>+T300</f>
        <v>0</v>
      </c>
      <c r="U227" s="556"/>
      <c r="V227" s="621"/>
      <c r="W227" s="622"/>
      <c r="X227" s="543"/>
    </row>
    <row r="228" spans="1:24" x14ac:dyDescent="0.3">
      <c r="A228" s="466"/>
      <c r="B228" s="493" t="s">
        <v>82</v>
      </c>
      <c r="C228" s="467"/>
      <c r="D228" s="467"/>
      <c r="E228" s="467"/>
      <c r="F228" s="434"/>
      <c r="G228" s="434"/>
      <c r="H228" s="434"/>
      <c r="I228" s="434"/>
      <c r="J228" s="434"/>
      <c r="K228" s="434"/>
      <c r="L228" s="434"/>
      <c r="M228" s="434"/>
      <c r="N228" s="434"/>
      <c r="O228" s="434"/>
      <c r="P228" s="434"/>
      <c r="Q228" s="434"/>
      <c r="R228" s="434"/>
      <c r="S228" s="434"/>
      <c r="T228" s="620">
        <v>0</v>
      </c>
      <c r="U228" s="434"/>
      <c r="V228" s="468"/>
      <c r="W228" s="469"/>
      <c r="X228" s="415"/>
    </row>
    <row r="229" spans="1:24" x14ac:dyDescent="0.3">
      <c r="A229" s="466"/>
      <c r="B229" s="493" t="s">
        <v>243</v>
      </c>
      <c r="C229" s="467"/>
      <c r="D229" s="467"/>
      <c r="E229" s="467"/>
      <c r="F229" s="434"/>
      <c r="G229" s="434"/>
      <c r="H229" s="434"/>
      <c r="I229" s="434"/>
      <c r="J229" s="434"/>
      <c r="K229" s="434"/>
      <c r="L229" s="434"/>
      <c r="M229" s="434"/>
      <c r="N229" s="434"/>
      <c r="O229" s="434"/>
      <c r="P229" s="434"/>
      <c r="Q229" s="434"/>
      <c r="R229" s="434"/>
      <c r="S229" s="434"/>
      <c r="T229" s="620">
        <f>+N80</f>
        <v>0</v>
      </c>
      <c r="U229" s="434"/>
      <c r="V229" s="468"/>
      <c r="W229" s="469"/>
      <c r="X229" s="415"/>
    </row>
    <row r="230" spans="1:24" x14ac:dyDescent="0.3">
      <c r="A230" s="470"/>
      <c r="B230" s="493" t="s">
        <v>83</v>
      </c>
      <c r="C230" s="471"/>
      <c r="D230" s="471"/>
      <c r="E230" s="471"/>
      <c r="F230" s="471"/>
      <c r="G230" s="434"/>
      <c r="H230" s="434"/>
      <c r="I230" s="434"/>
      <c r="J230" s="434"/>
      <c r="K230" s="434"/>
      <c r="L230" s="434"/>
      <c r="M230" s="434"/>
      <c r="N230" s="434"/>
      <c r="O230" s="434"/>
      <c r="P230" s="434"/>
      <c r="Q230" s="434"/>
      <c r="R230" s="434"/>
      <c r="S230" s="434"/>
      <c r="T230" s="472"/>
      <c r="U230" s="434"/>
      <c r="V230" s="468"/>
      <c r="W230" s="473"/>
      <c r="X230" s="415"/>
    </row>
    <row r="231" spans="1:24" s="544" customFormat="1" x14ac:dyDescent="0.3">
      <c r="A231" s="623"/>
      <c r="B231" s="556" t="s">
        <v>84</v>
      </c>
      <c r="C231" s="556"/>
      <c r="D231" s="556"/>
      <c r="E231" s="556"/>
      <c r="F231" s="556"/>
      <c r="G231" s="556"/>
      <c r="H231" s="556"/>
      <c r="I231" s="556"/>
      <c r="J231" s="556"/>
      <c r="K231" s="556"/>
      <c r="L231" s="556"/>
      <c r="M231" s="556"/>
      <c r="N231" s="556"/>
      <c r="O231" s="556"/>
      <c r="P231" s="556"/>
      <c r="Q231" s="556"/>
      <c r="R231" s="556"/>
      <c r="S231" s="562"/>
      <c r="T231" s="620">
        <f>V169</f>
        <v>67</v>
      </c>
      <c r="U231" s="556"/>
      <c r="V231" s="621"/>
      <c r="W231" s="624"/>
      <c r="X231" s="543"/>
    </row>
    <row r="232" spans="1:24" s="544" customFormat="1" x14ac:dyDescent="0.3">
      <c r="A232" s="618"/>
      <c r="B232" s="556" t="s">
        <v>85</v>
      </c>
      <c r="C232" s="598"/>
      <c r="D232" s="598"/>
      <c r="E232" s="598"/>
      <c r="F232" s="598"/>
      <c r="G232" s="556"/>
      <c r="H232" s="556"/>
      <c r="I232" s="556"/>
      <c r="J232" s="556"/>
      <c r="K232" s="556"/>
      <c r="L232" s="556"/>
      <c r="M232" s="556"/>
      <c r="N232" s="556"/>
      <c r="O232" s="556"/>
      <c r="P232" s="556"/>
      <c r="Q232" s="556"/>
      <c r="R232" s="556"/>
      <c r="S232" s="562"/>
      <c r="T232" s="620">
        <f>'Aug 20'!T232+T231</f>
        <v>9463</v>
      </c>
      <c r="U232" s="556"/>
      <c r="V232" s="621"/>
      <c r="W232" s="624"/>
      <c r="X232" s="543"/>
    </row>
    <row r="233" spans="1:24" x14ac:dyDescent="0.3">
      <c r="A233" s="470"/>
      <c r="B233" s="493" t="s">
        <v>295</v>
      </c>
      <c r="C233" s="471"/>
      <c r="D233" s="471"/>
      <c r="E233" s="471"/>
      <c r="F233" s="471"/>
      <c r="G233" s="434"/>
      <c r="H233" s="434"/>
      <c r="I233" s="434"/>
      <c r="J233" s="434"/>
      <c r="K233" s="434"/>
      <c r="L233" s="434"/>
      <c r="M233" s="434"/>
      <c r="N233" s="434"/>
      <c r="O233" s="434"/>
      <c r="P233" s="434"/>
      <c r="Q233" s="434"/>
      <c r="R233" s="434"/>
      <c r="S233" s="435"/>
      <c r="T233" s="472"/>
      <c r="U233" s="434"/>
      <c r="V233" s="468"/>
      <c r="W233" s="473"/>
      <c r="X233" s="415"/>
    </row>
    <row r="234" spans="1:24" s="544" customFormat="1" x14ac:dyDescent="0.3">
      <c r="A234" s="623"/>
      <c r="B234" s="556" t="s">
        <v>291</v>
      </c>
      <c r="C234" s="556"/>
      <c r="D234" s="556"/>
      <c r="E234" s="556"/>
      <c r="F234" s="556"/>
      <c r="G234" s="556"/>
      <c r="H234" s="556"/>
      <c r="I234" s="556"/>
      <c r="J234" s="556"/>
      <c r="K234" s="556"/>
      <c r="L234" s="556"/>
      <c r="M234" s="556"/>
      <c r="N234" s="556"/>
      <c r="O234" s="556"/>
      <c r="P234" s="556"/>
      <c r="Q234" s="556"/>
      <c r="R234" s="556"/>
      <c r="S234" s="562">
        <v>0</v>
      </c>
      <c r="T234" s="620">
        <v>0</v>
      </c>
      <c r="U234" s="556"/>
      <c r="V234" s="621"/>
      <c r="W234" s="624"/>
      <c r="X234" s="543"/>
    </row>
    <row r="235" spans="1:24" s="544" customFormat="1" x14ac:dyDescent="0.3">
      <c r="A235" s="618"/>
      <c r="B235" s="556" t="s">
        <v>86</v>
      </c>
      <c r="C235" s="578"/>
      <c r="D235" s="578"/>
      <c r="E235" s="578"/>
      <c r="F235" s="625"/>
      <c r="G235" s="556"/>
      <c r="H235" s="556"/>
      <c r="I235" s="556"/>
      <c r="J235" s="556"/>
      <c r="K235" s="556"/>
      <c r="L235" s="556"/>
      <c r="M235" s="556"/>
      <c r="N235" s="556"/>
      <c r="O235" s="556"/>
      <c r="P235" s="556"/>
      <c r="Q235" s="556"/>
      <c r="R235" s="556"/>
      <c r="S235" s="556"/>
      <c r="T235" s="626">
        <v>0</v>
      </c>
      <c r="U235" s="556"/>
      <c r="V235" s="621"/>
      <c r="W235" s="624"/>
      <c r="X235" s="543"/>
    </row>
    <row r="236" spans="1:24" s="544" customFormat="1" x14ac:dyDescent="0.3">
      <c r="A236" s="618"/>
      <c r="B236" s="556" t="s">
        <v>87</v>
      </c>
      <c r="C236" s="578"/>
      <c r="D236" s="578"/>
      <c r="E236" s="578"/>
      <c r="F236" s="625"/>
      <c r="G236" s="556"/>
      <c r="H236" s="556"/>
      <c r="I236" s="556"/>
      <c r="J236" s="556"/>
      <c r="K236" s="556"/>
      <c r="L236" s="556"/>
      <c r="M236" s="556"/>
      <c r="N236" s="556"/>
      <c r="O236" s="556"/>
      <c r="P236" s="556"/>
      <c r="Q236" s="556"/>
      <c r="R236" s="556"/>
      <c r="S236" s="556"/>
      <c r="T236" s="626">
        <v>0</v>
      </c>
      <c r="U236" s="556"/>
      <c r="V236" s="621"/>
      <c r="W236" s="624"/>
      <c r="X236" s="543"/>
    </row>
    <row r="237" spans="1:24" x14ac:dyDescent="0.3">
      <c r="A237" s="466"/>
      <c r="B237" s="493" t="s">
        <v>217</v>
      </c>
      <c r="C237" s="474"/>
      <c r="D237" s="474"/>
      <c r="E237" s="474"/>
      <c r="F237" s="475"/>
      <c r="G237" s="434"/>
      <c r="H237" s="434"/>
      <c r="I237" s="434"/>
      <c r="J237" s="434"/>
      <c r="K237" s="434"/>
      <c r="L237" s="434"/>
      <c r="M237" s="434"/>
      <c r="N237" s="434"/>
      <c r="O237" s="434"/>
      <c r="P237" s="434"/>
      <c r="Q237" s="434"/>
      <c r="R237" s="434"/>
      <c r="S237" s="434"/>
      <c r="T237" s="476"/>
      <c r="U237" s="434"/>
      <c r="V237" s="468"/>
      <c r="W237" s="473"/>
      <c r="X237" s="415"/>
    </row>
    <row r="238" spans="1:24" s="544" customFormat="1" x14ac:dyDescent="0.3">
      <c r="A238" s="618"/>
      <c r="B238" s="556" t="s">
        <v>291</v>
      </c>
      <c r="C238" s="578"/>
      <c r="D238" s="578"/>
      <c r="E238" s="578"/>
      <c r="F238" s="625"/>
      <c r="G238" s="556"/>
      <c r="H238" s="556"/>
      <c r="I238" s="556"/>
      <c r="J238" s="556"/>
      <c r="K238" s="556"/>
      <c r="L238" s="556"/>
      <c r="M238" s="556"/>
      <c r="N238" s="556"/>
      <c r="O238" s="556"/>
      <c r="P238" s="556"/>
      <c r="Q238" s="556"/>
      <c r="R238" s="556"/>
      <c r="S238" s="562">
        <v>4</v>
      </c>
      <c r="T238" s="620">
        <v>716</v>
      </c>
      <c r="U238" s="556"/>
      <c r="V238" s="621"/>
      <c r="W238" s="624"/>
      <c r="X238" s="543"/>
    </row>
    <row r="239" spans="1:24" s="544" customFormat="1" x14ac:dyDescent="0.3">
      <c r="A239" s="618"/>
      <c r="B239" s="556" t="s">
        <v>218</v>
      </c>
      <c r="C239" s="578"/>
      <c r="D239" s="578"/>
      <c r="E239" s="578"/>
      <c r="F239" s="625"/>
      <c r="G239" s="556"/>
      <c r="H239" s="556"/>
      <c r="I239" s="556"/>
      <c r="J239" s="556"/>
      <c r="K239" s="556"/>
      <c r="L239" s="556"/>
      <c r="M239" s="556"/>
      <c r="N239" s="556"/>
      <c r="O239" s="556"/>
      <c r="P239" s="556"/>
      <c r="Q239" s="556"/>
      <c r="R239" s="556"/>
      <c r="S239" s="556"/>
      <c r="T239" s="626">
        <v>2.0699999999999998</v>
      </c>
      <c r="U239" s="556"/>
      <c r="V239" s="621"/>
      <c r="W239" s="624"/>
      <c r="X239" s="543"/>
    </row>
    <row r="240" spans="1:24" x14ac:dyDescent="0.3">
      <c r="A240" s="466"/>
      <c r="B240" s="471"/>
      <c r="C240" s="474"/>
      <c r="D240" s="474"/>
      <c r="E240" s="474"/>
      <c r="F240" s="475"/>
      <c r="G240" s="434"/>
      <c r="H240" s="434"/>
      <c r="I240" s="434"/>
      <c r="J240" s="434"/>
      <c r="K240" s="434"/>
      <c r="L240" s="434"/>
      <c r="M240" s="434"/>
      <c r="N240" s="434"/>
      <c r="O240" s="434"/>
      <c r="P240" s="434"/>
      <c r="Q240" s="434"/>
      <c r="R240" s="434"/>
      <c r="S240" s="434"/>
      <c r="T240" s="476"/>
      <c r="U240" s="434"/>
      <c r="V240" s="468"/>
      <c r="W240" s="473"/>
      <c r="X240" s="415"/>
    </row>
    <row r="241" spans="1:25" x14ac:dyDescent="0.3">
      <c r="A241" s="466"/>
      <c r="B241" s="471"/>
      <c r="C241" s="474"/>
      <c r="D241" s="474"/>
      <c r="E241" s="474"/>
      <c r="F241" s="475"/>
      <c r="G241" s="434"/>
      <c r="H241" s="434"/>
      <c r="I241" s="434"/>
      <c r="J241" s="434"/>
      <c r="K241" s="434"/>
      <c r="L241" s="434"/>
      <c r="M241" s="434"/>
      <c r="N241" s="434"/>
      <c r="O241" s="434"/>
      <c r="P241" s="434"/>
      <c r="Q241" s="434"/>
      <c r="R241" s="434"/>
      <c r="S241" s="434"/>
      <c r="T241" s="476"/>
      <c r="U241" s="434"/>
      <c r="V241" s="468"/>
      <c r="W241" s="473"/>
      <c r="X241" s="415"/>
    </row>
    <row r="242" spans="1:25" ht="18" x14ac:dyDescent="0.35">
      <c r="A242" s="466"/>
      <c r="B242" s="512" t="s">
        <v>168</v>
      </c>
      <c r="C242" s="474"/>
      <c r="D242" s="474"/>
      <c r="E242" s="474"/>
      <c r="F242" s="475"/>
      <c r="G242" s="434"/>
      <c r="H242" s="434"/>
      <c r="I242" s="434"/>
      <c r="J242" s="434"/>
      <c r="K242" s="434"/>
      <c r="L242" s="434"/>
      <c r="M242" s="434"/>
      <c r="N242" s="434"/>
      <c r="O242" s="434"/>
      <c r="P242" s="513" t="s">
        <v>371</v>
      </c>
      <c r="Q242" s="434"/>
      <c r="R242" s="434"/>
      <c r="S242" s="434"/>
      <c r="T242" s="476"/>
      <c r="U242" s="434"/>
      <c r="V242" s="468"/>
      <c r="W242" s="473"/>
      <c r="X242" s="415"/>
    </row>
    <row r="243" spans="1:25" x14ac:dyDescent="0.3">
      <c r="A243" s="477"/>
      <c r="B243" s="511"/>
      <c r="C243" s="478"/>
      <c r="D243" s="478"/>
      <c r="E243" s="478"/>
      <c r="F243" s="479"/>
      <c r="G243" s="441"/>
      <c r="H243" s="441"/>
      <c r="I243" s="441"/>
      <c r="J243" s="441"/>
      <c r="K243" s="441"/>
      <c r="L243" s="441"/>
      <c r="M243" s="441"/>
      <c r="N243" s="441"/>
      <c r="O243" s="441"/>
      <c r="P243" s="441"/>
      <c r="Q243" s="441"/>
      <c r="R243" s="441"/>
      <c r="S243" s="441"/>
      <c r="T243" s="480"/>
      <c r="U243" s="441"/>
      <c r="V243" s="481"/>
      <c r="W243" s="482"/>
      <c r="X243" s="415"/>
    </row>
    <row r="244" spans="1:25" x14ac:dyDescent="0.3">
      <c r="A244" s="515"/>
      <c r="B244" s="523" t="s">
        <v>308</v>
      </c>
      <c r="C244" s="524"/>
      <c r="D244" s="524"/>
      <c r="E244" s="524"/>
      <c r="F244" s="534"/>
      <c r="G244" s="524"/>
      <c r="H244" s="524"/>
      <c r="I244" s="524"/>
      <c r="J244" s="524"/>
      <c r="K244" s="524"/>
      <c r="L244" s="524"/>
      <c r="M244" s="524"/>
      <c r="N244" s="524"/>
      <c r="O244" s="524"/>
      <c r="P244" s="524"/>
      <c r="Q244" s="524"/>
      <c r="R244" s="534" t="s">
        <v>102</v>
      </c>
      <c r="S244" s="524" t="s">
        <v>103</v>
      </c>
      <c r="T244" s="534" t="s">
        <v>109</v>
      </c>
      <c r="U244" s="524" t="s">
        <v>103</v>
      </c>
      <c r="V244" s="517"/>
      <c r="W244" s="535"/>
      <c r="X244" s="415"/>
    </row>
    <row r="245" spans="1:25" s="544" customFormat="1" x14ac:dyDescent="0.3">
      <c r="A245" s="540"/>
      <c r="B245" s="600" t="s">
        <v>88</v>
      </c>
      <c r="C245" s="627"/>
      <c r="D245" s="627"/>
      <c r="E245" s="627"/>
      <c r="F245" s="588"/>
      <c r="G245" s="627"/>
      <c r="H245" s="627"/>
      <c r="I245" s="627"/>
      <c r="J245" s="627"/>
      <c r="K245" s="627"/>
      <c r="L245" s="627"/>
      <c r="M245" s="627"/>
      <c r="N245" s="627"/>
      <c r="O245" s="627"/>
      <c r="P245" s="627"/>
      <c r="Q245" s="627"/>
      <c r="R245" s="600">
        <f t="shared" ref="R245:R252" si="1">+R257+R269+R291</f>
        <v>5102</v>
      </c>
      <c r="S245" s="628">
        <f t="shared" ref="S245:S252" si="2">R245/$R$254</f>
        <v>0.99396064679524643</v>
      </c>
      <c r="T245" s="601">
        <f t="shared" ref="T245:T252" si="3">+T257+T269+T291</f>
        <v>688671</v>
      </c>
      <c r="U245" s="628">
        <f t="shared" ref="U245:U252" si="4">T245/$T$254</f>
        <v>0.99391961713649035</v>
      </c>
      <c r="V245" s="616"/>
      <c r="W245" s="629"/>
      <c r="X245" s="543"/>
    </row>
    <row r="246" spans="1:25" s="544" customFormat="1" x14ac:dyDescent="0.3">
      <c r="A246" s="555"/>
      <c r="B246" s="598" t="s">
        <v>89</v>
      </c>
      <c r="C246" s="630"/>
      <c r="D246" s="630"/>
      <c r="E246" s="630"/>
      <c r="F246" s="556"/>
      <c r="G246" s="631"/>
      <c r="H246" s="630"/>
      <c r="I246" s="630"/>
      <c r="J246" s="630"/>
      <c r="K246" s="630"/>
      <c r="L246" s="630"/>
      <c r="M246" s="630"/>
      <c r="N246" s="630"/>
      <c r="O246" s="630"/>
      <c r="P246" s="630"/>
      <c r="Q246" s="630"/>
      <c r="R246" s="598">
        <f t="shared" si="1"/>
        <v>4</v>
      </c>
      <c r="S246" s="631">
        <f t="shared" si="2"/>
        <v>7.7927138125852323E-4</v>
      </c>
      <c r="T246" s="599">
        <f t="shared" si="3"/>
        <v>623</v>
      </c>
      <c r="U246" s="631">
        <f t="shared" si="4"/>
        <v>8.9914040445442523E-4</v>
      </c>
      <c r="V246" s="621"/>
      <c r="W246" s="624"/>
      <c r="X246" s="543"/>
      <c r="Y246" s="604"/>
    </row>
    <row r="247" spans="1:25" s="544" customFormat="1" x14ac:dyDescent="0.3">
      <c r="A247" s="555"/>
      <c r="B247" s="598" t="s">
        <v>90</v>
      </c>
      <c r="C247" s="630"/>
      <c r="D247" s="630"/>
      <c r="E247" s="630"/>
      <c r="F247" s="556"/>
      <c r="G247" s="631"/>
      <c r="H247" s="630"/>
      <c r="I247" s="630"/>
      <c r="J247" s="630"/>
      <c r="K247" s="630"/>
      <c r="L247" s="630"/>
      <c r="M247" s="630"/>
      <c r="N247" s="630"/>
      <c r="O247" s="630"/>
      <c r="P247" s="630"/>
      <c r="Q247" s="630"/>
      <c r="R247" s="598">
        <f t="shared" si="1"/>
        <v>6</v>
      </c>
      <c r="S247" s="631">
        <f t="shared" si="2"/>
        <v>1.1689070718877848E-3</v>
      </c>
      <c r="T247" s="599">
        <f t="shared" si="3"/>
        <v>968</v>
      </c>
      <c r="U247" s="631">
        <f t="shared" si="4"/>
        <v>1.3970592480126544E-3</v>
      </c>
      <c r="V247" s="621"/>
      <c r="W247" s="624"/>
      <c r="X247" s="543"/>
    </row>
    <row r="248" spans="1:25" s="544" customFormat="1" x14ac:dyDescent="0.3">
      <c r="A248" s="555"/>
      <c r="B248" s="598" t="s">
        <v>156</v>
      </c>
      <c r="C248" s="630"/>
      <c r="D248" s="630"/>
      <c r="E248" s="630"/>
      <c r="F248" s="556"/>
      <c r="G248" s="631"/>
      <c r="H248" s="630"/>
      <c r="I248" s="630"/>
      <c r="J248" s="630"/>
      <c r="K248" s="630"/>
      <c r="L248" s="630"/>
      <c r="M248" s="630"/>
      <c r="N248" s="630"/>
      <c r="O248" s="630"/>
      <c r="P248" s="630"/>
      <c r="Q248" s="630"/>
      <c r="R248" s="598">
        <f t="shared" si="1"/>
        <v>2</v>
      </c>
      <c r="S248" s="631">
        <f t="shared" si="2"/>
        <v>3.8963569062926162E-4</v>
      </c>
      <c r="T248" s="599">
        <f t="shared" si="3"/>
        <v>430</v>
      </c>
      <c r="U248" s="631">
        <f t="shared" si="4"/>
        <v>6.2059450066677825E-4</v>
      </c>
      <c r="V248" s="621"/>
      <c r="W248" s="624"/>
      <c r="X248" s="543"/>
      <c r="Y248" s="604"/>
    </row>
    <row r="249" spans="1:25" s="544" customFormat="1" x14ac:dyDescent="0.3">
      <c r="A249" s="555"/>
      <c r="B249" s="598" t="s">
        <v>157</v>
      </c>
      <c r="C249" s="630"/>
      <c r="D249" s="630"/>
      <c r="E249" s="630"/>
      <c r="F249" s="556"/>
      <c r="G249" s="631"/>
      <c r="H249" s="630"/>
      <c r="I249" s="630"/>
      <c r="J249" s="630"/>
      <c r="K249" s="630"/>
      <c r="L249" s="630"/>
      <c r="M249" s="630"/>
      <c r="N249" s="630"/>
      <c r="O249" s="630"/>
      <c r="P249" s="630"/>
      <c r="Q249" s="630"/>
      <c r="R249" s="598">
        <f t="shared" si="1"/>
        <v>3</v>
      </c>
      <c r="S249" s="631">
        <f t="shared" si="2"/>
        <v>5.8445353594389242E-4</v>
      </c>
      <c r="T249" s="599">
        <f t="shared" si="3"/>
        <v>305</v>
      </c>
      <c r="U249" s="631">
        <f t="shared" si="4"/>
        <v>4.4018912256597062E-4</v>
      </c>
      <c r="V249" s="621"/>
      <c r="W249" s="624"/>
      <c r="X249" s="543"/>
    </row>
    <row r="250" spans="1:25" s="544" customFormat="1" x14ac:dyDescent="0.3">
      <c r="A250" s="555"/>
      <c r="B250" s="598" t="s">
        <v>158</v>
      </c>
      <c r="C250" s="630"/>
      <c r="D250" s="630"/>
      <c r="E250" s="630"/>
      <c r="F250" s="556"/>
      <c r="G250" s="631"/>
      <c r="H250" s="630"/>
      <c r="I250" s="630"/>
      <c r="J250" s="630"/>
      <c r="K250" s="630"/>
      <c r="L250" s="630"/>
      <c r="M250" s="630"/>
      <c r="N250" s="630"/>
      <c r="O250" s="630"/>
      <c r="P250" s="630"/>
      <c r="Q250" s="630"/>
      <c r="R250" s="598">
        <f t="shared" si="1"/>
        <v>3</v>
      </c>
      <c r="S250" s="631">
        <f t="shared" si="2"/>
        <v>5.8445353594389242E-4</v>
      </c>
      <c r="T250" s="599">
        <f t="shared" si="3"/>
        <v>318</v>
      </c>
      <c r="U250" s="631">
        <f t="shared" si="4"/>
        <v>4.5895128188845461E-4</v>
      </c>
      <c r="V250" s="621"/>
      <c r="W250" s="624"/>
      <c r="X250" s="543"/>
      <c r="Y250" s="604"/>
    </row>
    <row r="251" spans="1:25" s="544" customFormat="1" x14ac:dyDescent="0.3">
      <c r="A251" s="555"/>
      <c r="B251" s="598" t="s">
        <v>159</v>
      </c>
      <c r="C251" s="630"/>
      <c r="D251" s="630"/>
      <c r="E251" s="630"/>
      <c r="F251" s="556"/>
      <c r="G251" s="631"/>
      <c r="H251" s="630"/>
      <c r="I251" s="630"/>
      <c r="J251" s="630"/>
      <c r="K251" s="630"/>
      <c r="L251" s="630"/>
      <c r="M251" s="630"/>
      <c r="N251" s="630"/>
      <c r="O251" s="630"/>
      <c r="P251" s="630"/>
      <c r="Q251" s="630"/>
      <c r="R251" s="598">
        <f t="shared" si="1"/>
        <v>6</v>
      </c>
      <c r="S251" s="631">
        <f t="shared" si="2"/>
        <v>1.1689070718877848E-3</v>
      </c>
      <c r="T251" s="599">
        <f t="shared" si="3"/>
        <v>577</v>
      </c>
      <c r="U251" s="631">
        <f t="shared" si="4"/>
        <v>8.3275122531332806E-4</v>
      </c>
      <c r="V251" s="621"/>
      <c r="W251" s="624"/>
      <c r="X251" s="543"/>
    </row>
    <row r="252" spans="1:25" s="544" customFormat="1" x14ac:dyDescent="0.3">
      <c r="A252" s="555"/>
      <c r="B252" s="598" t="s">
        <v>160</v>
      </c>
      <c r="C252" s="630"/>
      <c r="D252" s="630"/>
      <c r="E252" s="630"/>
      <c r="F252" s="556"/>
      <c r="G252" s="631"/>
      <c r="H252" s="630"/>
      <c r="I252" s="630"/>
      <c r="J252" s="630"/>
      <c r="K252" s="630"/>
      <c r="L252" s="630"/>
      <c r="M252" s="630"/>
      <c r="N252" s="630"/>
      <c r="O252" s="630"/>
      <c r="P252" s="630"/>
      <c r="Q252" s="630"/>
      <c r="R252" s="600">
        <f t="shared" si="1"/>
        <v>7</v>
      </c>
      <c r="S252" s="628">
        <f t="shared" si="2"/>
        <v>1.3637249172024158E-3</v>
      </c>
      <c r="T252" s="601">
        <f t="shared" si="3"/>
        <v>992</v>
      </c>
      <c r="U252" s="628">
        <f t="shared" si="4"/>
        <v>1.4316970806080094E-3</v>
      </c>
      <c r="V252" s="621"/>
      <c r="W252" s="624"/>
      <c r="X252" s="543"/>
      <c r="Y252" s="604"/>
    </row>
    <row r="253" spans="1:25" s="544" customFormat="1" x14ac:dyDescent="0.3">
      <c r="A253" s="555"/>
      <c r="B253" s="598"/>
      <c r="C253" s="630"/>
      <c r="D253" s="630"/>
      <c r="E253" s="630"/>
      <c r="F253" s="556"/>
      <c r="G253" s="631"/>
      <c r="H253" s="630"/>
      <c r="I253" s="630"/>
      <c r="J253" s="630"/>
      <c r="K253" s="630"/>
      <c r="L253" s="630"/>
      <c r="M253" s="630"/>
      <c r="N253" s="630"/>
      <c r="O253" s="630"/>
      <c r="P253" s="630"/>
      <c r="Q253" s="630"/>
      <c r="R253" s="598"/>
      <c r="S253" s="631"/>
      <c r="T253" s="599"/>
      <c r="U253" s="631"/>
      <c r="V253" s="621"/>
      <c r="W253" s="624"/>
      <c r="X253" s="543"/>
    </row>
    <row r="254" spans="1:25" s="544" customFormat="1" x14ac:dyDescent="0.3">
      <c r="A254" s="555"/>
      <c r="B254" s="556" t="s">
        <v>114</v>
      </c>
      <c r="C254" s="556"/>
      <c r="D254" s="556"/>
      <c r="E254" s="556"/>
      <c r="F254" s="556"/>
      <c r="G254" s="556"/>
      <c r="H254" s="632"/>
      <c r="I254" s="632"/>
      <c r="J254" s="632"/>
      <c r="K254" s="632"/>
      <c r="L254" s="632"/>
      <c r="M254" s="632"/>
      <c r="N254" s="632"/>
      <c r="O254" s="632"/>
      <c r="P254" s="632"/>
      <c r="Q254" s="632"/>
      <c r="R254" s="598">
        <f>SUM(R245:R253)</f>
        <v>5133</v>
      </c>
      <c r="S254" s="631">
        <f>SUM(S245:S253)</f>
        <v>1</v>
      </c>
      <c r="T254" s="599">
        <f>SUM(T245:T253)</f>
        <v>692884</v>
      </c>
      <c r="U254" s="631">
        <f>SUM(U245:U253)</f>
        <v>0.99999999999999989</v>
      </c>
      <c r="V254" s="556"/>
      <c r="W254" s="558"/>
      <c r="X254" s="543"/>
    </row>
    <row r="255" spans="1:25" x14ac:dyDescent="0.3">
      <c r="A255" s="417"/>
      <c r="B255" s="441"/>
      <c r="C255" s="441"/>
      <c r="D255" s="441"/>
      <c r="E255" s="441"/>
      <c r="F255" s="441"/>
      <c r="G255" s="441"/>
      <c r="H255" s="485"/>
      <c r="I255" s="485"/>
      <c r="J255" s="485"/>
      <c r="K255" s="485"/>
      <c r="L255" s="485"/>
      <c r="M255" s="485"/>
      <c r="N255" s="485"/>
      <c r="O255" s="485"/>
      <c r="P255" s="485"/>
      <c r="Q255" s="485"/>
      <c r="R255" s="442"/>
      <c r="S255" s="486"/>
      <c r="T255" s="487"/>
      <c r="U255" s="486"/>
      <c r="V255" s="441"/>
      <c r="W255" s="441"/>
      <c r="X255" s="415"/>
    </row>
    <row r="256" spans="1:25" x14ac:dyDescent="0.3">
      <c r="A256" s="515"/>
      <c r="B256" s="523" t="s">
        <v>162</v>
      </c>
      <c r="C256" s="524"/>
      <c r="D256" s="524"/>
      <c r="E256" s="524"/>
      <c r="F256" s="534"/>
      <c r="G256" s="524"/>
      <c r="H256" s="524"/>
      <c r="I256" s="524"/>
      <c r="J256" s="524"/>
      <c r="K256" s="524"/>
      <c r="L256" s="524"/>
      <c r="M256" s="524"/>
      <c r="N256" s="524"/>
      <c r="O256" s="524"/>
      <c r="P256" s="524"/>
      <c r="Q256" s="524"/>
      <c r="R256" s="534" t="s">
        <v>102</v>
      </c>
      <c r="S256" s="524" t="s">
        <v>103</v>
      </c>
      <c r="T256" s="534" t="s">
        <v>109</v>
      </c>
      <c r="U256" s="524" t="s">
        <v>103</v>
      </c>
      <c r="V256" s="517"/>
      <c r="W256" s="535"/>
      <c r="X256" s="415"/>
    </row>
    <row r="257" spans="1:25" s="544" customFormat="1" x14ac:dyDescent="0.3">
      <c r="A257" s="540"/>
      <c r="B257" s="600" t="s">
        <v>88</v>
      </c>
      <c r="C257" s="627"/>
      <c r="D257" s="627"/>
      <c r="E257" s="627"/>
      <c r="F257" s="588"/>
      <c r="G257" s="627"/>
      <c r="H257" s="627"/>
      <c r="I257" s="627"/>
      <c r="J257" s="627"/>
      <c r="K257" s="627"/>
      <c r="L257" s="627"/>
      <c r="M257" s="627"/>
      <c r="N257" s="627"/>
      <c r="O257" s="627"/>
      <c r="P257" s="627"/>
      <c r="Q257" s="627"/>
      <c r="R257" s="600">
        <v>5006</v>
      </c>
      <c r="S257" s="628">
        <f t="shared" ref="S257:S264" si="5">R257/$R$266</f>
        <v>0.99621890547263681</v>
      </c>
      <c r="T257" s="601">
        <v>673974</v>
      </c>
      <c r="U257" s="628">
        <f t="shared" ref="U257:U264" si="6">T257/$T$266</f>
        <v>0.99648555261986749</v>
      </c>
      <c r="V257" s="616"/>
      <c r="W257" s="629"/>
      <c r="X257" s="543"/>
    </row>
    <row r="258" spans="1:25" s="544" customFormat="1" x14ac:dyDescent="0.3">
      <c r="A258" s="555"/>
      <c r="B258" s="598" t="s">
        <v>89</v>
      </c>
      <c r="C258" s="630"/>
      <c r="D258" s="630"/>
      <c r="E258" s="630"/>
      <c r="F258" s="556"/>
      <c r="G258" s="631"/>
      <c r="H258" s="630"/>
      <c r="I258" s="630"/>
      <c r="J258" s="630"/>
      <c r="K258" s="630"/>
      <c r="L258" s="630"/>
      <c r="M258" s="630"/>
      <c r="N258" s="630"/>
      <c r="O258" s="630"/>
      <c r="P258" s="630"/>
      <c r="Q258" s="630"/>
      <c r="R258" s="598">
        <v>4</v>
      </c>
      <c r="S258" s="631">
        <f t="shared" si="5"/>
        <v>7.9601990049751241E-4</v>
      </c>
      <c r="T258" s="599">
        <v>623</v>
      </c>
      <c r="U258" s="631">
        <f t="shared" si="6"/>
        <v>9.2111935962244454E-4</v>
      </c>
      <c r="V258" s="621"/>
      <c r="W258" s="624"/>
      <c r="X258" s="543"/>
      <c r="Y258" s="604"/>
    </row>
    <row r="259" spans="1:25" s="544" customFormat="1" x14ac:dyDescent="0.3">
      <c r="A259" s="555"/>
      <c r="B259" s="598" t="s">
        <v>90</v>
      </c>
      <c r="C259" s="630"/>
      <c r="D259" s="630"/>
      <c r="E259" s="630"/>
      <c r="F259" s="556"/>
      <c r="G259" s="631"/>
      <c r="H259" s="630"/>
      <c r="I259" s="630"/>
      <c r="J259" s="630"/>
      <c r="K259" s="630"/>
      <c r="L259" s="630"/>
      <c r="M259" s="630"/>
      <c r="N259" s="630"/>
      <c r="O259" s="630"/>
      <c r="P259" s="630"/>
      <c r="Q259" s="630"/>
      <c r="R259" s="598">
        <v>6</v>
      </c>
      <c r="S259" s="631">
        <f t="shared" si="5"/>
        <v>1.1940298507462687E-3</v>
      </c>
      <c r="T259" s="599">
        <v>968</v>
      </c>
      <c r="U259" s="631">
        <f t="shared" si="6"/>
        <v>1.4312095346942638E-3</v>
      </c>
      <c r="V259" s="621"/>
      <c r="W259" s="624"/>
      <c r="X259" s="543"/>
    </row>
    <row r="260" spans="1:25" s="544" customFormat="1" x14ac:dyDescent="0.3">
      <c r="A260" s="555"/>
      <c r="B260" s="598" t="s">
        <v>156</v>
      </c>
      <c r="C260" s="630"/>
      <c r="D260" s="630"/>
      <c r="E260" s="630"/>
      <c r="F260" s="556"/>
      <c r="G260" s="631"/>
      <c r="H260" s="630"/>
      <c r="I260" s="630"/>
      <c r="J260" s="630"/>
      <c r="K260" s="630"/>
      <c r="L260" s="630"/>
      <c r="M260" s="630"/>
      <c r="N260" s="630"/>
      <c r="O260" s="630"/>
      <c r="P260" s="630"/>
      <c r="Q260" s="630"/>
      <c r="R260" s="598">
        <v>1</v>
      </c>
      <c r="S260" s="631">
        <f t="shared" si="5"/>
        <v>1.990049751243781E-4</v>
      </c>
      <c r="T260" s="599">
        <v>90</v>
      </c>
      <c r="U260" s="631">
        <f t="shared" si="6"/>
        <v>1.3306700219264849E-4</v>
      </c>
      <c r="V260" s="621"/>
      <c r="W260" s="624"/>
      <c r="X260" s="543"/>
      <c r="Y260" s="604"/>
    </row>
    <row r="261" spans="1:25" s="544" customFormat="1" x14ac:dyDescent="0.3">
      <c r="A261" s="555"/>
      <c r="B261" s="598" t="s">
        <v>157</v>
      </c>
      <c r="C261" s="630"/>
      <c r="D261" s="630"/>
      <c r="E261" s="630"/>
      <c r="F261" s="556"/>
      <c r="G261" s="631"/>
      <c r="H261" s="630"/>
      <c r="I261" s="630"/>
      <c r="J261" s="630"/>
      <c r="K261" s="630"/>
      <c r="L261" s="630"/>
      <c r="M261" s="630"/>
      <c r="N261" s="630"/>
      <c r="O261" s="630"/>
      <c r="P261" s="630"/>
      <c r="Q261" s="630"/>
      <c r="R261" s="598">
        <v>2</v>
      </c>
      <c r="S261" s="631">
        <f t="shared" si="5"/>
        <v>3.980099502487562E-4</v>
      </c>
      <c r="T261" s="599">
        <v>181</v>
      </c>
      <c r="U261" s="631">
        <f t="shared" si="6"/>
        <v>2.6761252663188195E-4</v>
      </c>
      <c r="V261" s="621"/>
      <c r="W261" s="624"/>
      <c r="X261" s="543"/>
    </row>
    <row r="262" spans="1:25" s="544" customFormat="1" x14ac:dyDescent="0.3">
      <c r="A262" s="555"/>
      <c r="B262" s="598" t="s">
        <v>158</v>
      </c>
      <c r="C262" s="630"/>
      <c r="D262" s="630"/>
      <c r="E262" s="630"/>
      <c r="F262" s="556"/>
      <c r="G262" s="631"/>
      <c r="H262" s="630"/>
      <c r="I262" s="630"/>
      <c r="J262" s="630"/>
      <c r="K262" s="630"/>
      <c r="L262" s="630"/>
      <c r="M262" s="630"/>
      <c r="N262" s="630"/>
      <c r="O262" s="630"/>
      <c r="P262" s="630"/>
      <c r="Q262" s="630"/>
      <c r="R262" s="598">
        <v>1</v>
      </c>
      <c r="S262" s="631">
        <f t="shared" si="5"/>
        <v>1.990049751243781E-4</v>
      </c>
      <c r="T262" s="599">
        <v>48</v>
      </c>
      <c r="U262" s="631">
        <f t="shared" si="6"/>
        <v>7.0969067836079193E-5</v>
      </c>
      <c r="V262" s="621"/>
      <c r="W262" s="624"/>
      <c r="X262" s="543"/>
      <c r="Y262" s="604"/>
    </row>
    <row r="263" spans="1:25" s="544" customFormat="1" x14ac:dyDescent="0.3">
      <c r="A263" s="555"/>
      <c r="B263" s="598" t="s">
        <v>159</v>
      </c>
      <c r="C263" s="630"/>
      <c r="D263" s="630"/>
      <c r="E263" s="630"/>
      <c r="F263" s="556"/>
      <c r="G263" s="631"/>
      <c r="H263" s="630"/>
      <c r="I263" s="630"/>
      <c r="J263" s="630"/>
      <c r="K263" s="630"/>
      <c r="L263" s="630"/>
      <c r="M263" s="630"/>
      <c r="N263" s="630"/>
      <c r="O263" s="630"/>
      <c r="P263" s="630"/>
      <c r="Q263" s="630"/>
      <c r="R263" s="598">
        <v>4</v>
      </c>
      <c r="S263" s="631">
        <f t="shared" si="5"/>
        <v>7.9601990049751241E-4</v>
      </c>
      <c r="T263" s="599">
        <v>285</v>
      </c>
      <c r="U263" s="631">
        <f t="shared" si="6"/>
        <v>4.2137884027672025E-4</v>
      </c>
      <c r="V263" s="621"/>
      <c r="W263" s="624"/>
      <c r="X263" s="543"/>
    </row>
    <row r="264" spans="1:25" s="544" customFormat="1" x14ac:dyDescent="0.3">
      <c r="A264" s="555"/>
      <c r="B264" s="598" t="s">
        <v>160</v>
      </c>
      <c r="C264" s="630"/>
      <c r="D264" s="630"/>
      <c r="E264" s="630"/>
      <c r="F264" s="556"/>
      <c r="G264" s="631"/>
      <c r="H264" s="630"/>
      <c r="I264" s="630"/>
      <c r="J264" s="630"/>
      <c r="K264" s="630"/>
      <c r="L264" s="630"/>
      <c r="M264" s="630"/>
      <c r="N264" s="630"/>
      <c r="O264" s="630"/>
      <c r="P264" s="630"/>
      <c r="Q264" s="630"/>
      <c r="R264" s="598">
        <v>1</v>
      </c>
      <c r="S264" s="631">
        <f t="shared" si="5"/>
        <v>1.990049751243781E-4</v>
      </c>
      <c r="T264" s="599">
        <v>182</v>
      </c>
      <c r="U264" s="631">
        <f t="shared" si="6"/>
        <v>2.6909104887846692E-4</v>
      </c>
      <c r="V264" s="621"/>
      <c r="W264" s="624"/>
      <c r="X264" s="543"/>
      <c r="Y264" s="604"/>
    </row>
    <row r="265" spans="1:25" s="544" customFormat="1" x14ac:dyDescent="0.3">
      <c r="A265" s="555"/>
      <c r="B265" s="598"/>
      <c r="C265" s="630"/>
      <c r="D265" s="630"/>
      <c r="E265" s="630"/>
      <c r="F265" s="556"/>
      <c r="G265" s="631"/>
      <c r="H265" s="630"/>
      <c r="I265" s="630"/>
      <c r="J265" s="630"/>
      <c r="K265" s="630"/>
      <c r="L265" s="630"/>
      <c r="M265" s="630"/>
      <c r="N265" s="630"/>
      <c r="O265" s="630"/>
      <c r="P265" s="630"/>
      <c r="Q265" s="630"/>
      <c r="R265" s="598"/>
      <c r="S265" s="631"/>
      <c r="T265" s="599"/>
      <c r="U265" s="631"/>
      <c r="V265" s="621"/>
      <c r="W265" s="624"/>
      <c r="X265" s="543"/>
    </row>
    <row r="266" spans="1:25" s="544" customFormat="1" x14ac:dyDescent="0.3">
      <c r="A266" s="555"/>
      <c r="B266" s="556" t="s">
        <v>114</v>
      </c>
      <c r="C266" s="556"/>
      <c r="D266" s="556"/>
      <c r="E266" s="556"/>
      <c r="F266" s="556"/>
      <c r="G266" s="556"/>
      <c r="H266" s="632"/>
      <c r="I266" s="632"/>
      <c r="J266" s="632"/>
      <c r="K266" s="632"/>
      <c r="L266" s="632"/>
      <c r="M266" s="632"/>
      <c r="N266" s="632"/>
      <c r="O266" s="632"/>
      <c r="P266" s="632"/>
      <c r="Q266" s="632"/>
      <c r="R266" s="598">
        <f>SUM(R257:R265)</f>
        <v>5025</v>
      </c>
      <c r="S266" s="631">
        <f>SUM(S257:S265)</f>
        <v>0.99999999999999989</v>
      </c>
      <c r="T266" s="599">
        <f>SUM(T257:T265)</f>
        <v>676351</v>
      </c>
      <c r="U266" s="631">
        <f>SUM(U257:U265)</f>
        <v>1</v>
      </c>
      <c r="V266" s="556"/>
      <c r="W266" s="558"/>
      <c r="X266" s="543"/>
    </row>
    <row r="267" spans="1:25" x14ac:dyDescent="0.3">
      <c r="A267" s="417"/>
      <c r="B267" s="441"/>
      <c r="C267" s="441"/>
      <c r="D267" s="441"/>
      <c r="E267" s="441"/>
      <c r="F267" s="441"/>
      <c r="G267" s="441"/>
      <c r="H267" s="485"/>
      <c r="I267" s="485"/>
      <c r="J267" s="485"/>
      <c r="K267" s="485"/>
      <c r="L267" s="485"/>
      <c r="M267" s="485"/>
      <c r="N267" s="485"/>
      <c r="O267" s="485"/>
      <c r="P267" s="485"/>
      <c r="Q267" s="485"/>
      <c r="R267" s="442"/>
      <c r="S267" s="486"/>
      <c r="T267" s="487"/>
      <c r="U267" s="486"/>
      <c r="V267" s="441"/>
      <c r="W267" s="441"/>
      <c r="X267" s="415"/>
    </row>
    <row r="268" spans="1:25" x14ac:dyDescent="0.3">
      <c r="A268" s="515"/>
      <c r="B268" s="523" t="s">
        <v>275</v>
      </c>
      <c r="C268" s="524"/>
      <c r="D268" s="524"/>
      <c r="E268" s="524"/>
      <c r="F268" s="534"/>
      <c r="G268" s="524"/>
      <c r="H268" s="524"/>
      <c r="I268" s="524"/>
      <c r="J268" s="524"/>
      <c r="K268" s="524"/>
      <c r="L268" s="524"/>
      <c r="M268" s="524"/>
      <c r="N268" s="524"/>
      <c r="O268" s="524"/>
      <c r="P268" s="524"/>
      <c r="Q268" s="524"/>
      <c r="R268" s="534" t="s">
        <v>102</v>
      </c>
      <c r="S268" s="524" t="s">
        <v>103</v>
      </c>
      <c r="T268" s="534" t="s">
        <v>109</v>
      </c>
      <c r="U268" s="524" t="s">
        <v>103</v>
      </c>
      <c r="V268" s="517"/>
      <c r="W268" s="520"/>
      <c r="X268" s="415"/>
    </row>
    <row r="269" spans="1:25" s="544" customFormat="1" x14ac:dyDescent="0.3">
      <c r="A269" s="540"/>
      <c r="B269" s="600" t="s">
        <v>88</v>
      </c>
      <c r="C269" s="627"/>
      <c r="D269" s="627"/>
      <c r="E269" s="627"/>
      <c r="F269" s="588"/>
      <c r="G269" s="627"/>
      <c r="H269" s="627"/>
      <c r="I269" s="627"/>
      <c r="J269" s="627"/>
      <c r="K269" s="627"/>
      <c r="L269" s="627"/>
      <c r="M269" s="627"/>
      <c r="N269" s="627"/>
      <c r="O269" s="627"/>
      <c r="P269" s="627"/>
      <c r="Q269" s="627"/>
      <c r="R269" s="600">
        <v>96</v>
      </c>
      <c r="S269" s="628">
        <f t="shared" ref="S269:S276" si="7">R269/$R$278</f>
        <v>0.88888888888888884</v>
      </c>
      <c r="T269" s="601">
        <v>14697</v>
      </c>
      <c r="U269" s="628">
        <f t="shared" ref="U269:U276" si="8">T269/$T$278</f>
        <v>0.88894937397931406</v>
      </c>
      <c r="V269" s="588"/>
      <c r="W269" s="588"/>
      <c r="X269" s="543"/>
    </row>
    <row r="270" spans="1:25" s="544" customFormat="1" x14ac:dyDescent="0.3">
      <c r="A270" s="555"/>
      <c r="B270" s="598" t="s">
        <v>89</v>
      </c>
      <c r="C270" s="630"/>
      <c r="D270" s="630"/>
      <c r="E270" s="630"/>
      <c r="F270" s="556"/>
      <c r="G270" s="631"/>
      <c r="H270" s="630"/>
      <c r="I270" s="630"/>
      <c r="J270" s="630"/>
      <c r="K270" s="630"/>
      <c r="L270" s="630"/>
      <c r="M270" s="630"/>
      <c r="N270" s="630"/>
      <c r="O270" s="630"/>
      <c r="P270" s="630"/>
      <c r="Q270" s="630"/>
      <c r="R270" s="598">
        <v>0</v>
      </c>
      <c r="S270" s="631">
        <f t="shared" si="7"/>
        <v>0</v>
      </c>
      <c r="T270" s="599">
        <v>0</v>
      </c>
      <c r="U270" s="631">
        <f t="shared" si="8"/>
        <v>0</v>
      </c>
      <c r="V270" s="556"/>
      <c r="W270" s="558"/>
      <c r="X270" s="543"/>
    </row>
    <row r="271" spans="1:25" s="544" customFormat="1" x14ac:dyDescent="0.3">
      <c r="A271" s="555"/>
      <c r="B271" s="598" t="s">
        <v>90</v>
      </c>
      <c r="C271" s="630"/>
      <c r="D271" s="630"/>
      <c r="E271" s="630"/>
      <c r="F271" s="556"/>
      <c r="G271" s="631"/>
      <c r="H271" s="630"/>
      <c r="I271" s="630"/>
      <c r="J271" s="630"/>
      <c r="K271" s="630"/>
      <c r="L271" s="630"/>
      <c r="M271" s="630"/>
      <c r="N271" s="630"/>
      <c r="O271" s="630"/>
      <c r="P271" s="630"/>
      <c r="Q271" s="630"/>
      <c r="R271" s="598">
        <v>0</v>
      </c>
      <c r="S271" s="631">
        <f t="shared" si="7"/>
        <v>0</v>
      </c>
      <c r="T271" s="599">
        <v>0</v>
      </c>
      <c r="U271" s="631">
        <f t="shared" si="8"/>
        <v>0</v>
      </c>
      <c r="V271" s="556"/>
      <c r="W271" s="558"/>
      <c r="X271" s="543"/>
    </row>
    <row r="272" spans="1:25" s="544" customFormat="1" x14ac:dyDescent="0.3">
      <c r="A272" s="555"/>
      <c r="B272" s="598" t="s">
        <v>156</v>
      </c>
      <c r="C272" s="630"/>
      <c r="D272" s="630"/>
      <c r="E272" s="630"/>
      <c r="F272" s="556"/>
      <c r="G272" s="631"/>
      <c r="H272" s="630"/>
      <c r="I272" s="630"/>
      <c r="J272" s="630"/>
      <c r="K272" s="630"/>
      <c r="L272" s="630"/>
      <c r="M272" s="630"/>
      <c r="N272" s="630"/>
      <c r="O272" s="630"/>
      <c r="P272" s="630"/>
      <c r="Q272" s="630"/>
      <c r="R272" s="598">
        <v>1</v>
      </c>
      <c r="S272" s="631">
        <f t="shared" si="7"/>
        <v>9.2592592592592587E-3</v>
      </c>
      <c r="T272" s="599">
        <v>340</v>
      </c>
      <c r="U272" s="631">
        <f t="shared" si="8"/>
        <v>2.0564930744571462E-2</v>
      </c>
      <c r="V272" s="556"/>
      <c r="W272" s="558"/>
      <c r="X272" s="543"/>
    </row>
    <row r="273" spans="1:24" s="544" customFormat="1" x14ac:dyDescent="0.3">
      <c r="A273" s="555"/>
      <c r="B273" s="598" t="s">
        <v>157</v>
      </c>
      <c r="C273" s="630"/>
      <c r="D273" s="630"/>
      <c r="E273" s="630"/>
      <c r="F273" s="556"/>
      <c r="G273" s="631"/>
      <c r="H273" s="630"/>
      <c r="I273" s="630"/>
      <c r="J273" s="630"/>
      <c r="K273" s="630"/>
      <c r="L273" s="630"/>
      <c r="M273" s="630"/>
      <c r="N273" s="630"/>
      <c r="O273" s="630"/>
      <c r="P273" s="630"/>
      <c r="Q273" s="630"/>
      <c r="R273" s="598">
        <v>1</v>
      </c>
      <c r="S273" s="631">
        <f t="shared" si="7"/>
        <v>9.2592592592592587E-3</v>
      </c>
      <c r="T273" s="599">
        <v>124</v>
      </c>
      <c r="U273" s="631">
        <f t="shared" si="8"/>
        <v>7.5001512127260634E-3</v>
      </c>
      <c r="V273" s="556"/>
      <c r="W273" s="558"/>
      <c r="X273" s="543"/>
    </row>
    <row r="274" spans="1:24" s="544" customFormat="1" x14ac:dyDescent="0.3">
      <c r="A274" s="555"/>
      <c r="B274" s="598" t="s">
        <v>158</v>
      </c>
      <c r="C274" s="630"/>
      <c r="D274" s="630"/>
      <c r="E274" s="630"/>
      <c r="F274" s="556"/>
      <c r="G274" s="631"/>
      <c r="H274" s="630"/>
      <c r="I274" s="630"/>
      <c r="J274" s="630"/>
      <c r="K274" s="630"/>
      <c r="L274" s="630"/>
      <c r="M274" s="630"/>
      <c r="N274" s="630"/>
      <c r="O274" s="630"/>
      <c r="P274" s="630"/>
      <c r="Q274" s="630"/>
      <c r="R274" s="598">
        <v>2</v>
      </c>
      <c r="S274" s="631">
        <f t="shared" si="7"/>
        <v>1.8518518518518517E-2</v>
      </c>
      <c r="T274" s="599">
        <v>270</v>
      </c>
      <c r="U274" s="631">
        <f t="shared" si="8"/>
        <v>1.633097441480675E-2</v>
      </c>
      <c r="V274" s="556"/>
      <c r="W274" s="558"/>
      <c r="X274" s="543"/>
    </row>
    <row r="275" spans="1:24" s="544" customFormat="1" x14ac:dyDescent="0.3">
      <c r="A275" s="555"/>
      <c r="B275" s="598" t="s">
        <v>159</v>
      </c>
      <c r="C275" s="630"/>
      <c r="D275" s="630"/>
      <c r="E275" s="630"/>
      <c r="F275" s="556"/>
      <c r="G275" s="631"/>
      <c r="H275" s="630"/>
      <c r="I275" s="630"/>
      <c r="J275" s="630"/>
      <c r="K275" s="630"/>
      <c r="L275" s="630"/>
      <c r="M275" s="630"/>
      <c r="N275" s="630"/>
      <c r="O275" s="630"/>
      <c r="P275" s="630"/>
      <c r="Q275" s="630"/>
      <c r="R275" s="598">
        <v>2</v>
      </c>
      <c r="S275" s="631">
        <f t="shared" si="7"/>
        <v>1.8518518518518517E-2</v>
      </c>
      <c r="T275" s="599">
        <v>292</v>
      </c>
      <c r="U275" s="631">
        <f t="shared" si="8"/>
        <v>1.7661646404161374E-2</v>
      </c>
      <c r="V275" s="556"/>
      <c r="W275" s="558"/>
      <c r="X275" s="543"/>
    </row>
    <row r="276" spans="1:24" s="544" customFormat="1" x14ac:dyDescent="0.3">
      <c r="A276" s="555"/>
      <c r="B276" s="598" t="s">
        <v>160</v>
      </c>
      <c r="C276" s="630"/>
      <c r="D276" s="630"/>
      <c r="E276" s="630"/>
      <c r="F276" s="556"/>
      <c r="G276" s="631"/>
      <c r="H276" s="630"/>
      <c r="I276" s="630"/>
      <c r="J276" s="630"/>
      <c r="K276" s="630"/>
      <c r="L276" s="630"/>
      <c r="M276" s="630"/>
      <c r="N276" s="630"/>
      <c r="O276" s="630"/>
      <c r="P276" s="630"/>
      <c r="Q276" s="630"/>
      <c r="R276" s="598">
        <v>6</v>
      </c>
      <c r="S276" s="631">
        <f t="shared" si="7"/>
        <v>5.5555555555555552E-2</v>
      </c>
      <c r="T276" s="599">
        <v>810</v>
      </c>
      <c r="U276" s="631">
        <f t="shared" si="8"/>
        <v>4.8992923244420249E-2</v>
      </c>
      <c r="V276" s="556"/>
      <c r="W276" s="558"/>
      <c r="X276" s="543"/>
    </row>
    <row r="277" spans="1:24" s="544" customFormat="1" x14ac:dyDescent="0.3">
      <c r="A277" s="555"/>
      <c r="B277" s="598"/>
      <c r="C277" s="630"/>
      <c r="D277" s="630"/>
      <c r="E277" s="630"/>
      <c r="F277" s="556"/>
      <c r="G277" s="631"/>
      <c r="H277" s="630"/>
      <c r="I277" s="630"/>
      <c r="J277" s="630"/>
      <c r="K277" s="630"/>
      <c r="L277" s="630"/>
      <c r="M277" s="630"/>
      <c r="N277" s="630"/>
      <c r="O277" s="630"/>
      <c r="P277" s="630"/>
      <c r="Q277" s="630"/>
      <c r="R277" s="598"/>
      <c r="S277" s="631"/>
      <c r="T277" s="599"/>
      <c r="U277" s="631"/>
      <c r="V277" s="556"/>
      <c r="W277" s="558"/>
      <c r="X277" s="543"/>
    </row>
    <row r="278" spans="1:24" s="544" customFormat="1" x14ac:dyDescent="0.3">
      <c r="A278" s="555"/>
      <c r="B278" s="556" t="s">
        <v>114</v>
      </c>
      <c r="C278" s="556"/>
      <c r="D278" s="556"/>
      <c r="E278" s="556"/>
      <c r="F278" s="556"/>
      <c r="G278" s="556"/>
      <c r="H278" s="632"/>
      <c r="I278" s="632"/>
      <c r="J278" s="632"/>
      <c r="K278" s="632"/>
      <c r="L278" s="632"/>
      <c r="M278" s="632"/>
      <c r="N278" s="632"/>
      <c r="O278" s="632"/>
      <c r="P278" s="632"/>
      <c r="Q278" s="632"/>
      <c r="R278" s="598">
        <f>SUM(R269:R277)</f>
        <v>108</v>
      </c>
      <c r="S278" s="631">
        <f>SUM(S269:S277)</f>
        <v>1</v>
      </c>
      <c r="T278" s="599">
        <f>SUM(T269:T277)</f>
        <v>16533</v>
      </c>
      <c r="U278" s="631">
        <f>SUM(U269:U277)</f>
        <v>1</v>
      </c>
      <c r="V278" s="556"/>
      <c r="W278" s="558"/>
      <c r="X278" s="543"/>
    </row>
    <row r="279" spans="1:24" s="544" customFormat="1" x14ac:dyDescent="0.3">
      <c r="A279" s="540"/>
      <c r="B279" s="588"/>
      <c r="C279" s="588"/>
      <c r="D279" s="588"/>
      <c r="E279" s="588"/>
      <c r="F279" s="588"/>
      <c r="G279" s="588"/>
      <c r="H279" s="633"/>
      <c r="I279" s="633"/>
      <c r="J279" s="633"/>
      <c r="K279" s="633"/>
      <c r="L279" s="633"/>
      <c r="M279" s="633"/>
      <c r="N279" s="633"/>
      <c r="O279" s="633"/>
      <c r="P279" s="633"/>
      <c r="Q279" s="633"/>
      <c r="R279" s="600"/>
      <c r="S279" s="628"/>
      <c r="T279" s="601"/>
      <c r="U279" s="628"/>
      <c r="V279" s="588"/>
      <c r="W279" s="588"/>
      <c r="X279" s="543"/>
    </row>
    <row r="280" spans="1:24" s="544" customFormat="1" x14ac:dyDescent="0.3">
      <c r="A280" s="647"/>
      <c r="B280" s="648" t="s">
        <v>405</v>
      </c>
      <c r="C280" s="649"/>
      <c r="D280" s="649"/>
      <c r="E280" s="649"/>
      <c r="F280" s="650"/>
      <c r="G280" s="649"/>
      <c r="H280" s="649"/>
      <c r="I280" s="649"/>
      <c r="J280" s="649"/>
      <c r="K280" s="649"/>
      <c r="L280" s="649"/>
      <c r="M280" s="649"/>
      <c r="N280" s="649"/>
      <c r="O280" s="649"/>
      <c r="P280" s="649"/>
      <c r="Q280" s="649"/>
      <c r="R280" s="650" t="s">
        <v>102</v>
      </c>
      <c r="S280" s="649" t="s">
        <v>103</v>
      </c>
      <c r="T280" s="650" t="s">
        <v>109</v>
      </c>
      <c r="U280" s="649" t="s">
        <v>103</v>
      </c>
      <c r="V280" s="649"/>
      <c r="W280" s="649"/>
      <c r="X280" s="543"/>
    </row>
    <row r="281" spans="1:24" s="544" customFormat="1" x14ac:dyDescent="0.3">
      <c r="A281" s="651"/>
      <c r="B281" s="652" t="s">
        <v>406</v>
      </c>
      <c r="C281" s="652"/>
      <c r="D281" s="652"/>
      <c r="E281" s="652"/>
      <c r="F281" s="652"/>
      <c r="G281" s="652"/>
      <c r="H281" s="653"/>
      <c r="I281" s="653"/>
      <c r="J281" s="653"/>
      <c r="K281" s="653"/>
      <c r="L281" s="653"/>
      <c r="M281" s="653"/>
      <c r="N281" s="653"/>
      <c r="O281" s="653"/>
      <c r="P281" s="653"/>
      <c r="Q281" s="653"/>
      <c r="R281" s="655">
        <v>87</v>
      </c>
      <c r="S281" s="656">
        <f>R281/R288</f>
        <v>0.80555555555555558</v>
      </c>
      <c r="T281" s="657">
        <v>13467</v>
      </c>
      <c r="U281" s="656">
        <f>T281/T288</f>
        <v>0.81455271275630559</v>
      </c>
      <c r="V281" s="653"/>
      <c r="W281" s="653"/>
      <c r="X281" s="543"/>
    </row>
    <row r="282" spans="1:24" s="544" customFormat="1" x14ac:dyDescent="0.3">
      <c r="A282" s="651"/>
      <c r="B282" s="652" t="s">
        <v>407</v>
      </c>
      <c r="C282" s="652"/>
      <c r="D282" s="652"/>
      <c r="E282" s="652"/>
      <c r="F282" s="652"/>
      <c r="G282" s="652"/>
      <c r="H282" s="653"/>
      <c r="I282" s="653"/>
      <c r="J282" s="653"/>
      <c r="K282" s="653"/>
      <c r="L282" s="653"/>
      <c r="M282" s="653"/>
      <c r="N282" s="653"/>
      <c r="O282" s="653"/>
      <c r="P282" s="653"/>
      <c r="Q282" s="653"/>
      <c r="R282" s="655">
        <v>0</v>
      </c>
      <c r="S282" s="656">
        <f>R282/R288</f>
        <v>0</v>
      </c>
      <c r="T282" s="657">
        <v>0</v>
      </c>
      <c r="U282" s="656">
        <f>T282/T288</f>
        <v>0</v>
      </c>
      <c r="V282" s="653"/>
      <c r="W282" s="653"/>
      <c r="X282" s="543"/>
    </row>
    <row r="283" spans="1:24" s="544" customFormat="1" x14ac:dyDescent="0.3">
      <c r="A283" s="651"/>
      <c r="B283" s="652" t="s">
        <v>408</v>
      </c>
      <c r="C283" s="652"/>
      <c r="D283" s="652"/>
      <c r="E283" s="652"/>
      <c r="F283" s="652"/>
      <c r="G283" s="652"/>
      <c r="H283" s="653"/>
      <c r="I283" s="653"/>
      <c r="J283" s="653"/>
      <c r="K283" s="653"/>
      <c r="L283" s="653"/>
      <c r="M283" s="653"/>
      <c r="N283" s="653"/>
      <c r="O283" s="653"/>
      <c r="P283" s="653"/>
      <c r="Q283" s="653"/>
      <c r="R283" s="655">
        <v>2</v>
      </c>
      <c r="S283" s="656">
        <f>R283/R288</f>
        <v>1.8518518518518517E-2</v>
      </c>
      <c r="T283" s="657">
        <v>369</v>
      </c>
      <c r="U283" s="656">
        <f>T283/T288</f>
        <v>2.231899836690256E-2</v>
      </c>
      <c r="V283" s="653"/>
      <c r="W283" s="653"/>
      <c r="X283" s="543"/>
    </row>
    <row r="284" spans="1:24" s="544" customFormat="1" x14ac:dyDescent="0.3">
      <c r="A284" s="651"/>
      <c r="B284" s="652" t="s">
        <v>409</v>
      </c>
      <c r="C284" s="652"/>
      <c r="D284" s="652"/>
      <c r="E284" s="652"/>
      <c r="F284" s="652"/>
      <c r="G284" s="652"/>
      <c r="H284" s="653"/>
      <c r="I284" s="653"/>
      <c r="J284" s="653"/>
      <c r="K284" s="653"/>
      <c r="L284" s="653"/>
      <c r="M284" s="653"/>
      <c r="N284" s="653"/>
      <c r="O284" s="653"/>
      <c r="P284" s="653"/>
      <c r="Q284" s="653"/>
      <c r="R284" s="655">
        <v>2</v>
      </c>
      <c r="S284" s="656">
        <f>R284/R288</f>
        <v>1.8518518518518517E-2</v>
      </c>
      <c r="T284" s="657">
        <v>326</v>
      </c>
      <c r="U284" s="656">
        <f>T284/T288</f>
        <v>1.9718139478618519E-2</v>
      </c>
      <c r="V284" s="653"/>
      <c r="W284" s="653"/>
      <c r="X284" s="543"/>
    </row>
    <row r="285" spans="1:24" s="544" customFormat="1" x14ac:dyDescent="0.3">
      <c r="A285" s="651"/>
      <c r="B285" s="652" t="s">
        <v>413</v>
      </c>
      <c r="C285" s="652"/>
      <c r="D285" s="652"/>
      <c r="E285" s="652"/>
      <c r="F285" s="652"/>
      <c r="G285" s="652"/>
      <c r="H285" s="653"/>
      <c r="I285" s="653"/>
      <c r="J285" s="653"/>
      <c r="K285" s="653"/>
      <c r="L285" s="653"/>
      <c r="M285" s="653"/>
      <c r="N285" s="653"/>
      <c r="O285" s="653"/>
      <c r="P285" s="653"/>
      <c r="Q285" s="653"/>
      <c r="R285" s="655">
        <v>13</v>
      </c>
      <c r="S285" s="656">
        <f>R285/R288</f>
        <v>0.12037037037037036</v>
      </c>
      <c r="T285" s="657">
        <v>1859</v>
      </c>
      <c r="U285" s="656">
        <f>T285/T288</f>
        <v>0.11244178310046574</v>
      </c>
      <c r="V285" s="653"/>
      <c r="W285" s="653"/>
      <c r="X285" s="543"/>
    </row>
    <row r="286" spans="1:24" s="544" customFormat="1" x14ac:dyDescent="0.3">
      <c r="A286" s="651"/>
      <c r="B286" s="654" t="s">
        <v>410</v>
      </c>
      <c r="C286" s="652"/>
      <c r="D286" s="652"/>
      <c r="E286" s="652"/>
      <c r="F286" s="652"/>
      <c r="G286" s="652"/>
      <c r="H286" s="653"/>
      <c r="I286" s="653"/>
      <c r="J286" s="653"/>
      <c r="K286" s="653"/>
      <c r="L286" s="653"/>
      <c r="M286" s="653"/>
      <c r="N286" s="653"/>
      <c r="O286" s="653"/>
      <c r="P286" s="653"/>
      <c r="Q286" s="653"/>
      <c r="R286" s="655">
        <v>4</v>
      </c>
      <c r="S286" s="656">
        <f>R286/R288</f>
        <v>3.7037037037037035E-2</v>
      </c>
      <c r="T286" s="657">
        <v>512</v>
      </c>
      <c r="U286" s="656">
        <f>T286/T288</f>
        <v>3.0968366297707616E-2</v>
      </c>
      <c r="V286" s="653"/>
      <c r="W286" s="653"/>
      <c r="X286" s="543"/>
    </row>
    <row r="287" spans="1:24" s="544" customFormat="1" x14ac:dyDescent="0.3">
      <c r="A287" s="651"/>
      <c r="B287" s="652"/>
      <c r="C287" s="652"/>
      <c r="D287" s="652"/>
      <c r="E287" s="652"/>
      <c r="F287" s="652"/>
      <c r="G287" s="652"/>
      <c r="H287" s="653"/>
      <c r="I287" s="653"/>
      <c r="J287" s="653"/>
      <c r="K287" s="653"/>
      <c r="L287" s="653"/>
      <c r="M287" s="653"/>
      <c r="N287" s="653"/>
      <c r="O287" s="653"/>
      <c r="P287" s="653"/>
      <c r="Q287" s="653"/>
      <c r="R287" s="655"/>
      <c r="S287" s="656"/>
      <c r="T287" s="657"/>
      <c r="U287" s="656"/>
      <c r="V287" s="653"/>
      <c r="W287" s="653"/>
      <c r="X287" s="543"/>
    </row>
    <row r="288" spans="1:24" s="544" customFormat="1" x14ac:dyDescent="0.3">
      <c r="A288" s="651"/>
      <c r="B288" s="652" t="s">
        <v>114</v>
      </c>
      <c r="C288" s="652"/>
      <c r="D288" s="652"/>
      <c r="E288" s="652"/>
      <c r="F288" s="652"/>
      <c r="G288" s="652"/>
      <c r="H288" s="653"/>
      <c r="I288" s="653"/>
      <c r="J288" s="653"/>
      <c r="K288" s="653"/>
      <c r="L288" s="653"/>
      <c r="M288" s="653"/>
      <c r="N288" s="653"/>
      <c r="O288" s="653"/>
      <c r="P288" s="653"/>
      <c r="Q288" s="653"/>
      <c r="R288" s="655">
        <f>SUM(R281:R287)</f>
        <v>108</v>
      </c>
      <c r="S288" s="656">
        <f>SUM(S281:S286)</f>
        <v>1</v>
      </c>
      <c r="T288" s="657">
        <f>SUM(T281:T286)</f>
        <v>16533</v>
      </c>
      <c r="U288" s="656">
        <f>SUM(U281:U287)</f>
        <v>1</v>
      </c>
      <c r="V288" s="653"/>
      <c r="W288" s="653"/>
      <c r="X288" s="543"/>
    </row>
    <row r="289" spans="1:24" x14ac:dyDescent="0.3">
      <c r="A289" s="417"/>
      <c r="B289" s="437"/>
      <c r="C289" s="437"/>
      <c r="D289" s="437"/>
      <c r="E289" s="437"/>
      <c r="F289" s="437"/>
      <c r="G289" s="437"/>
      <c r="H289" s="488"/>
      <c r="I289" s="488"/>
      <c r="J289" s="488"/>
      <c r="K289" s="488"/>
      <c r="L289" s="488"/>
      <c r="M289" s="488"/>
      <c r="N289" s="488"/>
      <c r="O289" s="488"/>
      <c r="P289" s="488"/>
      <c r="Q289" s="488"/>
      <c r="R289" s="447"/>
      <c r="S289" s="483"/>
      <c r="T289" s="484"/>
      <c r="U289" s="483"/>
      <c r="V289" s="437"/>
      <c r="W289" s="437"/>
      <c r="X289" s="415"/>
    </row>
    <row r="290" spans="1:24" x14ac:dyDescent="0.3">
      <c r="A290" s="515"/>
      <c r="B290" s="523" t="s">
        <v>163</v>
      </c>
      <c r="C290" s="517"/>
      <c r="D290" s="517"/>
      <c r="E290" s="517"/>
      <c r="F290" s="517"/>
      <c r="G290" s="517"/>
      <c r="H290" s="536"/>
      <c r="I290" s="536"/>
      <c r="J290" s="536"/>
      <c r="K290" s="536"/>
      <c r="L290" s="536"/>
      <c r="M290" s="536"/>
      <c r="N290" s="536"/>
      <c r="O290" s="536"/>
      <c r="P290" s="536"/>
      <c r="Q290" s="536"/>
      <c r="R290" s="534" t="s">
        <v>102</v>
      </c>
      <c r="S290" s="524" t="s">
        <v>103</v>
      </c>
      <c r="T290" s="534" t="s">
        <v>109</v>
      </c>
      <c r="U290" s="524" t="s">
        <v>103</v>
      </c>
      <c r="V290" s="517"/>
      <c r="W290" s="520"/>
      <c r="X290" s="415"/>
    </row>
    <row r="291" spans="1:24" s="544" customFormat="1" x14ac:dyDescent="0.3">
      <c r="A291" s="540"/>
      <c r="B291" s="600" t="s">
        <v>88</v>
      </c>
      <c r="C291" s="588"/>
      <c r="D291" s="588"/>
      <c r="E291" s="588"/>
      <c r="F291" s="588"/>
      <c r="G291" s="588"/>
      <c r="H291" s="633"/>
      <c r="I291" s="633"/>
      <c r="J291" s="633"/>
      <c r="K291" s="633"/>
      <c r="L291" s="633"/>
      <c r="M291" s="633"/>
      <c r="N291" s="633"/>
      <c r="O291" s="633"/>
      <c r="P291" s="633"/>
      <c r="Q291" s="633"/>
      <c r="R291" s="600">
        <v>0</v>
      </c>
      <c r="S291" s="628">
        <v>0</v>
      </c>
      <c r="T291" s="601">
        <v>0</v>
      </c>
      <c r="U291" s="628">
        <v>0</v>
      </c>
      <c r="V291" s="588"/>
      <c r="W291" s="588"/>
      <c r="X291" s="543"/>
    </row>
    <row r="292" spans="1:24" s="544" customFormat="1" x14ac:dyDescent="0.3">
      <c r="A292" s="555"/>
      <c r="B292" s="598" t="s">
        <v>89</v>
      </c>
      <c r="C292" s="556"/>
      <c r="D292" s="556"/>
      <c r="E292" s="556"/>
      <c r="F292" s="556"/>
      <c r="G292" s="556"/>
      <c r="H292" s="632"/>
      <c r="I292" s="632"/>
      <c r="J292" s="632"/>
      <c r="K292" s="632"/>
      <c r="L292" s="632"/>
      <c r="M292" s="632"/>
      <c r="N292" s="632"/>
      <c r="O292" s="632"/>
      <c r="P292" s="632"/>
      <c r="Q292" s="632"/>
      <c r="R292" s="598">
        <v>0</v>
      </c>
      <c r="S292" s="631">
        <v>0</v>
      </c>
      <c r="T292" s="599">
        <v>0</v>
      </c>
      <c r="U292" s="631">
        <v>0</v>
      </c>
      <c r="V292" s="556"/>
      <c r="W292" s="558"/>
      <c r="X292" s="543"/>
    </row>
    <row r="293" spans="1:24" s="544" customFormat="1" x14ac:dyDescent="0.3">
      <c r="A293" s="555"/>
      <c r="B293" s="598" t="s">
        <v>90</v>
      </c>
      <c r="C293" s="556"/>
      <c r="D293" s="556"/>
      <c r="E293" s="556"/>
      <c r="F293" s="556"/>
      <c r="G293" s="556"/>
      <c r="H293" s="632"/>
      <c r="I293" s="632"/>
      <c r="J293" s="632"/>
      <c r="K293" s="632"/>
      <c r="L293" s="632"/>
      <c r="M293" s="632"/>
      <c r="N293" s="632"/>
      <c r="O293" s="632"/>
      <c r="P293" s="632"/>
      <c r="Q293" s="632"/>
      <c r="R293" s="598">
        <v>0</v>
      </c>
      <c r="S293" s="631">
        <v>0</v>
      </c>
      <c r="T293" s="599">
        <v>0</v>
      </c>
      <c r="U293" s="631">
        <v>0</v>
      </c>
      <c r="V293" s="556"/>
      <c r="W293" s="558"/>
      <c r="X293" s="543"/>
    </row>
    <row r="294" spans="1:24" s="544" customFormat="1" x14ac:dyDescent="0.3">
      <c r="A294" s="555"/>
      <c r="B294" s="598" t="s">
        <v>156</v>
      </c>
      <c r="C294" s="556"/>
      <c r="D294" s="556"/>
      <c r="E294" s="556"/>
      <c r="F294" s="556"/>
      <c r="G294" s="556"/>
      <c r="H294" s="632"/>
      <c r="I294" s="632"/>
      <c r="J294" s="632"/>
      <c r="K294" s="632"/>
      <c r="L294" s="632"/>
      <c r="M294" s="632"/>
      <c r="N294" s="632"/>
      <c r="O294" s="632"/>
      <c r="P294" s="632"/>
      <c r="Q294" s="632"/>
      <c r="R294" s="598">
        <v>0</v>
      </c>
      <c r="S294" s="631">
        <v>0</v>
      </c>
      <c r="T294" s="599">
        <v>0</v>
      </c>
      <c r="U294" s="631">
        <v>0</v>
      </c>
      <c r="V294" s="556"/>
      <c r="W294" s="558"/>
      <c r="X294" s="543"/>
    </row>
    <row r="295" spans="1:24" s="544" customFormat="1" x14ac:dyDescent="0.3">
      <c r="A295" s="555"/>
      <c r="B295" s="598" t="s">
        <v>157</v>
      </c>
      <c r="C295" s="556"/>
      <c r="D295" s="556"/>
      <c r="E295" s="556"/>
      <c r="F295" s="556"/>
      <c r="G295" s="556"/>
      <c r="H295" s="632"/>
      <c r="I295" s="632"/>
      <c r="J295" s="632"/>
      <c r="K295" s="632"/>
      <c r="L295" s="632"/>
      <c r="M295" s="632"/>
      <c r="N295" s="632"/>
      <c r="O295" s="632"/>
      <c r="P295" s="632"/>
      <c r="Q295" s="632"/>
      <c r="R295" s="598">
        <v>0</v>
      </c>
      <c r="S295" s="631">
        <v>0</v>
      </c>
      <c r="T295" s="599">
        <v>0</v>
      </c>
      <c r="U295" s="631">
        <v>0</v>
      </c>
      <c r="V295" s="556"/>
      <c r="W295" s="558"/>
      <c r="X295" s="543"/>
    </row>
    <row r="296" spans="1:24" s="544" customFormat="1" x14ac:dyDescent="0.3">
      <c r="A296" s="555"/>
      <c r="B296" s="598" t="s">
        <v>158</v>
      </c>
      <c r="C296" s="556"/>
      <c r="D296" s="556"/>
      <c r="E296" s="556"/>
      <c r="F296" s="556"/>
      <c r="G296" s="556"/>
      <c r="H296" s="632"/>
      <c r="I296" s="632"/>
      <c r="J296" s="632"/>
      <c r="K296" s="632"/>
      <c r="L296" s="632"/>
      <c r="M296" s="632"/>
      <c r="N296" s="632"/>
      <c r="O296" s="632"/>
      <c r="P296" s="632"/>
      <c r="Q296" s="632"/>
      <c r="R296" s="598">
        <v>0</v>
      </c>
      <c r="S296" s="631">
        <v>0</v>
      </c>
      <c r="T296" s="599">
        <v>0</v>
      </c>
      <c r="U296" s="631">
        <v>0</v>
      </c>
      <c r="V296" s="556"/>
      <c r="W296" s="558"/>
      <c r="X296" s="543"/>
    </row>
    <row r="297" spans="1:24" s="544" customFormat="1" x14ac:dyDescent="0.3">
      <c r="A297" s="555"/>
      <c r="B297" s="598" t="s">
        <v>159</v>
      </c>
      <c r="C297" s="556"/>
      <c r="D297" s="556"/>
      <c r="E297" s="556"/>
      <c r="F297" s="556"/>
      <c r="G297" s="556"/>
      <c r="H297" s="632"/>
      <c r="I297" s="632"/>
      <c r="J297" s="632"/>
      <c r="K297" s="632"/>
      <c r="L297" s="632"/>
      <c r="M297" s="632"/>
      <c r="N297" s="632"/>
      <c r="O297" s="632"/>
      <c r="P297" s="632"/>
      <c r="Q297" s="632"/>
      <c r="R297" s="598">
        <v>0</v>
      </c>
      <c r="S297" s="631">
        <v>0</v>
      </c>
      <c r="T297" s="599">
        <v>0</v>
      </c>
      <c r="U297" s="631">
        <v>0</v>
      </c>
      <c r="V297" s="556"/>
      <c r="W297" s="558"/>
      <c r="X297" s="543"/>
    </row>
    <row r="298" spans="1:24" s="544" customFormat="1" x14ac:dyDescent="0.3">
      <c r="A298" s="555"/>
      <c r="B298" s="598" t="s">
        <v>160</v>
      </c>
      <c r="C298" s="556"/>
      <c r="D298" s="556"/>
      <c r="E298" s="556"/>
      <c r="F298" s="556"/>
      <c r="G298" s="556"/>
      <c r="H298" s="632"/>
      <c r="I298" s="632"/>
      <c r="J298" s="632"/>
      <c r="K298" s="632"/>
      <c r="L298" s="632"/>
      <c r="M298" s="632"/>
      <c r="N298" s="632"/>
      <c r="O298" s="632"/>
      <c r="P298" s="632"/>
      <c r="Q298" s="632"/>
      <c r="R298" s="598">
        <v>0</v>
      </c>
      <c r="S298" s="631">
        <v>0</v>
      </c>
      <c r="T298" s="599">
        <v>0</v>
      </c>
      <c r="U298" s="631">
        <v>0</v>
      </c>
      <c r="V298" s="556"/>
      <c r="W298" s="558"/>
      <c r="X298" s="543"/>
    </row>
    <row r="299" spans="1:24" s="544" customFormat="1" x14ac:dyDescent="0.3">
      <c r="A299" s="555"/>
      <c r="B299" s="598"/>
      <c r="C299" s="556"/>
      <c r="D299" s="556"/>
      <c r="E299" s="556"/>
      <c r="F299" s="556"/>
      <c r="G299" s="556"/>
      <c r="H299" s="632"/>
      <c r="I299" s="632"/>
      <c r="J299" s="632"/>
      <c r="K299" s="632"/>
      <c r="L299" s="632"/>
      <c r="M299" s="632"/>
      <c r="N299" s="632"/>
      <c r="O299" s="632"/>
      <c r="P299" s="632"/>
      <c r="Q299" s="632"/>
      <c r="R299" s="598"/>
      <c r="S299" s="631"/>
      <c r="T299" s="599"/>
      <c r="U299" s="631"/>
      <c r="V299" s="556"/>
      <c r="W299" s="558"/>
      <c r="X299" s="543"/>
    </row>
    <row r="300" spans="1:24" s="544" customFormat="1" x14ac:dyDescent="0.3">
      <c r="A300" s="555"/>
      <c r="B300" s="556" t="s">
        <v>114</v>
      </c>
      <c r="C300" s="556"/>
      <c r="D300" s="556"/>
      <c r="E300" s="556"/>
      <c r="F300" s="556"/>
      <c r="G300" s="556"/>
      <c r="H300" s="632"/>
      <c r="I300" s="632"/>
      <c r="J300" s="632"/>
      <c r="K300" s="632"/>
      <c r="L300" s="632"/>
      <c r="M300" s="632"/>
      <c r="N300" s="632"/>
      <c r="O300" s="632"/>
      <c r="P300" s="632"/>
      <c r="Q300" s="632"/>
      <c r="R300" s="598">
        <f>SUM(R291:R298)</f>
        <v>0</v>
      </c>
      <c r="S300" s="631">
        <f>SUM(S291:S299)</f>
        <v>0</v>
      </c>
      <c r="T300" s="599">
        <f>SUM(T291:T298)</f>
        <v>0</v>
      </c>
      <c r="U300" s="631">
        <f>SUM(U291:U299)</f>
        <v>0</v>
      </c>
      <c r="V300" s="556"/>
      <c r="W300" s="558"/>
      <c r="X300" s="543"/>
    </row>
    <row r="301" spans="1:24" s="544" customFormat="1" x14ac:dyDescent="0.3">
      <c r="A301" s="555"/>
      <c r="B301" s="556"/>
      <c r="C301" s="556"/>
      <c r="D301" s="556"/>
      <c r="E301" s="556"/>
      <c r="F301" s="556"/>
      <c r="G301" s="556"/>
      <c r="H301" s="632"/>
      <c r="I301" s="632"/>
      <c r="J301" s="632"/>
      <c r="K301" s="632"/>
      <c r="L301" s="632"/>
      <c r="M301" s="632"/>
      <c r="N301" s="632"/>
      <c r="O301" s="632"/>
      <c r="P301" s="632"/>
      <c r="Q301" s="632"/>
      <c r="R301" s="598"/>
      <c r="S301" s="631"/>
      <c r="T301" s="599"/>
      <c r="U301" s="631"/>
      <c r="V301" s="556"/>
      <c r="W301" s="558"/>
      <c r="X301" s="543"/>
    </row>
    <row r="302" spans="1:24" s="544" customFormat="1" x14ac:dyDescent="0.3">
      <c r="A302" s="555"/>
      <c r="B302" s="561" t="s">
        <v>164</v>
      </c>
      <c r="C302" s="556"/>
      <c r="D302" s="556"/>
      <c r="E302" s="556"/>
      <c r="F302" s="556"/>
      <c r="G302" s="556"/>
      <c r="H302" s="632"/>
      <c r="I302" s="632"/>
      <c r="J302" s="632"/>
      <c r="K302" s="632"/>
      <c r="L302" s="632"/>
      <c r="M302" s="632"/>
      <c r="N302" s="632"/>
      <c r="O302" s="632"/>
      <c r="P302" s="632"/>
      <c r="Q302" s="632"/>
      <c r="R302" s="634">
        <f>R300+R278+R266</f>
        <v>5133</v>
      </c>
      <c r="S302" s="631"/>
      <c r="T302" s="635">
        <f>+T300+T278+T266</f>
        <v>692884</v>
      </c>
      <c r="U302" s="631"/>
      <c r="V302" s="556"/>
      <c r="W302" s="558"/>
      <c r="X302" s="543"/>
    </row>
    <row r="303" spans="1:24" s="544" customFormat="1" x14ac:dyDescent="0.3">
      <c r="A303" s="540"/>
      <c r="B303" s="629"/>
      <c r="C303" s="588"/>
      <c r="D303" s="588"/>
      <c r="E303" s="588"/>
      <c r="F303" s="588"/>
      <c r="G303" s="588"/>
      <c r="H303" s="633"/>
      <c r="I303" s="633"/>
      <c r="J303" s="633"/>
      <c r="K303" s="633"/>
      <c r="L303" s="633"/>
      <c r="M303" s="633"/>
      <c r="N303" s="633"/>
      <c r="O303" s="633"/>
      <c r="P303" s="633"/>
      <c r="Q303" s="633"/>
      <c r="R303" s="617"/>
      <c r="S303" s="628"/>
      <c r="T303" s="643"/>
      <c r="U303" s="628"/>
      <c r="V303" s="588"/>
      <c r="W303" s="588"/>
      <c r="X303" s="543"/>
    </row>
    <row r="304" spans="1:24" s="544" customFormat="1" x14ac:dyDescent="0.3">
      <c r="A304" s="515" t="s">
        <v>392</v>
      </c>
      <c r="B304" s="523" t="s">
        <v>393</v>
      </c>
      <c r="C304" s="517"/>
      <c r="D304" s="517"/>
      <c r="E304" s="517"/>
      <c r="F304" s="517"/>
      <c r="G304" s="517"/>
      <c r="H304" s="536"/>
      <c r="I304" s="536"/>
      <c r="J304" s="536"/>
      <c r="K304" s="536"/>
      <c r="L304" s="536"/>
      <c r="M304" s="536"/>
      <c r="N304" s="536"/>
      <c r="O304" s="536"/>
      <c r="P304" s="536"/>
      <c r="Q304" s="536"/>
      <c r="R304" s="534" t="s">
        <v>102</v>
      </c>
      <c r="S304" s="524" t="s">
        <v>103</v>
      </c>
      <c r="T304" s="534" t="s">
        <v>109</v>
      </c>
      <c r="U304" s="524" t="s">
        <v>103</v>
      </c>
      <c r="V304" s="648" t="s">
        <v>421</v>
      </c>
      <c r="W304" s="520"/>
      <c r="X304" s="543"/>
    </row>
    <row r="305" spans="1:24" s="544" customFormat="1" x14ac:dyDescent="0.3">
      <c r="A305" s="540"/>
      <c r="B305" s="600" t="s">
        <v>88</v>
      </c>
      <c r="C305" s="588"/>
      <c r="D305" s="588"/>
      <c r="E305" s="588"/>
      <c r="F305" s="588"/>
      <c r="G305" s="588"/>
      <c r="H305" s="633"/>
      <c r="I305" s="633"/>
      <c r="J305" s="633"/>
      <c r="K305" s="633"/>
      <c r="L305" s="633"/>
      <c r="M305" s="633"/>
      <c r="N305" s="633"/>
      <c r="O305" s="633"/>
      <c r="P305" s="633"/>
      <c r="Q305" s="633"/>
      <c r="R305" s="600">
        <v>30</v>
      </c>
      <c r="S305" s="628">
        <f>+R305/R314</f>
        <v>1</v>
      </c>
      <c r="T305" s="601">
        <v>3346</v>
      </c>
      <c r="U305" s="628">
        <f>+T305/T314</f>
        <v>1</v>
      </c>
      <c r="V305" s="588"/>
      <c r="W305" s="588"/>
      <c r="X305" s="543"/>
    </row>
    <row r="306" spans="1:24" s="544" customFormat="1" x14ac:dyDescent="0.3">
      <c r="A306" s="555"/>
      <c r="B306" s="598" t="s">
        <v>89</v>
      </c>
      <c r="C306" s="556"/>
      <c r="D306" s="556"/>
      <c r="E306" s="556"/>
      <c r="F306" s="556"/>
      <c r="G306" s="556"/>
      <c r="H306" s="632"/>
      <c r="I306" s="632"/>
      <c r="J306" s="632"/>
      <c r="K306" s="632"/>
      <c r="L306" s="632"/>
      <c r="M306" s="632"/>
      <c r="N306" s="632"/>
      <c r="O306" s="632"/>
      <c r="P306" s="632"/>
      <c r="Q306" s="632"/>
      <c r="R306" s="598">
        <v>0</v>
      </c>
      <c r="S306" s="631">
        <f>+R306/R314</f>
        <v>0</v>
      </c>
      <c r="T306" s="599">
        <v>0</v>
      </c>
      <c r="U306" s="631">
        <f>+T306/T314</f>
        <v>0</v>
      </c>
      <c r="V306" s="556"/>
      <c r="W306" s="558"/>
      <c r="X306" s="543"/>
    </row>
    <row r="307" spans="1:24" s="544" customFormat="1" x14ac:dyDescent="0.3">
      <c r="A307" s="555"/>
      <c r="B307" s="598" t="s">
        <v>90</v>
      </c>
      <c r="C307" s="556"/>
      <c r="D307" s="556"/>
      <c r="E307" s="556"/>
      <c r="F307" s="556"/>
      <c r="G307" s="556"/>
      <c r="H307" s="632"/>
      <c r="I307" s="632"/>
      <c r="J307" s="632"/>
      <c r="K307" s="632"/>
      <c r="L307" s="632"/>
      <c r="M307" s="632"/>
      <c r="N307" s="632"/>
      <c r="O307" s="632"/>
      <c r="P307" s="632"/>
      <c r="Q307" s="632"/>
      <c r="R307" s="598">
        <v>0</v>
      </c>
      <c r="S307" s="631">
        <f>+R307/R314</f>
        <v>0</v>
      </c>
      <c r="T307" s="599">
        <v>0</v>
      </c>
      <c r="U307" s="631">
        <f>+T307/T314</f>
        <v>0</v>
      </c>
      <c r="V307" s="556"/>
      <c r="W307" s="558"/>
      <c r="X307" s="543"/>
    </row>
    <row r="308" spans="1:24" s="544" customFormat="1" x14ac:dyDescent="0.3">
      <c r="A308" s="555"/>
      <c r="B308" s="598" t="s">
        <v>156</v>
      </c>
      <c r="C308" s="556"/>
      <c r="D308" s="556"/>
      <c r="E308" s="556"/>
      <c r="F308" s="556"/>
      <c r="G308" s="556"/>
      <c r="H308" s="632"/>
      <c r="I308" s="632"/>
      <c r="J308" s="632"/>
      <c r="K308" s="632"/>
      <c r="L308" s="632"/>
      <c r="M308" s="632"/>
      <c r="N308" s="632"/>
      <c r="O308" s="632"/>
      <c r="P308" s="632"/>
      <c r="Q308" s="632"/>
      <c r="R308" s="598">
        <v>0</v>
      </c>
      <c r="S308" s="631">
        <f>+R308/R314</f>
        <v>0</v>
      </c>
      <c r="T308" s="599">
        <v>0</v>
      </c>
      <c r="U308" s="631">
        <f>+T308/T314</f>
        <v>0</v>
      </c>
      <c r="V308" s="556"/>
      <c r="W308" s="558"/>
      <c r="X308" s="543"/>
    </row>
    <row r="309" spans="1:24" s="544" customFormat="1" x14ac:dyDescent="0.3">
      <c r="A309" s="555"/>
      <c r="B309" s="598" t="s">
        <v>157</v>
      </c>
      <c r="C309" s="556"/>
      <c r="D309" s="556"/>
      <c r="E309" s="556"/>
      <c r="F309" s="556"/>
      <c r="G309" s="556"/>
      <c r="H309" s="632"/>
      <c r="I309" s="632"/>
      <c r="J309" s="632"/>
      <c r="K309" s="632"/>
      <c r="L309" s="632"/>
      <c r="M309" s="632"/>
      <c r="N309" s="632"/>
      <c r="O309" s="632"/>
      <c r="P309" s="632"/>
      <c r="Q309" s="632"/>
      <c r="R309" s="598">
        <v>0</v>
      </c>
      <c r="S309" s="631">
        <f>+R309/R314</f>
        <v>0</v>
      </c>
      <c r="T309" s="599">
        <v>0</v>
      </c>
      <c r="U309" s="631">
        <f>+T309/T314</f>
        <v>0</v>
      </c>
      <c r="V309" s="556"/>
      <c r="W309" s="558"/>
      <c r="X309" s="543"/>
    </row>
    <row r="310" spans="1:24" s="544" customFormat="1" x14ac:dyDescent="0.3">
      <c r="A310" s="555"/>
      <c r="B310" s="598" t="s">
        <v>158</v>
      </c>
      <c r="C310" s="556"/>
      <c r="D310" s="556"/>
      <c r="E310" s="556"/>
      <c r="F310" s="556"/>
      <c r="G310" s="556"/>
      <c r="H310" s="632"/>
      <c r="I310" s="632"/>
      <c r="J310" s="632"/>
      <c r="K310" s="632"/>
      <c r="L310" s="632"/>
      <c r="M310" s="632"/>
      <c r="N310" s="632"/>
      <c r="O310" s="632"/>
      <c r="P310" s="632"/>
      <c r="Q310" s="632"/>
      <c r="R310" s="598">
        <v>0</v>
      </c>
      <c r="S310" s="631">
        <f>+R310/R314</f>
        <v>0</v>
      </c>
      <c r="T310" s="599">
        <v>0</v>
      </c>
      <c r="U310" s="631">
        <f>+T310/T314</f>
        <v>0</v>
      </c>
      <c r="V310" s="556"/>
      <c r="W310" s="558"/>
      <c r="X310" s="543"/>
    </row>
    <row r="311" spans="1:24" s="544" customFormat="1" x14ac:dyDescent="0.3">
      <c r="A311" s="555"/>
      <c r="B311" s="598" t="s">
        <v>159</v>
      </c>
      <c r="C311" s="556"/>
      <c r="D311" s="556"/>
      <c r="E311" s="556"/>
      <c r="F311" s="556"/>
      <c r="G311" s="556"/>
      <c r="H311" s="632"/>
      <c r="I311" s="632"/>
      <c r="J311" s="632"/>
      <c r="K311" s="632"/>
      <c r="L311" s="632"/>
      <c r="M311" s="632"/>
      <c r="N311" s="632"/>
      <c r="O311" s="632"/>
      <c r="P311" s="632"/>
      <c r="Q311" s="632"/>
      <c r="R311" s="598">
        <v>0</v>
      </c>
      <c r="S311" s="631">
        <f>+R311/R314</f>
        <v>0</v>
      </c>
      <c r="T311" s="599">
        <v>0</v>
      </c>
      <c r="U311" s="631">
        <f>+T311/T314</f>
        <v>0</v>
      </c>
      <c r="V311" s="556"/>
      <c r="W311" s="558"/>
      <c r="X311" s="543"/>
    </row>
    <row r="312" spans="1:24" s="544" customFormat="1" x14ac:dyDescent="0.3">
      <c r="A312" s="555"/>
      <c r="B312" s="598" t="s">
        <v>160</v>
      </c>
      <c r="C312" s="556"/>
      <c r="D312" s="556"/>
      <c r="E312" s="556"/>
      <c r="F312" s="556"/>
      <c r="G312" s="556"/>
      <c r="H312" s="632"/>
      <c r="I312" s="632"/>
      <c r="J312" s="632"/>
      <c r="K312" s="632"/>
      <c r="L312" s="632"/>
      <c r="M312" s="632"/>
      <c r="N312" s="632"/>
      <c r="O312" s="632"/>
      <c r="P312" s="632"/>
      <c r="Q312" s="632"/>
      <c r="R312" s="598">
        <v>0</v>
      </c>
      <c r="S312" s="631">
        <f>+R312/R314</f>
        <v>0</v>
      </c>
      <c r="T312" s="599">
        <v>0</v>
      </c>
      <c r="U312" s="631">
        <f>+T312/T314</f>
        <v>0</v>
      </c>
      <c r="V312" s="556"/>
      <c r="W312" s="558"/>
      <c r="X312" s="543"/>
    </row>
    <row r="313" spans="1:24" s="544" customFormat="1" x14ac:dyDescent="0.3">
      <c r="A313" s="555"/>
      <c r="B313" s="598"/>
      <c r="C313" s="556"/>
      <c r="D313" s="556"/>
      <c r="E313" s="556"/>
      <c r="F313" s="556"/>
      <c r="G313" s="556"/>
      <c r="H313" s="632"/>
      <c r="I313" s="632"/>
      <c r="J313" s="632"/>
      <c r="K313" s="632"/>
      <c r="L313" s="632"/>
      <c r="M313" s="632"/>
      <c r="N313" s="632"/>
      <c r="O313" s="632"/>
      <c r="P313" s="632"/>
      <c r="Q313" s="632"/>
      <c r="R313" s="598"/>
      <c r="S313" s="631"/>
      <c r="T313" s="599"/>
      <c r="U313" s="631"/>
      <c r="V313" s="556"/>
      <c r="W313" s="558"/>
      <c r="X313" s="543"/>
    </row>
    <row r="314" spans="1:24" s="544" customFormat="1" x14ac:dyDescent="0.3">
      <c r="A314" s="555"/>
      <c r="B314" s="556" t="s">
        <v>114</v>
      </c>
      <c r="C314" s="556"/>
      <c r="D314" s="556"/>
      <c r="E314" s="556"/>
      <c r="F314" s="556"/>
      <c r="G314" s="556"/>
      <c r="H314" s="632"/>
      <c r="I314" s="632"/>
      <c r="J314" s="632"/>
      <c r="K314" s="632"/>
      <c r="L314" s="632"/>
      <c r="M314" s="632"/>
      <c r="N314" s="632"/>
      <c r="O314" s="632"/>
      <c r="P314" s="632"/>
      <c r="Q314" s="632"/>
      <c r="R314" s="598">
        <f>SUM(R305:R312)</f>
        <v>30</v>
      </c>
      <c r="S314" s="631">
        <f>SUM(S305:S313)</f>
        <v>1</v>
      </c>
      <c r="T314" s="599">
        <f>SUM(T305:T312)</f>
        <v>3346</v>
      </c>
      <c r="U314" s="631">
        <f>SUM(U305:U313)</f>
        <v>1</v>
      </c>
      <c r="V314" s="556"/>
      <c r="W314" s="558"/>
      <c r="X314" s="543"/>
    </row>
    <row r="315" spans="1:24" s="544" customFormat="1" ht="16.2" thickBot="1" x14ac:dyDescent="0.35">
      <c r="A315" s="555"/>
      <c r="B315" s="556" t="s">
        <v>412</v>
      </c>
      <c r="C315" s="556"/>
      <c r="D315" s="556"/>
      <c r="E315" s="556"/>
      <c r="F315" s="556"/>
      <c r="G315" s="556"/>
      <c r="H315" s="632"/>
      <c r="I315" s="632"/>
      <c r="J315" s="632"/>
      <c r="K315" s="632"/>
      <c r="L315" s="632"/>
      <c r="M315" s="632"/>
      <c r="N315" s="632"/>
      <c r="O315" s="632"/>
      <c r="P315" s="632"/>
      <c r="Q315" s="632"/>
      <c r="R315" s="658"/>
      <c r="S315" s="658">
        <f>+R314/R302</f>
        <v>5.8445353594389245E-3</v>
      </c>
      <c r="T315" s="660"/>
      <c r="U315" s="660">
        <f>+T314/T302</f>
        <v>4.8290911610024186E-3</v>
      </c>
      <c r="V315" s="556"/>
      <c r="W315" s="558"/>
      <c r="X315" s="543"/>
    </row>
    <row r="316" spans="1:24" s="544" customFormat="1" ht="16.2" thickTop="1" x14ac:dyDescent="0.3">
      <c r="A316" s="661"/>
      <c r="B316" s="662" t="s">
        <v>415</v>
      </c>
      <c r="C316" s="556"/>
      <c r="D316" s="556"/>
      <c r="E316" s="556"/>
      <c r="F316" s="556"/>
      <c r="G316" s="556"/>
      <c r="H316" s="632"/>
      <c r="I316" s="632"/>
      <c r="J316" s="632"/>
      <c r="K316" s="632"/>
      <c r="L316" s="632"/>
      <c r="M316" s="632"/>
      <c r="N316" s="632"/>
      <c r="O316" s="632"/>
      <c r="P316" s="632"/>
      <c r="Q316" s="632"/>
      <c r="R316" s="663">
        <v>4</v>
      </c>
      <c r="S316" s="664">
        <f>R316/R314</f>
        <v>0.13333333333333333</v>
      </c>
      <c r="T316" s="665">
        <v>365</v>
      </c>
      <c r="U316" s="664">
        <f>T316/T314</f>
        <v>0.1090854751942618</v>
      </c>
      <c r="V316" s="666">
        <v>1.25</v>
      </c>
      <c r="W316" s="558"/>
      <c r="X316" s="543"/>
    </row>
    <row r="317" spans="1:24" s="544" customFormat="1" ht="16.2" thickBot="1" x14ac:dyDescent="0.35">
      <c r="A317" s="661"/>
      <c r="B317" s="662" t="s">
        <v>416</v>
      </c>
      <c r="C317" s="556"/>
      <c r="D317" s="556"/>
      <c r="E317" s="556"/>
      <c r="F317" s="556"/>
      <c r="G317" s="556"/>
      <c r="H317" s="632"/>
      <c r="I317" s="632"/>
      <c r="J317" s="632"/>
      <c r="K317" s="632"/>
      <c r="L317" s="632"/>
      <c r="M317" s="632"/>
      <c r="N317" s="632"/>
      <c r="O317" s="632"/>
      <c r="P317" s="632"/>
      <c r="Q317" s="632"/>
      <c r="R317" s="667">
        <v>26</v>
      </c>
      <c r="S317" s="668">
        <f>R317/R314</f>
        <v>0.8666666666666667</v>
      </c>
      <c r="T317" s="669">
        <v>2981</v>
      </c>
      <c r="U317" s="670">
        <f>T317/T314</f>
        <v>0.89091452480573818</v>
      </c>
      <c r="V317" s="671">
        <v>1.7307692307692308</v>
      </c>
      <c r="W317" s="558"/>
      <c r="X317" s="543"/>
    </row>
    <row r="318" spans="1:24" s="544" customFormat="1" ht="16.2" thickTop="1" x14ac:dyDescent="0.3">
      <c r="A318" s="540"/>
      <c r="B318" s="541"/>
      <c r="C318" s="541"/>
      <c r="D318" s="541"/>
      <c r="E318" s="541"/>
      <c r="F318" s="541"/>
      <c r="G318" s="541"/>
      <c r="H318" s="636"/>
      <c r="I318" s="636"/>
      <c r="J318" s="636"/>
      <c r="K318" s="636"/>
      <c r="L318" s="636"/>
      <c r="M318" s="636"/>
      <c r="N318" s="636"/>
      <c r="O318" s="636"/>
      <c r="P318" s="636"/>
      <c r="Q318" s="636"/>
      <c r="R318" s="636"/>
      <c r="S318" s="636"/>
      <c r="T318" s="637"/>
      <c r="U318" s="636"/>
      <c r="V318" s="541"/>
      <c r="W318" s="541"/>
      <c r="X318" s="543"/>
    </row>
    <row r="319" spans="1:24" s="544" customFormat="1" x14ac:dyDescent="0.3">
      <c r="A319" s="540"/>
      <c r="B319" s="539" t="s">
        <v>91</v>
      </c>
      <c r="C319" s="541"/>
      <c r="D319" s="541"/>
      <c r="E319" s="541"/>
      <c r="F319" s="547" t="s">
        <v>97</v>
      </c>
      <c r="G319" s="541"/>
      <c r="H319" s="539" t="s">
        <v>99</v>
      </c>
      <c r="I319" s="539"/>
      <c r="J319" s="539"/>
      <c r="K319" s="541"/>
      <c r="L319" s="541"/>
      <c r="M319" s="541"/>
      <c r="N319" s="541"/>
      <c r="O319" s="541"/>
      <c r="P319" s="541"/>
      <c r="Q319" s="541"/>
      <c r="R319" s="541"/>
      <c r="S319" s="541"/>
      <c r="T319" s="541"/>
      <c r="U319" s="541"/>
      <c r="V319" s="541"/>
      <c r="W319" s="541"/>
      <c r="X319" s="543"/>
    </row>
    <row r="320" spans="1:24" s="544" customFormat="1" x14ac:dyDescent="0.3">
      <c r="A320" s="540"/>
      <c r="B320" s="539" t="s">
        <v>339</v>
      </c>
      <c r="C320" s="539"/>
      <c r="D320" s="539"/>
      <c r="E320" s="539"/>
      <c r="F320" s="638" t="s">
        <v>278</v>
      </c>
      <c r="G320" s="539"/>
      <c r="H320" s="639" t="s">
        <v>372</v>
      </c>
      <c r="I320" s="541"/>
      <c r="J320" s="539"/>
      <c r="K320" s="541"/>
      <c r="L320" s="541"/>
      <c r="M320" s="541"/>
      <c r="N320" s="541"/>
      <c r="O320" s="541"/>
      <c r="P320" s="541"/>
      <c r="Q320" s="541"/>
      <c r="R320" s="541"/>
      <c r="S320" s="541"/>
      <c r="T320" s="541"/>
      <c r="U320" s="541"/>
      <c r="V320" s="541"/>
      <c r="W320" s="541"/>
      <c r="X320" s="543"/>
    </row>
    <row r="321" spans="1:24" s="544" customFormat="1" x14ac:dyDescent="0.3">
      <c r="A321" s="540"/>
      <c r="B321" s="539" t="s">
        <v>340</v>
      </c>
      <c r="C321" s="539"/>
      <c r="D321" s="539"/>
      <c r="E321" s="539"/>
      <c r="F321" s="638" t="s">
        <v>147</v>
      </c>
      <c r="G321" s="539"/>
      <c r="H321" s="639" t="s">
        <v>373</v>
      </c>
      <c r="I321" s="539"/>
      <c r="J321" s="539"/>
      <c r="K321" s="541"/>
      <c r="L321" s="541"/>
      <c r="M321" s="541"/>
      <c r="N321" s="541"/>
      <c r="O321" s="541"/>
      <c r="P321" s="541"/>
      <c r="Q321" s="541"/>
      <c r="R321" s="541"/>
      <c r="S321" s="541"/>
      <c r="T321" s="541"/>
      <c r="U321" s="541"/>
      <c r="V321" s="541"/>
      <c r="W321" s="541"/>
      <c r="X321" s="543"/>
    </row>
    <row r="322" spans="1:24" s="544" customFormat="1" x14ac:dyDescent="0.3">
      <c r="A322" s="540"/>
      <c r="B322" s="539"/>
      <c r="C322" s="539"/>
      <c r="D322" s="539"/>
      <c r="E322" s="539"/>
      <c r="F322" s="638"/>
      <c r="G322" s="539"/>
      <c r="H322" s="539"/>
      <c r="I322" s="539"/>
      <c r="J322" s="539"/>
      <c r="K322" s="541"/>
      <c r="L322" s="541"/>
      <c r="M322" s="541"/>
      <c r="N322" s="541"/>
      <c r="O322" s="541"/>
      <c r="P322" s="541"/>
      <c r="Q322" s="541"/>
      <c r="R322" s="541"/>
      <c r="S322" s="541"/>
      <c r="T322" s="541"/>
      <c r="U322" s="541"/>
      <c r="V322" s="541"/>
      <c r="W322" s="541"/>
      <c r="X322" s="543"/>
    </row>
    <row r="323" spans="1:24" s="544" customFormat="1" x14ac:dyDescent="0.3">
      <c r="A323" s="540"/>
      <c r="B323" s="588" t="s">
        <v>368</v>
      </c>
      <c r="C323" s="539"/>
      <c r="D323" s="539"/>
      <c r="E323" s="539"/>
      <c r="F323" s="638"/>
      <c r="G323" s="539"/>
      <c r="H323" s="539"/>
      <c r="I323" s="539"/>
      <c r="J323" s="539"/>
      <c r="K323" s="541"/>
      <c r="L323" s="541"/>
      <c r="M323" s="541"/>
      <c r="N323" s="541"/>
      <c r="O323" s="541"/>
      <c r="P323" s="541"/>
      <c r="Q323" s="541"/>
      <c r="R323" s="541"/>
      <c r="S323" s="541"/>
      <c r="T323" s="541"/>
      <c r="U323" s="541"/>
      <c r="V323" s="541"/>
      <c r="W323" s="541"/>
      <c r="X323" s="543"/>
    </row>
    <row r="324" spans="1:24" s="544" customFormat="1" x14ac:dyDescent="0.3">
      <c r="A324" s="540"/>
      <c r="B324" s="588" t="s">
        <v>374</v>
      </c>
      <c r="C324" s="539"/>
      <c r="D324" s="539"/>
      <c r="E324" s="539"/>
      <c r="F324" s="638"/>
      <c r="G324" s="539"/>
      <c r="H324" s="539"/>
      <c r="I324" s="539"/>
      <c r="J324" s="539"/>
      <c r="K324" s="541"/>
      <c r="L324" s="541"/>
      <c r="M324" s="541"/>
      <c r="N324" s="541"/>
      <c r="O324" s="541"/>
      <c r="P324" s="541"/>
      <c r="Q324" s="541"/>
      <c r="R324" s="541"/>
      <c r="S324" s="541"/>
      <c r="T324" s="541"/>
      <c r="U324" s="541"/>
      <c r="V324" s="541"/>
      <c r="W324" s="541"/>
      <c r="X324" s="543"/>
    </row>
    <row r="325" spans="1:24" s="544" customFormat="1" x14ac:dyDescent="0.3">
      <c r="A325" s="540"/>
      <c r="B325" s="588" t="s">
        <v>365</v>
      </c>
      <c r="C325" s="539"/>
      <c r="D325" s="539"/>
      <c r="E325" s="539"/>
      <c r="F325" s="638"/>
      <c r="G325" s="539"/>
      <c r="H325" s="539"/>
      <c r="I325" s="539"/>
      <c r="J325" s="539"/>
      <c r="K325" s="541"/>
      <c r="L325" s="541"/>
      <c r="M325" s="541"/>
      <c r="N325" s="541"/>
      <c r="O325" s="541"/>
      <c r="P325" s="541"/>
      <c r="Q325" s="541"/>
      <c r="R325" s="541"/>
      <c r="S325" s="541"/>
      <c r="T325" s="541"/>
      <c r="U325" s="541"/>
      <c r="V325" s="541"/>
      <c r="W325" s="541"/>
      <c r="X325" s="543"/>
    </row>
    <row r="326" spans="1:24" s="544" customFormat="1" x14ac:dyDescent="0.3">
      <c r="A326" s="540"/>
      <c r="B326" s="588" t="s">
        <v>366</v>
      </c>
      <c r="C326" s="539"/>
      <c r="D326" s="539"/>
      <c r="E326" s="539"/>
      <c r="F326" s="638"/>
      <c r="G326" s="539"/>
      <c r="H326" s="539"/>
      <c r="I326" s="539"/>
      <c r="J326" s="539"/>
      <c r="K326" s="541"/>
      <c r="L326" s="541"/>
      <c r="M326" s="541"/>
      <c r="N326" s="541"/>
      <c r="O326" s="541"/>
      <c r="P326" s="541"/>
      <c r="Q326" s="541"/>
      <c r="R326" s="541"/>
      <c r="S326" s="541"/>
      <c r="T326" s="541"/>
      <c r="U326" s="541"/>
      <c r="V326" s="541"/>
      <c r="W326" s="541"/>
      <c r="X326" s="543"/>
    </row>
    <row r="327" spans="1:24" s="544" customFormat="1" x14ac:dyDescent="0.3">
      <c r="A327" s="540"/>
      <c r="B327" s="588"/>
      <c r="C327" s="539"/>
      <c r="D327" s="539"/>
      <c r="E327" s="539"/>
      <c r="F327" s="638"/>
      <c r="G327" s="539"/>
      <c r="H327" s="539"/>
      <c r="I327" s="539"/>
      <c r="J327" s="539"/>
      <c r="K327" s="541"/>
      <c r="L327" s="541"/>
      <c r="M327" s="541"/>
      <c r="N327" s="541"/>
      <c r="O327" s="541"/>
      <c r="P327" s="541"/>
      <c r="Q327" s="541"/>
      <c r="R327" s="541"/>
      <c r="S327" s="541"/>
      <c r="T327" s="541"/>
      <c r="U327" s="541"/>
      <c r="V327" s="541"/>
      <c r="W327" s="541"/>
      <c r="X327" s="543"/>
    </row>
    <row r="328" spans="1:24" s="544" customFormat="1" x14ac:dyDescent="0.3">
      <c r="A328" s="540"/>
      <c r="B328" s="644" t="s">
        <v>411</v>
      </c>
      <c r="C328" s="539"/>
      <c r="D328" s="539"/>
      <c r="E328" s="539"/>
      <c r="F328" s="638"/>
      <c r="G328" s="539"/>
      <c r="H328" s="539"/>
      <c r="I328" s="539"/>
      <c r="J328" s="539"/>
      <c r="K328" s="541"/>
      <c r="L328" s="541"/>
      <c r="M328" s="541"/>
      <c r="N328" s="541"/>
      <c r="O328" s="541"/>
      <c r="P328" s="541"/>
      <c r="Q328" s="541"/>
      <c r="R328" s="541"/>
      <c r="S328" s="541"/>
      <c r="T328" s="541"/>
      <c r="U328" s="541"/>
      <c r="V328" s="541"/>
      <c r="W328" s="541"/>
      <c r="X328" s="543"/>
    </row>
    <row r="329" spans="1:24" s="544" customFormat="1" x14ac:dyDescent="0.3">
      <c r="A329" s="540"/>
      <c r="B329" s="588"/>
      <c r="C329" s="539"/>
      <c r="D329" s="539"/>
      <c r="E329" s="539"/>
      <c r="F329" s="638"/>
      <c r="G329" s="539"/>
      <c r="H329" s="539"/>
      <c r="I329" s="539"/>
      <c r="J329" s="539"/>
      <c r="K329" s="541"/>
      <c r="L329" s="541"/>
      <c r="M329" s="541"/>
      <c r="N329" s="541"/>
      <c r="O329" s="541"/>
      <c r="P329" s="541"/>
      <c r="Q329" s="541"/>
      <c r="R329" s="541"/>
      <c r="S329" s="541"/>
      <c r="T329" s="541"/>
      <c r="U329" s="541"/>
      <c r="V329" s="541"/>
      <c r="W329" s="541"/>
      <c r="X329" s="543"/>
    </row>
    <row r="330" spans="1:24" x14ac:dyDescent="0.3">
      <c r="A330" s="417"/>
      <c r="B330" s="426"/>
      <c r="C330" s="426"/>
      <c r="D330" s="426"/>
      <c r="E330" s="426"/>
      <c r="F330" s="489"/>
      <c r="G330" s="426"/>
      <c r="H330" s="426"/>
      <c r="I330" s="426"/>
      <c r="J330" s="426"/>
      <c r="K330" s="427"/>
      <c r="L330" s="427"/>
      <c r="M330" s="427"/>
      <c r="N330" s="427"/>
      <c r="O330" s="427"/>
      <c r="P330" s="427"/>
      <c r="Q330" s="427"/>
      <c r="R330" s="427"/>
      <c r="S330" s="427"/>
      <c r="T330" s="427"/>
      <c r="U330" s="427"/>
      <c r="V330" s="427"/>
      <c r="W330" s="427"/>
      <c r="X330" s="415"/>
    </row>
    <row r="331" spans="1:24" ht="18" x14ac:dyDescent="0.35">
      <c r="A331" s="417"/>
      <c r="B331" s="514" t="s">
        <v>369</v>
      </c>
      <c r="C331" s="426"/>
      <c r="D331" s="426"/>
      <c r="E331" s="426"/>
      <c r="F331" s="426"/>
      <c r="G331" s="426"/>
      <c r="H331" s="427"/>
      <c r="I331" s="427"/>
      <c r="J331" s="427"/>
      <c r="K331" s="427"/>
      <c r="L331" s="419"/>
      <c r="M331" s="419"/>
      <c r="N331" s="490"/>
      <c r="O331" s="419"/>
      <c r="P331" s="412" t="s">
        <v>371</v>
      </c>
      <c r="Q331" s="427"/>
      <c r="R331" s="427"/>
      <c r="S331" s="427"/>
      <c r="T331" s="427"/>
      <c r="U331" s="427"/>
      <c r="V331" s="427"/>
      <c r="W331" s="427"/>
      <c r="X331" s="415"/>
    </row>
    <row r="332" spans="1:24" x14ac:dyDescent="0.3">
      <c r="A332" s="417"/>
      <c r="B332" s="426"/>
      <c r="C332" s="426"/>
      <c r="D332" s="426"/>
      <c r="E332" s="426"/>
      <c r="F332" s="426"/>
      <c r="G332" s="426"/>
      <c r="H332" s="427"/>
      <c r="I332" s="427"/>
      <c r="J332" s="427"/>
      <c r="K332" s="427"/>
      <c r="L332" s="427"/>
      <c r="M332" s="427"/>
      <c r="N332" s="427"/>
      <c r="O332" s="427"/>
      <c r="P332" s="427"/>
      <c r="Q332" s="427"/>
      <c r="R332" s="427"/>
      <c r="S332" s="427"/>
      <c r="T332" s="427"/>
      <c r="U332" s="427"/>
      <c r="V332" s="427"/>
      <c r="W332" s="427"/>
      <c r="X332" s="415"/>
    </row>
    <row r="333" spans="1:24" ht="18.600000000000001" thickBot="1" x14ac:dyDescent="0.4">
      <c r="A333" s="417"/>
      <c r="B333" s="640" t="str">
        <f>B206</f>
        <v>PM14 INVESTOR REPORT QUARTER ENDING NOVEMBER 2020</v>
      </c>
      <c r="C333" s="426"/>
      <c r="D333" s="426"/>
      <c r="E333" s="426"/>
      <c r="F333" s="426"/>
      <c r="G333" s="426"/>
      <c r="H333" s="427"/>
      <c r="I333" s="427"/>
      <c r="J333" s="427"/>
      <c r="K333" s="427"/>
      <c r="L333" s="427"/>
      <c r="M333" s="427"/>
      <c r="N333" s="427"/>
      <c r="O333" s="427"/>
      <c r="P333" s="427"/>
      <c r="Q333" s="427"/>
      <c r="R333" s="427"/>
      <c r="S333" s="427"/>
      <c r="T333" s="427"/>
      <c r="U333" s="427"/>
      <c r="V333" s="427"/>
      <c r="W333" s="427"/>
      <c r="X333" s="415"/>
    </row>
    <row r="334" spans="1:24" x14ac:dyDescent="0.3">
      <c r="A334" s="491"/>
      <c r="B334" s="491"/>
      <c r="C334" s="491"/>
      <c r="D334" s="491"/>
      <c r="E334" s="491"/>
      <c r="F334" s="491"/>
      <c r="G334" s="491"/>
      <c r="H334" s="491"/>
      <c r="I334" s="491"/>
      <c r="J334" s="491"/>
      <c r="K334" s="491"/>
      <c r="L334" s="491"/>
      <c r="M334" s="491"/>
      <c r="N334" s="491"/>
      <c r="O334" s="491"/>
      <c r="P334" s="491"/>
      <c r="Q334" s="491"/>
      <c r="R334" s="491"/>
      <c r="S334" s="491"/>
      <c r="T334" s="491"/>
      <c r="U334" s="491"/>
      <c r="V334" s="491"/>
      <c r="W334" s="491"/>
    </row>
    <row r="335" spans="1:24" x14ac:dyDescent="0.3">
      <c r="B335" s="645" t="s">
        <v>394</v>
      </c>
    </row>
    <row r="336" spans="1:24" x14ac:dyDescent="0.3">
      <c r="B336" s="646" t="s">
        <v>395</v>
      </c>
    </row>
    <row r="337" spans="2:2" x14ac:dyDescent="0.3">
      <c r="B337" s="646" t="s">
        <v>396</v>
      </c>
    </row>
    <row r="338" spans="2:2" x14ac:dyDescent="0.3">
      <c r="B338" s="646" t="s">
        <v>397</v>
      </c>
    </row>
    <row r="339" spans="2:2" x14ac:dyDescent="0.3">
      <c r="B339" s="646" t="s">
        <v>398</v>
      </c>
    </row>
    <row r="340" spans="2:2" x14ac:dyDescent="0.3">
      <c r="B340" s="646" t="s">
        <v>399</v>
      </c>
    </row>
    <row r="341" spans="2:2" x14ac:dyDescent="0.3">
      <c r="B341" s="646" t="s">
        <v>400</v>
      </c>
    </row>
    <row r="342" spans="2:2" x14ac:dyDescent="0.3">
      <c r="B342" s="646" t="s">
        <v>401</v>
      </c>
    </row>
    <row r="343" spans="2:2" x14ac:dyDescent="0.3">
      <c r="B343" s="646"/>
    </row>
    <row r="344" spans="2:2" x14ac:dyDescent="0.3">
      <c r="B344" s="645" t="s">
        <v>417</v>
      </c>
    </row>
    <row r="345" spans="2:2" x14ac:dyDescent="0.3">
      <c r="B345" s="646" t="s">
        <v>423</v>
      </c>
    </row>
    <row r="346" spans="2:2" x14ac:dyDescent="0.3">
      <c r="B346" s="646" t="s">
        <v>424</v>
      </c>
    </row>
    <row r="347" spans="2:2" x14ac:dyDescent="0.3">
      <c r="B347" s="646"/>
    </row>
    <row r="348" spans="2:2" x14ac:dyDescent="0.3">
      <c r="B348" s="645" t="s">
        <v>402</v>
      </c>
    </row>
    <row r="349" spans="2:2" x14ac:dyDescent="0.3">
      <c r="B349" s="646" t="s">
        <v>403</v>
      </c>
    </row>
    <row r="350" spans="2:2" x14ac:dyDescent="0.3">
      <c r="B350" s="646" t="s">
        <v>404</v>
      </c>
    </row>
  </sheetData>
  <hyperlinks>
    <hyperlink ref="I9" r:id="rId1" xr:uid="{17BB78DA-6C24-4855-A8F9-053277EA887E}"/>
    <hyperlink ref="P242" r:id="rId2" xr:uid="{9509ADC5-E7BA-4509-B729-F366114D6290}"/>
    <hyperlink ref="P331" r:id="rId3" xr:uid="{058FA143-6CAC-488E-8DAB-EC01F72568B9}"/>
  </hyperlinks>
  <printOptions horizontalCentered="1" verticalCentered="1"/>
  <pageMargins left="0.19685039370078741" right="0.19685039370078741" top="0.27559055118110237" bottom="0.27559055118110237" header="0" footer="0"/>
  <pageSetup scale="37" orientation="landscape" r:id="rId4"/>
  <headerFooter alignWithMargins="0"/>
  <rowBreaks count="3" manualBreakCount="3">
    <brk id="63" max="23" man="1"/>
    <brk id="140" max="14" man="1"/>
    <brk id="206" max="14" man="1"/>
  </rowBreaks>
  <drawing r:id="rId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5C1D7-1659-458D-8BD1-621628E2DF9E}">
  <sheetPr>
    <tabColor theme="1"/>
  </sheetPr>
  <dimension ref="A1:IV350"/>
  <sheetViews>
    <sheetView showGridLines="0" showOutlineSymbols="0" zoomScale="70" zoomScaleNormal="70" workbookViewId="0"/>
  </sheetViews>
  <sheetFormatPr defaultColWidth="9.81640625" defaultRowHeight="15.6" x14ac:dyDescent="0.3"/>
  <cols>
    <col min="1" max="1" width="4" style="416" customWidth="1"/>
    <col min="2" max="2" width="71.08984375" style="416" customWidth="1"/>
    <col min="3" max="3" width="2.08984375" style="416" customWidth="1"/>
    <col min="4" max="4" width="19.1796875" style="416" customWidth="1"/>
    <col min="5" max="5" width="2.08984375" style="416" customWidth="1"/>
    <col min="6" max="6" width="25.08984375" style="416" customWidth="1"/>
    <col min="7" max="7" width="2.08984375" style="416" customWidth="1"/>
    <col min="8" max="8" width="16.08984375" style="416" customWidth="1"/>
    <col min="9" max="9" width="2.81640625" style="416" customWidth="1"/>
    <col min="10" max="10" width="16.08984375" style="416" customWidth="1"/>
    <col min="11" max="11" width="2.08984375" style="416" customWidth="1"/>
    <col min="12" max="12" width="17.81640625" style="416" customWidth="1"/>
    <col min="13" max="13" width="2.1796875" style="416" customWidth="1"/>
    <col min="14" max="14" width="14.81640625" style="416" customWidth="1"/>
    <col min="15" max="15" width="2.1796875" style="416" customWidth="1"/>
    <col min="16" max="16" width="15.54296875" style="416" customWidth="1"/>
    <col min="17" max="17" width="2.08984375" style="416" customWidth="1"/>
    <col min="18" max="18" width="15.54296875" style="416" customWidth="1"/>
    <col min="19" max="20" width="12.81640625" style="416" customWidth="1"/>
    <col min="21" max="21" width="7.81640625" style="416" customWidth="1"/>
    <col min="22" max="22" width="14.81640625" style="416" customWidth="1"/>
    <col min="23" max="23" width="11.81640625" style="416" customWidth="1"/>
    <col min="24" max="16384" width="9.81640625" style="416"/>
  </cols>
  <sheetData>
    <row r="1" spans="1:24" ht="21" x14ac:dyDescent="0.4">
      <c r="A1" s="413"/>
      <c r="B1" s="537" t="s">
        <v>244</v>
      </c>
      <c r="C1" s="414"/>
      <c r="D1" s="414"/>
      <c r="E1" s="414"/>
      <c r="F1" s="414"/>
      <c r="G1" s="414"/>
      <c r="H1" s="414"/>
      <c r="I1" s="414"/>
      <c r="J1" s="414"/>
      <c r="K1" s="414"/>
      <c r="L1" s="414"/>
      <c r="M1" s="414"/>
      <c r="N1" s="414"/>
      <c r="O1" s="414"/>
      <c r="P1" s="414"/>
      <c r="Q1" s="414"/>
      <c r="R1" s="414"/>
      <c r="S1" s="414"/>
      <c r="T1" s="414"/>
      <c r="U1" s="414"/>
      <c r="V1" s="414"/>
      <c r="W1" s="414"/>
      <c r="X1" s="415"/>
    </row>
    <row r="2" spans="1:24" x14ac:dyDescent="0.3">
      <c r="A2" s="417"/>
      <c r="B2" s="418"/>
      <c r="C2" s="419"/>
      <c r="D2" s="419"/>
      <c r="E2" s="419"/>
      <c r="F2" s="419"/>
      <c r="G2" s="419"/>
      <c r="H2" s="419"/>
      <c r="I2" s="419"/>
      <c r="J2" s="419"/>
      <c r="K2" s="419"/>
      <c r="L2" s="419"/>
      <c r="M2" s="419"/>
      <c r="N2" s="419"/>
      <c r="O2" s="419"/>
      <c r="P2" s="419"/>
      <c r="Q2" s="419"/>
      <c r="R2" s="419"/>
      <c r="S2" s="419"/>
      <c r="T2" s="419"/>
      <c r="U2" s="419"/>
      <c r="V2" s="419"/>
      <c r="W2" s="419"/>
      <c r="X2" s="415"/>
    </row>
    <row r="3" spans="1:24" x14ac:dyDescent="0.3">
      <c r="A3" s="420"/>
      <c r="B3" s="421" t="s">
        <v>245</v>
      </c>
      <c r="C3" s="419"/>
      <c r="D3" s="419"/>
      <c r="E3" s="419"/>
      <c r="F3" s="419"/>
      <c r="G3" s="419"/>
      <c r="H3" s="419"/>
      <c r="I3" s="419"/>
      <c r="J3" s="419"/>
      <c r="K3" s="419"/>
      <c r="L3" s="419"/>
      <c r="M3" s="419"/>
      <c r="N3" s="419"/>
      <c r="O3" s="419"/>
      <c r="P3" s="419"/>
      <c r="Q3" s="419"/>
      <c r="R3" s="419"/>
      <c r="S3" s="419"/>
      <c r="T3" s="419"/>
      <c r="U3" s="419"/>
      <c r="V3" s="419"/>
      <c r="W3" s="419"/>
      <c r="X3" s="415"/>
    </row>
    <row r="4" spans="1:24" x14ac:dyDescent="0.3">
      <c r="A4" s="417"/>
      <c r="B4" s="418"/>
      <c r="C4" s="419"/>
      <c r="D4" s="419"/>
      <c r="E4" s="419"/>
      <c r="F4" s="419"/>
      <c r="G4" s="419"/>
      <c r="H4" s="419"/>
      <c r="I4" s="419"/>
      <c r="J4" s="419"/>
      <c r="K4" s="419"/>
      <c r="L4" s="419"/>
      <c r="M4" s="419"/>
      <c r="N4" s="419"/>
      <c r="O4" s="419"/>
      <c r="P4" s="419"/>
      <c r="Q4" s="419"/>
      <c r="R4" s="419"/>
      <c r="S4" s="419"/>
      <c r="T4" s="419"/>
      <c r="U4" s="419"/>
      <c r="V4" s="419"/>
      <c r="W4" s="419"/>
      <c r="X4" s="415"/>
    </row>
    <row r="5" spans="1:24" x14ac:dyDescent="0.3">
      <c r="A5" s="417"/>
      <c r="B5" s="538" t="s">
        <v>137</v>
      </c>
      <c r="C5" s="419"/>
      <c r="D5" s="419"/>
      <c r="E5" s="419"/>
      <c r="F5" s="419"/>
      <c r="G5" s="419"/>
      <c r="H5" s="419"/>
      <c r="I5" s="419"/>
      <c r="J5" s="419"/>
      <c r="K5" s="419"/>
      <c r="L5" s="419"/>
      <c r="M5" s="419"/>
      <c r="N5" s="419"/>
      <c r="O5" s="419"/>
      <c r="P5" s="419"/>
      <c r="Q5" s="419"/>
      <c r="R5" s="419"/>
      <c r="S5" s="419"/>
      <c r="T5" s="419"/>
      <c r="U5" s="419"/>
      <c r="V5" s="419"/>
      <c r="W5" s="419"/>
      <c r="X5" s="415"/>
    </row>
    <row r="6" spans="1:24" x14ac:dyDescent="0.3">
      <c r="A6" s="417"/>
      <c r="B6" s="538" t="s">
        <v>139</v>
      </c>
      <c r="C6" s="419"/>
      <c r="D6" s="419"/>
      <c r="E6" s="419"/>
      <c r="F6" s="419"/>
      <c r="G6" s="419"/>
      <c r="H6" s="419"/>
      <c r="I6" s="419"/>
      <c r="J6" s="419"/>
      <c r="K6" s="419"/>
      <c r="L6" s="419"/>
      <c r="M6" s="419"/>
      <c r="N6" s="419"/>
      <c r="O6" s="419"/>
      <c r="P6" s="419"/>
      <c r="Q6" s="419"/>
      <c r="R6" s="419"/>
      <c r="S6" s="419"/>
      <c r="T6" s="419"/>
      <c r="U6" s="419"/>
      <c r="V6" s="419"/>
      <c r="W6" s="419"/>
      <c r="X6" s="415"/>
    </row>
    <row r="7" spans="1:24" x14ac:dyDescent="0.3">
      <c r="A7" s="417"/>
      <c r="B7" s="538" t="s">
        <v>138</v>
      </c>
      <c r="C7" s="419"/>
      <c r="D7" s="419"/>
      <c r="E7" s="419"/>
      <c r="F7" s="419"/>
      <c r="G7" s="419"/>
      <c r="H7" s="419"/>
      <c r="I7" s="419"/>
      <c r="J7" s="419"/>
      <c r="K7" s="419"/>
      <c r="L7" s="419"/>
      <c r="M7" s="419"/>
      <c r="N7" s="419"/>
      <c r="O7" s="419"/>
      <c r="P7" s="419"/>
      <c r="Q7" s="419"/>
      <c r="R7" s="419"/>
      <c r="S7" s="419"/>
      <c r="T7" s="419"/>
      <c r="U7" s="419"/>
      <c r="V7" s="419"/>
      <c r="W7" s="419"/>
      <c r="X7" s="415"/>
    </row>
    <row r="8" spans="1:24" x14ac:dyDescent="0.3">
      <c r="A8" s="417"/>
      <c r="B8" s="422"/>
      <c r="C8" s="419"/>
      <c r="D8" s="419"/>
      <c r="E8" s="419"/>
      <c r="F8" s="419"/>
      <c r="G8" s="419"/>
      <c r="H8" s="419"/>
      <c r="I8" s="419"/>
      <c r="J8" s="419"/>
      <c r="K8" s="419"/>
      <c r="L8" s="419"/>
      <c r="M8" s="419"/>
      <c r="N8" s="419"/>
      <c r="O8" s="419"/>
      <c r="P8" s="419"/>
      <c r="Q8" s="419"/>
      <c r="R8" s="419"/>
      <c r="S8" s="419"/>
      <c r="T8" s="419"/>
      <c r="U8" s="419"/>
      <c r="V8" s="419"/>
      <c r="W8" s="419"/>
      <c r="X8" s="415"/>
    </row>
    <row r="9" spans="1:24" ht="18" x14ac:dyDescent="0.35">
      <c r="A9" s="417"/>
      <c r="B9" s="423" t="s">
        <v>166</v>
      </c>
      <c r="C9" s="419"/>
      <c r="D9" s="419"/>
      <c r="E9" s="419"/>
      <c r="F9" s="419"/>
      <c r="G9" s="419"/>
      <c r="H9" s="419"/>
      <c r="I9" s="412" t="s">
        <v>371</v>
      </c>
      <c r="J9" s="419"/>
      <c r="K9" s="419"/>
      <c r="L9" s="424"/>
      <c r="M9" s="419"/>
      <c r="N9" s="424"/>
      <c r="O9" s="419"/>
      <c r="P9" s="419"/>
      <c r="Q9" s="419"/>
      <c r="R9" s="419"/>
      <c r="S9" s="419"/>
      <c r="T9" s="419"/>
      <c r="U9" s="419"/>
      <c r="V9" s="419"/>
      <c r="W9" s="419"/>
      <c r="X9" s="415"/>
    </row>
    <row r="10" spans="1:24" x14ac:dyDescent="0.3">
      <c r="A10" s="417"/>
      <c r="B10" s="422"/>
      <c r="C10" s="425"/>
      <c r="D10" s="425"/>
      <c r="E10" s="425"/>
      <c r="F10" s="419"/>
      <c r="G10" s="419"/>
      <c r="H10" s="419"/>
      <c r="I10" s="419"/>
      <c r="J10" s="419"/>
      <c r="K10" s="419"/>
      <c r="L10" s="419"/>
      <c r="M10" s="419"/>
      <c r="N10" s="419"/>
      <c r="O10" s="419"/>
      <c r="P10" s="419"/>
      <c r="Q10" s="419"/>
      <c r="R10" s="419"/>
      <c r="S10" s="419"/>
      <c r="T10" s="419"/>
      <c r="U10" s="419"/>
      <c r="V10" s="419"/>
      <c r="W10" s="419"/>
      <c r="X10" s="415"/>
    </row>
    <row r="11" spans="1:24" x14ac:dyDescent="0.3">
      <c r="A11" s="417"/>
      <c r="B11" s="539" t="s">
        <v>0</v>
      </c>
      <c r="C11" s="419"/>
      <c r="D11" s="419"/>
      <c r="E11" s="419"/>
      <c r="F11" s="419"/>
      <c r="G11" s="419"/>
      <c r="H11" s="419"/>
      <c r="I11" s="419"/>
      <c r="J11" s="419"/>
      <c r="K11" s="419"/>
      <c r="L11" s="419"/>
      <c r="M11" s="419"/>
      <c r="N11" s="419"/>
      <c r="O11" s="419"/>
      <c r="P11" s="419"/>
      <c r="Q11" s="419"/>
      <c r="R11" s="419"/>
      <c r="S11" s="419"/>
      <c r="T11" s="419"/>
      <c r="U11" s="419"/>
      <c r="V11" s="419"/>
      <c r="W11" s="419"/>
      <c r="X11" s="415"/>
    </row>
    <row r="12" spans="1:24" ht="16.2" thickBot="1" x14ac:dyDescent="0.35">
      <c r="A12" s="417"/>
      <c r="B12" s="425"/>
      <c r="C12" s="419"/>
      <c r="D12" s="419"/>
      <c r="E12" s="419"/>
      <c r="F12" s="419"/>
      <c r="G12" s="419"/>
      <c r="H12" s="419"/>
      <c r="I12" s="419"/>
      <c r="J12" s="419"/>
      <c r="K12" s="419"/>
      <c r="L12" s="419"/>
      <c r="M12" s="419"/>
      <c r="N12" s="419"/>
      <c r="O12" s="419"/>
      <c r="P12" s="419"/>
      <c r="Q12" s="419"/>
      <c r="R12" s="419"/>
      <c r="S12" s="419"/>
      <c r="T12" s="419"/>
      <c r="U12" s="419"/>
      <c r="V12" s="419"/>
      <c r="W12" s="419"/>
      <c r="X12" s="415"/>
    </row>
    <row r="13" spans="1:24" x14ac:dyDescent="0.3">
      <c r="A13" s="413"/>
      <c r="B13" s="414"/>
      <c r="C13" s="414"/>
      <c r="D13" s="414"/>
      <c r="E13" s="414"/>
      <c r="F13" s="414"/>
      <c r="G13" s="414"/>
      <c r="H13" s="414"/>
      <c r="I13" s="414"/>
      <c r="J13" s="414"/>
      <c r="K13" s="414"/>
      <c r="L13" s="414"/>
      <c r="M13" s="414"/>
      <c r="N13" s="414"/>
      <c r="O13" s="414"/>
      <c r="P13" s="414"/>
      <c r="Q13" s="414"/>
      <c r="R13" s="414"/>
      <c r="S13" s="414"/>
      <c r="T13" s="414"/>
      <c r="U13" s="414"/>
      <c r="V13" s="414"/>
      <c r="W13" s="414"/>
      <c r="X13" s="415"/>
    </row>
    <row r="14" spans="1:24" s="544" customFormat="1" x14ac:dyDescent="0.3">
      <c r="A14" s="540"/>
      <c r="B14" s="539" t="s">
        <v>1</v>
      </c>
      <c r="C14" s="541"/>
      <c r="D14" s="541"/>
      <c r="E14" s="541"/>
      <c r="F14" s="541"/>
      <c r="G14" s="541"/>
      <c r="H14" s="541"/>
      <c r="I14" s="541"/>
      <c r="J14" s="541"/>
      <c r="K14" s="541"/>
      <c r="L14" s="541"/>
      <c r="M14" s="541"/>
      <c r="N14" s="541"/>
      <c r="O14" s="541"/>
      <c r="P14" s="541"/>
      <c r="Q14" s="541"/>
      <c r="R14" s="541"/>
      <c r="S14" s="541"/>
      <c r="T14" s="541"/>
      <c r="U14" s="541"/>
      <c r="V14" s="542" t="s">
        <v>246</v>
      </c>
      <c r="W14" s="541"/>
      <c r="X14" s="543"/>
    </row>
    <row r="15" spans="1:24" s="544" customFormat="1" x14ac:dyDescent="0.3">
      <c r="A15" s="540"/>
      <c r="B15" s="539" t="s">
        <v>2</v>
      </c>
      <c r="C15" s="541"/>
      <c r="D15" s="541"/>
      <c r="E15" s="541"/>
      <c r="F15" s="541"/>
      <c r="G15" s="541"/>
      <c r="H15" s="545"/>
      <c r="I15" s="545"/>
      <c r="J15" s="545"/>
      <c r="K15" s="545"/>
      <c r="L15" s="545"/>
      <c r="M15" s="545"/>
      <c r="N15" s="545"/>
      <c r="O15" s="545"/>
      <c r="P15" s="545"/>
      <c r="Q15" s="545"/>
      <c r="R15" s="545" t="s">
        <v>104</v>
      </c>
      <c r="S15" s="546">
        <v>0.38300000000000001</v>
      </c>
      <c r="T15" s="547" t="s">
        <v>140</v>
      </c>
      <c r="U15" s="546">
        <v>0.61699999999999999</v>
      </c>
      <c r="V15" s="542"/>
      <c r="W15" s="541"/>
      <c r="X15" s="543"/>
    </row>
    <row r="16" spans="1:24" s="544" customFormat="1" x14ac:dyDescent="0.3">
      <c r="A16" s="540"/>
      <c r="B16" s="539" t="s">
        <v>3</v>
      </c>
      <c r="C16" s="541"/>
      <c r="D16" s="541"/>
      <c r="E16" s="541"/>
      <c r="F16" s="541"/>
      <c r="G16" s="541"/>
      <c r="H16" s="545"/>
      <c r="I16" s="545"/>
      <c r="J16" s="545"/>
      <c r="K16" s="545"/>
      <c r="L16" s="545"/>
      <c r="M16" s="545"/>
      <c r="N16" s="545"/>
      <c r="O16" s="545"/>
      <c r="P16" s="545"/>
      <c r="Q16" s="545"/>
      <c r="R16" s="545" t="s">
        <v>104</v>
      </c>
      <c r="S16" s="546">
        <v>0.51081179828689416</v>
      </c>
      <c r="T16" s="547" t="s">
        <v>140</v>
      </c>
      <c r="U16" s="546">
        <v>0.48918820171310595</v>
      </c>
      <c r="V16" s="542"/>
      <c r="W16" s="541"/>
      <c r="X16" s="543"/>
    </row>
    <row r="17" spans="1:24" s="544" customFormat="1" x14ac:dyDescent="0.3">
      <c r="A17" s="540"/>
      <c r="B17" s="539" t="s">
        <v>4</v>
      </c>
      <c r="C17" s="541"/>
      <c r="D17" s="541"/>
      <c r="E17" s="541"/>
      <c r="F17" s="541"/>
      <c r="G17" s="541"/>
      <c r="H17" s="541"/>
      <c r="I17" s="541"/>
      <c r="J17" s="541"/>
      <c r="K17" s="541"/>
      <c r="L17" s="541"/>
      <c r="M17" s="541"/>
      <c r="N17" s="541"/>
      <c r="O17" s="541"/>
      <c r="P17" s="541"/>
      <c r="Q17" s="541"/>
      <c r="R17" s="541"/>
      <c r="S17" s="541"/>
      <c r="T17" s="541"/>
      <c r="U17" s="541"/>
      <c r="V17" s="548">
        <v>39163</v>
      </c>
      <c r="W17" s="541"/>
      <c r="X17" s="543"/>
    </row>
    <row r="18" spans="1:24" s="544" customFormat="1" x14ac:dyDescent="0.3">
      <c r="A18" s="540"/>
      <c r="B18" s="539" t="s">
        <v>5</v>
      </c>
      <c r="C18" s="541"/>
      <c r="D18" s="541"/>
      <c r="E18" s="541"/>
      <c r="F18" s="541"/>
      <c r="G18" s="541"/>
      <c r="H18" s="541"/>
      <c r="I18" s="541"/>
      <c r="J18" s="541"/>
      <c r="K18" s="541"/>
      <c r="L18" s="541"/>
      <c r="M18" s="541"/>
      <c r="N18" s="541"/>
      <c r="O18" s="541"/>
      <c r="P18" s="541"/>
      <c r="Q18" s="541"/>
      <c r="R18" s="541"/>
      <c r="S18" s="541"/>
      <c r="T18" s="541"/>
      <c r="U18" s="541"/>
      <c r="V18" s="548">
        <v>44277</v>
      </c>
      <c r="W18" s="541"/>
      <c r="X18" s="543"/>
    </row>
    <row r="19" spans="1:24" s="544" customFormat="1" x14ac:dyDescent="0.3">
      <c r="A19" s="540"/>
      <c r="B19" s="541"/>
      <c r="C19" s="541"/>
      <c r="D19" s="541"/>
      <c r="E19" s="541"/>
      <c r="F19" s="541"/>
      <c r="G19" s="541"/>
      <c r="H19" s="541"/>
      <c r="I19" s="541"/>
      <c r="J19" s="541"/>
      <c r="K19" s="541"/>
      <c r="L19" s="541"/>
      <c r="M19" s="541"/>
      <c r="N19" s="541"/>
      <c r="O19" s="541"/>
      <c r="P19" s="541"/>
      <c r="Q19" s="541"/>
      <c r="R19" s="541"/>
      <c r="S19" s="541"/>
      <c r="T19" s="541"/>
      <c r="U19" s="541"/>
      <c r="V19" s="549"/>
      <c r="W19" s="541"/>
      <c r="X19" s="543"/>
    </row>
    <row r="20" spans="1:24" s="544" customFormat="1" x14ac:dyDescent="0.3">
      <c r="A20" s="540"/>
      <c r="B20" s="550" t="s">
        <v>6</v>
      </c>
      <c r="C20" s="541"/>
      <c r="D20" s="541"/>
      <c r="E20" s="541"/>
      <c r="F20" s="541"/>
      <c r="G20" s="541"/>
      <c r="H20" s="541"/>
      <c r="I20" s="541"/>
      <c r="J20" s="541"/>
      <c r="K20" s="541"/>
      <c r="L20" s="541"/>
      <c r="M20" s="541"/>
      <c r="N20" s="541"/>
      <c r="O20" s="541"/>
      <c r="P20" s="541"/>
      <c r="Q20" s="541"/>
      <c r="R20" s="541"/>
      <c r="S20" s="541"/>
      <c r="T20" s="549" t="s">
        <v>105</v>
      </c>
      <c r="U20" s="541"/>
      <c r="V20" s="541"/>
      <c r="W20" s="541"/>
      <c r="X20" s="543"/>
    </row>
    <row r="21" spans="1:24" x14ac:dyDescent="0.3">
      <c r="A21" s="417"/>
      <c r="B21" s="419"/>
      <c r="C21" s="419"/>
      <c r="D21" s="419"/>
      <c r="E21" s="419"/>
      <c r="F21" s="419"/>
      <c r="G21" s="419"/>
      <c r="H21" s="419"/>
      <c r="I21" s="419"/>
      <c r="J21" s="419"/>
      <c r="K21" s="419"/>
      <c r="L21" s="419"/>
      <c r="M21" s="419"/>
      <c r="N21" s="419"/>
      <c r="O21" s="419"/>
      <c r="P21" s="419"/>
      <c r="Q21" s="419"/>
      <c r="R21" s="419"/>
      <c r="S21" s="419"/>
      <c r="T21" s="419"/>
      <c r="U21" s="419"/>
      <c r="V21" s="430"/>
      <c r="W21" s="419"/>
      <c r="X21" s="415"/>
    </row>
    <row r="22" spans="1:24" x14ac:dyDescent="0.3">
      <c r="A22" s="515"/>
      <c r="B22" s="517"/>
      <c r="C22" s="518"/>
      <c r="D22" s="518" t="s">
        <v>177</v>
      </c>
      <c r="E22" s="518"/>
      <c r="F22" s="518" t="s">
        <v>178</v>
      </c>
      <c r="G22" s="518"/>
      <c r="H22" s="518" t="s">
        <v>179</v>
      </c>
      <c r="I22" s="518"/>
      <c r="J22" s="518" t="s">
        <v>220</v>
      </c>
      <c r="K22" s="518"/>
      <c r="L22" s="518" t="s">
        <v>180</v>
      </c>
      <c r="M22" s="518"/>
      <c r="N22" s="518" t="s">
        <v>181</v>
      </c>
      <c r="O22" s="518"/>
      <c r="P22" s="518" t="s">
        <v>221</v>
      </c>
      <c r="Q22" s="518"/>
      <c r="R22" s="518" t="s">
        <v>182</v>
      </c>
      <c r="S22" s="519"/>
      <c r="T22" s="519"/>
      <c r="U22" s="517"/>
      <c r="V22" s="517"/>
      <c r="W22" s="520"/>
      <c r="X22" s="415"/>
    </row>
    <row r="23" spans="1:24" s="544" customFormat="1" x14ac:dyDescent="0.3">
      <c r="A23" s="551"/>
      <c r="B23" s="552" t="s">
        <v>7</v>
      </c>
      <c r="C23" s="553"/>
      <c r="D23" s="553" t="s">
        <v>213</v>
      </c>
      <c r="E23" s="553"/>
      <c r="F23" s="553" t="s">
        <v>141</v>
      </c>
      <c r="G23" s="553"/>
      <c r="H23" s="553" t="s">
        <v>141</v>
      </c>
      <c r="I23" s="553"/>
      <c r="J23" s="553" t="s">
        <v>141</v>
      </c>
      <c r="K23" s="553"/>
      <c r="L23" s="553" t="s">
        <v>183</v>
      </c>
      <c r="M23" s="553"/>
      <c r="N23" s="553" t="s">
        <v>183</v>
      </c>
      <c r="O23" s="553"/>
      <c r="P23" s="553" t="s">
        <v>142</v>
      </c>
      <c r="Q23" s="553"/>
      <c r="R23" s="553" t="s">
        <v>142</v>
      </c>
      <c r="S23" s="553"/>
      <c r="T23" s="553"/>
      <c r="U23" s="552"/>
      <c r="V23" s="552"/>
      <c r="W23" s="554"/>
      <c r="X23" s="543"/>
    </row>
    <row r="24" spans="1:24" s="544" customFormat="1" x14ac:dyDescent="0.3">
      <c r="A24" s="555"/>
      <c r="B24" s="556" t="s">
        <v>8</v>
      </c>
      <c r="C24" s="557"/>
      <c r="D24" s="557" t="s">
        <v>214</v>
      </c>
      <c r="E24" s="557"/>
      <c r="F24" s="557" t="s">
        <v>143</v>
      </c>
      <c r="G24" s="557"/>
      <c r="H24" s="557" t="s">
        <v>143</v>
      </c>
      <c r="I24" s="557"/>
      <c r="J24" s="557" t="s">
        <v>143</v>
      </c>
      <c r="K24" s="557"/>
      <c r="L24" s="557" t="s">
        <v>165</v>
      </c>
      <c r="M24" s="557"/>
      <c r="N24" s="557" t="s">
        <v>165</v>
      </c>
      <c r="O24" s="557"/>
      <c r="P24" s="557" t="s">
        <v>144</v>
      </c>
      <c r="Q24" s="557"/>
      <c r="R24" s="557" t="s">
        <v>144</v>
      </c>
      <c r="S24" s="557"/>
      <c r="T24" s="557"/>
      <c r="U24" s="556"/>
      <c r="V24" s="556"/>
      <c r="W24" s="558"/>
      <c r="X24" s="543"/>
    </row>
    <row r="25" spans="1:24" s="544" customFormat="1" x14ac:dyDescent="0.3">
      <c r="A25" s="559"/>
      <c r="B25" s="556" t="s">
        <v>190</v>
      </c>
      <c r="C25" s="560"/>
      <c r="D25" s="557" t="s">
        <v>215</v>
      </c>
      <c r="E25" s="557"/>
      <c r="F25" s="557" t="s">
        <v>143</v>
      </c>
      <c r="G25" s="557"/>
      <c r="H25" s="557" t="s">
        <v>143</v>
      </c>
      <c r="I25" s="557"/>
      <c r="J25" s="557" t="s">
        <v>143</v>
      </c>
      <c r="K25" s="557"/>
      <c r="L25" s="557" t="s">
        <v>293</v>
      </c>
      <c r="M25" s="557"/>
      <c r="N25" s="557" t="s">
        <v>293</v>
      </c>
      <c r="O25" s="557"/>
      <c r="P25" s="557" t="s">
        <v>144</v>
      </c>
      <c r="Q25" s="557"/>
      <c r="R25" s="557" t="s">
        <v>144</v>
      </c>
      <c r="S25" s="560"/>
      <c r="T25" s="557"/>
      <c r="U25" s="556"/>
      <c r="V25" s="556"/>
      <c r="W25" s="558"/>
      <c r="X25" s="543"/>
    </row>
    <row r="26" spans="1:24" s="544" customFormat="1" x14ac:dyDescent="0.3">
      <c r="A26" s="559"/>
      <c r="B26" s="561" t="s">
        <v>9</v>
      </c>
      <c r="C26" s="560"/>
      <c r="D26" s="560" t="s">
        <v>333</v>
      </c>
      <c r="E26" s="560"/>
      <c r="F26" s="560" t="s">
        <v>333</v>
      </c>
      <c r="G26" s="560"/>
      <c r="H26" s="560" t="s">
        <v>333</v>
      </c>
      <c r="I26" s="560"/>
      <c r="J26" s="560" t="s">
        <v>333</v>
      </c>
      <c r="K26" s="560"/>
      <c r="L26" s="560" t="s">
        <v>333</v>
      </c>
      <c r="M26" s="560"/>
      <c r="N26" s="560" t="s">
        <v>333</v>
      </c>
      <c r="O26" s="560"/>
      <c r="P26" s="560" t="s">
        <v>334</v>
      </c>
      <c r="Q26" s="560"/>
      <c r="R26" s="560" t="s">
        <v>334</v>
      </c>
      <c r="S26" s="560"/>
      <c r="T26" s="557"/>
      <c r="U26" s="556"/>
      <c r="V26" s="556"/>
      <c r="W26" s="558"/>
      <c r="X26" s="543"/>
    </row>
    <row r="27" spans="1:24" s="544" customFormat="1" x14ac:dyDescent="0.3">
      <c r="A27" s="555"/>
      <c r="B27" s="561" t="s">
        <v>191</v>
      </c>
      <c r="C27" s="557"/>
      <c r="D27" s="560" t="s">
        <v>143</v>
      </c>
      <c r="E27" s="560"/>
      <c r="F27" s="560" t="s">
        <v>143</v>
      </c>
      <c r="G27" s="560"/>
      <c r="H27" s="560" t="s">
        <v>143</v>
      </c>
      <c r="I27" s="560"/>
      <c r="J27" s="560" t="s">
        <v>143</v>
      </c>
      <c r="K27" s="560"/>
      <c r="L27" s="560" t="s">
        <v>293</v>
      </c>
      <c r="M27" s="560"/>
      <c r="N27" s="560" t="s">
        <v>293</v>
      </c>
      <c r="O27" s="560"/>
      <c r="P27" s="560" t="s">
        <v>383</v>
      </c>
      <c r="Q27" s="560"/>
      <c r="R27" s="560" t="s">
        <v>383</v>
      </c>
      <c r="S27" s="557"/>
      <c r="T27" s="562"/>
      <c r="U27" s="556"/>
      <c r="V27" s="556"/>
      <c r="W27" s="558"/>
      <c r="X27" s="543"/>
    </row>
    <row r="28" spans="1:24" s="544" customFormat="1" x14ac:dyDescent="0.3">
      <c r="A28" s="555"/>
      <c r="B28" s="561" t="s">
        <v>192</v>
      </c>
      <c r="C28" s="557"/>
      <c r="D28" s="560" t="s">
        <v>143</v>
      </c>
      <c r="E28" s="560"/>
      <c r="F28" s="560" t="s">
        <v>143</v>
      </c>
      <c r="G28" s="560"/>
      <c r="H28" s="560" t="s">
        <v>143</v>
      </c>
      <c r="I28" s="560"/>
      <c r="J28" s="560" t="s">
        <v>143</v>
      </c>
      <c r="K28" s="560"/>
      <c r="L28" s="560" t="s">
        <v>143</v>
      </c>
      <c r="M28" s="560"/>
      <c r="N28" s="560" t="s">
        <v>143</v>
      </c>
      <c r="O28" s="560"/>
      <c r="P28" s="560" t="s">
        <v>383</v>
      </c>
      <c r="Q28" s="560"/>
      <c r="R28" s="560" t="s">
        <v>383</v>
      </c>
      <c r="S28" s="557"/>
      <c r="T28" s="562"/>
      <c r="U28" s="556"/>
      <c r="V28" s="556"/>
      <c r="W28" s="558"/>
      <c r="X28" s="543"/>
    </row>
    <row r="29" spans="1:24" s="544" customFormat="1" x14ac:dyDescent="0.3">
      <c r="A29" s="555"/>
      <c r="B29" s="556" t="s">
        <v>10</v>
      </c>
      <c r="C29" s="563"/>
      <c r="D29" s="557" t="s">
        <v>249</v>
      </c>
      <c r="E29" s="557"/>
      <c r="F29" s="562" t="s">
        <v>250</v>
      </c>
      <c r="G29" s="557"/>
      <c r="H29" s="557" t="s">
        <v>251</v>
      </c>
      <c r="I29" s="557"/>
      <c r="J29" s="557" t="s">
        <v>253</v>
      </c>
      <c r="K29" s="557"/>
      <c r="L29" s="557" t="s">
        <v>254</v>
      </c>
      <c r="M29" s="557"/>
      <c r="N29" s="557" t="s">
        <v>255</v>
      </c>
      <c r="O29" s="557"/>
      <c r="P29" s="557" t="s">
        <v>256</v>
      </c>
      <c r="Q29" s="557"/>
      <c r="R29" s="557" t="s">
        <v>257</v>
      </c>
      <c r="S29" s="564"/>
      <c r="T29" s="564"/>
      <c r="U29" s="563"/>
      <c r="V29" s="564"/>
      <c r="W29" s="565"/>
      <c r="X29" s="543"/>
    </row>
    <row r="30" spans="1:24" s="544" customFormat="1" x14ac:dyDescent="0.3">
      <c r="A30" s="555"/>
      <c r="B30" s="556" t="s">
        <v>10</v>
      </c>
      <c r="C30" s="563"/>
      <c r="D30" s="557" t="s">
        <v>248</v>
      </c>
      <c r="E30" s="557"/>
      <c r="F30" s="562" t="s">
        <v>118</v>
      </c>
      <c r="G30" s="557"/>
      <c r="H30" s="557" t="s">
        <v>118</v>
      </c>
      <c r="I30" s="557"/>
      <c r="J30" s="557" t="s">
        <v>252</v>
      </c>
      <c r="K30" s="557"/>
      <c r="L30" s="557" t="s">
        <v>118</v>
      </c>
      <c r="M30" s="557"/>
      <c r="N30" s="557" t="s">
        <v>118</v>
      </c>
      <c r="O30" s="557"/>
      <c r="P30" s="557" t="s">
        <v>118</v>
      </c>
      <c r="Q30" s="557"/>
      <c r="R30" s="557" t="s">
        <v>118</v>
      </c>
      <c r="S30" s="564"/>
      <c r="T30" s="564"/>
      <c r="U30" s="563"/>
      <c r="V30" s="564"/>
      <c r="W30" s="565"/>
      <c r="X30" s="543"/>
    </row>
    <row r="31" spans="1:24" s="544" customFormat="1" x14ac:dyDescent="0.3">
      <c r="A31" s="559"/>
      <c r="B31" s="556" t="s">
        <v>133</v>
      </c>
      <c r="C31" s="566"/>
      <c r="D31" s="567">
        <v>1500000</v>
      </c>
      <c r="E31" s="563"/>
      <c r="F31" s="564">
        <v>125000</v>
      </c>
      <c r="G31" s="564"/>
      <c r="H31" s="568">
        <v>246000</v>
      </c>
      <c r="I31" s="568"/>
      <c r="J31" s="567">
        <v>400000</v>
      </c>
      <c r="K31" s="564"/>
      <c r="L31" s="564">
        <v>51900</v>
      </c>
      <c r="M31" s="564"/>
      <c r="N31" s="568">
        <v>88800</v>
      </c>
      <c r="O31" s="564"/>
      <c r="P31" s="564">
        <v>20000</v>
      </c>
      <c r="Q31" s="564"/>
      <c r="R31" s="568">
        <v>135500</v>
      </c>
      <c r="S31" s="569"/>
      <c r="T31" s="569"/>
      <c r="U31" s="566"/>
      <c r="V31" s="569"/>
      <c r="W31" s="565"/>
      <c r="X31" s="543"/>
    </row>
    <row r="32" spans="1:24" s="544" customFormat="1" x14ac:dyDescent="0.3">
      <c r="A32" s="555"/>
      <c r="B32" s="556" t="s">
        <v>132</v>
      </c>
      <c r="C32" s="563"/>
      <c r="D32" s="570">
        <f>D34*D38</f>
        <v>284326.66307219997</v>
      </c>
      <c r="E32" s="563"/>
      <c r="F32" s="564">
        <f>F31*F38</f>
        <v>45847.974999999999</v>
      </c>
      <c r="G32" s="564"/>
      <c r="H32" s="568">
        <f>H31*H38</f>
        <v>90228.814799999993</v>
      </c>
      <c r="I32" s="568"/>
      <c r="J32" s="567">
        <f>J31*J38</f>
        <v>146712.51999999999</v>
      </c>
      <c r="K32" s="564"/>
      <c r="L32" s="564">
        <f>+L31</f>
        <v>51900</v>
      </c>
      <c r="M32" s="564"/>
      <c r="N32" s="568">
        <f>+N31</f>
        <v>88800</v>
      </c>
      <c r="O32" s="564"/>
      <c r="P32" s="564">
        <f>+P31</f>
        <v>20000</v>
      </c>
      <c r="Q32" s="564"/>
      <c r="R32" s="568">
        <f>+R31</f>
        <v>135500</v>
      </c>
      <c r="S32" s="564"/>
      <c r="T32" s="564"/>
      <c r="U32" s="563"/>
      <c r="V32" s="564"/>
      <c r="W32" s="565"/>
      <c r="X32" s="543"/>
    </row>
    <row r="33" spans="1:24" s="544" customFormat="1" x14ac:dyDescent="0.3">
      <c r="A33" s="555"/>
      <c r="B33" s="561" t="s">
        <v>134</v>
      </c>
      <c r="C33" s="563"/>
      <c r="D33" s="571">
        <f>D34*D37</f>
        <v>269975.34151140001</v>
      </c>
      <c r="E33" s="566"/>
      <c r="F33" s="569">
        <f>F37*F31</f>
        <v>43533.824999999997</v>
      </c>
      <c r="G33" s="569"/>
      <c r="H33" s="572">
        <f>H31*H37</f>
        <v>85674.567599999995</v>
      </c>
      <c r="I33" s="572"/>
      <c r="J33" s="573">
        <f>J37*J31</f>
        <v>139307.24000000002</v>
      </c>
      <c r="K33" s="569"/>
      <c r="L33" s="569">
        <f>L31*L37</f>
        <v>51900</v>
      </c>
      <c r="M33" s="569"/>
      <c r="N33" s="572">
        <f>N31*N37</f>
        <v>88800</v>
      </c>
      <c r="O33" s="569"/>
      <c r="P33" s="569">
        <f>P31*P37</f>
        <v>20000</v>
      </c>
      <c r="Q33" s="569"/>
      <c r="R33" s="572">
        <f>R31*R37</f>
        <v>135500</v>
      </c>
      <c r="S33" s="564"/>
      <c r="T33" s="564"/>
      <c r="U33" s="563"/>
      <c r="V33" s="564"/>
      <c r="W33" s="565"/>
      <c r="X33" s="543"/>
    </row>
    <row r="34" spans="1:24" s="544" customFormat="1" x14ac:dyDescent="0.3">
      <c r="A34" s="559"/>
      <c r="B34" s="556" t="s">
        <v>296</v>
      </c>
      <c r="C34" s="566"/>
      <c r="D34" s="564">
        <v>775194</v>
      </c>
      <c r="E34" s="563"/>
      <c r="F34" s="564">
        <v>125000</v>
      </c>
      <c r="G34" s="564"/>
      <c r="H34" s="564">
        <v>168148</v>
      </c>
      <c r="I34" s="564"/>
      <c r="J34" s="564">
        <v>206718</v>
      </c>
      <c r="K34" s="564"/>
      <c r="L34" s="564">
        <v>51900</v>
      </c>
      <c r="M34" s="564"/>
      <c r="N34" s="564">
        <v>60697</v>
      </c>
      <c r="O34" s="564"/>
      <c r="P34" s="564">
        <v>20000</v>
      </c>
      <c r="Q34" s="564"/>
      <c r="R34" s="564">
        <v>92618</v>
      </c>
      <c r="S34" s="569"/>
      <c r="T34" s="569"/>
      <c r="U34" s="566"/>
      <c r="V34" s="564">
        <f>SUM(C34:R34)</f>
        <v>1500275</v>
      </c>
      <c r="W34" s="565"/>
      <c r="X34" s="543"/>
    </row>
    <row r="35" spans="1:24" s="544" customFormat="1" x14ac:dyDescent="0.3">
      <c r="A35" s="559"/>
      <c r="B35" s="556" t="s">
        <v>297</v>
      </c>
      <c r="C35" s="566"/>
      <c r="D35" s="564">
        <f>D34*D38</f>
        <v>284326.66307219997</v>
      </c>
      <c r="E35" s="563"/>
      <c r="F35" s="564">
        <f>F34*F38</f>
        <v>45847.974999999999</v>
      </c>
      <c r="G35" s="564"/>
      <c r="H35" s="564">
        <f>H34*H38</f>
        <v>61673.9624024</v>
      </c>
      <c r="I35" s="564"/>
      <c r="J35" s="564">
        <f>J34*J38</f>
        <v>75820.296773399998</v>
      </c>
      <c r="K35" s="564"/>
      <c r="L35" s="564">
        <f>+L34</f>
        <v>51900</v>
      </c>
      <c r="M35" s="564"/>
      <c r="N35" s="564">
        <f>+N34</f>
        <v>60697</v>
      </c>
      <c r="O35" s="564"/>
      <c r="P35" s="564">
        <f>+P34</f>
        <v>20000</v>
      </c>
      <c r="Q35" s="564"/>
      <c r="R35" s="564">
        <f>+R34</f>
        <v>92618</v>
      </c>
      <c r="S35" s="564"/>
      <c r="T35" s="564"/>
      <c r="U35" s="563"/>
      <c r="V35" s="564">
        <f>SUM(C35:R35)</f>
        <v>692883.89724799991</v>
      </c>
      <c r="W35" s="565"/>
      <c r="X35" s="543"/>
    </row>
    <row r="36" spans="1:24" s="544" customFormat="1" x14ac:dyDescent="0.3">
      <c r="A36" s="559"/>
      <c r="B36" s="561" t="s">
        <v>298</v>
      </c>
      <c r="C36" s="566"/>
      <c r="D36" s="569">
        <f>D34*D37</f>
        <v>269975.34151140001</v>
      </c>
      <c r="E36" s="566"/>
      <c r="F36" s="569">
        <f>F34*F37</f>
        <v>43533.824999999997</v>
      </c>
      <c r="G36" s="569"/>
      <c r="H36" s="569">
        <f>H34*H37</f>
        <v>58561.004848799996</v>
      </c>
      <c r="I36" s="569"/>
      <c r="J36" s="569">
        <f>J34*J37</f>
        <v>71993.285095800005</v>
      </c>
      <c r="K36" s="569"/>
      <c r="L36" s="569">
        <f>L34*L37</f>
        <v>51900</v>
      </c>
      <c r="M36" s="569"/>
      <c r="N36" s="569">
        <f>N34*N37</f>
        <v>60697</v>
      </c>
      <c r="O36" s="569"/>
      <c r="P36" s="569">
        <f>P34*P37</f>
        <v>20000</v>
      </c>
      <c r="Q36" s="569"/>
      <c r="R36" s="569">
        <f>R34*R37</f>
        <v>92618</v>
      </c>
      <c r="S36" s="574"/>
      <c r="T36" s="574"/>
      <c r="U36" s="563"/>
      <c r="V36" s="569">
        <f>SUM(C36:R36)+1</f>
        <v>669279.45645599999</v>
      </c>
      <c r="W36" s="565"/>
      <c r="X36" s="543"/>
    </row>
    <row r="37" spans="1:24" s="499" customFormat="1" x14ac:dyDescent="0.3">
      <c r="A37" s="492"/>
      <c r="B37" s="493" t="s">
        <v>130</v>
      </c>
      <c r="C37" s="494"/>
      <c r="D37" s="495">
        <v>0.34826810000000002</v>
      </c>
      <c r="E37" s="495"/>
      <c r="F37" s="495">
        <v>0.34827059999999999</v>
      </c>
      <c r="G37" s="495"/>
      <c r="H37" s="495">
        <v>0.34827059999999999</v>
      </c>
      <c r="I37" s="495"/>
      <c r="J37" s="495">
        <v>0.34826810000000002</v>
      </c>
      <c r="K37" s="495"/>
      <c r="L37" s="495">
        <v>1</v>
      </c>
      <c r="M37" s="495"/>
      <c r="N37" s="495">
        <v>1</v>
      </c>
      <c r="O37" s="495"/>
      <c r="P37" s="495">
        <v>1</v>
      </c>
      <c r="Q37" s="495"/>
      <c r="R37" s="495">
        <v>1</v>
      </c>
      <c r="S37" s="496"/>
      <c r="T37" s="496"/>
      <c r="U37" s="494"/>
      <c r="V37" s="494"/>
      <c r="W37" s="497"/>
      <c r="X37" s="498"/>
    </row>
    <row r="38" spans="1:24" s="499" customFormat="1" x14ac:dyDescent="0.3">
      <c r="A38" s="492"/>
      <c r="B38" s="493" t="s">
        <v>131</v>
      </c>
      <c r="C38" s="494"/>
      <c r="D38" s="495">
        <v>0.36678129999999998</v>
      </c>
      <c r="E38" s="495"/>
      <c r="F38" s="495">
        <v>0.36678379999999999</v>
      </c>
      <c r="G38" s="495"/>
      <c r="H38" s="495">
        <v>0.36678379999999999</v>
      </c>
      <c r="I38" s="495"/>
      <c r="J38" s="495">
        <v>0.36678129999999998</v>
      </c>
      <c r="K38" s="495"/>
      <c r="L38" s="495">
        <v>1</v>
      </c>
      <c r="M38" s="495"/>
      <c r="N38" s="495">
        <v>1</v>
      </c>
      <c r="O38" s="495"/>
      <c r="P38" s="495">
        <v>1</v>
      </c>
      <c r="Q38" s="495"/>
      <c r="R38" s="495">
        <v>1</v>
      </c>
      <c r="S38" s="500"/>
      <c r="T38" s="501"/>
      <c r="U38" s="494"/>
      <c r="V38" s="500"/>
      <c r="W38" s="497"/>
      <c r="X38" s="498"/>
    </row>
    <row r="39" spans="1:24" s="544" customFormat="1" x14ac:dyDescent="0.3">
      <c r="A39" s="555"/>
      <c r="B39" s="556" t="s">
        <v>11</v>
      </c>
      <c r="C39" s="556"/>
      <c r="D39" s="562" t="s">
        <v>321</v>
      </c>
      <c r="E39" s="556"/>
      <c r="F39" s="562" t="s">
        <v>231</v>
      </c>
      <c r="G39" s="562"/>
      <c r="H39" s="562" t="s">
        <v>231</v>
      </c>
      <c r="I39" s="562"/>
      <c r="J39" s="562" t="s">
        <v>231</v>
      </c>
      <c r="K39" s="562"/>
      <c r="L39" s="562" t="s">
        <v>265</v>
      </c>
      <c r="M39" s="562"/>
      <c r="N39" s="562" t="s">
        <v>265</v>
      </c>
      <c r="O39" s="562"/>
      <c r="P39" s="562" t="s">
        <v>266</v>
      </c>
      <c r="Q39" s="562"/>
      <c r="R39" s="562" t="s">
        <v>266</v>
      </c>
      <c r="S39" s="575"/>
      <c r="T39" s="576"/>
      <c r="U39" s="556"/>
      <c r="V39" s="556"/>
      <c r="W39" s="558"/>
      <c r="X39" s="543"/>
    </row>
    <row r="40" spans="1:24" s="544" customFormat="1" x14ac:dyDescent="0.3">
      <c r="A40" s="555"/>
      <c r="B40" s="556" t="s">
        <v>12</v>
      </c>
      <c r="C40" s="556"/>
      <c r="D40" s="576">
        <v>2.4263000000000002E-3</v>
      </c>
      <c r="E40" s="556"/>
      <c r="F40" s="576">
        <v>2.4263000000000002E-3</v>
      </c>
      <c r="G40" s="575"/>
      <c r="H40" s="576">
        <v>0</v>
      </c>
      <c r="I40" s="576"/>
      <c r="J40" s="576">
        <v>4.1650000000000003E-3</v>
      </c>
      <c r="K40" s="575"/>
      <c r="L40" s="576">
        <v>4.0263E-3</v>
      </c>
      <c r="M40" s="575"/>
      <c r="N40" s="576">
        <v>0</v>
      </c>
      <c r="O40" s="575"/>
      <c r="P40" s="576">
        <v>8.0263000000000001E-3</v>
      </c>
      <c r="Q40" s="575"/>
      <c r="R40" s="576">
        <v>2.1700000000000001E-3</v>
      </c>
      <c r="S40" s="575"/>
      <c r="T40" s="576"/>
      <c r="U40" s="556"/>
      <c r="V40" s="562"/>
      <c r="W40" s="558"/>
      <c r="X40" s="543"/>
    </row>
    <row r="41" spans="1:24" s="544" customFormat="1" x14ac:dyDescent="0.3">
      <c r="A41" s="555"/>
      <c r="B41" s="556" t="s">
        <v>13</v>
      </c>
      <c r="C41" s="556"/>
      <c r="D41" s="576">
        <v>2.5912999999999999E-3</v>
      </c>
      <c r="E41" s="556"/>
      <c r="F41" s="576">
        <v>2.5912999999999999E-3</v>
      </c>
      <c r="G41" s="575"/>
      <c r="H41" s="576">
        <v>0</v>
      </c>
      <c r="I41" s="576"/>
      <c r="J41" s="576">
        <v>4.5037999999999996E-3</v>
      </c>
      <c r="K41" s="575"/>
      <c r="L41" s="576">
        <v>4.1913000000000002E-3</v>
      </c>
      <c r="M41" s="575"/>
      <c r="N41" s="576">
        <v>0</v>
      </c>
      <c r="O41" s="575"/>
      <c r="P41" s="576">
        <v>8.1913000000000003E-3</v>
      </c>
      <c r="Q41" s="575"/>
      <c r="R41" s="576">
        <v>2.7599999999999999E-3</v>
      </c>
      <c r="S41" s="575"/>
      <c r="T41" s="576"/>
      <c r="U41" s="556"/>
      <c r="V41" s="575" t="s">
        <v>193</v>
      </c>
      <c r="W41" s="558"/>
      <c r="X41" s="543"/>
    </row>
    <row r="42" spans="1:24" s="544" customFormat="1" x14ac:dyDescent="0.3">
      <c r="A42" s="555"/>
      <c r="B42" s="556" t="s">
        <v>299</v>
      </c>
      <c r="C42" s="556"/>
      <c r="D42" s="562" t="s">
        <v>321</v>
      </c>
      <c r="E42" s="556"/>
      <c r="F42" s="562" t="s">
        <v>231</v>
      </c>
      <c r="G42" s="562"/>
      <c r="H42" s="562" t="s">
        <v>323</v>
      </c>
      <c r="I42" s="562"/>
      <c r="J42" s="562" t="s">
        <v>324</v>
      </c>
      <c r="K42" s="562"/>
      <c r="L42" s="562" t="s">
        <v>265</v>
      </c>
      <c r="M42" s="562"/>
      <c r="N42" s="562" t="s">
        <v>234</v>
      </c>
      <c r="O42" s="562"/>
      <c r="P42" s="562" t="s">
        <v>266</v>
      </c>
      <c r="Q42" s="562"/>
      <c r="R42" s="562" t="s">
        <v>264</v>
      </c>
      <c r="S42" s="575"/>
      <c r="T42" s="576"/>
      <c r="U42" s="556"/>
      <c r="V42" s="556"/>
      <c r="W42" s="558"/>
      <c r="X42" s="543"/>
    </row>
    <row r="43" spans="1:24" s="544" customFormat="1" x14ac:dyDescent="0.3">
      <c r="A43" s="555"/>
      <c r="B43" s="556" t="s">
        <v>300</v>
      </c>
      <c r="C43" s="577"/>
      <c r="D43" s="576">
        <f>D40</f>
        <v>2.4263000000000002E-3</v>
      </c>
      <c r="E43" s="576"/>
      <c r="F43" s="576">
        <f>+F40</f>
        <v>2.4263000000000002E-3</v>
      </c>
      <c r="G43" s="576"/>
      <c r="H43" s="576">
        <v>2.7063E-3</v>
      </c>
      <c r="I43" s="576"/>
      <c r="J43" s="576">
        <v>3.1522999999999998E-3</v>
      </c>
      <c r="K43" s="576"/>
      <c r="L43" s="576">
        <f>+L40</f>
        <v>4.0263E-3</v>
      </c>
      <c r="M43" s="576"/>
      <c r="N43" s="576">
        <v>4.6182999999999997E-3</v>
      </c>
      <c r="O43" s="576"/>
      <c r="P43" s="576">
        <f>+P40</f>
        <v>8.0263000000000001E-3</v>
      </c>
      <c r="Q43" s="575"/>
      <c r="R43" s="576">
        <v>9.0922999999999993E-3</v>
      </c>
      <c r="S43" s="562"/>
      <c r="T43" s="562"/>
      <c r="U43" s="556"/>
      <c r="V43" s="575">
        <f>SUMPRODUCT(D43:R43,D35:R35)/V35</f>
        <v>3.8952238138923981E-3</v>
      </c>
      <c r="W43" s="558"/>
      <c r="X43" s="543"/>
    </row>
    <row r="44" spans="1:24" s="544" customFormat="1" x14ac:dyDescent="0.3">
      <c r="A44" s="555"/>
      <c r="B44" s="556" t="s">
        <v>301</v>
      </c>
      <c r="C44" s="577"/>
      <c r="D44" s="576">
        <f>D41</f>
        <v>2.5912999999999999E-3</v>
      </c>
      <c r="E44" s="576"/>
      <c r="F44" s="576">
        <f>+F41</f>
        <v>2.5912999999999999E-3</v>
      </c>
      <c r="G44" s="576"/>
      <c r="H44" s="576">
        <v>2.8712999999999998E-3</v>
      </c>
      <c r="I44" s="576"/>
      <c r="J44" s="576">
        <v>3.3173E-3</v>
      </c>
      <c r="K44" s="576"/>
      <c r="L44" s="576">
        <f>+L41</f>
        <v>4.1913000000000002E-3</v>
      </c>
      <c r="M44" s="576"/>
      <c r="N44" s="576">
        <v>4.7832999999999999E-3</v>
      </c>
      <c r="O44" s="576"/>
      <c r="P44" s="576">
        <f>+P41</f>
        <v>8.1913000000000003E-3</v>
      </c>
      <c r="Q44" s="575"/>
      <c r="R44" s="576">
        <v>9.2572999999999996E-3</v>
      </c>
      <c r="S44" s="562"/>
      <c r="T44" s="562"/>
      <c r="U44" s="556"/>
      <c r="V44" s="556"/>
      <c r="W44" s="558"/>
      <c r="X44" s="543"/>
    </row>
    <row r="45" spans="1:24" s="544" customFormat="1" x14ac:dyDescent="0.3">
      <c r="A45" s="555"/>
      <c r="B45" s="556" t="s">
        <v>14</v>
      </c>
      <c r="C45" s="556"/>
      <c r="D45" s="577">
        <v>40617</v>
      </c>
      <c r="E45" s="577"/>
      <c r="F45" s="577">
        <v>40617</v>
      </c>
      <c r="G45" s="577"/>
      <c r="H45" s="577">
        <v>40617</v>
      </c>
      <c r="I45" s="577"/>
      <c r="J45" s="577">
        <v>40617</v>
      </c>
      <c r="K45" s="577"/>
      <c r="L45" s="577">
        <v>40617</v>
      </c>
      <c r="M45" s="577"/>
      <c r="N45" s="577">
        <v>40617</v>
      </c>
      <c r="O45" s="577"/>
      <c r="P45" s="577">
        <v>40617</v>
      </c>
      <c r="Q45" s="577"/>
      <c r="R45" s="577">
        <v>40617</v>
      </c>
      <c r="S45" s="562"/>
      <c r="T45" s="562"/>
      <c r="U45" s="556"/>
      <c r="V45" s="556"/>
      <c r="W45" s="558"/>
      <c r="X45" s="543"/>
    </row>
    <row r="46" spans="1:24" s="544" customFormat="1" x14ac:dyDescent="0.3">
      <c r="A46" s="555"/>
      <c r="B46" s="556" t="s">
        <v>15</v>
      </c>
      <c r="C46" s="556"/>
      <c r="D46" s="577">
        <v>40983</v>
      </c>
      <c r="E46" s="577"/>
      <c r="F46" s="577">
        <v>40983</v>
      </c>
      <c r="G46" s="577"/>
      <c r="H46" s="577">
        <v>40983</v>
      </c>
      <c r="I46" s="577"/>
      <c r="J46" s="577">
        <v>40983</v>
      </c>
      <c r="K46" s="562"/>
      <c r="L46" s="577">
        <v>40983</v>
      </c>
      <c r="M46" s="562"/>
      <c r="N46" s="577">
        <v>40983</v>
      </c>
      <c r="O46" s="562"/>
      <c r="P46" s="577">
        <v>40983</v>
      </c>
      <c r="Q46" s="562"/>
      <c r="R46" s="577">
        <v>40983</v>
      </c>
      <c r="S46" s="562"/>
      <c r="T46" s="562"/>
      <c r="U46" s="556"/>
      <c r="V46" s="556"/>
      <c r="W46" s="558"/>
      <c r="X46" s="543"/>
    </row>
    <row r="47" spans="1:24" s="544" customFormat="1" x14ac:dyDescent="0.3">
      <c r="A47" s="555"/>
      <c r="B47" s="556" t="s">
        <v>119</v>
      </c>
      <c r="C47" s="556"/>
      <c r="D47" s="562" t="s">
        <v>231</v>
      </c>
      <c r="E47" s="556"/>
      <c r="F47" s="562" t="s">
        <v>231</v>
      </c>
      <c r="G47" s="562"/>
      <c r="H47" s="562" t="s">
        <v>231</v>
      </c>
      <c r="I47" s="562"/>
      <c r="J47" s="562" t="s">
        <v>231</v>
      </c>
      <c r="K47" s="562"/>
      <c r="L47" s="562" t="s">
        <v>265</v>
      </c>
      <c r="M47" s="562"/>
      <c r="N47" s="562" t="s">
        <v>265</v>
      </c>
      <c r="O47" s="562"/>
      <c r="P47" s="562" t="s">
        <v>266</v>
      </c>
      <c r="Q47" s="562"/>
      <c r="R47" s="562" t="s">
        <v>266</v>
      </c>
      <c r="S47" s="578"/>
      <c r="T47" s="578"/>
      <c r="U47" s="578"/>
      <c r="V47" s="578"/>
      <c r="W47" s="558"/>
      <c r="X47" s="543"/>
    </row>
    <row r="48" spans="1:24" s="544" customFormat="1" x14ac:dyDescent="0.3">
      <c r="A48" s="555"/>
      <c r="B48" s="556" t="s">
        <v>302</v>
      </c>
      <c r="C48" s="556"/>
      <c r="D48" s="562" t="s">
        <v>325</v>
      </c>
      <c r="E48" s="556"/>
      <c r="F48" s="562" t="s">
        <v>231</v>
      </c>
      <c r="G48" s="562"/>
      <c r="H48" s="562" t="s">
        <v>262</v>
      </c>
      <c r="I48" s="562"/>
      <c r="J48" s="562" t="s">
        <v>263</v>
      </c>
      <c r="K48" s="562"/>
      <c r="L48" s="562" t="s">
        <v>265</v>
      </c>
      <c r="M48" s="562"/>
      <c r="N48" s="562" t="s">
        <v>234</v>
      </c>
      <c r="O48" s="562"/>
      <c r="P48" s="562" t="s">
        <v>266</v>
      </c>
      <c r="Q48" s="562"/>
      <c r="R48" s="562" t="s">
        <v>264</v>
      </c>
      <c r="S48" s="556"/>
      <c r="T48" s="556"/>
      <c r="U48" s="556"/>
      <c r="V48" s="575"/>
      <c r="W48" s="558"/>
      <c r="X48" s="543"/>
    </row>
    <row r="49" spans="1:25" s="544" customFormat="1" x14ac:dyDescent="0.3">
      <c r="A49" s="555"/>
      <c r="B49" s="556"/>
      <c r="C49" s="556"/>
      <c r="D49" s="562"/>
      <c r="E49" s="556"/>
      <c r="F49" s="562"/>
      <c r="G49" s="562"/>
      <c r="H49" s="562"/>
      <c r="I49" s="562"/>
      <c r="J49" s="562"/>
      <c r="K49" s="562"/>
      <c r="L49" s="562"/>
      <c r="M49" s="562"/>
      <c r="N49" s="562"/>
      <c r="O49" s="562"/>
      <c r="P49" s="562"/>
      <c r="Q49" s="562"/>
      <c r="R49" s="562"/>
      <c r="S49" s="556"/>
      <c r="T49" s="556"/>
      <c r="U49" s="556"/>
      <c r="V49" s="575" t="s">
        <v>193</v>
      </c>
      <c r="W49" s="558"/>
      <c r="X49" s="543"/>
    </row>
    <row r="50" spans="1:25" s="544" customFormat="1" x14ac:dyDescent="0.3">
      <c r="A50" s="555"/>
      <c r="B50" s="556" t="s">
        <v>169</v>
      </c>
      <c r="C50" s="556"/>
      <c r="D50" s="562"/>
      <c r="E50" s="556"/>
      <c r="F50" s="562"/>
      <c r="G50" s="562"/>
      <c r="H50" s="562"/>
      <c r="I50" s="562"/>
      <c r="J50" s="562"/>
      <c r="K50" s="562"/>
      <c r="L50" s="562"/>
      <c r="M50" s="562"/>
      <c r="N50" s="562"/>
      <c r="O50" s="562"/>
      <c r="P50" s="562"/>
      <c r="Q50" s="562"/>
      <c r="R50" s="562"/>
      <c r="S50" s="556"/>
      <c r="T50" s="556"/>
      <c r="U50" s="556"/>
      <c r="V50" s="575">
        <f>SUM(L34:R34)/SUM(D34:J34)</f>
        <v>0.17663090364375009</v>
      </c>
      <c r="W50" s="558"/>
      <c r="X50" s="543"/>
    </row>
    <row r="51" spans="1:25" s="544" customFormat="1" x14ac:dyDescent="0.3">
      <c r="A51" s="555"/>
      <c r="B51" s="556" t="s">
        <v>170</v>
      </c>
      <c r="C51" s="556"/>
      <c r="D51" s="556"/>
      <c r="E51" s="556"/>
      <c r="F51" s="579"/>
      <c r="G51" s="556"/>
      <c r="H51" s="556"/>
      <c r="I51" s="556"/>
      <c r="J51" s="556"/>
      <c r="K51" s="556"/>
      <c r="L51" s="556"/>
      <c r="M51" s="556"/>
      <c r="N51" s="556"/>
      <c r="O51" s="556"/>
      <c r="P51" s="556"/>
      <c r="Q51" s="556"/>
      <c r="R51" s="556"/>
      <c r="S51" s="556"/>
      <c r="T51" s="556"/>
      <c r="U51" s="556"/>
      <c r="V51" s="575">
        <f>SUM(L36:R36)/SUM(D36:J36)</f>
        <v>0.50716850649545708</v>
      </c>
      <c r="W51" s="558"/>
      <c r="X51" s="543"/>
    </row>
    <row r="52" spans="1:25" s="544" customFormat="1" x14ac:dyDescent="0.3">
      <c r="A52" s="555"/>
      <c r="B52" s="556" t="s">
        <v>171</v>
      </c>
      <c r="C52" s="556"/>
      <c r="D52" s="556"/>
      <c r="E52" s="556"/>
      <c r="F52" s="556"/>
      <c r="G52" s="556"/>
      <c r="H52" s="556"/>
      <c r="I52" s="556"/>
      <c r="J52" s="556"/>
      <c r="K52" s="556"/>
      <c r="L52" s="556"/>
      <c r="M52" s="556"/>
      <c r="N52" s="556"/>
      <c r="O52" s="556"/>
      <c r="P52" s="556"/>
      <c r="Q52" s="556"/>
      <c r="R52" s="556"/>
      <c r="S52" s="556"/>
      <c r="T52" s="562"/>
      <c r="U52" s="562"/>
      <c r="V52" s="564" t="s">
        <v>276</v>
      </c>
      <c r="W52" s="558"/>
      <c r="X52" s="543"/>
    </row>
    <row r="53" spans="1:25" s="544" customFormat="1" x14ac:dyDescent="0.3">
      <c r="A53" s="555"/>
      <c r="B53" s="556"/>
      <c r="C53" s="556"/>
      <c r="D53" s="556"/>
      <c r="E53" s="556"/>
      <c r="F53" s="556"/>
      <c r="G53" s="556"/>
      <c r="H53" s="556"/>
      <c r="I53" s="556"/>
      <c r="J53" s="556"/>
      <c r="K53" s="556"/>
      <c r="L53" s="556"/>
      <c r="M53" s="556"/>
      <c r="N53" s="556"/>
      <c r="O53" s="556"/>
      <c r="P53" s="556"/>
      <c r="Q53" s="556"/>
      <c r="R53" s="556"/>
      <c r="S53" s="556"/>
      <c r="T53" s="556"/>
      <c r="U53" s="556"/>
      <c r="V53" s="580"/>
      <c r="W53" s="558"/>
      <c r="X53" s="543"/>
    </row>
    <row r="54" spans="1:25" s="544" customFormat="1" x14ac:dyDescent="0.3">
      <c r="A54" s="555"/>
      <c r="B54" s="556" t="s">
        <v>361</v>
      </c>
      <c r="C54" s="556"/>
      <c r="D54" s="556"/>
      <c r="E54" s="556"/>
      <c r="F54" s="556"/>
      <c r="G54" s="556"/>
      <c r="H54" s="556"/>
      <c r="I54" s="556"/>
      <c r="J54" s="556"/>
      <c r="K54" s="556"/>
      <c r="L54" s="556"/>
      <c r="M54" s="556"/>
      <c r="N54" s="556"/>
      <c r="O54" s="556"/>
      <c r="P54" s="556"/>
      <c r="Q54" s="556"/>
      <c r="R54" s="556"/>
      <c r="S54" s="556"/>
      <c r="T54" s="562"/>
      <c r="U54" s="562"/>
      <c r="V54" s="581" t="s">
        <v>111</v>
      </c>
      <c r="W54" s="558"/>
      <c r="X54" s="543"/>
    </row>
    <row r="55" spans="1:25" s="544" customFormat="1" x14ac:dyDescent="0.3">
      <c r="A55" s="555"/>
      <c r="B55" s="561" t="s">
        <v>201</v>
      </c>
      <c r="C55" s="561"/>
      <c r="D55" s="561"/>
      <c r="E55" s="561"/>
      <c r="F55" s="561"/>
      <c r="G55" s="561"/>
      <c r="H55" s="561"/>
      <c r="I55" s="561"/>
      <c r="J55" s="561"/>
      <c r="K55" s="561"/>
      <c r="L55" s="561"/>
      <c r="M55" s="561"/>
      <c r="N55" s="561"/>
      <c r="O55" s="561"/>
      <c r="P55" s="561"/>
      <c r="Q55" s="561"/>
      <c r="R55" s="561"/>
      <c r="S55" s="561"/>
      <c r="T55" s="582"/>
      <c r="U55" s="582"/>
      <c r="V55" s="583">
        <v>44270</v>
      </c>
      <c r="W55" s="558"/>
      <c r="X55" s="543"/>
    </row>
    <row r="56" spans="1:25" s="544" customFormat="1" x14ac:dyDescent="0.3">
      <c r="A56" s="555"/>
      <c r="B56" s="556" t="s">
        <v>121</v>
      </c>
      <c r="C56" s="556"/>
      <c r="D56" s="556"/>
      <c r="E56" s="556"/>
      <c r="F56" s="556"/>
      <c r="G56" s="556"/>
      <c r="H56" s="584"/>
      <c r="I56" s="584"/>
      <c r="J56" s="584"/>
      <c r="K56" s="584"/>
      <c r="L56" s="584"/>
      <c r="M56" s="584"/>
      <c r="N56" s="584"/>
      <c r="O56" s="584"/>
      <c r="P56" s="584"/>
      <c r="Q56" s="584"/>
      <c r="R56" s="556">
        <f>+V56-T56+1</f>
        <v>91</v>
      </c>
      <c r="S56" s="584"/>
      <c r="T56" s="585">
        <v>44089</v>
      </c>
      <c r="U56" s="586"/>
      <c r="V56" s="585">
        <v>44179</v>
      </c>
      <c r="W56" s="558"/>
      <c r="X56" s="543"/>
    </row>
    <row r="57" spans="1:25" s="544" customFormat="1" x14ac:dyDescent="0.3">
      <c r="A57" s="555"/>
      <c r="B57" s="556" t="s">
        <v>122</v>
      </c>
      <c r="C57" s="556"/>
      <c r="D57" s="556"/>
      <c r="E57" s="556"/>
      <c r="F57" s="556"/>
      <c r="G57" s="556"/>
      <c r="H57" s="556"/>
      <c r="I57" s="556"/>
      <c r="J57" s="556"/>
      <c r="K57" s="556"/>
      <c r="L57" s="556"/>
      <c r="M57" s="556"/>
      <c r="N57" s="556"/>
      <c r="O57" s="556"/>
      <c r="P57" s="556"/>
      <c r="Q57" s="556"/>
      <c r="R57" s="556">
        <f>+V57-T57+1</f>
        <v>90</v>
      </c>
      <c r="S57" s="556"/>
      <c r="T57" s="585">
        <v>44180</v>
      </c>
      <c r="U57" s="586"/>
      <c r="V57" s="585">
        <v>44269</v>
      </c>
      <c r="W57" s="558"/>
      <c r="X57" s="543"/>
    </row>
    <row r="58" spans="1:25" s="544" customFormat="1" x14ac:dyDescent="0.3">
      <c r="A58" s="555"/>
      <c r="B58" s="556" t="s">
        <v>360</v>
      </c>
      <c r="C58" s="556"/>
      <c r="D58" s="556"/>
      <c r="E58" s="556"/>
      <c r="F58" s="556"/>
      <c r="G58" s="556"/>
      <c r="H58" s="556"/>
      <c r="I58" s="556"/>
      <c r="J58" s="556"/>
      <c r="K58" s="556"/>
      <c r="L58" s="556"/>
      <c r="M58" s="556"/>
      <c r="N58" s="556"/>
      <c r="O58" s="556"/>
      <c r="P58" s="556"/>
      <c r="Q58" s="556"/>
      <c r="R58" s="556"/>
      <c r="S58" s="556"/>
      <c r="T58" s="585"/>
      <c r="U58" s="586"/>
      <c r="V58" s="585" t="s">
        <v>120</v>
      </c>
      <c r="W58" s="558"/>
      <c r="X58" s="543"/>
    </row>
    <row r="59" spans="1:25" s="544" customFormat="1" x14ac:dyDescent="0.3">
      <c r="A59" s="555"/>
      <c r="B59" s="556" t="s">
        <v>359</v>
      </c>
      <c r="C59" s="556"/>
      <c r="D59" s="556"/>
      <c r="E59" s="556"/>
      <c r="F59" s="556"/>
      <c r="G59" s="556"/>
      <c r="H59" s="556"/>
      <c r="I59" s="556"/>
      <c r="J59" s="556"/>
      <c r="K59" s="556"/>
      <c r="L59" s="556"/>
      <c r="M59" s="556"/>
      <c r="N59" s="556"/>
      <c r="O59" s="556"/>
      <c r="P59" s="556"/>
      <c r="Q59" s="556"/>
      <c r="R59" s="556"/>
      <c r="S59" s="556"/>
      <c r="T59" s="585"/>
      <c r="U59" s="586"/>
      <c r="V59" s="585" t="s">
        <v>154</v>
      </c>
      <c r="W59" s="558"/>
      <c r="X59" s="543"/>
      <c r="Y59" s="587"/>
    </row>
    <row r="60" spans="1:25" s="544" customFormat="1" x14ac:dyDescent="0.3">
      <c r="A60" s="555"/>
      <c r="B60" s="556" t="s">
        <v>16</v>
      </c>
      <c r="C60" s="556"/>
      <c r="D60" s="556"/>
      <c r="E60" s="556"/>
      <c r="F60" s="556"/>
      <c r="G60" s="556"/>
      <c r="H60" s="556"/>
      <c r="I60" s="556"/>
      <c r="J60" s="556"/>
      <c r="K60" s="556"/>
      <c r="L60" s="556"/>
      <c r="M60" s="556"/>
      <c r="N60" s="556"/>
      <c r="O60" s="556"/>
      <c r="P60" s="556"/>
      <c r="Q60" s="556"/>
      <c r="R60" s="556"/>
      <c r="S60" s="556"/>
      <c r="T60" s="585"/>
      <c r="U60" s="586"/>
      <c r="V60" s="585">
        <v>44256</v>
      </c>
      <c r="W60" s="558"/>
      <c r="X60" s="543"/>
    </row>
    <row r="61" spans="1:25" s="544" customFormat="1" x14ac:dyDescent="0.3">
      <c r="A61" s="540"/>
      <c r="B61" s="588"/>
      <c r="C61" s="588"/>
      <c r="D61" s="588"/>
      <c r="E61" s="588"/>
      <c r="F61" s="588"/>
      <c r="G61" s="588"/>
      <c r="H61" s="588"/>
      <c r="I61" s="588"/>
      <c r="J61" s="588"/>
      <c r="K61" s="588"/>
      <c r="L61" s="588"/>
      <c r="M61" s="588"/>
      <c r="N61" s="588"/>
      <c r="O61" s="588"/>
      <c r="P61" s="588"/>
      <c r="Q61" s="588"/>
      <c r="R61" s="588"/>
      <c r="S61" s="588"/>
      <c r="T61" s="589"/>
      <c r="U61" s="590"/>
      <c r="V61" s="589"/>
      <c r="W61" s="588"/>
      <c r="X61" s="543"/>
    </row>
    <row r="62" spans="1:25" s="544" customFormat="1" x14ac:dyDescent="0.3">
      <c r="A62" s="540"/>
      <c r="B62" s="541"/>
      <c r="C62" s="541"/>
      <c r="D62" s="541"/>
      <c r="E62" s="541"/>
      <c r="F62" s="541"/>
      <c r="G62" s="541"/>
      <c r="H62" s="541"/>
      <c r="I62" s="541"/>
      <c r="J62" s="541"/>
      <c r="K62" s="541"/>
      <c r="L62" s="541"/>
      <c r="M62" s="541"/>
      <c r="N62" s="541"/>
      <c r="O62" s="541"/>
      <c r="P62" s="541"/>
      <c r="Q62" s="541"/>
      <c r="R62" s="541"/>
      <c r="S62" s="541"/>
      <c r="T62" s="591"/>
      <c r="U62" s="592"/>
      <c r="V62" s="591"/>
      <c r="W62" s="541"/>
      <c r="X62" s="543"/>
    </row>
    <row r="63" spans="1:25" s="544" customFormat="1" ht="18.600000000000001" thickBot="1" x14ac:dyDescent="0.4">
      <c r="A63" s="593"/>
      <c r="B63" s="594" t="s">
        <v>425</v>
      </c>
      <c r="C63" s="595"/>
      <c r="D63" s="595"/>
      <c r="E63" s="595"/>
      <c r="F63" s="595"/>
      <c r="G63" s="595"/>
      <c r="H63" s="595"/>
      <c r="I63" s="595"/>
      <c r="J63" s="595"/>
      <c r="K63" s="595"/>
      <c r="L63" s="595"/>
      <c r="M63" s="595"/>
      <c r="N63" s="595"/>
      <c r="O63" s="595"/>
      <c r="P63" s="595"/>
      <c r="Q63" s="595"/>
      <c r="R63" s="595"/>
      <c r="S63" s="595"/>
      <c r="T63" s="595"/>
      <c r="U63" s="595"/>
      <c r="V63" s="596"/>
      <c r="W63" s="597"/>
      <c r="X63" s="543"/>
    </row>
    <row r="64" spans="1:25" x14ac:dyDescent="0.3">
      <c r="A64" s="515"/>
      <c r="B64" s="521" t="s">
        <v>17</v>
      </c>
      <c r="C64" s="516"/>
      <c r="D64" s="516"/>
      <c r="E64" s="516"/>
      <c r="F64" s="516"/>
      <c r="G64" s="516"/>
      <c r="H64" s="516"/>
      <c r="I64" s="516"/>
      <c r="J64" s="516"/>
      <c r="K64" s="516"/>
      <c r="L64" s="516"/>
      <c r="M64" s="516"/>
      <c r="N64" s="516"/>
      <c r="O64" s="516"/>
      <c r="P64" s="516"/>
      <c r="Q64" s="516"/>
      <c r="R64" s="516"/>
      <c r="S64" s="516"/>
      <c r="T64" s="516"/>
      <c r="U64" s="516"/>
      <c r="V64" s="522"/>
      <c r="W64" s="516"/>
      <c r="X64" s="415"/>
    </row>
    <row r="65" spans="1:24" x14ac:dyDescent="0.3">
      <c r="A65" s="417"/>
      <c r="B65" s="425"/>
      <c r="C65" s="419"/>
      <c r="D65" s="419"/>
      <c r="E65" s="419"/>
      <c r="F65" s="419"/>
      <c r="G65" s="419"/>
      <c r="H65" s="419"/>
      <c r="I65" s="419"/>
      <c r="J65" s="419"/>
      <c r="K65" s="419"/>
      <c r="L65" s="419"/>
      <c r="M65" s="419"/>
      <c r="N65" s="419"/>
      <c r="O65" s="419"/>
      <c r="P65" s="419"/>
      <c r="Q65" s="419"/>
      <c r="R65" s="419"/>
      <c r="S65" s="419"/>
      <c r="T65" s="419"/>
      <c r="U65" s="419"/>
      <c r="V65" s="439"/>
      <c r="W65" s="419"/>
      <c r="X65" s="415"/>
    </row>
    <row r="66" spans="1:24" s="499" customFormat="1" ht="46.8" x14ac:dyDescent="0.3">
      <c r="A66" s="502"/>
      <c r="B66" s="503" t="s">
        <v>18</v>
      </c>
      <c r="C66" s="504"/>
      <c r="D66" s="504"/>
      <c r="E66" s="504"/>
      <c r="F66" s="504"/>
      <c r="G66" s="504"/>
      <c r="H66" s="504"/>
      <c r="I66" s="504"/>
      <c r="J66" s="504"/>
      <c r="K66" s="504"/>
      <c r="L66" s="504" t="s">
        <v>94</v>
      </c>
      <c r="M66" s="504"/>
      <c r="N66" s="504" t="s">
        <v>96</v>
      </c>
      <c r="O66" s="504"/>
      <c r="P66" s="504" t="s">
        <v>98</v>
      </c>
      <c r="Q66" s="504"/>
      <c r="R66" s="504" t="s">
        <v>100</v>
      </c>
      <c r="S66" s="504"/>
      <c r="T66" s="504" t="s">
        <v>106</v>
      </c>
      <c r="U66" s="504"/>
      <c r="V66" s="505" t="s">
        <v>112</v>
      </c>
      <c r="W66" s="506"/>
      <c r="X66" s="498"/>
    </row>
    <row r="67" spans="1:24" s="544" customFormat="1" x14ac:dyDescent="0.3">
      <c r="A67" s="555"/>
      <c r="B67" s="556" t="s">
        <v>19</v>
      </c>
      <c r="C67" s="598"/>
      <c r="D67" s="598"/>
      <c r="E67" s="598"/>
      <c r="F67" s="598"/>
      <c r="G67" s="598"/>
      <c r="H67" s="598"/>
      <c r="I67" s="598"/>
      <c r="J67" s="598"/>
      <c r="K67" s="598"/>
      <c r="L67" s="598">
        <v>1158015</v>
      </c>
      <c r="M67" s="598"/>
      <c r="N67" s="599">
        <v>692884</v>
      </c>
      <c r="O67" s="598"/>
      <c r="P67" s="598">
        <v>23605</v>
      </c>
      <c r="Q67" s="598"/>
      <c r="R67" s="598">
        <v>0</v>
      </c>
      <c r="S67" s="598"/>
      <c r="T67" s="598">
        <v>0</v>
      </c>
      <c r="U67" s="598"/>
      <c r="V67" s="599">
        <f>+N67-P67+R67-T67</f>
        <v>669279</v>
      </c>
      <c r="W67" s="558"/>
      <c r="X67" s="543"/>
    </row>
    <row r="68" spans="1:24" s="544" customFormat="1" x14ac:dyDescent="0.3">
      <c r="A68" s="555"/>
      <c r="B68" s="556" t="s">
        <v>20</v>
      </c>
      <c r="C68" s="598"/>
      <c r="D68" s="598"/>
      <c r="E68" s="598"/>
      <c r="F68" s="598"/>
      <c r="G68" s="598"/>
      <c r="H68" s="598"/>
      <c r="I68" s="598"/>
      <c r="J68" s="598"/>
      <c r="K68" s="598"/>
      <c r="L68" s="598">
        <v>15</v>
      </c>
      <c r="M68" s="598"/>
      <c r="N68" s="599">
        <v>0</v>
      </c>
      <c r="O68" s="598"/>
      <c r="P68" s="598">
        <v>0</v>
      </c>
      <c r="Q68" s="598"/>
      <c r="R68" s="598">
        <v>0</v>
      </c>
      <c r="S68" s="598"/>
      <c r="T68" s="598">
        <v>0</v>
      </c>
      <c r="U68" s="598"/>
      <c r="V68" s="599">
        <v>0</v>
      </c>
      <c r="W68" s="558"/>
      <c r="X68" s="543"/>
    </row>
    <row r="69" spans="1:24" s="544" customFormat="1" x14ac:dyDescent="0.3">
      <c r="A69" s="555"/>
      <c r="B69" s="556"/>
      <c r="C69" s="598"/>
      <c r="D69" s="598"/>
      <c r="E69" s="598"/>
      <c r="F69" s="598"/>
      <c r="G69" s="598"/>
      <c r="H69" s="598"/>
      <c r="I69" s="598"/>
      <c r="J69" s="598"/>
      <c r="K69" s="598"/>
      <c r="L69" s="598"/>
      <c r="M69" s="598"/>
      <c r="N69" s="599"/>
      <c r="O69" s="598"/>
      <c r="P69" s="598"/>
      <c r="Q69" s="598"/>
      <c r="R69" s="598"/>
      <c r="S69" s="598"/>
      <c r="T69" s="598"/>
      <c r="U69" s="598"/>
      <c r="V69" s="599"/>
      <c r="W69" s="558"/>
      <c r="X69" s="543"/>
    </row>
    <row r="70" spans="1:24" s="544" customFormat="1" x14ac:dyDescent="0.3">
      <c r="A70" s="555"/>
      <c r="B70" s="556" t="s">
        <v>21</v>
      </c>
      <c r="C70" s="598"/>
      <c r="D70" s="598"/>
      <c r="E70" s="598"/>
      <c r="F70" s="598"/>
      <c r="G70" s="598"/>
      <c r="H70" s="598"/>
      <c r="I70" s="598"/>
      <c r="J70" s="598"/>
      <c r="K70" s="598"/>
      <c r="L70" s="598">
        <f>SUM(L67:L69)</f>
        <v>1158030</v>
      </c>
      <c r="M70" s="598"/>
      <c r="N70" s="598">
        <f>N67+N68</f>
        <v>692884</v>
      </c>
      <c r="O70" s="598"/>
      <c r="P70" s="598">
        <f>SUM(P67:P69)</f>
        <v>23605</v>
      </c>
      <c r="Q70" s="598"/>
      <c r="R70" s="598">
        <f>SUM(R67:R69)</f>
        <v>0</v>
      </c>
      <c r="S70" s="598"/>
      <c r="T70" s="598">
        <f>SUM(T67:T69)</f>
        <v>0</v>
      </c>
      <c r="U70" s="598"/>
      <c r="V70" s="598">
        <f>SUM(V67:V69)</f>
        <v>669279</v>
      </c>
      <c r="W70" s="558"/>
      <c r="X70" s="543"/>
    </row>
    <row r="71" spans="1:24" x14ac:dyDescent="0.3">
      <c r="A71" s="417"/>
      <c r="B71" s="441"/>
      <c r="C71" s="442"/>
      <c r="D71" s="442"/>
      <c r="E71" s="442"/>
      <c r="F71" s="442"/>
      <c r="G71" s="442"/>
      <c r="H71" s="442"/>
      <c r="I71" s="442"/>
      <c r="J71" s="442"/>
      <c r="K71" s="442"/>
      <c r="L71" s="442"/>
      <c r="M71" s="442"/>
      <c r="N71" s="442"/>
      <c r="O71" s="442"/>
      <c r="P71" s="442"/>
      <c r="Q71" s="442"/>
      <c r="R71" s="442"/>
      <c r="S71" s="442"/>
      <c r="T71" s="442"/>
      <c r="U71" s="442"/>
      <c r="V71" s="443"/>
      <c r="W71" s="441"/>
      <c r="X71" s="415"/>
    </row>
    <row r="72" spans="1:24" x14ac:dyDescent="0.3">
      <c r="A72" s="417"/>
      <c r="B72" s="421" t="s">
        <v>22</v>
      </c>
      <c r="C72" s="444"/>
      <c r="D72" s="444"/>
      <c r="E72" s="444"/>
      <c r="F72" s="444"/>
      <c r="G72" s="444"/>
      <c r="H72" s="444"/>
      <c r="I72" s="444"/>
      <c r="J72" s="444"/>
      <c r="K72" s="444"/>
      <c r="L72" s="444"/>
      <c r="M72" s="444"/>
      <c r="N72" s="444"/>
      <c r="O72" s="444"/>
      <c r="P72" s="444"/>
      <c r="Q72" s="444"/>
      <c r="R72" s="444"/>
      <c r="S72" s="444"/>
      <c r="T72" s="444"/>
      <c r="U72" s="444"/>
      <c r="V72" s="445"/>
      <c r="W72" s="419"/>
      <c r="X72" s="415"/>
    </row>
    <row r="73" spans="1:24" x14ac:dyDescent="0.3">
      <c r="A73" s="417"/>
      <c r="B73" s="419"/>
      <c r="C73" s="444"/>
      <c r="D73" s="444"/>
      <c r="E73" s="444"/>
      <c r="F73" s="444"/>
      <c r="G73" s="444"/>
      <c r="H73" s="444"/>
      <c r="I73" s="444"/>
      <c r="J73" s="444"/>
      <c r="K73" s="444"/>
      <c r="L73" s="444"/>
      <c r="M73" s="444"/>
      <c r="N73" s="444"/>
      <c r="O73" s="444"/>
      <c r="P73" s="444"/>
      <c r="Q73" s="444"/>
      <c r="R73" s="444"/>
      <c r="S73" s="444"/>
      <c r="T73" s="444"/>
      <c r="U73" s="444"/>
      <c r="V73" s="445"/>
      <c r="W73" s="419"/>
      <c r="X73" s="415"/>
    </row>
    <row r="74" spans="1:24" s="544" customFormat="1" x14ac:dyDescent="0.3">
      <c r="A74" s="555"/>
      <c r="B74" s="556" t="s">
        <v>19</v>
      </c>
      <c r="C74" s="598"/>
      <c r="D74" s="598"/>
      <c r="E74" s="598"/>
      <c r="F74" s="598"/>
      <c r="G74" s="598"/>
      <c r="H74" s="598"/>
      <c r="I74" s="598"/>
      <c r="J74" s="598"/>
      <c r="K74" s="598"/>
      <c r="L74" s="598"/>
      <c r="M74" s="598"/>
      <c r="N74" s="598"/>
      <c r="O74" s="598"/>
      <c r="P74" s="598"/>
      <c r="Q74" s="598"/>
      <c r="R74" s="598"/>
      <c r="S74" s="598"/>
      <c r="T74" s="598"/>
      <c r="U74" s="598"/>
      <c r="V74" s="598"/>
      <c r="W74" s="558"/>
      <c r="X74" s="543"/>
    </row>
    <row r="75" spans="1:24" s="544" customFormat="1" x14ac:dyDescent="0.3">
      <c r="A75" s="555"/>
      <c r="B75" s="556" t="s">
        <v>20</v>
      </c>
      <c r="C75" s="598"/>
      <c r="D75" s="598"/>
      <c r="E75" s="598"/>
      <c r="F75" s="598"/>
      <c r="G75" s="598"/>
      <c r="H75" s="598"/>
      <c r="I75" s="598"/>
      <c r="J75" s="598"/>
      <c r="K75" s="598"/>
      <c r="L75" s="598"/>
      <c r="M75" s="598"/>
      <c r="N75" s="598"/>
      <c r="O75" s="598"/>
      <c r="P75" s="598"/>
      <c r="Q75" s="598"/>
      <c r="R75" s="598"/>
      <c r="S75" s="598"/>
      <c r="T75" s="598"/>
      <c r="U75" s="598"/>
      <c r="V75" s="598"/>
      <c r="W75" s="558"/>
      <c r="X75" s="543"/>
    </row>
    <row r="76" spans="1:24" s="544" customFormat="1" x14ac:dyDescent="0.3">
      <c r="A76" s="555"/>
      <c r="B76" s="556"/>
      <c r="C76" s="598"/>
      <c r="D76" s="598"/>
      <c r="E76" s="598"/>
      <c r="F76" s="598"/>
      <c r="G76" s="598"/>
      <c r="H76" s="598"/>
      <c r="I76" s="598"/>
      <c r="J76" s="598"/>
      <c r="K76" s="598"/>
      <c r="L76" s="598"/>
      <c r="M76" s="598"/>
      <c r="N76" s="598"/>
      <c r="O76" s="598"/>
      <c r="P76" s="598"/>
      <c r="Q76" s="598"/>
      <c r="R76" s="598"/>
      <c r="S76" s="598"/>
      <c r="T76" s="598"/>
      <c r="U76" s="598"/>
      <c r="V76" s="598"/>
      <c r="W76" s="558"/>
      <c r="X76" s="543"/>
    </row>
    <row r="77" spans="1:24" s="544" customFormat="1" x14ac:dyDescent="0.3">
      <c r="A77" s="555"/>
      <c r="B77" s="556" t="s">
        <v>21</v>
      </c>
      <c r="C77" s="598"/>
      <c r="D77" s="598"/>
      <c r="E77" s="598"/>
      <c r="F77" s="598"/>
      <c r="G77" s="598"/>
      <c r="H77" s="598"/>
      <c r="I77" s="598"/>
      <c r="J77" s="598"/>
      <c r="K77" s="598"/>
      <c r="L77" s="598"/>
      <c r="M77" s="598"/>
      <c r="N77" s="598"/>
      <c r="O77" s="598"/>
      <c r="P77" s="598"/>
      <c r="Q77" s="598"/>
      <c r="R77" s="598"/>
      <c r="S77" s="598"/>
      <c r="T77" s="598"/>
      <c r="U77" s="598"/>
      <c r="V77" s="598"/>
      <c r="W77" s="558"/>
      <c r="X77" s="543"/>
    </row>
    <row r="78" spans="1:24" s="544" customFormat="1" x14ac:dyDescent="0.3">
      <c r="A78" s="555"/>
      <c r="B78" s="556"/>
      <c r="C78" s="598"/>
      <c r="D78" s="598"/>
      <c r="E78" s="598"/>
      <c r="F78" s="598"/>
      <c r="G78" s="598"/>
      <c r="H78" s="598"/>
      <c r="I78" s="598"/>
      <c r="J78" s="598"/>
      <c r="K78" s="598"/>
      <c r="L78" s="598"/>
      <c r="M78" s="598"/>
      <c r="N78" s="598"/>
      <c r="O78" s="598"/>
      <c r="P78" s="598"/>
      <c r="Q78" s="598"/>
      <c r="R78" s="598"/>
      <c r="S78" s="598"/>
      <c r="T78" s="598"/>
      <c r="U78" s="598"/>
      <c r="V78" s="598"/>
      <c r="W78" s="558"/>
      <c r="X78" s="543"/>
    </row>
    <row r="79" spans="1:24" s="544" customFormat="1" x14ac:dyDescent="0.3">
      <c r="A79" s="555"/>
      <c r="B79" s="556" t="s">
        <v>23</v>
      </c>
      <c r="C79" s="598"/>
      <c r="D79" s="598"/>
      <c r="E79" s="598"/>
      <c r="F79" s="598"/>
      <c r="G79" s="598"/>
      <c r="H79" s="598"/>
      <c r="I79" s="598"/>
      <c r="J79" s="598"/>
      <c r="K79" s="598"/>
      <c r="L79" s="598">
        <v>0</v>
      </c>
      <c r="M79" s="598"/>
      <c r="N79" s="598">
        <v>0</v>
      </c>
      <c r="O79" s="598"/>
      <c r="P79" s="598"/>
      <c r="Q79" s="598"/>
      <c r="R79" s="598"/>
      <c r="S79" s="598"/>
      <c r="T79" s="598"/>
      <c r="U79" s="598"/>
      <c r="V79" s="599">
        <v>0</v>
      </c>
      <c r="W79" s="558"/>
      <c r="X79" s="543"/>
    </row>
    <row r="80" spans="1:24" s="544" customFormat="1" x14ac:dyDescent="0.3">
      <c r="A80" s="555"/>
      <c r="B80" s="556" t="s">
        <v>117</v>
      </c>
      <c r="C80" s="598"/>
      <c r="D80" s="598"/>
      <c r="E80" s="598"/>
      <c r="F80" s="598"/>
      <c r="G80" s="598"/>
      <c r="H80" s="598"/>
      <c r="I80" s="598"/>
      <c r="J80" s="598"/>
      <c r="K80" s="598"/>
      <c r="L80" s="598">
        <v>342245</v>
      </c>
      <c r="M80" s="598"/>
      <c r="N80" s="598">
        <v>0</v>
      </c>
      <c r="O80" s="598"/>
      <c r="P80" s="598">
        <v>0</v>
      </c>
      <c r="Q80" s="598"/>
      <c r="R80" s="598"/>
      <c r="S80" s="598"/>
      <c r="T80" s="598"/>
      <c r="U80" s="598"/>
      <c r="V80" s="598">
        <f>SUM(N80:R80)</f>
        <v>0</v>
      </c>
      <c r="W80" s="558"/>
      <c r="X80" s="543"/>
    </row>
    <row r="81" spans="1:24" s="544" customFormat="1" x14ac:dyDescent="0.3">
      <c r="A81" s="555"/>
      <c r="B81" s="556" t="s">
        <v>146</v>
      </c>
      <c r="C81" s="598"/>
      <c r="D81" s="598"/>
      <c r="E81" s="598"/>
      <c r="F81" s="598"/>
      <c r="G81" s="598"/>
      <c r="H81" s="598"/>
      <c r="I81" s="598"/>
      <c r="J81" s="598"/>
      <c r="K81" s="598"/>
      <c r="L81" s="598">
        <v>0</v>
      </c>
      <c r="M81" s="598"/>
      <c r="N81" s="598">
        <v>0</v>
      </c>
      <c r="O81" s="598"/>
      <c r="P81" s="598">
        <v>0</v>
      </c>
      <c r="Q81" s="598"/>
      <c r="R81" s="598"/>
      <c r="S81" s="598"/>
      <c r="T81" s="598"/>
      <c r="U81" s="598"/>
      <c r="V81" s="598">
        <f>+N81+P81</f>
        <v>0</v>
      </c>
      <c r="W81" s="558"/>
      <c r="X81" s="543"/>
    </row>
    <row r="82" spans="1:24" s="544" customFormat="1" x14ac:dyDescent="0.3">
      <c r="A82" s="555"/>
      <c r="B82" s="556" t="s">
        <v>25</v>
      </c>
      <c r="C82" s="598"/>
      <c r="D82" s="598"/>
      <c r="E82" s="598"/>
      <c r="F82" s="598"/>
      <c r="G82" s="598"/>
      <c r="H82" s="598"/>
      <c r="I82" s="598"/>
      <c r="J82" s="598"/>
      <c r="K82" s="598"/>
      <c r="L82" s="598">
        <v>0</v>
      </c>
      <c r="M82" s="598"/>
      <c r="N82" s="598">
        <v>0</v>
      </c>
      <c r="O82" s="598"/>
      <c r="P82" s="598"/>
      <c r="Q82" s="598"/>
      <c r="R82" s="598"/>
      <c r="S82" s="598"/>
      <c r="T82" s="598"/>
      <c r="U82" s="598"/>
      <c r="V82" s="598">
        <v>0</v>
      </c>
      <c r="W82" s="558"/>
      <c r="X82" s="543"/>
    </row>
    <row r="83" spans="1:24" s="544" customFormat="1" x14ac:dyDescent="0.3">
      <c r="A83" s="555"/>
      <c r="B83" s="556" t="s">
        <v>26</v>
      </c>
      <c r="C83" s="598"/>
      <c r="D83" s="598"/>
      <c r="E83" s="598"/>
      <c r="F83" s="598"/>
      <c r="G83" s="598"/>
      <c r="H83" s="598"/>
      <c r="I83" s="598"/>
      <c r="J83" s="598"/>
      <c r="K83" s="598"/>
      <c r="L83" s="598">
        <f>SUM(L70:L82)</f>
        <v>1500275</v>
      </c>
      <c r="M83" s="598"/>
      <c r="N83" s="598">
        <f>SUM(N70:N82)</f>
        <v>692884</v>
      </c>
      <c r="O83" s="598"/>
      <c r="P83" s="598"/>
      <c r="Q83" s="598"/>
      <c r="R83" s="598"/>
      <c r="S83" s="598"/>
      <c r="T83" s="598"/>
      <c r="U83" s="598"/>
      <c r="V83" s="598">
        <f>SUM(V70:V82)</f>
        <v>669279</v>
      </c>
      <c r="W83" s="558"/>
      <c r="X83" s="543"/>
    </row>
    <row r="84" spans="1:24" x14ac:dyDescent="0.3">
      <c r="A84" s="446"/>
      <c r="B84" s="437"/>
      <c r="C84" s="447"/>
      <c r="D84" s="447"/>
      <c r="E84" s="447"/>
      <c r="F84" s="447"/>
      <c r="G84" s="447"/>
      <c r="H84" s="447"/>
      <c r="I84" s="447"/>
      <c r="J84" s="447"/>
      <c r="K84" s="447"/>
      <c r="L84" s="447"/>
      <c r="M84" s="447"/>
      <c r="N84" s="447"/>
      <c r="O84" s="447"/>
      <c r="P84" s="447"/>
      <c r="Q84" s="447"/>
      <c r="R84" s="447"/>
      <c r="S84" s="447"/>
      <c r="T84" s="447"/>
      <c r="U84" s="447"/>
      <c r="V84" s="447"/>
      <c r="W84" s="437"/>
      <c r="X84" s="415"/>
    </row>
    <row r="85" spans="1:24" x14ac:dyDescent="0.3">
      <c r="A85" s="446"/>
      <c r="B85" s="427"/>
      <c r="C85" s="427"/>
      <c r="D85" s="427"/>
      <c r="E85" s="427"/>
      <c r="F85" s="427"/>
      <c r="G85" s="427"/>
      <c r="H85" s="427"/>
      <c r="I85" s="427"/>
      <c r="J85" s="427"/>
      <c r="K85" s="427"/>
      <c r="L85" s="427"/>
      <c r="M85" s="427"/>
      <c r="N85" s="427"/>
      <c r="O85" s="427"/>
      <c r="P85" s="427"/>
      <c r="Q85" s="427"/>
      <c r="R85" s="427"/>
      <c r="S85" s="427"/>
      <c r="T85" s="427"/>
      <c r="U85" s="427"/>
      <c r="V85" s="427"/>
      <c r="W85" s="427"/>
      <c r="X85" s="415"/>
    </row>
    <row r="86" spans="1:24" x14ac:dyDescent="0.3">
      <c r="A86" s="515"/>
      <c r="B86" s="523" t="s">
        <v>27</v>
      </c>
      <c r="C86" s="523"/>
      <c r="D86" s="523"/>
      <c r="E86" s="523"/>
      <c r="F86" s="523"/>
      <c r="G86" s="523"/>
      <c r="H86" s="524"/>
      <c r="I86" s="524"/>
      <c r="J86" s="524"/>
      <c r="K86" s="524"/>
      <c r="L86" s="525" t="s">
        <v>95</v>
      </c>
      <c r="M86" s="524"/>
      <c r="N86" s="526">
        <f>+T207</f>
        <v>44253</v>
      </c>
      <c r="O86" s="524"/>
      <c r="P86" s="524"/>
      <c r="Q86" s="524"/>
      <c r="R86" s="524"/>
      <c r="S86" s="524"/>
      <c r="T86" s="524" t="s">
        <v>107</v>
      </c>
      <c r="U86" s="524"/>
      <c r="V86" s="524" t="s">
        <v>113</v>
      </c>
      <c r="W86" s="520"/>
      <c r="X86" s="415"/>
    </row>
    <row r="87" spans="1:24" s="544" customFormat="1" x14ac:dyDescent="0.3">
      <c r="A87" s="540"/>
      <c r="B87" s="588" t="s">
        <v>28</v>
      </c>
      <c r="C87" s="588"/>
      <c r="D87" s="588"/>
      <c r="E87" s="588"/>
      <c r="F87" s="588"/>
      <c r="G87" s="588"/>
      <c r="H87" s="588"/>
      <c r="I87" s="588"/>
      <c r="J87" s="588"/>
      <c r="K87" s="588"/>
      <c r="L87" s="588"/>
      <c r="M87" s="588"/>
      <c r="N87" s="588"/>
      <c r="O87" s="588"/>
      <c r="P87" s="588"/>
      <c r="Q87" s="588"/>
      <c r="R87" s="588"/>
      <c r="S87" s="588"/>
      <c r="T87" s="600">
        <v>0</v>
      </c>
      <c r="U87" s="588"/>
      <c r="V87" s="601">
        <v>0</v>
      </c>
      <c r="W87" s="588"/>
      <c r="X87" s="543"/>
    </row>
    <row r="88" spans="1:24" s="544" customFormat="1" x14ac:dyDescent="0.3">
      <c r="A88" s="555"/>
      <c r="B88" s="556" t="s">
        <v>29</v>
      </c>
      <c r="C88" s="556"/>
      <c r="D88" s="556"/>
      <c r="E88" s="556"/>
      <c r="F88" s="556"/>
      <c r="G88" s="556"/>
      <c r="H88" s="578"/>
      <c r="I88" s="578"/>
      <c r="J88" s="578"/>
      <c r="K88" s="602"/>
      <c r="L88" s="578"/>
      <c r="M88" s="556"/>
      <c r="N88" s="603"/>
      <c r="O88" s="556"/>
      <c r="P88" s="556"/>
      <c r="Q88" s="556"/>
      <c r="R88" s="556"/>
      <c r="S88" s="556"/>
      <c r="T88" s="598">
        <f>23605-537</f>
        <v>23068</v>
      </c>
      <c r="U88" s="556"/>
      <c r="V88" s="599"/>
      <c r="W88" s="558"/>
      <c r="X88" s="543"/>
    </row>
    <row r="89" spans="1:24" s="544" customFormat="1" x14ac:dyDescent="0.3">
      <c r="A89" s="555"/>
      <c r="B89" s="556" t="s">
        <v>216</v>
      </c>
      <c r="C89" s="556"/>
      <c r="D89" s="556"/>
      <c r="E89" s="556"/>
      <c r="F89" s="556"/>
      <c r="G89" s="556"/>
      <c r="H89" s="578"/>
      <c r="I89" s="578"/>
      <c r="J89" s="578"/>
      <c r="K89" s="602"/>
      <c r="L89" s="578"/>
      <c r="M89" s="556"/>
      <c r="N89" s="603"/>
      <c r="O89" s="556"/>
      <c r="P89" s="556"/>
      <c r="Q89" s="556"/>
      <c r="R89" s="556"/>
      <c r="S89" s="556"/>
      <c r="T89" s="598"/>
      <c r="U89" s="556"/>
      <c r="V89" s="599">
        <f>2112+2538-366-843</f>
        <v>3441</v>
      </c>
      <c r="W89" s="558"/>
      <c r="X89" s="543"/>
    </row>
    <row r="90" spans="1:24" s="544" customFormat="1" x14ac:dyDescent="0.3">
      <c r="A90" s="555"/>
      <c r="B90" s="556" t="s">
        <v>211</v>
      </c>
      <c r="C90" s="556"/>
      <c r="D90" s="556"/>
      <c r="E90" s="556"/>
      <c r="F90" s="556"/>
      <c r="G90" s="556"/>
      <c r="H90" s="578"/>
      <c r="I90" s="578"/>
      <c r="J90" s="578"/>
      <c r="K90" s="602"/>
      <c r="L90" s="578"/>
      <c r="M90" s="556"/>
      <c r="N90" s="603"/>
      <c r="O90" s="556"/>
      <c r="P90" s="556"/>
      <c r="Q90" s="556"/>
      <c r="R90" s="556"/>
      <c r="S90" s="556"/>
      <c r="T90" s="598"/>
      <c r="U90" s="556"/>
      <c r="V90" s="599">
        <f>214+46</f>
        <v>260</v>
      </c>
      <c r="W90" s="558"/>
      <c r="X90" s="543"/>
    </row>
    <row r="91" spans="1:24" s="544" customFormat="1" x14ac:dyDescent="0.3">
      <c r="A91" s="555"/>
      <c r="B91" s="556" t="s">
        <v>212</v>
      </c>
      <c r="C91" s="556"/>
      <c r="D91" s="556"/>
      <c r="E91" s="556"/>
      <c r="F91" s="556"/>
      <c r="G91" s="556"/>
      <c r="H91" s="578"/>
      <c r="I91" s="578"/>
      <c r="J91" s="578"/>
      <c r="K91" s="602"/>
      <c r="L91" s="578"/>
      <c r="M91" s="556"/>
      <c r="N91" s="603"/>
      <c r="O91" s="556"/>
      <c r="P91" s="556"/>
      <c r="Q91" s="556"/>
      <c r="R91" s="556"/>
      <c r="S91" s="556"/>
      <c r="T91" s="598"/>
      <c r="U91" s="556"/>
      <c r="V91" s="599">
        <v>7</v>
      </c>
      <c r="W91" s="558"/>
      <c r="X91" s="543"/>
    </row>
    <row r="92" spans="1:24" s="544" customFormat="1" x14ac:dyDescent="0.3">
      <c r="A92" s="555"/>
      <c r="B92" s="556" t="s">
        <v>272</v>
      </c>
      <c r="C92" s="556"/>
      <c r="D92" s="556"/>
      <c r="E92" s="556"/>
      <c r="F92" s="556"/>
      <c r="G92" s="556"/>
      <c r="H92" s="578"/>
      <c r="I92" s="578"/>
      <c r="J92" s="578"/>
      <c r="K92" s="602"/>
      <c r="L92" s="578"/>
      <c r="M92" s="556"/>
      <c r="N92" s="603"/>
      <c r="O92" s="556"/>
      <c r="P92" s="556"/>
      <c r="Q92" s="556"/>
      <c r="R92" s="556"/>
      <c r="S92" s="556"/>
      <c r="T92" s="598"/>
      <c r="U92" s="556"/>
      <c r="V92" s="599">
        <v>0</v>
      </c>
      <c r="W92" s="558"/>
      <c r="X92" s="543"/>
    </row>
    <row r="93" spans="1:24" s="544" customFormat="1" x14ac:dyDescent="0.3">
      <c r="A93" s="555"/>
      <c r="B93" s="556" t="s">
        <v>274</v>
      </c>
      <c r="C93" s="556"/>
      <c r="D93" s="556"/>
      <c r="E93" s="556"/>
      <c r="F93" s="556"/>
      <c r="G93" s="556"/>
      <c r="H93" s="578"/>
      <c r="I93" s="578"/>
      <c r="J93" s="578"/>
      <c r="K93" s="602"/>
      <c r="L93" s="578"/>
      <c r="M93" s="556"/>
      <c r="N93" s="603"/>
      <c r="O93" s="556"/>
      <c r="P93" s="556"/>
      <c r="Q93" s="556"/>
      <c r="R93" s="556"/>
      <c r="S93" s="556"/>
      <c r="T93" s="598"/>
      <c r="U93" s="556"/>
      <c r="V93" s="599">
        <v>0</v>
      </c>
      <c r="W93" s="558"/>
      <c r="X93" s="543"/>
    </row>
    <row r="94" spans="1:24" s="544" customFormat="1" x14ac:dyDescent="0.3">
      <c r="A94" s="555"/>
      <c r="B94" s="556" t="s">
        <v>135</v>
      </c>
      <c r="C94" s="556"/>
      <c r="D94" s="556"/>
      <c r="E94" s="556"/>
      <c r="F94" s="556"/>
      <c r="G94" s="556"/>
      <c r="H94" s="556"/>
      <c r="I94" s="556"/>
      <c r="J94" s="556"/>
      <c r="K94" s="556"/>
      <c r="L94" s="556"/>
      <c r="M94" s="556"/>
      <c r="N94" s="556"/>
      <c r="O94" s="556"/>
      <c r="P94" s="556"/>
      <c r="Q94" s="556"/>
      <c r="R94" s="556"/>
      <c r="S94" s="556"/>
      <c r="T94" s="598"/>
      <c r="U94" s="556"/>
      <c r="V94" s="599">
        <v>0</v>
      </c>
      <c r="W94" s="558"/>
      <c r="X94" s="543"/>
    </row>
    <row r="95" spans="1:24" s="544" customFormat="1" x14ac:dyDescent="0.3">
      <c r="A95" s="555"/>
      <c r="B95" s="556" t="s">
        <v>268</v>
      </c>
      <c r="C95" s="556"/>
      <c r="D95" s="556"/>
      <c r="E95" s="556"/>
      <c r="F95" s="556"/>
      <c r="G95" s="556"/>
      <c r="H95" s="556"/>
      <c r="I95" s="556"/>
      <c r="J95" s="556"/>
      <c r="K95" s="556"/>
      <c r="L95" s="556"/>
      <c r="M95" s="556"/>
      <c r="N95" s="556"/>
      <c r="O95" s="556"/>
      <c r="P95" s="556"/>
      <c r="Q95" s="556"/>
      <c r="R95" s="556"/>
      <c r="S95" s="556"/>
      <c r="T95" s="598"/>
      <c r="U95" s="556"/>
      <c r="V95" s="599">
        <v>0</v>
      </c>
      <c r="W95" s="558"/>
      <c r="X95" s="543"/>
    </row>
    <row r="96" spans="1:24" s="544" customFormat="1" x14ac:dyDescent="0.3">
      <c r="A96" s="555"/>
      <c r="B96" s="556" t="s">
        <v>30</v>
      </c>
      <c r="C96" s="556"/>
      <c r="D96" s="556"/>
      <c r="E96" s="556"/>
      <c r="F96" s="556"/>
      <c r="G96" s="556"/>
      <c r="H96" s="556"/>
      <c r="I96" s="556"/>
      <c r="J96" s="556"/>
      <c r="K96" s="556"/>
      <c r="L96" s="556"/>
      <c r="M96" s="556"/>
      <c r="N96" s="556"/>
      <c r="O96" s="556"/>
      <c r="P96" s="556"/>
      <c r="Q96" s="556"/>
      <c r="R96" s="556"/>
      <c r="S96" s="556"/>
      <c r="T96" s="598">
        <f>SUM(T87:T95)</f>
        <v>23068</v>
      </c>
      <c r="U96" s="556"/>
      <c r="V96" s="598">
        <f>SUM(V87:V95)</f>
        <v>3708</v>
      </c>
      <c r="W96" s="558"/>
      <c r="X96" s="543"/>
    </row>
    <row r="97" spans="1:25" s="544" customFormat="1" x14ac:dyDescent="0.3">
      <c r="A97" s="555"/>
      <c r="B97" s="556" t="s">
        <v>161</v>
      </c>
      <c r="C97" s="556"/>
      <c r="D97" s="556"/>
      <c r="E97" s="556"/>
      <c r="F97" s="556"/>
      <c r="G97" s="556"/>
      <c r="H97" s="556"/>
      <c r="I97" s="556"/>
      <c r="J97" s="556"/>
      <c r="K97" s="556"/>
      <c r="L97" s="556"/>
      <c r="M97" s="556"/>
      <c r="N97" s="556"/>
      <c r="O97" s="556"/>
      <c r="P97" s="556"/>
      <c r="Q97" s="556"/>
      <c r="R97" s="556"/>
      <c r="S97" s="556"/>
      <c r="T97" s="598">
        <f>-V97</f>
        <v>0</v>
      </c>
      <c r="U97" s="556"/>
      <c r="V97" s="598">
        <v>0</v>
      </c>
      <c r="W97" s="558"/>
      <c r="X97" s="543"/>
    </row>
    <row r="98" spans="1:25" s="544" customFormat="1" x14ac:dyDescent="0.3">
      <c r="A98" s="555"/>
      <c r="B98" s="556" t="s">
        <v>31</v>
      </c>
      <c r="C98" s="556"/>
      <c r="D98" s="556"/>
      <c r="E98" s="556"/>
      <c r="F98" s="556"/>
      <c r="G98" s="556"/>
      <c r="H98" s="556"/>
      <c r="I98" s="556"/>
      <c r="J98" s="556"/>
      <c r="K98" s="556"/>
      <c r="L98" s="556"/>
      <c r="M98" s="556"/>
      <c r="N98" s="556"/>
      <c r="O98" s="556"/>
      <c r="P98" s="556"/>
      <c r="Q98" s="556"/>
      <c r="R98" s="556"/>
      <c r="S98" s="556"/>
      <c r="T98" s="598">
        <f>-V98</f>
        <v>0</v>
      </c>
      <c r="U98" s="556"/>
      <c r="V98" s="599">
        <v>0</v>
      </c>
      <c r="W98" s="558"/>
      <c r="X98" s="543"/>
    </row>
    <row r="99" spans="1:25" s="544" customFormat="1" x14ac:dyDescent="0.3">
      <c r="A99" s="555"/>
      <c r="B99" s="556" t="s">
        <v>283</v>
      </c>
      <c r="C99" s="556"/>
      <c r="D99" s="556"/>
      <c r="E99" s="556"/>
      <c r="F99" s="556"/>
      <c r="G99" s="556"/>
      <c r="H99" s="556"/>
      <c r="I99" s="556"/>
      <c r="J99" s="556"/>
      <c r="K99" s="556"/>
      <c r="L99" s="556"/>
      <c r="M99" s="556"/>
      <c r="N99" s="556"/>
      <c r="O99" s="556"/>
      <c r="P99" s="556"/>
      <c r="Q99" s="556"/>
      <c r="R99" s="556"/>
      <c r="S99" s="556"/>
      <c r="T99" s="598"/>
      <c r="U99" s="556"/>
      <c r="V99" s="599">
        <v>309</v>
      </c>
      <c r="W99" s="558"/>
      <c r="X99" s="543"/>
    </row>
    <row r="100" spans="1:25" s="544" customFormat="1" x14ac:dyDescent="0.3">
      <c r="A100" s="555"/>
      <c r="B100" s="556" t="s">
        <v>32</v>
      </c>
      <c r="C100" s="556"/>
      <c r="D100" s="556"/>
      <c r="E100" s="556"/>
      <c r="F100" s="556"/>
      <c r="G100" s="556"/>
      <c r="H100" s="556"/>
      <c r="I100" s="556"/>
      <c r="J100" s="556"/>
      <c r="K100" s="556"/>
      <c r="L100" s="556"/>
      <c r="M100" s="556"/>
      <c r="N100" s="556"/>
      <c r="O100" s="556"/>
      <c r="P100" s="556"/>
      <c r="Q100" s="556"/>
      <c r="R100" s="556"/>
      <c r="S100" s="556"/>
      <c r="T100" s="598">
        <f>T96+T98+T97</f>
        <v>23068</v>
      </c>
      <c r="U100" s="556"/>
      <c r="V100" s="598">
        <f>V96+V98+V97+V99</f>
        <v>4017</v>
      </c>
      <c r="W100" s="558"/>
      <c r="X100" s="543"/>
    </row>
    <row r="101" spans="1:25" x14ac:dyDescent="0.3">
      <c r="A101" s="431"/>
      <c r="B101" s="507" t="s">
        <v>33</v>
      </c>
      <c r="C101" s="434"/>
      <c r="D101" s="434"/>
      <c r="E101" s="434"/>
      <c r="F101" s="434"/>
      <c r="G101" s="434"/>
      <c r="H101" s="434"/>
      <c r="I101" s="434"/>
      <c r="J101" s="434"/>
      <c r="K101" s="434"/>
      <c r="L101" s="434"/>
      <c r="M101" s="434"/>
      <c r="N101" s="434"/>
      <c r="O101" s="434"/>
      <c r="P101" s="434"/>
      <c r="Q101" s="434"/>
      <c r="R101" s="434"/>
      <c r="S101" s="434"/>
      <c r="T101" s="448"/>
      <c r="U101" s="434"/>
      <c r="V101" s="449"/>
      <c r="W101" s="436"/>
      <c r="X101" s="415"/>
    </row>
    <row r="102" spans="1:25" s="544" customFormat="1" x14ac:dyDescent="0.3">
      <c r="A102" s="555">
        <v>1</v>
      </c>
      <c r="B102" s="556" t="s">
        <v>34</v>
      </c>
      <c r="C102" s="556"/>
      <c r="D102" s="556"/>
      <c r="E102" s="556"/>
      <c r="F102" s="556"/>
      <c r="G102" s="556"/>
      <c r="H102" s="556"/>
      <c r="I102" s="556"/>
      <c r="J102" s="556"/>
      <c r="K102" s="556"/>
      <c r="L102" s="556"/>
      <c r="M102" s="556"/>
      <c r="N102" s="556"/>
      <c r="O102" s="556"/>
      <c r="P102" s="556"/>
      <c r="Q102" s="556"/>
      <c r="R102" s="556"/>
      <c r="S102" s="556"/>
      <c r="T102" s="556"/>
      <c r="U102" s="556"/>
      <c r="V102" s="599">
        <v>0</v>
      </c>
      <c r="W102" s="558"/>
      <c r="X102" s="543"/>
    </row>
    <row r="103" spans="1:25" s="544" customFormat="1" x14ac:dyDescent="0.3">
      <c r="A103" s="555">
        <f>+A102+1</f>
        <v>2</v>
      </c>
      <c r="B103" s="556" t="s">
        <v>330</v>
      </c>
      <c r="C103" s="556"/>
      <c r="D103" s="556"/>
      <c r="E103" s="556"/>
      <c r="F103" s="556"/>
      <c r="G103" s="556"/>
      <c r="H103" s="556"/>
      <c r="I103" s="556"/>
      <c r="J103" s="556"/>
      <c r="K103" s="556"/>
      <c r="L103" s="556"/>
      <c r="M103" s="556"/>
      <c r="N103" s="556"/>
      <c r="O103" s="556"/>
      <c r="P103" s="556"/>
      <c r="Q103" s="556"/>
      <c r="R103" s="556"/>
      <c r="S103" s="556"/>
      <c r="T103" s="556"/>
      <c r="U103" s="556"/>
      <c r="V103" s="599">
        <v>-2</v>
      </c>
      <c r="W103" s="558"/>
      <c r="X103" s="543"/>
    </row>
    <row r="104" spans="1:25" s="544" customFormat="1" x14ac:dyDescent="0.3">
      <c r="A104" s="555">
        <f>+A103+1</f>
        <v>3</v>
      </c>
      <c r="B104" s="556" t="s">
        <v>331</v>
      </c>
      <c r="C104" s="556"/>
      <c r="D104" s="556"/>
      <c r="E104" s="556"/>
      <c r="F104" s="556"/>
      <c r="G104" s="556"/>
      <c r="H104" s="556"/>
      <c r="I104" s="556"/>
      <c r="J104" s="556"/>
      <c r="K104" s="556"/>
      <c r="L104" s="556"/>
      <c r="M104" s="556"/>
      <c r="N104" s="556"/>
      <c r="O104" s="556"/>
      <c r="P104" s="556"/>
      <c r="Q104" s="556"/>
      <c r="R104" s="556"/>
      <c r="S104" s="556"/>
      <c r="T104" s="556"/>
      <c r="U104" s="556"/>
      <c r="V104" s="599">
        <f>-87-145-8</f>
        <v>-240</v>
      </c>
      <c r="W104" s="558"/>
      <c r="X104" s="543"/>
    </row>
    <row r="105" spans="1:25" s="544" customFormat="1" x14ac:dyDescent="0.3">
      <c r="A105" s="555" t="s">
        <v>127</v>
      </c>
      <c r="B105" s="556" t="s">
        <v>116</v>
      </c>
      <c r="C105" s="556"/>
      <c r="D105" s="556"/>
      <c r="E105" s="556"/>
      <c r="F105" s="556"/>
      <c r="G105" s="556"/>
      <c r="H105" s="556"/>
      <c r="I105" s="556"/>
      <c r="J105" s="556"/>
      <c r="K105" s="556"/>
      <c r="L105" s="556"/>
      <c r="M105" s="556"/>
      <c r="N105" s="556"/>
      <c r="O105" s="556"/>
      <c r="P105" s="556"/>
      <c r="Q105" s="556"/>
      <c r="R105" s="556"/>
      <c r="S105" s="556"/>
      <c r="T105" s="556"/>
      <c r="U105" s="556"/>
      <c r="V105" s="599">
        <v>0</v>
      </c>
      <c r="W105" s="558"/>
      <c r="X105" s="543"/>
    </row>
    <row r="106" spans="1:25" s="544" customFormat="1" x14ac:dyDescent="0.3">
      <c r="A106" s="555" t="s">
        <v>128</v>
      </c>
      <c r="B106" s="556" t="s">
        <v>363</v>
      </c>
      <c r="C106" s="556"/>
      <c r="D106" s="556"/>
      <c r="E106" s="556"/>
      <c r="F106" s="556"/>
      <c r="G106" s="556"/>
      <c r="H106" s="556"/>
      <c r="I106" s="556"/>
      <c r="J106" s="556"/>
      <c r="K106" s="556"/>
      <c r="L106" s="556"/>
      <c r="M106" s="556"/>
      <c r="N106" s="556"/>
      <c r="O106" s="556"/>
      <c r="P106" s="556"/>
      <c r="Q106" s="556"/>
      <c r="R106" s="556"/>
      <c r="S106" s="556"/>
      <c r="T106" s="556"/>
      <c r="U106" s="556"/>
      <c r="V106" s="599">
        <v>-198</v>
      </c>
      <c r="W106" s="558"/>
      <c r="X106" s="543"/>
      <c r="Y106" s="604"/>
    </row>
    <row r="107" spans="1:25" s="544" customFormat="1" x14ac:dyDescent="0.3">
      <c r="A107" s="555" t="s">
        <v>150</v>
      </c>
      <c r="B107" s="556" t="s">
        <v>364</v>
      </c>
      <c r="C107" s="556"/>
      <c r="D107" s="556"/>
      <c r="E107" s="556"/>
      <c r="F107" s="556"/>
      <c r="G107" s="556"/>
      <c r="H107" s="556"/>
      <c r="I107" s="556"/>
      <c r="J107" s="556"/>
      <c r="K107" s="556"/>
      <c r="L107" s="556"/>
      <c r="M107" s="556"/>
      <c r="N107" s="556"/>
      <c r="O107" s="556"/>
      <c r="P107" s="556"/>
      <c r="Q107" s="556"/>
      <c r="R107" s="556"/>
      <c r="S107" s="556"/>
      <c r="T107" s="556"/>
      <c r="U107" s="556"/>
      <c r="V107" s="599">
        <v>-100</v>
      </c>
      <c r="W107" s="558"/>
      <c r="X107" s="543"/>
      <c r="Y107" s="604"/>
    </row>
    <row r="108" spans="1:25" s="544" customFormat="1" x14ac:dyDescent="0.3">
      <c r="A108" s="555" t="s">
        <v>236</v>
      </c>
      <c r="B108" s="556" t="s">
        <v>238</v>
      </c>
      <c r="C108" s="556"/>
      <c r="D108" s="556"/>
      <c r="E108" s="556"/>
      <c r="F108" s="556"/>
      <c r="G108" s="556"/>
      <c r="H108" s="556"/>
      <c r="I108" s="556"/>
      <c r="J108" s="556"/>
      <c r="K108" s="556"/>
      <c r="L108" s="556"/>
      <c r="M108" s="556"/>
      <c r="N108" s="556"/>
      <c r="O108" s="556"/>
      <c r="P108" s="556"/>
      <c r="Q108" s="556"/>
      <c r="R108" s="556"/>
      <c r="S108" s="556"/>
      <c r="T108" s="556"/>
      <c r="U108" s="556"/>
      <c r="V108" s="599">
        <v>0</v>
      </c>
      <c r="W108" s="558"/>
      <c r="X108" s="543"/>
    </row>
    <row r="109" spans="1:25" s="544" customFormat="1" x14ac:dyDescent="0.3">
      <c r="A109" s="555" t="s">
        <v>205</v>
      </c>
      <c r="B109" s="556" t="s">
        <v>185</v>
      </c>
      <c r="C109" s="556"/>
      <c r="D109" s="556"/>
      <c r="E109" s="556"/>
      <c r="F109" s="556"/>
      <c r="G109" s="556"/>
      <c r="H109" s="556"/>
      <c r="I109" s="556"/>
      <c r="J109" s="556"/>
      <c r="K109" s="556"/>
      <c r="L109" s="556"/>
      <c r="M109" s="556"/>
      <c r="N109" s="556"/>
      <c r="O109" s="556"/>
      <c r="P109" s="556"/>
      <c r="Q109" s="556"/>
      <c r="R109" s="556"/>
      <c r="S109" s="556"/>
      <c r="T109" s="556"/>
      <c r="U109" s="556"/>
      <c r="V109" s="599">
        <v>-69</v>
      </c>
      <c r="W109" s="558"/>
      <c r="X109" s="543"/>
      <c r="Y109" s="604"/>
    </row>
    <row r="110" spans="1:25" s="544" customFormat="1" x14ac:dyDescent="0.3">
      <c r="A110" s="555" t="s">
        <v>206</v>
      </c>
      <c r="B110" s="556" t="s">
        <v>186</v>
      </c>
      <c r="C110" s="556"/>
      <c r="D110" s="556"/>
      <c r="E110" s="556"/>
      <c r="F110" s="556"/>
      <c r="G110" s="556"/>
      <c r="H110" s="556"/>
      <c r="I110" s="556"/>
      <c r="J110" s="556"/>
      <c r="K110" s="556"/>
      <c r="L110" s="556"/>
      <c r="M110" s="556"/>
      <c r="N110" s="556"/>
      <c r="O110" s="556"/>
      <c r="P110" s="556"/>
      <c r="Q110" s="556"/>
      <c r="R110" s="556"/>
      <c r="S110" s="556"/>
      <c r="T110" s="556"/>
      <c r="U110" s="556"/>
      <c r="V110" s="599">
        <v>-52</v>
      </c>
      <c r="W110" s="558"/>
      <c r="X110" s="605"/>
      <c r="Y110" s="604"/>
    </row>
    <row r="111" spans="1:25" s="544" customFormat="1" x14ac:dyDescent="0.3">
      <c r="A111" s="555" t="s">
        <v>207</v>
      </c>
      <c r="B111" s="556" t="s">
        <v>196</v>
      </c>
      <c r="C111" s="556"/>
      <c r="D111" s="556"/>
      <c r="E111" s="556"/>
      <c r="F111" s="556"/>
      <c r="G111" s="556"/>
      <c r="H111" s="556"/>
      <c r="I111" s="556"/>
      <c r="J111" s="556"/>
      <c r="K111" s="556"/>
      <c r="L111" s="556"/>
      <c r="M111" s="556"/>
      <c r="N111" s="556"/>
      <c r="O111" s="556"/>
      <c r="P111" s="556"/>
      <c r="Q111" s="556"/>
      <c r="R111" s="556"/>
      <c r="S111" s="556"/>
      <c r="T111" s="556"/>
      <c r="U111" s="556"/>
      <c r="V111" s="599">
        <v>-208</v>
      </c>
      <c r="W111" s="558"/>
      <c r="X111" s="543"/>
      <c r="Y111" s="604"/>
    </row>
    <row r="112" spans="1:25" s="544" customFormat="1" x14ac:dyDescent="0.3">
      <c r="A112" s="555" t="s">
        <v>224</v>
      </c>
      <c r="B112" s="556" t="s">
        <v>223</v>
      </c>
      <c r="C112" s="556"/>
      <c r="D112" s="556"/>
      <c r="E112" s="556"/>
      <c r="F112" s="556"/>
      <c r="G112" s="556"/>
      <c r="H112" s="556"/>
      <c r="I112" s="556"/>
      <c r="J112" s="556"/>
      <c r="K112" s="556"/>
      <c r="L112" s="556"/>
      <c r="M112" s="556"/>
      <c r="N112" s="556"/>
      <c r="O112" s="556"/>
      <c r="P112" s="556"/>
      <c r="Q112" s="556"/>
      <c r="R112" s="556"/>
      <c r="S112" s="556"/>
      <c r="T112" s="556"/>
      <c r="U112" s="556"/>
      <c r="V112" s="599">
        <v>-39</v>
      </c>
      <c r="W112" s="558"/>
      <c r="X112" s="543"/>
      <c r="Y112" s="604"/>
    </row>
    <row r="113" spans="1:24" s="544" customFormat="1" x14ac:dyDescent="0.3">
      <c r="A113" s="555">
        <v>7</v>
      </c>
      <c r="B113" s="556" t="s">
        <v>35</v>
      </c>
      <c r="C113" s="556"/>
      <c r="D113" s="556"/>
      <c r="E113" s="556"/>
      <c r="F113" s="556"/>
      <c r="G113" s="556"/>
      <c r="H113" s="556"/>
      <c r="I113" s="556"/>
      <c r="J113" s="556"/>
      <c r="K113" s="556"/>
      <c r="L113" s="556"/>
      <c r="M113" s="556"/>
      <c r="N113" s="556"/>
      <c r="O113" s="556"/>
      <c r="P113" s="556"/>
      <c r="Q113" s="556"/>
      <c r="R113" s="556"/>
      <c r="S113" s="556"/>
      <c r="T113" s="556"/>
      <c r="U113" s="556"/>
      <c r="V113" s="599">
        <v>-11</v>
      </c>
      <c r="W113" s="558"/>
      <c r="X113" s="543"/>
    </row>
    <row r="114" spans="1:24" s="544" customFormat="1" x14ac:dyDescent="0.3">
      <c r="A114" s="555">
        <f t="shared" ref="A114:A123" si="0">+A113+1</f>
        <v>8</v>
      </c>
      <c r="B114" s="556" t="s">
        <v>45</v>
      </c>
      <c r="C114" s="556"/>
      <c r="D114" s="556"/>
      <c r="E114" s="556"/>
      <c r="F114" s="556"/>
      <c r="G114" s="556"/>
      <c r="H114" s="556"/>
      <c r="I114" s="556"/>
      <c r="J114" s="556"/>
      <c r="K114" s="556"/>
      <c r="L114" s="556"/>
      <c r="M114" s="556"/>
      <c r="N114" s="556"/>
      <c r="O114" s="556"/>
      <c r="P114" s="556"/>
      <c r="Q114" s="556"/>
      <c r="R114" s="556"/>
      <c r="S114" s="556"/>
      <c r="T114" s="598">
        <f>-V114</f>
        <v>537</v>
      </c>
      <c r="U114" s="556"/>
      <c r="V114" s="599">
        <v>-537</v>
      </c>
      <c r="W114" s="558"/>
      <c r="X114" s="543"/>
    </row>
    <row r="115" spans="1:24" s="544" customFormat="1" x14ac:dyDescent="0.3">
      <c r="A115" s="555">
        <f t="shared" si="0"/>
        <v>9</v>
      </c>
      <c r="B115" s="556" t="s">
        <v>125</v>
      </c>
      <c r="C115" s="556"/>
      <c r="D115" s="556"/>
      <c r="E115" s="556"/>
      <c r="F115" s="556"/>
      <c r="G115" s="556"/>
      <c r="H115" s="556"/>
      <c r="I115" s="556"/>
      <c r="J115" s="556"/>
      <c r="K115" s="556"/>
      <c r="L115" s="556"/>
      <c r="M115" s="556"/>
      <c r="N115" s="556"/>
      <c r="O115" s="556"/>
      <c r="P115" s="556"/>
      <c r="Q115" s="556"/>
      <c r="R115" s="556"/>
      <c r="S115" s="556"/>
      <c r="T115" s="556"/>
      <c r="U115" s="556"/>
      <c r="V115" s="599">
        <v>0</v>
      </c>
      <c r="W115" s="558"/>
      <c r="X115" s="543"/>
    </row>
    <row r="116" spans="1:24" s="544" customFormat="1" x14ac:dyDescent="0.3">
      <c r="A116" s="555">
        <f t="shared" si="0"/>
        <v>10</v>
      </c>
      <c r="B116" s="556" t="s">
        <v>240</v>
      </c>
      <c r="C116" s="556"/>
      <c r="D116" s="556"/>
      <c r="E116" s="556"/>
      <c r="F116" s="556"/>
      <c r="G116" s="556"/>
      <c r="H116" s="556"/>
      <c r="I116" s="556"/>
      <c r="J116" s="556"/>
      <c r="K116" s="556"/>
      <c r="L116" s="556"/>
      <c r="M116" s="556"/>
      <c r="N116" s="556"/>
      <c r="O116" s="556"/>
      <c r="P116" s="556"/>
      <c r="Q116" s="556"/>
      <c r="R116" s="556"/>
      <c r="S116" s="556"/>
      <c r="T116" s="556"/>
      <c r="U116" s="556"/>
      <c r="V116" s="599">
        <v>0</v>
      </c>
      <c r="W116" s="558"/>
      <c r="X116" s="543"/>
    </row>
    <row r="117" spans="1:24" s="544" customFormat="1" x14ac:dyDescent="0.3">
      <c r="A117" s="555">
        <f t="shared" si="0"/>
        <v>11</v>
      </c>
      <c r="B117" s="556" t="s">
        <v>36</v>
      </c>
      <c r="C117" s="556"/>
      <c r="D117" s="556"/>
      <c r="E117" s="556"/>
      <c r="F117" s="556"/>
      <c r="G117" s="556"/>
      <c r="H117" s="556"/>
      <c r="I117" s="556"/>
      <c r="J117" s="556"/>
      <c r="K117" s="556"/>
      <c r="L117" s="556"/>
      <c r="M117" s="556"/>
      <c r="N117" s="556"/>
      <c r="O117" s="556"/>
      <c r="P117" s="556"/>
      <c r="Q117" s="556"/>
      <c r="R117" s="556"/>
      <c r="S117" s="556"/>
      <c r="T117" s="556"/>
      <c r="U117" s="556"/>
      <c r="V117" s="599">
        <v>0</v>
      </c>
      <c r="W117" s="558"/>
      <c r="X117" s="543"/>
    </row>
    <row r="118" spans="1:24" s="544" customFormat="1" x14ac:dyDescent="0.3">
      <c r="A118" s="555">
        <f t="shared" si="0"/>
        <v>12</v>
      </c>
      <c r="B118" s="556" t="s">
        <v>239</v>
      </c>
      <c r="C118" s="556"/>
      <c r="D118" s="556"/>
      <c r="E118" s="556"/>
      <c r="F118" s="556"/>
      <c r="G118" s="556"/>
      <c r="H118" s="556"/>
      <c r="I118" s="556"/>
      <c r="J118" s="556"/>
      <c r="K118" s="556"/>
      <c r="L118" s="556"/>
      <c r="M118" s="556"/>
      <c r="N118" s="556"/>
      <c r="O118" s="556"/>
      <c r="P118" s="556"/>
      <c r="Q118" s="556"/>
      <c r="R118" s="556"/>
      <c r="S118" s="556"/>
      <c r="T118" s="556"/>
      <c r="U118" s="556"/>
      <c r="V118" s="599">
        <v>0</v>
      </c>
      <c r="W118" s="558"/>
      <c r="X118" s="543"/>
    </row>
    <row r="119" spans="1:24" s="544" customFormat="1" x14ac:dyDescent="0.3">
      <c r="A119" s="555">
        <f t="shared" si="0"/>
        <v>13</v>
      </c>
      <c r="B119" s="556" t="s">
        <v>149</v>
      </c>
      <c r="C119" s="556"/>
      <c r="D119" s="556"/>
      <c r="E119" s="556"/>
      <c r="F119" s="556"/>
      <c r="G119" s="556"/>
      <c r="H119" s="556"/>
      <c r="I119" s="556"/>
      <c r="J119" s="556"/>
      <c r="K119" s="556"/>
      <c r="L119" s="556"/>
      <c r="M119" s="556"/>
      <c r="N119" s="556"/>
      <c r="O119" s="556"/>
      <c r="P119" s="556"/>
      <c r="Q119" s="556"/>
      <c r="R119" s="556"/>
      <c r="S119" s="556"/>
      <c r="T119" s="556"/>
      <c r="U119" s="556"/>
      <c r="V119" s="599">
        <v>-434</v>
      </c>
      <c r="W119" s="558"/>
      <c r="X119" s="543"/>
    </row>
    <row r="120" spans="1:24" s="544" customFormat="1" x14ac:dyDescent="0.3">
      <c r="A120" s="555">
        <f t="shared" si="0"/>
        <v>14</v>
      </c>
      <c r="B120" s="641" t="s">
        <v>387</v>
      </c>
      <c r="C120" s="556"/>
      <c r="D120" s="556"/>
      <c r="E120" s="556"/>
      <c r="F120" s="556"/>
      <c r="G120" s="556"/>
      <c r="H120" s="556"/>
      <c r="I120" s="556"/>
      <c r="J120" s="556"/>
      <c r="K120" s="556"/>
      <c r="L120" s="556"/>
      <c r="M120" s="556"/>
      <c r="N120" s="556"/>
      <c r="O120" s="556"/>
      <c r="P120" s="556"/>
      <c r="Q120" s="556"/>
      <c r="R120" s="556"/>
      <c r="S120" s="556"/>
      <c r="T120" s="556"/>
      <c r="U120" s="556"/>
      <c r="V120" s="599">
        <v>-284</v>
      </c>
      <c r="W120" s="558"/>
      <c r="X120" s="543"/>
    </row>
    <row r="121" spans="1:24" s="544" customFormat="1" x14ac:dyDescent="0.3">
      <c r="A121" s="555">
        <f t="shared" si="0"/>
        <v>15</v>
      </c>
      <c r="B121" s="642" t="s">
        <v>384</v>
      </c>
      <c r="C121" s="556"/>
      <c r="D121" s="556"/>
      <c r="E121" s="556"/>
      <c r="F121" s="556"/>
      <c r="G121" s="556"/>
      <c r="H121" s="556"/>
      <c r="I121" s="556"/>
      <c r="J121" s="556"/>
      <c r="K121" s="556"/>
      <c r="L121" s="556"/>
      <c r="M121" s="556"/>
      <c r="N121" s="556"/>
      <c r="O121" s="556"/>
      <c r="P121" s="556"/>
      <c r="Q121" s="556"/>
      <c r="R121" s="556"/>
      <c r="S121" s="556"/>
      <c r="T121" s="556"/>
      <c r="U121" s="556"/>
      <c r="V121" s="599">
        <v>0</v>
      </c>
      <c r="W121" s="558"/>
      <c r="X121" s="543"/>
    </row>
    <row r="122" spans="1:24" s="544" customFormat="1" x14ac:dyDescent="0.3">
      <c r="A122" s="555">
        <f t="shared" si="0"/>
        <v>16</v>
      </c>
      <c r="B122" s="642" t="s">
        <v>386</v>
      </c>
      <c r="C122" s="556"/>
      <c r="D122" s="556"/>
      <c r="E122" s="556"/>
      <c r="F122" s="556"/>
      <c r="G122" s="556"/>
      <c r="H122" s="556"/>
      <c r="I122" s="556"/>
      <c r="J122" s="556"/>
      <c r="K122" s="556"/>
      <c r="L122" s="556"/>
      <c r="M122" s="556"/>
      <c r="N122" s="556"/>
      <c r="O122" s="556"/>
      <c r="P122" s="556"/>
      <c r="Q122" s="556"/>
      <c r="R122" s="556"/>
      <c r="S122" s="556"/>
      <c r="T122" s="556"/>
      <c r="U122" s="556"/>
      <c r="V122" s="599">
        <v>0</v>
      </c>
      <c r="W122" s="558"/>
      <c r="X122" s="543"/>
    </row>
    <row r="123" spans="1:24" s="544" customFormat="1" x14ac:dyDescent="0.3">
      <c r="A123" s="555">
        <f t="shared" si="0"/>
        <v>17</v>
      </c>
      <c r="B123" s="642" t="s">
        <v>385</v>
      </c>
      <c r="C123" s="556"/>
      <c r="D123" s="556"/>
      <c r="E123" s="556"/>
      <c r="F123" s="556"/>
      <c r="G123" s="556"/>
      <c r="H123" s="556"/>
      <c r="I123" s="556"/>
      <c r="J123" s="556"/>
      <c r="K123" s="556"/>
      <c r="L123" s="556"/>
      <c r="M123" s="556"/>
      <c r="N123" s="556"/>
      <c r="O123" s="556"/>
      <c r="P123" s="556"/>
      <c r="Q123" s="556"/>
      <c r="R123" s="556"/>
      <c r="S123" s="556"/>
      <c r="T123" s="556"/>
      <c r="U123" s="556"/>
      <c r="V123" s="599">
        <f>-V100-SUM(V102:V122)</f>
        <v>-1843</v>
      </c>
      <c r="W123" s="558"/>
      <c r="X123" s="543"/>
    </row>
    <row r="124" spans="1:24" x14ac:dyDescent="0.3">
      <c r="A124" s="431"/>
      <c r="B124" s="507" t="s">
        <v>37</v>
      </c>
      <c r="C124" s="434"/>
      <c r="D124" s="434"/>
      <c r="E124" s="434"/>
      <c r="F124" s="434"/>
      <c r="G124" s="434"/>
      <c r="H124" s="434"/>
      <c r="I124" s="434"/>
      <c r="J124" s="434"/>
      <c r="K124" s="434"/>
      <c r="L124" s="434"/>
      <c r="M124" s="434"/>
      <c r="N124" s="434"/>
      <c r="O124" s="434"/>
      <c r="P124" s="434"/>
      <c r="Q124" s="434"/>
      <c r="R124" s="434"/>
      <c r="S124" s="434"/>
      <c r="T124" s="434"/>
      <c r="U124" s="434"/>
      <c r="V124" s="450"/>
      <c r="W124" s="436"/>
      <c r="X124" s="415"/>
    </row>
    <row r="125" spans="1:24" s="544" customFormat="1" x14ac:dyDescent="0.3">
      <c r="A125" s="555"/>
      <c r="B125" s="556" t="s">
        <v>173</v>
      </c>
      <c r="C125" s="556"/>
      <c r="D125" s="556"/>
      <c r="E125" s="556"/>
      <c r="F125" s="556"/>
      <c r="G125" s="556"/>
      <c r="H125" s="556"/>
      <c r="I125" s="556"/>
      <c r="J125" s="556"/>
      <c r="K125" s="556"/>
      <c r="L125" s="556"/>
      <c r="M125" s="556"/>
      <c r="N125" s="556"/>
      <c r="O125" s="556"/>
      <c r="P125" s="556"/>
      <c r="Q125" s="556"/>
      <c r="R125" s="556"/>
      <c r="S125" s="556"/>
      <c r="T125" s="598">
        <f>-T191</f>
        <v>0</v>
      </c>
      <c r="U125" s="598"/>
      <c r="V125" s="599"/>
      <c r="W125" s="558"/>
      <c r="X125" s="543"/>
    </row>
    <row r="126" spans="1:24" s="544" customFormat="1" x14ac:dyDescent="0.3">
      <c r="A126" s="555"/>
      <c r="B126" s="556" t="s">
        <v>174</v>
      </c>
      <c r="C126" s="556"/>
      <c r="D126" s="556"/>
      <c r="E126" s="556"/>
      <c r="F126" s="556"/>
      <c r="G126" s="556"/>
      <c r="H126" s="556"/>
      <c r="I126" s="556"/>
      <c r="J126" s="556"/>
      <c r="K126" s="556"/>
      <c r="L126" s="556"/>
      <c r="M126" s="556"/>
      <c r="N126" s="556"/>
      <c r="O126" s="556"/>
      <c r="P126" s="556"/>
      <c r="Q126" s="556"/>
      <c r="R126" s="556"/>
      <c r="S126" s="556"/>
      <c r="T126" s="598">
        <v>0</v>
      </c>
      <c r="U126" s="598"/>
      <c r="V126" s="599"/>
      <c r="W126" s="558"/>
      <c r="X126" s="543"/>
    </row>
    <row r="127" spans="1:24" s="544" customFormat="1" x14ac:dyDescent="0.3">
      <c r="A127" s="555"/>
      <c r="B127" s="556" t="s">
        <v>38</v>
      </c>
      <c r="C127" s="556"/>
      <c r="D127" s="556"/>
      <c r="E127" s="556"/>
      <c r="F127" s="556"/>
      <c r="G127" s="556"/>
      <c r="H127" s="556"/>
      <c r="I127" s="556"/>
      <c r="J127" s="556"/>
      <c r="K127" s="556"/>
      <c r="L127" s="556"/>
      <c r="M127" s="556"/>
      <c r="N127" s="556"/>
      <c r="O127" s="556"/>
      <c r="P127" s="556"/>
      <c r="Q127" s="556"/>
      <c r="R127" s="556"/>
      <c r="S127" s="556"/>
      <c r="T127" s="598">
        <f>-S191</f>
        <v>0</v>
      </c>
      <c r="U127" s="598"/>
      <c r="V127" s="599"/>
      <c r="W127" s="558"/>
      <c r="X127" s="543"/>
    </row>
    <row r="128" spans="1:24" s="544" customFormat="1" x14ac:dyDescent="0.3">
      <c r="A128" s="555"/>
      <c r="B128" s="556" t="s">
        <v>388</v>
      </c>
      <c r="C128" s="556"/>
      <c r="D128" s="556"/>
      <c r="E128" s="556"/>
      <c r="F128" s="556"/>
      <c r="G128" s="556"/>
      <c r="H128" s="556"/>
      <c r="I128" s="556"/>
      <c r="J128" s="556"/>
      <c r="K128" s="556"/>
      <c r="L128" s="556"/>
      <c r="M128" s="556"/>
      <c r="N128" s="556"/>
      <c r="O128" s="556"/>
      <c r="P128" s="556"/>
      <c r="Q128" s="556"/>
      <c r="R128" s="556"/>
      <c r="S128" s="556"/>
      <c r="T128" s="598">
        <v>-14351</v>
      </c>
      <c r="U128" s="598"/>
      <c r="V128" s="599"/>
      <c r="W128" s="558"/>
      <c r="X128" s="543"/>
    </row>
    <row r="129" spans="1:24" s="544" customFormat="1" x14ac:dyDescent="0.3">
      <c r="A129" s="555"/>
      <c r="B129" s="556" t="s">
        <v>195</v>
      </c>
      <c r="C129" s="556"/>
      <c r="D129" s="556"/>
      <c r="E129" s="556"/>
      <c r="F129" s="556"/>
      <c r="G129" s="556"/>
      <c r="H129" s="556"/>
      <c r="I129" s="556"/>
      <c r="J129" s="556"/>
      <c r="K129" s="556"/>
      <c r="L129" s="556"/>
      <c r="M129" s="556"/>
      <c r="N129" s="556"/>
      <c r="O129" s="556"/>
      <c r="P129" s="556"/>
      <c r="Q129" s="556"/>
      <c r="R129" s="556"/>
      <c r="S129" s="556"/>
      <c r="T129" s="598">
        <v>-2314</v>
      </c>
      <c r="U129" s="598"/>
      <c r="V129" s="599"/>
      <c r="W129" s="558"/>
      <c r="X129" s="543"/>
    </row>
    <row r="130" spans="1:24" s="544" customFormat="1" x14ac:dyDescent="0.3">
      <c r="A130" s="555"/>
      <c r="B130" s="556" t="s">
        <v>194</v>
      </c>
      <c r="C130" s="556"/>
      <c r="D130" s="556"/>
      <c r="E130" s="556"/>
      <c r="F130" s="556"/>
      <c r="G130" s="556"/>
      <c r="H130" s="556"/>
      <c r="I130" s="556"/>
      <c r="J130" s="556"/>
      <c r="K130" s="556"/>
      <c r="L130" s="556"/>
      <c r="M130" s="556"/>
      <c r="N130" s="556"/>
      <c r="O130" s="556"/>
      <c r="P130" s="556"/>
      <c r="Q130" s="556"/>
      <c r="R130" s="556"/>
      <c r="S130" s="556"/>
      <c r="T130" s="598">
        <v>-3113</v>
      </c>
      <c r="U130" s="598"/>
      <c r="V130" s="599"/>
      <c r="W130" s="558"/>
      <c r="X130" s="543"/>
    </row>
    <row r="131" spans="1:24" s="544" customFormat="1" x14ac:dyDescent="0.3">
      <c r="A131" s="555"/>
      <c r="B131" s="556" t="s">
        <v>226</v>
      </c>
      <c r="C131" s="556"/>
      <c r="D131" s="556"/>
      <c r="E131" s="556"/>
      <c r="F131" s="556"/>
      <c r="G131" s="556"/>
      <c r="H131" s="556"/>
      <c r="I131" s="556"/>
      <c r="J131" s="556"/>
      <c r="K131" s="556"/>
      <c r="L131" s="556"/>
      <c r="M131" s="556"/>
      <c r="N131" s="556"/>
      <c r="O131" s="556"/>
      <c r="P131" s="556"/>
      <c r="Q131" s="556"/>
      <c r="R131" s="556"/>
      <c r="S131" s="556"/>
      <c r="T131" s="598">
        <v>-3827</v>
      </c>
      <c r="U131" s="598"/>
      <c r="V131" s="599"/>
      <c r="W131" s="558"/>
      <c r="X131" s="543"/>
    </row>
    <row r="132" spans="1:24" s="544" customFormat="1" x14ac:dyDescent="0.3">
      <c r="A132" s="555"/>
      <c r="B132" s="556" t="s">
        <v>189</v>
      </c>
      <c r="C132" s="556"/>
      <c r="D132" s="556"/>
      <c r="E132" s="556"/>
      <c r="F132" s="556"/>
      <c r="G132" s="556"/>
      <c r="H132" s="556"/>
      <c r="I132" s="556"/>
      <c r="J132" s="556"/>
      <c r="K132" s="556"/>
      <c r="L132" s="556"/>
      <c r="M132" s="556"/>
      <c r="N132" s="556"/>
      <c r="O132" s="556"/>
      <c r="P132" s="556"/>
      <c r="Q132" s="556"/>
      <c r="R132" s="556"/>
      <c r="S132" s="556"/>
      <c r="T132" s="598">
        <v>0</v>
      </c>
      <c r="U132" s="598"/>
      <c r="V132" s="599"/>
      <c r="W132" s="558"/>
      <c r="X132" s="543"/>
    </row>
    <row r="133" spans="1:24" s="544" customFormat="1" x14ac:dyDescent="0.3">
      <c r="A133" s="555"/>
      <c r="B133" s="556" t="s">
        <v>188</v>
      </c>
      <c r="C133" s="556"/>
      <c r="D133" s="556"/>
      <c r="E133" s="556"/>
      <c r="F133" s="556"/>
      <c r="G133" s="556"/>
      <c r="H133" s="556"/>
      <c r="I133" s="556"/>
      <c r="J133" s="556"/>
      <c r="K133" s="556"/>
      <c r="L133" s="556"/>
      <c r="M133" s="556"/>
      <c r="N133" s="556"/>
      <c r="O133" s="556"/>
      <c r="P133" s="556"/>
      <c r="Q133" s="556"/>
      <c r="R133" s="556"/>
      <c r="S133" s="556"/>
      <c r="T133" s="598">
        <v>0</v>
      </c>
      <c r="U133" s="598"/>
      <c r="V133" s="599"/>
      <c r="W133" s="558"/>
      <c r="X133" s="543"/>
    </row>
    <row r="134" spans="1:24" s="544" customFormat="1" x14ac:dyDescent="0.3">
      <c r="A134" s="555"/>
      <c r="B134" s="556" t="s">
        <v>227</v>
      </c>
      <c r="C134" s="556"/>
      <c r="D134" s="556"/>
      <c r="E134" s="556"/>
      <c r="F134" s="556"/>
      <c r="G134" s="556"/>
      <c r="H134" s="556"/>
      <c r="I134" s="556"/>
      <c r="J134" s="556"/>
      <c r="K134" s="556"/>
      <c r="L134" s="556"/>
      <c r="M134" s="556"/>
      <c r="N134" s="556"/>
      <c r="O134" s="556"/>
      <c r="P134" s="556"/>
      <c r="Q134" s="556"/>
      <c r="R134" s="556"/>
      <c r="S134" s="556"/>
      <c r="T134" s="598">
        <v>0</v>
      </c>
      <c r="U134" s="598"/>
      <c r="V134" s="599"/>
      <c r="W134" s="558"/>
      <c r="X134" s="543"/>
    </row>
    <row r="135" spans="1:24" s="544" customFormat="1" x14ac:dyDescent="0.3">
      <c r="A135" s="555"/>
      <c r="B135" s="556" t="s">
        <v>187</v>
      </c>
      <c r="C135" s="556"/>
      <c r="D135" s="556"/>
      <c r="E135" s="556"/>
      <c r="F135" s="556"/>
      <c r="G135" s="556"/>
      <c r="H135" s="556"/>
      <c r="I135" s="556"/>
      <c r="J135" s="556"/>
      <c r="K135" s="556"/>
      <c r="L135" s="556"/>
      <c r="M135" s="556"/>
      <c r="N135" s="556"/>
      <c r="O135" s="556"/>
      <c r="P135" s="556"/>
      <c r="Q135" s="556"/>
      <c r="R135" s="556"/>
      <c r="S135" s="556"/>
      <c r="T135" s="598">
        <v>0</v>
      </c>
      <c r="U135" s="598"/>
      <c r="V135" s="599"/>
      <c r="W135" s="558"/>
      <c r="X135" s="543"/>
    </row>
    <row r="136" spans="1:24" s="544" customFormat="1" x14ac:dyDescent="0.3">
      <c r="A136" s="555"/>
      <c r="B136" s="556" t="s">
        <v>39</v>
      </c>
      <c r="C136" s="556"/>
      <c r="D136" s="556"/>
      <c r="E136" s="556"/>
      <c r="F136" s="556"/>
      <c r="G136" s="556"/>
      <c r="H136" s="556"/>
      <c r="I136" s="556"/>
      <c r="J136" s="556"/>
      <c r="K136" s="556"/>
      <c r="L136" s="556"/>
      <c r="M136" s="556"/>
      <c r="N136" s="556"/>
      <c r="O136" s="556"/>
      <c r="P136" s="556"/>
      <c r="Q136" s="556"/>
      <c r="R136" s="556"/>
      <c r="S136" s="556"/>
      <c r="T136" s="598">
        <f>SUM(T125:T135)</f>
        <v>-23605</v>
      </c>
      <c r="U136" s="598"/>
      <c r="V136" s="598">
        <f>SUM(V101:V133)</f>
        <v>-4017</v>
      </c>
      <c r="W136" s="558"/>
      <c r="X136" s="543"/>
    </row>
    <row r="137" spans="1:24" s="544" customFormat="1" x14ac:dyDescent="0.3">
      <c r="A137" s="555"/>
      <c r="B137" s="556" t="s">
        <v>40</v>
      </c>
      <c r="C137" s="556"/>
      <c r="D137" s="556"/>
      <c r="E137" s="556"/>
      <c r="F137" s="556"/>
      <c r="G137" s="556"/>
      <c r="H137" s="556"/>
      <c r="I137" s="556"/>
      <c r="J137" s="556"/>
      <c r="K137" s="556"/>
      <c r="L137" s="556"/>
      <c r="M137" s="556"/>
      <c r="N137" s="556"/>
      <c r="O137" s="556"/>
      <c r="P137" s="556"/>
      <c r="Q137" s="556"/>
      <c r="R137" s="556"/>
      <c r="S137" s="556"/>
      <c r="T137" s="598">
        <f>T100+T136+T114</f>
        <v>0</v>
      </c>
      <c r="U137" s="598"/>
      <c r="V137" s="598">
        <f>V100+V136</f>
        <v>0</v>
      </c>
      <c r="W137" s="558"/>
      <c r="X137" s="543"/>
    </row>
    <row r="138" spans="1:24" s="544" customFormat="1" x14ac:dyDescent="0.3">
      <c r="A138" s="540"/>
      <c r="B138" s="588"/>
      <c r="C138" s="588"/>
      <c r="D138" s="588"/>
      <c r="E138" s="588"/>
      <c r="F138" s="588"/>
      <c r="G138" s="588"/>
      <c r="H138" s="588"/>
      <c r="I138" s="588"/>
      <c r="J138" s="588"/>
      <c r="K138" s="588"/>
      <c r="L138" s="588"/>
      <c r="M138" s="588"/>
      <c r="N138" s="588"/>
      <c r="O138" s="588"/>
      <c r="P138" s="588"/>
      <c r="Q138" s="588"/>
      <c r="R138" s="588"/>
      <c r="S138" s="588"/>
      <c r="T138" s="600"/>
      <c r="U138" s="600"/>
      <c r="V138" s="600"/>
      <c r="W138" s="588"/>
      <c r="X138" s="543"/>
    </row>
    <row r="139" spans="1:24" s="544" customFormat="1" x14ac:dyDescent="0.3">
      <c r="A139" s="540"/>
      <c r="B139" s="541"/>
      <c r="C139" s="541"/>
      <c r="D139" s="541"/>
      <c r="E139" s="541"/>
      <c r="F139" s="541"/>
      <c r="G139" s="541"/>
      <c r="H139" s="541"/>
      <c r="I139" s="541"/>
      <c r="J139" s="541"/>
      <c r="K139" s="541"/>
      <c r="L139" s="541"/>
      <c r="M139" s="541"/>
      <c r="N139" s="541"/>
      <c r="O139" s="541"/>
      <c r="P139" s="541"/>
      <c r="Q139" s="541"/>
      <c r="R139" s="541"/>
      <c r="S139" s="541"/>
      <c r="T139" s="541"/>
      <c r="U139" s="541"/>
      <c r="V139" s="606"/>
      <c r="W139" s="541"/>
      <c r="X139" s="543"/>
    </row>
    <row r="140" spans="1:24" s="544" customFormat="1" ht="18.600000000000001" thickBot="1" x14ac:dyDescent="0.4">
      <c r="A140" s="593"/>
      <c r="B140" s="594" t="str">
        <f>B63</f>
        <v>PM14 INVESTOR REPORT QUARTER ENDING FEBRUARY 2021</v>
      </c>
      <c r="C140" s="595"/>
      <c r="D140" s="595"/>
      <c r="E140" s="595"/>
      <c r="F140" s="595"/>
      <c r="G140" s="595"/>
      <c r="H140" s="595"/>
      <c r="I140" s="595"/>
      <c r="J140" s="595"/>
      <c r="K140" s="595"/>
      <c r="L140" s="595"/>
      <c r="M140" s="595"/>
      <c r="N140" s="595"/>
      <c r="O140" s="595"/>
      <c r="P140" s="595"/>
      <c r="Q140" s="595"/>
      <c r="R140" s="595"/>
      <c r="S140" s="595"/>
      <c r="T140" s="595"/>
      <c r="U140" s="595"/>
      <c r="V140" s="607"/>
      <c r="W140" s="597"/>
      <c r="X140" s="543"/>
    </row>
    <row r="141" spans="1:24" x14ac:dyDescent="0.3">
      <c r="A141" s="527"/>
      <c r="B141" s="528" t="s">
        <v>41</v>
      </c>
      <c r="C141" s="529"/>
      <c r="D141" s="529"/>
      <c r="E141" s="529"/>
      <c r="F141" s="529"/>
      <c r="G141" s="529"/>
      <c r="H141" s="529"/>
      <c r="I141" s="529"/>
      <c r="J141" s="529"/>
      <c r="K141" s="529"/>
      <c r="L141" s="529"/>
      <c r="M141" s="529"/>
      <c r="N141" s="529"/>
      <c r="O141" s="529"/>
      <c r="P141" s="529"/>
      <c r="Q141" s="529"/>
      <c r="R141" s="529"/>
      <c r="S141" s="529"/>
      <c r="T141" s="529"/>
      <c r="U141" s="529"/>
      <c r="V141" s="530"/>
      <c r="W141" s="529"/>
      <c r="X141" s="415"/>
    </row>
    <row r="142" spans="1:24" x14ac:dyDescent="0.3">
      <c r="A142" s="417"/>
      <c r="B142" s="451"/>
      <c r="C142" s="419"/>
      <c r="D142" s="419"/>
      <c r="E142" s="419"/>
      <c r="F142" s="419"/>
      <c r="G142" s="419"/>
      <c r="H142" s="419"/>
      <c r="I142" s="419"/>
      <c r="J142" s="419"/>
      <c r="K142" s="419"/>
      <c r="L142" s="419"/>
      <c r="M142" s="419"/>
      <c r="N142" s="419"/>
      <c r="O142" s="419"/>
      <c r="P142" s="419"/>
      <c r="Q142" s="419"/>
      <c r="R142" s="419"/>
      <c r="S142" s="419"/>
      <c r="T142" s="419"/>
      <c r="U142" s="419"/>
      <c r="V142" s="439"/>
      <c r="W142" s="419"/>
      <c r="X142" s="415"/>
    </row>
    <row r="143" spans="1:24" x14ac:dyDescent="0.3">
      <c r="A143" s="417"/>
      <c r="B143" s="508" t="s">
        <v>42</v>
      </c>
      <c r="C143" s="419"/>
      <c r="D143" s="419"/>
      <c r="E143" s="419"/>
      <c r="F143" s="419"/>
      <c r="G143" s="419"/>
      <c r="H143" s="419"/>
      <c r="I143" s="419"/>
      <c r="J143" s="419"/>
      <c r="K143" s="419"/>
      <c r="L143" s="419"/>
      <c r="M143" s="419"/>
      <c r="N143" s="419"/>
      <c r="O143" s="419"/>
      <c r="P143" s="419"/>
      <c r="Q143" s="419"/>
      <c r="R143" s="419"/>
      <c r="S143" s="419"/>
      <c r="T143" s="419"/>
      <c r="U143" s="419"/>
      <c r="V143" s="439"/>
      <c r="W143" s="419"/>
      <c r="X143" s="415"/>
    </row>
    <row r="144" spans="1:24" s="544" customFormat="1" x14ac:dyDescent="0.3">
      <c r="A144" s="555"/>
      <c r="B144" s="556" t="s">
        <v>43</v>
      </c>
      <c r="C144" s="556"/>
      <c r="D144" s="556"/>
      <c r="E144" s="556"/>
      <c r="F144" s="556"/>
      <c r="G144" s="556"/>
      <c r="H144" s="556"/>
      <c r="I144" s="556"/>
      <c r="J144" s="556"/>
      <c r="K144" s="556"/>
      <c r="L144" s="556"/>
      <c r="M144" s="556"/>
      <c r="N144" s="556"/>
      <c r="O144" s="556"/>
      <c r="P144" s="556"/>
      <c r="Q144" s="556"/>
      <c r="R144" s="556"/>
      <c r="S144" s="556"/>
      <c r="T144" s="556"/>
      <c r="U144" s="556"/>
      <c r="V144" s="599">
        <f>+V34*0.019</f>
        <v>28505.224999999999</v>
      </c>
      <c r="W144" s="558"/>
      <c r="X144" s="543"/>
    </row>
    <row r="145" spans="1:25" s="544" customFormat="1" x14ac:dyDescent="0.3">
      <c r="A145" s="555"/>
      <c r="B145" s="556" t="s">
        <v>44</v>
      </c>
      <c r="C145" s="556"/>
      <c r="D145" s="556"/>
      <c r="E145" s="556"/>
      <c r="F145" s="556"/>
      <c r="G145" s="556"/>
      <c r="H145" s="556"/>
      <c r="I145" s="556"/>
      <c r="J145" s="556"/>
      <c r="K145" s="556"/>
      <c r="L145" s="556"/>
      <c r="M145" s="556"/>
      <c r="N145" s="556"/>
      <c r="O145" s="556"/>
      <c r="P145" s="556"/>
      <c r="Q145" s="556"/>
      <c r="R145" s="556"/>
      <c r="S145" s="556"/>
      <c r="T145" s="556"/>
      <c r="U145" s="556"/>
      <c r="V145" s="599">
        <v>28505</v>
      </c>
      <c r="W145" s="558"/>
      <c r="X145" s="543"/>
    </row>
    <row r="146" spans="1:25" s="544" customFormat="1" x14ac:dyDescent="0.3">
      <c r="A146" s="555"/>
      <c r="B146" s="556" t="s">
        <v>136</v>
      </c>
      <c r="C146" s="556"/>
      <c r="D146" s="556"/>
      <c r="E146" s="556"/>
      <c r="F146" s="556"/>
      <c r="G146" s="556"/>
      <c r="H146" s="556"/>
      <c r="I146" s="556"/>
      <c r="J146" s="556"/>
      <c r="K146" s="556"/>
      <c r="L146" s="556"/>
      <c r="M146" s="556"/>
      <c r="N146" s="556"/>
      <c r="O146" s="556"/>
      <c r="P146" s="556"/>
      <c r="Q146" s="556"/>
      <c r="R146" s="556"/>
      <c r="S146" s="556"/>
      <c r="T146" s="556"/>
      <c r="U146" s="556"/>
      <c r="V146" s="599"/>
      <c r="W146" s="558"/>
      <c r="X146" s="543"/>
    </row>
    <row r="147" spans="1:25" s="544" customFormat="1" x14ac:dyDescent="0.3">
      <c r="A147" s="555"/>
      <c r="B147" s="556" t="s">
        <v>123</v>
      </c>
      <c r="C147" s="556"/>
      <c r="D147" s="556"/>
      <c r="E147" s="556"/>
      <c r="F147" s="556"/>
      <c r="G147" s="556"/>
      <c r="H147" s="556"/>
      <c r="I147" s="556"/>
      <c r="J147" s="556"/>
      <c r="K147" s="556"/>
      <c r="L147" s="556"/>
      <c r="M147" s="556"/>
      <c r="N147" s="556"/>
      <c r="O147" s="556"/>
      <c r="P147" s="556"/>
      <c r="Q147" s="556"/>
      <c r="R147" s="556"/>
      <c r="S147" s="556"/>
      <c r="T147" s="556"/>
      <c r="U147" s="556"/>
      <c r="V147" s="599">
        <v>0</v>
      </c>
      <c r="W147" s="558"/>
      <c r="X147" s="543"/>
    </row>
    <row r="148" spans="1:25" s="544" customFormat="1" x14ac:dyDescent="0.3">
      <c r="A148" s="555"/>
      <c r="B148" s="556" t="s">
        <v>124</v>
      </c>
      <c r="C148" s="556"/>
      <c r="D148" s="556"/>
      <c r="E148" s="556"/>
      <c r="F148" s="556"/>
      <c r="G148" s="556"/>
      <c r="H148" s="556"/>
      <c r="I148" s="556"/>
      <c r="J148" s="556"/>
      <c r="K148" s="556"/>
      <c r="L148" s="556"/>
      <c r="M148" s="556"/>
      <c r="N148" s="556"/>
      <c r="O148" s="556"/>
      <c r="P148" s="556"/>
      <c r="Q148" s="556"/>
      <c r="R148" s="556"/>
      <c r="S148" s="556"/>
      <c r="T148" s="556"/>
      <c r="U148" s="556"/>
      <c r="V148" s="599">
        <v>0</v>
      </c>
      <c r="W148" s="558"/>
      <c r="X148" s="543"/>
    </row>
    <row r="149" spans="1:25" s="544" customFormat="1" x14ac:dyDescent="0.3">
      <c r="A149" s="555"/>
      <c r="B149" s="556" t="s">
        <v>175</v>
      </c>
      <c r="C149" s="556"/>
      <c r="D149" s="556"/>
      <c r="E149" s="556"/>
      <c r="F149" s="556"/>
      <c r="G149" s="556"/>
      <c r="H149" s="556"/>
      <c r="I149" s="556"/>
      <c r="J149" s="556"/>
      <c r="K149" s="556"/>
      <c r="L149" s="556"/>
      <c r="M149" s="556"/>
      <c r="N149" s="556"/>
      <c r="O149" s="556"/>
      <c r="P149" s="556"/>
      <c r="Q149" s="556"/>
      <c r="R149" s="556"/>
      <c r="S149" s="556"/>
      <c r="T149" s="556"/>
      <c r="U149" s="556"/>
      <c r="V149" s="599">
        <v>0</v>
      </c>
      <c r="W149" s="558"/>
      <c r="X149" s="543"/>
    </row>
    <row r="150" spans="1:25" s="544" customFormat="1" x14ac:dyDescent="0.3">
      <c r="A150" s="555"/>
      <c r="B150" s="556" t="s">
        <v>45</v>
      </c>
      <c r="C150" s="556"/>
      <c r="D150" s="556"/>
      <c r="E150" s="556"/>
      <c r="F150" s="556"/>
      <c r="G150" s="556"/>
      <c r="H150" s="556"/>
      <c r="I150" s="556"/>
      <c r="J150" s="556"/>
      <c r="K150" s="556"/>
      <c r="L150" s="556"/>
      <c r="M150" s="556"/>
      <c r="N150" s="556"/>
      <c r="O150" s="556"/>
      <c r="P150" s="556"/>
      <c r="Q150" s="556"/>
      <c r="R150" s="556"/>
      <c r="S150" s="556"/>
      <c r="T150" s="556"/>
      <c r="U150" s="556"/>
      <c r="V150" s="599">
        <v>0</v>
      </c>
      <c r="W150" s="558"/>
      <c r="X150" s="543"/>
    </row>
    <row r="151" spans="1:25" s="544" customFormat="1" x14ac:dyDescent="0.3">
      <c r="A151" s="555"/>
      <c r="B151" s="556" t="s">
        <v>129</v>
      </c>
      <c r="C151" s="556"/>
      <c r="D151" s="556"/>
      <c r="E151" s="556"/>
      <c r="F151" s="556"/>
      <c r="G151" s="556"/>
      <c r="H151" s="556"/>
      <c r="I151" s="556"/>
      <c r="J151" s="556"/>
      <c r="K151" s="556"/>
      <c r="L151" s="556"/>
      <c r="M151" s="556"/>
      <c r="N151" s="556"/>
      <c r="O151" s="556"/>
      <c r="P151" s="556"/>
      <c r="Q151" s="556"/>
      <c r="R151" s="556"/>
      <c r="S151" s="556"/>
      <c r="T151" s="556"/>
      <c r="U151" s="556"/>
      <c r="V151" s="599">
        <v>0</v>
      </c>
      <c r="W151" s="558"/>
      <c r="X151" s="543"/>
    </row>
    <row r="152" spans="1:25" s="544" customFormat="1" x14ac:dyDescent="0.3">
      <c r="A152" s="555"/>
      <c r="B152" s="556" t="s">
        <v>267</v>
      </c>
      <c r="C152" s="556"/>
      <c r="D152" s="556"/>
      <c r="E152" s="556"/>
      <c r="F152" s="556"/>
      <c r="G152" s="556"/>
      <c r="H152" s="556"/>
      <c r="I152" s="556"/>
      <c r="J152" s="556"/>
      <c r="K152" s="556"/>
      <c r="L152" s="556"/>
      <c r="M152" s="556"/>
      <c r="N152" s="556"/>
      <c r="O152" s="556"/>
      <c r="P152" s="556"/>
      <c r="Q152" s="556"/>
      <c r="R152" s="556"/>
      <c r="S152" s="556"/>
      <c r="T152" s="556"/>
      <c r="U152" s="556"/>
      <c r="V152" s="599">
        <v>0</v>
      </c>
      <c r="W152" s="558"/>
      <c r="X152" s="543"/>
      <c r="Y152" s="604"/>
    </row>
    <row r="153" spans="1:25" s="544" customFormat="1" x14ac:dyDescent="0.3">
      <c r="A153" s="555"/>
      <c r="B153" s="556" t="s">
        <v>46</v>
      </c>
      <c r="C153" s="556"/>
      <c r="D153" s="556"/>
      <c r="E153" s="556"/>
      <c r="F153" s="556"/>
      <c r="G153" s="556"/>
      <c r="H153" s="556"/>
      <c r="I153" s="556"/>
      <c r="J153" s="556"/>
      <c r="K153" s="556"/>
      <c r="L153" s="556"/>
      <c r="M153" s="556"/>
      <c r="N153" s="556"/>
      <c r="O153" s="556"/>
      <c r="P153" s="556"/>
      <c r="Q153" s="556"/>
      <c r="R153" s="556"/>
      <c r="S153" s="556"/>
      <c r="T153" s="556"/>
      <c r="U153" s="556"/>
      <c r="V153" s="599">
        <f>SUM(V145:V152)</f>
        <v>28505</v>
      </c>
      <c r="W153" s="558"/>
      <c r="X153" s="543"/>
    </row>
    <row r="154" spans="1:25" x14ac:dyDescent="0.3">
      <c r="A154" s="431"/>
      <c r="B154" s="434"/>
      <c r="C154" s="434"/>
      <c r="D154" s="434"/>
      <c r="E154" s="434"/>
      <c r="F154" s="434"/>
      <c r="G154" s="434"/>
      <c r="H154" s="434"/>
      <c r="I154" s="434"/>
      <c r="J154" s="434"/>
      <c r="K154" s="434"/>
      <c r="L154" s="434"/>
      <c r="M154" s="434"/>
      <c r="N154" s="434"/>
      <c r="O154" s="434"/>
      <c r="P154" s="434"/>
      <c r="Q154" s="434"/>
      <c r="R154" s="434"/>
      <c r="S154" s="434"/>
      <c r="T154" s="434"/>
      <c r="U154" s="434"/>
      <c r="V154" s="449"/>
      <c r="W154" s="436"/>
      <c r="X154" s="415"/>
    </row>
    <row r="155" spans="1:25" x14ac:dyDescent="0.3">
      <c r="A155" s="431"/>
      <c r="B155" s="507" t="s">
        <v>237</v>
      </c>
      <c r="C155" s="434"/>
      <c r="D155" s="434"/>
      <c r="E155" s="434"/>
      <c r="F155" s="434"/>
      <c r="G155" s="434"/>
      <c r="H155" s="434"/>
      <c r="I155" s="434"/>
      <c r="J155" s="434"/>
      <c r="K155" s="434"/>
      <c r="L155" s="434"/>
      <c r="M155" s="434"/>
      <c r="N155" s="434"/>
      <c r="O155" s="434"/>
      <c r="P155" s="434"/>
      <c r="Q155" s="434"/>
      <c r="R155" s="434"/>
      <c r="S155" s="434"/>
      <c r="T155" s="434"/>
      <c r="U155" s="434"/>
      <c r="V155" s="449"/>
      <c r="W155" s="436"/>
      <c r="X155" s="415"/>
    </row>
    <row r="156" spans="1:25" s="544" customFormat="1" x14ac:dyDescent="0.3">
      <c r="A156" s="555"/>
      <c r="B156" s="556" t="s">
        <v>155</v>
      </c>
      <c r="C156" s="556"/>
      <c r="D156" s="556"/>
      <c r="E156" s="556"/>
      <c r="F156" s="556"/>
      <c r="G156" s="556"/>
      <c r="H156" s="556"/>
      <c r="I156" s="556"/>
      <c r="J156" s="556"/>
      <c r="K156" s="556"/>
      <c r="L156" s="556"/>
      <c r="M156" s="556"/>
      <c r="N156" s="556"/>
      <c r="O156" s="556"/>
      <c r="P156" s="556"/>
      <c r="Q156" s="556"/>
      <c r="R156" s="556"/>
      <c r="S156" s="556"/>
      <c r="T156" s="556"/>
      <c r="U156" s="556"/>
      <c r="V156" s="599">
        <v>7500</v>
      </c>
      <c r="W156" s="558"/>
      <c r="X156" s="543"/>
    </row>
    <row r="157" spans="1:25" s="544" customFormat="1" x14ac:dyDescent="0.3">
      <c r="A157" s="555"/>
      <c r="B157" s="556" t="s">
        <v>172</v>
      </c>
      <c r="C157" s="556"/>
      <c r="D157" s="556"/>
      <c r="E157" s="556"/>
      <c r="F157" s="556"/>
      <c r="G157" s="556"/>
      <c r="H157" s="556"/>
      <c r="I157" s="556"/>
      <c r="J157" s="556"/>
      <c r="K157" s="556"/>
      <c r="L157" s="556"/>
      <c r="M157" s="556"/>
      <c r="N157" s="556"/>
      <c r="O157" s="556"/>
      <c r="P157" s="556"/>
      <c r="Q157" s="556"/>
      <c r="R157" s="556"/>
      <c r="S157" s="556"/>
      <c r="T157" s="556"/>
      <c r="U157" s="556"/>
      <c r="V157" s="599">
        <v>0</v>
      </c>
      <c r="W157" s="558"/>
      <c r="X157" s="543"/>
    </row>
    <row r="158" spans="1:25" s="544" customFormat="1" x14ac:dyDescent="0.3">
      <c r="A158" s="555"/>
      <c r="B158" s="556" t="s">
        <v>344</v>
      </c>
      <c r="C158" s="556"/>
      <c r="D158" s="556"/>
      <c r="E158" s="556"/>
      <c r="F158" s="556"/>
      <c r="G158" s="556"/>
      <c r="H158" s="556"/>
      <c r="I158" s="556"/>
      <c r="J158" s="556"/>
      <c r="K158" s="556"/>
      <c r="L158" s="556"/>
      <c r="M158" s="556"/>
      <c r="N158" s="556"/>
      <c r="O158" s="556"/>
      <c r="P158" s="556"/>
      <c r="Q158" s="556"/>
      <c r="R158" s="556"/>
      <c r="S158" s="556"/>
      <c r="T158" s="556"/>
      <c r="U158" s="556"/>
      <c r="V158" s="599">
        <v>0</v>
      </c>
      <c r="W158" s="558"/>
      <c r="X158" s="543"/>
    </row>
    <row r="159" spans="1:25" x14ac:dyDescent="0.3">
      <c r="A159" s="431"/>
      <c r="B159" s="432"/>
      <c r="C159" s="432"/>
      <c r="D159" s="432"/>
      <c r="E159" s="432"/>
      <c r="F159" s="432"/>
      <c r="G159" s="432"/>
      <c r="H159" s="432"/>
      <c r="I159" s="432"/>
      <c r="J159" s="432"/>
      <c r="K159" s="432"/>
      <c r="L159" s="432"/>
      <c r="M159" s="432"/>
      <c r="N159" s="432"/>
      <c r="O159" s="432"/>
      <c r="P159" s="432"/>
      <c r="Q159" s="432"/>
      <c r="R159" s="432"/>
      <c r="S159" s="432"/>
      <c r="T159" s="432"/>
      <c r="U159" s="432"/>
      <c r="V159" s="440"/>
      <c r="W159" s="433"/>
      <c r="X159" s="415"/>
    </row>
    <row r="160" spans="1:25" x14ac:dyDescent="0.3">
      <c r="A160" s="417"/>
      <c r="B160" s="441"/>
      <c r="C160" s="441"/>
      <c r="D160" s="441"/>
      <c r="E160" s="441"/>
      <c r="F160" s="441"/>
      <c r="G160" s="441"/>
      <c r="H160" s="441"/>
      <c r="I160" s="441"/>
      <c r="J160" s="441"/>
      <c r="K160" s="441"/>
      <c r="L160" s="441"/>
      <c r="M160" s="441"/>
      <c r="N160" s="441"/>
      <c r="O160" s="441"/>
      <c r="P160" s="441"/>
      <c r="Q160" s="441"/>
      <c r="R160" s="441"/>
      <c r="S160" s="441"/>
      <c r="T160" s="441"/>
      <c r="U160" s="441"/>
      <c r="V160" s="452"/>
      <c r="W160" s="441"/>
      <c r="X160" s="415"/>
    </row>
    <row r="161" spans="1:256" x14ac:dyDescent="0.3">
      <c r="A161" s="417"/>
      <c r="B161" s="508" t="s">
        <v>24</v>
      </c>
      <c r="C161" s="419"/>
      <c r="D161" s="419"/>
      <c r="E161" s="419"/>
      <c r="F161" s="419"/>
      <c r="G161" s="419"/>
      <c r="H161" s="419"/>
      <c r="I161" s="419"/>
      <c r="J161" s="419"/>
      <c r="K161" s="419"/>
      <c r="L161" s="419"/>
      <c r="M161" s="419"/>
      <c r="N161" s="419"/>
      <c r="O161" s="419"/>
      <c r="P161" s="419"/>
      <c r="Q161" s="419"/>
      <c r="R161" s="419"/>
      <c r="S161" s="419"/>
      <c r="T161" s="419"/>
      <c r="U161" s="419"/>
      <c r="V161" s="439"/>
      <c r="W161" s="419"/>
      <c r="X161" s="415"/>
    </row>
    <row r="162" spans="1:256" s="544" customFormat="1" x14ac:dyDescent="0.3">
      <c r="A162" s="555"/>
      <c r="B162" s="556" t="s">
        <v>47</v>
      </c>
      <c r="C162" s="556"/>
      <c r="D162" s="556"/>
      <c r="E162" s="556"/>
      <c r="F162" s="556"/>
      <c r="G162" s="556"/>
      <c r="H162" s="556"/>
      <c r="I162" s="556"/>
      <c r="J162" s="556"/>
      <c r="K162" s="556"/>
      <c r="L162" s="556"/>
      <c r="M162" s="556"/>
      <c r="N162" s="556"/>
      <c r="O162" s="556"/>
      <c r="P162" s="556"/>
      <c r="Q162" s="556"/>
      <c r="R162" s="556"/>
      <c r="S162" s="556"/>
      <c r="T162" s="556"/>
      <c r="U162" s="556"/>
      <c r="V162" s="608" t="s">
        <v>118</v>
      </c>
      <c r="W162" s="558"/>
      <c r="X162" s="543"/>
    </row>
    <row r="163" spans="1:256" s="544" customFormat="1" x14ac:dyDescent="0.3">
      <c r="A163" s="555"/>
      <c r="B163" s="556" t="s">
        <v>48</v>
      </c>
      <c r="C163" s="556"/>
      <c r="D163" s="556"/>
      <c r="E163" s="556"/>
      <c r="F163" s="556"/>
      <c r="G163" s="556"/>
      <c r="H163" s="556"/>
      <c r="I163" s="556"/>
      <c r="J163" s="556"/>
      <c r="K163" s="556"/>
      <c r="L163" s="556"/>
      <c r="M163" s="556"/>
      <c r="N163" s="556"/>
      <c r="O163" s="556"/>
      <c r="P163" s="556"/>
      <c r="Q163" s="556"/>
      <c r="R163" s="556"/>
      <c r="S163" s="556"/>
      <c r="T163" s="556"/>
      <c r="U163" s="556"/>
      <c r="V163" s="608" t="s">
        <v>118</v>
      </c>
      <c r="W163" s="558"/>
      <c r="X163" s="543"/>
    </row>
    <row r="164" spans="1:256" s="544" customFormat="1" x14ac:dyDescent="0.3">
      <c r="A164" s="555"/>
      <c r="B164" s="556" t="s">
        <v>49</v>
      </c>
      <c r="C164" s="556"/>
      <c r="D164" s="556"/>
      <c r="E164" s="556"/>
      <c r="F164" s="556"/>
      <c r="G164" s="556"/>
      <c r="H164" s="556"/>
      <c r="I164" s="556"/>
      <c r="J164" s="556"/>
      <c r="K164" s="556"/>
      <c r="L164" s="556"/>
      <c r="M164" s="556"/>
      <c r="N164" s="556"/>
      <c r="O164" s="556"/>
      <c r="P164" s="556"/>
      <c r="Q164" s="556"/>
      <c r="R164" s="556"/>
      <c r="S164" s="556"/>
      <c r="T164" s="556"/>
      <c r="U164" s="556"/>
      <c r="V164" s="608" t="s">
        <v>118</v>
      </c>
      <c r="W164" s="558"/>
      <c r="X164" s="543"/>
    </row>
    <row r="165" spans="1:256" s="544" customFormat="1" x14ac:dyDescent="0.3">
      <c r="A165" s="555"/>
      <c r="B165" s="556" t="s">
        <v>50</v>
      </c>
      <c r="C165" s="556"/>
      <c r="D165" s="556"/>
      <c r="E165" s="556"/>
      <c r="F165" s="556"/>
      <c r="G165" s="556"/>
      <c r="H165" s="556"/>
      <c r="I165" s="556"/>
      <c r="J165" s="556"/>
      <c r="K165" s="556"/>
      <c r="L165" s="556"/>
      <c r="M165" s="556"/>
      <c r="N165" s="556"/>
      <c r="O165" s="556"/>
      <c r="P165" s="556"/>
      <c r="Q165" s="556"/>
      <c r="R165" s="556"/>
      <c r="S165" s="556"/>
      <c r="T165" s="556"/>
      <c r="U165" s="556"/>
      <c r="V165" s="608" t="s">
        <v>118</v>
      </c>
      <c r="W165" s="558"/>
      <c r="X165" s="543"/>
    </row>
    <row r="166" spans="1:256" x14ac:dyDescent="0.3">
      <c r="A166" s="417"/>
      <c r="B166" s="441"/>
      <c r="C166" s="441"/>
      <c r="D166" s="441"/>
      <c r="E166" s="441"/>
      <c r="F166" s="441"/>
      <c r="G166" s="441"/>
      <c r="H166" s="441"/>
      <c r="I166" s="441"/>
      <c r="J166" s="441"/>
      <c r="K166" s="441"/>
      <c r="L166" s="441"/>
      <c r="M166" s="441"/>
      <c r="N166" s="441"/>
      <c r="O166" s="441"/>
      <c r="P166" s="441"/>
      <c r="Q166" s="441"/>
      <c r="R166" s="441"/>
      <c r="S166" s="441"/>
      <c r="T166" s="441"/>
      <c r="U166" s="441"/>
      <c r="V166" s="452"/>
      <c r="W166" s="441"/>
      <c r="X166" s="415"/>
    </row>
    <row r="167" spans="1:256" x14ac:dyDescent="0.3">
      <c r="A167" s="417"/>
      <c r="B167" s="508" t="s">
        <v>51</v>
      </c>
      <c r="C167" s="419"/>
      <c r="D167" s="419"/>
      <c r="E167" s="419"/>
      <c r="F167" s="419"/>
      <c r="G167" s="419"/>
      <c r="H167" s="419"/>
      <c r="I167" s="419"/>
      <c r="J167" s="419"/>
      <c r="K167" s="419"/>
      <c r="L167" s="419"/>
      <c r="M167" s="419"/>
      <c r="N167" s="419"/>
      <c r="O167" s="419"/>
      <c r="P167" s="419"/>
      <c r="Q167" s="419"/>
      <c r="R167" s="419"/>
      <c r="S167" s="419"/>
      <c r="T167" s="419"/>
      <c r="U167" s="419"/>
      <c r="V167" s="453"/>
      <c r="W167" s="419"/>
      <c r="X167" s="415"/>
    </row>
    <row r="168" spans="1:256" s="544" customFormat="1" x14ac:dyDescent="0.3">
      <c r="A168" s="555"/>
      <c r="B168" s="556" t="s">
        <v>52</v>
      </c>
      <c r="C168" s="556"/>
      <c r="D168" s="556"/>
      <c r="E168" s="556"/>
      <c r="F168" s="556"/>
      <c r="G168" s="556"/>
      <c r="H168" s="556"/>
      <c r="I168" s="556"/>
      <c r="J168" s="556"/>
      <c r="K168" s="556"/>
      <c r="L168" s="556"/>
      <c r="M168" s="556"/>
      <c r="N168" s="556"/>
      <c r="O168" s="556"/>
      <c r="P168" s="556"/>
      <c r="Q168" s="556"/>
      <c r="R168" s="556"/>
      <c r="S168" s="556"/>
      <c r="T168" s="556"/>
      <c r="U168" s="556"/>
      <c r="V168" s="599">
        <v>0</v>
      </c>
      <c r="W168" s="558"/>
      <c r="X168" s="543"/>
    </row>
    <row r="169" spans="1:256" s="544" customFormat="1" x14ac:dyDescent="0.3">
      <c r="A169" s="555"/>
      <c r="B169" s="556" t="s">
        <v>53</v>
      </c>
      <c r="C169" s="556"/>
      <c r="D169" s="556"/>
      <c r="E169" s="556"/>
      <c r="F169" s="556"/>
      <c r="G169" s="556"/>
      <c r="H169" s="556"/>
      <c r="I169" s="556"/>
      <c r="J169" s="556"/>
      <c r="K169" s="556"/>
      <c r="L169" s="556"/>
      <c r="M169" s="556"/>
      <c r="N169" s="556"/>
      <c r="O169" s="556"/>
      <c r="P169" s="556"/>
      <c r="Q169" s="556"/>
      <c r="R169" s="556"/>
      <c r="S169" s="556"/>
      <c r="T169" s="556"/>
      <c r="U169" s="556"/>
      <c r="V169" s="599">
        <v>537</v>
      </c>
      <c r="W169" s="558"/>
      <c r="X169" s="543"/>
    </row>
    <row r="170" spans="1:256" s="544" customFormat="1" x14ac:dyDescent="0.3">
      <c r="A170" s="555"/>
      <c r="B170" s="556" t="s">
        <v>54</v>
      </c>
      <c r="C170" s="556"/>
      <c r="D170" s="556"/>
      <c r="E170" s="556"/>
      <c r="F170" s="556"/>
      <c r="G170" s="556"/>
      <c r="H170" s="556"/>
      <c r="I170" s="556"/>
      <c r="J170" s="556"/>
      <c r="K170" s="556"/>
      <c r="L170" s="556"/>
      <c r="M170" s="556"/>
      <c r="N170" s="556"/>
      <c r="O170" s="556"/>
      <c r="P170" s="556"/>
      <c r="Q170" s="556"/>
      <c r="R170" s="556"/>
      <c r="S170" s="556"/>
      <c r="T170" s="556"/>
      <c r="U170" s="556"/>
      <c r="V170" s="599">
        <f>V169+V168</f>
        <v>537</v>
      </c>
      <c r="W170" s="558"/>
      <c r="X170" s="543"/>
    </row>
    <row r="171" spans="1:256" s="544" customFormat="1" x14ac:dyDescent="0.3">
      <c r="A171" s="555"/>
      <c r="B171" s="556" t="s">
        <v>315</v>
      </c>
      <c r="C171" s="556"/>
      <c r="D171" s="556"/>
      <c r="E171" s="556"/>
      <c r="F171" s="556"/>
      <c r="G171" s="556"/>
      <c r="H171" s="556"/>
      <c r="I171" s="556"/>
      <c r="J171" s="556"/>
      <c r="K171" s="556"/>
      <c r="L171" s="556"/>
      <c r="M171" s="556"/>
      <c r="N171" s="556"/>
      <c r="O171" s="556"/>
      <c r="P171" s="556"/>
      <c r="Q171" s="556"/>
      <c r="R171" s="556"/>
      <c r="S171" s="556"/>
      <c r="T171" s="556"/>
      <c r="U171" s="556"/>
      <c r="V171" s="599">
        <f>V114</f>
        <v>-537</v>
      </c>
      <c r="W171" s="558"/>
      <c r="X171" s="543"/>
    </row>
    <row r="172" spans="1:256" s="544" customFormat="1" x14ac:dyDescent="0.3">
      <c r="A172" s="555"/>
      <c r="B172" s="556" t="s">
        <v>55</v>
      </c>
      <c r="C172" s="556"/>
      <c r="D172" s="556"/>
      <c r="E172" s="556"/>
      <c r="F172" s="556"/>
      <c r="G172" s="556"/>
      <c r="H172" s="556"/>
      <c r="I172" s="556"/>
      <c r="J172" s="556"/>
      <c r="K172" s="556"/>
      <c r="L172" s="556"/>
      <c r="M172" s="556"/>
      <c r="N172" s="556"/>
      <c r="O172" s="556"/>
      <c r="P172" s="556"/>
      <c r="Q172" s="556"/>
      <c r="R172" s="556"/>
      <c r="S172" s="556"/>
      <c r="T172" s="556"/>
      <c r="U172" s="556"/>
      <c r="V172" s="599">
        <f>V170+V171</f>
        <v>0</v>
      </c>
      <c r="W172" s="558"/>
      <c r="X172" s="543"/>
    </row>
    <row r="173" spans="1:256" s="544" customFormat="1" x14ac:dyDescent="0.3">
      <c r="A173" s="555"/>
      <c r="B173" s="556" t="s">
        <v>283</v>
      </c>
      <c r="C173" s="556"/>
      <c r="D173" s="556"/>
      <c r="E173" s="556"/>
      <c r="F173" s="556"/>
      <c r="G173" s="556"/>
      <c r="H173" s="556"/>
      <c r="I173" s="556"/>
      <c r="J173" s="556"/>
      <c r="K173" s="556"/>
      <c r="L173" s="556"/>
      <c r="M173" s="556"/>
      <c r="N173" s="556"/>
      <c r="O173" s="556"/>
      <c r="P173" s="556"/>
      <c r="Q173" s="556"/>
      <c r="R173" s="556"/>
      <c r="S173" s="556"/>
      <c r="T173" s="556"/>
      <c r="U173" s="556"/>
      <c r="V173" s="599">
        <v>0</v>
      </c>
      <c r="W173" s="558"/>
      <c r="X173" s="543"/>
    </row>
    <row r="174" spans="1:256" ht="16.2" thickBot="1" x14ac:dyDescent="0.35">
      <c r="A174" s="417"/>
      <c r="B174" s="437"/>
      <c r="C174" s="437"/>
      <c r="D174" s="437"/>
      <c r="E174" s="437"/>
      <c r="F174" s="437"/>
      <c r="G174" s="437"/>
      <c r="H174" s="437"/>
      <c r="I174" s="437"/>
      <c r="J174" s="437"/>
      <c r="K174" s="437"/>
      <c r="L174" s="437"/>
      <c r="M174" s="437"/>
      <c r="N174" s="437"/>
      <c r="O174" s="437"/>
      <c r="P174" s="437"/>
      <c r="Q174" s="437"/>
      <c r="R174" s="437"/>
      <c r="S174" s="437"/>
      <c r="T174" s="437"/>
      <c r="U174" s="437"/>
      <c r="V174" s="454"/>
      <c r="W174" s="437"/>
      <c r="X174" s="415"/>
    </row>
    <row r="175" spans="1:256" x14ac:dyDescent="0.3">
      <c r="A175" s="413"/>
      <c r="B175" s="455"/>
      <c r="C175" s="455"/>
      <c r="D175" s="455"/>
      <c r="E175" s="455"/>
      <c r="F175" s="455"/>
      <c r="G175" s="455"/>
      <c r="H175" s="455"/>
      <c r="I175" s="455"/>
      <c r="J175" s="455"/>
      <c r="K175" s="455"/>
      <c r="L175" s="455"/>
      <c r="M175" s="455"/>
      <c r="N175" s="455"/>
      <c r="O175" s="455"/>
      <c r="P175" s="455"/>
      <c r="Q175" s="455"/>
      <c r="R175" s="455"/>
      <c r="S175" s="455"/>
      <c r="T175" s="455"/>
      <c r="U175" s="455"/>
      <c r="V175" s="456"/>
      <c r="W175" s="455"/>
      <c r="X175" s="415"/>
    </row>
    <row r="176" spans="1:256" s="458" customFormat="1" x14ac:dyDescent="0.3">
      <c r="A176" s="417"/>
      <c r="B176" s="508" t="s">
        <v>269</v>
      </c>
      <c r="C176" s="441"/>
      <c r="D176" s="441"/>
      <c r="E176" s="441"/>
      <c r="F176" s="441"/>
      <c r="G176" s="441"/>
      <c r="H176" s="441"/>
      <c r="I176" s="441"/>
      <c r="J176" s="441"/>
      <c r="K176" s="441"/>
      <c r="L176" s="441"/>
      <c r="M176" s="441"/>
      <c r="N176" s="441"/>
      <c r="O176" s="441"/>
      <c r="P176" s="441"/>
      <c r="Q176" s="441"/>
      <c r="R176" s="441"/>
      <c r="S176" s="441"/>
      <c r="T176" s="441"/>
      <c r="U176" s="441"/>
      <c r="V176" s="457"/>
      <c r="W176" s="441"/>
      <c r="X176" s="415"/>
      <c r="Y176" s="416"/>
      <c r="Z176" s="416"/>
      <c r="AA176" s="416"/>
      <c r="AB176" s="416"/>
      <c r="AC176" s="416"/>
      <c r="AD176" s="416"/>
      <c r="AE176" s="416"/>
      <c r="AF176" s="416"/>
      <c r="AG176" s="416"/>
      <c r="AH176" s="416"/>
      <c r="AI176" s="416"/>
      <c r="AJ176" s="416"/>
      <c r="AK176" s="416"/>
      <c r="AL176" s="416"/>
      <c r="AM176" s="416"/>
      <c r="AN176" s="416"/>
      <c r="AO176" s="416"/>
      <c r="AP176" s="416"/>
      <c r="AQ176" s="416"/>
      <c r="AR176" s="416"/>
      <c r="AS176" s="416"/>
      <c r="AT176" s="416"/>
      <c r="AU176" s="416"/>
      <c r="AV176" s="416"/>
      <c r="AW176" s="416"/>
      <c r="AX176" s="416"/>
      <c r="AY176" s="416"/>
      <c r="AZ176" s="416"/>
      <c r="BA176" s="416"/>
      <c r="BB176" s="416"/>
      <c r="BC176" s="416"/>
      <c r="BD176" s="416"/>
      <c r="BE176" s="416"/>
      <c r="BF176" s="416"/>
      <c r="BG176" s="416"/>
      <c r="BH176" s="416"/>
      <c r="BI176" s="416"/>
      <c r="BJ176" s="416"/>
      <c r="BK176" s="416"/>
      <c r="BL176" s="416"/>
      <c r="BM176" s="416"/>
      <c r="BN176" s="416"/>
      <c r="BO176" s="416"/>
      <c r="BP176" s="416"/>
      <c r="BQ176" s="416"/>
      <c r="BR176" s="416"/>
      <c r="BS176" s="416"/>
      <c r="BT176" s="416"/>
      <c r="BU176" s="416"/>
      <c r="BV176" s="416"/>
      <c r="BW176" s="416"/>
      <c r="BX176" s="416"/>
      <c r="BY176" s="416"/>
      <c r="BZ176" s="416"/>
      <c r="CA176" s="416"/>
      <c r="CB176" s="416"/>
      <c r="CC176" s="416"/>
      <c r="CD176" s="416"/>
      <c r="CE176" s="416"/>
      <c r="CF176" s="416"/>
      <c r="CG176" s="416"/>
      <c r="CH176" s="416"/>
      <c r="CI176" s="416"/>
      <c r="CJ176" s="416"/>
      <c r="CK176" s="416"/>
      <c r="CL176" s="416"/>
      <c r="CM176" s="416"/>
      <c r="CN176" s="416"/>
      <c r="CO176" s="416"/>
      <c r="CP176" s="416"/>
      <c r="CQ176" s="416"/>
      <c r="CR176" s="416"/>
      <c r="CS176" s="416"/>
      <c r="CT176" s="416"/>
      <c r="CU176" s="416"/>
      <c r="CV176" s="416"/>
      <c r="CW176" s="416"/>
      <c r="CX176" s="416"/>
      <c r="CY176" s="416"/>
      <c r="CZ176" s="416"/>
      <c r="DA176" s="416"/>
      <c r="DB176" s="416"/>
      <c r="DC176" s="416"/>
      <c r="DD176" s="416"/>
      <c r="DE176" s="416"/>
      <c r="DF176" s="416"/>
      <c r="DG176" s="416"/>
      <c r="DH176" s="416"/>
      <c r="DI176" s="416"/>
      <c r="DJ176" s="416"/>
      <c r="DK176" s="416"/>
      <c r="DL176" s="416"/>
      <c r="DM176" s="416"/>
      <c r="DN176" s="416"/>
      <c r="DO176" s="416"/>
      <c r="DP176" s="416"/>
      <c r="DQ176" s="416"/>
      <c r="DR176" s="416"/>
      <c r="DS176" s="416"/>
      <c r="DT176" s="416"/>
      <c r="DU176" s="416"/>
      <c r="DV176" s="416"/>
      <c r="DW176" s="416"/>
      <c r="DX176" s="416"/>
      <c r="DY176" s="416"/>
      <c r="DZ176" s="416"/>
      <c r="EA176" s="416"/>
      <c r="EB176" s="416"/>
      <c r="EC176" s="416"/>
      <c r="ED176" s="416"/>
      <c r="EE176" s="416"/>
      <c r="EF176" s="416"/>
      <c r="EG176" s="416"/>
      <c r="EH176" s="416"/>
      <c r="EI176" s="416"/>
      <c r="EJ176" s="416"/>
      <c r="EK176" s="416"/>
      <c r="EL176" s="416"/>
      <c r="EM176" s="416"/>
      <c r="EN176" s="416"/>
      <c r="EO176" s="416"/>
      <c r="EP176" s="416"/>
      <c r="EQ176" s="416"/>
      <c r="ER176" s="416"/>
      <c r="ES176" s="416"/>
      <c r="ET176" s="416"/>
      <c r="EU176" s="416"/>
      <c r="EV176" s="416"/>
      <c r="EW176" s="416"/>
      <c r="EX176" s="416"/>
      <c r="EY176" s="416"/>
      <c r="EZ176" s="416"/>
      <c r="FA176" s="416"/>
      <c r="FB176" s="416"/>
      <c r="FC176" s="416"/>
      <c r="FD176" s="416"/>
      <c r="FE176" s="416"/>
      <c r="FF176" s="416"/>
      <c r="FG176" s="416"/>
      <c r="FH176" s="416"/>
      <c r="FI176" s="416"/>
      <c r="FJ176" s="416"/>
      <c r="FK176" s="416"/>
      <c r="FL176" s="416"/>
      <c r="FM176" s="416"/>
      <c r="FN176" s="416"/>
      <c r="FO176" s="416"/>
      <c r="FP176" s="416"/>
      <c r="FQ176" s="416"/>
      <c r="FR176" s="416"/>
      <c r="FS176" s="416"/>
      <c r="FT176" s="416"/>
      <c r="FU176" s="416"/>
      <c r="FV176" s="416"/>
      <c r="FW176" s="416"/>
      <c r="FX176" s="416"/>
      <c r="FY176" s="416"/>
      <c r="FZ176" s="416"/>
      <c r="GA176" s="416"/>
      <c r="GB176" s="416"/>
      <c r="GC176" s="416"/>
      <c r="GD176" s="416"/>
      <c r="GE176" s="416"/>
      <c r="GF176" s="416"/>
      <c r="GG176" s="416"/>
      <c r="GH176" s="416"/>
      <c r="GI176" s="416"/>
      <c r="GJ176" s="416"/>
      <c r="GK176" s="416"/>
      <c r="GL176" s="416"/>
      <c r="GM176" s="416"/>
      <c r="GN176" s="416"/>
      <c r="GO176" s="416"/>
      <c r="GP176" s="416"/>
      <c r="GQ176" s="416"/>
      <c r="GR176" s="416"/>
      <c r="GS176" s="416"/>
      <c r="GT176" s="416"/>
      <c r="GU176" s="416"/>
      <c r="GV176" s="416"/>
      <c r="GW176" s="416"/>
      <c r="GX176" s="416"/>
      <c r="GY176" s="416"/>
      <c r="GZ176" s="416"/>
      <c r="HA176" s="416"/>
      <c r="HB176" s="416"/>
      <c r="HC176" s="416"/>
      <c r="HD176" s="416"/>
      <c r="HE176" s="416"/>
      <c r="HF176" s="416"/>
      <c r="HG176" s="416"/>
      <c r="HH176" s="416"/>
      <c r="HI176" s="416"/>
      <c r="HJ176" s="416"/>
      <c r="HK176" s="416"/>
      <c r="HL176" s="416"/>
      <c r="HM176" s="416"/>
      <c r="HN176" s="416"/>
      <c r="HO176" s="416"/>
      <c r="HP176" s="416"/>
      <c r="HQ176" s="416"/>
      <c r="HR176" s="416"/>
      <c r="HS176" s="416"/>
      <c r="HT176" s="416"/>
      <c r="HU176" s="416"/>
      <c r="HV176" s="416"/>
      <c r="HW176" s="416"/>
      <c r="HX176" s="416"/>
      <c r="HY176" s="416"/>
      <c r="HZ176" s="416"/>
      <c r="IA176" s="416"/>
      <c r="IB176" s="416"/>
      <c r="IC176" s="416"/>
      <c r="ID176" s="416"/>
      <c r="IE176" s="416"/>
      <c r="IF176" s="416"/>
      <c r="IG176" s="416"/>
      <c r="IH176" s="416"/>
      <c r="II176" s="416"/>
      <c r="IJ176" s="416"/>
      <c r="IK176" s="416"/>
      <c r="IL176" s="416"/>
      <c r="IM176" s="416"/>
      <c r="IN176" s="416"/>
      <c r="IO176" s="416"/>
      <c r="IP176" s="416"/>
      <c r="IQ176" s="416"/>
      <c r="IR176" s="416"/>
      <c r="IS176" s="416"/>
      <c r="IT176" s="416"/>
      <c r="IU176" s="416"/>
      <c r="IV176" s="416"/>
    </row>
    <row r="177" spans="1:256" s="609" customFormat="1" x14ac:dyDescent="0.3">
      <c r="A177" s="555"/>
      <c r="B177" s="556" t="s">
        <v>270</v>
      </c>
      <c r="C177" s="556"/>
      <c r="D177" s="556"/>
      <c r="E177" s="556"/>
      <c r="F177" s="556"/>
      <c r="G177" s="556"/>
      <c r="H177" s="556"/>
      <c r="I177" s="556"/>
      <c r="J177" s="556"/>
      <c r="K177" s="556"/>
      <c r="L177" s="556"/>
      <c r="M177" s="556"/>
      <c r="N177" s="556"/>
      <c r="O177" s="556"/>
      <c r="P177" s="556"/>
      <c r="Q177" s="556"/>
      <c r="R177" s="556"/>
      <c r="S177" s="556"/>
      <c r="T177" s="556"/>
      <c r="U177" s="556"/>
      <c r="V177" s="599">
        <f>+'Aug 08'!V177</f>
        <v>0</v>
      </c>
      <c r="W177" s="558"/>
      <c r="X177" s="543"/>
      <c r="Y177" s="544"/>
      <c r="Z177" s="544"/>
      <c r="AA177" s="544"/>
      <c r="AB177" s="544"/>
      <c r="AC177" s="544"/>
      <c r="AD177" s="544"/>
      <c r="AE177" s="544"/>
      <c r="AF177" s="544"/>
      <c r="AG177" s="544"/>
      <c r="AH177" s="544"/>
      <c r="AI177" s="544"/>
      <c r="AJ177" s="544"/>
      <c r="AK177" s="544"/>
      <c r="AL177" s="544"/>
      <c r="AM177" s="544"/>
      <c r="AN177" s="544"/>
      <c r="AO177" s="544"/>
      <c r="AP177" s="544"/>
      <c r="AQ177" s="544"/>
      <c r="AR177" s="544"/>
      <c r="AS177" s="544"/>
      <c r="AT177" s="544"/>
      <c r="AU177" s="544"/>
      <c r="AV177" s="544"/>
      <c r="AW177" s="544"/>
      <c r="AX177" s="544"/>
      <c r="AY177" s="544"/>
      <c r="AZ177" s="544"/>
      <c r="BA177" s="544"/>
      <c r="BB177" s="544"/>
      <c r="BC177" s="544"/>
      <c r="BD177" s="544"/>
      <c r="BE177" s="544"/>
      <c r="BF177" s="544"/>
      <c r="BG177" s="544"/>
      <c r="BH177" s="544"/>
      <c r="BI177" s="544"/>
      <c r="BJ177" s="544"/>
      <c r="BK177" s="544"/>
      <c r="BL177" s="544"/>
      <c r="BM177" s="544"/>
      <c r="BN177" s="544"/>
      <c r="BO177" s="544"/>
      <c r="BP177" s="544"/>
      <c r="BQ177" s="544"/>
      <c r="BR177" s="544"/>
      <c r="BS177" s="544"/>
      <c r="BT177" s="544"/>
      <c r="BU177" s="544"/>
      <c r="BV177" s="544"/>
      <c r="BW177" s="544"/>
      <c r="BX177" s="544"/>
      <c r="BY177" s="544"/>
      <c r="BZ177" s="544"/>
      <c r="CA177" s="544"/>
      <c r="CB177" s="544"/>
      <c r="CC177" s="544"/>
      <c r="CD177" s="544"/>
      <c r="CE177" s="544"/>
      <c r="CF177" s="544"/>
      <c r="CG177" s="544"/>
      <c r="CH177" s="544"/>
      <c r="CI177" s="544"/>
      <c r="CJ177" s="544"/>
      <c r="CK177" s="544"/>
      <c r="CL177" s="544"/>
      <c r="CM177" s="544"/>
      <c r="CN177" s="544"/>
      <c r="CO177" s="544"/>
      <c r="CP177" s="544"/>
      <c r="CQ177" s="544"/>
      <c r="CR177" s="544"/>
      <c r="CS177" s="544"/>
      <c r="CT177" s="544"/>
      <c r="CU177" s="544"/>
      <c r="CV177" s="544"/>
      <c r="CW177" s="544"/>
      <c r="CX177" s="544"/>
      <c r="CY177" s="544"/>
      <c r="CZ177" s="544"/>
      <c r="DA177" s="544"/>
      <c r="DB177" s="544"/>
      <c r="DC177" s="544"/>
      <c r="DD177" s="544"/>
      <c r="DE177" s="544"/>
      <c r="DF177" s="544"/>
      <c r="DG177" s="544"/>
      <c r="DH177" s="544"/>
      <c r="DI177" s="544"/>
      <c r="DJ177" s="544"/>
      <c r="DK177" s="544"/>
      <c r="DL177" s="544"/>
      <c r="DM177" s="544"/>
      <c r="DN177" s="544"/>
      <c r="DO177" s="544"/>
      <c r="DP177" s="544"/>
      <c r="DQ177" s="544"/>
      <c r="DR177" s="544"/>
      <c r="DS177" s="544"/>
      <c r="DT177" s="544"/>
      <c r="DU177" s="544"/>
      <c r="DV177" s="544"/>
      <c r="DW177" s="544"/>
      <c r="DX177" s="544"/>
      <c r="DY177" s="544"/>
      <c r="DZ177" s="544"/>
      <c r="EA177" s="544"/>
      <c r="EB177" s="544"/>
      <c r="EC177" s="544"/>
      <c r="ED177" s="544"/>
      <c r="EE177" s="544"/>
      <c r="EF177" s="544"/>
      <c r="EG177" s="544"/>
      <c r="EH177" s="544"/>
      <c r="EI177" s="544"/>
      <c r="EJ177" s="544"/>
      <c r="EK177" s="544"/>
      <c r="EL177" s="544"/>
      <c r="EM177" s="544"/>
      <c r="EN177" s="544"/>
      <c r="EO177" s="544"/>
      <c r="EP177" s="544"/>
      <c r="EQ177" s="544"/>
      <c r="ER177" s="544"/>
      <c r="ES177" s="544"/>
      <c r="ET177" s="544"/>
      <c r="EU177" s="544"/>
      <c r="EV177" s="544"/>
      <c r="EW177" s="544"/>
      <c r="EX177" s="544"/>
      <c r="EY177" s="544"/>
      <c r="EZ177" s="544"/>
      <c r="FA177" s="544"/>
      <c r="FB177" s="544"/>
      <c r="FC177" s="544"/>
      <c r="FD177" s="544"/>
      <c r="FE177" s="544"/>
      <c r="FF177" s="544"/>
      <c r="FG177" s="544"/>
      <c r="FH177" s="544"/>
      <c r="FI177" s="544"/>
      <c r="FJ177" s="544"/>
      <c r="FK177" s="544"/>
      <c r="FL177" s="544"/>
      <c r="FM177" s="544"/>
      <c r="FN177" s="544"/>
      <c r="FO177" s="544"/>
      <c r="FP177" s="544"/>
      <c r="FQ177" s="544"/>
      <c r="FR177" s="544"/>
      <c r="FS177" s="544"/>
      <c r="FT177" s="544"/>
      <c r="FU177" s="544"/>
      <c r="FV177" s="544"/>
      <c r="FW177" s="544"/>
      <c r="FX177" s="544"/>
      <c r="FY177" s="544"/>
      <c r="FZ177" s="544"/>
      <c r="GA177" s="544"/>
      <c r="GB177" s="544"/>
      <c r="GC177" s="544"/>
      <c r="GD177" s="544"/>
      <c r="GE177" s="544"/>
      <c r="GF177" s="544"/>
      <c r="GG177" s="544"/>
      <c r="GH177" s="544"/>
      <c r="GI177" s="544"/>
      <c r="GJ177" s="544"/>
      <c r="GK177" s="544"/>
      <c r="GL177" s="544"/>
      <c r="GM177" s="544"/>
      <c r="GN177" s="544"/>
      <c r="GO177" s="544"/>
      <c r="GP177" s="544"/>
      <c r="GQ177" s="544"/>
      <c r="GR177" s="544"/>
      <c r="GS177" s="544"/>
      <c r="GT177" s="544"/>
      <c r="GU177" s="544"/>
      <c r="GV177" s="544"/>
      <c r="GW177" s="544"/>
      <c r="GX177" s="544"/>
      <c r="GY177" s="544"/>
      <c r="GZ177" s="544"/>
      <c r="HA177" s="544"/>
      <c r="HB177" s="544"/>
      <c r="HC177" s="544"/>
      <c r="HD177" s="544"/>
      <c r="HE177" s="544"/>
      <c r="HF177" s="544"/>
      <c r="HG177" s="544"/>
      <c r="HH177" s="544"/>
      <c r="HI177" s="544"/>
      <c r="HJ177" s="544"/>
      <c r="HK177" s="544"/>
      <c r="HL177" s="544"/>
      <c r="HM177" s="544"/>
      <c r="HN177" s="544"/>
      <c r="HO177" s="544"/>
      <c r="HP177" s="544"/>
      <c r="HQ177" s="544"/>
      <c r="HR177" s="544"/>
      <c r="HS177" s="544"/>
      <c r="HT177" s="544"/>
      <c r="HU177" s="544"/>
      <c r="HV177" s="544"/>
      <c r="HW177" s="544"/>
      <c r="HX177" s="544"/>
      <c r="HY177" s="544"/>
      <c r="HZ177" s="544"/>
      <c r="IA177" s="544"/>
      <c r="IB177" s="544"/>
      <c r="IC177" s="544"/>
      <c r="ID177" s="544"/>
      <c r="IE177" s="544"/>
      <c r="IF177" s="544"/>
      <c r="IG177" s="544"/>
      <c r="IH177" s="544"/>
      <c r="II177" s="544"/>
      <c r="IJ177" s="544"/>
      <c r="IK177" s="544"/>
      <c r="IL177" s="544"/>
      <c r="IM177" s="544"/>
      <c r="IN177" s="544"/>
      <c r="IO177" s="544"/>
      <c r="IP177" s="544"/>
      <c r="IQ177" s="544"/>
      <c r="IR177" s="544"/>
      <c r="IS177" s="544"/>
      <c r="IT177" s="544"/>
      <c r="IU177" s="544"/>
      <c r="IV177" s="544"/>
    </row>
    <row r="178" spans="1:256" s="609" customFormat="1" x14ac:dyDescent="0.3">
      <c r="A178" s="555"/>
      <c r="B178" s="556" t="s">
        <v>273</v>
      </c>
      <c r="C178" s="556"/>
      <c r="D178" s="556"/>
      <c r="E178" s="556"/>
      <c r="F178" s="556"/>
      <c r="G178" s="556"/>
      <c r="H178" s="556"/>
      <c r="I178" s="556"/>
      <c r="J178" s="556"/>
      <c r="K178" s="556"/>
      <c r="L178" s="556"/>
      <c r="M178" s="556"/>
      <c r="N178" s="556"/>
      <c r="O178" s="556"/>
      <c r="P178" s="556"/>
      <c r="Q178" s="556"/>
      <c r="R178" s="556"/>
      <c r="S178" s="556"/>
      <c r="T178" s="556"/>
      <c r="U178" s="556"/>
      <c r="V178" s="599">
        <f>+V93</f>
        <v>0</v>
      </c>
      <c r="W178" s="558"/>
      <c r="X178" s="543"/>
      <c r="Y178" s="544"/>
      <c r="Z178" s="544"/>
      <c r="AA178" s="544"/>
      <c r="AB178" s="544"/>
      <c r="AC178" s="544"/>
      <c r="AD178" s="544"/>
      <c r="AE178" s="544"/>
      <c r="AF178" s="544"/>
      <c r="AG178" s="544"/>
      <c r="AH178" s="544"/>
      <c r="AI178" s="544"/>
      <c r="AJ178" s="544"/>
      <c r="AK178" s="544"/>
      <c r="AL178" s="544"/>
      <c r="AM178" s="544"/>
      <c r="AN178" s="544"/>
      <c r="AO178" s="544"/>
      <c r="AP178" s="544"/>
      <c r="AQ178" s="544"/>
      <c r="AR178" s="544"/>
      <c r="AS178" s="544"/>
      <c r="AT178" s="544"/>
      <c r="AU178" s="544"/>
      <c r="AV178" s="544"/>
      <c r="AW178" s="544"/>
      <c r="AX178" s="544"/>
      <c r="AY178" s="544"/>
      <c r="AZ178" s="544"/>
      <c r="BA178" s="544"/>
      <c r="BB178" s="544"/>
      <c r="BC178" s="544"/>
      <c r="BD178" s="544"/>
      <c r="BE178" s="544"/>
      <c r="BF178" s="544"/>
      <c r="BG178" s="544"/>
      <c r="BH178" s="544"/>
      <c r="BI178" s="544"/>
      <c r="BJ178" s="544"/>
      <c r="BK178" s="544"/>
      <c r="BL178" s="544"/>
      <c r="BM178" s="544"/>
      <c r="BN178" s="544"/>
      <c r="BO178" s="544"/>
      <c r="BP178" s="544"/>
      <c r="BQ178" s="544"/>
      <c r="BR178" s="544"/>
      <c r="BS178" s="544"/>
      <c r="BT178" s="544"/>
      <c r="BU178" s="544"/>
      <c r="BV178" s="544"/>
      <c r="BW178" s="544"/>
      <c r="BX178" s="544"/>
      <c r="BY178" s="544"/>
      <c r="BZ178" s="544"/>
      <c r="CA178" s="544"/>
      <c r="CB178" s="544"/>
      <c r="CC178" s="544"/>
      <c r="CD178" s="544"/>
      <c r="CE178" s="544"/>
      <c r="CF178" s="544"/>
      <c r="CG178" s="544"/>
      <c r="CH178" s="544"/>
      <c r="CI178" s="544"/>
      <c r="CJ178" s="544"/>
      <c r="CK178" s="544"/>
      <c r="CL178" s="544"/>
      <c r="CM178" s="544"/>
      <c r="CN178" s="544"/>
      <c r="CO178" s="544"/>
      <c r="CP178" s="544"/>
      <c r="CQ178" s="544"/>
      <c r="CR178" s="544"/>
      <c r="CS178" s="544"/>
      <c r="CT178" s="544"/>
      <c r="CU178" s="544"/>
      <c r="CV178" s="544"/>
      <c r="CW178" s="544"/>
      <c r="CX178" s="544"/>
      <c r="CY178" s="544"/>
      <c r="CZ178" s="544"/>
      <c r="DA178" s="544"/>
      <c r="DB178" s="544"/>
      <c r="DC178" s="544"/>
      <c r="DD178" s="544"/>
      <c r="DE178" s="544"/>
      <c r="DF178" s="544"/>
      <c r="DG178" s="544"/>
      <c r="DH178" s="544"/>
      <c r="DI178" s="544"/>
      <c r="DJ178" s="544"/>
      <c r="DK178" s="544"/>
      <c r="DL178" s="544"/>
      <c r="DM178" s="544"/>
      <c r="DN178" s="544"/>
      <c r="DO178" s="544"/>
      <c r="DP178" s="544"/>
      <c r="DQ178" s="544"/>
      <c r="DR178" s="544"/>
      <c r="DS178" s="544"/>
      <c r="DT178" s="544"/>
      <c r="DU178" s="544"/>
      <c r="DV178" s="544"/>
      <c r="DW178" s="544"/>
      <c r="DX178" s="544"/>
      <c r="DY178" s="544"/>
      <c r="DZ178" s="544"/>
      <c r="EA178" s="544"/>
      <c r="EB178" s="544"/>
      <c r="EC178" s="544"/>
      <c r="ED178" s="544"/>
      <c r="EE178" s="544"/>
      <c r="EF178" s="544"/>
      <c r="EG178" s="544"/>
      <c r="EH178" s="544"/>
      <c r="EI178" s="544"/>
      <c r="EJ178" s="544"/>
      <c r="EK178" s="544"/>
      <c r="EL178" s="544"/>
      <c r="EM178" s="544"/>
      <c r="EN178" s="544"/>
      <c r="EO178" s="544"/>
      <c r="EP178" s="544"/>
      <c r="EQ178" s="544"/>
      <c r="ER178" s="544"/>
      <c r="ES178" s="544"/>
      <c r="ET178" s="544"/>
      <c r="EU178" s="544"/>
      <c r="EV178" s="544"/>
      <c r="EW178" s="544"/>
      <c r="EX178" s="544"/>
      <c r="EY178" s="544"/>
      <c r="EZ178" s="544"/>
      <c r="FA178" s="544"/>
      <c r="FB178" s="544"/>
      <c r="FC178" s="544"/>
      <c r="FD178" s="544"/>
      <c r="FE178" s="544"/>
      <c r="FF178" s="544"/>
      <c r="FG178" s="544"/>
      <c r="FH178" s="544"/>
      <c r="FI178" s="544"/>
      <c r="FJ178" s="544"/>
      <c r="FK178" s="544"/>
      <c r="FL178" s="544"/>
      <c r="FM178" s="544"/>
      <c r="FN178" s="544"/>
      <c r="FO178" s="544"/>
      <c r="FP178" s="544"/>
      <c r="FQ178" s="544"/>
      <c r="FR178" s="544"/>
      <c r="FS178" s="544"/>
      <c r="FT178" s="544"/>
      <c r="FU178" s="544"/>
      <c r="FV178" s="544"/>
      <c r="FW178" s="544"/>
      <c r="FX178" s="544"/>
      <c r="FY178" s="544"/>
      <c r="FZ178" s="544"/>
      <c r="GA178" s="544"/>
      <c r="GB178" s="544"/>
      <c r="GC178" s="544"/>
      <c r="GD178" s="544"/>
      <c r="GE178" s="544"/>
      <c r="GF178" s="544"/>
      <c r="GG178" s="544"/>
      <c r="GH178" s="544"/>
      <c r="GI178" s="544"/>
      <c r="GJ178" s="544"/>
      <c r="GK178" s="544"/>
      <c r="GL178" s="544"/>
      <c r="GM178" s="544"/>
      <c r="GN178" s="544"/>
      <c r="GO178" s="544"/>
      <c r="GP178" s="544"/>
      <c r="GQ178" s="544"/>
      <c r="GR178" s="544"/>
      <c r="GS178" s="544"/>
      <c r="GT178" s="544"/>
      <c r="GU178" s="544"/>
      <c r="GV178" s="544"/>
      <c r="GW178" s="544"/>
      <c r="GX178" s="544"/>
      <c r="GY178" s="544"/>
      <c r="GZ178" s="544"/>
      <c r="HA178" s="544"/>
      <c r="HB178" s="544"/>
      <c r="HC178" s="544"/>
      <c r="HD178" s="544"/>
      <c r="HE178" s="544"/>
      <c r="HF178" s="544"/>
      <c r="HG178" s="544"/>
      <c r="HH178" s="544"/>
      <c r="HI178" s="544"/>
      <c r="HJ178" s="544"/>
      <c r="HK178" s="544"/>
      <c r="HL178" s="544"/>
      <c r="HM178" s="544"/>
      <c r="HN178" s="544"/>
      <c r="HO178" s="544"/>
      <c r="HP178" s="544"/>
      <c r="HQ178" s="544"/>
      <c r="HR178" s="544"/>
      <c r="HS178" s="544"/>
      <c r="HT178" s="544"/>
      <c r="HU178" s="544"/>
      <c r="HV178" s="544"/>
      <c r="HW178" s="544"/>
      <c r="HX178" s="544"/>
      <c r="HY178" s="544"/>
      <c r="HZ178" s="544"/>
      <c r="IA178" s="544"/>
      <c r="IB178" s="544"/>
      <c r="IC178" s="544"/>
      <c r="ID178" s="544"/>
      <c r="IE178" s="544"/>
      <c r="IF178" s="544"/>
      <c r="IG178" s="544"/>
      <c r="IH178" s="544"/>
      <c r="II178" s="544"/>
      <c r="IJ178" s="544"/>
      <c r="IK178" s="544"/>
      <c r="IL178" s="544"/>
      <c r="IM178" s="544"/>
      <c r="IN178" s="544"/>
      <c r="IO178" s="544"/>
      <c r="IP178" s="544"/>
      <c r="IQ178" s="544"/>
      <c r="IR178" s="544"/>
      <c r="IS178" s="544"/>
      <c r="IT178" s="544"/>
      <c r="IU178" s="544"/>
      <c r="IV178" s="544"/>
    </row>
    <row r="179" spans="1:256" s="609" customFormat="1" x14ac:dyDescent="0.3">
      <c r="A179" s="555"/>
      <c r="B179" s="556" t="s">
        <v>271</v>
      </c>
      <c r="C179" s="556"/>
      <c r="D179" s="556"/>
      <c r="E179" s="556"/>
      <c r="F179" s="556"/>
      <c r="G179" s="556"/>
      <c r="H179" s="556"/>
      <c r="I179" s="556"/>
      <c r="J179" s="556"/>
      <c r="K179" s="556"/>
      <c r="L179" s="556"/>
      <c r="M179" s="556"/>
      <c r="N179" s="556"/>
      <c r="O179" s="556"/>
      <c r="P179" s="556"/>
      <c r="Q179" s="556"/>
      <c r="R179" s="556"/>
      <c r="S179" s="556"/>
      <c r="T179" s="556"/>
      <c r="U179" s="556"/>
      <c r="V179" s="599">
        <f>+V177-V178</f>
        <v>0</v>
      </c>
      <c r="W179" s="558"/>
      <c r="X179" s="543"/>
      <c r="Y179" s="544"/>
      <c r="Z179" s="544"/>
      <c r="AA179" s="544"/>
      <c r="AB179" s="544"/>
      <c r="AC179" s="544"/>
      <c r="AD179" s="544"/>
      <c r="AE179" s="544"/>
      <c r="AF179" s="544"/>
      <c r="AG179" s="544"/>
      <c r="AH179" s="544"/>
      <c r="AI179" s="544"/>
      <c r="AJ179" s="544"/>
      <c r="AK179" s="544"/>
      <c r="AL179" s="544"/>
      <c r="AM179" s="544"/>
      <c r="AN179" s="544"/>
      <c r="AO179" s="544"/>
      <c r="AP179" s="544"/>
      <c r="AQ179" s="544"/>
      <c r="AR179" s="544"/>
      <c r="AS179" s="544"/>
      <c r="AT179" s="544"/>
      <c r="AU179" s="544"/>
      <c r="AV179" s="544"/>
      <c r="AW179" s="544"/>
      <c r="AX179" s="544"/>
      <c r="AY179" s="544"/>
      <c r="AZ179" s="544"/>
      <c r="BA179" s="544"/>
      <c r="BB179" s="544"/>
      <c r="BC179" s="544"/>
      <c r="BD179" s="544"/>
      <c r="BE179" s="544"/>
      <c r="BF179" s="544"/>
      <c r="BG179" s="544"/>
      <c r="BH179" s="544"/>
      <c r="BI179" s="544"/>
      <c r="BJ179" s="544"/>
      <c r="BK179" s="544"/>
      <c r="BL179" s="544"/>
      <c r="BM179" s="544"/>
      <c r="BN179" s="544"/>
      <c r="BO179" s="544"/>
      <c r="BP179" s="544"/>
      <c r="BQ179" s="544"/>
      <c r="BR179" s="544"/>
      <c r="BS179" s="544"/>
      <c r="BT179" s="544"/>
      <c r="BU179" s="544"/>
      <c r="BV179" s="544"/>
      <c r="BW179" s="544"/>
      <c r="BX179" s="544"/>
      <c r="BY179" s="544"/>
      <c r="BZ179" s="544"/>
      <c r="CA179" s="544"/>
      <c r="CB179" s="544"/>
      <c r="CC179" s="544"/>
      <c r="CD179" s="544"/>
      <c r="CE179" s="544"/>
      <c r="CF179" s="544"/>
      <c r="CG179" s="544"/>
      <c r="CH179" s="544"/>
      <c r="CI179" s="544"/>
      <c r="CJ179" s="544"/>
      <c r="CK179" s="544"/>
      <c r="CL179" s="544"/>
      <c r="CM179" s="544"/>
      <c r="CN179" s="544"/>
      <c r="CO179" s="544"/>
      <c r="CP179" s="544"/>
      <c r="CQ179" s="544"/>
      <c r="CR179" s="544"/>
      <c r="CS179" s="544"/>
      <c r="CT179" s="544"/>
      <c r="CU179" s="544"/>
      <c r="CV179" s="544"/>
      <c r="CW179" s="544"/>
      <c r="CX179" s="544"/>
      <c r="CY179" s="544"/>
      <c r="CZ179" s="544"/>
      <c r="DA179" s="544"/>
      <c r="DB179" s="544"/>
      <c r="DC179" s="544"/>
      <c r="DD179" s="544"/>
      <c r="DE179" s="544"/>
      <c r="DF179" s="544"/>
      <c r="DG179" s="544"/>
      <c r="DH179" s="544"/>
      <c r="DI179" s="544"/>
      <c r="DJ179" s="544"/>
      <c r="DK179" s="544"/>
      <c r="DL179" s="544"/>
      <c r="DM179" s="544"/>
      <c r="DN179" s="544"/>
      <c r="DO179" s="544"/>
      <c r="DP179" s="544"/>
      <c r="DQ179" s="544"/>
      <c r="DR179" s="544"/>
      <c r="DS179" s="544"/>
      <c r="DT179" s="544"/>
      <c r="DU179" s="544"/>
      <c r="DV179" s="544"/>
      <c r="DW179" s="544"/>
      <c r="DX179" s="544"/>
      <c r="DY179" s="544"/>
      <c r="DZ179" s="544"/>
      <c r="EA179" s="544"/>
      <c r="EB179" s="544"/>
      <c r="EC179" s="544"/>
      <c r="ED179" s="544"/>
      <c r="EE179" s="544"/>
      <c r="EF179" s="544"/>
      <c r="EG179" s="544"/>
      <c r="EH179" s="544"/>
      <c r="EI179" s="544"/>
      <c r="EJ179" s="544"/>
      <c r="EK179" s="544"/>
      <c r="EL179" s="544"/>
      <c r="EM179" s="544"/>
      <c r="EN179" s="544"/>
      <c r="EO179" s="544"/>
      <c r="EP179" s="544"/>
      <c r="EQ179" s="544"/>
      <c r="ER179" s="544"/>
      <c r="ES179" s="544"/>
      <c r="ET179" s="544"/>
      <c r="EU179" s="544"/>
      <c r="EV179" s="544"/>
      <c r="EW179" s="544"/>
      <c r="EX179" s="544"/>
      <c r="EY179" s="544"/>
      <c r="EZ179" s="544"/>
      <c r="FA179" s="544"/>
      <c r="FB179" s="544"/>
      <c r="FC179" s="544"/>
      <c r="FD179" s="544"/>
      <c r="FE179" s="544"/>
      <c r="FF179" s="544"/>
      <c r="FG179" s="544"/>
      <c r="FH179" s="544"/>
      <c r="FI179" s="544"/>
      <c r="FJ179" s="544"/>
      <c r="FK179" s="544"/>
      <c r="FL179" s="544"/>
      <c r="FM179" s="544"/>
      <c r="FN179" s="544"/>
      <c r="FO179" s="544"/>
      <c r="FP179" s="544"/>
      <c r="FQ179" s="544"/>
      <c r="FR179" s="544"/>
      <c r="FS179" s="544"/>
      <c r="FT179" s="544"/>
      <c r="FU179" s="544"/>
      <c r="FV179" s="544"/>
      <c r="FW179" s="544"/>
      <c r="FX179" s="544"/>
      <c r="FY179" s="544"/>
      <c r="FZ179" s="544"/>
      <c r="GA179" s="544"/>
      <c r="GB179" s="544"/>
      <c r="GC179" s="544"/>
      <c r="GD179" s="544"/>
      <c r="GE179" s="544"/>
      <c r="GF179" s="544"/>
      <c r="GG179" s="544"/>
      <c r="GH179" s="544"/>
      <c r="GI179" s="544"/>
      <c r="GJ179" s="544"/>
      <c r="GK179" s="544"/>
      <c r="GL179" s="544"/>
      <c r="GM179" s="544"/>
      <c r="GN179" s="544"/>
      <c r="GO179" s="544"/>
      <c r="GP179" s="544"/>
      <c r="GQ179" s="544"/>
      <c r="GR179" s="544"/>
      <c r="GS179" s="544"/>
      <c r="GT179" s="544"/>
      <c r="GU179" s="544"/>
      <c r="GV179" s="544"/>
      <c r="GW179" s="544"/>
      <c r="GX179" s="544"/>
      <c r="GY179" s="544"/>
      <c r="GZ179" s="544"/>
      <c r="HA179" s="544"/>
      <c r="HB179" s="544"/>
      <c r="HC179" s="544"/>
      <c r="HD179" s="544"/>
      <c r="HE179" s="544"/>
      <c r="HF179" s="544"/>
      <c r="HG179" s="544"/>
      <c r="HH179" s="544"/>
      <c r="HI179" s="544"/>
      <c r="HJ179" s="544"/>
      <c r="HK179" s="544"/>
      <c r="HL179" s="544"/>
      <c r="HM179" s="544"/>
      <c r="HN179" s="544"/>
      <c r="HO179" s="544"/>
      <c r="HP179" s="544"/>
      <c r="HQ179" s="544"/>
      <c r="HR179" s="544"/>
      <c r="HS179" s="544"/>
      <c r="HT179" s="544"/>
      <c r="HU179" s="544"/>
      <c r="HV179" s="544"/>
      <c r="HW179" s="544"/>
      <c r="HX179" s="544"/>
      <c r="HY179" s="544"/>
      <c r="HZ179" s="544"/>
      <c r="IA179" s="544"/>
      <c r="IB179" s="544"/>
      <c r="IC179" s="544"/>
      <c r="ID179" s="544"/>
      <c r="IE179" s="544"/>
      <c r="IF179" s="544"/>
      <c r="IG179" s="544"/>
      <c r="IH179" s="544"/>
      <c r="II179" s="544"/>
      <c r="IJ179" s="544"/>
      <c r="IK179" s="544"/>
      <c r="IL179" s="544"/>
      <c r="IM179" s="544"/>
      <c r="IN179" s="544"/>
      <c r="IO179" s="544"/>
      <c r="IP179" s="544"/>
      <c r="IQ179" s="544"/>
      <c r="IR179" s="544"/>
      <c r="IS179" s="544"/>
      <c r="IT179" s="544"/>
      <c r="IU179" s="544"/>
      <c r="IV179" s="544"/>
    </row>
    <row r="180" spans="1:256" s="459" customFormat="1" ht="16.2" thickBot="1" x14ac:dyDescent="0.35">
      <c r="A180" s="438"/>
      <c r="B180" s="441"/>
      <c r="C180" s="441"/>
      <c r="D180" s="441"/>
      <c r="E180" s="441"/>
      <c r="F180" s="441"/>
      <c r="G180" s="441"/>
      <c r="H180" s="441"/>
      <c r="I180" s="441"/>
      <c r="J180" s="441"/>
      <c r="K180" s="441"/>
      <c r="L180" s="441"/>
      <c r="M180" s="441"/>
      <c r="N180" s="441"/>
      <c r="O180" s="441"/>
      <c r="P180" s="441"/>
      <c r="Q180" s="441"/>
      <c r="R180" s="441"/>
      <c r="S180" s="441"/>
      <c r="T180" s="441"/>
      <c r="U180" s="441"/>
      <c r="V180" s="452"/>
      <c r="W180" s="441"/>
      <c r="X180" s="415"/>
      <c r="Y180" s="416"/>
      <c r="Z180" s="416"/>
      <c r="AA180" s="416"/>
      <c r="AB180" s="416"/>
      <c r="AC180" s="416"/>
      <c r="AD180" s="416"/>
      <c r="AE180" s="416"/>
      <c r="AF180" s="416"/>
      <c r="AG180" s="416"/>
      <c r="AH180" s="416"/>
      <c r="AI180" s="416"/>
      <c r="AJ180" s="416"/>
      <c r="AK180" s="416"/>
      <c r="AL180" s="416"/>
      <c r="AM180" s="416"/>
      <c r="AN180" s="416"/>
      <c r="AO180" s="416"/>
      <c r="AP180" s="416"/>
      <c r="AQ180" s="416"/>
      <c r="AR180" s="416"/>
      <c r="AS180" s="416"/>
      <c r="AT180" s="416"/>
      <c r="AU180" s="416"/>
      <c r="AV180" s="416"/>
      <c r="AW180" s="416"/>
      <c r="AX180" s="416"/>
      <c r="AY180" s="416"/>
      <c r="AZ180" s="416"/>
      <c r="BA180" s="416"/>
      <c r="BB180" s="416"/>
      <c r="BC180" s="416"/>
      <c r="BD180" s="416"/>
      <c r="BE180" s="416"/>
      <c r="BF180" s="416"/>
      <c r="BG180" s="416"/>
      <c r="BH180" s="416"/>
      <c r="BI180" s="416"/>
      <c r="BJ180" s="416"/>
      <c r="BK180" s="416"/>
      <c r="BL180" s="416"/>
      <c r="BM180" s="416"/>
      <c r="BN180" s="416"/>
      <c r="BO180" s="416"/>
      <c r="BP180" s="416"/>
      <c r="BQ180" s="416"/>
      <c r="BR180" s="416"/>
      <c r="BS180" s="416"/>
      <c r="BT180" s="416"/>
      <c r="BU180" s="416"/>
      <c r="BV180" s="416"/>
      <c r="BW180" s="416"/>
      <c r="BX180" s="416"/>
      <c r="BY180" s="416"/>
      <c r="BZ180" s="416"/>
      <c r="CA180" s="416"/>
      <c r="CB180" s="416"/>
      <c r="CC180" s="416"/>
      <c r="CD180" s="416"/>
      <c r="CE180" s="416"/>
      <c r="CF180" s="416"/>
      <c r="CG180" s="416"/>
      <c r="CH180" s="416"/>
      <c r="CI180" s="416"/>
      <c r="CJ180" s="416"/>
      <c r="CK180" s="416"/>
      <c r="CL180" s="416"/>
      <c r="CM180" s="416"/>
      <c r="CN180" s="416"/>
      <c r="CO180" s="416"/>
      <c r="CP180" s="416"/>
      <c r="CQ180" s="416"/>
      <c r="CR180" s="416"/>
      <c r="CS180" s="416"/>
      <c r="CT180" s="416"/>
      <c r="CU180" s="416"/>
      <c r="CV180" s="416"/>
      <c r="CW180" s="416"/>
      <c r="CX180" s="416"/>
      <c r="CY180" s="416"/>
      <c r="CZ180" s="416"/>
      <c r="DA180" s="416"/>
      <c r="DB180" s="416"/>
      <c r="DC180" s="416"/>
      <c r="DD180" s="416"/>
      <c r="DE180" s="416"/>
      <c r="DF180" s="416"/>
      <c r="DG180" s="416"/>
      <c r="DH180" s="416"/>
      <c r="DI180" s="416"/>
      <c r="DJ180" s="416"/>
      <c r="DK180" s="416"/>
      <c r="DL180" s="416"/>
      <c r="DM180" s="416"/>
      <c r="DN180" s="416"/>
      <c r="DO180" s="416"/>
      <c r="DP180" s="416"/>
      <c r="DQ180" s="416"/>
      <c r="DR180" s="416"/>
      <c r="DS180" s="416"/>
      <c r="DT180" s="416"/>
      <c r="DU180" s="416"/>
      <c r="DV180" s="416"/>
      <c r="DW180" s="416"/>
      <c r="DX180" s="416"/>
      <c r="DY180" s="416"/>
      <c r="DZ180" s="416"/>
      <c r="EA180" s="416"/>
      <c r="EB180" s="416"/>
      <c r="EC180" s="416"/>
      <c r="ED180" s="416"/>
      <c r="EE180" s="416"/>
      <c r="EF180" s="416"/>
      <c r="EG180" s="416"/>
      <c r="EH180" s="416"/>
      <c r="EI180" s="416"/>
      <c r="EJ180" s="416"/>
      <c r="EK180" s="416"/>
      <c r="EL180" s="416"/>
      <c r="EM180" s="416"/>
      <c r="EN180" s="416"/>
      <c r="EO180" s="416"/>
      <c r="EP180" s="416"/>
      <c r="EQ180" s="416"/>
      <c r="ER180" s="416"/>
      <c r="ES180" s="416"/>
      <c r="ET180" s="416"/>
      <c r="EU180" s="416"/>
      <c r="EV180" s="416"/>
      <c r="EW180" s="416"/>
      <c r="EX180" s="416"/>
      <c r="EY180" s="416"/>
      <c r="EZ180" s="416"/>
      <c r="FA180" s="416"/>
      <c r="FB180" s="416"/>
      <c r="FC180" s="416"/>
      <c r="FD180" s="416"/>
      <c r="FE180" s="416"/>
      <c r="FF180" s="416"/>
      <c r="FG180" s="416"/>
      <c r="FH180" s="416"/>
      <c r="FI180" s="416"/>
      <c r="FJ180" s="416"/>
      <c r="FK180" s="416"/>
      <c r="FL180" s="416"/>
      <c r="FM180" s="416"/>
      <c r="FN180" s="416"/>
      <c r="FO180" s="416"/>
      <c r="FP180" s="416"/>
      <c r="FQ180" s="416"/>
      <c r="FR180" s="416"/>
      <c r="FS180" s="416"/>
      <c r="FT180" s="416"/>
      <c r="FU180" s="416"/>
      <c r="FV180" s="416"/>
      <c r="FW180" s="416"/>
      <c r="FX180" s="416"/>
      <c r="FY180" s="416"/>
      <c r="FZ180" s="416"/>
      <c r="GA180" s="416"/>
      <c r="GB180" s="416"/>
      <c r="GC180" s="416"/>
      <c r="GD180" s="416"/>
      <c r="GE180" s="416"/>
      <c r="GF180" s="416"/>
      <c r="GG180" s="416"/>
      <c r="GH180" s="416"/>
      <c r="GI180" s="416"/>
      <c r="GJ180" s="416"/>
      <c r="GK180" s="416"/>
      <c r="GL180" s="416"/>
      <c r="GM180" s="416"/>
      <c r="GN180" s="416"/>
      <c r="GO180" s="416"/>
      <c r="GP180" s="416"/>
      <c r="GQ180" s="416"/>
      <c r="GR180" s="416"/>
      <c r="GS180" s="416"/>
      <c r="GT180" s="416"/>
      <c r="GU180" s="416"/>
      <c r="GV180" s="416"/>
      <c r="GW180" s="416"/>
      <c r="GX180" s="416"/>
      <c r="GY180" s="416"/>
      <c r="GZ180" s="416"/>
      <c r="HA180" s="416"/>
      <c r="HB180" s="416"/>
      <c r="HC180" s="416"/>
      <c r="HD180" s="416"/>
      <c r="HE180" s="416"/>
      <c r="HF180" s="416"/>
      <c r="HG180" s="416"/>
      <c r="HH180" s="416"/>
      <c r="HI180" s="416"/>
      <c r="HJ180" s="416"/>
      <c r="HK180" s="416"/>
      <c r="HL180" s="416"/>
      <c r="HM180" s="416"/>
      <c r="HN180" s="416"/>
      <c r="HO180" s="416"/>
      <c r="HP180" s="416"/>
      <c r="HQ180" s="416"/>
      <c r="HR180" s="416"/>
      <c r="HS180" s="416"/>
      <c r="HT180" s="416"/>
      <c r="HU180" s="416"/>
      <c r="HV180" s="416"/>
      <c r="HW180" s="416"/>
      <c r="HX180" s="416"/>
      <c r="HY180" s="416"/>
      <c r="HZ180" s="416"/>
      <c r="IA180" s="416"/>
      <c r="IB180" s="416"/>
      <c r="IC180" s="416"/>
      <c r="ID180" s="416"/>
      <c r="IE180" s="416"/>
      <c r="IF180" s="416"/>
      <c r="IG180" s="416"/>
      <c r="IH180" s="416"/>
      <c r="II180" s="416"/>
      <c r="IJ180" s="416"/>
      <c r="IK180" s="416"/>
      <c r="IL180" s="416"/>
      <c r="IM180" s="416"/>
      <c r="IN180" s="416"/>
      <c r="IO180" s="416"/>
      <c r="IP180" s="416"/>
      <c r="IQ180" s="416"/>
      <c r="IR180" s="416"/>
      <c r="IS180" s="416"/>
      <c r="IT180" s="416"/>
      <c r="IU180" s="416"/>
      <c r="IV180" s="416"/>
    </row>
    <row r="181" spans="1:256" s="461" customFormat="1" x14ac:dyDescent="0.3">
      <c r="A181" s="413"/>
      <c r="B181" s="414"/>
      <c r="C181" s="414"/>
      <c r="D181" s="414"/>
      <c r="E181" s="414"/>
      <c r="F181" s="414"/>
      <c r="G181" s="414"/>
      <c r="H181" s="414"/>
      <c r="I181" s="414"/>
      <c r="J181" s="414"/>
      <c r="K181" s="414"/>
      <c r="L181" s="414"/>
      <c r="M181" s="414"/>
      <c r="N181" s="414"/>
      <c r="O181" s="414"/>
      <c r="P181" s="414"/>
      <c r="Q181" s="414"/>
      <c r="R181" s="414"/>
      <c r="S181" s="414"/>
      <c r="T181" s="414"/>
      <c r="U181" s="414"/>
      <c r="V181" s="460"/>
      <c r="W181" s="414"/>
      <c r="X181" s="415"/>
      <c r="Y181" s="416"/>
      <c r="Z181" s="416"/>
      <c r="AA181" s="416"/>
      <c r="AB181" s="416"/>
      <c r="AC181" s="416"/>
      <c r="AD181" s="416"/>
      <c r="AE181" s="416"/>
      <c r="AF181" s="416"/>
      <c r="AG181" s="416"/>
      <c r="AH181" s="416"/>
      <c r="AI181" s="416"/>
      <c r="AJ181" s="416"/>
      <c r="AK181" s="416"/>
      <c r="AL181" s="416"/>
      <c r="AM181" s="416"/>
      <c r="AN181" s="416"/>
      <c r="AO181" s="416"/>
      <c r="AP181" s="416"/>
      <c r="AQ181" s="416"/>
      <c r="AR181" s="416"/>
      <c r="AS181" s="416"/>
      <c r="AT181" s="416"/>
      <c r="AU181" s="416"/>
      <c r="AV181" s="416"/>
      <c r="AW181" s="416"/>
      <c r="AX181" s="416"/>
      <c r="AY181" s="416"/>
      <c r="AZ181" s="416"/>
      <c r="BA181" s="416"/>
      <c r="BB181" s="416"/>
      <c r="BC181" s="416"/>
      <c r="BD181" s="416"/>
      <c r="BE181" s="416"/>
      <c r="BF181" s="416"/>
      <c r="BG181" s="416"/>
      <c r="BH181" s="416"/>
      <c r="BI181" s="416"/>
      <c r="BJ181" s="416"/>
      <c r="BK181" s="416"/>
      <c r="BL181" s="416"/>
      <c r="BM181" s="416"/>
      <c r="BN181" s="416"/>
      <c r="BO181" s="416"/>
      <c r="BP181" s="416"/>
      <c r="BQ181" s="416"/>
      <c r="BR181" s="416"/>
      <c r="BS181" s="416"/>
      <c r="BT181" s="416"/>
      <c r="BU181" s="416"/>
      <c r="BV181" s="416"/>
      <c r="BW181" s="416"/>
      <c r="BX181" s="416"/>
      <c r="BY181" s="416"/>
      <c r="BZ181" s="416"/>
      <c r="CA181" s="416"/>
      <c r="CB181" s="416"/>
      <c r="CC181" s="416"/>
      <c r="CD181" s="416"/>
      <c r="CE181" s="416"/>
      <c r="CF181" s="416"/>
      <c r="CG181" s="416"/>
      <c r="CH181" s="416"/>
      <c r="CI181" s="416"/>
      <c r="CJ181" s="416"/>
      <c r="CK181" s="416"/>
      <c r="CL181" s="416"/>
      <c r="CM181" s="416"/>
      <c r="CN181" s="416"/>
      <c r="CO181" s="416"/>
      <c r="CP181" s="416"/>
      <c r="CQ181" s="416"/>
      <c r="CR181" s="416"/>
      <c r="CS181" s="416"/>
      <c r="CT181" s="416"/>
      <c r="CU181" s="416"/>
      <c r="CV181" s="416"/>
      <c r="CW181" s="416"/>
      <c r="CX181" s="416"/>
      <c r="CY181" s="416"/>
      <c r="CZ181" s="416"/>
      <c r="DA181" s="416"/>
      <c r="DB181" s="416"/>
      <c r="DC181" s="416"/>
      <c r="DD181" s="416"/>
      <c r="DE181" s="416"/>
      <c r="DF181" s="416"/>
      <c r="DG181" s="416"/>
      <c r="DH181" s="416"/>
      <c r="DI181" s="416"/>
      <c r="DJ181" s="416"/>
      <c r="DK181" s="416"/>
      <c r="DL181" s="416"/>
      <c r="DM181" s="416"/>
      <c r="DN181" s="416"/>
      <c r="DO181" s="416"/>
      <c r="DP181" s="416"/>
      <c r="DQ181" s="416"/>
      <c r="DR181" s="416"/>
      <c r="DS181" s="416"/>
      <c r="DT181" s="416"/>
      <c r="DU181" s="416"/>
      <c r="DV181" s="416"/>
      <c r="DW181" s="416"/>
      <c r="DX181" s="416"/>
      <c r="DY181" s="416"/>
      <c r="DZ181" s="416"/>
      <c r="EA181" s="416"/>
      <c r="EB181" s="416"/>
      <c r="EC181" s="416"/>
      <c r="ED181" s="416"/>
      <c r="EE181" s="416"/>
      <c r="EF181" s="416"/>
      <c r="EG181" s="416"/>
      <c r="EH181" s="416"/>
      <c r="EI181" s="416"/>
      <c r="EJ181" s="416"/>
      <c r="EK181" s="416"/>
      <c r="EL181" s="416"/>
      <c r="EM181" s="416"/>
      <c r="EN181" s="416"/>
      <c r="EO181" s="416"/>
      <c r="EP181" s="416"/>
      <c r="EQ181" s="416"/>
      <c r="ER181" s="416"/>
      <c r="ES181" s="416"/>
      <c r="ET181" s="416"/>
      <c r="EU181" s="416"/>
      <c r="EV181" s="416"/>
      <c r="EW181" s="416"/>
      <c r="EX181" s="416"/>
      <c r="EY181" s="416"/>
      <c r="EZ181" s="416"/>
      <c r="FA181" s="416"/>
      <c r="FB181" s="416"/>
      <c r="FC181" s="416"/>
      <c r="FD181" s="416"/>
      <c r="FE181" s="416"/>
      <c r="FF181" s="416"/>
      <c r="FG181" s="416"/>
      <c r="FH181" s="416"/>
      <c r="FI181" s="416"/>
      <c r="FJ181" s="416"/>
      <c r="FK181" s="416"/>
      <c r="FL181" s="416"/>
      <c r="FM181" s="416"/>
      <c r="FN181" s="416"/>
      <c r="FO181" s="416"/>
      <c r="FP181" s="416"/>
      <c r="FQ181" s="416"/>
      <c r="FR181" s="416"/>
      <c r="FS181" s="416"/>
      <c r="FT181" s="416"/>
      <c r="FU181" s="416"/>
      <c r="FV181" s="416"/>
      <c r="FW181" s="416"/>
      <c r="FX181" s="416"/>
      <c r="FY181" s="416"/>
      <c r="FZ181" s="416"/>
      <c r="GA181" s="416"/>
      <c r="GB181" s="416"/>
      <c r="GC181" s="416"/>
      <c r="GD181" s="416"/>
      <c r="GE181" s="416"/>
      <c r="GF181" s="416"/>
      <c r="GG181" s="416"/>
      <c r="GH181" s="416"/>
      <c r="GI181" s="416"/>
      <c r="GJ181" s="416"/>
      <c r="GK181" s="416"/>
      <c r="GL181" s="416"/>
      <c r="GM181" s="416"/>
      <c r="GN181" s="416"/>
      <c r="GO181" s="416"/>
      <c r="GP181" s="416"/>
      <c r="GQ181" s="416"/>
      <c r="GR181" s="416"/>
      <c r="GS181" s="416"/>
      <c r="GT181" s="416"/>
      <c r="GU181" s="416"/>
      <c r="GV181" s="416"/>
      <c r="GW181" s="416"/>
      <c r="GX181" s="416"/>
      <c r="GY181" s="416"/>
      <c r="GZ181" s="416"/>
      <c r="HA181" s="416"/>
      <c r="HB181" s="416"/>
      <c r="HC181" s="416"/>
      <c r="HD181" s="416"/>
      <c r="HE181" s="416"/>
      <c r="HF181" s="416"/>
      <c r="HG181" s="416"/>
      <c r="HH181" s="416"/>
      <c r="HI181" s="416"/>
      <c r="HJ181" s="416"/>
      <c r="HK181" s="416"/>
      <c r="HL181" s="416"/>
      <c r="HM181" s="416"/>
      <c r="HN181" s="416"/>
      <c r="HO181" s="416"/>
      <c r="HP181" s="416"/>
      <c r="HQ181" s="416"/>
      <c r="HR181" s="416"/>
      <c r="HS181" s="416"/>
      <c r="HT181" s="416"/>
      <c r="HU181" s="416"/>
      <c r="HV181" s="416"/>
      <c r="HW181" s="416"/>
      <c r="HX181" s="416"/>
      <c r="HY181" s="416"/>
      <c r="HZ181" s="416"/>
      <c r="IA181" s="416"/>
      <c r="IB181" s="416"/>
      <c r="IC181" s="416"/>
      <c r="ID181" s="416"/>
      <c r="IE181" s="416"/>
      <c r="IF181" s="416"/>
      <c r="IG181" s="416"/>
      <c r="IH181" s="416"/>
      <c r="II181" s="416"/>
      <c r="IJ181" s="416"/>
      <c r="IK181" s="416"/>
      <c r="IL181" s="416"/>
      <c r="IM181" s="416"/>
      <c r="IN181" s="416"/>
      <c r="IO181" s="416"/>
      <c r="IP181" s="416"/>
      <c r="IQ181" s="416"/>
      <c r="IR181" s="416"/>
      <c r="IS181" s="416"/>
      <c r="IT181" s="416"/>
      <c r="IU181" s="416"/>
      <c r="IV181" s="416"/>
    </row>
    <row r="182" spans="1:256" x14ac:dyDescent="0.3">
      <c r="A182" s="417"/>
      <c r="B182" s="508" t="s">
        <v>56</v>
      </c>
      <c r="C182" s="419"/>
      <c r="D182" s="419"/>
      <c r="E182" s="419"/>
      <c r="F182" s="419"/>
      <c r="G182" s="419"/>
      <c r="H182" s="419"/>
      <c r="I182" s="419"/>
      <c r="J182" s="419"/>
      <c r="K182" s="419"/>
      <c r="L182" s="419"/>
      <c r="M182" s="419"/>
      <c r="N182" s="419"/>
      <c r="O182" s="419"/>
      <c r="P182" s="419"/>
      <c r="Q182" s="419"/>
      <c r="R182" s="419"/>
      <c r="S182" s="419"/>
      <c r="T182" s="419"/>
      <c r="U182" s="419"/>
      <c r="V182" s="439"/>
      <c r="W182" s="419"/>
      <c r="X182" s="415"/>
    </row>
    <row r="183" spans="1:256" x14ac:dyDescent="0.3">
      <c r="A183" s="417"/>
      <c r="B183" s="451"/>
      <c r="C183" s="419"/>
      <c r="D183" s="419"/>
      <c r="E183" s="419"/>
      <c r="F183" s="419"/>
      <c r="G183" s="419"/>
      <c r="H183" s="419"/>
      <c r="I183" s="419"/>
      <c r="J183" s="419"/>
      <c r="K183" s="419"/>
      <c r="L183" s="419"/>
      <c r="M183" s="419"/>
      <c r="N183" s="419"/>
      <c r="O183" s="419"/>
      <c r="P183" s="419"/>
      <c r="Q183" s="419"/>
      <c r="R183" s="419"/>
      <c r="S183" s="419"/>
      <c r="T183" s="419"/>
      <c r="U183" s="419"/>
      <c r="V183" s="439"/>
      <c r="W183" s="419"/>
      <c r="X183" s="415"/>
    </row>
    <row r="184" spans="1:256" s="544" customFormat="1" x14ac:dyDescent="0.3">
      <c r="A184" s="555"/>
      <c r="B184" s="556" t="s">
        <v>57</v>
      </c>
      <c r="C184" s="556"/>
      <c r="D184" s="556"/>
      <c r="E184" s="556"/>
      <c r="F184" s="556"/>
      <c r="G184" s="556"/>
      <c r="H184" s="556"/>
      <c r="I184" s="556"/>
      <c r="J184" s="556"/>
      <c r="K184" s="556"/>
      <c r="L184" s="556"/>
      <c r="M184" s="556"/>
      <c r="N184" s="556"/>
      <c r="O184" s="556"/>
      <c r="P184" s="556"/>
      <c r="Q184" s="556"/>
      <c r="R184" s="556"/>
      <c r="S184" s="556"/>
      <c r="T184" s="556"/>
      <c r="U184" s="556"/>
      <c r="V184" s="599">
        <f>V70</f>
        <v>669279</v>
      </c>
      <c r="W184" s="558"/>
      <c r="X184" s="543"/>
    </row>
    <row r="185" spans="1:256" s="544" customFormat="1" x14ac:dyDescent="0.3">
      <c r="A185" s="555"/>
      <c r="B185" s="556" t="s">
        <v>58</v>
      </c>
      <c r="C185" s="556"/>
      <c r="D185" s="556"/>
      <c r="E185" s="556"/>
      <c r="F185" s="556"/>
      <c r="G185" s="556"/>
      <c r="H185" s="556"/>
      <c r="I185" s="556"/>
      <c r="J185" s="556"/>
      <c r="K185" s="556"/>
      <c r="L185" s="556"/>
      <c r="M185" s="556"/>
      <c r="N185" s="556"/>
      <c r="O185" s="556"/>
      <c r="P185" s="556"/>
      <c r="Q185" s="556"/>
      <c r="R185" s="556"/>
      <c r="S185" s="556"/>
      <c r="T185" s="556"/>
      <c r="U185" s="556"/>
      <c r="V185" s="599">
        <f>V83</f>
        <v>669279</v>
      </c>
      <c r="W185" s="558"/>
      <c r="X185" s="543"/>
    </row>
    <row r="186" spans="1:256" ht="16.2" thickBot="1" x14ac:dyDescent="0.35">
      <c r="A186" s="417"/>
      <c r="B186" s="441"/>
      <c r="C186" s="441"/>
      <c r="D186" s="441"/>
      <c r="E186" s="441"/>
      <c r="F186" s="441"/>
      <c r="G186" s="441"/>
      <c r="H186" s="441"/>
      <c r="I186" s="441"/>
      <c r="J186" s="441"/>
      <c r="K186" s="441"/>
      <c r="L186" s="441"/>
      <c r="M186" s="441"/>
      <c r="N186" s="441"/>
      <c r="O186" s="441"/>
      <c r="P186" s="441"/>
      <c r="Q186" s="441"/>
      <c r="R186" s="441"/>
      <c r="S186" s="441"/>
      <c r="T186" s="441"/>
      <c r="U186" s="441"/>
      <c r="V186" s="452"/>
      <c r="W186" s="441"/>
      <c r="X186" s="415"/>
    </row>
    <row r="187" spans="1:256" x14ac:dyDescent="0.3">
      <c r="A187" s="413"/>
      <c r="B187" s="414"/>
      <c r="C187" s="414"/>
      <c r="D187" s="414"/>
      <c r="E187" s="414"/>
      <c r="F187" s="414"/>
      <c r="G187" s="414"/>
      <c r="H187" s="414"/>
      <c r="I187" s="414"/>
      <c r="J187" s="414"/>
      <c r="K187" s="414"/>
      <c r="L187" s="414"/>
      <c r="M187" s="414"/>
      <c r="N187" s="414"/>
      <c r="O187" s="414"/>
      <c r="P187" s="414"/>
      <c r="Q187" s="414"/>
      <c r="R187" s="414"/>
      <c r="S187" s="414"/>
      <c r="T187" s="414"/>
      <c r="U187" s="414"/>
      <c r="V187" s="460"/>
      <c r="W187" s="414"/>
      <c r="X187" s="415"/>
    </row>
    <row r="188" spans="1:256" s="499" customFormat="1" x14ac:dyDescent="0.3">
      <c r="A188" s="502"/>
      <c r="B188" s="508" t="s">
        <v>59</v>
      </c>
      <c r="C188" s="506"/>
      <c r="D188" s="506"/>
      <c r="E188" s="506"/>
      <c r="F188" s="506"/>
      <c r="G188" s="506"/>
      <c r="H188" s="509"/>
      <c r="I188" s="509"/>
      <c r="J188" s="509"/>
      <c r="K188" s="509"/>
      <c r="L188" s="509"/>
      <c r="M188" s="509"/>
      <c r="N188" s="509"/>
      <c r="O188" s="509"/>
      <c r="P188" s="509"/>
      <c r="Q188" s="509"/>
      <c r="R188" s="509"/>
      <c r="S188" s="509" t="s">
        <v>101</v>
      </c>
      <c r="T188" s="509" t="s">
        <v>176</v>
      </c>
      <c r="U188" s="421"/>
      <c r="V188" s="510" t="s">
        <v>114</v>
      </c>
      <c r="W188" s="421"/>
      <c r="X188" s="498"/>
    </row>
    <row r="189" spans="1:256" s="544" customFormat="1" x14ac:dyDescent="0.3">
      <c r="A189" s="555"/>
      <c r="B189" s="556" t="s">
        <v>60</v>
      </c>
      <c r="C189" s="556"/>
      <c r="D189" s="556"/>
      <c r="E189" s="556"/>
      <c r="F189" s="556"/>
      <c r="G189" s="556"/>
      <c r="H189" s="556"/>
      <c r="I189" s="556"/>
      <c r="J189" s="556"/>
      <c r="K189" s="556"/>
      <c r="L189" s="556"/>
      <c r="M189" s="556"/>
      <c r="N189" s="556"/>
      <c r="O189" s="556"/>
      <c r="P189" s="556"/>
      <c r="Q189" s="556"/>
      <c r="R189" s="556"/>
      <c r="S189" s="599">
        <f>+V34*0.16</f>
        <v>240044</v>
      </c>
      <c r="T189" s="578"/>
      <c r="U189" s="556"/>
      <c r="V189" s="599"/>
      <c r="W189" s="558"/>
      <c r="X189" s="543"/>
    </row>
    <row r="190" spans="1:256" s="544" customFormat="1" x14ac:dyDescent="0.3">
      <c r="A190" s="555"/>
      <c r="B190" s="556" t="s">
        <v>61</v>
      </c>
      <c r="C190" s="556"/>
      <c r="D190" s="556"/>
      <c r="E190" s="556"/>
      <c r="F190" s="556"/>
      <c r="G190" s="556"/>
      <c r="H190" s="556"/>
      <c r="I190" s="556"/>
      <c r="J190" s="556"/>
      <c r="K190" s="556"/>
      <c r="L190" s="556"/>
      <c r="M190" s="556"/>
      <c r="N190" s="556"/>
      <c r="O190" s="556"/>
      <c r="P190" s="556"/>
      <c r="Q190" s="556"/>
      <c r="R190" s="556"/>
      <c r="S190" s="599">
        <f>+'Nov 20'!S192</f>
        <v>33453</v>
      </c>
      <c r="T190" s="599">
        <f>+'Nov 20'!T192</f>
        <v>6019</v>
      </c>
      <c r="U190" s="556"/>
      <c r="V190" s="599">
        <f>S190+T190</f>
        <v>39472</v>
      </c>
      <c r="W190" s="558"/>
      <c r="X190" s="543"/>
    </row>
    <row r="191" spans="1:256" s="544" customFormat="1" x14ac:dyDescent="0.3">
      <c r="A191" s="555"/>
      <c r="B191" s="556" t="s">
        <v>62</v>
      </c>
      <c r="C191" s="556"/>
      <c r="D191" s="556"/>
      <c r="E191" s="556"/>
      <c r="F191" s="556"/>
      <c r="G191" s="556"/>
      <c r="H191" s="556"/>
      <c r="I191" s="556"/>
      <c r="J191" s="556"/>
      <c r="K191" s="556"/>
      <c r="L191" s="556"/>
      <c r="M191" s="556"/>
      <c r="N191" s="556"/>
      <c r="O191" s="556"/>
      <c r="P191" s="556"/>
      <c r="Q191" s="556"/>
      <c r="R191" s="556"/>
      <c r="S191" s="598">
        <v>0</v>
      </c>
      <c r="T191" s="598">
        <v>0</v>
      </c>
      <c r="U191" s="556"/>
      <c r="V191" s="599">
        <f>S191+T191</f>
        <v>0</v>
      </c>
      <c r="W191" s="558"/>
      <c r="X191" s="543"/>
    </row>
    <row r="192" spans="1:256" s="544" customFormat="1" x14ac:dyDescent="0.3">
      <c r="A192" s="555"/>
      <c r="B192" s="556" t="s">
        <v>63</v>
      </c>
      <c r="C192" s="556"/>
      <c r="D192" s="556"/>
      <c r="E192" s="556"/>
      <c r="F192" s="556"/>
      <c r="G192" s="556"/>
      <c r="H192" s="556"/>
      <c r="I192" s="556"/>
      <c r="J192" s="556"/>
      <c r="K192" s="556"/>
      <c r="L192" s="556"/>
      <c r="M192" s="556"/>
      <c r="N192" s="556"/>
      <c r="O192" s="556"/>
      <c r="P192" s="556"/>
      <c r="Q192" s="556"/>
      <c r="R192" s="556"/>
      <c r="S192" s="599">
        <f>S190+S191</f>
        <v>33453</v>
      </c>
      <c r="T192" s="599">
        <f>T191+T190</f>
        <v>6019</v>
      </c>
      <c r="U192" s="556"/>
      <c r="V192" s="599">
        <f>S192+T192</f>
        <v>39472</v>
      </c>
      <c r="W192" s="558"/>
      <c r="X192" s="543"/>
    </row>
    <row r="193" spans="1:24" s="544" customFormat="1" x14ac:dyDescent="0.3">
      <c r="A193" s="555"/>
      <c r="B193" s="556" t="s">
        <v>64</v>
      </c>
      <c r="C193" s="556"/>
      <c r="D193" s="556"/>
      <c r="E193" s="556"/>
      <c r="F193" s="556"/>
      <c r="G193" s="556"/>
      <c r="H193" s="556"/>
      <c r="I193" s="556"/>
      <c r="J193" s="556"/>
      <c r="K193" s="556"/>
      <c r="L193" s="556"/>
      <c r="M193" s="556"/>
      <c r="N193" s="556"/>
      <c r="O193" s="556"/>
      <c r="P193" s="556"/>
      <c r="Q193" s="556"/>
      <c r="R193" s="556"/>
      <c r="S193" s="599">
        <f>S189-S192-T192</f>
        <v>200572</v>
      </c>
      <c r="T193" s="578"/>
      <c r="U193" s="556"/>
      <c r="V193" s="599"/>
      <c r="W193" s="558"/>
      <c r="X193" s="543"/>
    </row>
    <row r="194" spans="1:24" ht="16.2" thickBot="1" x14ac:dyDescent="0.35">
      <c r="A194" s="417"/>
      <c r="B194" s="441"/>
      <c r="C194" s="441"/>
      <c r="D194" s="441"/>
      <c r="E194" s="441"/>
      <c r="F194" s="441"/>
      <c r="G194" s="441"/>
      <c r="H194" s="441"/>
      <c r="I194" s="441"/>
      <c r="J194" s="441"/>
      <c r="K194" s="441"/>
      <c r="L194" s="441"/>
      <c r="M194" s="441"/>
      <c r="N194" s="441"/>
      <c r="O194" s="441"/>
      <c r="P194" s="441"/>
      <c r="Q194" s="441"/>
      <c r="R194" s="441"/>
      <c r="S194" s="441"/>
      <c r="T194" s="441"/>
      <c r="U194" s="441"/>
      <c r="V194" s="452"/>
      <c r="W194" s="441"/>
      <c r="X194" s="415"/>
    </row>
    <row r="195" spans="1:24" x14ac:dyDescent="0.3">
      <c r="A195" s="413"/>
      <c r="B195" s="414"/>
      <c r="C195" s="414"/>
      <c r="D195" s="414"/>
      <c r="E195" s="414"/>
      <c r="F195" s="414"/>
      <c r="G195" s="414"/>
      <c r="H195" s="414"/>
      <c r="I195" s="414"/>
      <c r="J195" s="414"/>
      <c r="K195" s="414"/>
      <c r="L195" s="414"/>
      <c r="M195" s="414"/>
      <c r="N195" s="414"/>
      <c r="O195" s="414"/>
      <c r="P195" s="414"/>
      <c r="Q195" s="414"/>
      <c r="R195" s="414"/>
      <c r="S195" s="414"/>
      <c r="T195" s="414"/>
      <c r="U195" s="414"/>
      <c r="V195" s="460"/>
      <c r="W195" s="414"/>
      <c r="X195" s="415"/>
    </row>
    <row r="196" spans="1:24" x14ac:dyDescent="0.3">
      <c r="A196" s="417"/>
      <c r="B196" s="508" t="s">
        <v>65</v>
      </c>
      <c r="C196" s="419"/>
      <c r="D196" s="419"/>
      <c r="E196" s="419"/>
      <c r="F196" s="419"/>
      <c r="G196" s="419"/>
      <c r="H196" s="419"/>
      <c r="I196" s="419"/>
      <c r="J196" s="419"/>
      <c r="K196" s="419"/>
      <c r="L196" s="419"/>
      <c r="M196" s="419"/>
      <c r="N196" s="419"/>
      <c r="O196" s="419"/>
      <c r="P196" s="419"/>
      <c r="Q196" s="419"/>
      <c r="R196" s="419"/>
      <c r="S196" s="419"/>
      <c r="T196" s="419"/>
      <c r="U196" s="419"/>
      <c r="V196" s="462"/>
      <c r="W196" s="419"/>
      <c r="X196" s="415"/>
    </row>
    <row r="197" spans="1:24" s="544" customFormat="1" x14ac:dyDescent="0.3">
      <c r="A197" s="555"/>
      <c r="B197" s="556" t="s">
        <v>66</v>
      </c>
      <c r="C197" s="556"/>
      <c r="D197" s="556"/>
      <c r="E197" s="556"/>
      <c r="F197" s="556"/>
      <c r="G197" s="556"/>
      <c r="H197" s="556"/>
      <c r="I197" s="556"/>
      <c r="J197" s="556"/>
      <c r="K197" s="556"/>
      <c r="L197" s="556"/>
      <c r="M197" s="556"/>
      <c r="N197" s="556"/>
      <c r="O197" s="556"/>
      <c r="P197" s="556"/>
      <c r="Q197" s="556"/>
      <c r="R197" s="556"/>
      <c r="S197" s="556"/>
      <c r="T197" s="556"/>
      <c r="U197" s="556"/>
      <c r="V197" s="608">
        <f>(V100+V102+V103+V104+V105)/-(V106+V107)</f>
        <v>12.667785234899329</v>
      </c>
      <c r="W197" s="558" t="s">
        <v>115</v>
      </c>
      <c r="X197" s="543"/>
    </row>
    <row r="198" spans="1:24" s="544" customFormat="1" x14ac:dyDescent="0.3">
      <c r="A198" s="555"/>
      <c r="B198" s="556" t="s">
        <v>67</v>
      </c>
      <c r="C198" s="556"/>
      <c r="D198" s="556"/>
      <c r="E198" s="556"/>
      <c r="F198" s="556"/>
      <c r="G198" s="556"/>
      <c r="H198" s="556"/>
      <c r="I198" s="556"/>
      <c r="J198" s="556"/>
      <c r="K198" s="556"/>
      <c r="L198" s="556"/>
      <c r="M198" s="556"/>
      <c r="N198" s="556"/>
      <c r="O198" s="556"/>
      <c r="P198" s="556"/>
      <c r="Q198" s="556"/>
      <c r="R198" s="556"/>
      <c r="S198" s="556"/>
      <c r="T198" s="556"/>
      <c r="U198" s="556"/>
      <c r="V198" s="610">
        <v>2.23</v>
      </c>
      <c r="W198" s="558" t="s">
        <v>115</v>
      </c>
      <c r="X198" s="543"/>
    </row>
    <row r="199" spans="1:24" s="544" customFormat="1" x14ac:dyDescent="0.3">
      <c r="A199" s="555"/>
      <c r="B199" s="556" t="s">
        <v>68</v>
      </c>
      <c r="C199" s="556"/>
      <c r="D199" s="556"/>
      <c r="E199" s="556"/>
      <c r="F199" s="556"/>
      <c r="G199" s="556"/>
      <c r="H199" s="556"/>
      <c r="I199" s="556"/>
      <c r="J199" s="556"/>
      <c r="K199" s="556"/>
      <c r="L199" s="556"/>
      <c r="M199" s="556"/>
      <c r="N199" s="556"/>
      <c r="O199" s="556"/>
      <c r="P199" s="556"/>
      <c r="Q199" s="556"/>
      <c r="R199" s="556"/>
      <c r="S199" s="556"/>
      <c r="T199" s="556"/>
      <c r="U199" s="556"/>
      <c r="V199" s="608">
        <f>(V100+V102+V103+V104+V105+V106+V107)/-(V109+V110)</f>
        <v>28.735537190082646</v>
      </c>
      <c r="W199" s="558" t="s">
        <v>115</v>
      </c>
      <c r="X199" s="543"/>
    </row>
    <row r="200" spans="1:24" s="544" customFormat="1" x14ac:dyDescent="0.3">
      <c r="A200" s="555"/>
      <c r="B200" s="556" t="s">
        <v>69</v>
      </c>
      <c r="C200" s="556"/>
      <c r="D200" s="556"/>
      <c r="E200" s="556"/>
      <c r="F200" s="556"/>
      <c r="G200" s="556"/>
      <c r="H200" s="556"/>
      <c r="I200" s="556"/>
      <c r="J200" s="556"/>
      <c r="K200" s="556"/>
      <c r="L200" s="556"/>
      <c r="M200" s="556"/>
      <c r="N200" s="556"/>
      <c r="O200" s="556"/>
      <c r="P200" s="556"/>
      <c r="Q200" s="556"/>
      <c r="R200" s="556"/>
      <c r="S200" s="556"/>
      <c r="T200" s="556"/>
      <c r="U200" s="556"/>
      <c r="V200" s="610">
        <v>10.11</v>
      </c>
      <c r="W200" s="558" t="s">
        <v>115</v>
      </c>
      <c r="X200" s="543"/>
    </row>
    <row r="201" spans="1:24" s="544" customFormat="1" x14ac:dyDescent="0.3">
      <c r="A201" s="555"/>
      <c r="B201" s="556" t="s">
        <v>198</v>
      </c>
      <c r="C201" s="556"/>
      <c r="D201" s="556"/>
      <c r="E201" s="556"/>
      <c r="F201" s="556"/>
      <c r="G201" s="556"/>
      <c r="H201" s="556"/>
      <c r="I201" s="556"/>
      <c r="J201" s="556"/>
      <c r="K201" s="556"/>
      <c r="L201" s="556"/>
      <c r="M201" s="556"/>
      <c r="N201" s="556"/>
      <c r="O201" s="556"/>
      <c r="P201" s="556"/>
      <c r="Q201" s="556"/>
      <c r="R201" s="556"/>
      <c r="S201" s="556"/>
      <c r="T201" s="556"/>
      <c r="U201" s="556"/>
      <c r="V201" s="608">
        <f>(V100+V102+V103+V104+V105+V106+V107+V109+V110)/-(V111+V112)</f>
        <v>13.587044534412955</v>
      </c>
      <c r="W201" s="558" t="s">
        <v>115</v>
      </c>
      <c r="X201" s="543"/>
    </row>
    <row r="202" spans="1:24" s="544" customFormat="1" x14ac:dyDescent="0.3">
      <c r="A202" s="555"/>
      <c r="B202" s="556" t="s">
        <v>199</v>
      </c>
      <c r="C202" s="556"/>
      <c r="D202" s="556"/>
      <c r="E202" s="556"/>
      <c r="F202" s="556"/>
      <c r="G202" s="556"/>
      <c r="H202" s="556"/>
      <c r="I202" s="556"/>
      <c r="J202" s="556"/>
      <c r="K202" s="556"/>
      <c r="L202" s="556"/>
      <c r="M202" s="556"/>
      <c r="N202" s="556"/>
      <c r="O202" s="556"/>
      <c r="P202" s="556"/>
      <c r="Q202" s="556"/>
      <c r="R202" s="556"/>
      <c r="S202" s="556"/>
      <c r="T202" s="556"/>
      <c r="U202" s="556"/>
      <c r="V202" s="610">
        <v>7.44</v>
      </c>
      <c r="W202" s="558" t="s">
        <v>115</v>
      </c>
      <c r="X202" s="543"/>
    </row>
    <row r="203" spans="1:24" s="544" customFormat="1" x14ac:dyDescent="0.3">
      <c r="A203" s="555"/>
      <c r="B203" s="556"/>
      <c r="C203" s="556"/>
      <c r="D203" s="556"/>
      <c r="E203" s="556"/>
      <c r="F203" s="556"/>
      <c r="G203" s="556"/>
      <c r="H203" s="556"/>
      <c r="I203" s="556"/>
      <c r="J203" s="556"/>
      <c r="K203" s="556"/>
      <c r="L203" s="556"/>
      <c r="M203" s="556"/>
      <c r="N203" s="556"/>
      <c r="O203" s="556"/>
      <c r="P203" s="556"/>
      <c r="Q203" s="556"/>
      <c r="R203" s="556"/>
      <c r="S203" s="556"/>
      <c r="T203" s="556"/>
      <c r="U203" s="556"/>
      <c r="V203" s="556"/>
      <c r="W203" s="558"/>
      <c r="X203" s="543"/>
    </row>
    <row r="204" spans="1:24" s="544" customFormat="1" x14ac:dyDescent="0.3">
      <c r="A204" s="540"/>
      <c r="B204" s="588"/>
      <c r="C204" s="588"/>
      <c r="D204" s="588"/>
      <c r="E204" s="588"/>
      <c r="F204" s="588"/>
      <c r="G204" s="588"/>
      <c r="H204" s="588"/>
      <c r="I204" s="588"/>
      <c r="J204" s="588"/>
      <c r="K204" s="588"/>
      <c r="L204" s="588"/>
      <c r="M204" s="588"/>
      <c r="N204" s="588"/>
      <c r="O204" s="588"/>
      <c r="P204" s="588"/>
      <c r="Q204" s="588"/>
      <c r="R204" s="588"/>
      <c r="S204" s="588"/>
      <c r="T204" s="588"/>
      <c r="U204" s="588"/>
      <c r="V204" s="588"/>
      <c r="W204" s="588"/>
      <c r="X204" s="543"/>
    </row>
    <row r="205" spans="1:24" s="544" customFormat="1" x14ac:dyDescent="0.3">
      <c r="A205" s="540"/>
      <c r="B205" s="541"/>
      <c r="C205" s="541"/>
      <c r="D205" s="541"/>
      <c r="E205" s="541"/>
      <c r="F205" s="541"/>
      <c r="G205" s="541"/>
      <c r="H205" s="541"/>
      <c r="I205" s="541"/>
      <c r="J205" s="541"/>
      <c r="K205" s="541"/>
      <c r="L205" s="541"/>
      <c r="M205" s="541"/>
      <c r="N205" s="541"/>
      <c r="O205" s="541"/>
      <c r="P205" s="541"/>
      <c r="Q205" s="541"/>
      <c r="R205" s="541"/>
      <c r="S205" s="541"/>
      <c r="T205" s="541"/>
      <c r="U205" s="541"/>
      <c r="V205" s="541"/>
      <c r="W205" s="541"/>
      <c r="X205" s="543"/>
    </row>
    <row r="206" spans="1:24" s="544" customFormat="1" ht="18.600000000000001" thickBot="1" x14ac:dyDescent="0.4">
      <c r="A206" s="593"/>
      <c r="B206" s="594" t="str">
        <f>B140</f>
        <v>PM14 INVESTOR REPORT QUARTER ENDING FEBRUARY 2021</v>
      </c>
      <c r="C206" s="595"/>
      <c r="D206" s="595"/>
      <c r="E206" s="595"/>
      <c r="F206" s="595"/>
      <c r="G206" s="595"/>
      <c r="H206" s="595"/>
      <c r="I206" s="595"/>
      <c r="J206" s="595"/>
      <c r="K206" s="595"/>
      <c r="L206" s="595"/>
      <c r="M206" s="595"/>
      <c r="N206" s="595"/>
      <c r="O206" s="595"/>
      <c r="P206" s="595"/>
      <c r="Q206" s="595"/>
      <c r="R206" s="595"/>
      <c r="S206" s="595"/>
      <c r="T206" s="595"/>
      <c r="U206" s="595"/>
      <c r="V206" s="595"/>
      <c r="W206" s="597"/>
      <c r="X206" s="543"/>
    </row>
    <row r="207" spans="1:24" x14ac:dyDescent="0.3">
      <c r="A207" s="527"/>
      <c r="B207" s="528" t="s">
        <v>70</v>
      </c>
      <c r="C207" s="531"/>
      <c r="D207" s="531"/>
      <c r="E207" s="531"/>
      <c r="F207" s="531"/>
      <c r="G207" s="532"/>
      <c r="H207" s="532"/>
      <c r="I207" s="532"/>
      <c r="J207" s="532"/>
      <c r="K207" s="532"/>
      <c r="L207" s="532"/>
      <c r="M207" s="532"/>
      <c r="N207" s="532"/>
      <c r="O207" s="532"/>
      <c r="P207" s="532"/>
      <c r="Q207" s="532"/>
      <c r="R207" s="532"/>
      <c r="S207" s="532"/>
      <c r="T207" s="532">
        <v>44253</v>
      </c>
      <c r="U207" s="529"/>
      <c r="V207" s="529"/>
      <c r="W207" s="529"/>
      <c r="X207" s="415"/>
    </row>
    <row r="208" spans="1:24" x14ac:dyDescent="0.3">
      <c r="A208" s="463"/>
      <c r="B208" s="429"/>
      <c r="C208" s="464"/>
      <c r="D208" s="464"/>
      <c r="E208" s="464"/>
      <c r="F208" s="464"/>
      <c r="G208" s="428"/>
      <c r="H208" s="428"/>
      <c r="I208" s="428"/>
      <c r="J208" s="428"/>
      <c r="K208" s="428"/>
      <c r="L208" s="428"/>
      <c r="M208" s="428"/>
      <c r="N208" s="428"/>
      <c r="O208" s="428"/>
      <c r="P208" s="428"/>
      <c r="Q208" s="428"/>
      <c r="R208" s="428"/>
      <c r="S208" s="428"/>
      <c r="T208" s="428"/>
      <c r="U208" s="427"/>
      <c r="V208" s="427"/>
      <c r="W208" s="427"/>
      <c r="X208" s="415"/>
    </row>
    <row r="209" spans="1:24" s="544" customFormat="1" x14ac:dyDescent="0.3">
      <c r="A209" s="555"/>
      <c r="B209" s="556" t="s">
        <v>71</v>
      </c>
      <c r="C209" s="611"/>
      <c r="D209" s="611"/>
      <c r="E209" s="611"/>
      <c r="F209" s="611"/>
      <c r="G209" s="582"/>
      <c r="H209" s="582"/>
      <c r="I209" s="582"/>
      <c r="J209" s="582"/>
      <c r="K209" s="582"/>
      <c r="L209" s="582"/>
      <c r="M209" s="582"/>
      <c r="N209" s="582"/>
      <c r="O209" s="582"/>
      <c r="P209" s="582"/>
      <c r="Q209" s="582"/>
      <c r="R209" s="582"/>
      <c r="S209" s="582"/>
      <c r="T209" s="575">
        <v>5.2819999999999999E-2</v>
      </c>
      <c r="U209" s="556"/>
      <c r="V209" s="556"/>
      <c r="W209" s="558"/>
      <c r="X209" s="543"/>
    </row>
    <row r="210" spans="1:24" s="544" customFormat="1" x14ac:dyDescent="0.3">
      <c r="A210" s="555"/>
      <c r="B210" s="556" t="s">
        <v>151</v>
      </c>
      <c r="C210" s="611"/>
      <c r="D210" s="611"/>
      <c r="E210" s="611"/>
      <c r="F210" s="611"/>
      <c r="G210" s="582"/>
      <c r="H210" s="582"/>
      <c r="I210" s="582"/>
      <c r="J210" s="582"/>
      <c r="K210" s="582"/>
      <c r="L210" s="582"/>
      <c r="M210" s="582"/>
      <c r="N210" s="582"/>
      <c r="O210" s="582"/>
      <c r="P210" s="582"/>
      <c r="Q210" s="582"/>
      <c r="R210" s="582"/>
      <c r="S210" s="582"/>
      <c r="T210" s="575">
        <v>5.7799999999999997E-2</v>
      </c>
      <c r="U210" s="556"/>
      <c r="V210" s="556"/>
      <c r="W210" s="558"/>
      <c r="X210" s="543"/>
    </row>
    <row r="211" spans="1:24" s="544" customFormat="1" x14ac:dyDescent="0.3">
      <c r="A211" s="555"/>
      <c r="B211" s="556" t="s">
        <v>72</v>
      </c>
      <c r="C211" s="611"/>
      <c r="D211" s="611"/>
      <c r="E211" s="611"/>
      <c r="F211" s="611"/>
      <c r="G211" s="582"/>
      <c r="H211" s="582"/>
      <c r="I211" s="582"/>
      <c r="J211" s="582"/>
      <c r="K211" s="582"/>
      <c r="L211" s="582"/>
      <c r="M211" s="582"/>
      <c r="N211" s="582"/>
      <c r="O211" s="582"/>
      <c r="P211" s="582"/>
      <c r="Q211" s="582"/>
      <c r="R211" s="582"/>
      <c r="S211" s="582"/>
      <c r="T211" s="575">
        <f>T209-T210</f>
        <v>-4.9799999999999983E-3</v>
      </c>
      <c r="U211" s="556"/>
      <c r="V211" s="556"/>
      <c r="W211" s="558"/>
      <c r="X211" s="543"/>
    </row>
    <row r="212" spans="1:24" s="544" customFormat="1" x14ac:dyDescent="0.3">
      <c r="A212" s="555"/>
      <c r="B212" s="556" t="s">
        <v>73</v>
      </c>
      <c r="C212" s="611"/>
      <c r="D212" s="611"/>
      <c r="E212" s="611"/>
      <c r="F212" s="611"/>
      <c r="G212" s="582"/>
      <c r="H212" s="582"/>
      <c r="I212" s="582"/>
      <c r="J212" s="582"/>
      <c r="K212" s="582"/>
      <c r="L212" s="582"/>
      <c r="M212" s="582"/>
      <c r="N212" s="582"/>
      <c r="O212" s="582"/>
      <c r="P212" s="582"/>
      <c r="Q212" s="582"/>
      <c r="R212" s="582"/>
      <c r="S212" s="582"/>
      <c r="T212" s="575">
        <v>1.9470000000000001E-2</v>
      </c>
      <c r="U212" s="556"/>
      <c r="V212" s="556"/>
      <c r="W212" s="558"/>
      <c r="X212" s="543"/>
    </row>
    <row r="213" spans="1:24" s="544" customFormat="1" x14ac:dyDescent="0.3">
      <c r="A213" s="555"/>
      <c r="B213" s="556" t="s">
        <v>219</v>
      </c>
      <c r="C213" s="611"/>
      <c r="D213" s="611"/>
      <c r="E213" s="611"/>
      <c r="F213" s="611"/>
      <c r="G213" s="582"/>
      <c r="H213" s="582"/>
      <c r="I213" s="582"/>
      <c r="J213" s="582"/>
      <c r="K213" s="582"/>
      <c r="L213" s="582"/>
      <c r="M213" s="582"/>
      <c r="N213" s="582"/>
      <c r="O213" s="582"/>
      <c r="P213" s="582"/>
      <c r="Q213" s="582"/>
      <c r="R213" s="582"/>
      <c r="S213" s="582"/>
      <c r="T213" s="575">
        <f>V43</f>
        <v>3.8952238138923981E-3</v>
      </c>
      <c r="U213" s="556"/>
      <c r="V213" s="556"/>
      <c r="W213" s="558"/>
      <c r="X213" s="543"/>
    </row>
    <row r="214" spans="1:24" s="544" customFormat="1" x14ac:dyDescent="0.3">
      <c r="A214" s="555"/>
      <c r="B214" s="556" t="s">
        <v>74</v>
      </c>
      <c r="C214" s="611"/>
      <c r="D214" s="611"/>
      <c r="E214" s="611"/>
      <c r="F214" s="611"/>
      <c r="G214" s="582"/>
      <c r="H214" s="582"/>
      <c r="I214" s="582"/>
      <c r="J214" s="582"/>
      <c r="K214" s="582"/>
      <c r="L214" s="582"/>
      <c r="M214" s="582"/>
      <c r="N214" s="582"/>
      <c r="O214" s="582"/>
      <c r="P214" s="582"/>
      <c r="Q214" s="582"/>
      <c r="R214" s="582"/>
      <c r="S214" s="582"/>
      <c r="T214" s="575">
        <f>T212-T213</f>
        <v>1.5574776186107604E-2</v>
      </c>
      <c r="U214" s="556"/>
      <c r="V214" s="556"/>
      <c r="W214" s="558"/>
      <c r="X214" s="543"/>
    </row>
    <row r="215" spans="1:24" s="544" customFormat="1" x14ac:dyDescent="0.3">
      <c r="A215" s="555"/>
      <c r="B215" s="556" t="s">
        <v>242</v>
      </c>
      <c r="C215" s="611"/>
      <c r="D215" s="611"/>
      <c r="E215" s="611"/>
      <c r="F215" s="611"/>
      <c r="G215" s="582"/>
      <c r="H215" s="582"/>
      <c r="I215" s="582"/>
      <c r="J215" s="582"/>
      <c r="K215" s="582"/>
      <c r="L215" s="582"/>
      <c r="M215" s="582"/>
      <c r="N215" s="582"/>
      <c r="O215" s="582"/>
      <c r="P215" s="582"/>
      <c r="Q215" s="582"/>
      <c r="R215" s="582"/>
      <c r="S215" s="582"/>
      <c r="T215" s="575">
        <f>V100/N70</f>
        <v>5.7975072306475544E-3</v>
      </c>
      <c r="U215" s="556"/>
      <c r="V215" s="556"/>
      <c r="W215" s="558"/>
      <c r="X215" s="543"/>
    </row>
    <row r="216" spans="1:24" s="544" customFormat="1" x14ac:dyDescent="0.3">
      <c r="A216" s="555"/>
      <c r="B216" s="556" t="s">
        <v>208</v>
      </c>
      <c r="C216" s="611"/>
      <c r="D216" s="611"/>
      <c r="E216" s="611"/>
      <c r="F216" s="611"/>
      <c r="G216" s="582"/>
      <c r="H216" s="582"/>
      <c r="I216" s="582"/>
      <c r="J216" s="582"/>
      <c r="K216" s="582"/>
      <c r="L216" s="582"/>
      <c r="M216" s="582"/>
      <c r="N216" s="582"/>
      <c r="O216" s="582"/>
      <c r="P216" s="582"/>
      <c r="Q216" s="582"/>
      <c r="R216" s="582"/>
      <c r="S216" s="582"/>
      <c r="T216" s="612">
        <v>51014</v>
      </c>
      <c r="U216" s="556"/>
      <c r="V216" s="556"/>
      <c r="W216" s="558"/>
      <c r="X216" s="543"/>
    </row>
    <row r="217" spans="1:24" s="544" customFormat="1" x14ac:dyDescent="0.3">
      <c r="A217" s="555"/>
      <c r="B217" s="556" t="s">
        <v>209</v>
      </c>
      <c r="C217" s="611"/>
      <c r="D217" s="611"/>
      <c r="E217" s="611"/>
      <c r="F217" s="611"/>
      <c r="G217" s="582"/>
      <c r="H217" s="582"/>
      <c r="I217" s="582"/>
      <c r="J217" s="582"/>
      <c r="K217" s="582"/>
      <c r="L217" s="582"/>
      <c r="M217" s="582"/>
      <c r="N217" s="582"/>
      <c r="O217" s="582"/>
      <c r="P217" s="582"/>
      <c r="Q217" s="582"/>
      <c r="R217" s="582"/>
      <c r="S217" s="582"/>
      <c r="T217" s="612">
        <v>51014</v>
      </c>
      <c r="U217" s="556"/>
      <c r="V217" s="556"/>
      <c r="W217" s="558"/>
      <c r="X217" s="543"/>
    </row>
    <row r="218" spans="1:24" s="544" customFormat="1" x14ac:dyDescent="0.3">
      <c r="A218" s="555"/>
      <c r="B218" s="556" t="s">
        <v>210</v>
      </c>
      <c r="C218" s="611"/>
      <c r="D218" s="611"/>
      <c r="E218" s="611"/>
      <c r="F218" s="611"/>
      <c r="G218" s="582"/>
      <c r="H218" s="582"/>
      <c r="I218" s="582"/>
      <c r="J218" s="582"/>
      <c r="K218" s="582"/>
      <c r="L218" s="582"/>
      <c r="M218" s="582"/>
      <c r="N218" s="582"/>
      <c r="O218" s="582"/>
      <c r="P218" s="582"/>
      <c r="Q218" s="582"/>
      <c r="R218" s="582"/>
      <c r="S218" s="582"/>
      <c r="T218" s="612">
        <v>51014</v>
      </c>
      <c r="U218" s="556"/>
      <c r="V218" s="556"/>
      <c r="W218" s="558"/>
      <c r="X218" s="543"/>
    </row>
    <row r="219" spans="1:24" s="544" customFormat="1" x14ac:dyDescent="0.3">
      <c r="A219" s="555"/>
      <c r="B219" s="556" t="s">
        <v>75</v>
      </c>
      <c r="C219" s="611"/>
      <c r="D219" s="611"/>
      <c r="E219" s="611"/>
      <c r="F219" s="611"/>
      <c r="G219" s="582"/>
      <c r="H219" s="582"/>
      <c r="I219" s="582"/>
      <c r="J219" s="582"/>
      <c r="K219" s="582"/>
      <c r="L219" s="582"/>
      <c r="M219" s="582"/>
      <c r="N219" s="582"/>
      <c r="O219" s="582"/>
      <c r="P219" s="582"/>
      <c r="Q219" s="582"/>
      <c r="R219" s="582"/>
      <c r="S219" s="582"/>
      <c r="T219" s="580">
        <v>20.66</v>
      </c>
      <c r="U219" s="556" t="s">
        <v>110</v>
      </c>
      <c r="V219" s="556"/>
      <c r="W219" s="558"/>
      <c r="X219" s="543"/>
    </row>
    <row r="220" spans="1:24" s="544" customFormat="1" x14ac:dyDescent="0.3">
      <c r="A220" s="555"/>
      <c r="B220" s="556" t="s">
        <v>76</v>
      </c>
      <c r="C220" s="611"/>
      <c r="D220" s="611"/>
      <c r="E220" s="611"/>
      <c r="F220" s="611"/>
      <c r="G220" s="582"/>
      <c r="H220" s="582"/>
      <c r="I220" s="582"/>
      <c r="J220" s="582"/>
      <c r="K220" s="582"/>
      <c r="L220" s="582"/>
      <c r="M220" s="582"/>
      <c r="N220" s="582"/>
      <c r="O220" s="582"/>
      <c r="P220" s="582"/>
      <c r="Q220" s="582"/>
      <c r="R220" s="582"/>
      <c r="S220" s="582"/>
      <c r="T220" s="580">
        <v>8.35</v>
      </c>
      <c r="U220" s="556" t="s">
        <v>110</v>
      </c>
      <c r="V220" s="556"/>
      <c r="W220" s="558"/>
      <c r="X220" s="543"/>
    </row>
    <row r="221" spans="1:24" s="544" customFormat="1" x14ac:dyDescent="0.3">
      <c r="A221" s="555"/>
      <c r="B221" s="556" t="s">
        <v>77</v>
      </c>
      <c r="C221" s="611"/>
      <c r="D221" s="611"/>
      <c r="E221" s="611"/>
      <c r="F221" s="611"/>
      <c r="G221" s="582"/>
      <c r="H221" s="582"/>
      <c r="I221" s="582"/>
      <c r="J221" s="582"/>
      <c r="K221" s="582"/>
      <c r="L221" s="582"/>
      <c r="M221" s="582"/>
      <c r="N221" s="582"/>
      <c r="O221" s="582"/>
      <c r="P221" s="582"/>
      <c r="Q221" s="582"/>
      <c r="R221" s="582"/>
      <c r="S221" s="582"/>
      <c r="T221" s="575">
        <f>+P67/N67</f>
        <v>3.4067751600556515E-2</v>
      </c>
      <c r="U221" s="556"/>
      <c r="V221" s="556"/>
      <c r="W221" s="558"/>
      <c r="X221" s="543"/>
    </row>
    <row r="222" spans="1:24" s="544" customFormat="1" x14ac:dyDescent="0.3">
      <c r="A222" s="555"/>
      <c r="B222" s="556" t="s">
        <v>78</v>
      </c>
      <c r="C222" s="611"/>
      <c r="D222" s="611"/>
      <c r="E222" s="611"/>
      <c r="F222" s="611"/>
      <c r="G222" s="582"/>
      <c r="H222" s="582"/>
      <c r="I222" s="582"/>
      <c r="J222" s="582"/>
      <c r="K222" s="582"/>
      <c r="L222" s="582"/>
      <c r="M222" s="582"/>
      <c r="N222" s="582"/>
      <c r="O222" s="582"/>
      <c r="P222" s="582"/>
      <c r="Q222" s="582"/>
      <c r="R222" s="582"/>
      <c r="S222" s="582"/>
      <c r="T222" s="575">
        <v>5.8400000000000001E-2</v>
      </c>
      <c r="U222" s="556"/>
      <c r="V222" s="556"/>
      <c r="W222" s="558"/>
      <c r="X222" s="543"/>
    </row>
    <row r="223" spans="1:24" x14ac:dyDescent="0.3">
      <c r="A223" s="463"/>
      <c r="B223" s="437"/>
      <c r="C223" s="437"/>
      <c r="D223" s="437"/>
      <c r="E223" s="437"/>
      <c r="F223" s="437"/>
      <c r="G223" s="437"/>
      <c r="H223" s="437"/>
      <c r="I223" s="437"/>
      <c r="J223" s="437"/>
      <c r="K223" s="437"/>
      <c r="L223" s="437"/>
      <c r="M223" s="437"/>
      <c r="N223" s="437"/>
      <c r="O223" s="437"/>
      <c r="P223" s="437"/>
      <c r="Q223" s="437"/>
      <c r="R223" s="437"/>
      <c r="S223" s="437"/>
      <c r="T223" s="454"/>
      <c r="U223" s="437"/>
      <c r="V223" s="465"/>
      <c r="W223" s="437"/>
      <c r="X223" s="415"/>
    </row>
    <row r="224" spans="1:24" x14ac:dyDescent="0.3">
      <c r="A224" s="533"/>
      <c r="B224" s="523" t="s">
        <v>79</v>
      </c>
      <c r="C224" s="524"/>
      <c r="D224" s="524"/>
      <c r="E224" s="524"/>
      <c r="F224" s="534"/>
      <c r="G224" s="524"/>
      <c r="H224" s="524"/>
      <c r="I224" s="524"/>
      <c r="J224" s="524"/>
      <c r="K224" s="524"/>
      <c r="L224" s="524"/>
      <c r="M224" s="524"/>
      <c r="N224" s="524"/>
      <c r="O224" s="524"/>
      <c r="P224" s="524"/>
      <c r="Q224" s="524"/>
      <c r="R224" s="524"/>
      <c r="S224" s="524" t="s">
        <v>102</v>
      </c>
      <c r="T224" s="534" t="s">
        <v>108</v>
      </c>
      <c r="U224" s="517"/>
      <c r="V224" s="517"/>
      <c r="W224" s="520"/>
      <c r="X224" s="415"/>
    </row>
    <row r="225" spans="1:24" s="544" customFormat="1" x14ac:dyDescent="0.3">
      <c r="A225" s="613"/>
      <c r="B225" s="588" t="s">
        <v>80</v>
      </c>
      <c r="C225" s="600"/>
      <c r="D225" s="600"/>
      <c r="E225" s="600"/>
      <c r="F225" s="588"/>
      <c r="G225" s="588"/>
      <c r="H225" s="614"/>
      <c r="I225" s="614"/>
      <c r="J225" s="614"/>
      <c r="K225" s="614"/>
      <c r="L225" s="614"/>
      <c r="M225" s="614"/>
      <c r="N225" s="614"/>
      <c r="O225" s="614"/>
      <c r="P225" s="614"/>
      <c r="Q225" s="614"/>
      <c r="R225" s="614"/>
      <c r="S225" s="614">
        <v>1</v>
      </c>
      <c r="T225" s="615">
        <v>111</v>
      </c>
      <c r="U225" s="588"/>
      <c r="V225" s="616"/>
      <c r="W225" s="617"/>
      <c r="X225" s="543"/>
    </row>
    <row r="226" spans="1:24" s="544" customFormat="1" x14ac:dyDescent="0.3">
      <c r="A226" s="618"/>
      <c r="B226" s="556" t="s">
        <v>145</v>
      </c>
      <c r="C226" s="598"/>
      <c r="D226" s="598"/>
      <c r="E226" s="598"/>
      <c r="F226" s="556"/>
      <c r="G226" s="556"/>
      <c r="H226" s="562"/>
      <c r="I226" s="562"/>
      <c r="J226" s="562"/>
      <c r="K226" s="562"/>
      <c r="L226" s="562"/>
      <c r="M226" s="562"/>
      <c r="N226" s="562"/>
      <c r="O226" s="562"/>
      <c r="P226" s="562"/>
      <c r="Q226" s="562"/>
      <c r="R226" s="562"/>
      <c r="S226" s="619">
        <f>+R278</f>
        <v>102</v>
      </c>
      <c r="T226" s="620">
        <f>+T278</f>
        <v>15887</v>
      </c>
      <c r="U226" s="556"/>
      <c r="V226" s="621"/>
      <c r="W226" s="622"/>
      <c r="X226" s="543"/>
    </row>
    <row r="227" spans="1:24" s="544" customFormat="1" x14ac:dyDescent="0.3">
      <c r="A227" s="618"/>
      <c r="B227" s="556" t="s">
        <v>81</v>
      </c>
      <c r="C227" s="598"/>
      <c r="D227" s="598"/>
      <c r="E227" s="598"/>
      <c r="F227" s="556"/>
      <c r="G227" s="556"/>
      <c r="H227" s="562"/>
      <c r="I227" s="562"/>
      <c r="J227" s="562"/>
      <c r="K227" s="562"/>
      <c r="L227" s="562"/>
      <c r="M227" s="562"/>
      <c r="N227" s="562"/>
      <c r="O227" s="562"/>
      <c r="P227" s="562"/>
      <c r="Q227" s="562"/>
      <c r="R227" s="562"/>
      <c r="S227" s="619">
        <f>+R300</f>
        <v>0</v>
      </c>
      <c r="T227" s="620">
        <f>+T300</f>
        <v>0</v>
      </c>
      <c r="U227" s="556"/>
      <c r="V227" s="621"/>
      <c r="W227" s="622"/>
      <c r="X227" s="543"/>
    </row>
    <row r="228" spans="1:24" x14ac:dyDescent="0.3">
      <c r="A228" s="466"/>
      <c r="B228" s="493" t="s">
        <v>82</v>
      </c>
      <c r="C228" s="467"/>
      <c r="D228" s="467"/>
      <c r="E228" s="467"/>
      <c r="F228" s="434"/>
      <c r="G228" s="434"/>
      <c r="H228" s="434"/>
      <c r="I228" s="434"/>
      <c r="J228" s="434"/>
      <c r="K228" s="434"/>
      <c r="L228" s="434"/>
      <c r="M228" s="434"/>
      <c r="N228" s="434"/>
      <c r="O228" s="434"/>
      <c r="P228" s="434"/>
      <c r="Q228" s="434"/>
      <c r="R228" s="434"/>
      <c r="S228" s="434"/>
      <c r="T228" s="620">
        <v>0</v>
      </c>
      <c r="U228" s="434"/>
      <c r="V228" s="468"/>
      <c r="W228" s="469"/>
      <c r="X228" s="415"/>
    </row>
    <row r="229" spans="1:24" x14ac:dyDescent="0.3">
      <c r="A229" s="466"/>
      <c r="B229" s="493" t="s">
        <v>243</v>
      </c>
      <c r="C229" s="467"/>
      <c r="D229" s="467"/>
      <c r="E229" s="467"/>
      <c r="F229" s="434"/>
      <c r="G229" s="434"/>
      <c r="H229" s="434"/>
      <c r="I229" s="434"/>
      <c r="J229" s="434"/>
      <c r="K229" s="434"/>
      <c r="L229" s="434"/>
      <c r="M229" s="434"/>
      <c r="N229" s="434"/>
      <c r="O229" s="434"/>
      <c r="P229" s="434"/>
      <c r="Q229" s="434"/>
      <c r="R229" s="434"/>
      <c r="S229" s="434"/>
      <c r="T229" s="620">
        <f>+N80</f>
        <v>0</v>
      </c>
      <c r="U229" s="434"/>
      <c r="V229" s="468"/>
      <c r="W229" s="469"/>
      <c r="X229" s="415"/>
    </row>
    <row r="230" spans="1:24" x14ac:dyDescent="0.3">
      <c r="A230" s="470"/>
      <c r="B230" s="493" t="s">
        <v>83</v>
      </c>
      <c r="C230" s="471"/>
      <c r="D230" s="471"/>
      <c r="E230" s="471"/>
      <c r="F230" s="471"/>
      <c r="G230" s="434"/>
      <c r="H230" s="434"/>
      <c r="I230" s="434"/>
      <c r="J230" s="434"/>
      <c r="K230" s="434"/>
      <c r="L230" s="434"/>
      <c r="M230" s="434"/>
      <c r="N230" s="434"/>
      <c r="O230" s="434"/>
      <c r="P230" s="434"/>
      <c r="Q230" s="434"/>
      <c r="R230" s="434"/>
      <c r="S230" s="434"/>
      <c r="T230" s="472"/>
      <c r="U230" s="434"/>
      <c r="V230" s="468"/>
      <c r="W230" s="473"/>
      <c r="X230" s="415"/>
    </row>
    <row r="231" spans="1:24" s="544" customFormat="1" x14ac:dyDescent="0.3">
      <c r="A231" s="623"/>
      <c r="B231" s="556" t="s">
        <v>84</v>
      </c>
      <c r="C231" s="556"/>
      <c r="D231" s="556"/>
      <c r="E231" s="556"/>
      <c r="F231" s="556"/>
      <c r="G231" s="556"/>
      <c r="H231" s="556"/>
      <c r="I231" s="556"/>
      <c r="J231" s="556"/>
      <c r="K231" s="556"/>
      <c r="L231" s="556"/>
      <c r="M231" s="556"/>
      <c r="N231" s="556"/>
      <c r="O231" s="556"/>
      <c r="P231" s="556"/>
      <c r="Q231" s="556"/>
      <c r="R231" s="556"/>
      <c r="S231" s="562"/>
      <c r="T231" s="620">
        <f>V169</f>
        <v>537</v>
      </c>
      <c r="U231" s="556"/>
      <c r="V231" s="621"/>
      <c r="W231" s="624"/>
      <c r="X231" s="543"/>
    </row>
    <row r="232" spans="1:24" s="544" customFormat="1" x14ac:dyDescent="0.3">
      <c r="A232" s="618"/>
      <c r="B232" s="556" t="s">
        <v>85</v>
      </c>
      <c r="C232" s="598"/>
      <c r="D232" s="598"/>
      <c r="E232" s="598"/>
      <c r="F232" s="598"/>
      <c r="G232" s="556"/>
      <c r="H232" s="556"/>
      <c r="I232" s="556"/>
      <c r="J232" s="556"/>
      <c r="K232" s="556"/>
      <c r="L232" s="556"/>
      <c r="M232" s="556"/>
      <c r="N232" s="556"/>
      <c r="O232" s="556"/>
      <c r="P232" s="556"/>
      <c r="Q232" s="556"/>
      <c r="R232" s="556"/>
      <c r="S232" s="562"/>
      <c r="T232" s="620">
        <f>'Nov 20'!T232+T231</f>
        <v>10000</v>
      </c>
      <c r="U232" s="556"/>
      <c r="V232" s="621"/>
      <c r="W232" s="624"/>
      <c r="X232" s="543"/>
    </row>
    <row r="233" spans="1:24" x14ac:dyDescent="0.3">
      <c r="A233" s="470"/>
      <c r="B233" s="493" t="s">
        <v>295</v>
      </c>
      <c r="C233" s="471"/>
      <c r="D233" s="471"/>
      <c r="E233" s="471"/>
      <c r="F233" s="471"/>
      <c r="G233" s="434"/>
      <c r="H233" s="434"/>
      <c r="I233" s="434"/>
      <c r="J233" s="434"/>
      <c r="K233" s="434"/>
      <c r="L233" s="434"/>
      <c r="M233" s="434"/>
      <c r="N233" s="434"/>
      <c r="O233" s="434"/>
      <c r="P233" s="434"/>
      <c r="Q233" s="434"/>
      <c r="R233" s="434"/>
      <c r="S233" s="435"/>
      <c r="T233" s="472"/>
      <c r="U233" s="434"/>
      <c r="V233" s="468"/>
      <c r="W233" s="473"/>
      <c r="X233" s="415"/>
    </row>
    <row r="234" spans="1:24" s="544" customFormat="1" x14ac:dyDescent="0.3">
      <c r="A234" s="623"/>
      <c r="B234" s="556" t="s">
        <v>291</v>
      </c>
      <c r="C234" s="556"/>
      <c r="D234" s="556"/>
      <c r="E234" s="556"/>
      <c r="F234" s="556"/>
      <c r="G234" s="556"/>
      <c r="H234" s="556"/>
      <c r="I234" s="556"/>
      <c r="J234" s="556"/>
      <c r="K234" s="556"/>
      <c r="L234" s="556"/>
      <c r="M234" s="556"/>
      <c r="N234" s="556"/>
      <c r="O234" s="556"/>
      <c r="P234" s="556"/>
      <c r="Q234" s="556"/>
      <c r="R234" s="556"/>
      <c r="S234" s="562">
        <v>0</v>
      </c>
      <c r="T234" s="620">
        <v>0</v>
      </c>
      <c r="U234" s="556"/>
      <c r="V234" s="621"/>
      <c r="W234" s="624"/>
      <c r="X234" s="543"/>
    </row>
    <row r="235" spans="1:24" s="544" customFormat="1" x14ac:dyDescent="0.3">
      <c r="A235" s="618"/>
      <c r="B235" s="556" t="s">
        <v>86</v>
      </c>
      <c r="C235" s="578"/>
      <c r="D235" s="578"/>
      <c r="E235" s="578"/>
      <c r="F235" s="625"/>
      <c r="G235" s="556"/>
      <c r="H235" s="556"/>
      <c r="I235" s="556"/>
      <c r="J235" s="556"/>
      <c r="K235" s="556"/>
      <c r="L235" s="556"/>
      <c r="M235" s="556"/>
      <c r="N235" s="556"/>
      <c r="O235" s="556"/>
      <c r="P235" s="556"/>
      <c r="Q235" s="556"/>
      <c r="R235" s="556"/>
      <c r="S235" s="556"/>
      <c r="T235" s="626">
        <v>0</v>
      </c>
      <c r="U235" s="556"/>
      <c r="V235" s="621"/>
      <c r="W235" s="624"/>
      <c r="X235" s="543"/>
    </row>
    <row r="236" spans="1:24" s="544" customFormat="1" x14ac:dyDescent="0.3">
      <c r="A236" s="618"/>
      <c r="B236" s="556" t="s">
        <v>87</v>
      </c>
      <c r="C236" s="578"/>
      <c r="D236" s="578"/>
      <c r="E236" s="578"/>
      <c r="F236" s="625"/>
      <c r="G236" s="556"/>
      <c r="H236" s="556"/>
      <c r="I236" s="556"/>
      <c r="J236" s="556"/>
      <c r="K236" s="556"/>
      <c r="L236" s="556"/>
      <c r="M236" s="556"/>
      <c r="N236" s="556"/>
      <c r="O236" s="556"/>
      <c r="P236" s="556"/>
      <c r="Q236" s="556"/>
      <c r="R236" s="556"/>
      <c r="S236" s="556"/>
      <c r="T236" s="626">
        <v>0</v>
      </c>
      <c r="U236" s="556"/>
      <c r="V236" s="621"/>
      <c r="W236" s="624"/>
      <c r="X236" s="543"/>
    </row>
    <row r="237" spans="1:24" x14ac:dyDescent="0.3">
      <c r="A237" s="466"/>
      <c r="B237" s="493" t="s">
        <v>217</v>
      </c>
      <c r="C237" s="474"/>
      <c r="D237" s="474"/>
      <c r="E237" s="474"/>
      <c r="F237" s="475"/>
      <c r="G237" s="434"/>
      <c r="H237" s="434"/>
      <c r="I237" s="434"/>
      <c r="J237" s="434"/>
      <c r="K237" s="434"/>
      <c r="L237" s="434"/>
      <c r="M237" s="434"/>
      <c r="N237" s="434"/>
      <c r="O237" s="434"/>
      <c r="P237" s="434"/>
      <c r="Q237" s="434"/>
      <c r="R237" s="434"/>
      <c r="S237" s="434"/>
      <c r="T237" s="476"/>
      <c r="U237" s="434"/>
      <c r="V237" s="468"/>
      <c r="W237" s="473"/>
      <c r="X237" s="415"/>
    </row>
    <row r="238" spans="1:24" s="544" customFormat="1" x14ac:dyDescent="0.3">
      <c r="A238" s="618"/>
      <c r="B238" s="556" t="s">
        <v>291</v>
      </c>
      <c r="C238" s="578"/>
      <c r="D238" s="578"/>
      <c r="E238" s="578"/>
      <c r="F238" s="625"/>
      <c r="G238" s="556"/>
      <c r="H238" s="556"/>
      <c r="I238" s="556"/>
      <c r="J238" s="556"/>
      <c r="K238" s="556"/>
      <c r="L238" s="556"/>
      <c r="M238" s="556"/>
      <c r="N238" s="556"/>
      <c r="O238" s="556"/>
      <c r="P238" s="556"/>
      <c r="Q238" s="556"/>
      <c r="R238" s="556"/>
      <c r="S238" s="562">
        <v>7</v>
      </c>
      <c r="T238" s="620">
        <v>838</v>
      </c>
      <c r="U238" s="556"/>
      <c r="V238" s="621"/>
      <c r="W238" s="624"/>
      <c r="X238" s="543"/>
    </row>
    <row r="239" spans="1:24" s="544" customFormat="1" x14ac:dyDescent="0.3">
      <c r="A239" s="618"/>
      <c r="B239" s="556" t="s">
        <v>218</v>
      </c>
      <c r="C239" s="578"/>
      <c r="D239" s="578"/>
      <c r="E239" s="578"/>
      <c r="F239" s="625"/>
      <c r="G239" s="556"/>
      <c r="H239" s="556"/>
      <c r="I239" s="556"/>
      <c r="J239" s="556"/>
      <c r="K239" s="556"/>
      <c r="L239" s="556"/>
      <c r="M239" s="556"/>
      <c r="N239" s="556"/>
      <c r="O239" s="556"/>
      <c r="P239" s="556"/>
      <c r="Q239" s="556"/>
      <c r="R239" s="556"/>
      <c r="S239" s="556"/>
      <c r="T239" s="626">
        <v>6.18</v>
      </c>
      <c r="U239" s="556"/>
      <c r="V239" s="621"/>
      <c r="W239" s="624"/>
      <c r="X239" s="543"/>
    </row>
    <row r="240" spans="1:24" x14ac:dyDescent="0.3">
      <c r="A240" s="466"/>
      <c r="B240" s="471"/>
      <c r="C240" s="474"/>
      <c r="D240" s="474"/>
      <c r="E240" s="474"/>
      <c r="F240" s="475"/>
      <c r="G240" s="434"/>
      <c r="H240" s="434"/>
      <c r="I240" s="434"/>
      <c r="J240" s="434"/>
      <c r="K240" s="434"/>
      <c r="L240" s="434"/>
      <c r="M240" s="434"/>
      <c r="N240" s="434"/>
      <c r="O240" s="434"/>
      <c r="P240" s="434"/>
      <c r="Q240" s="434"/>
      <c r="R240" s="434"/>
      <c r="S240" s="434"/>
      <c r="T240" s="476"/>
      <c r="U240" s="434"/>
      <c r="V240" s="468"/>
      <c r="W240" s="473"/>
      <c r="X240" s="415"/>
    </row>
    <row r="241" spans="1:25" x14ac:dyDescent="0.3">
      <c r="A241" s="466"/>
      <c r="B241" s="471"/>
      <c r="C241" s="474"/>
      <c r="D241" s="474"/>
      <c r="E241" s="474"/>
      <c r="F241" s="475"/>
      <c r="G241" s="434"/>
      <c r="H241" s="434"/>
      <c r="I241" s="434"/>
      <c r="J241" s="434"/>
      <c r="K241" s="434"/>
      <c r="L241" s="434"/>
      <c r="M241" s="434"/>
      <c r="N241" s="434"/>
      <c r="O241" s="434"/>
      <c r="P241" s="434"/>
      <c r="Q241" s="434"/>
      <c r="R241" s="434"/>
      <c r="S241" s="434"/>
      <c r="T241" s="476"/>
      <c r="U241" s="434"/>
      <c r="V241" s="468"/>
      <c r="W241" s="473"/>
      <c r="X241" s="415"/>
    </row>
    <row r="242" spans="1:25" ht="18" x14ac:dyDescent="0.35">
      <c r="A242" s="466"/>
      <c r="B242" s="512" t="s">
        <v>168</v>
      </c>
      <c r="C242" s="474"/>
      <c r="D242" s="474"/>
      <c r="E242" s="474"/>
      <c r="F242" s="475"/>
      <c r="G242" s="434"/>
      <c r="H242" s="434"/>
      <c r="I242" s="434"/>
      <c r="J242" s="434"/>
      <c r="K242" s="434"/>
      <c r="L242" s="434"/>
      <c r="M242" s="434"/>
      <c r="N242" s="434"/>
      <c r="O242" s="434"/>
      <c r="P242" s="513" t="s">
        <v>371</v>
      </c>
      <c r="Q242" s="434"/>
      <c r="R242" s="434"/>
      <c r="S242" s="434"/>
      <c r="T242" s="476"/>
      <c r="U242" s="434"/>
      <c r="V242" s="468"/>
      <c r="W242" s="473"/>
      <c r="X242" s="415"/>
    </row>
    <row r="243" spans="1:25" x14ac:dyDescent="0.3">
      <c r="A243" s="477"/>
      <c r="B243" s="511"/>
      <c r="C243" s="478"/>
      <c r="D243" s="478"/>
      <c r="E243" s="478"/>
      <c r="F243" s="479"/>
      <c r="G243" s="441"/>
      <c r="H243" s="441"/>
      <c r="I243" s="441"/>
      <c r="J243" s="441"/>
      <c r="K243" s="441"/>
      <c r="L243" s="441"/>
      <c r="M243" s="441"/>
      <c r="N243" s="441"/>
      <c r="O243" s="441"/>
      <c r="P243" s="441"/>
      <c r="Q243" s="441"/>
      <c r="R243" s="441"/>
      <c r="S243" s="441"/>
      <c r="T243" s="480"/>
      <c r="U243" s="441"/>
      <c r="V243" s="481"/>
      <c r="W243" s="482"/>
      <c r="X243" s="415"/>
    </row>
    <row r="244" spans="1:25" x14ac:dyDescent="0.3">
      <c r="A244" s="515"/>
      <c r="B244" s="523" t="s">
        <v>308</v>
      </c>
      <c r="C244" s="524"/>
      <c r="D244" s="524"/>
      <c r="E244" s="524"/>
      <c r="F244" s="534"/>
      <c r="G244" s="524"/>
      <c r="H244" s="524"/>
      <c r="I244" s="524"/>
      <c r="J244" s="524"/>
      <c r="K244" s="524"/>
      <c r="L244" s="524"/>
      <c r="M244" s="524"/>
      <c r="N244" s="524"/>
      <c r="O244" s="524"/>
      <c r="P244" s="524"/>
      <c r="Q244" s="524"/>
      <c r="R244" s="534" t="s">
        <v>102</v>
      </c>
      <c r="S244" s="524" t="s">
        <v>103</v>
      </c>
      <c r="T244" s="534" t="s">
        <v>109</v>
      </c>
      <c r="U244" s="524" t="s">
        <v>103</v>
      </c>
      <c r="V244" s="517"/>
      <c r="W244" s="535"/>
      <c r="X244" s="415"/>
    </row>
    <row r="245" spans="1:25" s="544" customFormat="1" x14ac:dyDescent="0.3">
      <c r="A245" s="540"/>
      <c r="B245" s="600" t="s">
        <v>88</v>
      </c>
      <c r="C245" s="627"/>
      <c r="D245" s="627"/>
      <c r="E245" s="627"/>
      <c r="F245" s="588"/>
      <c r="G245" s="627"/>
      <c r="H245" s="627"/>
      <c r="I245" s="627"/>
      <c r="J245" s="627"/>
      <c r="K245" s="627"/>
      <c r="L245" s="627"/>
      <c r="M245" s="627"/>
      <c r="N245" s="627"/>
      <c r="O245" s="627"/>
      <c r="P245" s="627"/>
      <c r="Q245" s="627"/>
      <c r="R245" s="600">
        <f t="shared" ref="R245:R252" si="1">+R257+R269+R291</f>
        <v>4978</v>
      </c>
      <c r="S245" s="628">
        <f t="shared" ref="S245:S252" si="2">R245/$R$254</f>
        <v>0.99361277445109786</v>
      </c>
      <c r="T245" s="601">
        <f t="shared" ref="T245:T252" si="3">+T257+T269+T291</f>
        <v>665188</v>
      </c>
      <c r="U245" s="628">
        <f t="shared" ref="U245:U252" si="4">T245/$T$254</f>
        <v>0.99388745201926254</v>
      </c>
      <c r="V245" s="616"/>
      <c r="W245" s="629"/>
      <c r="X245" s="543"/>
    </row>
    <row r="246" spans="1:25" s="544" customFormat="1" x14ac:dyDescent="0.3">
      <c r="A246" s="555"/>
      <c r="B246" s="598" t="s">
        <v>89</v>
      </c>
      <c r="C246" s="630"/>
      <c r="D246" s="630"/>
      <c r="E246" s="630"/>
      <c r="F246" s="556"/>
      <c r="G246" s="631"/>
      <c r="H246" s="630"/>
      <c r="I246" s="630"/>
      <c r="J246" s="630"/>
      <c r="K246" s="630"/>
      <c r="L246" s="630"/>
      <c r="M246" s="630"/>
      <c r="N246" s="630"/>
      <c r="O246" s="630"/>
      <c r="P246" s="630"/>
      <c r="Q246" s="630"/>
      <c r="R246" s="598">
        <f t="shared" si="1"/>
        <v>12</v>
      </c>
      <c r="S246" s="631">
        <f t="shared" si="2"/>
        <v>2.3952095808383233E-3</v>
      </c>
      <c r="T246" s="599">
        <f t="shared" si="3"/>
        <v>1596</v>
      </c>
      <c r="U246" s="631">
        <f t="shared" si="4"/>
        <v>2.3846557265355703E-3</v>
      </c>
      <c r="V246" s="621"/>
      <c r="W246" s="624"/>
      <c r="X246" s="543"/>
      <c r="Y246" s="604"/>
    </row>
    <row r="247" spans="1:25" s="544" customFormat="1" x14ac:dyDescent="0.3">
      <c r="A247" s="555"/>
      <c r="B247" s="598" t="s">
        <v>90</v>
      </c>
      <c r="C247" s="630"/>
      <c r="D247" s="630"/>
      <c r="E247" s="630"/>
      <c r="F247" s="556"/>
      <c r="G247" s="631"/>
      <c r="H247" s="630"/>
      <c r="I247" s="630"/>
      <c r="J247" s="630"/>
      <c r="K247" s="630"/>
      <c r="L247" s="630"/>
      <c r="M247" s="630"/>
      <c r="N247" s="630"/>
      <c r="O247" s="630"/>
      <c r="P247" s="630"/>
      <c r="Q247" s="630"/>
      <c r="R247" s="598">
        <f t="shared" si="1"/>
        <v>2</v>
      </c>
      <c r="S247" s="631">
        <f t="shared" si="2"/>
        <v>3.992015968063872E-4</v>
      </c>
      <c r="T247" s="599">
        <f t="shared" si="3"/>
        <v>347</v>
      </c>
      <c r="U247" s="631">
        <f t="shared" si="4"/>
        <v>5.1846838164651811E-4</v>
      </c>
      <c r="V247" s="621"/>
      <c r="W247" s="624"/>
      <c r="X247" s="543"/>
    </row>
    <row r="248" spans="1:25" s="544" customFormat="1" x14ac:dyDescent="0.3">
      <c r="A248" s="555"/>
      <c r="B248" s="598" t="s">
        <v>156</v>
      </c>
      <c r="C248" s="630"/>
      <c r="D248" s="630"/>
      <c r="E248" s="630"/>
      <c r="F248" s="556"/>
      <c r="G248" s="631"/>
      <c r="H248" s="630"/>
      <c r="I248" s="630"/>
      <c r="J248" s="630"/>
      <c r="K248" s="630"/>
      <c r="L248" s="630"/>
      <c r="M248" s="630"/>
      <c r="N248" s="630"/>
      <c r="O248" s="630"/>
      <c r="P248" s="630"/>
      <c r="Q248" s="630"/>
      <c r="R248" s="598">
        <f t="shared" si="1"/>
        <v>3</v>
      </c>
      <c r="S248" s="631">
        <f t="shared" si="2"/>
        <v>5.9880239520958083E-4</v>
      </c>
      <c r="T248" s="599">
        <f t="shared" si="3"/>
        <v>277</v>
      </c>
      <c r="U248" s="631">
        <f t="shared" si="4"/>
        <v>4.1387821820197554E-4</v>
      </c>
      <c r="V248" s="621"/>
      <c r="W248" s="624"/>
      <c r="X248" s="543"/>
      <c r="Y248" s="604"/>
    </row>
    <row r="249" spans="1:25" s="544" customFormat="1" x14ac:dyDescent="0.3">
      <c r="A249" s="555"/>
      <c r="B249" s="598" t="s">
        <v>157</v>
      </c>
      <c r="C249" s="630"/>
      <c r="D249" s="630"/>
      <c r="E249" s="630"/>
      <c r="F249" s="556"/>
      <c r="G249" s="631"/>
      <c r="H249" s="630"/>
      <c r="I249" s="630"/>
      <c r="J249" s="630"/>
      <c r="K249" s="630"/>
      <c r="L249" s="630"/>
      <c r="M249" s="630"/>
      <c r="N249" s="630"/>
      <c r="O249" s="630"/>
      <c r="P249" s="630"/>
      <c r="Q249" s="630"/>
      <c r="R249" s="598">
        <f t="shared" si="1"/>
        <v>1</v>
      </c>
      <c r="S249" s="631">
        <f t="shared" si="2"/>
        <v>1.996007984031936E-4</v>
      </c>
      <c r="T249" s="599">
        <f t="shared" si="3"/>
        <v>94</v>
      </c>
      <c r="U249" s="631">
        <f t="shared" si="4"/>
        <v>1.404496480541E-4</v>
      </c>
      <c r="V249" s="621"/>
      <c r="W249" s="624"/>
      <c r="X249" s="543"/>
    </row>
    <row r="250" spans="1:25" s="544" customFormat="1" x14ac:dyDescent="0.3">
      <c r="A250" s="555"/>
      <c r="B250" s="598" t="s">
        <v>158</v>
      </c>
      <c r="C250" s="630"/>
      <c r="D250" s="630"/>
      <c r="E250" s="630"/>
      <c r="F250" s="556"/>
      <c r="G250" s="631"/>
      <c r="H250" s="630"/>
      <c r="I250" s="630"/>
      <c r="J250" s="630"/>
      <c r="K250" s="630"/>
      <c r="L250" s="630"/>
      <c r="M250" s="630"/>
      <c r="N250" s="630"/>
      <c r="O250" s="630"/>
      <c r="P250" s="630"/>
      <c r="Q250" s="630"/>
      <c r="R250" s="598">
        <f t="shared" si="1"/>
        <v>2</v>
      </c>
      <c r="S250" s="631">
        <f t="shared" si="2"/>
        <v>3.992015968063872E-4</v>
      </c>
      <c r="T250" s="599">
        <f t="shared" si="3"/>
        <v>327</v>
      </c>
      <c r="U250" s="631">
        <f t="shared" si="4"/>
        <v>4.8858547780522023E-4</v>
      </c>
      <c r="V250" s="621"/>
      <c r="W250" s="624"/>
      <c r="X250" s="543"/>
      <c r="Y250" s="604"/>
    </row>
    <row r="251" spans="1:25" s="544" customFormat="1" x14ac:dyDescent="0.3">
      <c r="A251" s="555"/>
      <c r="B251" s="598" t="s">
        <v>159</v>
      </c>
      <c r="C251" s="630"/>
      <c r="D251" s="630"/>
      <c r="E251" s="630"/>
      <c r="F251" s="556"/>
      <c r="G251" s="631"/>
      <c r="H251" s="630"/>
      <c r="I251" s="630"/>
      <c r="J251" s="630"/>
      <c r="K251" s="630"/>
      <c r="L251" s="630"/>
      <c r="M251" s="630"/>
      <c r="N251" s="630"/>
      <c r="O251" s="630"/>
      <c r="P251" s="630"/>
      <c r="Q251" s="630"/>
      <c r="R251" s="598">
        <f t="shared" si="1"/>
        <v>5</v>
      </c>
      <c r="S251" s="631">
        <f t="shared" si="2"/>
        <v>9.9800399201596798E-4</v>
      </c>
      <c r="T251" s="599">
        <f t="shared" si="3"/>
        <v>731</v>
      </c>
      <c r="U251" s="631">
        <f t="shared" si="4"/>
        <v>1.0922201353994374E-3</v>
      </c>
      <c r="V251" s="621"/>
      <c r="W251" s="624"/>
      <c r="X251" s="543"/>
    </row>
    <row r="252" spans="1:25" s="544" customFormat="1" x14ac:dyDescent="0.3">
      <c r="A252" s="555"/>
      <c r="B252" s="598" t="s">
        <v>160</v>
      </c>
      <c r="C252" s="630"/>
      <c r="D252" s="630"/>
      <c r="E252" s="630"/>
      <c r="F252" s="556"/>
      <c r="G252" s="631"/>
      <c r="H252" s="630"/>
      <c r="I252" s="630"/>
      <c r="J252" s="630"/>
      <c r="K252" s="630"/>
      <c r="L252" s="630"/>
      <c r="M252" s="630"/>
      <c r="N252" s="630"/>
      <c r="O252" s="630"/>
      <c r="P252" s="630"/>
      <c r="Q252" s="630"/>
      <c r="R252" s="600">
        <f t="shared" si="1"/>
        <v>7</v>
      </c>
      <c r="S252" s="628">
        <f t="shared" si="2"/>
        <v>1.3972055888223553E-3</v>
      </c>
      <c r="T252" s="601">
        <f t="shared" si="3"/>
        <v>719</v>
      </c>
      <c r="U252" s="628">
        <f t="shared" si="4"/>
        <v>1.0742903930946585E-3</v>
      </c>
      <c r="V252" s="621"/>
      <c r="W252" s="624"/>
      <c r="X252" s="543"/>
      <c r="Y252" s="604"/>
    </row>
    <row r="253" spans="1:25" s="544" customFormat="1" x14ac:dyDescent="0.3">
      <c r="A253" s="555"/>
      <c r="B253" s="598"/>
      <c r="C253" s="630"/>
      <c r="D253" s="630"/>
      <c r="E253" s="630"/>
      <c r="F253" s="556"/>
      <c r="G253" s="631"/>
      <c r="H253" s="630"/>
      <c r="I253" s="630"/>
      <c r="J253" s="630"/>
      <c r="K253" s="630"/>
      <c r="L253" s="630"/>
      <c r="M253" s="630"/>
      <c r="N253" s="630"/>
      <c r="O253" s="630"/>
      <c r="P253" s="630"/>
      <c r="Q253" s="630"/>
      <c r="R253" s="598"/>
      <c r="S253" s="631"/>
      <c r="T253" s="599"/>
      <c r="U253" s="631"/>
      <c r="V253" s="621"/>
      <c r="W253" s="624"/>
      <c r="X253" s="543"/>
    </row>
    <row r="254" spans="1:25" s="544" customFormat="1" x14ac:dyDescent="0.3">
      <c r="A254" s="555"/>
      <c r="B254" s="556" t="s">
        <v>114</v>
      </c>
      <c r="C254" s="556"/>
      <c r="D254" s="556"/>
      <c r="E254" s="556"/>
      <c r="F254" s="556"/>
      <c r="G254" s="556"/>
      <c r="H254" s="632"/>
      <c r="I254" s="632"/>
      <c r="J254" s="632"/>
      <c r="K254" s="632"/>
      <c r="L254" s="632"/>
      <c r="M254" s="632"/>
      <c r="N254" s="632"/>
      <c r="O254" s="632"/>
      <c r="P254" s="632"/>
      <c r="Q254" s="632"/>
      <c r="R254" s="598">
        <f>SUM(R245:R253)</f>
        <v>5010</v>
      </c>
      <c r="S254" s="631">
        <f>SUM(S245:S253)</f>
        <v>1</v>
      </c>
      <c r="T254" s="599">
        <f>SUM(T245:T253)</f>
        <v>669279</v>
      </c>
      <c r="U254" s="631">
        <f>SUM(U245:U253)</f>
        <v>1</v>
      </c>
      <c r="V254" s="556"/>
      <c r="W254" s="558"/>
      <c r="X254" s="543"/>
    </row>
    <row r="255" spans="1:25" x14ac:dyDescent="0.3">
      <c r="A255" s="417"/>
      <c r="B255" s="441"/>
      <c r="C255" s="441"/>
      <c r="D255" s="441"/>
      <c r="E255" s="441"/>
      <c r="F255" s="441"/>
      <c r="G255" s="441"/>
      <c r="H255" s="485"/>
      <c r="I255" s="485"/>
      <c r="J255" s="485"/>
      <c r="K255" s="485"/>
      <c r="L255" s="485"/>
      <c r="M255" s="485"/>
      <c r="N255" s="485"/>
      <c r="O255" s="485"/>
      <c r="P255" s="485"/>
      <c r="Q255" s="485"/>
      <c r="R255" s="442"/>
      <c r="S255" s="486"/>
      <c r="T255" s="487"/>
      <c r="U255" s="486"/>
      <c r="V255" s="441"/>
      <c r="W255" s="441"/>
      <c r="X255" s="415"/>
    </row>
    <row r="256" spans="1:25" x14ac:dyDescent="0.3">
      <c r="A256" s="515"/>
      <c r="B256" s="523" t="s">
        <v>162</v>
      </c>
      <c r="C256" s="524"/>
      <c r="D256" s="524"/>
      <c r="E256" s="524"/>
      <c r="F256" s="534"/>
      <c r="G256" s="524"/>
      <c r="H256" s="524"/>
      <c r="I256" s="524"/>
      <c r="J256" s="524"/>
      <c r="K256" s="524"/>
      <c r="L256" s="524"/>
      <c r="M256" s="524"/>
      <c r="N256" s="524"/>
      <c r="O256" s="524"/>
      <c r="P256" s="524"/>
      <c r="Q256" s="524"/>
      <c r="R256" s="534" t="s">
        <v>102</v>
      </c>
      <c r="S256" s="524" t="s">
        <v>103</v>
      </c>
      <c r="T256" s="534" t="s">
        <v>109</v>
      </c>
      <c r="U256" s="524" t="s">
        <v>103</v>
      </c>
      <c r="V256" s="517"/>
      <c r="W256" s="535"/>
      <c r="X256" s="415"/>
    </row>
    <row r="257" spans="1:25" s="544" customFormat="1" x14ac:dyDescent="0.3">
      <c r="A257" s="540"/>
      <c r="B257" s="600" t="s">
        <v>88</v>
      </c>
      <c r="C257" s="627"/>
      <c r="D257" s="627"/>
      <c r="E257" s="627"/>
      <c r="F257" s="588"/>
      <c r="G257" s="627"/>
      <c r="H257" s="627"/>
      <c r="I257" s="627"/>
      <c r="J257" s="627"/>
      <c r="K257" s="627"/>
      <c r="L257" s="627"/>
      <c r="M257" s="627"/>
      <c r="N257" s="627"/>
      <c r="O257" s="627"/>
      <c r="P257" s="627"/>
      <c r="Q257" s="627"/>
      <c r="R257" s="600">
        <v>4884</v>
      </c>
      <c r="S257" s="628">
        <f t="shared" ref="S257:S264" si="5">R257/$R$266</f>
        <v>0.99511002444987773</v>
      </c>
      <c r="T257" s="601">
        <v>650589</v>
      </c>
      <c r="U257" s="628">
        <f t="shared" ref="U257:U264" si="6">T257/$T$266</f>
        <v>0.99571007909493836</v>
      </c>
      <c r="V257" s="616"/>
      <c r="W257" s="629"/>
      <c r="X257" s="543"/>
    </row>
    <row r="258" spans="1:25" s="544" customFormat="1" x14ac:dyDescent="0.3">
      <c r="A258" s="555"/>
      <c r="B258" s="598" t="s">
        <v>89</v>
      </c>
      <c r="C258" s="630"/>
      <c r="D258" s="630"/>
      <c r="E258" s="630"/>
      <c r="F258" s="556"/>
      <c r="G258" s="631"/>
      <c r="H258" s="630"/>
      <c r="I258" s="630"/>
      <c r="J258" s="630"/>
      <c r="K258" s="630"/>
      <c r="L258" s="630"/>
      <c r="M258" s="630"/>
      <c r="N258" s="630"/>
      <c r="O258" s="630"/>
      <c r="P258" s="630"/>
      <c r="Q258" s="630"/>
      <c r="R258" s="598">
        <v>11</v>
      </c>
      <c r="S258" s="631">
        <f t="shared" si="5"/>
        <v>2.2412387938060309E-3</v>
      </c>
      <c r="T258" s="599">
        <v>1484</v>
      </c>
      <c r="U258" s="631">
        <f t="shared" si="6"/>
        <v>2.2712246247275753E-3</v>
      </c>
      <c r="V258" s="621"/>
      <c r="W258" s="624"/>
      <c r="X258" s="543"/>
      <c r="Y258" s="604"/>
    </row>
    <row r="259" spans="1:25" s="544" customFormat="1" x14ac:dyDescent="0.3">
      <c r="A259" s="555"/>
      <c r="B259" s="598" t="s">
        <v>90</v>
      </c>
      <c r="C259" s="630"/>
      <c r="D259" s="630"/>
      <c r="E259" s="630"/>
      <c r="F259" s="556"/>
      <c r="G259" s="631"/>
      <c r="H259" s="630"/>
      <c r="I259" s="630"/>
      <c r="J259" s="630"/>
      <c r="K259" s="630"/>
      <c r="L259" s="630"/>
      <c r="M259" s="630"/>
      <c r="N259" s="630"/>
      <c r="O259" s="630"/>
      <c r="P259" s="630"/>
      <c r="Q259" s="630"/>
      <c r="R259" s="598">
        <v>2</v>
      </c>
      <c r="S259" s="631">
        <f t="shared" si="5"/>
        <v>4.0749796251018743E-4</v>
      </c>
      <c r="T259" s="599">
        <v>347</v>
      </c>
      <c r="U259" s="631">
        <f t="shared" si="6"/>
        <v>5.3107476063373902E-4</v>
      </c>
      <c r="V259" s="621"/>
      <c r="W259" s="624"/>
      <c r="X259" s="543"/>
    </row>
    <row r="260" spans="1:25" s="544" customFormat="1" x14ac:dyDescent="0.3">
      <c r="A260" s="555"/>
      <c r="B260" s="598" t="s">
        <v>156</v>
      </c>
      <c r="C260" s="630"/>
      <c r="D260" s="630"/>
      <c r="E260" s="630"/>
      <c r="F260" s="556"/>
      <c r="G260" s="631"/>
      <c r="H260" s="630"/>
      <c r="I260" s="630"/>
      <c r="J260" s="630"/>
      <c r="K260" s="630"/>
      <c r="L260" s="630"/>
      <c r="M260" s="630"/>
      <c r="N260" s="630"/>
      <c r="O260" s="630"/>
      <c r="P260" s="630"/>
      <c r="Q260" s="630"/>
      <c r="R260" s="598">
        <v>3</v>
      </c>
      <c r="S260" s="631">
        <f t="shared" si="5"/>
        <v>6.1124694376528117E-4</v>
      </c>
      <c r="T260" s="599">
        <v>277</v>
      </c>
      <c r="U260" s="631">
        <f t="shared" si="6"/>
        <v>4.2394152361828735E-4</v>
      </c>
      <c r="V260" s="621"/>
      <c r="W260" s="624"/>
      <c r="X260" s="543"/>
      <c r="Y260" s="604"/>
    </row>
    <row r="261" spans="1:25" s="544" customFormat="1" x14ac:dyDescent="0.3">
      <c r="A261" s="555"/>
      <c r="B261" s="598" t="s">
        <v>157</v>
      </c>
      <c r="C261" s="630"/>
      <c r="D261" s="630"/>
      <c r="E261" s="630"/>
      <c r="F261" s="556"/>
      <c r="G261" s="631"/>
      <c r="H261" s="630"/>
      <c r="I261" s="630"/>
      <c r="J261" s="630"/>
      <c r="K261" s="630"/>
      <c r="L261" s="630"/>
      <c r="M261" s="630"/>
      <c r="N261" s="630"/>
      <c r="O261" s="630"/>
      <c r="P261" s="630"/>
      <c r="Q261" s="630"/>
      <c r="R261" s="598">
        <v>1</v>
      </c>
      <c r="S261" s="631">
        <f t="shared" si="5"/>
        <v>2.0374898125509371E-4</v>
      </c>
      <c r="T261" s="599">
        <v>94</v>
      </c>
      <c r="U261" s="631">
        <f t="shared" si="6"/>
        <v>1.4386463256360653E-4</v>
      </c>
      <c r="V261" s="621"/>
      <c r="W261" s="624"/>
      <c r="X261" s="543"/>
    </row>
    <row r="262" spans="1:25" s="544" customFormat="1" x14ac:dyDescent="0.3">
      <c r="A262" s="555"/>
      <c r="B262" s="598" t="s">
        <v>158</v>
      </c>
      <c r="C262" s="630"/>
      <c r="D262" s="630"/>
      <c r="E262" s="630"/>
      <c r="F262" s="556"/>
      <c r="G262" s="631"/>
      <c r="H262" s="630"/>
      <c r="I262" s="630"/>
      <c r="J262" s="630"/>
      <c r="K262" s="630"/>
      <c r="L262" s="630"/>
      <c r="M262" s="630"/>
      <c r="N262" s="630"/>
      <c r="O262" s="630"/>
      <c r="P262" s="630"/>
      <c r="Q262" s="630"/>
      <c r="R262" s="598">
        <v>1</v>
      </c>
      <c r="S262" s="631">
        <f t="shared" si="5"/>
        <v>2.0374898125509371E-4</v>
      </c>
      <c r="T262" s="599">
        <v>181</v>
      </c>
      <c r="U262" s="631">
        <f t="shared" si="6"/>
        <v>2.7701594142566792E-4</v>
      </c>
      <c r="V262" s="621"/>
      <c r="W262" s="624"/>
      <c r="X262" s="543"/>
      <c r="Y262" s="604"/>
    </row>
    <row r="263" spans="1:25" s="544" customFormat="1" x14ac:dyDescent="0.3">
      <c r="A263" s="555"/>
      <c r="B263" s="598" t="s">
        <v>159</v>
      </c>
      <c r="C263" s="630"/>
      <c r="D263" s="630"/>
      <c r="E263" s="630"/>
      <c r="F263" s="556"/>
      <c r="G263" s="631"/>
      <c r="H263" s="630"/>
      <c r="I263" s="630"/>
      <c r="J263" s="630"/>
      <c r="K263" s="630"/>
      <c r="L263" s="630"/>
      <c r="M263" s="630"/>
      <c r="N263" s="630"/>
      <c r="O263" s="630"/>
      <c r="P263" s="630"/>
      <c r="Q263" s="630"/>
      <c r="R263" s="598">
        <v>3</v>
      </c>
      <c r="S263" s="631">
        <f t="shared" si="5"/>
        <v>6.1124694376528117E-4</v>
      </c>
      <c r="T263" s="599">
        <v>212</v>
      </c>
      <c r="U263" s="631">
        <f t="shared" si="6"/>
        <v>3.2446066067536792E-4</v>
      </c>
      <c r="V263" s="621"/>
      <c r="W263" s="624"/>
      <c r="X263" s="543"/>
    </row>
    <row r="264" spans="1:25" s="544" customFormat="1" x14ac:dyDescent="0.3">
      <c r="A264" s="555"/>
      <c r="B264" s="598" t="s">
        <v>160</v>
      </c>
      <c r="C264" s="630"/>
      <c r="D264" s="630"/>
      <c r="E264" s="630"/>
      <c r="F264" s="556"/>
      <c r="G264" s="631"/>
      <c r="H264" s="630"/>
      <c r="I264" s="630"/>
      <c r="J264" s="630"/>
      <c r="K264" s="630"/>
      <c r="L264" s="630"/>
      <c r="M264" s="630"/>
      <c r="N264" s="630"/>
      <c r="O264" s="630"/>
      <c r="P264" s="630"/>
      <c r="Q264" s="630"/>
      <c r="R264" s="598">
        <v>3</v>
      </c>
      <c r="S264" s="631">
        <f t="shared" si="5"/>
        <v>6.1124694376528117E-4</v>
      </c>
      <c r="T264" s="599">
        <v>208</v>
      </c>
      <c r="U264" s="631">
        <f t="shared" si="6"/>
        <v>3.1833876141734214E-4</v>
      </c>
      <c r="V264" s="621"/>
      <c r="W264" s="624"/>
      <c r="X264" s="543"/>
      <c r="Y264" s="604"/>
    </row>
    <row r="265" spans="1:25" s="544" customFormat="1" x14ac:dyDescent="0.3">
      <c r="A265" s="555"/>
      <c r="B265" s="598"/>
      <c r="C265" s="630"/>
      <c r="D265" s="630"/>
      <c r="E265" s="630"/>
      <c r="F265" s="556"/>
      <c r="G265" s="631"/>
      <c r="H265" s="630"/>
      <c r="I265" s="630"/>
      <c r="J265" s="630"/>
      <c r="K265" s="630"/>
      <c r="L265" s="630"/>
      <c r="M265" s="630"/>
      <c r="N265" s="630"/>
      <c r="O265" s="630"/>
      <c r="P265" s="630"/>
      <c r="Q265" s="630"/>
      <c r="R265" s="598"/>
      <c r="S265" s="631"/>
      <c r="T265" s="599"/>
      <c r="U265" s="631"/>
      <c r="V265" s="621"/>
      <c r="W265" s="624"/>
      <c r="X265" s="543"/>
    </row>
    <row r="266" spans="1:25" s="544" customFormat="1" x14ac:dyDescent="0.3">
      <c r="A266" s="555"/>
      <c r="B266" s="556" t="s">
        <v>114</v>
      </c>
      <c r="C266" s="556"/>
      <c r="D266" s="556"/>
      <c r="E266" s="556"/>
      <c r="F266" s="556"/>
      <c r="G266" s="556"/>
      <c r="H266" s="632"/>
      <c r="I266" s="632"/>
      <c r="J266" s="632"/>
      <c r="K266" s="632"/>
      <c r="L266" s="632"/>
      <c r="M266" s="632"/>
      <c r="N266" s="632"/>
      <c r="O266" s="632"/>
      <c r="P266" s="632"/>
      <c r="Q266" s="632"/>
      <c r="R266" s="598">
        <f>SUM(R257:R265)</f>
        <v>4908</v>
      </c>
      <c r="S266" s="631">
        <f>SUM(S257:S265)</f>
        <v>0.99999999999999978</v>
      </c>
      <c r="T266" s="599">
        <f>SUM(T257:T265)</f>
        <v>653392</v>
      </c>
      <c r="U266" s="631">
        <f>SUM(U257:U265)</f>
        <v>1</v>
      </c>
      <c r="V266" s="556"/>
      <c r="W266" s="558"/>
      <c r="X266" s="543"/>
    </row>
    <row r="267" spans="1:25" x14ac:dyDescent="0.3">
      <c r="A267" s="417"/>
      <c r="B267" s="441"/>
      <c r="C267" s="441"/>
      <c r="D267" s="441"/>
      <c r="E267" s="441"/>
      <c r="F267" s="441"/>
      <c r="G267" s="441"/>
      <c r="H267" s="485"/>
      <c r="I267" s="485"/>
      <c r="J267" s="485"/>
      <c r="K267" s="485"/>
      <c r="L267" s="485"/>
      <c r="M267" s="485"/>
      <c r="N267" s="485"/>
      <c r="O267" s="485"/>
      <c r="P267" s="485"/>
      <c r="Q267" s="485"/>
      <c r="R267" s="442"/>
      <c r="S267" s="486"/>
      <c r="T267" s="487"/>
      <c r="U267" s="486"/>
      <c r="V267" s="441"/>
      <c r="W267" s="441"/>
      <c r="X267" s="415"/>
    </row>
    <row r="268" spans="1:25" x14ac:dyDescent="0.3">
      <c r="A268" s="515"/>
      <c r="B268" s="523" t="s">
        <v>275</v>
      </c>
      <c r="C268" s="524"/>
      <c r="D268" s="524"/>
      <c r="E268" s="524"/>
      <c r="F268" s="534"/>
      <c r="G268" s="524"/>
      <c r="H268" s="524"/>
      <c r="I268" s="524"/>
      <c r="J268" s="524"/>
      <c r="K268" s="524"/>
      <c r="L268" s="524"/>
      <c r="M268" s="524"/>
      <c r="N268" s="524"/>
      <c r="O268" s="524"/>
      <c r="P268" s="524"/>
      <c r="Q268" s="524"/>
      <c r="R268" s="534" t="s">
        <v>102</v>
      </c>
      <c r="S268" s="524" t="s">
        <v>103</v>
      </c>
      <c r="T268" s="534" t="s">
        <v>109</v>
      </c>
      <c r="U268" s="524" t="s">
        <v>103</v>
      </c>
      <c r="V268" s="517"/>
      <c r="W268" s="520"/>
      <c r="X268" s="415"/>
    </row>
    <row r="269" spans="1:25" s="544" customFormat="1" x14ac:dyDescent="0.3">
      <c r="A269" s="540"/>
      <c r="B269" s="600" t="s">
        <v>88</v>
      </c>
      <c r="C269" s="627"/>
      <c r="D269" s="627"/>
      <c r="E269" s="627"/>
      <c r="F269" s="588"/>
      <c r="G269" s="627"/>
      <c r="H269" s="627"/>
      <c r="I269" s="627"/>
      <c r="J269" s="627"/>
      <c r="K269" s="627"/>
      <c r="L269" s="627"/>
      <c r="M269" s="627"/>
      <c r="N269" s="627"/>
      <c r="O269" s="627"/>
      <c r="P269" s="627"/>
      <c r="Q269" s="627"/>
      <c r="R269" s="600">
        <v>94</v>
      </c>
      <c r="S269" s="628">
        <f t="shared" ref="S269:S276" si="7">R269/$R$278</f>
        <v>0.92156862745098034</v>
      </c>
      <c r="T269" s="601">
        <v>14599</v>
      </c>
      <c r="U269" s="628">
        <f t="shared" ref="U269:U276" si="8">T269/$T$278</f>
        <v>0.91892742493862911</v>
      </c>
      <c r="V269" s="588"/>
      <c r="W269" s="588"/>
      <c r="X269" s="543"/>
    </row>
    <row r="270" spans="1:25" s="544" customFormat="1" x14ac:dyDescent="0.3">
      <c r="A270" s="555"/>
      <c r="B270" s="598" t="s">
        <v>89</v>
      </c>
      <c r="C270" s="630"/>
      <c r="D270" s="630"/>
      <c r="E270" s="630"/>
      <c r="F270" s="556"/>
      <c r="G270" s="631"/>
      <c r="H270" s="630"/>
      <c r="I270" s="630"/>
      <c r="J270" s="630"/>
      <c r="K270" s="630"/>
      <c r="L270" s="630"/>
      <c r="M270" s="630"/>
      <c r="N270" s="630"/>
      <c r="O270" s="630"/>
      <c r="P270" s="630"/>
      <c r="Q270" s="630"/>
      <c r="R270" s="598">
        <v>1</v>
      </c>
      <c r="S270" s="631">
        <f t="shared" si="7"/>
        <v>9.8039215686274508E-3</v>
      </c>
      <c r="T270" s="599">
        <v>112</v>
      </c>
      <c r="U270" s="631">
        <f t="shared" si="8"/>
        <v>7.0497891357713853E-3</v>
      </c>
      <c r="V270" s="556"/>
      <c r="W270" s="558"/>
      <c r="X270" s="543"/>
    </row>
    <row r="271" spans="1:25" s="544" customFormat="1" x14ac:dyDescent="0.3">
      <c r="A271" s="555"/>
      <c r="B271" s="598" t="s">
        <v>90</v>
      </c>
      <c r="C271" s="630"/>
      <c r="D271" s="630"/>
      <c r="E271" s="630"/>
      <c r="F271" s="556"/>
      <c r="G271" s="631"/>
      <c r="H271" s="630"/>
      <c r="I271" s="630"/>
      <c r="J271" s="630"/>
      <c r="K271" s="630"/>
      <c r="L271" s="630"/>
      <c r="M271" s="630"/>
      <c r="N271" s="630"/>
      <c r="O271" s="630"/>
      <c r="P271" s="630"/>
      <c r="Q271" s="630"/>
      <c r="R271" s="598">
        <v>0</v>
      </c>
      <c r="S271" s="631">
        <f t="shared" si="7"/>
        <v>0</v>
      </c>
      <c r="T271" s="599">
        <v>0</v>
      </c>
      <c r="U271" s="631">
        <f t="shared" si="8"/>
        <v>0</v>
      </c>
      <c r="V271" s="556"/>
      <c r="W271" s="558"/>
      <c r="X271" s="543"/>
    </row>
    <row r="272" spans="1:25" s="544" customFormat="1" x14ac:dyDescent="0.3">
      <c r="A272" s="555"/>
      <c r="B272" s="598" t="s">
        <v>156</v>
      </c>
      <c r="C272" s="630"/>
      <c r="D272" s="630"/>
      <c r="E272" s="630"/>
      <c r="F272" s="556"/>
      <c r="G272" s="631"/>
      <c r="H272" s="630"/>
      <c r="I272" s="630"/>
      <c r="J272" s="630"/>
      <c r="K272" s="630"/>
      <c r="L272" s="630"/>
      <c r="M272" s="630"/>
      <c r="N272" s="630"/>
      <c r="O272" s="630"/>
      <c r="P272" s="630"/>
      <c r="Q272" s="630"/>
      <c r="R272" s="598">
        <v>0</v>
      </c>
      <c r="S272" s="631">
        <f t="shared" si="7"/>
        <v>0</v>
      </c>
      <c r="T272" s="599">
        <v>0</v>
      </c>
      <c r="U272" s="631">
        <f t="shared" si="8"/>
        <v>0</v>
      </c>
      <c r="V272" s="556"/>
      <c r="W272" s="558"/>
      <c r="X272" s="543"/>
    </row>
    <row r="273" spans="1:24" s="544" customFormat="1" x14ac:dyDescent="0.3">
      <c r="A273" s="555"/>
      <c r="B273" s="598" t="s">
        <v>157</v>
      </c>
      <c r="C273" s="630"/>
      <c r="D273" s="630"/>
      <c r="E273" s="630"/>
      <c r="F273" s="556"/>
      <c r="G273" s="631"/>
      <c r="H273" s="630"/>
      <c r="I273" s="630"/>
      <c r="J273" s="630"/>
      <c r="K273" s="630"/>
      <c r="L273" s="630"/>
      <c r="M273" s="630"/>
      <c r="N273" s="630"/>
      <c r="O273" s="630"/>
      <c r="P273" s="630"/>
      <c r="Q273" s="630"/>
      <c r="R273" s="598">
        <v>0</v>
      </c>
      <c r="S273" s="631">
        <f t="shared" si="7"/>
        <v>0</v>
      </c>
      <c r="T273" s="599">
        <v>0</v>
      </c>
      <c r="U273" s="631">
        <f t="shared" si="8"/>
        <v>0</v>
      </c>
      <c r="V273" s="556"/>
      <c r="W273" s="558"/>
      <c r="X273" s="543"/>
    </row>
    <row r="274" spans="1:24" s="544" customFormat="1" x14ac:dyDescent="0.3">
      <c r="A274" s="555"/>
      <c r="B274" s="598" t="s">
        <v>158</v>
      </c>
      <c r="C274" s="630"/>
      <c r="D274" s="630"/>
      <c r="E274" s="630"/>
      <c r="F274" s="556"/>
      <c r="G274" s="631"/>
      <c r="H274" s="630"/>
      <c r="I274" s="630"/>
      <c r="J274" s="630"/>
      <c r="K274" s="630"/>
      <c r="L274" s="630"/>
      <c r="M274" s="630"/>
      <c r="N274" s="630"/>
      <c r="O274" s="630"/>
      <c r="P274" s="630"/>
      <c r="Q274" s="630"/>
      <c r="R274" s="598">
        <v>1</v>
      </c>
      <c r="S274" s="631">
        <f t="shared" si="7"/>
        <v>9.8039215686274508E-3</v>
      </c>
      <c r="T274" s="599">
        <v>146</v>
      </c>
      <c r="U274" s="631">
        <f t="shared" si="8"/>
        <v>9.1899036948448424E-3</v>
      </c>
      <c r="V274" s="556"/>
      <c r="W274" s="558"/>
      <c r="X274" s="543"/>
    </row>
    <row r="275" spans="1:24" s="544" customFormat="1" x14ac:dyDescent="0.3">
      <c r="A275" s="555"/>
      <c r="B275" s="598" t="s">
        <v>159</v>
      </c>
      <c r="C275" s="630"/>
      <c r="D275" s="630"/>
      <c r="E275" s="630"/>
      <c r="F275" s="556"/>
      <c r="G275" s="631"/>
      <c r="H275" s="630"/>
      <c r="I275" s="630"/>
      <c r="J275" s="630"/>
      <c r="K275" s="630"/>
      <c r="L275" s="630"/>
      <c r="M275" s="630"/>
      <c r="N275" s="630"/>
      <c r="O275" s="630"/>
      <c r="P275" s="630"/>
      <c r="Q275" s="630"/>
      <c r="R275" s="598">
        <v>2</v>
      </c>
      <c r="S275" s="631">
        <f t="shared" si="7"/>
        <v>1.9607843137254902E-2</v>
      </c>
      <c r="T275" s="599">
        <v>519</v>
      </c>
      <c r="U275" s="631">
        <f t="shared" si="8"/>
        <v>3.2668219298797756E-2</v>
      </c>
      <c r="V275" s="556"/>
      <c r="W275" s="558"/>
      <c r="X275" s="543"/>
    </row>
    <row r="276" spans="1:24" s="544" customFormat="1" x14ac:dyDescent="0.3">
      <c r="A276" s="555"/>
      <c r="B276" s="598" t="s">
        <v>160</v>
      </c>
      <c r="C276" s="630"/>
      <c r="D276" s="630"/>
      <c r="E276" s="630"/>
      <c r="F276" s="556"/>
      <c r="G276" s="631"/>
      <c r="H276" s="630"/>
      <c r="I276" s="630"/>
      <c r="J276" s="630"/>
      <c r="K276" s="630"/>
      <c r="L276" s="630"/>
      <c r="M276" s="630"/>
      <c r="N276" s="630"/>
      <c r="O276" s="630"/>
      <c r="P276" s="630"/>
      <c r="Q276" s="630"/>
      <c r="R276" s="598">
        <v>4</v>
      </c>
      <c r="S276" s="631">
        <f t="shared" si="7"/>
        <v>3.9215686274509803E-2</v>
      </c>
      <c r="T276" s="599">
        <v>511</v>
      </c>
      <c r="U276" s="631">
        <f t="shared" si="8"/>
        <v>3.2164662931956946E-2</v>
      </c>
      <c r="V276" s="556"/>
      <c r="W276" s="558"/>
      <c r="X276" s="543"/>
    </row>
    <row r="277" spans="1:24" s="544" customFormat="1" x14ac:dyDescent="0.3">
      <c r="A277" s="555"/>
      <c r="B277" s="598"/>
      <c r="C277" s="630"/>
      <c r="D277" s="630"/>
      <c r="E277" s="630"/>
      <c r="F277" s="556"/>
      <c r="G277" s="631"/>
      <c r="H277" s="630"/>
      <c r="I277" s="630"/>
      <c r="J277" s="630"/>
      <c r="K277" s="630"/>
      <c r="L277" s="630"/>
      <c r="M277" s="630"/>
      <c r="N277" s="630"/>
      <c r="O277" s="630"/>
      <c r="P277" s="630"/>
      <c r="Q277" s="630"/>
      <c r="R277" s="598"/>
      <c r="S277" s="631"/>
      <c r="T277" s="599"/>
      <c r="U277" s="631"/>
      <c r="V277" s="556"/>
      <c r="W277" s="558"/>
      <c r="X277" s="543"/>
    </row>
    <row r="278" spans="1:24" s="544" customFormat="1" x14ac:dyDescent="0.3">
      <c r="A278" s="555"/>
      <c r="B278" s="556" t="s">
        <v>114</v>
      </c>
      <c r="C278" s="556"/>
      <c r="D278" s="556"/>
      <c r="E278" s="556"/>
      <c r="F278" s="556"/>
      <c r="G278" s="556"/>
      <c r="H278" s="632"/>
      <c r="I278" s="632"/>
      <c r="J278" s="632"/>
      <c r="K278" s="632"/>
      <c r="L278" s="632"/>
      <c r="M278" s="632"/>
      <c r="N278" s="632"/>
      <c r="O278" s="632"/>
      <c r="P278" s="632"/>
      <c r="Q278" s="632"/>
      <c r="R278" s="598">
        <f>SUM(R269:R277)</f>
        <v>102</v>
      </c>
      <c r="S278" s="631">
        <f>SUM(S269:S277)</f>
        <v>0.99999999999999989</v>
      </c>
      <c r="T278" s="599">
        <f>SUM(T269:T277)</f>
        <v>15887</v>
      </c>
      <c r="U278" s="631">
        <f>SUM(U269:U277)</f>
        <v>1</v>
      </c>
      <c r="V278" s="556"/>
      <c r="W278" s="558"/>
      <c r="X278" s="543"/>
    </row>
    <row r="279" spans="1:24" s="544" customFormat="1" x14ac:dyDescent="0.3">
      <c r="A279" s="540"/>
      <c r="B279" s="588"/>
      <c r="C279" s="588"/>
      <c r="D279" s="588"/>
      <c r="E279" s="588"/>
      <c r="F279" s="588"/>
      <c r="G279" s="588"/>
      <c r="H279" s="633"/>
      <c r="I279" s="633"/>
      <c r="J279" s="633"/>
      <c r="K279" s="633"/>
      <c r="L279" s="633"/>
      <c r="M279" s="633"/>
      <c r="N279" s="633"/>
      <c r="O279" s="633"/>
      <c r="P279" s="633"/>
      <c r="Q279" s="633"/>
      <c r="R279" s="600"/>
      <c r="S279" s="628"/>
      <c r="T279" s="601"/>
      <c r="U279" s="628"/>
      <c r="V279" s="588"/>
      <c r="W279" s="588"/>
      <c r="X279" s="543"/>
    </row>
    <row r="280" spans="1:24" s="544" customFormat="1" x14ac:dyDescent="0.3">
      <c r="A280" s="647"/>
      <c r="B280" s="648" t="s">
        <v>405</v>
      </c>
      <c r="C280" s="649"/>
      <c r="D280" s="649"/>
      <c r="E280" s="649"/>
      <c r="F280" s="650"/>
      <c r="G280" s="649"/>
      <c r="H280" s="649"/>
      <c r="I280" s="649"/>
      <c r="J280" s="649"/>
      <c r="K280" s="649"/>
      <c r="L280" s="649"/>
      <c r="M280" s="649"/>
      <c r="N280" s="649"/>
      <c r="O280" s="649"/>
      <c r="P280" s="649"/>
      <c r="Q280" s="649"/>
      <c r="R280" s="650" t="s">
        <v>102</v>
      </c>
      <c r="S280" s="649" t="s">
        <v>103</v>
      </c>
      <c r="T280" s="650" t="s">
        <v>109</v>
      </c>
      <c r="U280" s="649" t="s">
        <v>103</v>
      </c>
      <c r="V280" s="649"/>
      <c r="W280" s="649"/>
      <c r="X280" s="543"/>
    </row>
    <row r="281" spans="1:24" s="544" customFormat="1" x14ac:dyDescent="0.3">
      <c r="A281" s="651"/>
      <c r="B281" s="652" t="s">
        <v>406</v>
      </c>
      <c r="C281" s="652"/>
      <c r="D281" s="652"/>
      <c r="E281" s="652"/>
      <c r="F281" s="652"/>
      <c r="G281" s="652"/>
      <c r="H281" s="653"/>
      <c r="I281" s="653"/>
      <c r="J281" s="653"/>
      <c r="K281" s="653"/>
      <c r="L281" s="653"/>
      <c r="M281" s="653"/>
      <c r="N281" s="653"/>
      <c r="O281" s="653"/>
      <c r="P281" s="653"/>
      <c r="Q281" s="653"/>
      <c r="R281" s="655">
        <v>85</v>
      </c>
      <c r="S281" s="656">
        <f>R281/R288</f>
        <v>0.83333333333333337</v>
      </c>
      <c r="T281" s="657">
        <v>13277</v>
      </c>
      <c r="U281" s="656">
        <f>T281/T288</f>
        <v>0.83571473531818463</v>
      </c>
      <c r="V281" s="653"/>
      <c r="W281" s="653"/>
      <c r="X281" s="543"/>
    </row>
    <row r="282" spans="1:24" s="544" customFormat="1" x14ac:dyDescent="0.3">
      <c r="A282" s="651"/>
      <c r="B282" s="652" t="s">
        <v>407</v>
      </c>
      <c r="C282" s="652"/>
      <c r="D282" s="652"/>
      <c r="E282" s="652"/>
      <c r="F282" s="652"/>
      <c r="G282" s="652"/>
      <c r="H282" s="653"/>
      <c r="I282" s="653"/>
      <c r="J282" s="653"/>
      <c r="K282" s="653"/>
      <c r="L282" s="653"/>
      <c r="M282" s="653"/>
      <c r="N282" s="653"/>
      <c r="O282" s="653"/>
      <c r="P282" s="653"/>
      <c r="Q282" s="653"/>
      <c r="R282" s="655">
        <v>1</v>
      </c>
      <c r="S282" s="656">
        <f>R282/R288</f>
        <v>9.8039215686274508E-3</v>
      </c>
      <c r="T282" s="657">
        <v>190</v>
      </c>
      <c r="U282" s="656">
        <f>T282/T288</f>
        <v>1.1959463712469314E-2</v>
      </c>
      <c r="V282" s="653"/>
      <c r="W282" s="653"/>
      <c r="X282" s="543"/>
    </row>
    <row r="283" spans="1:24" s="544" customFormat="1" x14ac:dyDescent="0.3">
      <c r="A283" s="651"/>
      <c r="B283" s="652" t="s">
        <v>408</v>
      </c>
      <c r="C283" s="652"/>
      <c r="D283" s="652"/>
      <c r="E283" s="652"/>
      <c r="F283" s="652"/>
      <c r="G283" s="652"/>
      <c r="H283" s="653"/>
      <c r="I283" s="653"/>
      <c r="J283" s="653"/>
      <c r="K283" s="653"/>
      <c r="L283" s="653"/>
      <c r="M283" s="653"/>
      <c r="N283" s="653"/>
      <c r="O283" s="653"/>
      <c r="P283" s="653"/>
      <c r="Q283" s="653"/>
      <c r="R283" s="655">
        <v>3</v>
      </c>
      <c r="S283" s="656">
        <f>R283/R288</f>
        <v>2.9411764705882353E-2</v>
      </c>
      <c r="T283" s="657">
        <v>385</v>
      </c>
      <c r="U283" s="656">
        <f>T283/T288</f>
        <v>2.4233650154214137E-2</v>
      </c>
      <c r="V283" s="653"/>
      <c r="W283" s="653"/>
      <c r="X283" s="543"/>
    </row>
    <row r="284" spans="1:24" s="544" customFormat="1" x14ac:dyDescent="0.3">
      <c r="A284" s="651"/>
      <c r="B284" s="652" t="s">
        <v>409</v>
      </c>
      <c r="C284" s="652"/>
      <c r="D284" s="652"/>
      <c r="E284" s="652"/>
      <c r="F284" s="652"/>
      <c r="G284" s="652"/>
      <c r="H284" s="653"/>
      <c r="I284" s="653"/>
      <c r="J284" s="653"/>
      <c r="K284" s="653"/>
      <c r="L284" s="653"/>
      <c r="M284" s="653"/>
      <c r="N284" s="653"/>
      <c r="O284" s="653"/>
      <c r="P284" s="653"/>
      <c r="Q284" s="653"/>
      <c r="R284" s="655">
        <v>2</v>
      </c>
      <c r="S284" s="656">
        <f>R284/R288</f>
        <v>1.9607843137254902E-2</v>
      </c>
      <c r="T284" s="657">
        <v>326</v>
      </c>
      <c r="U284" s="656">
        <f>T284/T288</f>
        <v>2.0519921948763141E-2</v>
      </c>
      <c r="V284" s="653"/>
      <c r="W284" s="653"/>
      <c r="X284" s="543"/>
    </row>
    <row r="285" spans="1:24" s="544" customFormat="1" x14ac:dyDescent="0.3">
      <c r="A285" s="651"/>
      <c r="B285" s="652" t="s">
        <v>413</v>
      </c>
      <c r="C285" s="652"/>
      <c r="D285" s="652"/>
      <c r="E285" s="652"/>
      <c r="F285" s="652"/>
      <c r="G285" s="652"/>
      <c r="H285" s="653"/>
      <c r="I285" s="653"/>
      <c r="J285" s="653"/>
      <c r="K285" s="653"/>
      <c r="L285" s="653"/>
      <c r="M285" s="653"/>
      <c r="N285" s="653"/>
      <c r="O285" s="653"/>
      <c r="P285" s="653"/>
      <c r="Q285" s="653"/>
      <c r="R285" s="655">
        <v>7</v>
      </c>
      <c r="S285" s="656">
        <f>R285/R288</f>
        <v>6.8627450980392163E-2</v>
      </c>
      <c r="T285" s="657">
        <v>1247</v>
      </c>
      <c r="U285" s="656">
        <f>T285/T288</f>
        <v>7.849184868131176E-2</v>
      </c>
      <c r="V285" s="653"/>
      <c r="W285" s="653"/>
      <c r="X285" s="543"/>
    </row>
    <row r="286" spans="1:24" s="544" customFormat="1" x14ac:dyDescent="0.3">
      <c r="A286" s="651"/>
      <c r="B286" s="654" t="s">
        <v>410</v>
      </c>
      <c r="C286" s="652"/>
      <c r="D286" s="652"/>
      <c r="E286" s="652"/>
      <c r="F286" s="652"/>
      <c r="G286" s="652"/>
      <c r="H286" s="653"/>
      <c r="I286" s="653"/>
      <c r="J286" s="653"/>
      <c r="K286" s="653"/>
      <c r="L286" s="653"/>
      <c r="M286" s="653"/>
      <c r="N286" s="653"/>
      <c r="O286" s="653"/>
      <c r="P286" s="653"/>
      <c r="Q286" s="653"/>
      <c r="R286" s="655">
        <v>4</v>
      </c>
      <c r="S286" s="656">
        <f>R286/R288</f>
        <v>3.9215686274509803E-2</v>
      </c>
      <c r="T286" s="657">
        <v>462</v>
      </c>
      <c r="U286" s="656">
        <f>T286/T288</f>
        <v>2.9080380185056966E-2</v>
      </c>
      <c r="V286" s="653"/>
      <c r="W286" s="653"/>
      <c r="X286" s="543"/>
    </row>
    <row r="287" spans="1:24" s="544" customFormat="1" x14ac:dyDescent="0.3">
      <c r="A287" s="651"/>
      <c r="B287" s="652"/>
      <c r="C287" s="652"/>
      <c r="D287" s="652"/>
      <c r="E287" s="652"/>
      <c r="F287" s="652"/>
      <c r="G287" s="652"/>
      <c r="H287" s="653"/>
      <c r="I287" s="653"/>
      <c r="J287" s="653"/>
      <c r="K287" s="653"/>
      <c r="L287" s="653"/>
      <c r="M287" s="653"/>
      <c r="N287" s="653"/>
      <c r="O287" s="653"/>
      <c r="P287" s="653"/>
      <c r="Q287" s="653"/>
      <c r="R287" s="655"/>
      <c r="S287" s="656"/>
      <c r="T287" s="657"/>
      <c r="U287" s="656"/>
      <c r="V287" s="653"/>
      <c r="W287" s="653"/>
      <c r="X287" s="543"/>
    </row>
    <row r="288" spans="1:24" s="544" customFormat="1" x14ac:dyDescent="0.3">
      <c r="A288" s="651"/>
      <c r="B288" s="652" t="s">
        <v>114</v>
      </c>
      <c r="C288" s="652"/>
      <c r="D288" s="652"/>
      <c r="E288" s="652"/>
      <c r="F288" s="652"/>
      <c r="G288" s="652"/>
      <c r="H288" s="653"/>
      <c r="I288" s="653"/>
      <c r="J288" s="653"/>
      <c r="K288" s="653"/>
      <c r="L288" s="653"/>
      <c r="M288" s="653"/>
      <c r="N288" s="653"/>
      <c r="O288" s="653"/>
      <c r="P288" s="653"/>
      <c r="Q288" s="653"/>
      <c r="R288" s="655">
        <f>SUM(R281:R287)</f>
        <v>102</v>
      </c>
      <c r="S288" s="656">
        <f>SUM(S281:S286)</f>
        <v>1</v>
      </c>
      <c r="T288" s="657">
        <f>SUM(T281:T286)</f>
        <v>15887</v>
      </c>
      <c r="U288" s="656">
        <f>SUM(U281:U287)</f>
        <v>1</v>
      </c>
      <c r="V288" s="653"/>
      <c r="W288" s="653"/>
      <c r="X288" s="543"/>
    </row>
    <row r="289" spans="1:24" x14ac:dyDescent="0.3">
      <c r="A289" s="417"/>
      <c r="B289" s="437"/>
      <c r="C289" s="437"/>
      <c r="D289" s="437"/>
      <c r="E289" s="437"/>
      <c r="F289" s="437"/>
      <c r="G289" s="437"/>
      <c r="H289" s="488"/>
      <c r="I289" s="488"/>
      <c r="J289" s="488"/>
      <c r="K289" s="488"/>
      <c r="L289" s="488"/>
      <c r="M289" s="488"/>
      <c r="N289" s="488"/>
      <c r="O289" s="488"/>
      <c r="P289" s="488"/>
      <c r="Q289" s="488"/>
      <c r="R289" s="447"/>
      <c r="S289" s="483"/>
      <c r="T289" s="484"/>
      <c r="U289" s="483"/>
      <c r="V289" s="437"/>
      <c r="W289" s="437"/>
      <c r="X289" s="415"/>
    </row>
    <row r="290" spans="1:24" x14ac:dyDescent="0.3">
      <c r="A290" s="515"/>
      <c r="B290" s="523" t="s">
        <v>163</v>
      </c>
      <c r="C290" s="517"/>
      <c r="D290" s="517"/>
      <c r="E290" s="517"/>
      <c r="F290" s="517"/>
      <c r="G290" s="517"/>
      <c r="H290" s="536"/>
      <c r="I290" s="536"/>
      <c r="J290" s="536"/>
      <c r="K290" s="536"/>
      <c r="L290" s="536"/>
      <c r="M290" s="536"/>
      <c r="N290" s="536"/>
      <c r="O290" s="536"/>
      <c r="P290" s="536"/>
      <c r="Q290" s="536"/>
      <c r="R290" s="534" t="s">
        <v>102</v>
      </c>
      <c r="S290" s="524" t="s">
        <v>103</v>
      </c>
      <c r="T290" s="534" t="s">
        <v>109</v>
      </c>
      <c r="U290" s="524" t="s">
        <v>103</v>
      </c>
      <c r="V290" s="517"/>
      <c r="W290" s="520"/>
      <c r="X290" s="415"/>
    </row>
    <row r="291" spans="1:24" s="544" customFormat="1" x14ac:dyDescent="0.3">
      <c r="A291" s="540"/>
      <c r="B291" s="600" t="s">
        <v>88</v>
      </c>
      <c r="C291" s="588"/>
      <c r="D291" s="588"/>
      <c r="E291" s="588"/>
      <c r="F291" s="588"/>
      <c r="G291" s="588"/>
      <c r="H291" s="633"/>
      <c r="I291" s="633"/>
      <c r="J291" s="633"/>
      <c r="K291" s="633"/>
      <c r="L291" s="633"/>
      <c r="M291" s="633"/>
      <c r="N291" s="633"/>
      <c r="O291" s="633"/>
      <c r="P291" s="633"/>
      <c r="Q291" s="633"/>
      <c r="R291" s="600">
        <v>0</v>
      </c>
      <c r="S291" s="628">
        <v>0</v>
      </c>
      <c r="T291" s="601">
        <v>0</v>
      </c>
      <c r="U291" s="628">
        <v>0</v>
      </c>
      <c r="V291" s="588"/>
      <c r="W291" s="588"/>
      <c r="X291" s="543"/>
    </row>
    <row r="292" spans="1:24" s="544" customFormat="1" x14ac:dyDescent="0.3">
      <c r="A292" s="555"/>
      <c r="B292" s="598" t="s">
        <v>89</v>
      </c>
      <c r="C292" s="556"/>
      <c r="D292" s="556"/>
      <c r="E292" s="556"/>
      <c r="F292" s="556"/>
      <c r="G292" s="556"/>
      <c r="H292" s="632"/>
      <c r="I292" s="632"/>
      <c r="J292" s="632"/>
      <c r="K292" s="632"/>
      <c r="L292" s="632"/>
      <c r="M292" s="632"/>
      <c r="N292" s="632"/>
      <c r="O292" s="632"/>
      <c r="P292" s="632"/>
      <c r="Q292" s="632"/>
      <c r="R292" s="598">
        <v>0</v>
      </c>
      <c r="S292" s="631">
        <v>0</v>
      </c>
      <c r="T292" s="599">
        <v>0</v>
      </c>
      <c r="U292" s="631">
        <v>0</v>
      </c>
      <c r="V292" s="556"/>
      <c r="W292" s="558"/>
      <c r="X292" s="543"/>
    </row>
    <row r="293" spans="1:24" s="544" customFormat="1" x14ac:dyDescent="0.3">
      <c r="A293" s="555"/>
      <c r="B293" s="598" t="s">
        <v>90</v>
      </c>
      <c r="C293" s="556"/>
      <c r="D293" s="556"/>
      <c r="E293" s="556"/>
      <c r="F293" s="556"/>
      <c r="G293" s="556"/>
      <c r="H293" s="632"/>
      <c r="I293" s="632"/>
      <c r="J293" s="632"/>
      <c r="K293" s="632"/>
      <c r="L293" s="632"/>
      <c r="M293" s="632"/>
      <c r="N293" s="632"/>
      <c r="O293" s="632"/>
      <c r="P293" s="632"/>
      <c r="Q293" s="632"/>
      <c r="R293" s="598">
        <v>0</v>
      </c>
      <c r="S293" s="631">
        <v>0</v>
      </c>
      <c r="T293" s="599">
        <v>0</v>
      </c>
      <c r="U293" s="631">
        <v>0</v>
      </c>
      <c r="V293" s="556"/>
      <c r="W293" s="558"/>
      <c r="X293" s="543"/>
    </row>
    <row r="294" spans="1:24" s="544" customFormat="1" x14ac:dyDescent="0.3">
      <c r="A294" s="555"/>
      <c r="B294" s="598" t="s">
        <v>156</v>
      </c>
      <c r="C294" s="556"/>
      <c r="D294" s="556"/>
      <c r="E294" s="556"/>
      <c r="F294" s="556"/>
      <c r="G294" s="556"/>
      <c r="H294" s="632"/>
      <c r="I294" s="632"/>
      <c r="J294" s="632"/>
      <c r="K294" s="632"/>
      <c r="L294" s="632"/>
      <c r="M294" s="632"/>
      <c r="N294" s="632"/>
      <c r="O294" s="632"/>
      <c r="P294" s="632"/>
      <c r="Q294" s="632"/>
      <c r="R294" s="598">
        <v>0</v>
      </c>
      <c r="S294" s="631">
        <v>0</v>
      </c>
      <c r="T294" s="599">
        <v>0</v>
      </c>
      <c r="U294" s="631">
        <v>0</v>
      </c>
      <c r="V294" s="556"/>
      <c r="W294" s="558"/>
      <c r="X294" s="543"/>
    </row>
    <row r="295" spans="1:24" s="544" customFormat="1" x14ac:dyDescent="0.3">
      <c r="A295" s="555"/>
      <c r="B295" s="598" t="s">
        <v>157</v>
      </c>
      <c r="C295" s="556"/>
      <c r="D295" s="556"/>
      <c r="E295" s="556"/>
      <c r="F295" s="556"/>
      <c r="G295" s="556"/>
      <c r="H295" s="632"/>
      <c r="I295" s="632"/>
      <c r="J295" s="632"/>
      <c r="K295" s="632"/>
      <c r="L295" s="632"/>
      <c r="M295" s="632"/>
      <c r="N295" s="632"/>
      <c r="O295" s="632"/>
      <c r="P295" s="632"/>
      <c r="Q295" s="632"/>
      <c r="R295" s="598">
        <v>0</v>
      </c>
      <c r="S295" s="631">
        <v>0</v>
      </c>
      <c r="T295" s="599">
        <v>0</v>
      </c>
      <c r="U295" s="631">
        <v>0</v>
      </c>
      <c r="V295" s="556"/>
      <c r="W295" s="558"/>
      <c r="X295" s="543"/>
    </row>
    <row r="296" spans="1:24" s="544" customFormat="1" x14ac:dyDescent="0.3">
      <c r="A296" s="555"/>
      <c r="B296" s="598" t="s">
        <v>158</v>
      </c>
      <c r="C296" s="556"/>
      <c r="D296" s="556"/>
      <c r="E296" s="556"/>
      <c r="F296" s="556"/>
      <c r="G296" s="556"/>
      <c r="H296" s="632"/>
      <c r="I296" s="632"/>
      <c r="J296" s="632"/>
      <c r="K296" s="632"/>
      <c r="L296" s="632"/>
      <c r="M296" s="632"/>
      <c r="N296" s="632"/>
      <c r="O296" s="632"/>
      <c r="P296" s="632"/>
      <c r="Q296" s="632"/>
      <c r="R296" s="598">
        <v>0</v>
      </c>
      <c r="S296" s="631">
        <v>0</v>
      </c>
      <c r="T296" s="599">
        <v>0</v>
      </c>
      <c r="U296" s="631">
        <v>0</v>
      </c>
      <c r="V296" s="556"/>
      <c r="W296" s="558"/>
      <c r="X296" s="543"/>
    </row>
    <row r="297" spans="1:24" s="544" customFormat="1" x14ac:dyDescent="0.3">
      <c r="A297" s="555"/>
      <c r="B297" s="598" t="s">
        <v>159</v>
      </c>
      <c r="C297" s="556"/>
      <c r="D297" s="556"/>
      <c r="E297" s="556"/>
      <c r="F297" s="556"/>
      <c r="G297" s="556"/>
      <c r="H297" s="632"/>
      <c r="I297" s="632"/>
      <c r="J297" s="632"/>
      <c r="K297" s="632"/>
      <c r="L297" s="632"/>
      <c r="M297" s="632"/>
      <c r="N297" s="632"/>
      <c r="O297" s="632"/>
      <c r="P297" s="632"/>
      <c r="Q297" s="632"/>
      <c r="R297" s="598">
        <v>0</v>
      </c>
      <c r="S297" s="631">
        <v>0</v>
      </c>
      <c r="T297" s="599">
        <v>0</v>
      </c>
      <c r="U297" s="631">
        <v>0</v>
      </c>
      <c r="V297" s="556"/>
      <c r="W297" s="558"/>
      <c r="X297" s="543"/>
    </row>
    <row r="298" spans="1:24" s="544" customFormat="1" x14ac:dyDescent="0.3">
      <c r="A298" s="555"/>
      <c r="B298" s="598" t="s">
        <v>160</v>
      </c>
      <c r="C298" s="556"/>
      <c r="D298" s="556"/>
      <c r="E298" s="556"/>
      <c r="F298" s="556"/>
      <c r="G298" s="556"/>
      <c r="H298" s="632"/>
      <c r="I298" s="632"/>
      <c r="J298" s="632"/>
      <c r="K298" s="632"/>
      <c r="L298" s="632"/>
      <c r="M298" s="632"/>
      <c r="N298" s="632"/>
      <c r="O298" s="632"/>
      <c r="P298" s="632"/>
      <c r="Q298" s="632"/>
      <c r="R298" s="598">
        <v>0</v>
      </c>
      <c r="S298" s="631">
        <v>0</v>
      </c>
      <c r="T298" s="599">
        <v>0</v>
      </c>
      <c r="U298" s="631">
        <v>0</v>
      </c>
      <c r="V298" s="556"/>
      <c r="W298" s="558"/>
      <c r="X298" s="543"/>
    </row>
    <row r="299" spans="1:24" s="544" customFormat="1" x14ac:dyDescent="0.3">
      <c r="A299" s="555"/>
      <c r="B299" s="598"/>
      <c r="C299" s="556"/>
      <c r="D299" s="556"/>
      <c r="E299" s="556"/>
      <c r="F299" s="556"/>
      <c r="G299" s="556"/>
      <c r="H299" s="632"/>
      <c r="I299" s="632"/>
      <c r="J299" s="632"/>
      <c r="K299" s="632"/>
      <c r="L299" s="632"/>
      <c r="M299" s="632"/>
      <c r="N299" s="632"/>
      <c r="O299" s="632"/>
      <c r="P299" s="632"/>
      <c r="Q299" s="632"/>
      <c r="R299" s="598"/>
      <c r="S299" s="631"/>
      <c r="T299" s="599"/>
      <c r="U299" s="631"/>
      <c r="V299" s="556"/>
      <c r="W299" s="558"/>
      <c r="X299" s="543"/>
    </row>
    <row r="300" spans="1:24" s="544" customFormat="1" x14ac:dyDescent="0.3">
      <c r="A300" s="555"/>
      <c r="B300" s="556" t="s">
        <v>114</v>
      </c>
      <c r="C300" s="556"/>
      <c r="D300" s="556"/>
      <c r="E300" s="556"/>
      <c r="F300" s="556"/>
      <c r="G300" s="556"/>
      <c r="H300" s="632"/>
      <c r="I300" s="632"/>
      <c r="J300" s="632"/>
      <c r="K300" s="632"/>
      <c r="L300" s="632"/>
      <c r="M300" s="632"/>
      <c r="N300" s="632"/>
      <c r="O300" s="632"/>
      <c r="P300" s="632"/>
      <c r="Q300" s="632"/>
      <c r="R300" s="598">
        <f>SUM(R291:R298)</f>
        <v>0</v>
      </c>
      <c r="S300" s="631">
        <f>SUM(S291:S299)</f>
        <v>0</v>
      </c>
      <c r="T300" s="599">
        <f>SUM(T291:T298)</f>
        <v>0</v>
      </c>
      <c r="U300" s="631">
        <f>SUM(U291:U299)</f>
        <v>0</v>
      </c>
      <c r="V300" s="556"/>
      <c r="W300" s="558"/>
      <c r="X300" s="543"/>
    </row>
    <row r="301" spans="1:24" s="544" customFormat="1" x14ac:dyDescent="0.3">
      <c r="A301" s="555"/>
      <c r="B301" s="556"/>
      <c r="C301" s="556"/>
      <c r="D301" s="556"/>
      <c r="E301" s="556"/>
      <c r="F301" s="556"/>
      <c r="G301" s="556"/>
      <c r="H301" s="632"/>
      <c r="I301" s="632"/>
      <c r="J301" s="632"/>
      <c r="K301" s="632"/>
      <c r="L301" s="632"/>
      <c r="M301" s="632"/>
      <c r="N301" s="632"/>
      <c r="O301" s="632"/>
      <c r="P301" s="632"/>
      <c r="Q301" s="632"/>
      <c r="R301" s="598"/>
      <c r="S301" s="631"/>
      <c r="T301" s="599"/>
      <c r="U301" s="631"/>
      <c r="V301" s="556"/>
      <c r="W301" s="558"/>
      <c r="X301" s="543"/>
    </row>
    <row r="302" spans="1:24" s="544" customFormat="1" x14ac:dyDescent="0.3">
      <c r="A302" s="555"/>
      <c r="B302" s="561" t="s">
        <v>164</v>
      </c>
      <c r="C302" s="556"/>
      <c r="D302" s="556"/>
      <c r="E302" s="556"/>
      <c r="F302" s="556"/>
      <c r="G302" s="556"/>
      <c r="H302" s="632"/>
      <c r="I302" s="632"/>
      <c r="J302" s="632"/>
      <c r="K302" s="632"/>
      <c r="L302" s="632"/>
      <c r="M302" s="632"/>
      <c r="N302" s="632"/>
      <c r="O302" s="632"/>
      <c r="P302" s="632"/>
      <c r="Q302" s="632"/>
      <c r="R302" s="634">
        <f>R300+R278+R266</f>
        <v>5010</v>
      </c>
      <c r="S302" s="631"/>
      <c r="T302" s="635">
        <f>+T300+T278+T266</f>
        <v>669279</v>
      </c>
      <c r="U302" s="631"/>
      <c r="V302" s="556"/>
      <c r="W302" s="558"/>
      <c r="X302" s="543"/>
    </row>
    <row r="303" spans="1:24" s="544" customFormat="1" x14ac:dyDescent="0.3">
      <c r="A303" s="540"/>
      <c r="B303" s="629"/>
      <c r="C303" s="588"/>
      <c r="D303" s="588"/>
      <c r="E303" s="588"/>
      <c r="F303" s="588"/>
      <c r="G303" s="588"/>
      <c r="H303" s="633"/>
      <c r="I303" s="633"/>
      <c r="J303" s="633"/>
      <c r="K303" s="633"/>
      <c r="L303" s="633"/>
      <c r="M303" s="633"/>
      <c r="N303" s="633"/>
      <c r="O303" s="633"/>
      <c r="P303" s="633"/>
      <c r="Q303" s="633"/>
      <c r="R303" s="617"/>
      <c r="S303" s="628"/>
      <c r="T303" s="643"/>
      <c r="U303" s="628"/>
      <c r="V303" s="588"/>
      <c r="W303" s="588"/>
      <c r="X303" s="543"/>
    </row>
    <row r="304" spans="1:24" s="544" customFormat="1" x14ac:dyDescent="0.3">
      <c r="A304" s="515" t="s">
        <v>392</v>
      </c>
      <c r="B304" s="523" t="s">
        <v>393</v>
      </c>
      <c r="C304" s="517"/>
      <c r="D304" s="517"/>
      <c r="E304" s="517"/>
      <c r="F304" s="517"/>
      <c r="G304" s="517"/>
      <c r="H304" s="536"/>
      <c r="I304" s="536"/>
      <c r="J304" s="536"/>
      <c r="K304" s="536"/>
      <c r="L304" s="536"/>
      <c r="M304" s="536"/>
      <c r="N304" s="536"/>
      <c r="O304" s="536"/>
      <c r="P304" s="536"/>
      <c r="Q304" s="536"/>
      <c r="R304" s="534" t="s">
        <v>102</v>
      </c>
      <c r="S304" s="524" t="s">
        <v>103</v>
      </c>
      <c r="T304" s="534" t="s">
        <v>109</v>
      </c>
      <c r="U304" s="524" t="s">
        <v>103</v>
      </c>
      <c r="V304" s="648" t="s">
        <v>421</v>
      </c>
      <c r="W304" s="520"/>
      <c r="X304" s="543"/>
    </row>
    <row r="305" spans="1:24" s="544" customFormat="1" x14ac:dyDescent="0.3">
      <c r="A305" s="540"/>
      <c r="B305" s="600" t="s">
        <v>88</v>
      </c>
      <c r="C305" s="588"/>
      <c r="D305" s="588"/>
      <c r="E305" s="588"/>
      <c r="F305" s="588"/>
      <c r="G305" s="588"/>
      <c r="H305" s="633"/>
      <c r="I305" s="633"/>
      <c r="J305" s="633"/>
      <c r="K305" s="633"/>
      <c r="L305" s="633"/>
      <c r="M305" s="633"/>
      <c r="N305" s="633"/>
      <c r="O305" s="633"/>
      <c r="P305" s="633"/>
      <c r="Q305" s="633"/>
      <c r="R305" s="600">
        <v>15</v>
      </c>
      <c r="S305" s="628">
        <f>+R305/R314</f>
        <v>1</v>
      </c>
      <c r="T305" s="601">
        <v>2883</v>
      </c>
      <c r="U305" s="628">
        <f>+T305/T314</f>
        <v>1</v>
      </c>
      <c r="V305" s="588"/>
      <c r="W305" s="588"/>
      <c r="X305" s="543"/>
    </row>
    <row r="306" spans="1:24" s="544" customFormat="1" x14ac:dyDescent="0.3">
      <c r="A306" s="555"/>
      <c r="B306" s="598" t="s">
        <v>89</v>
      </c>
      <c r="C306" s="556"/>
      <c r="D306" s="556"/>
      <c r="E306" s="556"/>
      <c r="F306" s="556"/>
      <c r="G306" s="556"/>
      <c r="H306" s="632"/>
      <c r="I306" s="632"/>
      <c r="J306" s="632"/>
      <c r="K306" s="632"/>
      <c r="L306" s="632"/>
      <c r="M306" s="632"/>
      <c r="N306" s="632"/>
      <c r="O306" s="632"/>
      <c r="P306" s="632"/>
      <c r="Q306" s="632"/>
      <c r="R306" s="598">
        <v>0</v>
      </c>
      <c r="S306" s="631">
        <f>+R306/R314</f>
        <v>0</v>
      </c>
      <c r="T306" s="599">
        <v>0</v>
      </c>
      <c r="U306" s="631">
        <f>+T306/T314</f>
        <v>0</v>
      </c>
      <c r="V306" s="556"/>
      <c r="W306" s="558"/>
      <c r="X306" s="543"/>
    </row>
    <row r="307" spans="1:24" s="544" customFormat="1" x14ac:dyDescent="0.3">
      <c r="A307" s="555"/>
      <c r="B307" s="598" t="s">
        <v>90</v>
      </c>
      <c r="C307" s="556"/>
      <c r="D307" s="556"/>
      <c r="E307" s="556"/>
      <c r="F307" s="556"/>
      <c r="G307" s="556"/>
      <c r="H307" s="632"/>
      <c r="I307" s="632"/>
      <c r="J307" s="632"/>
      <c r="K307" s="632"/>
      <c r="L307" s="632"/>
      <c r="M307" s="632"/>
      <c r="N307" s="632"/>
      <c r="O307" s="632"/>
      <c r="P307" s="632"/>
      <c r="Q307" s="632"/>
      <c r="R307" s="598">
        <v>0</v>
      </c>
      <c r="S307" s="631">
        <f>+R307/R314</f>
        <v>0</v>
      </c>
      <c r="T307" s="599">
        <v>0</v>
      </c>
      <c r="U307" s="631">
        <f>+T307/T314</f>
        <v>0</v>
      </c>
      <c r="V307" s="556"/>
      <c r="W307" s="558"/>
      <c r="X307" s="543"/>
    </row>
    <row r="308" spans="1:24" s="544" customFormat="1" x14ac:dyDescent="0.3">
      <c r="A308" s="555"/>
      <c r="B308" s="598" t="s">
        <v>156</v>
      </c>
      <c r="C308" s="556"/>
      <c r="D308" s="556"/>
      <c r="E308" s="556"/>
      <c r="F308" s="556"/>
      <c r="G308" s="556"/>
      <c r="H308" s="632"/>
      <c r="I308" s="632"/>
      <c r="J308" s="632"/>
      <c r="K308" s="632"/>
      <c r="L308" s="632"/>
      <c r="M308" s="632"/>
      <c r="N308" s="632"/>
      <c r="O308" s="632"/>
      <c r="P308" s="632"/>
      <c r="Q308" s="632"/>
      <c r="R308" s="598">
        <v>0</v>
      </c>
      <c r="S308" s="631">
        <f>+R308/R314</f>
        <v>0</v>
      </c>
      <c r="T308" s="599">
        <v>0</v>
      </c>
      <c r="U308" s="631">
        <f>+T308/T314</f>
        <v>0</v>
      </c>
      <c r="V308" s="556"/>
      <c r="W308" s="558"/>
      <c r="X308" s="543"/>
    </row>
    <row r="309" spans="1:24" s="544" customFormat="1" x14ac:dyDescent="0.3">
      <c r="A309" s="555"/>
      <c r="B309" s="598" t="s">
        <v>157</v>
      </c>
      <c r="C309" s="556"/>
      <c r="D309" s="556"/>
      <c r="E309" s="556"/>
      <c r="F309" s="556"/>
      <c r="G309" s="556"/>
      <c r="H309" s="632"/>
      <c r="I309" s="632"/>
      <c r="J309" s="632"/>
      <c r="K309" s="632"/>
      <c r="L309" s="632"/>
      <c r="M309" s="632"/>
      <c r="N309" s="632"/>
      <c r="O309" s="632"/>
      <c r="P309" s="632"/>
      <c r="Q309" s="632"/>
      <c r="R309" s="598">
        <v>0</v>
      </c>
      <c r="S309" s="631">
        <f>+R309/R314</f>
        <v>0</v>
      </c>
      <c r="T309" s="599">
        <v>0</v>
      </c>
      <c r="U309" s="631">
        <f>+T309/T314</f>
        <v>0</v>
      </c>
      <c r="V309" s="556"/>
      <c r="W309" s="558"/>
      <c r="X309" s="543"/>
    </row>
    <row r="310" spans="1:24" s="544" customFormat="1" x14ac:dyDescent="0.3">
      <c r="A310" s="555"/>
      <c r="B310" s="598" t="s">
        <v>158</v>
      </c>
      <c r="C310" s="556"/>
      <c r="D310" s="556"/>
      <c r="E310" s="556"/>
      <c r="F310" s="556"/>
      <c r="G310" s="556"/>
      <c r="H310" s="632"/>
      <c r="I310" s="632"/>
      <c r="J310" s="632"/>
      <c r="K310" s="632"/>
      <c r="L310" s="632"/>
      <c r="M310" s="632"/>
      <c r="N310" s="632"/>
      <c r="O310" s="632"/>
      <c r="P310" s="632"/>
      <c r="Q310" s="632"/>
      <c r="R310" s="598">
        <v>0</v>
      </c>
      <c r="S310" s="631">
        <f>+R310/R314</f>
        <v>0</v>
      </c>
      <c r="T310" s="599">
        <v>0</v>
      </c>
      <c r="U310" s="631">
        <f>+T310/T314</f>
        <v>0</v>
      </c>
      <c r="V310" s="556"/>
      <c r="W310" s="558"/>
      <c r="X310" s="543"/>
    </row>
    <row r="311" spans="1:24" s="544" customFormat="1" x14ac:dyDescent="0.3">
      <c r="A311" s="555"/>
      <c r="B311" s="598" t="s">
        <v>159</v>
      </c>
      <c r="C311" s="556"/>
      <c r="D311" s="556"/>
      <c r="E311" s="556"/>
      <c r="F311" s="556"/>
      <c r="G311" s="556"/>
      <c r="H311" s="632"/>
      <c r="I311" s="632"/>
      <c r="J311" s="632"/>
      <c r="K311" s="632"/>
      <c r="L311" s="632"/>
      <c r="M311" s="632"/>
      <c r="N311" s="632"/>
      <c r="O311" s="632"/>
      <c r="P311" s="632"/>
      <c r="Q311" s="632"/>
      <c r="R311" s="598">
        <v>0</v>
      </c>
      <c r="S311" s="631">
        <f>+R311/R314</f>
        <v>0</v>
      </c>
      <c r="T311" s="599">
        <v>0</v>
      </c>
      <c r="U311" s="631">
        <f>+T311/T314</f>
        <v>0</v>
      </c>
      <c r="V311" s="556"/>
      <c r="W311" s="558"/>
      <c r="X311" s="543"/>
    </row>
    <row r="312" spans="1:24" s="544" customFormat="1" x14ac:dyDescent="0.3">
      <c r="A312" s="555"/>
      <c r="B312" s="598" t="s">
        <v>160</v>
      </c>
      <c r="C312" s="556"/>
      <c r="D312" s="556"/>
      <c r="E312" s="556"/>
      <c r="F312" s="556"/>
      <c r="G312" s="556"/>
      <c r="H312" s="632"/>
      <c r="I312" s="632"/>
      <c r="J312" s="632"/>
      <c r="K312" s="632"/>
      <c r="L312" s="632"/>
      <c r="M312" s="632"/>
      <c r="N312" s="632"/>
      <c r="O312" s="632"/>
      <c r="P312" s="632"/>
      <c r="Q312" s="632"/>
      <c r="R312" s="598">
        <v>0</v>
      </c>
      <c r="S312" s="631">
        <f>+R312/R314</f>
        <v>0</v>
      </c>
      <c r="T312" s="599">
        <v>0</v>
      </c>
      <c r="U312" s="631">
        <f>+T312/T314</f>
        <v>0</v>
      </c>
      <c r="V312" s="556"/>
      <c r="W312" s="558"/>
      <c r="X312" s="543"/>
    </row>
    <row r="313" spans="1:24" s="544" customFormat="1" x14ac:dyDescent="0.3">
      <c r="A313" s="555"/>
      <c r="B313" s="598"/>
      <c r="C313" s="556"/>
      <c r="D313" s="556"/>
      <c r="E313" s="556"/>
      <c r="F313" s="556"/>
      <c r="G313" s="556"/>
      <c r="H313" s="632"/>
      <c r="I313" s="632"/>
      <c r="J313" s="632"/>
      <c r="K313" s="632"/>
      <c r="L313" s="632"/>
      <c r="M313" s="632"/>
      <c r="N313" s="632"/>
      <c r="O313" s="632"/>
      <c r="P313" s="632"/>
      <c r="Q313" s="632"/>
      <c r="R313" s="598"/>
      <c r="S313" s="631"/>
      <c r="T313" s="599"/>
      <c r="U313" s="631"/>
      <c r="V313" s="556"/>
      <c r="W313" s="558"/>
      <c r="X313" s="543"/>
    </row>
    <row r="314" spans="1:24" s="544" customFormat="1" x14ac:dyDescent="0.3">
      <c r="A314" s="555"/>
      <c r="B314" s="556" t="s">
        <v>114</v>
      </c>
      <c r="C314" s="556"/>
      <c r="D314" s="556"/>
      <c r="E314" s="556"/>
      <c r="F314" s="556"/>
      <c r="G314" s="556"/>
      <c r="H314" s="632"/>
      <c r="I314" s="632"/>
      <c r="J314" s="632"/>
      <c r="K314" s="632"/>
      <c r="L314" s="632"/>
      <c r="M314" s="632"/>
      <c r="N314" s="632"/>
      <c r="O314" s="632"/>
      <c r="P314" s="632"/>
      <c r="Q314" s="632"/>
      <c r="R314" s="598">
        <f>SUM(R305:R312)</f>
        <v>15</v>
      </c>
      <c r="S314" s="631">
        <f>SUM(S305:S313)</f>
        <v>1</v>
      </c>
      <c r="T314" s="599">
        <f>SUM(T305:T312)</f>
        <v>2883</v>
      </c>
      <c r="U314" s="631">
        <f>SUM(U305:U313)</f>
        <v>1</v>
      </c>
      <c r="V314" s="556"/>
      <c r="W314" s="558"/>
      <c r="X314" s="543"/>
    </row>
    <row r="315" spans="1:24" s="544" customFormat="1" ht="16.2" thickBot="1" x14ac:dyDescent="0.35">
      <c r="A315" s="555"/>
      <c r="B315" s="556" t="s">
        <v>412</v>
      </c>
      <c r="C315" s="556"/>
      <c r="D315" s="556"/>
      <c r="E315" s="556"/>
      <c r="F315" s="556"/>
      <c r="G315" s="556"/>
      <c r="H315" s="632"/>
      <c r="I315" s="632"/>
      <c r="J315" s="632"/>
      <c r="K315" s="632"/>
      <c r="L315" s="632"/>
      <c r="M315" s="632"/>
      <c r="N315" s="632"/>
      <c r="O315" s="632"/>
      <c r="P315" s="632"/>
      <c r="Q315" s="632"/>
      <c r="R315" s="658"/>
      <c r="S315" s="658">
        <f>+R314/R302</f>
        <v>2.9940119760479044E-3</v>
      </c>
      <c r="T315" s="660"/>
      <c r="U315" s="660">
        <f>+T314/T302</f>
        <v>4.3076205887230884E-3</v>
      </c>
      <c r="V315" s="556"/>
      <c r="W315" s="558"/>
      <c r="X315" s="543"/>
    </row>
    <row r="316" spans="1:24" s="544" customFormat="1" ht="16.2" thickTop="1" x14ac:dyDescent="0.3">
      <c r="A316" s="661"/>
      <c r="B316" s="662" t="s">
        <v>415</v>
      </c>
      <c r="C316" s="556"/>
      <c r="D316" s="556"/>
      <c r="E316" s="556"/>
      <c r="F316" s="556"/>
      <c r="G316" s="556"/>
      <c r="H316" s="632"/>
      <c r="I316" s="632"/>
      <c r="J316" s="632"/>
      <c r="K316" s="632"/>
      <c r="L316" s="632"/>
      <c r="M316" s="632"/>
      <c r="N316" s="632"/>
      <c r="O316" s="632"/>
      <c r="P316" s="632"/>
      <c r="Q316" s="632"/>
      <c r="R316" s="663">
        <v>8</v>
      </c>
      <c r="S316" s="664">
        <f>R316/R314</f>
        <v>0.53333333333333333</v>
      </c>
      <c r="T316" s="665">
        <v>968</v>
      </c>
      <c r="U316" s="664">
        <f>T316/T314</f>
        <v>0.3357613596947624</v>
      </c>
      <c r="V316" s="666">
        <v>0.625</v>
      </c>
      <c r="W316" s="558"/>
      <c r="X316" s="543"/>
    </row>
    <row r="317" spans="1:24" s="544" customFormat="1" ht="16.2" thickBot="1" x14ac:dyDescent="0.35">
      <c r="A317" s="661"/>
      <c r="B317" s="662" t="s">
        <v>416</v>
      </c>
      <c r="C317" s="556"/>
      <c r="D317" s="556"/>
      <c r="E317" s="556"/>
      <c r="F317" s="556"/>
      <c r="G317" s="556"/>
      <c r="H317" s="632"/>
      <c r="I317" s="632"/>
      <c r="J317" s="632"/>
      <c r="K317" s="632"/>
      <c r="L317" s="632"/>
      <c r="M317" s="632"/>
      <c r="N317" s="632"/>
      <c r="O317" s="632"/>
      <c r="P317" s="632"/>
      <c r="Q317" s="632"/>
      <c r="R317" s="667">
        <v>7</v>
      </c>
      <c r="S317" s="668">
        <f>R317/R314</f>
        <v>0.46666666666666667</v>
      </c>
      <c r="T317" s="669">
        <v>1915</v>
      </c>
      <c r="U317" s="670">
        <f>T317/T314</f>
        <v>0.6642386403052376</v>
      </c>
      <c r="V317" s="671">
        <v>0.84792626728110598</v>
      </c>
      <c r="W317" s="558"/>
      <c r="X317" s="543"/>
    </row>
    <row r="318" spans="1:24" s="544" customFormat="1" ht="16.2" thickTop="1" x14ac:dyDescent="0.3">
      <c r="A318" s="540"/>
      <c r="B318" s="541"/>
      <c r="C318" s="541"/>
      <c r="D318" s="541"/>
      <c r="E318" s="541"/>
      <c r="F318" s="541"/>
      <c r="G318" s="541"/>
      <c r="H318" s="636"/>
      <c r="I318" s="636"/>
      <c r="J318" s="636"/>
      <c r="K318" s="636"/>
      <c r="L318" s="636"/>
      <c r="M318" s="636"/>
      <c r="N318" s="636"/>
      <c r="O318" s="636"/>
      <c r="P318" s="636"/>
      <c r="Q318" s="636"/>
      <c r="R318" s="636"/>
      <c r="S318" s="636"/>
      <c r="T318" s="637"/>
      <c r="U318" s="636"/>
      <c r="V318" s="541"/>
      <c r="W318" s="541"/>
      <c r="X318" s="543"/>
    </row>
    <row r="319" spans="1:24" s="544" customFormat="1" x14ac:dyDescent="0.3">
      <c r="A319" s="540"/>
      <c r="B319" s="539" t="s">
        <v>91</v>
      </c>
      <c r="C319" s="541"/>
      <c r="D319" s="541"/>
      <c r="E319" s="541"/>
      <c r="F319" s="547" t="s">
        <v>97</v>
      </c>
      <c r="G319" s="541"/>
      <c r="H319" s="539" t="s">
        <v>99</v>
      </c>
      <c r="I319" s="539"/>
      <c r="J319" s="539"/>
      <c r="K319" s="541"/>
      <c r="L319" s="541"/>
      <c r="M319" s="541"/>
      <c r="N319" s="541"/>
      <c r="O319" s="541"/>
      <c r="P319" s="541"/>
      <c r="Q319" s="541"/>
      <c r="R319" s="541"/>
      <c r="S319" s="541"/>
      <c r="T319" s="541"/>
      <c r="U319" s="541"/>
      <c r="V319" s="541"/>
      <c r="W319" s="541"/>
      <c r="X319" s="543"/>
    </row>
    <row r="320" spans="1:24" s="544" customFormat="1" x14ac:dyDescent="0.3">
      <c r="A320" s="540"/>
      <c r="B320" s="539" t="s">
        <v>339</v>
      </c>
      <c r="C320" s="539"/>
      <c r="D320" s="539"/>
      <c r="E320" s="539"/>
      <c r="F320" s="638" t="s">
        <v>278</v>
      </c>
      <c r="G320" s="539"/>
      <c r="H320" s="639" t="s">
        <v>372</v>
      </c>
      <c r="I320" s="541"/>
      <c r="J320" s="539"/>
      <c r="K320" s="541"/>
      <c r="L320" s="541"/>
      <c r="M320" s="541"/>
      <c r="N320" s="541"/>
      <c r="O320" s="541"/>
      <c r="P320" s="541"/>
      <c r="Q320" s="541"/>
      <c r="R320" s="541"/>
      <c r="S320" s="541"/>
      <c r="T320" s="541"/>
      <c r="U320" s="541"/>
      <c r="V320" s="541"/>
      <c r="W320" s="541"/>
      <c r="X320" s="543"/>
    </row>
    <row r="321" spans="1:24" s="544" customFormat="1" x14ac:dyDescent="0.3">
      <c r="A321" s="540"/>
      <c r="B321" s="539" t="s">
        <v>340</v>
      </c>
      <c r="C321" s="539"/>
      <c r="D321" s="539"/>
      <c r="E321" s="539"/>
      <c r="F321" s="638" t="s">
        <v>147</v>
      </c>
      <c r="G321" s="539"/>
      <c r="H321" s="639" t="s">
        <v>373</v>
      </c>
      <c r="I321" s="539"/>
      <c r="J321" s="539"/>
      <c r="K321" s="541"/>
      <c r="L321" s="541"/>
      <c r="M321" s="541"/>
      <c r="N321" s="541"/>
      <c r="O321" s="541"/>
      <c r="P321" s="541"/>
      <c r="Q321" s="541"/>
      <c r="R321" s="541"/>
      <c r="S321" s="541"/>
      <c r="T321" s="541"/>
      <c r="U321" s="541"/>
      <c r="V321" s="541"/>
      <c r="W321" s="541"/>
      <c r="X321" s="543"/>
    </row>
    <row r="322" spans="1:24" s="544" customFormat="1" x14ac:dyDescent="0.3">
      <c r="A322" s="540"/>
      <c r="B322" s="539"/>
      <c r="C322" s="539"/>
      <c r="D322" s="539"/>
      <c r="E322" s="539"/>
      <c r="F322" s="638"/>
      <c r="G322" s="539"/>
      <c r="H322" s="539"/>
      <c r="I322" s="539"/>
      <c r="J322" s="539"/>
      <c r="K322" s="541"/>
      <c r="L322" s="541"/>
      <c r="M322" s="541"/>
      <c r="N322" s="541"/>
      <c r="O322" s="541"/>
      <c r="P322" s="541"/>
      <c r="Q322" s="541"/>
      <c r="R322" s="541"/>
      <c r="S322" s="541"/>
      <c r="T322" s="541"/>
      <c r="U322" s="541"/>
      <c r="V322" s="541"/>
      <c r="W322" s="541"/>
      <c r="X322" s="543"/>
    </row>
    <row r="323" spans="1:24" s="544" customFormat="1" x14ac:dyDescent="0.3">
      <c r="A323" s="540"/>
      <c r="B323" s="588" t="s">
        <v>368</v>
      </c>
      <c r="C323" s="539"/>
      <c r="D323" s="539"/>
      <c r="E323" s="539"/>
      <c r="F323" s="638"/>
      <c r="G323" s="539"/>
      <c r="H323" s="539"/>
      <c r="I323" s="539"/>
      <c r="J323" s="539"/>
      <c r="K323" s="541"/>
      <c r="L323" s="541"/>
      <c r="M323" s="541"/>
      <c r="N323" s="541"/>
      <c r="O323" s="541"/>
      <c r="P323" s="541"/>
      <c r="Q323" s="541"/>
      <c r="R323" s="541"/>
      <c r="S323" s="541"/>
      <c r="T323" s="541"/>
      <c r="U323" s="541"/>
      <c r="V323" s="541"/>
      <c r="W323" s="541"/>
      <c r="X323" s="543"/>
    </row>
    <row r="324" spans="1:24" s="544" customFormat="1" x14ac:dyDescent="0.3">
      <c r="A324" s="540"/>
      <c r="B324" s="588" t="s">
        <v>374</v>
      </c>
      <c r="C324" s="539"/>
      <c r="D324" s="539"/>
      <c r="E324" s="539"/>
      <c r="F324" s="638"/>
      <c r="G324" s="539"/>
      <c r="H324" s="539"/>
      <c r="I324" s="539"/>
      <c r="J324" s="539"/>
      <c r="K324" s="541"/>
      <c r="L324" s="541"/>
      <c r="M324" s="541"/>
      <c r="N324" s="541"/>
      <c r="O324" s="541"/>
      <c r="P324" s="541"/>
      <c r="Q324" s="541"/>
      <c r="R324" s="541"/>
      <c r="S324" s="541"/>
      <c r="T324" s="541"/>
      <c r="U324" s="541"/>
      <c r="V324" s="541"/>
      <c r="W324" s="541"/>
      <c r="X324" s="543"/>
    </row>
    <row r="325" spans="1:24" s="544" customFormat="1" x14ac:dyDescent="0.3">
      <c r="A325" s="540"/>
      <c r="B325" s="588" t="s">
        <v>365</v>
      </c>
      <c r="C325" s="539"/>
      <c r="D325" s="539"/>
      <c r="E325" s="539"/>
      <c r="F325" s="638"/>
      <c r="G325" s="539"/>
      <c r="H325" s="539"/>
      <c r="I325" s="539"/>
      <c r="J325" s="539"/>
      <c r="K325" s="541"/>
      <c r="L325" s="541"/>
      <c r="M325" s="541"/>
      <c r="N325" s="541"/>
      <c r="O325" s="541"/>
      <c r="P325" s="541"/>
      <c r="Q325" s="541"/>
      <c r="R325" s="541"/>
      <c r="S325" s="541"/>
      <c r="T325" s="541"/>
      <c r="U325" s="541"/>
      <c r="V325" s="541"/>
      <c r="W325" s="541"/>
      <c r="X325" s="543"/>
    </row>
    <row r="326" spans="1:24" s="544" customFormat="1" x14ac:dyDescent="0.3">
      <c r="A326" s="540"/>
      <c r="B326" s="588" t="s">
        <v>366</v>
      </c>
      <c r="C326" s="539"/>
      <c r="D326" s="539"/>
      <c r="E326" s="539"/>
      <c r="F326" s="638"/>
      <c r="G326" s="539"/>
      <c r="H326" s="539"/>
      <c r="I326" s="539"/>
      <c r="J326" s="539"/>
      <c r="K326" s="541"/>
      <c r="L326" s="541"/>
      <c r="M326" s="541"/>
      <c r="N326" s="541"/>
      <c r="O326" s="541"/>
      <c r="P326" s="541"/>
      <c r="Q326" s="541"/>
      <c r="R326" s="541"/>
      <c r="S326" s="541"/>
      <c r="T326" s="541"/>
      <c r="U326" s="541"/>
      <c r="V326" s="541"/>
      <c r="W326" s="541"/>
      <c r="X326" s="543"/>
    </row>
    <row r="327" spans="1:24" s="544" customFormat="1" x14ac:dyDescent="0.3">
      <c r="A327" s="540"/>
      <c r="B327" s="588"/>
      <c r="C327" s="539"/>
      <c r="D327" s="539"/>
      <c r="E327" s="539"/>
      <c r="F327" s="638"/>
      <c r="G327" s="539"/>
      <c r="H327" s="539"/>
      <c r="I327" s="539"/>
      <c r="J327" s="539"/>
      <c r="K327" s="541"/>
      <c r="L327" s="541"/>
      <c r="M327" s="541"/>
      <c r="N327" s="541"/>
      <c r="O327" s="541"/>
      <c r="P327" s="541"/>
      <c r="Q327" s="541"/>
      <c r="R327" s="541"/>
      <c r="S327" s="541"/>
      <c r="T327" s="541"/>
      <c r="U327" s="541"/>
      <c r="V327" s="541"/>
      <c r="W327" s="541"/>
      <c r="X327" s="543"/>
    </row>
    <row r="328" spans="1:24" s="544" customFormat="1" x14ac:dyDescent="0.3">
      <c r="A328" s="540"/>
      <c r="B328" s="644" t="s">
        <v>411</v>
      </c>
      <c r="C328" s="539"/>
      <c r="D328" s="539"/>
      <c r="E328" s="539"/>
      <c r="F328" s="638"/>
      <c r="G328" s="539"/>
      <c r="H328" s="539"/>
      <c r="I328" s="539"/>
      <c r="J328" s="539"/>
      <c r="K328" s="541"/>
      <c r="L328" s="541"/>
      <c r="M328" s="541"/>
      <c r="N328" s="541"/>
      <c r="O328" s="541"/>
      <c r="P328" s="541"/>
      <c r="Q328" s="541"/>
      <c r="R328" s="541"/>
      <c r="S328" s="541"/>
      <c r="T328" s="541"/>
      <c r="U328" s="541"/>
      <c r="V328" s="541"/>
      <c r="W328" s="541"/>
      <c r="X328" s="543"/>
    </row>
    <row r="329" spans="1:24" s="544" customFormat="1" x14ac:dyDescent="0.3">
      <c r="A329" s="540"/>
      <c r="B329" s="588"/>
      <c r="C329" s="539"/>
      <c r="D329" s="539"/>
      <c r="E329" s="539"/>
      <c r="F329" s="638"/>
      <c r="G329" s="539"/>
      <c r="H329" s="539"/>
      <c r="I329" s="539"/>
      <c r="J329" s="539"/>
      <c r="K329" s="541"/>
      <c r="L329" s="541"/>
      <c r="M329" s="541"/>
      <c r="N329" s="541"/>
      <c r="O329" s="541"/>
      <c r="P329" s="541"/>
      <c r="Q329" s="541"/>
      <c r="R329" s="541"/>
      <c r="S329" s="541"/>
      <c r="T329" s="541"/>
      <c r="U329" s="541"/>
      <c r="V329" s="541"/>
      <c r="W329" s="541"/>
      <c r="X329" s="543"/>
    </row>
    <row r="330" spans="1:24" x14ac:dyDescent="0.3">
      <c r="A330" s="417"/>
      <c r="B330" s="426"/>
      <c r="C330" s="426"/>
      <c r="D330" s="426"/>
      <c r="E330" s="426"/>
      <c r="F330" s="489"/>
      <c r="G330" s="426"/>
      <c r="H330" s="426"/>
      <c r="I330" s="426"/>
      <c r="J330" s="426"/>
      <c r="K330" s="427"/>
      <c r="L330" s="427"/>
      <c r="M330" s="427"/>
      <c r="N330" s="427"/>
      <c r="O330" s="427"/>
      <c r="P330" s="427"/>
      <c r="Q330" s="427"/>
      <c r="R330" s="427"/>
      <c r="S330" s="427"/>
      <c r="T330" s="427"/>
      <c r="U330" s="427"/>
      <c r="V330" s="427"/>
      <c r="W330" s="427"/>
      <c r="X330" s="415"/>
    </row>
    <row r="331" spans="1:24" ht="18" x14ac:dyDescent="0.35">
      <c r="A331" s="417"/>
      <c r="B331" s="514" t="s">
        <v>369</v>
      </c>
      <c r="C331" s="426"/>
      <c r="D331" s="426"/>
      <c r="E331" s="426"/>
      <c r="F331" s="426"/>
      <c r="G331" s="426"/>
      <c r="H331" s="427"/>
      <c r="I331" s="427"/>
      <c r="J331" s="427"/>
      <c r="K331" s="427"/>
      <c r="L331" s="419"/>
      <c r="M331" s="419"/>
      <c r="N331" s="490"/>
      <c r="O331" s="419"/>
      <c r="P331" s="412" t="s">
        <v>371</v>
      </c>
      <c r="Q331" s="427"/>
      <c r="R331" s="427"/>
      <c r="S331" s="427"/>
      <c r="T331" s="427"/>
      <c r="U331" s="427"/>
      <c r="V331" s="427"/>
      <c r="W331" s="427"/>
      <c r="X331" s="415"/>
    </row>
    <row r="332" spans="1:24" x14ac:dyDescent="0.3">
      <c r="A332" s="417"/>
      <c r="B332" s="426"/>
      <c r="C332" s="426"/>
      <c r="D332" s="426"/>
      <c r="E332" s="426"/>
      <c r="F332" s="426"/>
      <c r="G332" s="426"/>
      <c r="H332" s="427"/>
      <c r="I332" s="427"/>
      <c r="J332" s="427"/>
      <c r="K332" s="427"/>
      <c r="L332" s="427"/>
      <c r="M332" s="427"/>
      <c r="N332" s="427"/>
      <c r="O332" s="427"/>
      <c r="P332" s="427"/>
      <c r="Q332" s="427"/>
      <c r="R332" s="427"/>
      <c r="S332" s="427"/>
      <c r="T332" s="427"/>
      <c r="U332" s="427"/>
      <c r="V332" s="427"/>
      <c r="W332" s="427"/>
      <c r="X332" s="415"/>
    </row>
    <row r="333" spans="1:24" ht="18.600000000000001" thickBot="1" x14ac:dyDescent="0.4">
      <c r="A333" s="417"/>
      <c r="B333" s="640" t="str">
        <f>B206</f>
        <v>PM14 INVESTOR REPORT QUARTER ENDING FEBRUARY 2021</v>
      </c>
      <c r="C333" s="426"/>
      <c r="D333" s="426"/>
      <c r="E333" s="426"/>
      <c r="F333" s="426"/>
      <c r="G333" s="426"/>
      <c r="H333" s="427"/>
      <c r="I333" s="427"/>
      <c r="J333" s="427"/>
      <c r="K333" s="427"/>
      <c r="L333" s="427"/>
      <c r="M333" s="427"/>
      <c r="N333" s="427"/>
      <c r="O333" s="427"/>
      <c r="P333" s="427"/>
      <c r="Q333" s="427"/>
      <c r="R333" s="427"/>
      <c r="S333" s="427"/>
      <c r="T333" s="427"/>
      <c r="U333" s="427"/>
      <c r="V333" s="427"/>
      <c r="W333" s="427"/>
      <c r="X333" s="415"/>
    </row>
    <row r="334" spans="1:24" x14ac:dyDescent="0.3">
      <c r="A334" s="491"/>
      <c r="B334" s="491"/>
      <c r="C334" s="491"/>
      <c r="D334" s="491"/>
      <c r="E334" s="491"/>
      <c r="F334" s="491"/>
      <c r="G334" s="491"/>
      <c r="H334" s="491"/>
      <c r="I334" s="491"/>
      <c r="J334" s="491"/>
      <c r="K334" s="491"/>
      <c r="L334" s="491"/>
      <c r="M334" s="491"/>
      <c r="N334" s="491"/>
      <c r="O334" s="491"/>
      <c r="P334" s="491"/>
      <c r="Q334" s="491"/>
      <c r="R334" s="491"/>
      <c r="S334" s="491"/>
      <c r="T334" s="491"/>
      <c r="U334" s="491"/>
      <c r="V334" s="491"/>
      <c r="W334" s="491"/>
    </row>
    <row r="335" spans="1:24" x14ac:dyDescent="0.3">
      <c r="B335" s="645" t="s">
        <v>394</v>
      </c>
    </row>
    <row r="336" spans="1:24" x14ac:dyDescent="0.3">
      <c r="B336" s="646" t="s">
        <v>395</v>
      </c>
    </row>
    <row r="337" spans="2:2" x14ac:dyDescent="0.3">
      <c r="B337" s="646" t="s">
        <v>396</v>
      </c>
    </row>
    <row r="338" spans="2:2" x14ac:dyDescent="0.3">
      <c r="B338" s="646" t="s">
        <v>397</v>
      </c>
    </row>
    <row r="339" spans="2:2" x14ac:dyDescent="0.3">
      <c r="B339" s="646" t="s">
        <v>398</v>
      </c>
    </row>
    <row r="340" spans="2:2" x14ac:dyDescent="0.3">
      <c r="B340" s="646" t="s">
        <v>399</v>
      </c>
    </row>
    <row r="341" spans="2:2" x14ac:dyDescent="0.3">
      <c r="B341" s="646" t="s">
        <v>400</v>
      </c>
    </row>
    <row r="342" spans="2:2" x14ac:dyDescent="0.3">
      <c r="B342" s="646" t="s">
        <v>401</v>
      </c>
    </row>
    <row r="343" spans="2:2" x14ac:dyDescent="0.3">
      <c r="B343" s="646"/>
    </row>
    <row r="344" spans="2:2" x14ac:dyDescent="0.3">
      <c r="B344" s="645" t="s">
        <v>417</v>
      </c>
    </row>
    <row r="345" spans="2:2" x14ac:dyDescent="0.3">
      <c r="B345" s="646" t="s">
        <v>423</v>
      </c>
    </row>
    <row r="346" spans="2:2" x14ac:dyDescent="0.3">
      <c r="B346" s="646" t="s">
        <v>426</v>
      </c>
    </row>
    <row r="347" spans="2:2" x14ac:dyDescent="0.3">
      <c r="B347" s="646"/>
    </row>
    <row r="348" spans="2:2" x14ac:dyDescent="0.3">
      <c r="B348" s="645" t="s">
        <v>402</v>
      </c>
    </row>
    <row r="349" spans="2:2" x14ac:dyDescent="0.3">
      <c r="B349" s="646" t="s">
        <v>403</v>
      </c>
    </row>
    <row r="350" spans="2:2" x14ac:dyDescent="0.3">
      <c r="B350" s="646" t="s">
        <v>404</v>
      </c>
    </row>
  </sheetData>
  <hyperlinks>
    <hyperlink ref="I9" r:id="rId1" xr:uid="{AE0317A5-6818-4F9A-8ABF-9D54F392B8EE}"/>
    <hyperlink ref="P242" r:id="rId2" xr:uid="{CC75FFA1-E805-4C6A-8C0F-94E5B6548118}"/>
    <hyperlink ref="P331" r:id="rId3" xr:uid="{DC286A5A-2E1B-43C0-9B4B-B0B34DF9DFA8}"/>
  </hyperlinks>
  <printOptions horizontalCentered="1" verticalCentered="1"/>
  <pageMargins left="0.19685039370078741" right="0.19685039370078741" top="0.27559055118110237" bottom="0.27559055118110237" header="0" footer="0"/>
  <pageSetup scale="37" orientation="landscape" r:id="rId4"/>
  <headerFooter alignWithMargins="0"/>
  <rowBreaks count="3" manualBreakCount="3">
    <brk id="63" max="23" man="1"/>
    <brk id="140" max="14" man="1"/>
    <brk id="206" max="14" man="1"/>
  </rowBreaks>
  <drawing r:id="rId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019BA-015F-4B7E-AFA8-C45224F4CBF0}">
  <sheetPr>
    <tabColor rgb="FF89CB31"/>
  </sheetPr>
  <dimension ref="A1:IV351"/>
  <sheetViews>
    <sheetView showGridLines="0" tabSelected="1" showOutlineSymbols="0" zoomScale="70" zoomScaleNormal="70" workbookViewId="0"/>
  </sheetViews>
  <sheetFormatPr defaultColWidth="9.81640625" defaultRowHeight="15.6" x14ac:dyDescent="0.3"/>
  <cols>
    <col min="1" max="1" width="4" style="416" customWidth="1"/>
    <col min="2" max="2" width="71.08984375" style="416" customWidth="1"/>
    <col min="3" max="3" width="2.08984375" style="416" customWidth="1"/>
    <col min="4" max="4" width="19.1796875" style="416" customWidth="1"/>
    <col min="5" max="5" width="2.08984375" style="416" customWidth="1"/>
    <col min="6" max="6" width="25.08984375" style="416" customWidth="1"/>
    <col min="7" max="7" width="2.08984375" style="416" customWidth="1"/>
    <col min="8" max="8" width="16.08984375" style="416" customWidth="1"/>
    <col min="9" max="9" width="2.81640625" style="416" customWidth="1"/>
    <col min="10" max="10" width="16.08984375" style="416" customWidth="1"/>
    <col min="11" max="11" width="2.08984375" style="416" customWidth="1"/>
    <col min="12" max="12" width="17.81640625" style="416" customWidth="1"/>
    <col min="13" max="13" width="2.1796875" style="416" customWidth="1"/>
    <col min="14" max="14" width="14.81640625" style="416" customWidth="1"/>
    <col min="15" max="15" width="2.1796875" style="416" customWidth="1"/>
    <col min="16" max="16" width="15.54296875" style="416" customWidth="1"/>
    <col min="17" max="17" width="2.08984375" style="416" customWidth="1"/>
    <col min="18" max="18" width="15.54296875" style="416" customWidth="1"/>
    <col min="19" max="20" width="12.81640625" style="416" customWidth="1"/>
    <col min="21" max="21" width="7.81640625" style="416" customWidth="1"/>
    <col min="22" max="22" width="14.81640625" style="416" customWidth="1"/>
    <col min="23" max="23" width="11.81640625" style="416" customWidth="1"/>
    <col min="24" max="16384" width="9.81640625" style="416"/>
  </cols>
  <sheetData>
    <row r="1" spans="1:24" ht="21" x14ac:dyDescent="0.4">
      <c r="A1" s="413"/>
      <c r="B1" s="537" t="s">
        <v>244</v>
      </c>
      <c r="C1" s="414"/>
      <c r="D1" s="414"/>
      <c r="E1" s="414"/>
      <c r="F1" s="414"/>
      <c r="G1" s="414"/>
      <c r="H1" s="414"/>
      <c r="I1" s="414"/>
      <c r="J1" s="414"/>
      <c r="K1" s="414"/>
      <c r="L1" s="414"/>
      <c r="M1" s="414"/>
      <c r="N1" s="414"/>
      <c r="O1" s="414"/>
      <c r="P1" s="414"/>
      <c r="Q1" s="414"/>
      <c r="R1" s="414"/>
      <c r="S1" s="414"/>
      <c r="T1" s="414"/>
      <c r="U1" s="414"/>
      <c r="V1" s="414"/>
      <c r="W1" s="414"/>
      <c r="X1" s="415"/>
    </row>
    <row r="2" spans="1:24" x14ac:dyDescent="0.3">
      <c r="A2" s="417"/>
      <c r="B2" s="418"/>
      <c r="C2" s="419"/>
      <c r="D2" s="419"/>
      <c r="E2" s="419"/>
      <c r="F2" s="419"/>
      <c r="G2" s="419"/>
      <c r="H2" s="419"/>
      <c r="I2" s="419"/>
      <c r="J2" s="419"/>
      <c r="K2" s="419"/>
      <c r="L2" s="419"/>
      <c r="M2" s="419"/>
      <c r="N2" s="419"/>
      <c r="O2" s="419"/>
      <c r="P2" s="419"/>
      <c r="Q2" s="419"/>
      <c r="R2" s="419"/>
      <c r="S2" s="419"/>
      <c r="T2" s="419"/>
      <c r="U2" s="419"/>
      <c r="V2" s="419"/>
      <c r="W2" s="419"/>
      <c r="X2" s="415"/>
    </row>
    <row r="3" spans="1:24" x14ac:dyDescent="0.3">
      <c r="A3" s="420"/>
      <c r="B3" s="421" t="s">
        <v>245</v>
      </c>
      <c r="C3" s="419"/>
      <c r="D3" s="419"/>
      <c r="E3" s="419"/>
      <c r="F3" s="419"/>
      <c r="G3" s="419"/>
      <c r="H3" s="419"/>
      <c r="I3" s="419"/>
      <c r="J3" s="419"/>
      <c r="K3" s="419"/>
      <c r="L3" s="419"/>
      <c r="M3" s="419"/>
      <c r="N3" s="419"/>
      <c r="O3" s="419"/>
      <c r="P3" s="419"/>
      <c r="Q3" s="419"/>
      <c r="R3" s="419"/>
      <c r="S3" s="419"/>
      <c r="T3" s="419"/>
      <c r="U3" s="419"/>
      <c r="V3" s="419"/>
      <c r="W3" s="419"/>
      <c r="X3" s="415"/>
    </row>
    <row r="4" spans="1:24" x14ac:dyDescent="0.3">
      <c r="A4" s="417"/>
      <c r="B4" s="418"/>
      <c r="C4" s="419"/>
      <c r="D4" s="419"/>
      <c r="E4" s="419"/>
      <c r="F4" s="419"/>
      <c r="G4" s="419"/>
      <c r="H4" s="419"/>
      <c r="I4" s="419"/>
      <c r="J4" s="419"/>
      <c r="K4" s="419"/>
      <c r="L4" s="419"/>
      <c r="M4" s="419"/>
      <c r="N4" s="419"/>
      <c r="O4" s="419"/>
      <c r="P4" s="419"/>
      <c r="Q4" s="419"/>
      <c r="R4" s="419"/>
      <c r="S4" s="419"/>
      <c r="T4" s="419"/>
      <c r="U4" s="419"/>
      <c r="V4" s="419"/>
      <c r="W4" s="419"/>
      <c r="X4" s="415"/>
    </row>
    <row r="5" spans="1:24" x14ac:dyDescent="0.3">
      <c r="A5" s="417"/>
      <c r="B5" s="538" t="s">
        <v>137</v>
      </c>
      <c r="C5" s="419"/>
      <c r="D5" s="419"/>
      <c r="E5" s="419"/>
      <c r="F5" s="419"/>
      <c r="G5" s="419"/>
      <c r="H5" s="419"/>
      <c r="I5" s="419"/>
      <c r="J5" s="419"/>
      <c r="K5" s="419"/>
      <c r="L5" s="419"/>
      <c r="M5" s="419"/>
      <c r="N5" s="419"/>
      <c r="O5" s="419"/>
      <c r="P5" s="419"/>
      <c r="Q5" s="419"/>
      <c r="R5" s="419"/>
      <c r="S5" s="419"/>
      <c r="T5" s="419"/>
      <c r="U5" s="419"/>
      <c r="V5" s="419"/>
      <c r="W5" s="419"/>
      <c r="X5" s="415"/>
    </row>
    <row r="6" spans="1:24" x14ac:dyDescent="0.3">
      <c r="A6" s="417"/>
      <c r="B6" s="538" t="s">
        <v>139</v>
      </c>
      <c r="C6" s="419"/>
      <c r="D6" s="419"/>
      <c r="E6" s="419"/>
      <c r="F6" s="419"/>
      <c r="G6" s="419"/>
      <c r="H6" s="419"/>
      <c r="I6" s="419"/>
      <c r="J6" s="419"/>
      <c r="K6" s="419"/>
      <c r="L6" s="419"/>
      <c r="M6" s="419"/>
      <c r="N6" s="419"/>
      <c r="O6" s="419"/>
      <c r="P6" s="419"/>
      <c r="Q6" s="419"/>
      <c r="R6" s="419"/>
      <c r="S6" s="419"/>
      <c r="T6" s="419"/>
      <c r="U6" s="419"/>
      <c r="V6" s="419"/>
      <c r="W6" s="419"/>
      <c r="X6" s="415"/>
    </row>
    <row r="7" spans="1:24" x14ac:dyDescent="0.3">
      <c r="A7" s="417"/>
      <c r="B7" s="538" t="s">
        <v>138</v>
      </c>
      <c r="C7" s="419"/>
      <c r="D7" s="419"/>
      <c r="E7" s="419"/>
      <c r="F7" s="419"/>
      <c r="G7" s="419"/>
      <c r="H7" s="419"/>
      <c r="I7" s="419"/>
      <c r="J7" s="419"/>
      <c r="K7" s="419"/>
      <c r="L7" s="419"/>
      <c r="M7" s="419"/>
      <c r="N7" s="419"/>
      <c r="O7" s="419"/>
      <c r="P7" s="419"/>
      <c r="Q7" s="419"/>
      <c r="R7" s="419"/>
      <c r="S7" s="419"/>
      <c r="T7" s="419"/>
      <c r="U7" s="419"/>
      <c r="V7" s="419"/>
      <c r="W7" s="419"/>
      <c r="X7" s="415"/>
    </row>
    <row r="8" spans="1:24" x14ac:dyDescent="0.3">
      <c r="A8" s="417"/>
      <c r="B8" s="422"/>
      <c r="C8" s="419"/>
      <c r="D8" s="419"/>
      <c r="E8" s="419"/>
      <c r="F8" s="419"/>
      <c r="G8" s="419"/>
      <c r="H8" s="419"/>
      <c r="I8" s="419"/>
      <c r="J8" s="419"/>
      <c r="K8" s="419"/>
      <c r="L8" s="419"/>
      <c r="M8" s="419"/>
      <c r="N8" s="419"/>
      <c r="O8" s="419"/>
      <c r="P8" s="419"/>
      <c r="Q8" s="419"/>
      <c r="R8" s="419"/>
      <c r="S8" s="419"/>
      <c r="T8" s="419"/>
      <c r="U8" s="419"/>
      <c r="V8" s="419"/>
      <c r="W8" s="419"/>
      <c r="X8" s="415"/>
    </row>
    <row r="9" spans="1:24" ht="18" x14ac:dyDescent="0.35">
      <c r="A9" s="417"/>
      <c r="B9" s="423" t="s">
        <v>166</v>
      </c>
      <c r="C9" s="419"/>
      <c r="D9" s="419"/>
      <c r="E9" s="419"/>
      <c r="F9" s="419"/>
      <c r="G9" s="419"/>
      <c r="H9" s="419"/>
      <c r="I9" s="412" t="s">
        <v>371</v>
      </c>
      <c r="J9" s="419"/>
      <c r="K9" s="419"/>
      <c r="L9" s="424"/>
      <c r="M9" s="419"/>
      <c r="N9" s="424"/>
      <c r="O9" s="419"/>
      <c r="P9" s="419"/>
      <c r="Q9" s="419"/>
      <c r="R9" s="419"/>
      <c r="S9" s="419"/>
      <c r="T9" s="419"/>
      <c r="U9" s="419"/>
      <c r="V9" s="419"/>
      <c r="W9" s="419"/>
      <c r="X9" s="415"/>
    </row>
    <row r="10" spans="1:24" x14ac:dyDescent="0.3">
      <c r="A10" s="417"/>
      <c r="B10" s="422"/>
      <c r="C10" s="425"/>
      <c r="D10" s="425"/>
      <c r="E10" s="425"/>
      <c r="F10" s="419"/>
      <c r="G10" s="419"/>
      <c r="H10" s="419"/>
      <c r="I10" s="419"/>
      <c r="J10" s="419"/>
      <c r="K10" s="419"/>
      <c r="L10" s="419"/>
      <c r="M10" s="419"/>
      <c r="N10" s="419"/>
      <c r="O10" s="419"/>
      <c r="P10" s="419"/>
      <c r="Q10" s="419"/>
      <c r="R10" s="419"/>
      <c r="S10" s="419"/>
      <c r="T10" s="419"/>
      <c r="U10" s="419"/>
      <c r="V10" s="419"/>
      <c r="W10" s="419"/>
      <c r="X10" s="415"/>
    </row>
    <row r="11" spans="1:24" x14ac:dyDescent="0.3">
      <c r="A11" s="417"/>
      <c r="B11" s="539" t="s">
        <v>0</v>
      </c>
      <c r="C11" s="419"/>
      <c r="D11" s="419"/>
      <c r="E11" s="419"/>
      <c r="F11" s="419"/>
      <c r="G11" s="419"/>
      <c r="H11" s="419"/>
      <c r="I11" s="419"/>
      <c r="J11" s="419"/>
      <c r="K11" s="419"/>
      <c r="L11" s="419"/>
      <c r="M11" s="419"/>
      <c r="N11" s="419"/>
      <c r="O11" s="419"/>
      <c r="P11" s="419"/>
      <c r="Q11" s="419"/>
      <c r="R11" s="419"/>
      <c r="S11" s="419"/>
      <c r="T11" s="419"/>
      <c r="U11" s="419"/>
      <c r="V11" s="419"/>
      <c r="W11" s="419"/>
      <c r="X11" s="415"/>
    </row>
    <row r="12" spans="1:24" ht="16.2" thickBot="1" x14ac:dyDescent="0.35">
      <c r="A12" s="417"/>
      <c r="B12" s="425"/>
      <c r="C12" s="419"/>
      <c r="D12" s="419"/>
      <c r="E12" s="419"/>
      <c r="F12" s="419"/>
      <c r="G12" s="419"/>
      <c r="H12" s="419"/>
      <c r="I12" s="419"/>
      <c r="J12" s="419"/>
      <c r="K12" s="419"/>
      <c r="L12" s="419"/>
      <c r="M12" s="419"/>
      <c r="N12" s="419"/>
      <c r="O12" s="419"/>
      <c r="P12" s="419"/>
      <c r="Q12" s="419"/>
      <c r="R12" s="419"/>
      <c r="S12" s="419"/>
      <c r="T12" s="419"/>
      <c r="U12" s="419"/>
      <c r="V12" s="419"/>
      <c r="W12" s="419"/>
      <c r="X12" s="415"/>
    </row>
    <row r="13" spans="1:24" x14ac:dyDescent="0.3">
      <c r="A13" s="413"/>
      <c r="B13" s="414"/>
      <c r="C13" s="414"/>
      <c r="D13" s="414"/>
      <c r="E13" s="414"/>
      <c r="F13" s="414"/>
      <c r="G13" s="414"/>
      <c r="H13" s="414"/>
      <c r="I13" s="414"/>
      <c r="J13" s="414"/>
      <c r="K13" s="414"/>
      <c r="L13" s="414"/>
      <c r="M13" s="414"/>
      <c r="N13" s="414"/>
      <c r="O13" s="414"/>
      <c r="P13" s="414"/>
      <c r="Q13" s="414"/>
      <c r="R13" s="414"/>
      <c r="S13" s="414"/>
      <c r="T13" s="414"/>
      <c r="U13" s="414"/>
      <c r="V13" s="414"/>
      <c r="W13" s="414"/>
      <c r="X13" s="415"/>
    </row>
    <row r="14" spans="1:24" s="544" customFormat="1" x14ac:dyDescent="0.3">
      <c r="A14" s="540"/>
      <c r="B14" s="539" t="s">
        <v>1</v>
      </c>
      <c r="C14" s="541"/>
      <c r="D14" s="541"/>
      <c r="E14" s="541"/>
      <c r="F14" s="541"/>
      <c r="G14" s="541"/>
      <c r="H14" s="541"/>
      <c r="I14" s="541"/>
      <c r="J14" s="541"/>
      <c r="K14" s="541"/>
      <c r="L14" s="541"/>
      <c r="M14" s="541"/>
      <c r="N14" s="541"/>
      <c r="O14" s="541"/>
      <c r="P14" s="541"/>
      <c r="Q14" s="541"/>
      <c r="R14" s="541"/>
      <c r="S14" s="541"/>
      <c r="T14" s="541"/>
      <c r="U14" s="541"/>
      <c r="V14" s="542" t="s">
        <v>246</v>
      </c>
      <c r="W14" s="541"/>
      <c r="X14" s="543"/>
    </row>
    <row r="15" spans="1:24" s="544" customFormat="1" x14ac:dyDescent="0.3">
      <c r="A15" s="540"/>
      <c r="B15" s="539" t="s">
        <v>2</v>
      </c>
      <c r="C15" s="541"/>
      <c r="D15" s="541"/>
      <c r="E15" s="541"/>
      <c r="F15" s="541"/>
      <c r="G15" s="541"/>
      <c r="H15" s="545"/>
      <c r="I15" s="545"/>
      <c r="J15" s="545"/>
      <c r="K15" s="545"/>
      <c r="L15" s="545"/>
      <c r="M15" s="545"/>
      <c r="N15" s="545"/>
      <c r="O15" s="545"/>
      <c r="P15" s="545"/>
      <c r="Q15" s="545"/>
      <c r="R15" s="545" t="s">
        <v>104</v>
      </c>
      <c r="S15" s="546">
        <v>0.38300000000000001</v>
      </c>
      <c r="T15" s="547" t="s">
        <v>140</v>
      </c>
      <c r="U15" s="546">
        <v>0.61699999999999999</v>
      </c>
      <c r="V15" s="542"/>
      <c r="W15" s="541"/>
      <c r="X15" s="543"/>
    </row>
    <row r="16" spans="1:24" s="544" customFormat="1" x14ac:dyDescent="0.3">
      <c r="A16" s="540"/>
      <c r="B16" s="539" t="s">
        <v>3</v>
      </c>
      <c r="C16" s="541"/>
      <c r="D16" s="541"/>
      <c r="E16" s="541"/>
      <c r="F16" s="541"/>
      <c r="G16" s="541"/>
      <c r="H16" s="545"/>
      <c r="I16" s="545"/>
      <c r="J16" s="545"/>
      <c r="K16" s="545"/>
      <c r="L16" s="545"/>
      <c r="M16" s="545"/>
      <c r="N16" s="545"/>
      <c r="O16" s="545"/>
      <c r="P16" s="545"/>
      <c r="Q16" s="545"/>
      <c r="R16" s="545" t="s">
        <v>104</v>
      </c>
      <c r="S16" s="546">
        <v>0</v>
      </c>
      <c r="T16" s="547" t="s">
        <v>140</v>
      </c>
      <c r="U16" s="546">
        <v>0</v>
      </c>
      <c r="V16" s="542"/>
      <c r="W16" s="541"/>
      <c r="X16" s="543"/>
    </row>
    <row r="17" spans="1:24" s="544" customFormat="1" x14ac:dyDescent="0.3">
      <c r="A17" s="540"/>
      <c r="B17" s="539" t="s">
        <v>4</v>
      </c>
      <c r="C17" s="541"/>
      <c r="D17" s="541"/>
      <c r="E17" s="541"/>
      <c r="F17" s="541"/>
      <c r="G17" s="541"/>
      <c r="H17" s="541"/>
      <c r="I17" s="541"/>
      <c r="J17" s="541"/>
      <c r="K17" s="541"/>
      <c r="L17" s="541"/>
      <c r="M17" s="541"/>
      <c r="N17" s="541"/>
      <c r="O17" s="541"/>
      <c r="P17" s="541"/>
      <c r="Q17" s="541"/>
      <c r="R17" s="541"/>
      <c r="S17" s="541"/>
      <c r="T17" s="541"/>
      <c r="U17" s="541"/>
      <c r="V17" s="548">
        <v>39163</v>
      </c>
      <c r="W17" s="541"/>
      <c r="X17" s="543"/>
    </row>
    <row r="18" spans="1:24" s="544" customFormat="1" x14ac:dyDescent="0.3">
      <c r="A18" s="540"/>
      <c r="B18" s="539" t="s">
        <v>5</v>
      </c>
      <c r="C18" s="541"/>
      <c r="D18" s="541"/>
      <c r="E18" s="541"/>
      <c r="F18" s="541"/>
      <c r="G18" s="541"/>
      <c r="H18" s="541"/>
      <c r="I18" s="541"/>
      <c r="J18" s="541"/>
      <c r="K18" s="541"/>
      <c r="L18" s="541"/>
      <c r="M18" s="541"/>
      <c r="N18" s="541"/>
      <c r="O18" s="541"/>
      <c r="P18" s="541"/>
      <c r="Q18" s="541"/>
      <c r="R18" s="541"/>
      <c r="S18" s="541"/>
      <c r="T18" s="541"/>
      <c r="U18" s="541"/>
      <c r="V18" s="548">
        <v>44365</v>
      </c>
      <c r="W18" s="541"/>
      <c r="X18" s="543"/>
    </row>
    <row r="19" spans="1:24" s="544" customFormat="1" x14ac:dyDescent="0.3">
      <c r="A19" s="540"/>
      <c r="B19" s="541"/>
      <c r="C19" s="541"/>
      <c r="D19" s="541"/>
      <c r="E19" s="541"/>
      <c r="F19" s="541"/>
      <c r="G19" s="541"/>
      <c r="H19" s="541"/>
      <c r="I19" s="541"/>
      <c r="J19" s="541"/>
      <c r="K19" s="541"/>
      <c r="L19" s="541"/>
      <c r="M19" s="541"/>
      <c r="N19" s="541"/>
      <c r="O19" s="541"/>
      <c r="P19" s="541"/>
      <c r="Q19" s="541"/>
      <c r="R19" s="541"/>
      <c r="S19" s="541"/>
      <c r="T19" s="541"/>
      <c r="U19" s="541"/>
      <c r="V19" s="549"/>
      <c r="W19" s="541"/>
      <c r="X19" s="543"/>
    </row>
    <row r="20" spans="1:24" s="544" customFormat="1" x14ac:dyDescent="0.3">
      <c r="A20" s="540"/>
      <c r="B20" s="550" t="s">
        <v>6</v>
      </c>
      <c r="C20" s="541"/>
      <c r="D20" s="541"/>
      <c r="E20" s="541"/>
      <c r="F20" s="541"/>
      <c r="G20" s="541"/>
      <c r="H20" s="541"/>
      <c r="I20" s="541"/>
      <c r="J20" s="541"/>
      <c r="K20" s="541"/>
      <c r="L20" s="541"/>
      <c r="M20" s="541"/>
      <c r="N20" s="541"/>
      <c r="O20" s="541"/>
      <c r="P20" s="541"/>
      <c r="Q20" s="541"/>
      <c r="R20" s="541"/>
      <c r="S20" s="541"/>
      <c r="T20" s="549" t="s">
        <v>105</v>
      </c>
      <c r="U20" s="541"/>
      <c r="V20" s="541"/>
      <c r="W20" s="541"/>
      <c r="X20" s="543"/>
    </row>
    <row r="21" spans="1:24" x14ac:dyDescent="0.3">
      <c r="A21" s="417"/>
      <c r="B21" s="419"/>
      <c r="C21" s="419"/>
      <c r="D21" s="419"/>
      <c r="E21" s="419"/>
      <c r="F21" s="419"/>
      <c r="G21" s="419"/>
      <c r="H21" s="419"/>
      <c r="I21" s="419"/>
      <c r="J21" s="419"/>
      <c r="K21" s="419"/>
      <c r="L21" s="419"/>
      <c r="M21" s="419"/>
      <c r="N21" s="419"/>
      <c r="O21" s="419"/>
      <c r="P21" s="419"/>
      <c r="Q21" s="419"/>
      <c r="R21" s="419"/>
      <c r="S21" s="419"/>
      <c r="T21" s="419"/>
      <c r="U21" s="419"/>
      <c r="V21" s="430"/>
      <c r="W21" s="419"/>
      <c r="X21" s="415"/>
    </row>
    <row r="22" spans="1:24" x14ac:dyDescent="0.3">
      <c r="A22" s="515"/>
      <c r="B22" s="517"/>
      <c r="C22" s="518"/>
      <c r="D22" s="518" t="s">
        <v>177</v>
      </c>
      <c r="E22" s="518"/>
      <c r="F22" s="518" t="s">
        <v>178</v>
      </c>
      <c r="G22" s="518"/>
      <c r="H22" s="518" t="s">
        <v>179</v>
      </c>
      <c r="I22" s="518"/>
      <c r="J22" s="518" t="s">
        <v>220</v>
      </c>
      <c r="K22" s="518"/>
      <c r="L22" s="518" t="s">
        <v>180</v>
      </c>
      <c r="M22" s="518"/>
      <c r="N22" s="518" t="s">
        <v>181</v>
      </c>
      <c r="O22" s="518"/>
      <c r="P22" s="518" t="s">
        <v>221</v>
      </c>
      <c r="Q22" s="518"/>
      <c r="R22" s="518" t="s">
        <v>182</v>
      </c>
      <c r="S22" s="519"/>
      <c r="T22" s="519"/>
      <c r="U22" s="517"/>
      <c r="V22" s="517"/>
      <c r="W22" s="520"/>
      <c r="X22" s="415"/>
    </row>
    <row r="23" spans="1:24" s="544" customFormat="1" x14ac:dyDescent="0.3">
      <c r="A23" s="551"/>
      <c r="B23" s="552" t="s">
        <v>7</v>
      </c>
      <c r="C23" s="553"/>
      <c r="D23" s="553" t="s">
        <v>213</v>
      </c>
      <c r="E23" s="553"/>
      <c r="F23" s="553" t="s">
        <v>141</v>
      </c>
      <c r="G23" s="553"/>
      <c r="H23" s="553" t="s">
        <v>141</v>
      </c>
      <c r="I23" s="553"/>
      <c r="J23" s="553" t="s">
        <v>141</v>
      </c>
      <c r="K23" s="553"/>
      <c r="L23" s="553" t="s">
        <v>183</v>
      </c>
      <c r="M23" s="553"/>
      <c r="N23" s="553" t="s">
        <v>183</v>
      </c>
      <c r="O23" s="553"/>
      <c r="P23" s="553" t="s">
        <v>142</v>
      </c>
      <c r="Q23" s="553"/>
      <c r="R23" s="553" t="s">
        <v>142</v>
      </c>
      <c r="S23" s="553"/>
      <c r="T23" s="553"/>
      <c r="U23" s="552"/>
      <c r="V23" s="552"/>
      <c r="W23" s="554"/>
      <c r="X23" s="543"/>
    </row>
    <row r="24" spans="1:24" s="544" customFormat="1" x14ac:dyDescent="0.3">
      <c r="A24" s="555"/>
      <c r="B24" s="556" t="s">
        <v>8</v>
      </c>
      <c r="C24" s="557"/>
      <c r="D24" s="557" t="s">
        <v>214</v>
      </c>
      <c r="E24" s="557"/>
      <c r="F24" s="557" t="s">
        <v>143</v>
      </c>
      <c r="G24" s="557"/>
      <c r="H24" s="557" t="s">
        <v>143</v>
      </c>
      <c r="I24" s="557"/>
      <c r="J24" s="557" t="s">
        <v>143</v>
      </c>
      <c r="K24" s="557"/>
      <c r="L24" s="557" t="s">
        <v>165</v>
      </c>
      <c r="M24" s="557"/>
      <c r="N24" s="557" t="s">
        <v>165</v>
      </c>
      <c r="O24" s="557"/>
      <c r="P24" s="557" t="s">
        <v>144</v>
      </c>
      <c r="Q24" s="557"/>
      <c r="R24" s="557" t="s">
        <v>144</v>
      </c>
      <c r="S24" s="557"/>
      <c r="T24" s="557"/>
      <c r="U24" s="556"/>
      <c r="V24" s="556"/>
      <c r="W24" s="558"/>
      <c r="X24" s="543"/>
    </row>
    <row r="25" spans="1:24" s="544" customFormat="1" x14ac:dyDescent="0.3">
      <c r="A25" s="559"/>
      <c r="B25" s="556" t="s">
        <v>190</v>
      </c>
      <c r="C25" s="560"/>
      <c r="D25" s="557" t="s">
        <v>215</v>
      </c>
      <c r="E25" s="557"/>
      <c r="F25" s="557" t="s">
        <v>143</v>
      </c>
      <c r="G25" s="557"/>
      <c r="H25" s="557" t="s">
        <v>143</v>
      </c>
      <c r="I25" s="557"/>
      <c r="J25" s="557" t="s">
        <v>143</v>
      </c>
      <c r="K25" s="557"/>
      <c r="L25" s="557" t="s">
        <v>293</v>
      </c>
      <c r="M25" s="557"/>
      <c r="N25" s="557" t="s">
        <v>293</v>
      </c>
      <c r="O25" s="557"/>
      <c r="P25" s="557" t="s">
        <v>144</v>
      </c>
      <c r="Q25" s="557"/>
      <c r="R25" s="557" t="s">
        <v>144</v>
      </c>
      <c r="S25" s="560"/>
      <c r="T25" s="557"/>
      <c r="U25" s="556"/>
      <c r="V25" s="556"/>
      <c r="W25" s="558"/>
      <c r="X25" s="543"/>
    </row>
    <row r="26" spans="1:24" s="544" customFormat="1" x14ac:dyDescent="0.3">
      <c r="A26" s="559"/>
      <c r="B26" s="561" t="s">
        <v>9</v>
      </c>
      <c r="C26" s="560"/>
      <c r="D26" s="560" t="s">
        <v>333</v>
      </c>
      <c r="E26" s="560"/>
      <c r="F26" s="560" t="s">
        <v>333</v>
      </c>
      <c r="G26" s="560"/>
      <c r="H26" s="560" t="s">
        <v>333</v>
      </c>
      <c r="I26" s="560"/>
      <c r="J26" s="560" t="s">
        <v>333</v>
      </c>
      <c r="K26" s="560"/>
      <c r="L26" s="560" t="s">
        <v>333</v>
      </c>
      <c r="M26" s="560"/>
      <c r="N26" s="560" t="s">
        <v>333</v>
      </c>
      <c r="O26" s="560"/>
      <c r="P26" s="560" t="s">
        <v>334</v>
      </c>
      <c r="Q26" s="560"/>
      <c r="R26" s="560" t="s">
        <v>334</v>
      </c>
      <c r="S26" s="560"/>
      <c r="T26" s="557"/>
      <c r="U26" s="556"/>
      <c r="V26" s="556"/>
      <c r="W26" s="558"/>
      <c r="X26" s="543"/>
    </row>
    <row r="27" spans="1:24" s="544" customFormat="1" x14ac:dyDescent="0.3">
      <c r="A27" s="555"/>
      <c r="B27" s="561" t="s">
        <v>191</v>
      </c>
      <c r="C27" s="557"/>
      <c r="D27" s="560" t="s">
        <v>143</v>
      </c>
      <c r="E27" s="560"/>
      <c r="F27" s="560" t="s">
        <v>143</v>
      </c>
      <c r="G27" s="560"/>
      <c r="H27" s="560" t="s">
        <v>143</v>
      </c>
      <c r="I27" s="560"/>
      <c r="J27" s="560" t="s">
        <v>143</v>
      </c>
      <c r="K27" s="560"/>
      <c r="L27" s="560" t="s">
        <v>293</v>
      </c>
      <c r="M27" s="560"/>
      <c r="N27" s="560" t="s">
        <v>293</v>
      </c>
      <c r="O27" s="560"/>
      <c r="P27" s="560" t="s">
        <v>383</v>
      </c>
      <c r="Q27" s="560"/>
      <c r="R27" s="560" t="s">
        <v>383</v>
      </c>
      <c r="S27" s="557"/>
      <c r="T27" s="562"/>
      <c r="U27" s="556"/>
      <c r="V27" s="556"/>
      <c r="W27" s="558"/>
      <c r="X27" s="543"/>
    </row>
    <row r="28" spans="1:24" s="544" customFormat="1" x14ac:dyDescent="0.3">
      <c r="A28" s="555"/>
      <c r="B28" s="561" t="s">
        <v>192</v>
      </c>
      <c r="C28" s="557"/>
      <c r="D28" s="560" t="s">
        <v>143</v>
      </c>
      <c r="E28" s="560"/>
      <c r="F28" s="560" t="s">
        <v>143</v>
      </c>
      <c r="G28" s="560"/>
      <c r="H28" s="560" t="s">
        <v>143</v>
      </c>
      <c r="I28" s="560"/>
      <c r="J28" s="560" t="s">
        <v>143</v>
      </c>
      <c r="K28" s="560"/>
      <c r="L28" s="560" t="s">
        <v>143</v>
      </c>
      <c r="M28" s="560"/>
      <c r="N28" s="560" t="s">
        <v>143</v>
      </c>
      <c r="O28" s="560"/>
      <c r="P28" s="560" t="s">
        <v>383</v>
      </c>
      <c r="Q28" s="560"/>
      <c r="R28" s="560" t="s">
        <v>383</v>
      </c>
      <c r="S28" s="557"/>
      <c r="T28" s="562"/>
      <c r="U28" s="556"/>
      <c r="V28" s="556"/>
      <c r="W28" s="558"/>
      <c r="X28" s="543"/>
    </row>
    <row r="29" spans="1:24" s="544" customFormat="1" x14ac:dyDescent="0.3">
      <c r="A29" s="555"/>
      <c r="B29" s="556" t="s">
        <v>10</v>
      </c>
      <c r="C29" s="563"/>
      <c r="D29" s="557" t="s">
        <v>249</v>
      </c>
      <c r="E29" s="557"/>
      <c r="F29" s="562" t="s">
        <v>250</v>
      </c>
      <c r="G29" s="557"/>
      <c r="H29" s="557" t="s">
        <v>251</v>
      </c>
      <c r="I29" s="557"/>
      <c r="J29" s="557" t="s">
        <v>253</v>
      </c>
      <c r="K29" s="557"/>
      <c r="L29" s="557" t="s">
        <v>254</v>
      </c>
      <c r="M29" s="557"/>
      <c r="N29" s="557" t="s">
        <v>255</v>
      </c>
      <c r="O29" s="557"/>
      <c r="P29" s="557" t="s">
        <v>256</v>
      </c>
      <c r="Q29" s="557"/>
      <c r="R29" s="557" t="s">
        <v>257</v>
      </c>
      <c r="S29" s="564"/>
      <c r="T29" s="564"/>
      <c r="U29" s="563"/>
      <c r="V29" s="564"/>
      <c r="W29" s="565"/>
      <c r="X29" s="543"/>
    </row>
    <row r="30" spans="1:24" s="544" customFormat="1" x14ac:dyDescent="0.3">
      <c r="A30" s="555"/>
      <c r="B30" s="556" t="s">
        <v>10</v>
      </c>
      <c r="C30" s="563"/>
      <c r="D30" s="557" t="s">
        <v>248</v>
      </c>
      <c r="E30" s="557"/>
      <c r="F30" s="562" t="s">
        <v>118</v>
      </c>
      <c r="G30" s="557"/>
      <c r="H30" s="557" t="s">
        <v>118</v>
      </c>
      <c r="I30" s="557"/>
      <c r="J30" s="557" t="s">
        <v>252</v>
      </c>
      <c r="K30" s="557"/>
      <c r="L30" s="557" t="s">
        <v>118</v>
      </c>
      <c r="M30" s="557"/>
      <c r="N30" s="557" t="s">
        <v>118</v>
      </c>
      <c r="O30" s="557"/>
      <c r="P30" s="557" t="s">
        <v>118</v>
      </c>
      <c r="Q30" s="557"/>
      <c r="R30" s="557" t="s">
        <v>118</v>
      </c>
      <c r="S30" s="564"/>
      <c r="T30" s="564"/>
      <c r="U30" s="563"/>
      <c r="V30" s="564"/>
      <c r="W30" s="565"/>
      <c r="X30" s="543"/>
    </row>
    <row r="31" spans="1:24" s="544" customFormat="1" x14ac:dyDescent="0.3">
      <c r="A31" s="559"/>
      <c r="B31" s="556" t="s">
        <v>133</v>
      </c>
      <c r="C31" s="566"/>
      <c r="D31" s="567">
        <v>1500000</v>
      </c>
      <c r="E31" s="563"/>
      <c r="F31" s="564">
        <v>125000</v>
      </c>
      <c r="G31" s="564"/>
      <c r="H31" s="568">
        <v>246000</v>
      </c>
      <c r="I31" s="568"/>
      <c r="J31" s="567">
        <v>400000</v>
      </c>
      <c r="K31" s="564"/>
      <c r="L31" s="564">
        <v>51900</v>
      </c>
      <c r="M31" s="564"/>
      <c r="N31" s="568">
        <v>88800</v>
      </c>
      <c r="O31" s="564"/>
      <c r="P31" s="564">
        <v>20000</v>
      </c>
      <c r="Q31" s="564"/>
      <c r="R31" s="568">
        <v>135500</v>
      </c>
      <c r="S31" s="569"/>
      <c r="T31" s="569"/>
      <c r="U31" s="566"/>
      <c r="V31" s="569"/>
      <c r="W31" s="565"/>
      <c r="X31" s="543"/>
    </row>
    <row r="32" spans="1:24" s="544" customFormat="1" x14ac:dyDescent="0.3">
      <c r="A32" s="555"/>
      <c r="B32" s="556" t="s">
        <v>132</v>
      </c>
      <c r="C32" s="563"/>
      <c r="D32" s="570">
        <f>D34*D38</f>
        <v>269975.34151140001</v>
      </c>
      <c r="E32" s="563"/>
      <c r="F32" s="564">
        <f>F31*F38</f>
        <v>43533.824999999997</v>
      </c>
      <c r="G32" s="564"/>
      <c r="H32" s="568">
        <f>H31*H38</f>
        <v>85674.567599999995</v>
      </c>
      <c r="I32" s="568"/>
      <c r="J32" s="567">
        <f>J31*J38</f>
        <v>139307.24000000002</v>
      </c>
      <c r="K32" s="564"/>
      <c r="L32" s="564">
        <f>+L31</f>
        <v>51900</v>
      </c>
      <c r="M32" s="564"/>
      <c r="N32" s="568">
        <f>+N31</f>
        <v>88800</v>
      </c>
      <c r="O32" s="564"/>
      <c r="P32" s="564">
        <f>+P31</f>
        <v>20000</v>
      </c>
      <c r="Q32" s="564"/>
      <c r="R32" s="568">
        <f>+R31</f>
        <v>135500</v>
      </c>
      <c r="S32" s="564"/>
      <c r="T32" s="564"/>
      <c r="U32" s="563"/>
      <c r="V32" s="564"/>
      <c r="W32" s="565"/>
      <c r="X32" s="543"/>
    </row>
    <row r="33" spans="1:24" s="544" customFormat="1" x14ac:dyDescent="0.3">
      <c r="A33" s="555"/>
      <c r="B33" s="561" t="s">
        <v>134</v>
      </c>
      <c r="C33" s="563"/>
      <c r="D33" s="571">
        <f>D34*D37</f>
        <v>0</v>
      </c>
      <c r="E33" s="566"/>
      <c r="F33" s="569">
        <f>F37*F31</f>
        <v>0</v>
      </c>
      <c r="G33" s="569"/>
      <c r="H33" s="572">
        <f>H31*H37</f>
        <v>0</v>
      </c>
      <c r="I33" s="572"/>
      <c r="J33" s="573">
        <f>J37*J31</f>
        <v>0</v>
      </c>
      <c r="K33" s="569"/>
      <c r="L33" s="569">
        <f>L31*L37</f>
        <v>0</v>
      </c>
      <c r="M33" s="569"/>
      <c r="N33" s="572">
        <f>N31*N37</f>
        <v>0</v>
      </c>
      <c r="O33" s="569"/>
      <c r="P33" s="569">
        <f>P31*P37</f>
        <v>0</v>
      </c>
      <c r="Q33" s="569"/>
      <c r="R33" s="572">
        <f>R31*R37</f>
        <v>0</v>
      </c>
      <c r="S33" s="564"/>
      <c r="T33" s="564"/>
      <c r="U33" s="563"/>
      <c r="V33" s="564"/>
      <c r="W33" s="565"/>
      <c r="X33" s="543"/>
    </row>
    <row r="34" spans="1:24" s="544" customFormat="1" x14ac:dyDescent="0.3">
      <c r="A34" s="559"/>
      <c r="B34" s="556" t="s">
        <v>296</v>
      </c>
      <c r="C34" s="566"/>
      <c r="D34" s="564">
        <v>775194</v>
      </c>
      <c r="E34" s="563"/>
      <c r="F34" s="564">
        <v>125000</v>
      </c>
      <c r="G34" s="564"/>
      <c r="H34" s="564">
        <v>168148</v>
      </c>
      <c r="I34" s="564"/>
      <c r="J34" s="564">
        <v>206718</v>
      </c>
      <c r="K34" s="564"/>
      <c r="L34" s="564">
        <v>51900</v>
      </c>
      <c r="M34" s="564"/>
      <c r="N34" s="564">
        <v>60697</v>
      </c>
      <c r="O34" s="564"/>
      <c r="P34" s="564">
        <v>20000</v>
      </c>
      <c r="Q34" s="564"/>
      <c r="R34" s="564">
        <v>92618</v>
      </c>
      <c r="S34" s="569"/>
      <c r="T34" s="569"/>
      <c r="U34" s="566"/>
      <c r="V34" s="564">
        <f>SUM(C34:R34)</f>
        <v>1500275</v>
      </c>
      <c r="W34" s="565"/>
      <c r="X34" s="543"/>
    </row>
    <row r="35" spans="1:24" s="544" customFormat="1" x14ac:dyDescent="0.3">
      <c r="A35" s="559"/>
      <c r="B35" s="556" t="s">
        <v>297</v>
      </c>
      <c r="C35" s="566"/>
      <c r="D35" s="564">
        <f>D34*D38</f>
        <v>269975.34151140001</v>
      </c>
      <c r="E35" s="563"/>
      <c r="F35" s="564">
        <f>F34*F38</f>
        <v>43533.824999999997</v>
      </c>
      <c r="G35" s="564"/>
      <c r="H35" s="564">
        <f>H34*H38</f>
        <v>58561.004848799996</v>
      </c>
      <c r="I35" s="564"/>
      <c r="J35" s="564">
        <f>J34*J38</f>
        <v>71993.285095800005</v>
      </c>
      <c r="K35" s="564"/>
      <c r="L35" s="564">
        <f>+L34</f>
        <v>51900</v>
      </c>
      <c r="M35" s="564"/>
      <c r="N35" s="564">
        <f>+N34</f>
        <v>60697</v>
      </c>
      <c r="O35" s="564"/>
      <c r="P35" s="564">
        <f>+P34</f>
        <v>20000</v>
      </c>
      <c r="Q35" s="564"/>
      <c r="R35" s="564">
        <f>+R34</f>
        <v>92618</v>
      </c>
      <c r="S35" s="564"/>
      <c r="T35" s="564"/>
      <c r="U35" s="563"/>
      <c r="V35" s="564">
        <f>SUM(C35:R35)+1</f>
        <v>669279.45645599999</v>
      </c>
      <c r="W35" s="565"/>
      <c r="X35" s="543"/>
    </row>
    <row r="36" spans="1:24" s="544" customFormat="1" x14ac:dyDescent="0.3">
      <c r="A36" s="559"/>
      <c r="B36" s="561" t="s">
        <v>298</v>
      </c>
      <c r="C36" s="566"/>
      <c r="D36" s="569">
        <f>D34*D37</f>
        <v>0</v>
      </c>
      <c r="E36" s="566"/>
      <c r="F36" s="569">
        <f>F34*F37</f>
        <v>0</v>
      </c>
      <c r="G36" s="569"/>
      <c r="H36" s="569">
        <f>H34*H37</f>
        <v>0</v>
      </c>
      <c r="I36" s="569"/>
      <c r="J36" s="569">
        <f>J34*J37</f>
        <v>0</v>
      </c>
      <c r="K36" s="569"/>
      <c r="L36" s="569">
        <f>L34*L37</f>
        <v>0</v>
      </c>
      <c r="M36" s="569"/>
      <c r="N36" s="569">
        <f>N34*N37</f>
        <v>0</v>
      </c>
      <c r="O36" s="569"/>
      <c r="P36" s="569">
        <f>P34*P37</f>
        <v>0</v>
      </c>
      <c r="Q36" s="569"/>
      <c r="R36" s="569">
        <f>R34*R37</f>
        <v>0</v>
      </c>
      <c r="S36" s="574"/>
      <c r="T36" s="574"/>
      <c r="U36" s="563"/>
      <c r="V36" s="569">
        <f>SUM(C36:R36)</f>
        <v>0</v>
      </c>
      <c r="W36" s="565"/>
      <c r="X36" s="543"/>
    </row>
    <row r="37" spans="1:24" s="499" customFormat="1" x14ac:dyDescent="0.3">
      <c r="A37" s="492"/>
      <c r="B37" s="493" t="s">
        <v>130</v>
      </c>
      <c r="C37" s="494"/>
      <c r="D37" s="495">
        <v>0</v>
      </c>
      <c r="E37" s="495"/>
      <c r="F37" s="495">
        <v>0</v>
      </c>
      <c r="G37" s="495"/>
      <c r="H37" s="495">
        <v>0</v>
      </c>
      <c r="I37" s="495"/>
      <c r="J37" s="495">
        <v>0</v>
      </c>
      <c r="K37" s="495"/>
      <c r="L37" s="495">
        <v>0</v>
      </c>
      <c r="M37" s="495"/>
      <c r="N37" s="495">
        <v>0</v>
      </c>
      <c r="O37" s="495"/>
      <c r="P37" s="495">
        <v>0</v>
      </c>
      <c r="Q37" s="495"/>
      <c r="R37" s="495">
        <v>0</v>
      </c>
      <c r="S37" s="496"/>
      <c r="T37" s="496"/>
      <c r="U37" s="494"/>
      <c r="V37" s="494"/>
      <c r="W37" s="497"/>
      <c r="X37" s="498"/>
    </row>
    <row r="38" spans="1:24" s="499" customFormat="1" x14ac:dyDescent="0.3">
      <c r="A38" s="492"/>
      <c r="B38" s="493" t="s">
        <v>131</v>
      </c>
      <c r="C38" s="494"/>
      <c r="D38" s="495">
        <v>0.34826810000000002</v>
      </c>
      <c r="E38" s="495"/>
      <c r="F38" s="495">
        <v>0.34827059999999999</v>
      </c>
      <c r="G38" s="495"/>
      <c r="H38" s="495">
        <v>0.34827059999999999</v>
      </c>
      <c r="I38" s="495"/>
      <c r="J38" s="495">
        <v>0.34826810000000002</v>
      </c>
      <c r="K38" s="495"/>
      <c r="L38" s="495">
        <v>1</v>
      </c>
      <c r="M38" s="495"/>
      <c r="N38" s="495">
        <v>1</v>
      </c>
      <c r="O38" s="495"/>
      <c r="P38" s="495">
        <v>1</v>
      </c>
      <c r="Q38" s="495"/>
      <c r="R38" s="495">
        <v>1</v>
      </c>
      <c r="S38" s="500"/>
      <c r="T38" s="501"/>
      <c r="U38" s="494"/>
      <c r="V38" s="500"/>
      <c r="W38" s="497"/>
      <c r="X38" s="498"/>
    </row>
    <row r="39" spans="1:24" s="544" customFormat="1" x14ac:dyDescent="0.3">
      <c r="A39" s="555"/>
      <c r="B39" s="556" t="s">
        <v>11</v>
      </c>
      <c r="C39" s="556"/>
      <c r="D39" s="562" t="s">
        <v>321</v>
      </c>
      <c r="E39" s="556"/>
      <c r="F39" s="562" t="s">
        <v>231</v>
      </c>
      <c r="G39" s="562"/>
      <c r="H39" s="562" t="s">
        <v>231</v>
      </c>
      <c r="I39" s="562"/>
      <c r="J39" s="562" t="s">
        <v>231</v>
      </c>
      <c r="K39" s="562"/>
      <c r="L39" s="562" t="s">
        <v>265</v>
      </c>
      <c r="M39" s="562"/>
      <c r="N39" s="562" t="s">
        <v>265</v>
      </c>
      <c r="O39" s="562"/>
      <c r="P39" s="562" t="s">
        <v>266</v>
      </c>
      <c r="Q39" s="562"/>
      <c r="R39" s="562" t="s">
        <v>266</v>
      </c>
      <c r="S39" s="575"/>
      <c r="T39" s="576"/>
      <c r="U39" s="556"/>
      <c r="V39" s="556"/>
      <c r="W39" s="558"/>
      <c r="X39" s="543"/>
    </row>
    <row r="40" spans="1:24" s="544" customFormat="1" x14ac:dyDescent="0.3">
      <c r="A40" s="555"/>
      <c r="B40" s="556" t="s">
        <v>12</v>
      </c>
      <c r="C40" s="556"/>
      <c r="D40" s="576">
        <v>2.8024999999999999E-3</v>
      </c>
      <c r="E40" s="556"/>
      <c r="F40" s="576">
        <v>2.8024999999999999E-3</v>
      </c>
      <c r="G40" s="575"/>
      <c r="H40" s="576">
        <v>0</v>
      </c>
      <c r="I40" s="576"/>
      <c r="J40" s="576">
        <v>3.8387999999999999E-3</v>
      </c>
      <c r="K40" s="575"/>
      <c r="L40" s="576">
        <v>4.4025000000000002E-3</v>
      </c>
      <c r="M40" s="575"/>
      <c r="N40" s="576">
        <v>0</v>
      </c>
      <c r="O40" s="575"/>
      <c r="P40" s="576">
        <v>8.4025000000000002E-3</v>
      </c>
      <c r="Q40" s="575"/>
      <c r="R40" s="576">
        <v>2.1800000000000001E-3</v>
      </c>
      <c r="S40" s="575"/>
      <c r="T40" s="576"/>
      <c r="U40" s="556"/>
      <c r="V40" s="562"/>
      <c r="W40" s="558"/>
      <c r="X40" s="543"/>
    </row>
    <row r="41" spans="1:24" s="544" customFormat="1" x14ac:dyDescent="0.3">
      <c r="A41" s="555"/>
      <c r="B41" s="556" t="s">
        <v>13</v>
      </c>
      <c r="C41" s="556"/>
      <c r="D41" s="576">
        <v>2.4263000000000002E-3</v>
      </c>
      <c r="E41" s="556"/>
      <c r="F41" s="576">
        <v>2.4263000000000002E-3</v>
      </c>
      <c r="G41" s="575"/>
      <c r="H41" s="576">
        <v>0</v>
      </c>
      <c r="I41" s="576"/>
      <c r="J41" s="576">
        <v>4.1650000000000003E-3</v>
      </c>
      <c r="K41" s="575"/>
      <c r="L41" s="576">
        <v>4.0263E-3</v>
      </c>
      <c r="M41" s="575"/>
      <c r="N41" s="576">
        <v>0</v>
      </c>
      <c r="O41" s="575"/>
      <c r="P41" s="576">
        <v>8.0263000000000001E-3</v>
      </c>
      <c r="Q41" s="575"/>
      <c r="R41" s="576">
        <v>2.1700000000000001E-3</v>
      </c>
      <c r="S41" s="575"/>
      <c r="T41" s="576"/>
      <c r="U41" s="556"/>
      <c r="V41" s="575" t="s">
        <v>193</v>
      </c>
      <c r="W41" s="558"/>
      <c r="X41" s="543"/>
    </row>
    <row r="42" spans="1:24" s="544" customFormat="1" x14ac:dyDescent="0.3">
      <c r="A42" s="555"/>
      <c r="B42" s="556" t="s">
        <v>299</v>
      </c>
      <c r="C42" s="556"/>
      <c r="D42" s="562" t="s">
        <v>321</v>
      </c>
      <c r="E42" s="556"/>
      <c r="F42" s="562" t="s">
        <v>231</v>
      </c>
      <c r="G42" s="562"/>
      <c r="H42" s="562" t="s">
        <v>323</v>
      </c>
      <c r="I42" s="562"/>
      <c r="J42" s="562" t="s">
        <v>324</v>
      </c>
      <c r="K42" s="562"/>
      <c r="L42" s="562" t="s">
        <v>265</v>
      </c>
      <c r="M42" s="562"/>
      <c r="N42" s="562" t="s">
        <v>234</v>
      </c>
      <c r="O42" s="562"/>
      <c r="P42" s="562" t="s">
        <v>266</v>
      </c>
      <c r="Q42" s="562"/>
      <c r="R42" s="562" t="s">
        <v>264</v>
      </c>
      <c r="S42" s="575"/>
      <c r="T42" s="576"/>
      <c r="U42" s="556"/>
      <c r="V42" s="556"/>
      <c r="W42" s="558"/>
      <c r="X42" s="543"/>
    </row>
    <row r="43" spans="1:24" s="544" customFormat="1" x14ac:dyDescent="0.3">
      <c r="A43" s="555"/>
      <c r="B43" s="556" t="s">
        <v>300</v>
      </c>
      <c r="C43" s="577"/>
      <c r="D43" s="576">
        <f>D40</f>
        <v>2.8024999999999999E-3</v>
      </c>
      <c r="E43" s="576"/>
      <c r="F43" s="576">
        <f>+F40</f>
        <v>2.8024999999999999E-3</v>
      </c>
      <c r="G43" s="576"/>
      <c r="H43" s="576">
        <v>3.0825000000000002E-3</v>
      </c>
      <c r="I43" s="576"/>
      <c r="J43" s="576">
        <v>3.5285E-3</v>
      </c>
      <c r="K43" s="576"/>
      <c r="L43" s="576">
        <f>+L40</f>
        <v>4.4025000000000002E-3</v>
      </c>
      <c r="M43" s="576"/>
      <c r="N43" s="576">
        <v>4.9944999999999998E-3</v>
      </c>
      <c r="O43" s="576"/>
      <c r="P43" s="576">
        <f>+P40</f>
        <v>8.4025000000000002E-3</v>
      </c>
      <c r="Q43" s="575"/>
      <c r="R43" s="576">
        <v>9.4684999999999995E-3</v>
      </c>
      <c r="S43" s="562"/>
      <c r="T43" s="562"/>
      <c r="U43" s="556"/>
      <c r="V43" s="575">
        <f>SUMPRODUCT(D43:R43,D35:R35)/V35</f>
        <v>4.317772590626553E-3</v>
      </c>
      <c r="W43" s="558"/>
      <c r="X43" s="543"/>
    </row>
    <row r="44" spans="1:24" s="544" customFormat="1" x14ac:dyDescent="0.3">
      <c r="A44" s="555"/>
      <c r="B44" s="556" t="s">
        <v>301</v>
      </c>
      <c r="C44" s="577"/>
      <c r="D44" s="576">
        <f>D41</f>
        <v>2.4263000000000002E-3</v>
      </c>
      <c r="E44" s="576"/>
      <c r="F44" s="576">
        <f>+F41</f>
        <v>2.4263000000000002E-3</v>
      </c>
      <c r="G44" s="576"/>
      <c r="H44" s="576">
        <v>2.7063E-3</v>
      </c>
      <c r="I44" s="576"/>
      <c r="J44" s="576">
        <v>3.1522999999999998E-3</v>
      </c>
      <c r="K44" s="576"/>
      <c r="L44" s="576">
        <f>+L41</f>
        <v>4.0263E-3</v>
      </c>
      <c r="M44" s="576"/>
      <c r="N44" s="576">
        <v>4.6182999999999997E-3</v>
      </c>
      <c r="O44" s="576"/>
      <c r="P44" s="576">
        <f>+P41</f>
        <v>8.0263000000000001E-3</v>
      </c>
      <c r="Q44" s="575"/>
      <c r="R44" s="576">
        <v>9.0922999999999993E-3</v>
      </c>
      <c r="S44" s="562"/>
      <c r="T44" s="562"/>
      <c r="U44" s="556"/>
      <c r="V44" s="556"/>
      <c r="W44" s="558"/>
      <c r="X44" s="543"/>
    </row>
    <row r="45" spans="1:24" s="544" customFormat="1" x14ac:dyDescent="0.3">
      <c r="A45" s="555"/>
      <c r="B45" s="556" t="s">
        <v>14</v>
      </c>
      <c r="C45" s="556"/>
      <c r="D45" s="577">
        <v>40617</v>
      </c>
      <c r="E45" s="577"/>
      <c r="F45" s="577">
        <v>40617</v>
      </c>
      <c r="G45" s="577"/>
      <c r="H45" s="577">
        <v>40617</v>
      </c>
      <c r="I45" s="577"/>
      <c r="J45" s="577">
        <v>40617</v>
      </c>
      <c r="K45" s="577"/>
      <c r="L45" s="577">
        <v>40617</v>
      </c>
      <c r="M45" s="577"/>
      <c r="N45" s="577">
        <v>40617</v>
      </c>
      <c r="O45" s="577"/>
      <c r="P45" s="577">
        <v>40617</v>
      </c>
      <c r="Q45" s="577"/>
      <c r="R45" s="577">
        <v>40617</v>
      </c>
      <c r="S45" s="562"/>
      <c r="T45" s="562"/>
      <c r="U45" s="556"/>
      <c r="V45" s="556"/>
      <c r="W45" s="558"/>
      <c r="X45" s="543"/>
    </row>
    <row r="46" spans="1:24" s="544" customFormat="1" x14ac:dyDescent="0.3">
      <c r="A46" s="555"/>
      <c r="B46" s="556" t="s">
        <v>15</v>
      </c>
      <c r="C46" s="556"/>
      <c r="D46" s="577">
        <v>40983</v>
      </c>
      <c r="E46" s="577"/>
      <c r="F46" s="577">
        <v>40983</v>
      </c>
      <c r="G46" s="577"/>
      <c r="H46" s="577">
        <v>40983</v>
      </c>
      <c r="I46" s="577"/>
      <c r="J46" s="577">
        <v>40983</v>
      </c>
      <c r="K46" s="562"/>
      <c r="L46" s="577">
        <v>40983</v>
      </c>
      <c r="M46" s="562"/>
      <c r="N46" s="577">
        <v>40983</v>
      </c>
      <c r="O46" s="562"/>
      <c r="P46" s="577">
        <v>40983</v>
      </c>
      <c r="Q46" s="562"/>
      <c r="R46" s="577">
        <v>40983</v>
      </c>
      <c r="S46" s="562"/>
      <c r="T46" s="562"/>
      <c r="U46" s="556"/>
      <c r="V46" s="556"/>
      <c r="W46" s="558"/>
      <c r="X46" s="543"/>
    </row>
    <row r="47" spans="1:24" s="544" customFormat="1" x14ac:dyDescent="0.3">
      <c r="A47" s="555"/>
      <c r="B47" s="556" t="s">
        <v>119</v>
      </c>
      <c r="C47" s="556"/>
      <c r="D47" s="562" t="s">
        <v>231</v>
      </c>
      <c r="E47" s="556"/>
      <c r="F47" s="562" t="s">
        <v>231</v>
      </c>
      <c r="G47" s="562"/>
      <c r="H47" s="562" t="s">
        <v>231</v>
      </c>
      <c r="I47" s="562"/>
      <c r="J47" s="562" t="s">
        <v>231</v>
      </c>
      <c r="K47" s="562"/>
      <c r="L47" s="562" t="s">
        <v>265</v>
      </c>
      <c r="M47" s="562"/>
      <c r="N47" s="562" t="s">
        <v>265</v>
      </c>
      <c r="O47" s="562"/>
      <c r="P47" s="562" t="s">
        <v>266</v>
      </c>
      <c r="Q47" s="562"/>
      <c r="R47" s="562" t="s">
        <v>266</v>
      </c>
      <c r="S47" s="578"/>
      <c r="T47" s="578"/>
      <c r="U47" s="578"/>
      <c r="V47" s="578"/>
      <c r="W47" s="558"/>
      <c r="X47" s="543"/>
    </row>
    <row r="48" spans="1:24" s="544" customFormat="1" x14ac:dyDescent="0.3">
      <c r="A48" s="555"/>
      <c r="B48" s="556" t="s">
        <v>302</v>
      </c>
      <c r="C48" s="556"/>
      <c r="D48" s="562" t="s">
        <v>325</v>
      </c>
      <c r="E48" s="556"/>
      <c r="F48" s="562" t="s">
        <v>231</v>
      </c>
      <c r="G48" s="562"/>
      <c r="H48" s="562" t="s">
        <v>262</v>
      </c>
      <c r="I48" s="562"/>
      <c r="J48" s="562" t="s">
        <v>263</v>
      </c>
      <c r="K48" s="562"/>
      <c r="L48" s="562" t="s">
        <v>265</v>
      </c>
      <c r="M48" s="562"/>
      <c r="N48" s="562" t="s">
        <v>234</v>
      </c>
      <c r="O48" s="562"/>
      <c r="P48" s="562" t="s">
        <v>266</v>
      </c>
      <c r="Q48" s="562"/>
      <c r="R48" s="562" t="s">
        <v>264</v>
      </c>
      <c r="S48" s="556"/>
      <c r="T48" s="556"/>
      <c r="U48" s="556"/>
      <c r="V48" s="575"/>
      <c r="W48" s="558"/>
      <c r="X48" s="543"/>
    </row>
    <row r="49" spans="1:25" s="544" customFormat="1" x14ac:dyDescent="0.3">
      <c r="A49" s="555"/>
      <c r="B49" s="556"/>
      <c r="C49" s="556"/>
      <c r="D49" s="562"/>
      <c r="E49" s="556"/>
      <c r="F49" s="562"/>
      <c r="G49" s="562"/>
      <c r="H49" s="562"/>
      <c r="I49" s="562"/>
      <c r="J49" s="562"/>
      <c r="K49" s="562"/>
      <c r="L49" s="562"/>
      <c r="M49" s="562"/>
      <c r="N49" s="562"/>
      <c r="O49" s="562"/>
      <c r="P49" s="562"/>
      <c r="Q49" s="562"/>
      <c r="R49" s="562"/>
      <c r="S49" s="556"/>
      <c r="T49" s="556"/>
      <c r="U49" s="556"/>
      <c r="V49" s="575" t="s">
        <v>193</v>
      </c>
      <c r="W49" s="558"/>
      <c r="X49" s="543"/>
    </row>
    <row r="50" spans="1:25" s="544" customFormat="1" x14ac:dyDescent="0.3">
      <c r="A50" s="555"/>
      <c r="B50" s="556" t="s">
        <v>169</v>
      </c>
      <c r="C50" s="556"/>
      <c r="D50" s="562"/>
      <c r="E50" s="556"/>
      <c r="F50" s="562"/>
      <c r="G50" s="562"/>
      <c r="H50" s="562"/>
      <c r="I50" s="562"/>
      <c r="J50" s="562"/>
      <c r="K50" s="562"/>
      <c r="L50" s="562"/>
      <c r="M50" s="562"/>
      <c r="N50" s="562"/>
      <c r="O50" s="562"/>
      <c r="P50" s="562"/>
      <c r="Q50" s="562"/>
      <c r="R50" s="562"/>
      <c r="S50" s="556"/>
      <c r="T50" s="556"/>
      <c r="U50" s="556"/>
      <c r="V50" s="575">
        <f>SUM(L34:R34)/SUM(D34:J34)</f>
        <v>0.17663090364375009</v>
      </c>
      <c r="W50" s="558"/>
      <c r="X50" s="543"/>
    </row>
    <row r="51" spans="1:25" s="544" customFormat="1" x14ac:dyDescent="0.3">
      <c r="A51" s="555"/>
      <c r="B51" s="556" t="s">
        <v>170</v>
      </c>
      <c r="C51" s="556"/>
      <c r="D51" s="556"/>
      <c r="E51" s="556"/>
      <c r="F51" s="579"/>
      <c r="G51" s="556"/>
      <c r="H51" s="556"/>
      <c r="I51" s="556"/>
      <c r="J51" s="556"/>
      <c r="K51" s="556"/>
      <c r="L51" s="556"/>
      <c r="M51" s="556"/>
      <c r="N51" s="556"/>
      <c r="O51" s="556"/>
      <c r="P51" s="556"/>
      <c r="Q51" s="556"/>
      <c r="R51" s="556"/>
      <c r="S51" s="556"/>
      <c r="T51" s="556"/>
      <c r="U51" s="556"/>
      <c r="V51" s="575" t="s">
        <v>431</v>
      </c>
      <c r="W51" s="558"/>
      <c r="X51" s="543"/>
    </row>
    <row r="52" spans="1:25" s="544" customFormat="1" x14ac:dyDescent="0.3">
      <c r="A52" s="555"/>
      <c r="B52" s="556" t="s">
        <v>171</v>
      </c>
      <c r="C52" s="556"/>
      <c r="D52" s="556"/>
      <c r="E52" s="556"/>
      <c r="F52" s="556"/>
      <c r="G52" s="556"/>
      <c r="H52" s="556"/>
      <c r="I52" s="556"/>
      <c r="J52" s="556"/>
      <c r="K52" s="556"/>
      <c r="L52" s="556"/>
      <c r="M52" s="556"/>
      <c r="N52" s="556"/>
      <c r="O52" s="556"/>
      <c r="P52" s="556"/>
      <c r="Q52" s="556"/>
      <c r="R52" s="556"/>
      <c r="S52" s="556"/>
      <c r="T52" s="562"/>
      <c r="U52" s="562"/>
      <c r="V52" s="564" t="s">
        <v>276</v>
      </c>
      <c r="W52" s="558"/>
      <c r="X52" s="543"/>
    </row>
    <row r="53" spans="1:25" s="544" customFormat="1" x14ac:dyDescent="0.3">
      <c r="A53" s="555"/>
      <c r="B53" s="556"/>
      <c r="C53" s="556"/>
      <c r="D53" s="556"/>
      <c r="E53" s="556"/>
      <c r="F53" s="556"/>
      <c r="G53" s="556"/>
      <c r="H53" s="556"/>
      <c r="I53" s="556"/>
      <c r="J53" s="556"/>
      <c r="K53" s="556"/>
      <c r="L53" s="556"/>
      <c r="M53" s="556"/>
      <c r="N53" s="556"/>
      <c r="O53" s="556"/>
      <c r="P53" s="556"/>
      <c r="Q53" s="556"/>
      <c r="R53" s="556"/>
      <c r="S53" s="556"/>
      <c r="T53" s="556"/>
      <c r="U53" s="556"/>
      <c r="V53" s="580"/>
      <c r="W53" s="558"/>
      <c r="X53" s="543"/>
    </row>
    <row r="54" spans="1:25" s="544" customFormat="1" x14ac:dyDescent="0.3">
      <c r="A54" s="555"/>
      <c r="B54" s="556" t="s">
        <v>361</v>
      </c>
      <c r="C54" s="556"/>
      <c r="D54" s="556"/>
      <c r="E54" s="556"/>
      <c r="F54" s="556"/>
      <c r="G54" s="556"/>
      <c r="H54" s="556"/>
      <c r="I54" s="556"/>
      <c r="J54" s="556"/>
      <c r="K54" s="556"/>
      <c r="L54" s="556"/>
      <c r="M54" s="556"/>
      <c r="N54" s="556"/>
      <c r="O54" s="556"/>
      <c r="P54" s="556"/>
      <c r="Q54" s="556"/>
      <c r="R54" s="556"/>
      <c r="S54" s="556"/>
      <c r="T54" s="562"/>
      <c r="U54" s="562"/>
      <c r="V54" s="581" t="s">
        <v>111</v>
      </c>
      <c r="W54" s="558"/>
      <c r="X54" s="543"/>
    </row>
    <row r="55" spans="1:25" s="544" customFormat="1" x14ac:dyDescent="0.3">
      <c r="A55" s="555"/>
      <c r="B55" s="561" t="s">
        <v>201</v>
      </c>
      <c r="C55" s="561"/>
      <c r="D55" s="561"/>
      <c r="E55" s="561"/>
      <c r="F55" s="561"/>
      <c r="G55" s="561"/>
      <c r="H55" s="561"/>
      <c r="I55" s="561"/>
      <c r="J55" s="561"/>
      <c r="K55" s="561"/>
      <c r="L55" s="561"/>
      <c r="M55" s="561"/>
      <c r="N55" s="561"/>
      <c r="O55" s="561"/>
      <c r="P55" s="561"/>
      <c r="Q55" s="561"/>
      <c r="R55" s="561"/>
      <c r="S55" s="561"/>
      <c r="T55" s="582"/>
      <c r="U55" s="582"/>
      <c r="V55" s="583">
        <v>44362</v>
      </c>
      <c r="W55" s="558"/>
      <c r="X55" s="543"/>
    </row>
    <row r="56" spans="1:25" s="544" customFormat="1" x14ac:dyDescent="0.3">
      <c r="A56" s="555"/>
      <c r="B56" s="556" t="s">
        <v>121</v>
      </c>
      <c r="C56" s="556"/>
      <c r="D56" s="556"/>
      <c r="E56" s="556"/>
      <c r="F56" s="556"/>
      <c r="G56" s="556"/>
      <c r="H56" s="584"/>
      <c r="I56" s="584"/>
      <c r="J56" s="584"/>
      <c r="K56" s="584"/>
      <c r="L56" s="584"/>
      <c r="M56" s="584"/>
      <c r="N56" s="584"/>
      <c r="O56" s="584"/>
      <c r="P56" s="584"/>
      <c r="Q56" s="584"/>
      <c r="R56" s="556">
        <f>+V56-T56+1</f>
        <v>90</v>
      </c>
      <c r="S56" s="584"/>
      <c r="T56" s="585">
        <v>44180</v>
      </c>
      <c r="U56" s="586"/>
      <c r="V56" s="585">
        <v>44269</v>
      </c>
      <c r="W56" s="558"/>
      <c r="X56" s="543"/>
    </row>
    <row r="57" spans="1:25" s="544" customFormat="1" x14ac:dyDescent="0.3">
      <c r="A57" s="555"/>
      <c r="B57" s="556" t="s">
        <v>122</v>
      </c>
      <c r="C57" s="556"/>
      <c r="D57" s="556"/>
      <c r="E57" s="556"/>
      <c r="F57" s="556"/>
      <c r="G57" s="556"/>
      <c r="H57" s="556"/>
      <c r="I57" s="556"/>
      <c r="J57" s="556"/>
      <c r="K57" s="556"/>
      <c r="L57" s="556"/>
      <c r="M57" s="556"/>
      <c r="N57" s="556"/>
      <c r="O57" s="556"/>
      <c r="P57" s="556"/>
      <c r="Q57" s="556"/>
      <c r="R57" s="556">
        <f>+V57-T57+1</f>
        <v>92</v>
      </c>
      <c r="S57" s="556"/>
      <c r="T57" s="585">
        <v>44270</v>
      </c>
      <c r="U57" s="586"/>
      <c r="V57" s="585">
        <v>44361</v>
      </c>
      <c r="W57" s="558"/>
      <c r="X57" s="543"/>
    </row>
    <row r="58" spans="1:25" s="544" customFormat="1" x14ac:dyDescent="0.3">
      <c r="A58" s="555"/>
      <c r="B58" s="556" t="s">
        <v>360</v>
      </c>
      <c r="C58" s="556"/>
      <c r="D58" s="556"/>
      <c r="E58" s="556"/>
      <c r="F58" s="556"/>
      <c r="G58" s="556"/>
      <c r="H58" s="556"/>
      <c r="I58" s="556"/>
      <c r="J58" s="556"/>
      <c r="K58" s="556"/>
      <c r="L58" s="556"/>
      <c r="M58" s="556"/>
      <c r="N58" s="556"/>
      <c r="O58" s="556"/>
      <c r="P58" s="556"/>
      <c r="Q58" s="556"/>
      <c r="R58" s="556"/>
      <c r="S58" s="556"/>
      <c r="T58" s="585"/>
      <c r="U58" s="586"/>
      <c r="V58" s="585" t="s">
        <v>120</v>
      </c>
      <c r="W58" s="558"/>
      <c r="X58" s="543"/>
    </row>
    <row r="59" spans="1:25" s="544" customFormat="1" x14ac:dyDescent="0.3">
      <c r="A59" s="555"/>
      <c r="B59" s="556" t="s">
        <v>359</v>
      </c>
      <c r="C59" s="556"/>
      <c r="D59" s="556"/>
      <c r="E59" s="556"/>
      <c r="F59" s="556"/>
      <c r="G59" s="556"/>
      <c r="H59" s="556"/>
      <c r="I59" s="556"/>
      <c r="J59" s="556"/>
      <c r="K59" s="556"/>
      <c r="L59" s="556"/>
      <c r="M59" s="556"/>
      <c r="N59" s="556"/>
      <c r="O59" s="556"/>
      <c r="P59" s="556"/>
      <c r="Q59" s="556"/>
      <c r="R59" s="556"/>
      <c r="S59" s="556"/>
      <c r="T59" s="585"/>
      <c r="U59" s="586"/>
      <c r="V59" s="585" t="s">
        <v>154</v>
      </c>
      <c r="W59" s="558"/>
      <c r="X59" s="543"/>
      <c r="Y59" s="587"/>
    </row>
    <row r="60" spans="1:25" s="544" customFormat="1" x14ac:dyDescent="0.3">
      <c r="A60" s="555"/>
      <c r="B60" s="556" t="s">
        <v>16</v>
      </c>
      <c r="C60" s="556"/>
      <c r="D60" s="556"/>
      <c r="E60" s="556"/>
      <c r="F60" s="556"/>
      <c r="G60" s="556"/>
      <c r="H60" s="556"/>
      <c r="I60" s="556"/>
      <c r="J60" s="556"/>
      <c r="K60" s="556"/>
      <c r="L60" s="556"/>
      <c r="M60" s="556"/>
      <c r="N60" s="556"/>
      <c r="O60" s="556"/>
      <c r="P60" s="556"/>
      <c r="Q60" s="556"/>
      <c r="R60" s="556"/>
      <c r="S60" s="556"/>
      <c r="T60" s="585"/>
      <c r="U60" s="586"/>
      <c r="V60" s="585">
        <v>44348</v>
      </c>
      <c r="W60" s="558"/>
      <c r="X60" s="543"/>
    </row>
    <row r="61" spans="1:25" s="544" customFormat="1" x14ac:dyDescent="0.3">
      <c r="A61" s="540"/>
      <c r="B61" s="588"/>
      <c r="C61" s="588"/>
      <c r="D61" s="588"/>
      <c r="E61" s="588"/>
      <c r="F61" s="588"/>
      <c r="G61" s="588"/>
      <c r="H61" s="588"/>
      <c r="I61" s="588"/>
      <c r="J61" s="588"/>
      <c r="K61" s="588"/>
      <c r="L61" s="588"/>
      <c r="M61" s="588"/>
      <c r="N61" s="588"/>
      <c r="O61" s="588"/>
      <c r="P61" s="588"/>
      <c r="Q61" s="588"/>
      <c r="R61" s="588"/>
      <c r="S61" s="588"/>
      <c r="T61" s="589"/>
      <c r="U61" s="590"/>
      <c r="V61" s="589"/>
      <c r="W61" s="588"/>
      <c r="X61" s="543"/>
    </row>
    <row r="62" spans="1:25" s="544" customFormat="1" x14ac:dyDescent="0.3">
      <c r="A62" s="540"/>
      <c r="B62" s="541"/>
      <c r="C62" s="541"/>
      <c r="D62" s="541"/>
      <c r="E62" s="541"/>
      <c r="F62" s="541"/>
      <c r="G62" s="541"/>
      <c r="H62" s="541"/>
      <c r="I62" s="541"/>
      <c r="J62" s="541"/>
      <c r="K62" s="541"/>
      <c r="L62" s="541"/>
      <c r="M62" s="541"/>
      <c r="N62" s="541"/>
      <c r="O62" s="541"/>
      <c r="P62" s="541"/>
      <c r="Q62" s="541"/>
      <c r="R62" s="541"/>
      <c r="S62" s="541"/>
      <c r="T62" s="591"/>
      <c r="U62" s="592"/>
      <c r="V62" s="591"/>
      <c r="W62" s="541"/>
      <c r="X62" s="543"/>
    </row>
    <row r="63" spans="1:25" s="544" customFormat="1" ht="18.600000000000001" thickBot="1" x14ac:dyDescent="0.4">
      <c r="A63" s="593"/>
      <c r="B63" s="594" t="s">
        <v>427</v>
      </c>
      <c r="C63" s="595"/>
      <c r="D63" s="595"/>
      <c r="E63" s="595"/>
      <c r="F63" s="595"/>
      <c r="G63" s="595"/>
      <c r="H63" s="595"/>
      <c r="I63" s="595"/>
      <c r="J63" s="595"/>
      <c r="K63" s="595"/>
      <c r="L63" s="595"/>
      <c r="M63" s="595"/>
      <c r="N63" s="595"/>
      <c r="O63" s="595"/>
      <c r="P63" s="595"/>
      <c r="Q63" s="595"/>
      <c r="R63" s="595"/>
      <c r="S63" s="595"/>
      <c r="T63" s="595"/>
      <c r="U63" s="595"/>
      <c r="V63" s="596"/>
      <c r="W63" s="597"/>
      <c r="X63" s="543"/>
    </row>
    <row r="64" spans="1:25" x14ac:dyDescent="0.3">
      <c r="A64" s="515"/>
      <c r="B64" s="521" t="s">
        <v>17</v>
      </c>
      <c r="C64" s="516"/>
      <c r="D64" s="516"/>
      <c r="E64" s="516"/>
      <c r="F64" s="516"/>
      <c r="G64" s="516"/>
      <c r="H64" s="516"/>
      <c r="I64" s="516"/>
      <c r="J64" s="516"/>
      <c r="K64" s="516"/>
      <c r="L64" s="516"/>
      <c r="M64" s="516"/>
      <c r="N64" s="516"/>
      <c r="O64" s="516"/>
      <c r="P64" s="516"/>
      <c r="Q64" s="516"/>
      <c r="R64" s="516"/>
      <c r="S64" s="516"/>
      <c r="T64" s="516"/>
      <c r="U64" s="516"/>
      <c r="V64" s="522"/>
      <c r="W64" s="516"/>
      <c r="X64" s="415"/>
    </row>
    <row r="65" spans="1:24" x14ac:dyDescent="0.3">
      <c r="A65" s="417"/>
      <c r="B65" s="425"/>
      <c r="C65" s="419"/>
      <c r="D65" s="419"/>
      <c r="E65" s="419"/>
      <c r="F65" s="419"/>
      <c r="G65" s="419"/>
      <c r="H65" s="419"/>
      <c r="I65" s="419"/>
      <c r="J65" s="419"/>
      <c r="K65" s="419"/>
      <c r="L65" s="419"/>
      <c r="M65" s="419"/>
      <c r="N65" s="419"/>
      <c r="O65" s="419"/>
      <c r="P65" s="419"/>
      <c r="Q65" s="419"/>
      <c r="R65" s="419"/>
      <c r="S65" s="419"/>
      <c r="T65" s="419"/>
      <c r="U65" s="419"/>
      <c r="V65" s="439"/>
      <c r="W65" s="419"/>
      <c r="X65" s="415"/>
    </row>
    <row r="66" spans="1:24" s="499" customFormat="1" ht="46.8" x14ac:dyDescent="0.3">
      <c r="A66" s="502"/>
      <c r="B66" s="503" t="s">
        <v>18</v>
      </c>
      <c r="C66" s="504"/>
      <c r="D66" s="504"/>
      <c r="E66" s="504"/>
      <c r="F66" s="504"/>
      <c r="G66" s="504"/>
      <c r="H66" s="504"/>
      <c r="I66" s="504"/>
      <c r="J66" s="504"/>
      <c r="K66" s="504"/>
      <c r="L66" s="504" t="s">
        <v>94</v>
      </c>
      <c r="M66" s="504"/>
      <c r="N66" s="504" t="s">
        <v>96</v>
      </c>
      <c r="O66" s="504"/>
      <c r="P66" s="504" t="s">
        <v>98</v>
      </c>
      <c r="Q66" s="504"/>
      <c r="R66" s="504" t="s">
        <v>100</v>
      </c>
      <c r="S66" s="504"/>
      <c r="T66" s="504" t="s">
        <v>106</v>
      </c>
      <c r="U66" s="504"/>
      <c r="V66" s="505" t="s">
        <v>112</v>
      </c>
      <c r="W66" s="506"/>
      <c r="X66" s="498"/>
    </row>
    <row r="67" spans="1:24" s="544" customFormat="1" x14ac:dyDescent="0.3">
      <c r="A67" s="555"/>
      <c r="B67" s="556" t="s">
        <v>19</v>
      </c>
      <c r="C67" s="598"/>
      <c r="D67" s="598"/>
      <c r="E67" s="598"/>
      <c r="F67" s="598"/>
      <c r="G67" s="598"/>
      <c r="H67" s="598"/>
      <c r="I67" s="598"/>
      <c r="J67" s="598"/>
      <c r="K67" s="598"/>
      <c r="L67" s="598">
        <v>1158015</v>
      </c>
      <c r="M67" s="598"/>
      <c r="N67" s="599">
        <v>669279</v>
      </c>
      <c r="O67" s="598"/>
      <c r="P67" s="598">
        <v>669279</v>
      </c>
      <c r="Q67" s="598"/>
      <c r="R67" s="598">
        <v>0</v>
      </c>
      <c r="S67" s="598"/>
      <c r="T67" s="598">
        <v>0</v>
      </c>
      <c r="U67" s="598"/>
      <c r="V67" s="599">
        <f>+N67-P67+R67-T67</f>
        <v>0</v>
      </c>
      <c r="W67" s="558"/>
      <c r="X67" s="543"/>
    </row>
    <row r="68" spans="1:24" s="544" customFormat="1" x14ac:dyDescent="0.3">
      <c r="A68" s="555"/>
      <c r="B68" s="556" t="s">
        <v>20</v>
      </c>
      <c r="C68" s="598"/>
      <c r="D68" s="598"/>
      <c r="E68" s="598"/>
      <c r="F68" s="598"/>
      <c r="G68" s="598"/>
      <c r="H68" s="598"/>
      <c r="I68" s="598"/>
      <c r="J68" s="598"/>
      <c r="K68" s="598"/>
      <c r="L68" s="598">
        <v>15</v>
      </c>
      <c r="M68" s="598"/>
      <c r="N68" s="599">
        <v>0</v>
      </c>
      <c r="O68" s="598"/>
      <c r="P68" s="598">
        <v>0</v>
      </c>
      <c r="Q68" s="598"/>
      <c r="R68" s="598">
        <v>0</v>
      </c>
      <c r="S68" s="598"/>
      <c r="T68" s="598">
        <v>0</v>
      </c>
      <c r="U68" s="598"/>
      <c r="V68" s="599">
        <v>0</v>
      </c>
      <c r="W68" s="558"/>
      <c r="X68" s="543"/>
    </row>
    <row r="69" spans="1:24" s="544" customFormat="1" x14ac:dyDescent="0.3">
      <c r="A69" s="555"/>
      <c r="B69" s="556"/>
      <c r="C69" s="598"/>
      <c r="D69" s="598"/>
      <c r="E69" s="598"/>
      <c r="F69" s="598"/>
      <c r="G69" s="598"/>
      <c r="H69" s="598"/>
      <c r="I69" s="598"/>
      <c r="J69" s="598"/>
      <c r="K69" s="598"/>
      <c r="L69" s="598"/>
      <c r="M69" s="598"/>
      <c r="N69" s="599"/>
      <c r="O69" s="598"/>
      <c r="P69" s="598"/>
      <c r="Q69" s="598"/>
      <c r="R69" s="598"/>
      <c r="S69" s="598"/>
      <c r="T69" s="598"/>
      <c r="U69" s="598"/>
      <c r="V69" s="599"/>
      <c r="W69" s="558"/>
      <c r="X69" s="543"/>
    </row>
    <row r="70" spans="1:24" s="544" customFormat="1" x14ac:dyDescent="0.3">
      <c r="A70" s="555"/>
      <c r="B70" s="556" t="s">
        <v>21</v>
      </c>
      <c r="C70" s="598"/>
      <c r="D70" s="598"/>
      <c r="E70" s="598"/>
      <c r="F70" s="598"/>
      <c r="G70" s="598"/>
      <c r="H70" s="598"/>
      <c r="I70" s="598"/>
      <c r="J70" s="598"/>
      <c r="K70" s="598"/>
      <c r="L70" s="598">
        <f>SUM(L67:L69)</f>
        <v>1158030</v>
      </c>
      <c r="M70" s="598"/>
      <c r="N70" s="598">
        <f>N67+N68</f>
        <v>669279</v>
      </c>
      <c r="O70" s="598"/>
      <c r="P70" s="598">
        <f>SUM(P67:P69)</f>
        <v>669279</v>
      </c>
      <c r="Q70" s="598"/>
      <c r="R70" s="598">
        <f>SUM(R67:R69)</f>
        <v>0</v>
      </c>
      <c r="S70" s="598"/>
      <c r="T70" s="598">
        <f>SUM(T67:T69)</f>
        <v>0</v>
      </c>
      <c r="U70" s="598"/>
      <c r="V70" s="598">
        <f>SUM(V67:V69)</f>
        <v>0</v>
      </c>
      <c r="W70" s="558"/>
      <c r="X70" s="543"/>
    </row>
    <row r="71" spans="1:24" x14ac:dyDescent="0.3">
      <c r="A71" s="417"/>
      <c r="B71" s="441"/>
      <c r="C71" s="442"/>
      <c r="D71" s="442"/>
      <c r="E71" s="442"/>
      <c r="F71" s="442"/>
      <c r="G71" s="442"/>
      <c r="H71" s="442"/>
      <c r="I71" s="442"/>
      <c r="J71" s="442"/>
      <c r="K71" s="442"/>
      <c r="L71" s="442"/>
      <c r="M71" s="442"/>
      <c r="N71" s="442"/>
      <c r="O71" s="442"/>
      <c r="P71" s="442"/>
      <c r="Q71" s="442"/>
      <c r="R71" s="442"/>
      <c r="S71" s="442"/>
      <c r="T71" s="442"/>
      <c r="U71" s="442"/>
      <c r="V71" s="443"/>
      <c r="W71" s="441"/>
      <c r="X71" s="415"/>
    </row>
    <row r="72" spans="1:24" x14ac:dyDescent="0.3">
      <c r="A72" s="417"/>
      <c r="B72" s="421" t="s">
        <v>22</v>
      </c>
      <c r="C72" s="444"/>
      <c r="D72" s="444"/>
      <c r="E72" s="444"/>
      <c r="F72" s="444"/>
      <c r="G72" s="444"/>
      <c r="H72" s="444"/>
      <c r="I72" s="444"/>
      <c r="J72" s="444"/>
      <c r="K72" s="444"/>
      <c r="L72" s="444"/>
      <c r="M72" s="444"/>
      <c r="N72" s="444"/>
      <c r="O72" s="444"/>
      <c r="P72" s="444"/>
      <c r="Q72" s="444"/>
      <c r="R72" s="444"/>
      <c r="S72" s="444"/>
      <c r="T72" s="444"/>
      <c r="U72" s="444"/>
      <c r="V72" s="445"/>
      <c r="W72" s="419"/>
      <c r="X72" s="415"/>
    </row>
    <row r="73" spans="1:24" x14ac:dyDescent="0.3">
      <c r="A73" s="417"/>
      <c r="B73" s="419"/>
      <c r="C73" s="444"/>
      <c r="D73" s="444"/>
      <c r="E73" s="444"/>
      <c r="F73" s="444"/>
      <c r="G73" s="444"/>
      <c r="H73" s="444"/>
      <c r="I73" s="444"/>
      <c r="J73" s="444"/>
      <c r="K73" s="444"/>
      <c r="L73" s="444"/>
      <c r="M73" s="444"/>
      <c r="N73" s="444"/>
      <c r="O73" s="444"/>
      <c r="P73" s="444"/>
      <c r="Q73" s="444"/>
      <c r="R73" s="444"/>
      <c r="S73" s="444"/>
      <c r="T73" s="444"/>
      <c r="U73" s="444"/>
      <c r="V73" s="445"/>
      <c r="W73" s="419"/>
      <c r="X73" s="415"/>
    </row>
    <row r="74" spans="1:24" s="544" customFormat="1" x14ac:dyDescent="0.3">
      <c r="A74" s="555"/>
      <c r="B74" s="556" t="s">
        <v>19</v>
      </c>
      <c r="C74" s="598"/>
      <c r="D74" s="598"/>
      <c r="E74" s="598"/>
      <c r="F74" s="598"/>
      <c r="G74" s="598"/>
      <c r="H74" s="598"/>
      <c r="I74" s="598"/>
      <c r="J74" s="598"/>
      <c r="K74" s="598"/>
      <c r="L74" s="598"/>
      <c r="M74" s="598"/>
      <c r="N74" s="598"/>
      <c r="O74" s="598"/>
      <c r="P74" s="598"/>
      <c r="Q74" s="598"/>
      <c r="R74" s="598"/>
      <c r="S74" s="598"/>
      <c r="T74" s="598"/>
      <c r="U74" s="598"/>
      <c r="V74" s="598"/>
      <c r="W74" s="558"/>
      <c r="X74" s="543"/>
    </row>
    <row r="75" spans="1:24" s="544" customFormat="1" x14ac:dyDescent="0.3">
      <c r="A75" s="555"/>
      <c r="B75" s="556" t="s">
        <v>20</v>
      </c>
      <c r="C75" s="598"/>
      <c r="D75" s="598"/>
      <c r="E75" s="598"/>
      <c r="F75" s="598"/>
      <c r="G75" s="598"/>
      <c r="H75" s="598"/>
      <c r="I75" s="598"/>
      <c r="J75" s="598"/>
      <c r="K75" s="598"/>
      <c r="L75" s="598"/>
      <c r="M75" s="598"/>
      <c r="N75" s="598"/>
      <c r="O75" s="598"/>
      <c r="P75" s="598"/>
      <c r="Q75" s="598"/>
      <c r="R75" s="598"/>
      <c r="S75" s="598"/>
      <c r="T75" s="598"/>
      <c r="U75" s="598"/>
      <c r="V75" s="598"/>
      <c r="W75" s="558"/>
      <c r="X75" s="543"/>
    </row>
    <row r="76" spans="1:24" s="544" customFormat="1" x14ac:dyDescent="0.3">
      <c r="A76" s="555"/>
      <c r="B76" s="556"/>
      <c r="C76" s="598"/>
      <c r="D76" s="598"/>
      <c r="E76" s="598"/>
      <c r="F76" s="598"/>
      <c r="G76" s="598"/>
      <c r="H76" s="598"/>
      <c r="I76" s="598"/>
      <c r="J76" s="598"/>
      <c r="K76" s="598"/>
      <c r="L76" s="598"/>
      <c r="M76" s="598"/>
      <c r="N76" s="598"/>
      <c r="O76" s="598"/>
      <c r="P76" s="598"/>
      <c r="Q76" s="598"/>
      <c r="R76" s="598"/>
      <c r="S76" s="598"/>
      <c r="T76" s="598"/>
      <c r="U76" s="598"/>
      <c r="V76" s="598"/>
      <c r="W76" s="558"/>
      <c r="X76" s="543"/>
    </row>
    <row r="77" spans="1:24" s="544" customFormat="1" x14ac:dyDescent="0.3">
      <c r="A77" s="555"/>
      <c r="B77" s="556" t="s">
        <v>21</v>
      </c>
      <c r="C77" s="598"/>
      <c r="D77" s="598"/>
      <c r="E77" s="598"/>
      <c r="F77" s="598"/>
      <c r="G77" s="598"/>
      <c r="H77" s="598"/>
      <c r="I77" s="598"/>
      <c r="J77" s="598"/>
      <c r="K77" s="598"/>
      <c r="L77" s="598"/>
      <c r="M77" s="598"/>
      <c r="N77" s="598"/>
      <c r="O77" s="598"/>
      <c r="P77" s="598"/>
      <c r="Q77" s="598"/>
      <c r="R77" s="598"/>
      <c r="S77" s="598"/>
      <c r="T77" s="598"/>
      <c r="U77" s="598"/>
      <c r="V77" s="598"/>
      <c r="W77" s="558"/>
      <c r="X77" s="543"/>
    </row>
    <row r="78" spans="1:24" s="544" customFormat="1" x14ac:dyDescent="0.3">
      <c r="A78" s="555"/>
      <c r="B78" s="556"/>
      <c r="C78" s="598"/>
      <c r="D78" s="598"/>
      <c r="E78" s="598"/>
      <c r="F78" s="598"/>
      <c r="G78" s="598"/>
      <c r="H78" s="598"/>
      <c r="I78" s="598"/>
      <c r="J78" s="598"/>
      <c r="K78" s="598"/>
      <c r="L78" s="598"/>
      <c r="M78" s="598"/>
      <c r="N78" s="598"/>
      <c r="O78" s="598"/>
      <c r="P78" s="598"/>
      <c r="Q78" s="598"/>
      <c r="R78" s="598"/>
      <c r="S78" s="598"/>
      <c r="T78" s="598"/>
      <c r="U78" s="598"/>
      <c r="V78" s="598"/>
      <c r="W78" s="558"/>
      <c r="X78" s="543"/>
    </row>
    <row r="79" spans="1:24" s="544" customFormat="1" x14ac:dyDescent="0.3">
      <c r="A79" s="555"/>
      <c r="B79" s="556" t="s">
        <v>23</v>
      </c>
      <c r="C79" s="598"/>
      <c r="D79" s="598"/>
      <c r="E79" s="598"/>
      <c r="F79" s="598"/>
      <c r="G79" s="598"/>
      <c r="H79" s="598"/>
      <c r="I79" s="598"/>
      <c r="J79" s="598"/>
      <c r="K79" s="598"/>
      <c r="L79" s="598">
        <v>0</v>
      </c>
      <c r="M79" s="598"/>
      <c r="N79" s="598">
        <v>0</v>
      </c>
      <c r="O79" s="598"/>
      <c r="P79" s="598"/>
      <c r="Q79" s="598"/>
      <c r="R79" s="598"/>
      <c r="S79" s="598"/>
      <c r="T79" s="598"/>
      <c r="U79" s="598"/>
      <c r="V79" s="599">
        <v>0</v>
      </c>
      <c r="W79" s="558"/>
      <c r="X79" s="543"/>
    </row>
    <row r="80" spans="1:24" s="544" customFormat="1" x14ac:dyDescent="0.3">
      <c r="A80" s="555"/>
      <c r="B80" s="556" t="s">
        <v>117</v>
      </c>
      <c r="C80" s="598"/>
      <c r="D80" s="598"/>
      <c r="E80" s="598"/>
      <c r="F80" s="598"/>
      <c r="G80" s="598"/>
      <c r="H80" s="598"/>
      <c r="I80" s="598"/>
      <c r="J80" s="598"/>
      <c r="K80" s="598"/>
      <c r="L80" s="598">
        <v>342245</v>
      </c>
      <c r="M80" s="598"/>
      <c r="N80" s="598">
        <v>0</v>
      </c>
      <c r="O80" s="598"/>
      <c r="P80" s="598">
        <v>0</v>
      </c>
      <c r="Q80" s="598"/>
      <c r="R80" s="598"/>
      <c r="S80" s="598"/>
      <c r="T80" s="598"/>
      <c r="U80" s="598"/>
      <c r="V80" s="598">
        <f>SUM(N80:R80)</f>
        <v>0</v>
      </c>
      <c r="W80" s="558"/>
      <c r="X80" s="543"/>
    </row>
    <row r="81" spans="1:24" s="544" customFormat="1" x14ac:dyDescent="0.3">
      <c r="A81" s="555"/>
      <c r="B81" s="556" t="s">
        <v>146</v>
      </c>
      <c r="C81" s="598"/>
      <c r="D81" s="598"/>
      <c r="E81" s="598"/>
      <c r="F81" s="598"/>
      <c r="G81" s="598"/>
      <c r="H81" s="598"/>
      <c r="I81" s="598"/>
      <c r="J81" s="598"/>
      <c r="K81" s="598"/>
      <c r="L81" s="598">
        <v>0</v>
      </c>
      <c r="M81" s="598"/>
      <c r="N81" s="598">
        <v>0</v>
      </c>
      <c r="O81" s="598"/>
      <c r="P81" s="598">
        <v>0</v>
      </c>
      <c r="Q81" s="598"/>
      <c r="R81" s="598"/>
      <c r="S81" s="598"/>
      <c r="T81" s="598"/>
      <c r="U81" s="598"/>
      <c r="V81" s="598">
        <f>+N81+P81</f>
        <v>0</v>
      </c>
      <c r="W81" s="558"/>
      <c r="X81" s="543"/>
    </row>
    <row r="82" spans="1:24" s="544" customFormat="1" x14ac:dyDescent="0.3">
      <c r="A82" s="555"/>
      <c r="B82" s="556" t="s">
        <v>25</v>
      </c>
      <c r="C82" s="598"/>
      <c r="D82" s="598"/>
      <c r="E82" s="598"/>
      <c r="F82" s="598"/>
      <c r="G82" s="598"/>
      <c r="H82" s="598"/>
      <c r="I82" s="598"/>
      <c r="J82" s="598"/>
      <c r="K82" s="598"/>
      <c r="L82" s="598">
        <v>0</v>
      </c>
      <c r="M82" s="598"/>
      <c r="N82" s="598">
        <v>0</v>
      </c>
      <c r="O82" s="598"/>
      <c r="P82" s="598"/>
      <c r="Q82" s="598"/>
      <c r="R82" s="598"/>
      <c r="S82" s="598"/>
      <c r="T82" s="598"/>
      <c r="U82" s="598"/>
      <c r="V82" s="598">
        <v>0</v>
      </c>
      <c r="W82" s="558"/>
      <c r="X82" s="543"/>
    </row>
    <row r="83" spans="1:24" s="544" customFormat="1" x14ac:dyDescent="0.3">
      <c r="A83" s="555"/>
      <c r="B83" s="556" t="s">
        <v>26</v>
      </c>
      <c r="C83" s="598"/>
      <c r="D83" s="598"/>
      <c r="E83" s="598"/>
      <c r="F83" s="598"/>
      <c r="G83" s="598"/>
      <c r="H83" s="598"/>
      <c r="I83" s="598"/>
      <c r="J83" s="598"/>
      <c r="K83" s="598"/>
      <c r="L83" s="598">
        <f>SUM(L70:L82)</f>
        <v>1500275</v>
      </c>
      <c r="M83" s="598"/>
      <c r="N83" s="598">
        <f>SUM(N70:N82)</f>
        <v>669279</v>
      </c>
      <c r="O83" s="598"/>
      <c r="P83" s="598"/>
      <c r="Q83" s="598"/>
      <c r="R83" s="598"/>
      <c r="S83" s="598"/>
      <c r="T83" s="598"/>
      <c r="U83" s="598"/>
      <c r="V83" s="598">
        <f>SUM(V70:V82)</f>
        <v>0</v>
      </c>
      <c r="W83" s="558"/>
      <c r="X83" s="543"/>
    </row>
    <row r="84" spans="1:24" x14ac:dyDescent="0.3">
      <c r="A84" s="446"/>
      <c r="B84" s="437"/>
      <c r="C84" s="447"/>
      <c r="D84" s="447"/>
      <c r="E84" s="447"/>
      <c r="F84" s="447"/>
      <c r="G84" s="447"/>
      <c r="H84" s="447"/>
      <c r="I84" s="447"/>
      <c r="J84" s="447"/>
      <c r="K84" s="447"/>
      <c r="L84" s="447"/>
      <c r="M84" s="447"/>
      <c r="N84" s="447"/>
      <c r="O84" s="447"/>
      <c r="P84" s="447"/>
      <c r="Q84" s="447"/>
      <c r="R84" s="447"/>
      <c r="S84" s="447"/>
      <c r="T84" s="447"/>
      <c r="U84" s="447"/>
      <c r="V84" s="447"/>
      <c r="W84" s="437"/>
      <c r="X84" s="415"/>
    </row>
    <row r="85" spans="1:24" x14ac:dyDescent="0.3">
      <c r="A85" s="446"/>
      <c r="B85" s="427"/>
      <c r="C85" s="427"/>
      <c r="D85" s="427"/>
      <c r="E85" s="427"/>
      <c r="F85" s="427"/>
      <c r="G85" s="427"/>
      <c r="H85" s="427"/>
      <c r="I85" s="427"/>
      <c r="J85" s="427"/>
      <c r="K85" s="427"/>
      <c r="L85" s="427"/>
      <c r="M85" s="427"/>
      <c r="N85" s="427"/>
      <c r="O85" s="427"/>
      <c r="P85" s="427"/>
      <c r="Q85" s="427"/>
      <c r="R85" s="427"/>
      <c r="S85" s="427"/>
      <c r="T85" s="427"/>
      <c r="U85" s="427"/>
      <c r="V85" s="427"/>
      <c r="W85" s="427"/>
      <c r="X85" s="415"/>
    </row>
    <row r="86" spans="1:24" x14ac:dyDescent="0.3">
      <c r="A86" s="515"/>
      <c r="B86" s="523" t="s">
        <v>27</v>
      </c>
      <c r="C86" s="523"/>
      <c r="D86" s="523"/>
      <c r="E86" s="523"/>
      <c r="F86" s="523"/>
      <c r="G86" s="523"/>
      <c r="H86" s="524"/>
      <c r="I86" s="524"/>
      <c r="J86" s="524"/>
      <c r="K86" s="524"/>
      <c r="L86" s="525" t="s">
        <v>95</v>
      </c>
      <c r="M86" s="524"/>
      <c r="N86" s="526">
        <f>+T208</f>
        <v>44344</v>
      </c>
      <c r="O86" s="524"/>
      <c r="P86" s="524"/>
      <c r="Q86" s="524"/>
      <c r="R86" s="524"/>
      <c r="S86" s="524"/>
      <c r="T86" s="524" t="s">
        <v>107</v>
      </c>
      <c r="U86" s="524"/>
      <c r="V86" s="524" t="s">
        <v>113</v>
      </c>
      <c r="W86" s="520"/>
      <c r="X86" s="415"/>
    </row>
    <row r="87" spans="1:24" s="544" customFormat="1" x14ac:dyDescent="0.3">
      <c r="A87" s="540"/>
      <c r="B87" s="588" t="s">
        <v>28</v>
      </c>
      <c r="C87" s="588"/>
      <c r="D87" s="588"/>
      <c r="E87" s="588"/>
      <c r="F87" s="588"/>
      <c r="G87" s="588"/>
      <c r="H87" s="588"/>
      <c r="I87" s="588"/>
      <c r="J87" s="588"/>
      <c r="K87" s="588"/>
      <c r="L87" s="588"/>
      <c r="M87" s="588"/>
      <c r="N87" s="588"/>
      <c r="O87" s="588"/>
      <c r="P87" s="588"/>
      <c r="Q87" s="588"/>
      <c r="R87" s="588"/>
      <c r="S87" s="588"/>
      <c r="T87" s="600">
        <v>0</v>
      </c>
      <c r="U87" s="588"/>
      <c r="V87" s="601">
        <v>0</v>
      </c>
      <c r="W87" s="588"/>
      <c r="X87" s="543"/>
    </row>
    <row r="88" spans="1:24" s="544" customFormat="1" x14ac:dyDescent="0.3">
      <c r="A88" s="555"/>
      <c r="B88" s="556" t="s">
        <v>29</v>
      </c>
      <c r="C88" s="556"/>
      <c r="D88" s="556"/>
      <c r="E88" s="556"/>
      <c r="F88" s="556"/>
      <c r="G88" s="556"/>
      <c r="H88" s="578"/>
      <c r="I88" s="578"/>
      <c r="J88" s="578"/>
      <c r="K88" s="602"/>
      <c r="L88" s="578"/>
      <c r="M88" s="556"/>
      <c r="N88" s="603"/>
      <c r="O88" s="556"/>
      <c r="P88" s="556"/>
      <c r="Q88" s="556"/>
      <c r="R88" s="556"/>
      <c r="S88" s="556"/>
      <c r="T88" s="598">
        <f>669279-109</f>
        <v>669170</v>
      </c>
      <c r="U88" s="556"/>
      <c r="V88" s="599"/>
      <c r="W88" s="558"/>
      <c r="X88" s="543"/>
    </row>
    <row r="89" spans="1:24" s="544" customFormat="1" x14ac:dyDescent="0.3">
      <c r="A89" s="555"/>
      <c r="B89" s="556" t="s">
        <v>216</v>
      </c>
      <c r="C89" s="556"/>
      <c r="D89" s="556"/>
      <c r="E89" s="556"/>
      <c r="F89" s="556"/>
      <c r="G89" s="556"/>
      <c r="H89" s="578"/>
      <c r="I89" s="578"/>
      <c r="J89" s="578"/>
      <c r="K89" s="602"/>
      <c r="L89" s="578"/>
      <c r="M89" s="556"/>
      <c r="N89" s="603"/>
      <c r="O89" s="556"/>
      <c r="P89" s="556"/>
      <c r="Q89" s="556"/>
      <c r="R89" s="556"/>
      <c r="S89" s="556"/>
      <c r="T89" s="598"/>
      <c r="U89" s="556"/>
      <c r="V89" s="599">
        <f>2010+2565-300-913</f>
        <v>3362</v>
      </c>
      <c r="W89" s="558"/>
      <c r="X89" s="543"/>
    </row>
    <row r="90" spans="1:24" s="544" customFormat="1" x14ac:dyDescent="0.3">
      <c r="A90" s="555"/>
      <c r="B90" s="556" t="s">
        <v>211</v>
      </c>
      <c r="C90" s="556"/>
      <c r="D90" s="556"/>
      <c r="E90" s="556"/>
      <c r="F90" s="556"/>
      <c r="G90" s="556"/>
      <c r="H90" s="578"/>
      <c r="I90" s="578"/>
      <c r="J90" s="578"/>
      <c r="K90" s="602"/>
      <c r="L90" s="578"/>
      <c r="M90" s="556"/>
      <c r="N90" s="603"/>
      <c r="O90" s="556"/>
      <c r="P90" s="556"/>
      <c r="Q90" s="556"/>
      <c r="R90" s="556"/>
      <c r="S90" s="556"/>
      <c r="T90" s="598"/>
      <c r="U90" s="556"/>
      <c r="V90" s="599">
        <f>42+112</f>
        <v>154</v>
      </c>
      <c r="W90" s="558"/>
      <c r="X90" s="543"/>
    </row>
    <row r="91" spans="1:24" s="544" customFormat="1" x14ac:dyDescent="0.3">
      <c r="A91" s="555"/>
      <c r="B91" s="556" t="s">
        <v>212</v>
      </c>
      <c r="C91" s="556"/>
      <c r="D91" s="556"/>
      <c r="E91" s="556"/>
      <c r="F91" s="556"/>
      <c r="G91" s="556"/>
      <c r="H91" s="578"/>
      <c r="I91" s="578"/>
      <c r="J91" s="578"/>
      <c r="K91" s="602"/>
      <c r="L91" s="578"/>
      <c r="M91" s="556"/>
      <c r="N91" s="603"/>
      <c r="O91" s="556"/>
      <c r="P91" s="556"/>
      <c r="Q91" s="556"/>
      <c r="R91" s="556"/>
      <c r="S91" s="556"/>
      <c r="T91" s="598"/>
      <c r="U91" s="556"/>
      <c r="V91" s="599">
        <v>3</v>
      </c>
      <c r="W91" s="558"/>
      <c r="X91" s="543"/>
    </row>
    <row r="92" spans="1:24" s="544" customFormat="1" x14ac:dyDescent="0.3">
      <c r="A92" s="555"/>
      <c r="B92" s="556" t="s">
        <v>272</v>
      </c>
      <c r="C92" s="556"/>
      <c r="D92" s="556"/>
      <c r="E92" s="556"/>
      <c r="F92" s="556"/>
      <c r="G92" s="556"/>
      <c r="H92" s="578"/>
      <c r="I92" s="578"/>
      <c r="J92" s="578"/>
      <c r="K92" s="602"/>
      <c r="L92" s="578"/>
      <c r="M92" s="556"/>
      <c r="N92" s="603"/>
      <c r="O92" s="556"/>
      <c r="P92" s="556"/>
      <c r="Q92" s="556"/>
      <c r="R92" s="556"/>
      <c r="S92" s="556"/>
      <c r="T92" s="598"/>
      <c r="U92" s="556"/>
      <c r="V92" s="599">
        <v>0</v>
      </c>
      <c r="W92" s="558"/>
      <c r="X92" s="543"/>
    </row>
    <row r="93" spans="1:24" s="544" customFormat="1" x14ac:dyDescent="0.3">
      <c r="A93" s="555"/>
      <c r="B93" s="556" t="s">
        <v>274</v>
      </c>
      <c r="C93" s="556"/>
      <c r="D93" s="556"/>
      <c r="E93" s="556"/>
      <c r="F93" s="556"/>
      <c r="G93" s="556"/>
      <c r="H93" s="578"/>
      <c r="I93" s="578"/>
      <c r="J93" s="578"/>
      <c r="K93" s="602"/>
      <c r="L93" s="578"/>
      <c r="M93" s="556"/>
      <c r="N93" s="603"/>
      <c r="O93" s="556"/>
      <c r="P93" s="556"/>
      <c r="Q93" s="556"/>
      <c r="R93" s="556"/>
      <c r="S93" s="556"/>
      <c r="T93" s="598"/>
      <c r="U93" s="556"/>
      <c r="V93" s="599">
        <v>0</v>
      </c>
      <c r="W93" s="558"/>
      <c r="X93" s="543"/>
    </row>
    <row r="94" spans="1:24" s="544" customFormat="1" x14ac:dyDescent="0.3">
      <c r="A94" s="555"/>
      <c r="B94" s="556" t="s">
        <v>135</v>
      </c>
      <c r="C94" s="556"/>
      <c r="D94" s="556"/>
      <c r="E94" s="556"/>
      <c r="F94" s="556"/>
      <c r="G94" s="556"/>
      <c r="H94" s="556"/>
      <c r="I94" s="556"/>
      <c r="J94" s="556"/>
      <c r="K94" s="556"/>
      <c r="L94" s="556"/>
      <c r="M94" s="556"/>
      <c r="N94" s="556"/>
      <c r="O94" s="556"/>
      <c r="P94" s="556"/>
      <c r="Q94" s="556"/>
      <c r="R94" s="556"/>
      <c r="S94" s="556"/>
      <c r="T94" s="598"/>
      <c r="U94" s="556"/>
      <c r="V94" s="599">
        <v>0</v>
      </c>
      <c r="W94" s="558"/>
      <c r="X94" s="543"/>
    </row>
    <row r="95" spans="1:24" s="544" customFormat="1" x14ac:dyDescent="0.3">
      <c r="A95" s="555"/>
      <c r="B95" s="556" t="s">
        <v>268</v>
      </c>
      <c r="C95" s="556"/>
      <c r="D95" s="556"/>
      <c r="E95" s="556"/>
      <c r="F95" s="556"/>
      <c r="G95" s="556"/>
      <c r="H95" s="556"/>
      <c r="I95" s="556"/>
      <c r="J95" s="556"/>
      <c r="K95" s="556"/>
      <c r="L95" s="556"/>
      <c r="M95" s="556"/>
      <c r="N95" s="556"/>
      <c r="O95" s="556"/>
      <c r="P95" s="556"/>
      <c r="Q95" s="556"/>
      <c r="R95" s="556"/>
      <c r="S95" s="556"/>
      <c r="T95" s="598"/>
      <c r="U95" s="556"/>
      <c r="V95" s="599">
        <v>44</v>
      </c>
      <c r="W95" s="558"/>
      <c r="X95" s="543"/>
    </row>
    <row r="96" spans="1:24" s="544" customFormat="1" x14ac:dyDescent="0.3">
      <c r="A96" s="555"/>
      <c r="B96" s="672" t="s">
        <v>428</v>
      </c>
      <c r="C96" s="556"/>
      <c r="D96" s="556"/>
      <c r="E96" s="556"/>
      <c r="F96" s="556"/>
      <c r="G96" s="556"/>
      <c r="H96" s="556"/>
      <c r="I96" s="556"/>
      <c r="J96" s="556"/>
      <c r="K96" s="556"/>
      <c r="L96" s="556"/>
      <c r="M96" s="556"/>
      <c r="N96" s="556"/>
      <c r="O96" s="556"/>
      <c r="P96" s="556"/>
      <c r="Q96" s="556"/>
      <c r="R96" s="556"/>
      <c r="S96" s="556"/>
      <c r="T96" s="598"/>
      <c r="U96" s="556"/>
      <c r="V96" s="599">
        <v>28505</v>
      </c>
      <c r="W96" s="558"/>
      <c r="X96" s="543"/>
    </row>
    <row r="97" spans="1:25" s="544" customFormat="1" x14ac:dyDescent="0.3">
      <c r="A97" s="555"/>
      <c r="B97" s="556" t="s">
        <v>30</v>
      </c>
      <c r="C97" s="556"/>
      <c r="D97" s="556"/>
      <c r="E97" s="556"/>
      <c r="F97" s="556"/>
      <c r="G97" s="556"/>
      <c r="H97" s="556"/>
      <c r="I97" s="556"/>
      <c r="J97" s="556"/>
      <c r="K97" s="556"/>
      <c r="L97" s="556"/>
      <c r="M97" s="556"/>
      <c r="N97" s="556"/>
      <c r="O97" s="556"/>
      <c r="P97" s="556"/>
      <c r="Q97" s="556"/>
      <c r="R97" s="556"/>
      <c r="S97" s="556"/>
      <c r="T97" s="598">
        <f>SUM(T87:T95)</f>
        <v>669170</v>
      </c>
      <c r="U97" s="556"/>
      <c r="V97" s="598">
        <f>SUM(V87:V96)</f>
        <v>32068</v>
      </c>
      <c r="W97" s="558"/>
      <c r="X97" s="543"/>
    </row>
    <row r="98" spans="1:25" s="544" customFormat="1" x14ac:dyDescent="0.3">
      <c r="A98" s="555"/>
      <c r="B98" s="556" t="s">
        <v>161</v>
      </c>
      <c r="C98" s="556"/>
      <c r="D98" s="556"/>
      <c r="E98" s="556"/>
      <c r="F98" s="556"/>
      <c r="G98" s="556"/>
      <c r="H98" s="556"/>
      <c r="I98" s="556"/>
      <c r="J98" s="556"/>
      <c r="K98" s="556"/>
      <c r="L98" s="556"/>
      <c r="M98" s="556"/>
      <c r="N98" s="556"/>
      <c r="O98" s="556"/>
      <c r="P98" s="556"/>
      <c r="Q98" s="556"/>
      <c r="R98" s="556"/>
      <c r="S98" s="556"/>
      <c r="T98" s="598">
        <f>-V98</f>
        <v>0</v>
      </c>
      <c r="U98" s="556"/>
      <c r="V98" s="598">
        <v>0</v>
      </c>
      <c r="W98" s="558"/>
      <c r="X98" s="543"/>
    </row>
    <row r="99" spans="1:25" s="544" customFormat="1" x14ac:dyDescent="0.3">
      <c r="A99" s="555"/>
      <c r="B99" s="556" t="s">
        <v>31</v>
      </c>
      <c r="C99" s="556"/>
      <c r="D99" s="556"/>
      <c r="E99" s="556"/>
      <c r="F99" s="556"/>
      <c r="G99" s="556"/>
      <c r="H99" s="556"/>
      <c r="I99" s="556"/>
      <c r="J99" s="556"/>
      <c r="K99" s="556"/>
      <c r="L99" s="556"/>
      <c r="M99" s="556"/>
      <c r="N99" s="556"/>
      <c r="O99" s="556"/>
      <c r="P99" s="556"/>
      <c r="Q99" s="556"/>
      <c r="R99" s="556"/>
      <c r="S99" s="556"/>
      <c r="T99" s="598">
        <f>-V99</f>
        <v>0</v>
      </c>
      <c r="U99" s="556"/>
      <c r="V99" s="599">
        <v>0</v>
      </c>
      <c r="W99" s="558"/>
      <c r="X99" s="543"/>
    </row>
    <row r="100" spans="1:25" s="544" customFormat="1" x14ac:dyDescent="0.3">
      <c r="A100" s="555"/>
      <c r="B100" s="556" t="s">
        <v>283</v>
      </c>
      <c r="C100" s="556"/>
      <c r="D100" s="556"/>
      <c r="E100" s="556"/>
      <c r="F100" s="556"/>
      <c r="G100" s="556"/>
      <c r="H100" s="556"/>
      <c r="I100" s="556"/>
      <c r="J100" s="556"/>
      <c r="K100" s="556"/>
      <c r="L100" s="556"/>
      <c r="M100" s="556"/>
      <c r="N100" s="556"/>
      <c r="O100" s="556"/>
      <c r="P100" s="556"/>
      <c r="Q100" s="556"/>
      <c r="R100" s="556"/>
      <c r="S100" s="556"/>
      <c r="T100" s="598"/>
      <c r="U100" s="556"/>
      <c r="V100" s="599">
        <v>171</v>
      </c>
      <c r="W100" s="558"/>
      <c r="X100" s="543"/>
    </row>
    <row r="101" spans="1:25" s="544" customFormat="1" x14ac:dyDescent="0.3">
      <c r="A101" s="555"/>
      <c r="B101" s="556" t="s">
        <v>32</v>
      </c>
      <c r="C101" s="556"/>
      <c r="D101" s="556"/>
      <c r="E101" s="556"/>
      <c r="F101" s="556"/>
      <c r="G101" s="556"/>
      <c r="H101" s="556"/>
      <c r="I101" s="556"/>
      <c r="J101" s="556"/>
      <c r="K101" s="556"/>
      <c r="L101" s="556"/>
      <c r="M101" s="556"/>
      <c r="N101" s="556"/>
      <c r="O101" s="556"/>
      <c r="P101" s="556"/>
      <c r="Q101" s="556"/>
      <c r="R101" s="556"/>
      <c r="S101" s="556"/>
      <c r="T101" s="598">
        <f>T97+T99+T98</f>
        <v>669170</v>
      </c>
      <c r="U101" s="556"/>
      <c r="V101" s="598">
        <f>V97+V99+V98+V100</f>
        <v>32239</v>
      </c>
      <c r="W101" s="558"/>
      <c r="X101" s="543"/>
    </row>
    <row r="102" spans="1:25" x14ac:dyDescent="0.3">
      <c r="A102" s="431"/>
      <c r="B102" s="507" t="s">
        <v>33</v>
      </c>
      <c r="C102" s="434"/>
      <c r="D102" s="434"/>
      <c r="E102" s="434"/>
      <c r="F102" s="434"/>
      <c r="G102" s="434"/>
      <c r="H102" s="434"/>
      <c r="I102" s="434"/>
      <c r="J102" s="434"/>
      <c r="K102" s="434"/>
      <c r="L102" s="434"/>
      <c r="M102" s="434"/>
      <c r="N102" s="434"/>
      <c r="O102" s="434"/>
      <c r="P102" s="434"/>
      <c r="Q102" s="434"/>
      <c r="R102" s="434"/>
      <c r="S102" s="434"/>
      <c r="T102" s="448"/>
      <c r="U102" s="434"/>
      <c r="V102" s="449"/>
      <c r="W102" s="436"/>
      <c r="X102" s="415"/>
    </row>
    <row r="103" spans="1:25" s="544" customFormat="1" x14ac:dyDescent="0.3">
      <c r="A103" s="555">
        <v>1</v>
      </c>
      <c r="B103" s="556" t="s">
        <v>34</v>
      </c>
      <c r="C103" s="556"/>
      <c r="D103" s="556"/>
      <c r="E103" s="556"/>
      <c r="F103" s="556"/>
      <c r="G103" s="556"/>
      <c r="H103" s="556"/>
      <c r="I103" s="556"/>
      <c r="J103" s="556"/>
      <c r="K103" s="556"/>
      <c r="L103" s="556"/>
      <c r="M103" s="556"/>
      <c r="N103" s="556"/>
      <c r="O103" s="556"/>
      <c r="P103" s="556"/>
      <c r="Q103" s="556"/>
      <c r="R103" s="556"/>
      <c r="S103" s="556"/>
      <c r="T103" s="556"/>
      <c r="U103" s="556"/>
      <c r="V103" s="599">
        <v>0</v>
      </c>
      <c r="W103" s="558"/>
      <c r="X103" s="543"/>
    </row>
    <row r="104" spans="1:25" s="544" customFormat="1" x14ac:dyDescent="0.3">
      <c r="A104" s="555">
        <f>+A103+1</f>
        <v>2</v>
      </c>
      <c r="B104" s="556" t="s">
        <v>330</v>
      </c>
      <c r="C104" s="556"/>
      <c r="D104" s="556"/>
      <c r="E104" s="556"/>
      <c r="F104" s="556"/>
      <c r="G104" s="556"/>
      <c r="H104" s="556"/>
      <c r="I104" s="556"/>
      <c r="J104" s="556"/>
      <c r="K104" s="556"/>
      <c r="L104" s="556"/>
      <c r="M104" s="556"/>
      <c r="N104" s="556"/>
      <c r="O104" s="556"/>
      <c r="P104" s="556"/>
      <c r="Q104" s="556"/>
      <c r="R104" s="556"/>
      <c r="S104" s="556"/>
      <c r="T104" s="556"/>
      <c r="U104" s="556"/>
      <c r="V104" s="599">
        <v>-2</v>
      </c>
      <c r="W104" s="558"/>
      <c r="X104" s="543"/>
    </row>
    <row r="105" spans="1:25" s="544" customFormat="1" x14ac:dyDescent="0.3">
      <c r="A105" s="555">
        <f>+A104+1</f>
        <v>3</v>
      </c>
      <c r="B105" s="556" t="s">
        <v>331</v>
      </c>
      <c r="C105" s="556"/>
      <c r="D105" s="556"/>
      <c r="E105" s="556"/>
      <c r="F105" s="556"/>
      <c r="G105" s="556"/>
      <c r="H105" s="556"/>
      <c r="I105" s="556"/>
      <c r="J105" s="556"/>
      <c r="K105" s="556"/>
      <c r="L105" s="556"/>
      <c r="M105" s="556"/>
      <c r="N105" s="556"/>
      <c r="O105" s="556"/>
      <c r="P105" s="556"/>
      <c r="Q105" s="556"/>
      <c r="R105" s="556"/>
      <c r="S105" s="556"/>
      <c r="T105" s="556"/>
      <c r="U105" s="556"/>
      <c r="V105" s="599">
        <f>-86-115-8</f>
        <v>-209</v>
      </c>
      <c r="W105" s="558"/>
      <c r="X105" s="543"/>
    </row>
    <row r="106" spans="1:25" s="544" customFormat="1" x14ac:dyDescent="0.3">
      <c r="A106" s="555" t="s">
        <v>127</v>
      </c>
      <c r="B106" s="556" t="s">
        <v>116</v>
      </c>
      <c r="C106" s="556"/>
      <c r="D106" s="556"/>
      <c r="E106" s="556"/>
      <c r="F106" s="556"/>
      <c r="G106" s="556"/>
      <c r="H106" s="556"/>
      <c r="I106" s="556"/>
      <c r="J106" s="556"/>
      <c r="K106" s="556"/>
      <c r="L106" s="556"/>
      <c r="M106" s="556"/>
      <c r="N106" s="556"/>
      <c r="O106" s="556"/>
      <c r="P106" s="556"/>
      <c r="Q106" s="556"/>
      <c r="R106" s="556"/>
      <c r="S106" s="556"/>
      <c r="T106" s="556"/>
      <c r="U106" s="556"/>
      <c r="V106" s="599">
        <v>0</v>
      </c>
      <c r="W106" s="558"/>
      <c r="X106" s="543"/>
    </row>
    <row r="107" spans="1:25" s="544" customFormat="1" x14ac:dyDescent="0.3">
      <c r="A107" s="555" t="s">
        <v>128</v>
      </c>
      <c r="B107" s="556" t="s">
        <v>363</v>
      </c>
      <c r="C107" s="556"/>
      <c r="D107" s="556"/>
      <c r="E107" s="556"/>
      <c r="F107" s="556"/>
      <c r="G107" s="556"/>
      <c r="H107" s="556"/>
      <c r="I107" s="556"/>
      <c r="J107" s="556"/>
      <c r="K107" s="556"/>
      <c r="L107" s="556"/>
      <c r="M107" s="556"/>
      <c r="N107" s="556"/>
      <c r="O107" s="556"/>
      <c r="P107" s="556"/>
      <c r="Q107" s="556"/>
      <c r="R107" s="556"/>
      <c r="S107" s="556"/>
      <c r="T107" s="556"/>
      <c r="U107" s="556"/>
      <c r="V107" s="599">
        <v>-221</v>
      </c>
      <c r="W107" s="558"/>
      <c r="X107" s="543"/>
      <c r="Y107" s="604"/>
    </row>
    <row r="108" spans="1:25" s="544" customFormat="1" x14ac:dyDescent="0.3">
      <c r="A108" s="555" t="s">
        <v>150</v>
      </c>
      <c r="B108" s="556" t="s">
        <v>364</v>
      </c>
      <c r="C108" s="556"/>
      <c r="D108" s="556"/>
      <c r="E108" s="556"/>
      <c r="F108" s="556"/>
      <c r="G108" s="556"/>
      <c r="H108" s="556"/>
      <c r="I108" s="556"/>
      <c r="J108" s="556"/>
      <c r="K108" s="556"/>
      <c r="L108" s="556"/>
      <c r="M108" s="556"/>
      <c r="N108" s="556"/>
      <c r="O108" s="556"/>
      <c r="P108" s="556"/>
      <c r="Q108" s="556"/>
      <c r="R108" s="556"/>
      <c r="S108" s="556"/>
      <c r="T108" s="556"/>
      <c r="U108" s="556"/>
      <c r="V108" s="599">
        <v>-110</v>
      </c>
      <c r="W108" s="558"/>
      <c r="X108" s="543"/>
      <c r="Y108" s="604"/>
    </row>
    <row r="109" spans="1:25" s="544" customFormat="1" x14ac:dyDescent="0.3">
      <c r="A109" s="555" t="s">
        <v>236</v>
      </c>
      <c r="B109" s="556" t="s">
        <v>238</v>
      </c>
      <c r="C109" s="556"/>
      <c r="D109" s="556"/>
      <c r="E109" s="556"/>
      <c r="F109" s="556"/>
      <c r="G109" s="556"/>
      <c r="H109" s="556"/>
      <c r="I109" s="556"/>
      <c r="J109" s="556"/>
      <c r="K109" s="556"/>
      <c r="L109" s="556"/>
      <c r="M109" s="556"/>
      <c r="N109" s="556"/>
      <c r="O109" s="556"/>
      <c r="P109" s="556"/>
      <c r="Q109" s="556"/>
      <c r="R109" s="556"/>
      <c r="S109" s="556"/>
      <c r="T109" s="556"/>
      <c r="U109" s="556"/>
      <c r="V109" s="599">
        <v>0</v>
      </c>
      <c r="W109" s="558"/>
      <c r="X109" s="543"/>
    </row>
    <row r="110" spans="1:25" s="544" customFormat="1" x14ac:dyDescent="0.3">
      <c r="A110" s="555" t="s">
        <v>205</v>
      </c>
      <c r="B110" s="556" t="s">
        <v>185</v>
      </c>
      <c r="C110" s="556"/>
      <c r="D110" s="556"/>
      <c r="E110" s="556"/>
      <c r="F110" s="556"/>
      <c r="G110" s="556"/>
      <c r="H110" s="556"/>
      <c r="I110" s="556"/>
      <c r="J110" s="556"/>
      <c r="K110" s="556"/>
      <c r="L110" s="556"/>
      <c r="M110" s="556"/>
      <c r="N110" s="556"/>
      <c r="O110" s="556"/>
      <c r="P110" s="556"/>
      <c r="Q110" s="556"/>
      <c r="R110" s="556"/>
      <c r="S110" s="556"/>
      <c r="T110" s="556"/>
      <c r="U110" s="556"/>
      <c r="V110" s="599">
        <v>-76</v>
      </c>
      <c r="W110" s="558"/>
      <c r="X110" s="543"/>
      <c r="Y110" s="604"/>
    </row>
    <row r="111" spans="1:25" s="544" customFormat="1" x14ac:dyDescent="0.3">
      <c r="A111" s="555" t="s">
        <v>206</v>
      </c>
      <c r="B111" s="556" t="s">
        <v>186</v>
      </c>
      <c r="C111" s="556"/>
      <c r="D111" s="556"/>
      <c r="E111" s="556"/>
      <c r="F111" s="556"/>
      <c r="G111" s="556"/>
      <c r="H111" s="556"/>
      <c r="I111" s="556"/>
      <c r="J111" s="556"/>
      <c r="K111" s="556"/>
      <c r="L111" s="556"/>
      <c r="M111" s="556"/>
      <c r="N111" s="556"/>
      <c r="O111" s="556"/>
      <c r="P111" s="556"/>
      <c r="Q111" s="556"/>
      <c r="R111" s="556"/>
      <c r="S111" s="556"/>
      <c r="T111" s="556"/>
      <c r="U111" s="556"/>
      <c r="V111" s="599">
        <v>-58</v>
      </c>
      <c r="W111" s="558"/>
      <c r="X111" s="605"/>
      <c r="Y111" s="604"/>
    </row>
    <row r="112" spans="1:25" s="544" customFormat="1" x14ac:dyDescent="0.3">
      <c r="A112" s="555" t="s">
        <v>207</v>
      </c>
      <c r="B112" s="556" t="s">
        <v>196</v>
      </c>
      <c r="C112" s="556"/>
      <c r="D112" s="556"/>
      <c r="E112" s="556"/>
      <c r="F112" s="556"/>
      <c r="G112" s="556"/>
      <c r="H112" s="556"/>
      <c r="I112" s="556"/>
      <c r="J112" s="556"/>
      <c r="K112" s="556"/>
      <c r="L112" s="556"/>
      <c r="M112" s="556"/>
      <c r="N112" s="556"/>
      <c r="O112" s="556"/>
      <c r="P112" s="556"/>
      <c r="Q112" s="556"/>
      <c r="R112" s="556"/>
      <c r="S112" s="556"/>
      <c r="T112" s="556"/>
      <c r="U112" s="556"/>
      <c r="V112" s="599">
        <v>-221</v>
      </c>
      <c r="W112" s="558"/>
      <c r="X112" s="543"/>
      <c r="Y112" s="604"/>
    </row>
    <row r="113" spans="1:25" s="544" customFormat="1" x14ac:dyDescent="0.3">
      <c r="A113" s="555" t="s">
        <v>224</v>
      </c>
      <c r="B113" s="556" t="s">
        <v>223</v>
      </c>
      <c r="C113" s="556"/>
      <c r="D113" s="556"/>
      <c r="E113" s="556"/>
      <c r="F113" s="556"/>
      <c r="G113" s="556"/>
      <c r="H113" s="556"/>
      <c r="I113" s="556"/>
      <c r="J113" s="556"/>
      <c r="K113" s="556"/>
      <c r="L113" s="556"/>
      <c r="M113" s="556"/>
      <c r="N113" s="556"/>
      <c r="O113" s="556"/>
      <c r="P113" s="556"/>
      <c r="Q113" s="556"/>
      <c r="R113" s="556"/>
      <c r="S113" s="556"/>
      <c r="T113" s="556"/>
      <c r="U113" s="556"/>
      <c r="V113" s="599">
        <v>-42</v>
      </c>
      <c r="W113" s="558"/>
      <c r="X113" s="543"/>
      <c r="Y113" s="604"/>
    </row>
    <row r="114" spans="1:25" s="544" customFormat="1" x14ac:dyDescent="0.3">
      <c r="A114" s="555">
        <v>7</v>
      </c>
      <c r="B114" s="556" t="s">
        <v>35</v>
      </c>
      <c r="C114" s="556"/>
      <c r="D114" s="556"/>
      <c r="E114" s="556"/>
      <c r="F114" s="556"/>
      <c r="G114" s="556"/>
      <c r="H114" s="556"/>
      <c r="I114" s="556"/>
      <c r="J114" s="556"/>
      <c r="K114" s="556"/>
      <c r="L114" s="556"/>
      <c r="M114" s="556"/>
      <c r="N114" s="556"/>
      <c r="O114" s="556"/>
      <c r="P114" s="556"/>
      <c r="Q114" s="556"/>
      <c r="R114" s="556"/>
      <c r="S114" s="556"/>
      <c r="T114" s="556"/>
      <c r="U114" s="556"/>
      <c r="V114" s="599">
        <v>-11</v>
      </c>
      <c r="W114" s="558"/>
      <c r="X114" s="543"/>
    </row>
    <row r="115" spans="1:25" s="544" customFormat="1" x14ac:dyDescent="0.3">
      <c r="A115" s="555">
        <f t="shared" ref="A115:A124" si="0">+A114+1</f>
        <v>8</v>
      </c>
      <c r="B115" s="556" t="s">
        <v>45</v>
      </c>
      <c r="C115" s="556"/>
      <c r="D115" s="556"/>
      <c r="E115" s="556"/>
      <c r="F115" s="556"/>
      <c r="G115" s="556"/>
      <c r="H115" s="556"/>
      <c r="I115" s="556"/>
      <c r="J115" s="556"/>
      <c r="K115" s="556"/>
      <c r="L115" s="556"/>
      <c r="M115" s="556"/>
      <c r="N115" s="556"/>
      <c r="O115" s="556"/>
      <c r="P115" s="556"/>
      <c r="Q115" s="556"/>
      <c r="R115" s="556"/>
      <c r="S115" s="556"/>
      <c r="T115" s="598">
        <f>-V115</f>
        <v>109</v>
      </c>
      <c r="U115" s="556"/>
      <c r="V115" s="599">
        <v>-109</v>
      </c>
      <c r="W115" s="558"/>
      <c r="X115" s="543"/>
    </row>
    <row r="116" spans="1:25" s="544" customFormat="1" x14ac:dyDescent="0.3">
      <c r="A116" s="555">
        <f t="shared" si="0"/>
        <v>9</v>
      </c>
      <c r="B116" s="556" t="s">
        <v>125</v>
      </c>
      <c r="C116" s="556"/>
      <c r="D116" s="556"/>
      <c r="E116" s="556"/>
      <c r="F116" s="556"/>
      <c r="G116" s="556"/>
      <c r="H116" s="556"/>
      <c r="I116" s="556"/>
      <c r="J116" s="556"/>
      <c r="K116" s="556"/>
      <c r="L116" s="556"/>
      <c r="M116" s="556"/>
      <c r="N116" s="556"/>
      <c r="O116" s="556"/>
      <c r="P116" s="556"/>
      <c r="Q116" s="556"/>
      <c r="R116" s="556"/>
      <c r="S116" s="556"/>
      <c r="T116" s="556"/>
      <c r="U116" s="556"/>
      <c r="V116" s="599">
        <v>0</v>
      </c>
      <c r="W116" s="558"/>
      <c r="X116" s="543"/>
    </row>
    <row r="117" spans="1:25" s="544" customFormat="1" x14ac:dyDescent="0.3">
      <c r="A117" s="555">
        <f t="shared" si="0"/>
        <v>10</v>
      </c>
      <c r="B117" s="556" t="s">
        <v>240</v>
      </c>
      <c r="C117" s="556"/>
      <c r="D117" s="556"/>
      <c r="E117" s="556"/>
      <c r="F117" s="556"/>
      <c r="G117" s="556"/>
      <c r="H117" s="556"/>
      <c r="I117" s="556"/>
      <c r="J117" s="556"/>
      <c r="K117" s="556"/>
      <c r="L117" s="556"/>
      <c r="M117" s="556"/>
      <c r="N117" s="556"/>
      <c r="O117" s="556"/>
      <c r="P117" s="556"/>
      <c r="Q117" s="556"/>
      <c r="R117" s="556"/>
      <c r="S117" s="556"/>
      <c r="T117" s="556"/>
      <c r="U117" s="556"/>
      <c r="V117" s="599">
        <v>0</v>
      </c>
      <c r="W117" s="558"/>
      <c r="X117" s="543"/>
    </row>
    <row r="118" spans="1:25" s="544" customFormat="1" x14ac:dyDescent="0.3">
      <c r="A118" s="555">
        <f t="shared" si="0"/>
        <v>11</v>
      </c>
      <c r="B118" s="556" t="s">
        <v>36</v>
      </c>
      <c r="C118" s="556"/>
      <c r="D118" s="556"/>
      <c r="E118" s="556"/>
      <c r="F118" s="556"/>
      <c r="G118" s="556"/>
      <c r="H118" s="556"/>
      <c r="I118" s="556"/>
      <c r="J118" s="556"/>
      <c r="K118" s="556"/>
      <c r="L118" s="556"/>
      <c r="M118" s="556"/>
      <c r="N118" s="556"/>
      <c r="O118" s="556"/>
      <c r="P118" s="556"/>
      <c r="Q118" s="556"/>
      <c r="R118" s="556"/>
      <c r="S118" s="556"/>
      <c r="T118" s="556"/>
      <c r="U118" s="556"/>
      <c r="V118" s="599">
        <v>0</v>
      </c>
      <c r="W118" s="558"/>
      <c r="X118" s="543"/>
    </row>
    <row r="119" spans="1:25" s="544" customFormat="1" x14ac:dyDescent="0.3">
      <c r="A119" s="555">
        <f t="shared" si="0"/>
        <v>12</v>
      </c>
      <c r="B119" s="556" t="s">
        <v>239</v>
      </c>
      <c r="C119" s="556"/>
      <c r="D119" s="556"/>
      <c r="E119" s="556"/>
      <c r="F119" s="556"/>
      <c r="G119" s="556"/>
      <c r="H119" s="556"/>
      <c r="I119" s="556"/>
      <c r="J119" s="556"/>
      <c r="K119" s="556"/>
      <c r="L119" s="556"/>
      <c r="M119" s="556"/>
      <c r="N119" s="556"/>
      <c r="O119" s="556"/>
      <c r="P119" s="556"/>
      <c r="Q119" s="556"/>
      <c r="R119" s="556"/>
      <c r="S119" s="556"/>
      <c r="T119" s="556"/>
      <c r="U119" s="556"/>
      <c r="V119" s="599">
        <v>0</v>
      </c>
      <c r="W119" s="558"/>
      <c r="X119" s="543"/>
    </row>
    <row r="120" spans="1:25" s="544" customFormat="1" x14ac:dyDescent="0.3">
      <c r="A120" s="555">
        <f t="shared" si="0"/>
        <v>13</v>
      </c>
      <c r="B120" s="556" t="s">
        <v>149</v>
      </c>
      <c r="C120" s="556"/>
      <c r="D120" s="556"/>
      <c r="E120" s="556"/>
      <c r="F120" s="556"/>
      <c r="G120" s="556"/>
      <c r="H120" s="556"/>
      <c r="I120" s="556"/>
      <c r="J120" s="556"/>
      <c r="K120" s="556"/>
      <c r="L120" s="556"/>
      <c r="M120" s="556"/>
      <c r="N120" s="556"/>
      <c r="O120" s="556"/>
      <c r="P120" s="556"/>
      <c r="Q120" s="556"/>
      <c r="R120" s="556"/>
      <c r="S120" s="556"/>
      <c r="T120" s="556"/>
      <c r="U120" s="556"/>
      <c r="V120" s="599">
        <v>-429</v>
      </c>
      <c r="W120" s="558"/>
      <c r="X120" s="543"/>
    </row>
    <row r="121" spans="1:25" s="544" customFormat="1" x14ac:dyDescent="0.3">
      <c r="A121" s="555">
        <f t="shared" si="0"/>
        <v>14</v>
      </c>
      <c r="B121" s="641" t="s">
        <v>387</v>
      </c>
      <c r="C121" s="556"/>
      <c r="D121" s="556"/>
      <c r="E121" s="556"/>
      <c r="F121" s="556"/>
      <c r="G121" s="556"/>
      <c r="H121" s="556"/>
      <c r="I121" s="556"/>
      <c r="J121" s="556"/>
      <c r="K121" s="556"/>
      <c r="L121" s="556"/>
      <c r="M121" s="556"/>
      <c r="N121" s="556"/>
      <c r="O121" s="556"/>
      <c r="P121" s="556"/>
      <c r="Q121" s="556"/>
      <c r="R121" s="556"/>
      <c r="S121" s="556"/>
      <c r="T121" s="556"/>
      <c r="U121" s="556"/>
      <c r="V121" s="599">
        <v>-293</v>
      </c>
      <c r="W121" s="558"/>
      <c r="X121" s="543"/>
    </row>
    <row r="122" spans="1:25" s="544" customFormat="1" x14ac:dyDescent="0.3">
      <c r="A122" s="555">
        <f t="shared" si="0"/>
        <v>15</v>
      </c>
      <c r="B122" s="642" t="s">
        <v>384</v>
      </c>
      <c r="C122" s="556"/>
      <c r="D122" s="556"/>
      <c r="E122" s="556"/>
      <c r="F122" s="556"/>
      <c r="G122" s="556"/>
      <c r="H122" s="556"/>
      <c r="I122" s="556"/>
      <c r="J122" s="556"/>
      <c r="K122" s="556"/>
      <c r="L122" s="556"/>
      <c r="M122" s="556"/>
      <c r="N122" s="556"/>
      <c r="O122" s="556"/>
      <c r="P122" s="556"/>
      <c r="Q122" s="556"/>
      <c r="R122" s="556"/>
      <c r="S122" s="556"/>
      <c r="T122" s="556"/>
      <c r="U122" s="556"/>
      <c r="V122" s="599">
        <v>-44</v>
      </c>
      <c r="W122" s="558"/>
      <c r="X122" s="543"/>
    </row>
    <row r="123" spans="1:25" s="544" customFormat="1" x14ac:dyDescent="0.3">
      <c r="A123" s="555">
        <f t="shared" si="0"/>
        <v>16</v>
      </c>
      <c r="B123" s="642" t="s">
        <v>386</v>
      </c>
      <c r="C123" s="556"/>
      <c r="D123" s="556"/>
      <c r="E123" s="556"/>
      <c r="F123" s="556"/>
      <c r="G123" s="556"/>
      <c r="H123" s="556"/>
      <c r="I123" s="556"/>
      <c r="J123" s="556"/>
      <c r="K123" s="556"/>
      <c r="L123" s="556"/>
      <c r="M123" s="556"/>
      <c r="N123" s="556"/>
      <c r="O123" s="556"/>
      <c r="P123" s="556"/>
      <c r="Q123" s="556"/>
      <c r="R123" s="556"/>
      <c r="S123" s="556"/>
      <c r="T123" s="556"/>
      <c r="U123" s="556"/>
      <c r="V123" s="599">
        <v>0</v>
      </c>
      <c r="W123" s="558"/>
      <c r="X123" s="543"/>
    </row>
    <row r="124" spans="1:25" s="544" customFormat="1" x14ac:dyDescent="0.3">
      <c r="A124" s="555">
        <f t="shared" si="0"/>
        <v>17</v>
      </c>
      <c r="B124" s="642" t="s">
        <v>385</v>
      </c>
      <c r="C124" s="556"/>
      <c r="D124" s="556"/>
      <c r="E124" s="556"/>
      <c r="F124" s="556"/>
      <c r="G124" s="556"/>
      <c r="H124" s="556"/>
      <c r="I124" s="556"/>
      <c r="J124" s="556"/>
      <c r="K124" s="556"/>
      <c r="L124" s="556"/>
      <c r="M124" s="556"/>
      <c r="N124" s="556"/>
      <c r="O124" s="556"/>
      <c r="P124" s="556"/>
      <c r="Q124" s="556"/>
      <c r="R124" s="556"/>
      <c r="S124" s="556"/>
      <c r="T124" s="556"/>
      <c r="U124" s="556"/>
      <c r="V124" s="599">
        <f>-V101-SUM(V103:V123)</f>
        <v>-30414</v>
      </c>
      <c r="W124" s="558"/>
      <c r="X124" s="543"/>
    </row>
    <row r="125" spans="1:25" x14ac:dyDescent="0.3">
      <c r="A125" s="431"/>
      <c r="B125" s="507" t="s">
        <v>37</v>
      </c>
      <c r="C125" s="434"/>
      <c r="D125" s="434"/>
      <c r="E125" s="434"/>
      <c r="F125" s="434"/>
      <c r="G125" s="434"/>
      <c r="H125" s="434"/>
      <c r="I125" s="434"/>
      <c r="J125" s="434"/>
      <c r="K125" s="434"/>
      <c r="L125" s="434"/>
      <c r="M125" s="434"/>
      <c r="N125" s="434"/>
      <c r="O125" s="434"/>
      <c r="P125" s="434"/>
      <c r="Q125" s="434"/>
      <c r="R125" s="434"/>
      <c r="S125" s="434"/>
      <c r="T125" s="434"/>
      <c r="U125" s="434"/>
      <c r="V125" s="450"/>
      <c r="W125" s="436"/>
      <c r="X125" s="415"/>
    </row>
    <row r="126" spans="1:25" s="544" customFormat="1" x14ac:dyDescent="0.3">
      <c r="A126" s="555"/>
      <c r="B126" s="556" t="s">
        <v>173</v>
      </c>
      <c r="C126" s="556"/>
      <c r="D126" s="556"/>
      <c r="E126" s="556"/>
      <c r="F126" s="556"/>
      <c r="G126" s="556"/>
      <c r="H126" s="556"/>
      <c r="I126" s="556"/>
      <c r="J126" s="556"/>
      <c r="K126" s="556"/>
      <c r="L126" s="556"/>
      <c r="M126" s="556"/>
      <c r="N126" s="556"/>
      <c r="O126" s="556"/>
      <c r="P126" s="556"/>
      <c r="Q126" s="556"/>
      <c r="R126" s="556"/>
      <c r="S126" s="556"/>
      <c r="T126" s="598">
        <f>-T192</f>
        <v>0</v>
      </c>
      <c r="U126" s="598"/>
      <c r="V126" s="599"/>
      <c r="W126" s="558"/>
      <c r="X126" s="543"/>
    </row>
    <row r="127" spans="1:25" s="544" customFormat="1" x14ac:dyDescent="0.3">
      <c r="A127" s="555"/>
      <c r="B127" s="556" t="s">
        <v>174</v>
      </c>
      <c r="C127" s="556"/>
      <c r="D127" s="556"/>
      <c r="E127" s="556"/>
      <c r="F127" s="556"/>
      <c r="G127" s="556"/>
      <c r="H127" s="556"/>
      <c r="I127" s="556"/>
      <c r="J127" s="556"/>
      <c r="K127" s="556"/>
      <c r="L127" s="556"/>
      <c r="M127" s="556"/>
      <c r="N127" s="556"/>
      <c r="O127" s="556"/>
      <c r="P127" s="556"/>
      <c r="Q127" s="556"/>
      <c r="R127" s="556"/>
      <c r="S127" s="556"/>
      <c r="T127" s="598">
        <v>0</v>
      </c>
      <c r="U127" s="598"/>
      <c r="V127" s="599"/>
      <c r="W127" s="558"/>
      <c r="X127" s="543"/>
    </row>
    <row r="128" spans="1:25" s="544" customFormat="1" x14ac:dyDescent="0.3">
      <c r="A128" s="555"/>
      <c r="B128" s="556" t="s">
        <v>38</v>
      </c>
      <c r="C128" s="556"/>
      <c r="D128" s="556"/>
      <c r="E128" s="556"/>
      <c r="F128" s="556"/>
      <c r="G128" s="556"/>
      <c r="H128" s="556"/>
      <c r="I128" s="556"/>
      <c r="J128" s="556"/>
      <c r="K128" s="556"/>
      <c r="L128" s="556"/>
      <c r="M128" s="556"/>
      <c r="N128" s="556"/>
      <c r="O128" s="556"/>
      <c r="P128" s="556"/>
      <c r="Q128" s="556"/>
      <c r="R128" s="556"/>
      <c r="S128" s="556"/>
      <c r="T128" s="598">
        <f>-S192</f>
        <v>0</v>
      </c>
      <c r="U128" s="598"/>
      <c r="V128" s="599"/>
      <c r="W128" s="558"/>
      <c r="X128" s="543"/>
    </row>
    <row r="129" spans="1:24" s="544" customFormat="1" x14ac:dyDescent="0.3">
      <c r="A129" s="555"/>
      <c r="B129" s="556" t="s">
        <v>388</v>
      </c>
      <c r="C129" s="556"/>
      <c r="D129" s="556"/>
      <c r="E129" s="556"/>
      <c r="F129" s="556"/>
      <c r="G129" s="556"/>
      <c r="H129" s="556"/>
      <c r="I129" s="556"/>
      <c r="J129" s="556"/>
      <c r="K129" s="556"/>
      <c r="L129" s="556"/>
      <c r="M129" s="556"/>
      <c r="N129" s="556"/>
      <c r="O129" s="556"/>
      <c r="P129" s="556"/>
      <c r="Q129" s="556"/>
      <c r="R129" s="556"/>
      <c r="S129" s="556"/>
      <c r="T129" s="598">
        <v>-269976</v>
      </c>
      <c r="U129" s="598"/>
      <c r="V129" s="599"/>
      <c r="W129" s="558"/>
      <c r="X129" s="543"/>
    </row>
    <row r="130" spans="1:24" s="544" customFormat="1" x14ac:dyDescent="0.3">
      <c r="A130" s="555"/>
      <c r="B130" s="556" t="s">
        <v>195</v>
      </c>
      <c r="C130" s="556"/>
      <c r="D130" s="556"/>
      <c r="E130" s="556"/>
      <c r="F130" s="556"/>
      <c r="G130" s="556"/>
      <c r="H130" s="556"/>
      <c r="I130" s="556"/>
      <c r="J130" s="556"/>
      <c r="K130" s="556"/>
      <c r="L130" s="556"/>
      <c r="M130" s="556"/>
      <c r="N130" s="556"/>
      <c r="O130" s="556"/>
      <c r="P130" s="556"/>
      <c r="Q130" s="556"/>
      <c r="R130" s="556"/>
      <c r="S130" s="556"/>
      <c r="T130" s="598">
        <v>-43534</v>
      </c>
      <c r="U130" s="598"/>
      <c r="V130" s="599"/>
      <c r="W130" s="558"/>
      <c r="X130" s="543"/>
    </row>
    <row r="131" spans="1:24" s="544" customFormat="1" x14ac:dyDescent="0.3">
      <c r="A131" s="555"/>
      <c r="B131" s="556" t="s">
        <v>194</v>
      </c>
      <c r="C131" s="556"/>
      <c r="D131" s="556"/>
      <c r="E131" s="556"/>
      <c r="F131" s="556"/>
      <c r="G131" s="556"/>
      <c r="H131" s="556"/>
      <c r="I131" s="556"/>
      <c r="J131" s="556"/>
      <c r="K131" s="556"/>
      <c r="L131" s="556"/>
      <c r="M131" s="556"/>
      <c r="N131" s="556"/>
      <c r="O131" s="556"/>
      <c r="P131" s="556"/>
      <c r="Q131" s="556"/>
      <c r="R131" s="556"/>
      <c r="S131" s="556"/>
      <c r="T131" s="598">
        <v>-58561</v>
      </c>
      <c r="U131" s="598"/>
      <c r="V131" s="599"/>
      <c r="W131" s="558"/>
      <c r="X131" s="543"/>
    </row>
    <row r="132" spans="1:24" s="544" customFormat="1" x14ac:dyDescent="0.3">
      <c r="A132" s="555"/>
      <c r="B132" s="556" t="s">
        <v>226</v>
      </c>
      <c r="C132" s="556"/>
      <c r="D132" s="556"/>
      <c r="E132" s="556"/>
      <c r="F132" s="556"/>
      <c r="G132" s="556"/>
      <c r="H132" s="556"/>
      <c r="I132" s="556"/>
      <c r="J132" s="556"/>
      <c r="K132" s="556"/>
      <c r="L132" s="556"/>
      <c r="M132" s="556"/>
      <c r="N132" s="556"/>
      <c r="O132" s="556"/>
      <c r="P132" s="556"/>
      <c r="Q132" s="556"/>
      <c r="R132" s="556"/>
      <c r="S132" s="556"/>
      <c r="T132" s="598">
        <v>-71993</v>
      </c>
      <c r="U132" s="598"/>
      <c r="V132" s="599"/>
      <c r="W132" s="558"/>
      <c r="X132" s="543"/>
    </row>
    <row r="133" spans="1:24" s="544" customFormat="1" x14ac:dyDescent="0.3">
      <c r="A133" s="555"/>
      <c r="B133" s="556" t="s">
        <v>189</v>
      </c>
      <c r="C133" s="556"/>
      <c r="D133" s="556"/>
      <c r="E133" s="556"/>
      <c r="F133" s="556"/>
      <c r="G133" s="556"/>
      <c r="H133" s="556"/>
      <c r="I133" s="556"/>
      <c r="J133" s="556"/>
      <c r="K133" s="556"/>
      <c r="L133" s="556"/>
      <c r="M133" s="556"/>
      <c r="N133" s="556"/>
      <c r="O133" s="556"/>
      <c r="P133" s="556"/>
      <c r="Q133" s="556"/>
      <c r="R133" s="556"/>
      <c r="S133" s="556"/>
      <c r="T133" s="598">
        <v>-51900</v>
      </c>
      <c r="U133" s="598"/>
      <c r="V133" s="599"/>
      <c r="W133" s="558"/>
      <c r="X133" s="543"/>
    </row>
    <row r="134" spans="1:24" s="544" customFormat="1" x14ac:dyDescent="0.3">
      <c r="A134" s="555"/>
      <c r="B134" s="556" t="s">
        <v>188</v>
      </c>
      <c r="C134" s="556"/>
      <c r="D134" s="556"/>
      <c r="E134" s="556"/>
      <c r="F134" s="556"/>
      <c r="G134" s="556"/>
      <c r="H134" s="556"/>
      <c r="I134" s="556"/>
      <c r="J134" s="556"/>
      <c r="K134" s="556"/>
      <c r="L134" s="556"/>
      <c r="M134" s="556"/>
      <c r="N134" s="556"/>
      <c r="O134" s="556"/>
      <c r="P134" s="556"/>
      <c r="Q134" s="556"/>
      <c r="R134" s="556"/>
      <c r="S134" s="556"/>
      <c r="T134" s="598">
        <v>-60697</v>
      </c>
      <c r="U134" s="598"/>
      <c r="V134" s="599"/>
      <c r="W134" s="558"/>
      <c r="X134" s="543"/>
    </row>
    <row r="135" spans="1:24" s="544" customFormat="1" x14ac:dyDescent="0.3">
      <c r="A135" s="555"/>
      <c r="B135" s="556" t="s">
        <v>227</v>
      </c>
      <c r="C135" s="556"/>
      <c r="D135" s="556"/>
      <c r="E135" s="556"/>
      <c r="F135" s="556"/>
      <c r="G135" s="556"/>
      <c r="H135" s="556"/>
      <c r="I135" s="556"/>
      <c r="J135" s="556"/>
      <c r="K135" s="556"/>
      <c r="L135" s="556"/>
      <c r="M135" s="556"/>
      <c r="N135" s="556"/>
      <c r="O135" s="556"/>
      <c r="P135" s="556"/>
      <c r="Q135" s="556"/>
      <c r="R135" s="556"/>
      <c r="S135" s="556"/>
      <c r="T135" s="598">
        <v>-20000</v>
      </c>
      <c r="U135" s="598"/>
      <c r="V135" s="599"/>
      <c r="W135" s="558"/>
      <c r="X135" s="543"/>
    </row>
    <row r="136" spans="1:24" s="544" customFormat="1" x14ac:dyDescent="0.3">
      <c r="A136" s="555"/>
      <c r="B136" s="556" t="s">
        <v>187</v>
      </c>
      <c r="C136" s="556"/>
      <c r="D136" s="556"/>
      <c r="E136" s="556"/>
      <c r="F136" s="556"/>
      <c r="G136" s="556"/>
      <c r="H136" s="556"/>
      <c r="I136" s="556"/>
      <c r="J136" s="556"/>
      <c r="K136" s="556"/>
      <c r="L136" s="556"/>
      <c r="M136" s="556"/>
      <c r="N136" s="556"/>
      <c r="O136" s="556"/>
      <c r="P136" s="556"/>
      <c r="Q136" s="556"/>
      <c r="R136" s="556"/>
      <c r="S136" s="556"/>
      <c r="T136" s="598">
        <v>-92618</v>
      </c>
      <c r="U136" s="598"/>
      <c r="V136" s="599"/>
      <c r="W136" s="558"/>
      <c r="X136" s="543"/>
    </row>
    <row r="137" spans="1:24" s="544" customFormat="1" x14ac:dyDescent="0.3">
      <c r="A137" s="555"/>
      <c r="B137" s="556" t="s">
        <v>39</v>
      </c>
      <c r="C137" s="556"/>
      <c r="D137" s="556"/>
      <c r="E137" s="556"/>
      <c r="F137" s="556"/>
      <c r="G137" s="556"/>
      <c r="H137" s="556"/>
      <c r="I137" s="556"/>
      <c r="J137" s="556"/>
      <c r="K137" s="556"/>
      <c r="L137" s="556"/>
      <c r="M137" s="556"/>
      <c r="N137" s="556"/>
      <c r="O137" s="556"/>
      <c r="P137" s="556"/>
      <c r="Q137" s="556"/>
      <c r="R137" s="556"/>
      <c r="S137" s="556"/>
      <c r="T137" s="598">
        <f>SUM(T126:T136)</f>
        <v>-669279</v>
      </c>
      <c r="U137" s="598"/>
      <c r="V137" s="598">
        <f>SUM(V102:V134)</f>
        <v>-32239</v>
      </c>
      <c r="W137" s="558"/>
      <c r="X137" s="543"/>
    </row>
    <row r="138" spans="1:24" s="544" customFormat="1" x14ac:dyDescent="0.3">
      <c r="A138" s="555"/>
      <c r="B138" s="556" t="s">
        <v>40</v>
      </c>
      <c r="C138" s="556"/>
      <c r="D138" s="556"/>
      <c r="E138" s="556"/>
      <c r="F138" s="556"/>
      <c r="G138" s="556"/>
      <c r="H138" s="556"/>
      <c r="I138" s="556"/>
      <c r="J138" s="556"/>
      <c r="K138" s="556"/>
      <c r="L138" s="556"/>
      <c r="M138" s="556"/>
      <c r="N138" s="556"/>
      <c r="O138" s="556"/>
      <c r="P138" s="556"/>
      <c r="Q138" s="556"/>
      <c r="R138" s="556"/>
      <c r="S138" s="556"/>
      <c r="T138" s="598">
        <f>T101+T137+T115</f>
        <v>0</v>
      </c>
      <c r="U138" s="598"/>
      <c r="V138" s="598">
        <f>V101+V137</f>
        <v>0</v>
      </c>
      <c r="W138" s="558"/>
      <c r="X138" s="543"/>
    </row>
    <row r="139" spans="1:24" s="544" customFormat="1" x14ac:dyDescent="0.3">
      <c r="A139" s="540"/>
      <c r="B139" s="588"/>
      <c r="C139" s="588"/>
      <c r="D139" s="588"/>
      <c r="E139" s="588"/>
      <c r="F139" s="588"/>
      <c r="G139" s="588"/>
      <c r="H139" s="588"/>
      <c r="I139" s="588"/>
      <c r="J139" s="588"/>
      <c r="K139" s="588"/>
      <c r="L139" s="588"/>
      <c r="M139" s="588"/>
      <c r="N139" s="588"/>
      <c r="O139" s="588"/>
      <c r="P139" s="588"/>
      <c r="Q139" s="588"/>
      <c r="R139" s="588"/>
      <c r="S139" s="588"/>
      <c r="T139" s="600"/>
      <c r="U139" s="600"/>
      <c r="V139" s="600"/>
      <c r="W139" s="588"/>
      <c r="X139" s="543"/>
    </row>
    <row r="140" spans="1:24" s="544" customFormat="1" x14ac:dyDescent="0.3">
      <c r="A140" s="540"/>
      <c r="B140" s="541"/>
      <c r="C140" s="541"/>
      <c r="D140" s="541"/>
      <c r="E140" s="541"/>
      <c r="F140" s="541"/>
      <c r="G140" s="541"/>
      <c r="H140" s="541"/>
      <c r="I140" s="541"/>
      <c r="J140" s="541"/>
      <c r="K140" s="541"/>
      <c r="L140" s="541"/>
      <c r="M140" s="541"/>
      <c r="N140" s="541"/>
      <c r="O140" s="541"/>
      <c r="P140" s="541"/>
      <c r="Q140" s="541"/>
      <c r="R140" s="541"/>
      <c r="S140" s="541"/>
      <c r="T140" s="541"/>
      <c r="U140" s="541"/>
      <c r="V140" s="606"/>
      <c r="W140" s="541"/>
      <c r="X140" s="543"/>
    </row>
    <row r="141" spans="1:24" s="544" customFormat="1" ht="18.600000000000001" thickBot="1" x14ac:dyDescent="0.4">
      <c r="A141" s="593"/>
      <c r="B141" s="594" t="str">
        <f>B63</f>
        <v>PM14 INVESTOR REPORT QUARTER ENDING MAY 2021</v>
      </c>
      <c r="C141" s="595"/>
      <c r="D141" s="595"/>
      <c r="E141" s="595"/>
      <c r="F141" s="595"/>
      <c r="G141" s="595"/>
      <c r="H141" s="595"/>
      <c r="I141" s="595"/>
      <c r="J141" s="595"/>
      <c r="K141" s="595"/>
      <c r="L141" s="595"/>
      <c r="M141" s="595"/>
      <c r="N141" s="595"/>
      <c r="O141" s="595"/>
      <c r="P141" s="595"/>
      <c r="Q141" s="595"/>
      <c r="R141" s="595"/>
      <c r="S141" s="595"/>
      <c r="T141" s="595"/>
      <c r="U141" s="595"/>
      <c r="V141" s="607"/>
      <c r="W141" s="597"/>
      <c r="X141" s="543"/>
    </row>
    <row r="142" spans="1:24" x14ac:dyDescent="0.3">
      <c r="A142" s="527"/>
      <c r="B142" s="528" t="s">
        <v>41</v>
      </c>
      <c r="C142" s="529"/>
      <c r="D142" s="529"/>
      <c r="E142" s="529"/>
      <c r="F142" s="529"/>
      <c r="G142" s="529"/>
      <c r="H142" s="529"/>
      <c r="I142" s="529"/>
      <c r="J142" s="529"/>
      <c r="K142" s="529"/>
      <c r="L142" s="529"/>
      <c r="M142" s="529"/>
      <c r="N142" s="529"/>
      <c r="O142" s="529"/>
      <c r="P142" s="529"/>
      <c r="Q142" s="529"/>
      <c r="R142" s="529"/>
      <c r="S142" s="529"/>
      <c r="T142" s="529"/>
      <c r="U142" s="529"/>
      <c r="V142" s="530"/>
      <c r="W142" s="529"/>
      <c r="X142" s="415"/>
    </row>
    <row r="143" spans="1:24" x14ac:dyDescent="0.3">
      <c r="A143" s="417"/>
      <c r="B143" s="451"/>
      <c r="C143" s="419"/>
      <c r="D143" s="419"/>
      <c r="E143" s="419"/>
      <c r="F143" s="419"/>
      <c r="G143" s="419"/>
      <c r="H143" s="419"/>
      <c r="I143" s="419"/>
      <c r="J143" s="419"/>
      <c r="K143" s="419"/>
      <c r="L143" s="419"/>
      <c r="M143" s="419"/>
      <c r="N143" s="419"/>
      <c r="O143" s="419"/>
      <c r="P143" s="419"/>
      <c r="Q143" s="419"/>
      <c r="R143" s="419"/>
      <c r="S143" s="419"/>
      <c r="T143" s="419"/>
      <c r="U143" s="419"/>
      <c r="V143" s="439"/>
      <c r="W143" s="419"/>
      <c r="X143" s="415"/>
    </row>
    <row r="144" spans="1:24" x14ac:dyDescent="0.3">
      <c r="A144" s="417"/>
      <c r="B144" s="508" t="s">
        <v>42</v>
      </c>
      <c r="C144" s="419"/>
      <c r="D144" s="419"/>
      <c r="E144" s="419"/>
      <c r="F144" s="419"/>
      <c r="G144" s="419"/>
      <c r="H144" s="419"/>
      <c r="I144" s="419"/>
      <c r="J144" s="419"/>
      <c r="K144" s="419"/>
      <c r="L144" s="419"/>
      <c r="M144" s="419"/>
      <c r="N144" s="419"/>
      <c r="O144" s="419"/>
      <c r="P144" s="419"/>
      <c r="Q144" s="419"/>
      <c r="R144" s="419"/>
      <c r="S144" s="419"/>
      <c r="T144" s="419"/>
      <c r="U144" s="419"/>
      <c r="V144" s="439"/>
      <c r="W144" s="419"/>
      <c r="X144" s="415"/>
    </row>
    <row r="145" spans="1:25" s="544" customFormat="1" x14ac:dyDescent="0.3">
      <c r="A145" s="555"/>
      <c r="B145" s="556" t="s">
        <v>43</v>
      </c>
      <c r="C145" s="556"/>
      <c r="D145" s="556"/>
      <c r="E145" s="556"/>
      <c r="F145" s="556"/>
      <c r="G145" s="556"/>
      <c r="H145" s="556"/>
      <c r="I145" s="556"/>
      <c r="J145" s="556"/>
      <c r="K145" s="556"/>
      <c r="L145" s="556"/>
      <c r="M145" s="556"/>
      <c r="N145" s="556"/>
      <c r="O145" s="556"/>
      <c r="P145" s="556"/>
      <c r="Q145" s="556"/>
      <c r="R145" s="556"/>
      <c r="S145" s="556"/>
      <c r="T145" s="556"/>
      <c r="U145" s="556"/>
      <c r="V145" s="599">
        <f>+V34*0.019</f>
        <v>28505.224999999999</v>
      </c>
      <c r="W145" s="558"/>
      <c r="X145" s="543"/>
    </row>
    <row r="146" spans="1:25" s="544" customFormat="1" x14ac:dyDescent="0.3">
      <c r="A146" s="555"/>
      <c r="B146" s="556" t="s">
        <v>44</v>
      </c>
      <c r="C146" s="556"/>
      <c r="D146" s="556"/>
      <c r="E146" s="556"/>
      <c r="F146" s="556"/>
      <c r="G146" s="556"/>
      <c r="H146" s="556"/>
      <c r="I146" s="556"/>
      <c r="J146" s="556"/>
      <c r="K146" s="556"/>
      <c r="L146" s="556"/>
      <c r="M146" s="556"/>
      <c r="N146" s="556"/>
      <c r="O146" s="556"/>
      <c r="P146" s="556"/>
      <c r="Q146" s="556"/>
      <c r="R146" s="556"/>
      <c r="S146" s="556"/>
      <c r="T146" s="556"/>
      <c r="U146" s="556"/>
      <c r="V146" s="599">
        <v>28505</v>
      </c>
      <c r="W146" s="558"/>
      <c r="X146" s="543"/>
    </row>
    <row r="147" spans="1:25" s="544" customFormat="1" x14ac:dyDescent="0.3">
      <c r="A147" s="555"/>
      <c r="B147" s="672" t="s">
        <v>429</v>
      </c>
      <c r="C147" s="556"/>
      <c r="D147" s="556"/>
      <c r="E147" s="556"/>
      <c r="F147" s="556"/>
      <c r="G147" s="556"/>
      <c r="H147" s="556"/>
      <c r="I147" s="556"/>
      <c r="J147" s="556"/>
      <c r="K147" s="556"/>
      <c r="L147" s="556"/>
      <c r="M147" s="556"/>
      <c r="N147" s="556"/>
      <c r="O147" s="556"/>
      <c r="P147" s="556"/>
      <c r="Q147" s="556"/>
      <c r="R147" s="556"/>
      <c r="S147" s="556"/>
      <c r="T147" s="556"/>
      <c r="U147" s="556"/>
      <c r="V147" s="599">
        <v>-28505</v>
      </c>
      <c r="W147" s="558"/>
      <c r="X147" s="543"/>
    </row>
    <row r="148" spans="1:25" s="544" customFormat="1" x14ac:dyDescent="0.3">
      <c r="A148" s="555"/>
      <c r="B148" s="556" t="s">
        <v>123</v>
      </c>
      <c r="C148" s="556"/>
      <c r="D148" s="556"/>
      <c r="E148" s="556"/>
      <c r="F148" s="556"/>
      <c r="G148" s="556"/>
      <c r="H148" s="556"/>
      <c r="I148" s="556"/>
      <c r="J148" s="556"/>
      <c r="K148" s="556"/>
      <c r="L148" s="556"/>
      <c r="M148" s="556"/>
      <c r="N148" s="556"/>
      <c r="O148" s="556"/>
      <c r="P148" s="556"/>
      <c r="Q148" s="556"/>
      <c r="R148" s="556"/>
      <c r="S148" s="556"/>
      <c r="T148" s="556"/>
      <c r="U148" s="556"/>
      <c r="V148" s="599">
        <v>0</v>
      </c>
      <c r="W148" s="558"/>
      <c r="X148" s="543"/>
    </row>
    <row r="149" spans="1:25" s="544" customFormat="1" x14ac:dyDescent="0.3">
      <c r="A149" s="555"/>
      <c r="B149" s="556" t="s">
        <v>124</v>
      </c>
      <c r="C149" s="556"/>
      <c r="D149" s="556"/>
      <c r="E149" s="556"/>
      <c r="F149" s="556"/>
      <c r="G149" s="556"/>
      <c r="H149" s="556"/>
      <c r="I149" s="556"/>
      <c r="J149" s="556"/>
      <c r="K149" s="556"/>
      <c r="L149" s="556"/>
      <c r="M149" s="556"/>
      <c r="N149" s="556"/>
      <c r="O149" s="556"/>
      <c r="P149" s="556"/>
      <c r="Q149" s="556"/>
      <c r="R149" s="556"/>
      <c r="S149" s="556"/>
      <c r="T149" s="556"/>
      <c r="U149" s="556"/>
      <c r="V149" s="599">
        <v>0</v>
      </c>
      <c r="W149" s="558"/>
      <c r="X149" s="543"/>
    </row>
    <row r="150" spans="1:25" s="544" customFormat="1" x14ac:dyDescent="0.3">
      <c r="A150" s="555"/>
      <c r="B150" s="556" t="s">
        <v>175</v>
      </c>
      <c r="C150" s="556"/>
      <c r="D150" s="556"/>
      <c r="E150" s="556"/>
      <c r="F150" s="556"/>
      <c r="G150" s="556"/>
      <c r="H150" s="556"/>
      <c r="I150" s="556"/>
      <c r="J150" s="556"/>
      <c r="K150" s="556"/>
      <c r="L150" s="556"/>
      <c r="M150" s="556"/>
      <c r="N150" s="556"/>
      <c r="O150" s="556"/>
      <c r="P150" s="556"/>
      <c r="Q150" s="556"/>
      <c r="R150" s="556"/>
      <c r="S150" s="556"/>
      <c r="T150" s="556"/>
      <c r="U150" s="556"/>
      <c r="V150" s="599">
        <v>0</v>
      </c>
      <c r="W150" s="558"/>
      <c r="X150" s="543"/>
    </row>
    <row r="151" spans="1:25" s="544" customFormat="1" x14ac:dyDescent="0.3">
      <c r="A151" s="555"/>
      <c r="B151" s="556" t="s">
        <v>45</v>
      </c>
      <c r="C151" s="556"/>
      <c r="D151" s="556"/>
      <c r="E151" s="556"/>
      <c r="F151" s="556"/>
      <c r="G151" s="556"/>
      <c r="H151" s="556"/>
      <c r="I151" s="556"/>
      <c r="J151" s="556"/>
      <c r="K151" s="556"/>
      <c r="L151" s="556"/>
      <c r="M151" s="556"/>
      <c r="N151" s="556"/>
      <c r="O151" s="556"/>
      <c r="P151" s="556"/>
      <c r="Q151" s="556"/>
      <c r="R151" s="556"/>
      <c r="S151" s="556"/>
      <c r="T151" s="556"/>
      <c r="U151" s="556"/>
      <c r="V151" s="599">
        <v>0</v>
      </c>
      <c r="W151" s="558"/>
      <c r="X151" s="543"/>
    </row>
    <row r="152" spans="1:25" s="544" customFormat="1" x14ac:dyDescent="0.3">
      <c r="A152" s="555"/>
      <c r="B152" s="556" t="s">
        <v>129</v>
      </c>
      <c r="C152" s="556"/>
      <c r="D152" s="556"/>
      <c r="E152" s="556"/>
      <c r="F152" s="556"/>
      <c r="G152" s="556"/>
      <c r="H152" s="556"/>
      <c r="I152" s="556"/>
      <c r="J152" s="556"/>
      <c r="K152" s="556"/>
      <c r="L152" s="556"/>
      <c r="M152" s="556"/>
      <c r="N152" s="556"/>
      <c r="O152" s="556"/>
      <c r="P152" s="556"/>
      <c r="Q152" s="556"/>
      <c r="R152" s="556"/>
      <c r="S152" s="556"/>
      <c r="T152" s="556"/>
      <c r="U152" s="556"/>
      <c r="V152" s="599">
        <v>0</v>
      </c>
      <c r="W152" s="558"/>
      <c r="X152" s="543"/>
    </row>
    <row r="153" spans="1:25" s="544" customFormat="1" x14ac:dyDescent="0.3">
      <c r="A153" s="555"/>
      <c r="B153" s="556" t="s">
        <v>267</v>
      </c>
      <c r="C153" s="556"/>
      <c r="D153" s="556"/>
      <c r="E153" s="556"/>
      <c r="F153" s="556"/>
      <c r="G153" s="556"/>
      <c r="H153" s="556"/>
      <c r="I153" s="556"/>
      <c r="J153" s="556"/>
      <c r="K153" s="556"/>
      <c r="L153" s="556"/>
      <c r="M153" s="556"/>
      <c r="N153" s="556"/>
      <c r="O153" s="556"/>
      <c r="P153" s="556"/>
      <c r="Q153" s="556"/>
      <c r="R153" s="556"/>
      <c r="S153" s="556"/>
      <c r="T153" s="556"/>
      <c r="U153" s="556"/>
      <c r="V153" s="599">
        <v>0</v>
      </c>
      <c r="W153" s="558"/>
      <c r="X153" s="543"/>
      <c r="Y153" s="604"/>
    </row>
    <row r="154" spans="1:25" s="544" customFormat="1" x14ac:dyDescent="0.3">
      <c r="A154" s="555"/>
      <c r="B154" s="556" t="s">
        <v>46</v>
      </c>
      <c r="C154" s="556"/>
      <c r="D154" s="556"/>
      <c r="E154" s="556"/>
      <c r="F154" s="556"/>
      <c r="G154" s="556"/>
      <c r="H154" s="556"/>
      <c r="I154" s="556"/>
      <c r="J154" s="556"/>
      <c r="K154" s="556"/>
      <c r="L154" s="556"/>
      <c r="M154" s="556"/>
      <c r="N154" s="556"/>
      <c r="O154" s="556"/>
      <c r="P154" s="556"/>
      <c r="Q154" s="556"/>
      <c r="R154" s="556"/>
      <c r="S154" s="556"/>
      <c r="T154" s="556"/>
      <c r="U154" s="556"/>
      <c r="V154" s="599">
        <f>SUM(V146:V153)</f>
        <v>0</v>
      </c>
      <c r="W154" s="558"/>
      <c r="X154" s="543"/>
    </row>
    <row r="155" spans="1:25" x14ac:dyDescent="0.3">
      <c r="A155" s="431"/>
      <c r="B155" s="434"/>
      <c r="C155" s="434"/>
      <c r="D155" s="434"/>
      <c r="E155" s="434"/>
      <c r="F155" s="434"/>
      <c r="G155" s="434"/>
      <c r="H155" s="434"/>
      <c r="I155" s="434"/>
      <c r="J155" s="434"/>
      <c r="K155" s="434"/>
      <c r="L155" s="434"/>
      <c r="M155" s="434"/>
      <c r="N155" s="434"/>
      <c r="O155" s="434"/>
      <c r="P155" s="434"/>
      <c r="Q155" s="434"/>
      <c r="R155" s="434"/>
      <c r="S155" s="434"/>
      <c r="T155" s="434"/>
      <c r="U155" s="434"/>
      <c r="V155" s="449"/>
      <c r="W155" s="436"/>
      <c r="X155" s="415"/>
    </row>
    <row r="156" spans="1:25" x14ac:dyDescent="0.3">
      <c r="A156" s="431"/>
      <c r="B156" s="507" t="s">
        <v>237</v>
      </c>
      <c r="C156" s="434"/>
      <c r="D156" s="434"/>
      <c r="E156" s="434"/>
      <c r="F156" s="434"/>
      <c r="G156" s="434"/>
      <c r="H156" s="434"/>
      <c r="I156" s="434"/>
      <c r="J156" s="434"/>
      <c r="K156" s="434"/>
      <c r="L156" s="434"/>
      <c r="M156" s="434"/>
      <c r="N156" s="434"/>
      <c r="O156" s="434"/>
      <c r="P156" s="434"/>
      <c r="Q156" s="434"/>
      <c r="R156" s="434"/>
      <c r="S156" s="434"/>
      <c r="T156" s="434"/>
      <c r="U156" s="434"/>
      <c r="V156" s="449"/>
      <c r="W156" s="436"/>
      <c r="X156" s="415"/>
    </row>
    <row r="157" spans="1:25" s="544" customFormat="1" x14ac:dyDescent="0.3">
      <c r="A157" s="555"/>
      <c r="B157" s="556" t="s">
        <v>155</v>
      </c>
      <c r="C157" s="556"/>
      <c r="D157" s="556"/>
      <c r="E157" s="556"/>
      <c r="F157" s="556"/>
      <c r="G157" s="556"/>
      <c r="H157" s="556"/>
      <c r="I157" s="556"/>
      <c r="J157" s="556"/>
      <c r="K157" s="556"/>
      <c r="L157" s="556"/>
      <c r="M157" s="556"/>
      <c r="N157" s="556"/>
      <c r="O157" s="556"/>
      <c r="P157" s="556"/>
      <c r="Q157" s="556"/>
      <c r="R157" s="556"/>
      <c r="S157" s="556"/>
      <c r="T157" s="556"/>
      <c r="U157" s="556"/>
      <c r="V157" s="599">
        <v>7500</v>
      </c>
      <c r="W157" s="558"/>
      <c r="X157" s="543"/>
    </row>
    <row r="158" spans="1:25" s="544" customFormat="1" x14ac:dyDescent="0.3">
      <c r="A158" s="555"/>
      <c r="B158" s="556" t="s">
        <v>172</v>
      </c>
      <c r="C158" s="556"/>
      <c r="D158" s="556"/>
      <c r="E158" s="556"/>
      <c r="F158" s="556"/>
      <c r="G158" s="556"/>
      <c r="H158" s="556"/>
      <c r="I158" s="556"/>
      <c r="J158" s="556"/>
      <c r="K158" s="556"/>
      <c r="L158" s="556"/>
      <c r="M158" s="556"/>
      <c r="N158" s="556"/>
      <c r="O158" s="556"/>
      <c r="P158" s="556"/>
      <c r="Q158" s="556"/>
      <c r="R158" s="556"/>
      <c r="S158" s="556"/>
      <c r="T158" s="556"/>
      <c r="U158" s="556"/>
      <c r="V158" s="599">
        <v>0</v>
      </c>
      <c r="W158" s="558"/>
      <c r="X158" s="543"/>
    </row>
    <row r="159" spans="1:25" s="544" customFormat="1" x14ac:dyDescent="0.3">
      <c r="A159" s="555"/>
      <c r="B159" s="556" t="s">
        <v>344</v>
      </c>
      <c r="C159" s="556"/>
      <c r="D159" s="556"/>
      <c r="E159" s="556"/>
      <c r="F159" s="556"/>
      <c r="G159" s="556"/>
      <c r="H159" s="556"/>
      <c r="I159" s="556"/>
      <c r="J159" s="556"/>
      <c r="K159" s="556"/>
      <c r="L159" s="556"/>
      <c r="M159" s="556"/>
      <c r="N159" s="556"/>
      <c r="O159" s="556"/>
      <c r="P159" s="556"/>
      <c r="Q159" s="556"/>
      <c r="R159" s="556"/>
      <c r="S159" s="556"/>
      <c r="T159" s="556"/>
      <c r="U159" s="556"/>
      <c r="V159" s="599">
        <v>0</v>
      </c>
      <c r="W159" s="558"/>
      <c r="X159" s="543"/>
    </row>
    <row r="160" spans="1:25" x14ac:dyDescent="0.3">
      <c r="A160" s="431"/>
      <c r="B160" s="432"/>
      <c r="C160" s="432"/>
      <c r="D160" s="432"/>
      <c r="E160" s="432"/>
      <c r="F160" s="432"/>
      <c r="G160" s="432"/>
      <c r="H160" s="432"/>
      <c r="I160" s="432"/>
      <c r="J160" s="432"/>
      <c r="K160" s="432"/>
      <c r="L160" s="432"/>
      <c r="M160" s="432"/>
      <c r="N160" s="432"/>
      <c r="O160" s="432"/>
      <c r="P160" s="432"/>
      <c r="Q160" s="432"/>
      <c r="R160" s="432"/>
      <c r="S160" s="432"/>
      <c r="T160" s="432"/>
      <c r="U160" s="432"/>
      <c r="V160" s="440"/>
      <c r="W160" s="433"/>
      <c r="X160" s="415"/>
    </row>
    <row r="161" spans="1:24" x14ac:dyDescent="0.3">
      <c r="A161" s="417"/>
      <c r="B161" s="441"/>
      <c r="C161" s="441"/>
      <c r="D161" s="441"/>
      <c r="E161" s="441"/>
      <c r="F161" s="441"/>
      <c r="G161" s="441"/>
      <c r="H161" s="441"/>
      <c r="I161" s="441"/>
      <c r="J161" s="441"/>
      <c r="K161" s="441"/>
      <c r="L161" s="441"/>
      <c r="M161" s="441"/>
      <c r="N161" s="441"/>
      <c r="O161" s="441"/>
      <c r="P161" s="441"/>
      <c r="Q161" s="441"/>
      <c r="R161" s="441"/>
      <c r="S161" s="441"/>
      <c r="T161" s="441"/>
      <c r="U161" s="441"/>
      <c r="V161" s="452"/>
      <c r="W161" s="441"/>
      <c r="X161" s="415"/>
    </row>
    <row r="162" spans="1:24" x14ac:dyDescent="0.3">
      <c r="A162" s="417"/>
      <c r="B162" s="508" t="s">
        <v>24</v>
      </c>
      <c r="C162" s="419"/>
      <c r="D162" s="419"/>
      <c r="E162" s="419"/>
      <c r="F162" s="419"/>
      <c r="G162" s="419"/>
      <c r="H162" s="419"/>
      <c r="I162" s="419"/>
      <c r="J162" s="419"/>
      <c r="K162" s="419"/>
      <c r="L162" s="419"/>
      <c r="M162" s="419"/>
      <c r="N162" s="419"/>
      <c r="O162" s="419"/>
      <c r="P162" s="419"/>
      <c r="Q162" s="419"/>
      <c r="R162" s="419"/>
      <c r="S162" s="419"/>
      <c r="T162" s="419"/>
      <c r="U162" s="419"/>
      <c r="V162" s="439"/>
      <c r="W162" s="419"/>
      <c r="X162" s="415"/>
    </row>
    <row r="163" spans="1:24" s="544" customFormat="1" x14ac:dyDescent="0.3">
      <c r="A163" s="555"/>
      <c r="B163" s="556" t="s">
        <v>47</v>
      </c>
      <c r="C163" s="556"/>
      <c r="D163" s="556"/>
      <c r="E163" s="556"/>
      <c r="F163" s="556"/>
      <c r="G163" s="556"/>
      <c r="H163" s="556"/>
      <c r="I163" s="556"/>
      <c r="J163" s="556"/>
      <c r="K163" s="556"/>
      <c r="L163" s="556"/>
      <c r="M163" s="556"/>
      <c r="N163" s="556"/>
      <c r="O163" s="556"/>
      <c r="P163" s="556"/>
      <c r="Q163" s="556"/>
      <c r="R163" s="556"/>
      <c r="S163" s="556"/>
      <c r="T163" s="556"/>
      <c r="U163" s="556"/>
      <c r="V163" s="608" t="s">
        <v>118</v>
      </c>
      <c r="W163" s="558"/>
      <c r="X163" s="543"/>
    </row>
    <row r="164" spans="1:24" s="544" customFormat="1" x14ac:dyDescent="0.3">
      <c r="A164" s="555"/>
      <c r="B164" s="556" t="s">
        <v>48</v>
      </c>
      <c r="C164" s="556"/>
      <c r="D164" s="556"/>
      <c r="E164" s="556"/>
      <c r="F164" s="556"/>
      <c r="G164" s="556"/>
      <c r="H164" s="556"/>
      <c r="I164" s="556"/>
      <c r="J164" s="556"/>
      <c r="K164" s="556"/>
      <c r="L164" s="556"/>
      <c r="M164" s="556"/>
      <c r="N164" s="556"/>
      <c r="O164" s="556"/>
      <c r="P164" s="556"/>
      <c r="Q164" s="556"/>
      <c r="R164" s="556"/>
      <c r="S164" s="556"/>
      <c r="T164" s="556"/>
      <c r="U164" s="556"/>
      <c r="V164" s="608" t="s">
        <v>118</v>
      </c>
      <c r="W164" s="558"/>
      <c r="X164" s="543"/>
    </row>
    <row r="165" spans="1:24" s="544" customFormat="1" x14ac:dyDescent="0.3">
      <c r="A165" s="555"/>
      <c r="B165" s="556" t="s">
        <v>49</v>
      </c>
      <c r="C165" s="556"/>
      <c r="D165" s="556"/>
      <c r="E165" s="556"/>
      <c r="F165" s="556"/>
      <c r="G165" s="556"/>
      <c r="H165" s="556"/>
      <c r="I165" s="556"/>
      <c r="J165" s="556"/>
      <c r="K165" s="556"/>
      <c r="L165" s="556"/>
      <c r="M165" s="556"/>
      <c r="N165" s="556"/>
      <c r="O165" s="556"/>
      <c r="P165" s="556"/>
      <c r="Q165" s="556"/>
      <c r="R165" s="556"/>
      <c r="S165" s="556"/>
      <c r="T165" s="556"/>
      <c r="U165" s="556"/>
      <c r="V165" s="608" t="s">
        <v>118</v>
      </c>
      <c r="W165" s="558"/>
      <c r="X165" s="543"/>
    </row>
    <row r="166" spans="1:24" s="544" customFormat="1" x14ac:dyDescent="0.3">
      <c r="A166" s="555"/>
      <c r="B166" s="556" t="s">
        <v>50</v>
      </c>
      <c r="C166" s="556"/>
      <c r="D166" s="556"/>
      <c r="E166" s="556"/>
      <c r="F166" s="556"/>
      <c r="G166" s="556"/>
      <c r="H166" s="556"/>
      <c r="I166" s="556"/>
      <c r="J166" s="556"/>
      <c r="K166" s="556"/>
      <c r="L166" s="556"/>
      <c r="M166" s="556"/>
      <c r="N166" s="556"/>
      <c r="O166" s="556"/>
      <c r="P166" s="556"/>
      <c r="Q166" s="556"/>
      <c r="R166" s="556"/>
      <c r="S166" s="556"/>
      <c r="T166" s="556"/>
      <c r="U166" s="556"/>
      <c r="V166" s="608" t="s">
        <v>118</v>
      </c>
      <c r="W166" s="558"/>
      <c r="X166" s="543"/>
    </row>
    <row r="167" spans="1:24" x14ac:dyDescent="0.3">
      <c r="A167" s="417"/>
      <c r="B167" s="441"/>
      <c r="C167" s="441"/>
      <c r="D167" s="441"/>
      <c r="E167" s="441"/>
      <c r="F167" s="441"/>
      <c r="G167" s="441"/>
      <c r="H167" s="441"/>
      <c r="I167" s="441"/>
      <c r="J167" s="441"/>
      <c r="K167" s="441"/>
      <c r="L167" s="441"/>
      <c r="M167" s="441"/>
      <c r="N167" s="441"/>
      <c r="O167" s="441"/>
      <c r="P167" s="441"/>
      <c r="Q167" s="441"/>
      <c r="R167" s="441"/>
      <c r="S167" s="441"/>
      <c r="T167" s="441"/>
      <c r="U167" s="441"/>
      <c r="V167" s="452"/>
      <c r="W167" s="441"/>
      <c r="X167" s="415"/>
    </row>
    <row r="168" spans="1:24" x14ac:dyDescent="0.3">
      <c r="A168" s="417"/>
      <c r="B168" s="508" t="s">
        <v>51</v>
      </c>
      <c r="C168" s="419"/>
      <c r="D168" s="419"/>
      <c r="E168" s="419"/>
      <c r="F168" s="419"/>
      <c r="G168" s="419"/>
      <c r="H168" s="419"/>
      <c r="I168" s="419"/>
      <c r="J168" s="419"/>
      <c r="K168" s="419"/>
      <c r="L168" s="419"/>
      <c r="M168" s="419"/>
      <c r="N168" s="419"/>
      <c r="O168" s="419"/>
      <c r="P168" s="419"/>
      <c r="Q168" s="419"/>
      <c r="R168" s="419"/>
      <c r="S168" s="419"/>
      <c r="T168" s="419"/>
      <c r="U168" s="419"/>
      <c r="V168" s="453"/>
      <c r="W168" s="419"/>
      <c r="X168" s="415"/>
    </row>
    <row r="169" spans="1:24" s="544" customFormat="1" x14ac:dyDescent="0.3">
      <c r="A169" s="555"/>
      <c r="B169" s="556" t="s">
        <v>52</v>
      </c>
      <c r="C169" s="556"/>
      <c r="D169" s="556"/>
      <c r="E169" s="556"/>
      <c r="F169" s="556"/>
      <c r="G169" s="556"/>
      <c r="H169" s="556"/>
      <c r="I169" s="556"/>
      <c r="J169" s="556"/>
      <c r="K169" s="556"/>
      <c r="L169" s="556"/>
      <c r="M169" s="556"/>
      <c r="N169" s="556"/>
      <c r="O169" s="556"/>
      <c r="P169" s="556"/>
      <c r="Q169" s="556"/>
      <c r="R169" s="556"/>
      <c r="S169" s="556"/>
      <c r="T169" s="556"/>
      <c r="U169" s="556"/>
      <c r="V169" s="599">
        <v>0</v>
      </c>
      <c r="W169" s="558"/>
      <c r="X169" s="543"/>
    </row>
    <row r="170" spans="1:24" s="544" customFormat="1" x14ac:dyDescent="0.3">
      <c r="A170" s="555"/>
      <c r="B170" s="556" t="s">
        <v>53</v>
      </c>
      <c r="C170" s="556"/>
      <c r="D170" s="556"/>
      <c r="E170" s="556"/>
      <c r="F170" s="556"/>
      <c r="G170" s="556"/>
      <c r="H170" s="556"/>
      <c r="I170" s="556"/>
      <c r="J170" s="556"/>
      <c r="K170" s="556"/>
      <c r="L170" s="556"/>
      <c r="M170" s="556"/>
      <c r="N170" s="556"/>
      <c r="O170" s="556"/>
      <c r="P170" s="556"/>
      <c r="Q170" s="556"/>
      <c r="R170" s="556"/>
      <c r="S170" s="556"/>
      <c r="T170" s="556"/>
      <c r="U170" s="556"/>
      <c r="V170" s="599">
        <v>109</v>
      </c>
      <c r="W170" s="558"/>
      <c r="X170" s="543"/>
    </row>
    <row r="171" spans="1:24" s="544" customFormat="1" x14ac:dyDescent="0.3">
      <c r="A171" s="555"/>
      <c r="B171" s="556" t="s">
        <v>54</v>
      </c>
      <c r="C171" s="556"/>
      <c r="D171" s="556"/>
      <c r="E171" s="556"/>
      <c r="F171" s="556"/>
      <c r="G171" s="556"/>
      <c r="H171" s="556"/>
      <c r="I171" s="556"/>
      <c r="J171" s="556"/>
      <c r="K171" s="556"/>
      <c r="L171" s="556"/>
      <c r="M171" s="556"/>
      <c r="N171" s="556"/>
      <c r="O171" s="556"/>
      <c r="P171" s="556"/>
      <c r="Q171" s="556"/>
      <c r="R171" s="556"/>
      <c r="S171" s="556"/>
      <c r="T171" s="556"/>
      <c r="U171" s="556"/>
      <c r="V171" s="599">
        <f>V170+V169</f>
        <v>109</v>
      </c>
      <c r="W171" s="558"/>
      <c r="X171" s="543"/>
    </row>
    <row r="172" spans="1:24" s="544" customFormat="1" x14ac:dyDescent="0.3">
      <c r="A172" s="555"/>
      <c r="B172" s="556" t="s">
        <v>315</v>
      </c>
      <c r="C172" s="556"/>
      <c r="D172" s="556"/>
      <c r="E172" s="556"/>
      <c r="F172" s="556"/>
      <c r="G172" s="556"/>
      <c r="H172" s="556"/>
      <c r="I172" s="556"/>
      <c r="J172" s="556"/>
      <c r="K172" s="556"/>
      <c r="L172" s="556"/>
      <c r="M172" s="556"/>
      <c r="N172" s="556"/>
      <c r="O172" s="556"/>
      <c r="P172" s="556"/>
      <c r="Q172" s="556"/>
      <c r="R172" s="556"/>
      <c r="S172" s="556"/>
      <c r="T172" s="556"/>
      <c r="U172" s="556"/>
      <c r="V172" s="599">
        <f>V115</f>
        <v>-109</v>
      </c>
      <c r="W172" s="558"/>
      <c r="X172" s="543"/>
    </row>
    <row r="173" spans="1:24" s="544" customFormat="1" x14ac:dyDescent="0.3">
      <c r="A173" s="555"/>
      <c r="B173" s="556" t="s">
        <v>55</v>
      </c>
      <c r="C173" s="556"/>
      <c r="D173" s="556"/>
      <c r="E173" s="556"/>
      <c r="F173" s="556"/>
      <c r="G173" s="556"/>
      <c r="H173" s="556"/>
      <c r="I173" s="556"/>
      <c r="J173" s="556"/>
      <c r="K173" s="556"/>
      <c r="L173" s="556"/>
      <c r="M173" s="556"/>
      <c r="N173" s="556"/>
      <c r="O173" s="556"/>
      <c r="P173" s="556"/>
      <c r="Q173" s="556"/>
      <c r="R173" s="556"/>
      <c r="S173" s="556"/>
      <c r="T173" s="556"/>
      <c r="U173" s="556"/>
      <c r="V173" s="599">
        <f>V171+V172</f>
        <v>0</v>
      </c>
      <c r="W173" s="558"/>
      <c r="X173" s="543"/>
    </row>
    <row r="174" spans="1:24" s="544" customFormat="1" x14ac:dyDescent="0.3">
      <c r="A174" s="555"/>
      <c r="B174" s="556" t="s">
        <v>283</v>
      </c>
      <c r="C174" s="556"/>
      <c r="D174" s="556"/>
      <c r="E174" s="556"/>
      <c r="F174" s="556"/>
      <c r="G174" s="556"/>
      <c r="H174" s="556"/>
      <c r="I174" s="556"/>
      <c r="J174" s="556"/>
      <c r="K174" s="556"/>
      <c r="L174" s="556"/>
      <c r="M174" s="556"/>
      <c r="N174" s="556"/>
      <c r="O174" s="556"/>
      <c r="P174" s="556"/>
      <c r="Q174" s="556"/>
      <c r="R174" s="556"/>
      <c r="S174" s="556"/>
      <c r="T174" s="556"/>
      <c r="U174" s="556"/>
      <c r="V174" s="599">
        <v>0</v>
      </c>
      <c r="W174" s="558"/>
      <c r="X174" s="543"/>
    </row>
    <row r="175" spans="1:24" ht="16.2" thickBot="1" x14ac:dyDescent="0.35">
      <c r="A175" s="417"/>
      <c r="B175" s="437"/>
      <c r="C175" s="437"/>
      <c r="D175" s="437"/>
      <c r="E175" s="437"/>
      <c r="F175" s="437"/>
      <c r="G175" s="437"/>
      <c r="H175" s="437"/>
      <c r="I175" s="437"/>
      <c r="J175" s="437"/>
      <c r="K175" s="437"/>
      <c r="L175" s="437"/>
      <c r="M175" s="437"/>
      <c r="N175" s="437"/>
      <c r="O175" s="437"/>
      <c r="P175" s="437"/>
      <c r="Q175" s="437"/>
      <c r="R175" s="437"/>
      <c r="S175" s="437"/>
      <c r="T175" s="437"/>
      <c r="U175" s="437"/>
      <c r="V175" s="454"/>
      <c r="W175" s="437"/>
      <c r="X175" s="415"/>
    </row>
    <row r="176" spans="1:24" x14ac:dyDescent="0.3">
      <c r="A176" s="413"/>
      <c r="B176" s="455"/>
      <c r="C176" s="455"/>
      <c r="D176" s="455"/>
      <c r="E176" s="455"/>
      <c r="F176" s="455"/>
      <c r="G176" s="455"/>
      <c r="H176" s="455"/>
      <c r="I176" s="455"/>
      <c r="J176" s="455"/>
      <c r="K176" s="455"/>
      <c r="L176" s="455"/>
      <c r="M176" s="455"/>
      <c r="N176" s="455"/>
      <c r="O176" s="455"/>
      <c r="P176" s="455"/>
      <c r="Q176" s="455"/>
      <c r="R176" s="455"/>
      <c r="S176" s="455"/>
      <c r="T176" s="455"/>
      <c r="U176" s="455"/>
      <c r="V176" s="456"/>
      <c r="W176" s="455"/>
      <c r="X176" s="415"/>
    </row>
    <row r="177" spans="1:256" s="458" customFormat="1" x14ac:dyDescent="0.3">
      <c r="A177" s="417"/>
      <c r="B177" s="508" t="s">
        <v>269</v>
      </c>
      <c r="C177" s="441"/>
      <c r="D177" s="441"/>
      <c r="E177" s="441"/>
      <c r="F177" s="441"/>
      <c r="G177" s="441"/>
      <c r="H177" s="441"/>
      <c r="I177" s="441"/>
      <c r="J177" s="441"/>
      <c r="K177" s="441"/>
      <c r="L177" s="441"/>
      <c r="M177" s="441"/>
      <c r="N177" s="441"/>
      <c r="O177" s="441"/>
      <c r="P177" s="441"/>
      <c r="Q177" s="441"/>
      <c r="R177" s="441"/>
      <c r="S177" s="441"/>
      <c r="T177" s="441"/>
      <c r="U177" s="441"/>
      <c r="V177" s="457"/>
      <c r="W177" s="441"/>
      <c r="X177" s="415"/>
      <c r="Y177" s="416"/>
      <c r="Z177" s="416"/>
      <c r="AA177" s="416"/>
      <c r="AB177" s="416"/>
      <c r="AC177" s="416"/>
      <c r="AD177" s="416"/>
      <c r="AE177" s="416"/>
      <c r="AF177" s="416"/>
      <c r="AG177" s="416"/>
      <c r="AH177" s="416"/>
      <c r="AI177" s="416"/>
      <c r="AJ177" s="416"/>
      <c r="AK177" s="416"/>
      <c r="AL177" s="416"/>
      <c r="AM177" s="416"/>
      <c r="AN177" s="416"/>
      <c r="AO177" s="416"/>
      <c r="AP177" s="416"/>
      <c r="AQ177" s="416"/>
      <c r="AR177" s="416"/>
      <c r="AS177" s="416"/>
      <c r="AT177" s="416"/>
      <c r="AU177" s="416"/>
      <c r="AV177" s="416"/>
      <c r="AW177" s="416"/>
      <c r="AX177" s="416"/>
      <c r="AY177" s="416"/>
      <c r="AZ177" s="416"/>
      <c r="BA177" s="416"/>
      <c r="BB177" s="416"/>
      <c r="BC177" s="416"/>
      <c r="BD177" s="416"/>
      <c r="BE177" s="416"/>
      <c r="BF177" s="416"/>
      <c r="BG177" s="416"/>
      <c r="BH177" s="416"/>
      <c r="BI177" s="416"/>
      <c r="BJ177" s="416"/>
      <c r="BK177" s="416"/>
      <c r="BL177" s="416"/>
      <c r="BM177" s="416"/>
      <c r="BN177" s="416"/>
      <c r="BO177" s="416"/>
      <c r="BP177" s="416"/>
      <c r="BQ177" s="416"/>
      <c r="BR177" s="416"/>
      <c r="BS177" s="416"/>
      <c r="BT177" s="416"/>
      <c r="BU177" s="416"/>
      <c r="BV177" s="416"/>
      <c r="BW177" s="416"/>
      <c r="BX177" s="416"/>
      <c r="BY177" s="416"/>
      <c r="BZ177" s="416"/>
      <c r="CA177" s="416"/>
      <c r="CB177" s="416"/>
      <c r="CC177" s="416"/>
      <c r="CD177" s="416"/>
      <c r="CE177" s="416"/>
      <c r="CF177" s="416"/>
      <c r="CG177" s="416"/>
      <c r="CH177" s="416"/>
      <c r="CI177" s="416"/>
      <c r="CJ177" s="416"/>
      <c r="CK177" s="416"/>
      <c r="CL177" s="416"/>
      <c r="CM177" s="416"/>
      <c r="CN177" s="416"/>
      <c r="CO177" s="416"/>
      <c r="CP177" s="416"/>
      <c r="CQ177" s="416"/>
      <c r="CR177" s="416"/>
      <c r="CS177" s="416"/>
      <c r="CT177" s="416"/>
      <c r="CU177" s="416"/>
      <c r="CV177" s="416"/>
      <c r="CW177" s="416"/>
      <c r="CX177" s="416"/>
      <c r="CY177" s="416"/>
      <c r="CZ177" s="416"/>
      <c r="DA177" s="416"/>
      <c r="DB177" s="416"/>
      <c r="DC177" s="416"/>
      <c r="DD177" s="416"/>
      <c r="DE177" s="416"/>
      <c r="DF177" s="416"/>
      <c r="DG177" s="416"/>
      <c r="DH177" s="416"/>
      <c r="DI177" s="416"/>
      <c r="DJ177" s="416"/>
      <c r="DK177" s="416"/>
      <c r="DL177" s="416"/>
      <c r="DM177" s="416"/>
      <c r="DN177" s="416"/>
      <c r="DO177" s="416"/>
      <c r="DP177" s="416"/>
      <c r="DQ177" s="416"/>
      <c r="DR177" s="416"/>
      <c r="DS177" s="416"/>
      <c r="DT177" s="416"/>
      <c r="DU177" s="416"/>
      <c r="DV177" s="416"/>
      <c r="DW177" s="416"/>
      <c r="DX177" s="416"/>
      <c r="DY177" s="416"/>
      <c r="DZ177" s="416"/>
      <c r="EA177" s="416"/>
      <c r="EB177" s="416"/>
      <c r="EC177" s="416"/>
      <c r="ED177" s="416"/>
      <c r="EE177" s="416"/>
      <c r="EF177" s="416"/>
      <c r="EG177" s="416"/>
      <c r="EH177" s="416"/>
      <c r="EI177" s="416"/>
      <c r="EJ177" s="416"/>
      <c r="EK177" s="416"/>
      <c r="EL177" s="416"/>
      <c r="EM177" s="416"/>
      <c r="EN177" s="416"/>
      <c r="EO177" s="416"/>
      <c r="EP177" s="416"/>
      <c r="EQ177" s="416"/>
      <c r="ER177" s="416"/>
      <c r="ES177" s="416"/>
      <c r="ET177" s="416"/>
      <c r="EU177" s="416"/>
      <c r="EV177" s="416"/>
      <c r="EW177" s="416"/>
      <c r="EX177" s="416"/>
      <c r="EY177" s="416"/>
      <c r="EZ177" s="416"/>
      <c r="FA177" s="416"/>
      <c r="FB177" s="416"/>
      <c r="FC177" s="416"/>
      <c r="FD177" s="416"/>
      <c r="FE177" s="416"/>
      <c r="FF177" s="416"/>
      <c r="FG177" s="416"/>
      <c r="FH177" s="416"/>
      <c r="FI177" s="416"/>
      <c r="FJ177" s="416"/>
      <c r="FK177" s="416"/>
      <c r="FL177" s="416"/>
      <c r="FM177" s="416"/>
      <c r="FN177" s="416"/>
      <c r="FO177" s="416"/>
      <c r="FP177" s="416"/>
      <c r="FQ177" s="416"/>
      <c r="FR177" s="416"/>
      <c r="FS177" s="416"/>
      <c r="FT177" s="416"/>
      <c r="FU177" s="416"/>
      <c r="FV177" s="416"/>
      <c r="FW177" s="416"/>
      <c r="FX177" s="416"/>
      <c r="FY177" s="416"/>
      <c r="FZ177" s="416"/>
      <c r="GA177" s="416"/>
      <c r="GB177" s="416"/>
      <c r="GC177" s="416"/>
      <c r="GD177" s="416"/>
      <c r="GE177" s="416"/>
      <c r="GF177" s="416"/>
      <c r="GG177" s="416"/>
      <c r="GH177" s="416"/>
      <c r="GI177" s="416"/>
      <c r="GJ177" s="416"/>
      <c r="GK177" s="416"/>
      <c r="GL177" s="416"/>
      <c r="GM177" s="416"/>
      <c r="GN177" s="416"/>
      <c r="GO177" s="416"/>
      <c r="GP177" s="416"/>
      <c r="GQ177" s="416"/>
      <c r="GR177" s="416"/>
      <c r="GS177" s="416"/>
      <c r="GT177" s="416"/>
      <c r="GU177" s="416"/>
      <c r="GV177" s="416"/>
      <c r="GW177" s="416"/>
      <c r="GX177" s="416"/>
      <c r="GY177" s="416"/>
      <c r="GZ177" s="416"/>
      <c r="HA177" s="416"/>
      <c r="HB177" s="416"/>
      <c r="HC177" s="416"/>
      <c r="HD177" s="416"/>
      <c r="HE177" s="416"/>
      <c r="HF177" s="416"/>
      <c r="HG177" s="416"/>
      <c r="HH177" s="416"/>
      <c r="HI177" s="416"/>
      <c r="HJ177" s="416"/>
      <c r="HK177" s="416"/>
      <c r="HL177" s="416"/>
      <c r="HM177" s="416"/>
      <c r="HN177" s="416"/>
      <c r="HO177" s="416"/>
      <c r="HP177" s="416"/>
      <c r="HQ177" s="416"/>
      <c r="HR177" s="416"/>
      <c r="HS177" s="416"/>
      <c r="HT177" s="416"/>
      <c r="HU177" s="416"/>
      <c r="HV177" s="416"/>
      <c r="HW177" s="416"/>
      <c r="HX177" s="416"/>
      <c r="HY177" s="416"/>
      <c r="HZ177" s="416"/>
      <c r="IA177" s="416"/>
      <c r="IB177" s="416"/>
      <c r="IC177" s="416"/>
      <c r="ID177" s="416"/>
      <c r="IE177" s="416"/>
      <c r="IF177" s="416"/>
      <c r="IG177" s="416"/>
      <c r="IH177" s="416"/>
      <c r="II177" s="416"/>
      <c r="IJ177" s="416"/>
      <c r="IK177" s="416"/>
      <c r="IL177" s="416"/>
      <c r="IM177" s="416"/>
      <c r="IN177" s="416"/>
      <c r="IO177" s="416"/>
      <c r="IP177" s="416"/>
      <c r="IQ177" s="416"/>
      <c r="IR177" s="416"/>
      <c r="IS177" s="416"/>
      <c r="IT177" s="416"/>
      <c r="IU177" s="416"/>
      <c r="IV177" s="416"/>
    </row>
    <row r="178" spans="1:256" s="609" customFormat="1" x14ac:dyDescent="0.3">
      <c r="A178" s="555"/>
      <c r="B178" s="556" t="s">
        <v>270</v>
      </c>
      <c r="C178" s="556"/>
      <c r="D178" s="556"/>
      <c r="E178" s="556"/>
      <c r="F178" s="556"/>
      <c r="G178" s="556"/>
      <c r="H178" s="556"/>
      <c r="I178" s="556"/>
      <c r="J178" s="556"/>
      <c r="K178" s="556"/>
      <c r="L178" s="556"/>
      <c r="M178" s="556"/>
      <c r="N178" s="556"/>
      <c r="O178" s="556"/>
      <c r="P178" s="556"/>
      <c r="Q178" s="556"/>
      <c r="R178" s="556"/>
      <c r="S178" s="556"/>
      <c r="T178" s="556"/>
      <c r="U178" s="556"/>
      <c r="V178" s="599">
        <f>+'Aug 08'!V177</f>
        <v>0</v>
      </c>
      <c r="W178" s="558"/>
      <c r="X178" s="543"/>
      <c r="Y178" s="544"/>
      <c r="Z178" s="544"/>
      <c r="AA178" s="544"/>
      <c r="AB178" s="544"/>
      <c r="AC178" s="544"/>
      <c r="AD178" s="544"/>
      <c r="AE178" s="544"/>
      <c r="AF178" s="544"/>
      <c r="AG178" s="544"/>
      <c r="AH178" s="544"/>
      <c r="AI178" s="544"/>
      <c r="AJ178" s="544"/>
      <c r="AK178" s="544"/>
      <c r="AL178" s="544"/>
      <c r="AM178" s="544"/>
      <c r="AN178" s="544"/>
      <c r="AO178" s="544"/>
      <c r="AP178" s="544"/>
      <c r="AQ178" s="544"/>
      <c r="AR178" s="544"/>
      <c r="AS178" s="544"/>
      <c r="AT178" s="544"/>
      <c r="AU178" s="544"/>
      <c r="AV178" s="544"/>
      <c r="AW178" s="544"/>
      <c r="AX178" s="544"/>
      <c r="AY178" s="544"/>
      <c r="AZ178" s="544"/>
      <c r="BA178" s="544"/>
      <c r="BB178" s="544"/>
      <c r="BC178" s="544"/>
      <c r="BD178" s="544"/>
      <c r="BE178" s="544"/>
      <c r="BF178" s="544"/>
      <c r="BG178" s="544"/>
      <c r="BH178" s="544"/>
      <c r="BI178" s="544"/>
      <c r="BJ178" s="544"/>
      <c r="BK178" s="544"/>
      <c r="BL178" s="544"/>
      <c r="BM178" s="544"/>
      <c r="BN178" s="544"/>
      <c r="BO178" s="544"/>
      <c r="BP178" s="544"/>
      <c r="BQ178" s="544"/>
      <c r="BR178" s="544"/>
      <c r="BS178" s="544"/>
      <c r="BT178" s="544"/>
      <c r="BU178" s="544"/>
      <c r="BV178" s="544"/>
      <c r="BW178" s="544"/>
      <c r="BX178" s="544"/>
      <c r="BY178" s="544"/>
      <c r="BZ178" s="544"/>
      <c r="CA178" s="544"/>
      <c r="CB178" s="544"/>
      <c r="CC178" s="544"/>
      <c r="CD178" s="544"/>
      <c r="CE178" s="544"/>
      <c r="CF178" s="544"/>
      <c r="CG178" s="544"/>
      <c r="CH178" s="544"/>
      <c r="CI178" s="544"/>
      <c r="CJ178" s="544"/>
      <c r="CK178" s="544"/>
      <c r="CL178" s="544"/>
      <c r="CM178" s="544"/>
      <c r="CN178" s="544"/>
      <c r="CO178" s="544"/>
      <c r="CP178" s="544"/>
      <c r="CQ178" s="544"/>
      <c r="CR178" s="544"/>
      <c r="CS178" s="544"/>
      <c r="CT178" s="544"/>
      <c r="CU178" s="544"/>
      <c r="CV178" s="544"/>
      <c r="CW178" s="544"/>
      <c r="CX178" s="544"/>
      <c r="CY178" s="544"/>
      <c r="CZ178" s="544"/>
      <c r="DA178" s="544"/>
      <c r="DB178" s="544"/>
      <c r="DC178" s="544"/>
      <c r="DD178" s="544"/>
      <c r="DE178" s="544"/>
      <c r="DF178" s="544"/>
      <c r="DG178" s="544"/>
      <c r="DH178" s="544"/>
      <c r="DI178" s="544"/>
      <c r="DJ178" s="544"/>
      <c r="DK178" s="544"/>
      <c r="DL178" s="544"/>
      <c r="DM178" s="544"/>
      <c r="DN178" s="544"/>
      <c r="DO178" s="544"/>
      <c r="DP178" s="544"/>
      <c r="DQ178" s="544"/>
      <c r="DR178" s="544"/>
      <c r="DS178" s="544"/>
      <c r="DT178" s="544"/>
      <c r="DU178" s="544"/>
      <c r="DV178" s="544"/>
      <c r="DW178" s="544"/>
      <c r="DX178" s="544"/>
      <c r="DY178" s="544"/>
      <c r="DZ178" s="544"/>
      <c r="EA178" s="544"/>
      <c r="EB178" s="544"/>
      <c r="EC178" s="544"/>
      <c r="ED178" s="544"/>
      <c r="EE178" s="544"/>
      <c r="EF178" s="544"/>
      <c r="EG178" s="544"/>
      <c r="EH178" s="544"/>
      <c r="EI178" s="544"/>
      <c r="EJ178" s="544"/>
      <c r="EK178" s="544"/>
      <c r="EL178" s="544"/>
      <c r="EM178" s="544"/>
      <c r="EN178" s="544"/>
      <c r="EO178" s="544"/>
      <c r="EP178" s="544"/>
      <c r="EQ178" s="544"/>
      <c r="ER178" s="544"/>
      <c r="ES178" s="544"/>
      <c r="ET178" s="544"/>
      <c r="EU178" s="544"/>
      <c r="EV178" s="544"/>
      <c r="EW178" s="544"/>
      <c r="EX178" s="544"/>
      <c r="EY178" s="544"/>
      <c r="EZ178" s="544"/>
      <c r="FA178" s="544"/>
      <c r="FB178" s="544"/>
      <c r="FC178" s="544"/>
      <c r="FD178" s="544"/>
      <c r="FE178" s="544"/>
      <c r="FF178" s="544"/>
      <c r="FG178" s="544"/>
      <c r="FH178" s="544"/>
      <c r="FI178" s="544"/>
      <c r="FJ178" s="544"/>
      <c r="FK178" s="544"/>
      <c r="FL178" s="544"/>
      <c r="FM178" s="544"/>
      <c r="FN178" s="544"/>
      <c r="FO178" s="544"/>
      <c r="FP178" s="544"/>
      <c r="FQ178" s="544"/>
      <c r="FR178" s="544"/>
      <c r="FS178" s="544"/>
      <c r="FT178" s="544"/>
      <c r="FU178" s="544"/>
      <c r="FV178" s="544"/>
      <c r="FW178" s="544"/>
      <c r="FX178" s="544"/>
      <c r="FY178" s="544"/>
      <c r="FZ178" s="544"/>
      <c r="GA178" s="544"/>
      <c r="GB178" s="544"/>
      <c r="GC178" s="544"/>
      <c r="GD178" s="544"/>
      <c r="GE178" s="544"/>
      <c r="GF178" s="544"/>
      <c r="GG178" s="544"/>
      <c r="GH178" s="544"/>
      <c r="GI178" s="544"/>
      <c r="GJ178" s="544"/>
      <c r="GK178" s="544"/>
      <c r="GL178" s="544"/>
      <c r="GM178" s="544"/>
      <c r="GN178" s="544"/>
      <c r="GO178" s="544"/>
      <c r="GP178" s="544"/>
      <c r="GQ178" s="544"/>
      <c r="GR178" s="544"/>
      <c r="GS178" s="544"/>
      <c r="GT178" s="544"/>
      <c r="GU178" s="544"/>
      <c r="GV178" s="544"/>
      <c r="GW178" s="544"/>
      <c r="GX178" s="544"/>
      <c r="GY178" s="544"/>
      <c r="GZ178" s="544"/>
      <c r="HA178" s="544"/>
      <c r="HB178" s="544"/>
      <c r="HC178" s="544"/>
      <c r="HD178" s="544"/>
      <c r="HE178" s="544"/>
      <c r="HF178" s="544"/>
      <c r="HG178" s="544"/>
      <c r="HH178" s="544"/>
      <c r="HI178" s="544"/>
      <c r="HJ178" s="544"/>
      <c r="HK178" s="544"/>
      <c r="HL178" s="544"/>
      <c r="HM178" s="544"/>
      <c r="HN178" s="544"/>
      <c r="HO178" s="544"/>
      <c r="HP178" s="544"/>
      <c r="HQ178" s="544"/>
      <c r="HR178" s="544"/>
      <c r="HS178" s="544"/>
      <c r="HT178" s="544"/>
      <c r="HU178" s="544"/>
      <c r="HV178" s="544"/>
      <c r="HW178" s="544"/>
      <c r="HX178" s="544"/>
      <c r="HY178" s="544"/>
      <c r="HZ178" s="544"/>
      <c r="IA178" s="544"/>
      <c r="IB178" s="544"/>
      <c r="IC178" s="544"/>
      <c r="ID178" s="544"/>
      <c r="IE178" s="544"/>
      <c r="IF178" s="544"/>
      <c r="IG178" s="544"/>
      <c r="IH178" s="544"/>
      <c r="II178" s="544"/>
      <c r="IJ178" s="544"/>
      <c r="IK178" s="544"/>
      <c r="IL178" s="544"/>
      <c r="IM178" s="544"/>
      <c r="IN178" s="544"/>
      <c r="IO178" s="544"/>
      <c r="IP178" s="544"/>
      <c r="IQ178" s="544"/>
      <c r="IR178" s="544"/>
      <c r="IS178" s="544"/>
      <c r="IT178" s="544"/>
      <c r="IU178" s="544"/>
      <c r="IV178" s="544"/>
    </row>
    <row r="179" spans="1:256" s="609" customFormat="1" x14ac:dyDescent="0.3">
      <c r="A179" s="555"/>
      <c r="B179" s="556" t="s">
        <v>273</v>
      </c>
      <c r="C179" s="556"/>
      <c r="D179" s="556"/>
      <c r="E179" s="556"/>
      <c r="F179" s="556"/>
      <c r="G179" s="556"/>
      <c r="H179" s="556"/>
      <c r="I179" s="556"/>
      <c r="J179" s="556"/>
      <c r="K179" s="556"/>
      <c r="L179" s="556"/>
      <c r="M179" s="556"/>
      <c r="N179" s="556"/>
      <c r="O179" s="556"/>
      <c r="P179" s="556"/>
      <c r="Q179" s="556"/>
      <c r="R179" s="556"/>
      <c r="S179" s="556"/>
      <c r="T179" s="556"/>
      <c r="U179" s="556"/>
      <c r="V179" s="599">
        <f>+V93</f>
        <v>0</v>
      </c>
      <c r="W179" s="558"/>
      <c r="X179" s="543"/>
      <c r="Y179" s="544"/>
      <c r="Z179" s="544"/>
      <c r="AA179" s="544"/>
      <c r="AB179" s="544"/>
      <c r="AC179" s="544"/>
      <c r="AD179" s="544"/>
      <c r="AE179" s="544"/>
      <c r="AF179" s="544"/>
      <c r="AG179" s="544"/>
      <c r="AH179" s="544"/>
      <c r="AI179" s="544"/>
      <c r="AJ179" s="544"/>
      <c r="AK179" s="544"/>
      <c r="AL179" s="544"/>
      <c r="AM179" s="544"/>
      <c r="AN179" s="544"/>
      <c r="AO179" s="544"/>
      <c r="AP179" s="544"/>
      <c r="AQ179" s="544"/>
      <c r="AR179" s="544"/>
      <c r="AS179" s="544"/>
      <c r="AT179" s="544"/>
      <c r="AU179" s="544"/>
      <c r="AV179" s="544"/>
      <c r="AW179" s="544"/>
      <c r="AX179" s="544"/>
      <c r="AY179" s="544"/>
      <c r="AZ179" s="544"/>
      <c r="BA179" s="544"/>
      <c r="BB179" s="544"/>
      <c r="BC179" s="544"/>
      <c r="BD179" s="544"/>
      <c r="BE179" s="544"/>
      <c r="BF179" s="544"/>
      <c r="BG179" s="544"/>
      <c r="BH179" s="544"/>
      <c r="BI179" s="544"/>
      <c r="BJ179" s="544"/>
      <c r="BK179" s="544"/>
      <c r="BL179" s="544"/>
      <c r="BM179" s="544"/>
      <c r="BN179" s="544"/>
      <c r="BO179" s="544"/>
      <c r="BP179" s="544"/>
      <c r="BQ179" s="544"/>
      <c r="BR179" s="544"/>
      <c r="BS179" s="544"/>
      <c r="BT179" s="544"/>
      <c r="BU179" s="544"/>
      <c r="BV179" s="544"/>
      <c r="BW179" s="544"/>
      <c r="BX179" s="544"/>
      <c r="BY179" s="544"/>
      <c r="BZ179" s="544"/>
      <c r="CA179" s="544"/>
      <c r="CB179" s="544"/>
      <c r="CC179" s="544"/>
      <c r="CD179" s="544"/>
      <c r="CE179" s="544"/>
      <c r="CF179" s="544"/>
      <c r="CG179" s="544"/>
      <c r="CH179" s="544"/>
      <c r="CI179" s="544"/>
      <c r="CJ179" s="544"/>
      <c r="CK179" s="544"/>
      <c r="CL179" s="544"/>
      <c r="CM179" s="544"/>
      <c r="CN179" s="544"/>
      <c r="CO179" s="544"/>
      <c r="CP179" s="544"/>
      <c r="CQ179" s="544"/>
      <c r="CR179" s="544"/>
      <c r="CS179" s="544"/>
      <c r="CT179" s="544"/>
      <c r="CU179" s="544"/>
      <c r="CV179" s="544"/>
      <c r="CW179" s="544"/>
      <c r="CX179" s="544"/>
      <c r="CY179" s="544"/>
      <c r="CZ179" s="544"/>
      <c r="DA179" s="544"/>
      <c r="DB179" s="544"/>
      <c r="DC179" s="544"/>
      <c r="DD179" s="544"/>
      <c r="DE179" s="544"/>
      <c r="DF179" s="544"/>
      <c r="DG179" s="544"/>
      <c r="DH179" s="544"/>
      <c r="DI179" s="544"/>
      <c r="DJ179" s="544"/>
      <c r="DK179" s="544"/>
      <c r="DL179" s="544"/>
      <c r="DM179" s="544"/>
      <c r="DN179" s="544"/>
      <c r="DO179" s="544"/>
      <c r="DP179" s="544"/>
      <c r="DQ179" s="544"/>
      <c r="DR179" s="544"/>
      <c r="DS179" s="544"/>
      <c r="DT179" s="544"/>
      <c r="DU179" s="544"/>
      <c r="DV179" s="544"/>
      <c r="DW179" s="544"/>
      <c r="DX179" s="544"/>
      <c r="DY179" s="544"/>
      <c r="DZ179" s="544"/>
      <c r="EA179" s="544"/>
      <c r="EB179" s="544"/>
      <c r="EC179" s="544"/>
      <c r="ED179" s="544"/>
      <c r="EE179" s="544"/>
      <c r="EF179" s="544"/>
      <c r="EG179" s="544"/>
      <c r="EH179" s="544"/>
      <c r="EI179" s="544"/>
      <c r="EJ179" s="544"/>
      <c r="EK179" s="544"/>
      <c r="EL179" s="544"/>
      <c r="EM179" s="544"/>
      <c r="EN179" s="544"/>
      <c r="EO179" s="544"/>
      <c r="EP179" s="544"/>
      <c r="EQ179" s="544"/>
      <c r="ER179" s="544"/>
      <c r="ES179" s="544"/>
      <c r="ET179" s="544"/>
      <c r="EU179" s="544"/>
      <c r="EV179" s="544"/>
      <c r="EW179" s="544"/>
      <c r="EX179" s="544"/>
      <c r="EY179" s="544"/>
      <c r="EZ179" s="544"/>
      <c r="FA179" s="544"/>
      <c r="FB179" s="544"/>
      <c r="FC179" s="544"/>
      <c r="FD179" s="544"/>
      <c r="FE179" s="544"/>
      <c r="FF179" s="544"/>
      <c r="FG179" s="544"/>
      <c r="FH179" s="544"/>
      <c r="FI179" s="544"/>
      <c r="FJ179" s="544"/>
      <c r="FK179" s="544"/>
      <c r="FL179" s="544"/>
      <c r="FM179" s="544"/>
      <c r="FN179" s="544"/>
      <c r="FO179" s="544"/>
      <c r="FP179" s="544"/>
      <c r="FQ179" s="544"/>
      <c r="FR179" s="544"/>
      <c r="FS179" s="544"/>
      <c r="FT179" s="544"/>
      <c r="FU179" s="544"/>
      <c r="FV179" s="544"/>
      <c r="FW179" s="544"/>
      <c r="FX179" s="544"/>
      <c r="FY179" s="544"/>
      <c r="FZ179" s="544"/>
      <c r="GA179" s="544"/>
      <c r="GB179" s="544"/>
      <c r="GC179" s="544"/>
      <c r="GD179" s="544"/>
      <c r="GE179" s="544"/>
      <c r="GF179" s="544"/>
      <c r="GG179" s="544"/>
      <c r="GH179" s="544"/>
      <c r="GI179" s="544"/>
      <c r="GJ179" s="544"/>
      <c r="GK179" s="544"/>
      <c r="GL179" s="544"/>
      <c r="GM179" s="544"/>
      <c r="GN179" s="544"/>
      <c r="GO179" s="544"/>
      <c r="GP179" s="544"/>
      <c r="GQ179" s="544"/>
      <c r="GR179" s="544"/>
      <c r="GS179" s="544"/>
      <c r="GT179" s="544"/>
      <c r="GU179" s="544"/>
      <c r="GV179" s="544"/>
      <c r="GW179" s="544"/>
      <c r="GX179" s="544"/>
      <c r="GY179" s="544"/>
      <c r="GZ179" s="544"/>
      <c r="HA179" s="544"/>
      <c r="HB179" s="544"/>
      <c r="HC179" s="544"/>
      <c r="HD179" s="544"/>
      <c r="HE179" s="544"/>
      <c r="HF179" s="544"/>
      <c r="HG179" s="544"/>
      <c r="HH179" s="544"/>
      <c r="HI179" s="544"/>
      <c r="HJ179" s="544"/>
      <c r="HK179" s="544"/>
      <c r="HL179" s="544"/>
      <c r="HM179" s="544"/>
      <c r="HN179" s="544"/>
      <c r="HO179" s="544"/>
      <c r="HP179" s="544"/>
      <c r="HQ179" s="544"/>
      <c r="HR179" s="544"/>
      <c r="HS179" s="544"/>
      <c r="HT179" s="544"/>
      <c r="HU179" s="544"/>
      <c r="HV179" s="544"/>
      <c r="HW179" s="544"/>
      <c r="HX179" s="544"/>
      <c r="HY179" s="544"/>
      <c r="HZ179" s="544"/>
      <c r="IA179" s="544"/>
      <c r="IB179" s="544"/>
      <c r="IC179" s="544"/>
      <c r="ID179" s="544"/>
      <c r="IE179" s="544"/>
      <c r="IF179" s="544"/>
      <c r="IG179" s="544"/>
      <c r="IH179" s="544"/>
      <c r="II179" s="544"/>
      <c r="IJ179" s="544"/>
      <c r="IK179" s="544"/>
      <c r="IL179" s="544"/>
      <c r="IM179" s="544"/>
      <c r="IN179" s="544"/>
      <c r="IO179" s="544"/>
      <c r="IP179" s="544"/>
      <c r="IQ179" s="544"/>
      <c r="IR179" s="544"/>
      <c r="IS179" s="544"/>
      <c r="IT179" s="544"/>
      <c r="IU179" s="544"/>
      <c r="IV179" s="544"/>
    </row>
    <row r="180" spans="1:256" s="609" customFormat="1" x14ac:dyDescent="0.3">
      <c r="A180" s="555"/>
      <c r="B180" s="556" t="s">
        <v>271</v>
      </c>
      <c r="C180" s="556"/>
      <c r="D180" s="556"/>
      <c r="E180" s="556"/>
      <c r="F180" s="556"/>
      <c r="G180" s="556"/>
      <c r="H180" s="556"/>
      <c r="I180" s="556"/>
      <c r="J180" s="556"/>
      <c r="K180" s="556"/>
      <c r="L180" s="556"/>
      <c r="M180" s="556"/>
      <c r="N180" s="556"/>
      <c r="O180" s="556"/>
      <c r="P180" s="556"/>
      <c r="Q180" s="556"/>
      <c r="R180" s="556"/>
      <c r="S180" s="556"/>
      <c r="T180" s="556"/>
      <c r="U180" s="556"/>
      <c r="V180" s="599">
        <f>+V178-V179</f>
        <v>0</v>
      </c>
      <c r="W180" s="558"/>
      <c r="X180" s="543"/>
      <c r="Y180" s="544"/>
      <c r="Z180" s="544"/>
      <c r="AA180" s="544"/>
      <c r="AB180" s="544"/>
      <c r="AC180" s="544"/>
      <c r="AD180" s="544"/>
      <c r="AE180" s="544"/>
      <c r="AF180" s="544"/>
      <c r="AG180" s="544"/>
      <c r="AH180" s="544"/>
      <c r="AI180" s="544"/>
      <c r="AJ180" s="544"/>
      <c r="AK180" s="544"/>
      <c r="AL180" s="544"/>
      <c r="AM180" s="544"/>
      <c r="AN180" s="544"/>
      <c r="AO180" s="544"/>
      <c r="AP180" s="544"/>
      <c r="AQ180" s="544"/>
      <c r="AR180" s="544"/>
      <c r="AS180" s="544"/>
      <c r="AT180" s="544"/>
      <c r="AU180" s="544"/>
      <c r="AV180" s="544"/>
      <c r="AW180" s="544"/>
      <c r="AX180" s="544"/>
      <c r="AY180" s="544"/>
      <c r="AZ180" s="544"/>
      <c r="BA180" s="544"/>
      <c r="BB180" s="544"/>
      <c r="BC180" s="544"/>
      <c r="BD180" s="544"/>
      <c r="BE180" s="544"/>
      <c r="BF180" s="544"/>
      <c r="BG180" s="544"/>
      <c r="BH180" s="544"/>
      <c r="BI180" s="544"/>
      <c r="BJ180" s="544"/>
      <c r="BK180" s="544"/>
      <c r="BL180" s="544"/>
      <c r="BM180" s="544"/>
      <c r="BN180" s="544"/>
      <c r="BO180" s="544"/>
      <c r="BP180" s="544"/>
      <c r="BQ180" s="544"/>
      <c r="BR180" s="544"/>
      <c r="BS180" s="544"/>
      <c r="BT180" s="544"/>
      <c r="BU180" s="544"/>
      <c r="BV180" s="544"/>
      <c r="BW180" s="544"/>
      <c r="BX180" s="544"/>
      <c r="BY180" s="544"/>
      <c r="BZ180" s="544"/>
      <c r="CA180" s="544"/>
      <c r="CB180" s="544"/>
      <c r="CC180" s="544"/>
      <c r="CD180" s="544"/>
      <c r="CE180" s="544"/>
      <c r="CF180" s="544"/>
      <c r="CG180" s="544"/>
      <c r="CH180" s="544"/>
      <c r="CI180" s="544"/>
      <c r="CJ180" s="544"/>
      <c r="CK180" s="544"/>
      <c r="CL180" s="544"/>
      <c r="CM180" s="544"/>
      <c r="CN180" s="544"/>
      <c r="CO180" s="544"/>
      <c r="CP180" s="544"/>
      <c r="CQ180" s="544"/>
      <c r="CR180" s="544"/>
      <c r="CS180" s="544"/>
      <c r="CT180" s="544"/>
      <c r="CU180" s="544"/>
      <c r="CV180" s="544"/>
      <c r="CW180" s="544"/>
      <c r="CX180" s="544"/>
      <c r="CY180" s="544"/>
      <c r="CZ180" s="544"/>
      <c r="DA180" s="544"/>
      <c r="DB180" s="544"/>
      <c r="DC180" s="544"/>
      <c r="DD180" s="544"/>
      <c r="DE180" s="544"/>
      <c r="DF180" s="544"/>
      <c r="DG180" s="544"/>
      <c r="DH180" s="544"/>
      <c r="DI180" s="544"/>
      <c r="DJ180" s="544"/>
      <c r="DK180" s="544"/>
      <c r="DL180" s="544"/>
      <c r="DM180" s="544"/>
      <c r="DN180" s="544"/>
      <c r="DO180" s="544"/>
      <c r="DP180" s="544"/>
      <c r="DQ180" s="544"/>
      <c r="DR180" s="544"/>
      <c r="DS180" s="544"/>
      <c r="DT180" s="544"/>
      <c r="DU180" s="544"/>
      <c r="DV180" s="544"/>
      <c r="DW180" s="544"/>
      <c r="DX180" s="544"/>
      <c r="DY180" s="544"/>
      <c r="DZ180" s="544"/>
      <c r="EA180" s="544"/>
      <c r="EB180" s="544"/>
      <c r="EC180" s="544"/>
      <c r="ED180" s="544"/>
      <c r="EE180" s="544"/>
      <c r="EF180" s="544"/>
      <c r="EG180" s="544"/>
      <c r="EH180" s="544"/>
      <c r="EI180" s="544"/>
      <c r="EJ180" s="544"/>
      <c r="EK180" s="544"/>
      <c r="EL180" s="544"/>
      <c r="EM180" s="544"/>
      <c r="EN180" s="544"/>
      <c r="EO180" s="544"/>
      <c r="EP180" s="544"/>
      <c r="EQ180" s="544"/>
      <c r="ER180" s="544"/>
      <c r="ES180" s="544"/>
      <c r="ET180" s="544"/>
      <c r="EU180" s="544"/>
      <c r="EV180" s="544"/>
      <c r="EW180" s="544"/>
      <c r="EX180" s="544"/>
      <c r="EY180" s="544"/>
      <c r="EZ180" s="544"/>
      <c r="FA180" s="544"/>
      <c r="FB180" s="544"/>
      <c r="FC180" s="544"/>
      <c r="FD180" s="544"/>
      <c r="FE180" s="544"/>
      <c r="FF180" s="544"/>
      <c r="FG180" s="544"/>
      <c r="FH180" s="544"/>
      <c r="FI180" s="544"/>
      <c r="FJ180" s="544"/>
      <c r="FK180" s="544"/>
      <c r="FL180" s="544"/>
      <c r="FM180" s="544"/>
      <c r="FN180" s="544"/>
      <c r="FO180" s="544"/>
      <c r="FP180" s="544"/>
      <c r="FQ180" s="544"/>
      <c r="FR180" s="544"/>
      <c r="FS180" s="544"/>
      <c r="FT180" s="544"/>
      <c r="FU180" s="544"/>
      <c r="FV180" s="544"/>
      <c r="FW180" s="544"/>
      <c r="FX180" s="544"/>
      <c r="FY180" s="544"/>
      <c r="FZ180" s="544"/>
      <c r="GA180" s="544"/>
      <c r="GB180" s="544"/>
      <c r="GC180" s="544"/>
      <c r="GD180" s="544"/>
      <c r="GE180" s="544"/>
      <c r="GF180" s="544"/>
      <c r="GG180" s="544"/>
      <c r="GH180" s="544"/>
      <c r="GI180" s="544"/>
      <c r="GJ180" s="544"/>
      <c r="GK180" s="544"/>
      <c r="GL180" s="544"/>
      <c r="GM180" s="544"/>
      <c r="GN180" s="544"/>
      <c r="GO180" s="544"/>
      <c r="GP180" s="544"/>
      <c r="GQ180" s="544"/>
      <c r="GR180" s="544"/>
      <c r="GS180" s="544"/>
      <c r="GT180" s="544"/>
      <c r="GU180" s="544"/>
      <c r="GV180" s="544"/>
      <c r="GW180" s="544"/>
      <c r="GX180" s="544"/>
      <c r="GY180" s="544"/>
      <c r="GZ180" s="544"/>
      <c r="HA180" s="544"/>
      <c r="HB180" s="544"/>
      <c r="HC180" s="544"/>
      <c r="HD180" s="544"/>
      <c r="HE180" s="544"/>
      <c r="HF180" s="544"/>
      <c r="HG180" s="544"/>
      <c r="HH180" s="544"/>
      <c r="HI180" s="544"/>
      <c r="HJ180" s="544"/>
      <c r="HK180" s="544"/>
      <c r="HL180" s="544"/>
      <c r="HM180" s="544"/>
      <c r="HN180" s="544"/>
      <c r="HO180" s="544"/>
      <c r="HP180" s="544"/>
      <c r="HQ180" s="544"/>
      <c r="HR180" s="544"/>
      <c r="HS180" s="544"/>
      <c r="HT180" s="544"/>
      <c r="HU180" s="544"/>
      <c r="HV180" s="544"/>
      <c r="HW180" s="544"/>
      <c r="HX180" s="544"/>
      <c r="HY180" s="544"/>
      <c r="HZ180" s="544"/>
      <c r="IA180" s="544"/>
      <c r="IB180" s="544"/>
      <c r="IC180" s="544"/>
      <c r="ID180" s="544"/>
      <c r="IE180" s="544"/>
      <c r="IF180" s="544"/>
      <c r="IG180" s="544"/>
      <c r="IH180" s="544"/>
      <c r="II180" s="544"/>
      <c r="IJ180" s="544"/>
      <c r="IK180" s="544"/>
      <c r="IL180" s="544"/>
      <c r="IM180" s="544"/>
      <c r="IN180" s="544"/>
      <c r="IO180" s="544"/>
      <c r="IP180" s="544"/>
      <c r="IQ180" s="544"/>
      <c r="IR180" s="544"/>
      <c r="IS180" s="544"/>
      <c r="IT180" s="544"/>
      <c r="IU180" s="544"/>
      <c r="IV180" s="544"/>
    </row>
    <row r="181" spans="1:256" s="459" customFormat="1" ht="16.2" thickBot="1" x14ac:dyDescent="0.35">
      <c r="A181" s="438"/>
      <c r="B181" s="441"/>
      <c r="C181" s="441"/>
      <c r="D181" s="441"/>
      <c r="E181" s="441"/>
      <c r="F181" s="441"/>
      <c r="G181" s="441"/>
      <c r="H181" s="441"/>
      <c r="I181" s="441"/>
      <c r="J181" s="441"/>
      <c r="K181" s="441"/>
      <c r="L181" s="441"/>
      <c r="M181" s="441"/>
      <c r="N181" s="441"/>
      <c r="O181" s="441"/>
      <c r="P181" s="441"/>
      <c r="Q181" s="441"/>
      <c r="R181" s="441"/>
      <c r="S181" s="441"/>
      <c r="T181" s="441"/>
      <c r="U181" s="441"/>
      <c r="V181" s="452"/>
      <c r="W181" s="441"/>
      <c r="X181" s="415"/>
      <c r="Y181" s="416"/>
      <c r="Z181" s="416"/>
      <c r="AA181" s="416"/>
      <c r="AB181" s="416"/>
      <c r="AC181" s="416"/>
      <c r="AD181" s="416"/>
      <c r="AE181" s="416"/>
      <c r="AF181" s="416"/>
      <c r="AG181" s="416"/>
      <c r="AH181" s="416"/>
      <c r="AI181" s="416"/>
      <c r="AJ181" s="416"/>
      <c r="AK181" s="416"/>
      <c r="AL181" s="416"/>
      <c r="AM181" s="416"/>
      <c r="AN181" s="416"/>
      <c r="AO181" s="416"/>
      <c r="AP181" s="416"/>
      <c r="AQ181" s="416"/>
      <c r="AR181" s="416"/>
      <c r="AS181" s="416"/>
      <c r="AT181" s="416"/>
      <c r="AU181" s="416"/>
      <c r="AV181" s="416"/>
      <c r="AW181" s="416"/>
      <c r="AX181" s="416"/>
      <c r="AY181" s="416"/>
      <c r="AZ181" s="416"/>
      <c r="BA181" s="416"/>
      <c r="BB181" s="416"/>
      <c r="BC181" s="416"/>
      <c r="BD181" s="416"/>
      <c r="BE181" s="416"/>
      <c r="BF181" s="416"/>
      <c r="BG181" s="416"/>
      <c r="BH181" s="416"/>
      <c r="BI181" s="416"/>
      <c r="BJ181" s="416"/>
      <c r="BK181" s="416"/>
      <c r="BL181" s="416"/>
      <c r="BM181" s="416"/>
      <c r="BN181" s="416"/>
      <c r="BO181" s="416"/>
      <c r="BP181" s="416"/>
      <c r="BQ181" s="416"/>
      <c r="BR181" s="416"/>
      <c r="BS181" s="416"/>
      <c r="BT181" s="416"/>
      <c r="BU181" s="416"/>
      <c r="BV181" s="416"/>
      <c r="BW181" s="416"/>
      <c r="BX181" s="416"/>
      <c r="BY181" s="416"/>
      <c r="BZ181" s="416"/>
      <c r="CA181" s="416"/>
      <c r="CB181" s="416"/>
      <c r="CC181" s="416"/>
      <c r="CD181" s="416"/>
      <c r="CE181" s="416"/>
      <c r="CF181" s="416"/>
      <c r="CG181" s="416"/>
      <c r="CH181" s="416"/>
      <c r="CI181" s="416"/>
      <c r="CJ181" s="416"/>
      <c r="CK181" s="416"/>
      <c r="CL181" s="416"/>
      <c r="CM181" s="416"/>
      <c r="CN181" s="416"/>
      <c r="CO181" s="416"/>
      <c r="CP181" s="416"/>
      <c r="CQ181" s="416"/>
      <c r="CR181" s="416"/>
      <c r="CS181" s="416"/>
      <c r="CT181" s="416"/>
      <c r="CU181" s="416"/>
      <c r="CV181" s="416"/>
      <c r="CW181" s="416"/>
      <c r="CX181" s="416"/>
      <c r="CY181" s="416"/>
      <c r="CZ181" s="416"/>
      <c r="DA181" s="416"/>
      <c r="DB181" s="416"/>
      <c r="DC181" s="416"/>
      <c r="DD181" s="416"/>
      <c r="DE181" s="416"/>
      <c r="DF181" s="416"/>
      <c r="DG181" s="416"/>
      <c r="DH181" s="416"/>
      <c r="DI181" s="416"/>
      <c r="DJ181" s="416"/>
      <c r="DK181" s="416"/>
      <c r="DL181" s="416"/>
      <c r="DM181" s="416"/>
      <c r="DN181" s="416"/>
      <c r="DO181" s="416"/>
      <c r="DP181" s="416"/>
      <c r="DQ181" s="416"/>
      <c r="DR181" s="416"/>
      <c r="DS181" s="416"/>
      <c r="DT181" s="416"/>
      <c r="DU181" s="416"/>
      <c r="DV181" s="416"/>
      <c r="DW181" s="416"/>
      <c r="DX181" s="416"/>
      <c r="DY181" s="416"/>
      <c r="DZ181" s="416"/>
      <c r="EA181" s="416"/>
      <c r="EB181" s="416"/>
      <c r="EC181" s="416"/>
      <c r="ED181" s="416"/>
      <c r="EE181" s="416"/>
      <c r="EF181" s="416"/>
      <c r="EG181" s="416"/>
      <c r="EH181" s="416"/>
      <c r="EI181" s="416"/>
      <c r="EJ181" s="416"/>
      <c r="EK181" s="416"/>
      <c r="EL181" s="416"/>
      <c r="EM181" s="416"/>
      <c r="EN181" s="416"/>
      <c r="EO181" s="416"/>
      <c r="EP181" s="416"/>
      <c r="EQ181" s="416"/>
      <c r="ER181" s="416"/>
      <c r="ES181" s="416"/>
      <c r="ET181" s="416"/>
      <c r="EU181" s="416"/>
      <c r="EV181" s="416"/>
      <c r="EW181" s="416"/>
      <c r="EX181" s="416"/>
      <c r="EY181" s="416"/>
      <c r="EZ181" s="416"/>
      <c r="FA181" s="416"/>
      <c r="FB181" s="416"/>
      <c r="FC181" s="416"/>
      <c r="FD181" s="416"/>
      <c r="FE181" s="416"/>
      <c r="FF181" s="416"/>
      <c r="FG181" s="416"/>
      <c r="FH181" s="416"/>
      <c r="FI181" s="416"/>
      <c r="FJ181" s="416"/>
      <c r="FK181" s="416"/>
      <c r="FL181" s="416"/>
      <c r="FM181" s="416"/>
      <c r="FN181" s="416"/>
      <c r="FO181" s="416"/>
      <c r="FP181" s="416"/>
      <c r="FQ181" s="416"/>
      <c r="FR181" s="416"/>
      <c r="FS181" s="416"/>
      <c r="FT181" s="416"/>
      <c r="FU181" s="416"/>
      <c r="FV181" s="416"/>
      <c r="FW181" s="416"/>
      <c r="FX181" s="416"/>
      <c r="FY181" s="416"/>
      <c r="FZ181" s="416"/>
      <c r="GA181" s="416"/>
      <c r="GB181" s="416"/>
      <c r="GC181" s="416"/>
      <c r="GD181" s="416"/>
      <c r="GE181" s="416"/>
      <c r="GF181" s="416"/>
      <c r="GG181" s="416"/>
      <c r="GH181" s="416"/>
      <c r="GI181" s="416"/>
      <c r="GJ181" s="416"/>
      <c r="GK181" s="416"/>
      <c r="GL181" s="416"/>
      <c r="GM181" s="416"/>
      <c r="GN181" s="416"/>
      <c r="GO181" s="416"/>
      <c r="GP181" s="416"/>
      <c r="GQ181" s="416"/>
      <c r="GR181" s="416"/>
      <c r="GS181" s="416"/>
      <c r="GT181" s="416"/>
      <c r="GU181" s="416"/>
      <c r="GV181" s="416"/>
      <c r="GW181" s="416"/>
      <c r="GX181" s="416"/>
      <c r="GY181" s="416"/>
      <c r="GZ181" s="416"/>
      <c r="HA181" s="416"/>
      <c r="HB181" s="416"/>
      <c r="HC181" s="416"/>
      <c r="HD181" s="416"/>
      <c r="HE181" s="416"/>
      <c r="HF181" s="416"/>
      <c r="HG181" s="416"/>
      <c r="HH181" s="416"/>
      <c r="HI181" s="416"/>
      <c r="HJ181" s="416"/>
      <c r="HK181" s="416"/>
      <c r="HL181" s="416"/>
      <c r="HM181" s="416"/>
      <c r="HN181" s="416"/>
      <c r="HO181" s="416"/>
      <c r="HP181" s="416"/>
      <c r="HQ181" s="416"/>
      <c r="HR181" s="416"/>
      <c r="HS181" s="416"/>
      <c r="HT181" s="416"/>
      <c r="HU181" s="416"/>
      <c r="HV181" s="416"/>
      <c r="HW181" s="416"/>
      <c r="HX181" s="416"/>
      <c r="HY181" s="416"/>
      <c r="HZ181" s="416"/>
      <c r="IA181" s="416"/>
      <c r="IB181" s="416"/>
      <c r="IC181" s="416"/>
      <c r="ID181" s="416"/>
      <c r="IE181" s="416"/>
      <c r="IF181" s="416"/>
      <c r="IG181" s="416"/>
      <c r="IH181" s="416"/>
      <c r="II181" s="416"/>
      <c r="IJ181" s="416"/>
      <c r="IK181" s="416"/>
      <c r="IL181" s="416"/>
      <c r="IM181" s="416"/>
      <c r="IN181" s="416"/>
      <c r="IO181" s="416"/>
      <c r="IP181" s="416"/>
      <c r="IQ181" s="416"/>
      <c r="IR181" s="416"/>
      <c r="IS181" s="416"/>
      <c r="IT181" s="416"/>
      <c r="IU181" s="416"/>
      <c r="IV181" s="416"/>
    </row>
    <row r="182" spans="1:256" s="461" customFormat="1" x14ac:dyDescent="0.3">
      <c r="A182" s="413"/>
      <c r="B182" s="414"/>
      <c r="C182" s="414"/>
      <c r="D182" s="414"/>
      <c r="E182" s="414"/>
      <c r="F182" s="414"/>
      <c r="G182" s="414"/>
      <c r="H182" s="414"/>
      <c r="I182" s="414"/>
      <c r="J182" s="414"/>
      <c r="K182" s="414"/>
      <c r="L182" s="414"/>
      <c r="M182" s="414"/>
      <c r="N182" s="414"/>
      <c r="O182" s="414"/>
      <c r="P182" s="414"/>
      <c r="Q182" s="414"/>
      <c r="R182" s="414"/>
      <c r="S182" s="414"/>
      <c r="T182" s="414"/>
      <c r="U182" s="414"/>
      <c r="V182" s="460"/>
      <c r="W182" s="414"/>
      <c r="X182" s="415"/>
      <c r="Y182" s="416"/>
      <c r="Z182" s="416"/>
      <c r="AA182" s="416"/>
      <c r="AB182" s="416"/>
      <c r="AC182" s="416"/>
      <c r="AD182" s="416"/>
      <c r="AE182" s="416"/>
      <c r="AF182" s="416"/>
      <c r="AG182" s="416"/>
      <c r="AH182" s="416"/>
      <c r="AI182" s="416"/>
      <c r="AJ182" s="416"/>
      <c r="AK182" s="416"/>
      <c r="AL182" s="416"/>
      <c r="AM182" s="416"/>
      <c r="AN182" s="416"/>
      <c r="AO182" s="416"/>
      <c r="AP182" s="416"/>
      <c r="AQ182" s="416"/>
      <c r="AR182" s="416"/>
      <c r="AS182" s="416"/>
      <c r="AT182" s="416"/>
      <c r="AU182" s="416"/>
      <c r="AV182" s="416"/>
      <c r="AW182" s="416"/>
      <c r="AX182" s="416"/>
      <c r="AY182" s="416"/>
      <c r="AZ182" s="416"/>
      <c r="BA182" s="416"/>
      <c r="BB182" s="416"/>
      <c r="BC182" s="416"/>
      <c r="BD182" s="416"/>
      <c r="BE182" s="416"/>
      <c r="BF182" s="416"/>
      <c r="BG182" s="416"/>
      <c r="BH182" s="416"/>
      <c r="BI182" s="416"/>
      <c r="BJ182" s="416"/>
      <c r="BK182" s="416"/>
      <c r="BL182" s="416"/>
      <c r="BM182" s="416"/>
      <c r="BN182" s="416"/>
      <c r="BO182" s="416"/>
      <c r="BP182" s="416"/>
      <c r="BQ182" s="416"/>
      <c r="BR182" s="416"/>
      <c r="BS182" s="416"/>
      <c r="BT182" s="416"/>
      <c r="BU182" s="416"/>
      <c r="BV182" s="416"/>
      <c r="BW182" s="416"/>
      <c r="BX182" s="416"/>
      <c r="BY182" s="416"/>
      <c r="BZ182" s="416"/>
      <c r="CA182" s="416"/>
      <c r="CB182" s="416"/>
      <c r="CC182" s="416"/>
      <c r="CD182" s="416"/>
      <c r="CE182" s="416"/>
      <c r="CF182" s="416"/>
      <c r="CG182" s="416"/>
      <c r="CH182" s="416"/>
      <c r="CI182" s="416"/>
      <c r="CJ182" s="416"/>
      <c r="CK182" s="416"/>
      <c r="CL182" s="416"/>
      <c r="CM182" s="416"/>
      <c r="CN182" s="416"/>
      <c r="CO182" s="416"/>
      <c r="CP182" s="416"/>
      <c r="CQ182" s="416"/>
      <c r="CR182" s="416"/>
      <c r="CS182" s="416"/>
      <c r="CT182" s="416"/>
      <c r="CU182" s="416"/>
      <c r="CV182" s="416"/>
      <c r="CW182" s="416"/>
      <c r="CX182" s="416"/>
      <c r="CY182" s="416"/>
      <c r="CZ182" s="416"/>
      <c r="DA182" s="416"/>
      <c r="DB182" s="416"/>
      <c r="DC182" s="416"/>
      <c r="DD182" s="416"/>
      <c r="DE182" s="416"/>
      <c r="DF182" s="416"/>
      <c r="DG182" s="416"/>
      <c r="DH182" s="416"/>
      <c r="DI182" s="416"/>
      <c r="DJ182" s="416"/>
      <c r="DK182" s="416"/>
      <c r="DL182" s="416"/>
      <c r="DM182" s="416"/>
      <c r="DN182" s="416"/>
      <c r="DO182" s="416"/>
      <c r="DP182" s="416"/>
      <c r="DQ182" s="416"/>
      <c r="DR182" s="416"/>
      <c r="DS182" s="416"/>
      <c r="DT182" s="416"/>
      <c r="DU182" s="416"/>
      <c r="DV182" s="416"/>
      <c r="DW182" s="416"/>
      <c r="DX182" s="416"/>
      <c r="DY182" s="416"/>
      <c r="DZ182" s="416"/>
      <c r="EA182" s="416"/>
      <c r="EB182" s="416"/>
      <c r="EC182" s="416"/>
      <c r="ED182" s="416"/>
      <c r="EE182" s="416"/>
      <c r="EF182" s="416"/>
      <c r="EG182" s="416"/>
      <c r="EH182" s="416"/>
      <c r="EI182" s="416"/>
      <c r="EJ182" s="416"/>
      <c r="EK182" s="416"/>
      <c r="EL182" s="416"/>
      <c r="EM182" s="416"/>
      <c r="EN182" s="416"/>
      <c r="EO182" s="416"/>
      <c r="EP182" s="416"/>
      <c r="EQ182" s="416"/>
      <c r="ER182" s="416"/>
      <c r="ES182" s="416"/>
      <c r="ET182" s="416"/>
      <c r="EU182" s="416"/>
      <c r="EV182" s="416"/>
      <c r="EW182" s="416"/>
      <c r="EX182" s="416"/>
      <c r="EY182" s="416"/>
      <c r="EZ182" s="416"/>
      <c r="FA182" s="416"/>
      <c r="FB182" s="416"/>
      <c r="FC182" s="416"/>
      <c r="FD182" s="416"/>
      <c r="FE182" s="416"/>
      <c r="FF182" s="416"/>
      <c r="FG182" s="416"/>
      <c r="FH182" s="416"/>
      <c r="FI182" s="416"/>
      <c r="FJ182" s="416"/>
      <c r="FK182" s="416"/>
      <c r="FL182" s="416"/>
      <c r="FM182" s="416"/>
      <c r="FN182" s="416"/>
      <c r="FO182" s="416"/>
      <c r="FP182" s="416"/>
      <c r="FQ182" s="416"/>
      <c r="FR182" s="416"/>
      <c r="FS182" s="416"/>
      <c r="FT182" s="416"/>
      <c r="FU182" s="416"/>
      <c r="FV182" s="416"/>
      <c r="FW182" s="416"/>
      <c r="FX182" s="416"/>
      <c r="FY182" s="416"/>
      <c r="FZ182" s="416"/>
      <c r="GA182" s="416"/>
      <c r="GB182" s="416"/>
      <c r="GC182" s="416"/>
      <c r="GD182" s="416"/>
      <c r="GE182" s="416"/>
      <c r="GF182" s="416"/>
      <c r="GG182" s="416"/>
      <c r="GH182" s="416"/>
      <c r="GI182" s="416"/>
      <c r="GJ182" s="416"/>
      <c r="GK182" s="416"/>
      <c r="GL182" s="416"/>
      <c r="GM182" s="416"/>
      <c r="GN182" s="416"/>
      <c r="GO182" s="416"/>
      <c r="GP182" s="416"/>
      <c r="GQ182" s="416"/>
      <c r="GR182" s="416"/>
      <c r="GS182" s="416"/>
      <c r="GT182" s="416"/>
      <c r="GU182" s="416"/>
      <c r="GV182" s="416"/>
      <c r="GW182" s="416"/>
      <c r="GX182" s="416"/>
      <c r="GY182" s="416"/>
      <c r="GZ182" s="416"/>
      <c r="HA182" s="416"/>
      <c r="HB182" s="416"/>
      <c r="HC182" s="416"/>
      <c r="HD182" s="416"/>
      <c r="HE182" s="416"/>
      <c r="HF182" s="416"/>
      <c r="HG182" s="416"/>
      <c r="HH182" s="416"/>
      <c r="HI182" s="416"/>
      <c r="HJ182" s="416"/>
      <c r="HK182" s="416"/>
      <c r="HL182" s="416"/>
      <c r="HM182" s="416"/>
      <c r="HN182" s="416"/>
      <c r="HO182" s="416"/>
      <c r="HP182" s="416"/>
      <c r="HQ182" s="416"/>
      <c r="HR182" s="416"/>
      <c r="HS182" s="416"/>
      <c r="HT182" s="416"/>
      <c r="HU182" s="416"/>
      <c r="HV182" s="416"/>
      <c r="HW182" s="416"/>
      <c r="HX182" s="416"/>
      <c r="HY182" s="416"/>
      <c r="HZ182" s="416"/>
      <c r="IA182" s="416"/>
      <c r="IB182" s="416"/>
      <c r="IC182" s="416"/>
      <c r="ID182" s="416"/>
      <c r="IE182" s="416"/>
      <c r="IF182" s="416"/>
      <c r="IG182" s="416"/>
      <c r="IH182" s="416"/>
      <c r="II182" s="416"/>
      <c r="IJ182" s="416"/>
      <c r="IK182" s="416"/>
      <c r="IL182" s="416"/>
      <c r="IM182" s="416"/>
      <c r="IN182" s="416"/>
      <c r="IO182" s="416"/>
      <c r="IP182" s="416"/>
      <c r="IQ182" s="416"/>
      <c r="IR182" s="416"/>
      <c r="IS182" s="416"/>
      <c r="IT182" s="416"/>
      <c r="IU182" s="416"/>
      <c r="IV182" s="416"/>
    </row>
    <row r="183" spans="1:256" x14ac:dyDescent="0.3">
      <c r="A183" s="417"/>
      <c r="B183" s="508" t="s">
        <v>56</v>
      </c>
      <c r="C183" s="419"/>
      <c r="D183" s="419"/>
      <c r="E183" s="419"/>
      <c r="F183" s="419"/>
      <c r="G183" s="419"/>
      <c r="H183" s="419"/>
      <c r="I183" s="419"/>
      <c r="J183" s="419"/>
      <c r="K183" s="419"/>
      <c r="L183" s="419"/>
      <c r="M183" s="419"/>
      <c r="N183" s="419"/>
      <c r="O183" s="419"/>
      <c r="P183" s="419"/>
      <c r="Q183" s="419"/>
      <c r="R183" s="419"/>
      <c r="S183" s="419"/>
      <c r="T183" s="419"/>
      <c r="U183" s="419"/>
      <c r="V183" s="439"/>
      <c r="W183" s="419"/>
      <c r="X183" s="415"/>
    </row>
    <row r="184" spans="1:256" x14ac:dyDescent="0.3">
      <c r="A184" s="417"/>
      <c r="B184" s="451"/>
      <c r="C184" s="419"/>
      <c r="D184" s="419"/>
      <c r="E184" s="419"/>
      <c r="F184" s="419"/>
      <c r="G184" s="419"/>
      <c r="H184" s="419"/>
      <c r="I184" s="419"/>
      <c r="J184" s="419"/>
      <c r="K184" s="419"/>
      <c r="L184" s="419"/>
      <c r="M184" s="419"/>
      <c r="N184" s="419"/>
      <c r="O184" s="419"/>
      <c r="P184" s="419"/>
      <c r="Q184" s="419"/>
      <c r="R184" s="419"/>
      <c r="S184" s="419"/>
      <c r="T184" s="419"/>
      <c r="U184" s="419"/>
      <c r="V184" s="439"/>
      <c r="W184" s="419"/>
      <c r="X184" s="415"/>
    </row>
    <row r="185" spans="1:256" s="544" customFormat="1" x14ac:dyDescent="0.3">
      <c r="A185" s="555"/>
      <c r="B185" s="556" t="s">
        <v>57</v>
      </c>
      <c r="C185" s="556"/>
      <c r="D185" s="556"/>
      <c r="E185" s="556"/>
      <c r="F185" s="556"/>
      <c r="G185" s="556"/>
      <c r="H185" s="556"/>
      <c r="I185" s="556"/>
      <c r="J185" s="556"/>
      <c r="K185" s="556"/>
      <c r="L185" s="556"/>
      <c r="M185" s="556"/>
      <c r="N185" s="556"/>
      <c r="O185" s="556"/>
      <c r="P185" s="556"/>
      <c r="Q185" s="556"/>
      <c r="R185" s="556"/>
      <c r="S185" s="556"/>
      <c r="T185" s="556"/>
      <c r="U185" s="556"/>
      <c r="V185" s="599">
        <f>V70</f>
        <v>0</v>
      </c>
      <c r="W185" s="558"/>
      <c r="X185" s="543"/>
    </row>
    <row r="186" spans="1:256" s="544" customFormat="1" x14ac:dyDescent="0.3">
      <c r="A186" s="555"/>
      <c r="B186" s="556" t="s">
        <v>58</v>
      </c>
      <c r="C186" s="556"/>
      <c r="D186" s="556"/>
      <c r="E186" s="556"/>
      <c r="F186" s="556"/>
      <c r="G186" s="556"/>
      <c r="H186" s="556"/>
      <c r="I186" s="556"/>
      <c r="J186" s="556"/>
      <c r="K186" s="556"/>
      <c r="L186" s="556"/>
      <c r="M186" s="556"/>
      <c r="N186" s="556"/>
      <c r="O186" s="556"/>
      <c r="P186" s="556"/>
      <c r="Q186" s="556"/>
      <c r="R186" s="556"/>
      <c r="S186" s="556"/>
      <c r="T186" s="556"/>
      <c r="U186" s="556"/>
      <c r="V186" s="599">
        <f>V83</f>
        <v>0</v>
      </c>
      <c r="W186" s="558"/>
      <c r="X186" s="543"/>
    </row>
    <row r="187" spans="1:256" ht="16.2" thickBot="1" x14ac:dyDescent="0.35">
      <c r="A187" s="417"/>
      <c r="B187" s="441"/>
      <c r="C187" s="441"/>
      <c r="D187" s="441"/>
      <c r="E187" s="441"/>
      <c r="F187" s="441"/>
      <c r="G187" s="441"/>
      <c r="H187" s="441"/>
      <c r="I187" s="441"/>
      <c r="J187" s="441"/>
      <c r="K187" s="441"/>
      <c r="L187" s="441"/>
      <c r="M187" s="441"/>
      <c r="N187" s="441"/>
      <c r="O187" s="441"/>
      <c r="P187" s="441"/>
      <c r="Q187" s="441"/>
      <c r="R187" s="441"/>
      <c r="S187" s="441"/>
      <c r="T187" s="441"/>
      <c r="U187" s="441"/>
      <c r="V187" s="452"/>
      <c r="W187" s="441"/>
      <c r="X187" s="415"/>
    </row>
    <row r="188" spans="1:256" x14ac:dyDescent="0.3">
      <c r="A188" s="413"/>
      <c r="B188" s="414"/>
      <c r="C188" s="414"/>
      <c r="D188" s="414"/>
      <c r="E188" s="414"/>
      <c r="F188" s="414"/>
      <c r="G188" s="414"/>
      <c r="H188" s="414"/>
      <c r="I188" s="414"/>
      <c r="J188" s="414"/>
      <c r="K188" s="414"/>
      <c r="L188" s="414"/>
      <c r="M188" s="414"/>
      <c r="N188" s="414"/>
      <c r="O188" s="414"/>
      <c r="P188" s="414"/>
      <c r="Q188" s="414"/>
      <c r="R188" s="414"/>
      <c r="S188" s="414"/>
      <c r="T188" s="414"/>
      <c r="U188" s="414"/>
      <c r="V188" s="460"/>
      <c r="W188" s="414"/>
      <c r="X188" s="415"/>
    </row>
    <row r="189" spans="1:256" s="499" customFormat="1" x14ac:dyDescent="0.3">
      <c r="A189" s="502"/>
      <c r="B189" s="508" t="s">
        <v>59</v>
      </c>
      <c r="C189" s="506"/>
      <c r="D189" s="506"/>
      <c r="E189" s="506"/>
      <c r="F189" s="506"/>
      <c r="G189" s="506"/>
      <c r="H189" s="509"/>
      <c r="I189" s="509"/>
      <c r="J189" s="509"/>
      <c r="K189" s="509"/>
      <c r="L189" s="509"/>
      <c r="M189" s="509"/>
      <c r="N189" s="509"/>
      <c r="O189" s="509"/>
      <c r="P189" s="509"/>
      <c r="Q189" s="509"/>
      <c r="R189" s="509"/>
      <c r="S189" s="509" t="s">
        <v>101</v>
      </c>
      <c r="T189" s="509" t="s">
        <v>176</v>
      </c>
      <c r="U189" s="421"/>
      <c r="V189" s="510" t="s">
        <v>114</v>
      </c>
      <c r="W189" s="421"/>
      <c r="X189" s="498"/>
    </row>
    <row r="190" spans="1:256" s="544" customFormat="1" x14ac:dyDescent="0.3">
      <c r="A190" s="555"/>
      <c r="B190" s="556" t="s">
        <v>60</v>
      </c>
      <c r="C190" s="556"/>
      <c r="D190" s="556"/>
      <c r="E190" s="556"/>
      <c r="F190" s="556"/>
      <c r="G190" s="556"/>
      <c r="H190" s="556"/>
      <c r="I190" s="556"/>
      <c r="J190" s="556"/>
      <c r="K190" s="556"/>
      <c r="L190" s="556"/>
      <c r="M190" s="556"/>
      <c r="N190" s="556"/>
      <c r="O190" s="556"/>
      <c r="P190" s="556"/>
      <c r="Q190" s="556"/>
      <c r="R190" s="556"/>
      <c r="S190" s="599">
        <f>+V34*0.16</f>
        <v>240044</v>
      </c>
      <c r="T190" s="578"/>
      <c r="U190" s="556"/>
      <c r="V190" s="599"/>
      <c r="W190" s="558"/>
      <c r="X190" s="543"/>
    </row>
    <row r="191" spans="1:256" s="544" customFormat="1" x14ac:dyDescent="0.3">
      <c r="A191" s="555"/>
      <c r="B191" s="556" t="s">
        <v>61</v>
      </c>
      <c r="C191" s="556"/>
      <c r="D191" s="556"/>
      <c r="E191" s="556"/>
      <c r="F191" s="556"/>
      <c r="G191" s="556"/>
      <c r="H191" s="556"/>
      <c r="I191" s="556"/>
      <c r="J191" s="556"/>
      <c r="K191" s="556"/>
      <c r="L191" s="556"/>
      <c r="M191" s="556"/>
      <c r="N191" s="556"/>
      <c r="O191" s="556"/>
      <c r="P191" s="556"/>
      <c r="Q191" s="556"/>
      <c r="R191" s="556"/>
      <c r="S191" s="599">
        <f>+'Feb 21'!S192</f>
        <v>33453</v>
      </c>
      <c r="T191" s="599">
        <f>+'Feb 21'!T192</f>
        <v>6019</v>
      </c>
      <c r="U191" s="556"/>
      <c r="V191" s="599">
        <f>S191+T191</f>
        <v>39472</v>
      </c>
      <c r="W191" s="558"/>
      <c r="X191" s="543"/>
    </row>
    <row r="192" spans="1:256" s="544" customFormat="1" x14ac:dyDescent="0.3">
      <c r="A192" s="555"/>
      <c r="B192" s="556" t="s">
        <v>62</v>
      </c>
      <c r="C192" s="556"/>
      <c r="D192" s="556"/>
      <c r="E192" s="556"/>
      <c r="F192" s="556"/>
      <c r="G192" s="556"/>
      <c r="H192" s="556"/>
      <c r="I192" s="556"/>
      <c r="J192" s="556"/>
      <c r="K192" s="556"/>
      <c r="L192" s="556"/>
      <c r="M192" s="556"/>
      <c r="N192" s="556"/>
      <c r="O192" s="556"/>
      <c r="P192" s="556"/>
      <c r="Q192" s="556"/>
      <c r="R192" s="556"/>
      <c r="S192" s="598">
        <v>0</v>
      </c>
      <c r="T192" s="598">
        <v>0</v>
      </c>
      <c r="U192" s="556"/>
      <c r="V192" s="599">
        <f>S192+T192</f>
        <v>0</v>
      </c>
      <c r="W192" s="558"/>
      <c r="X192" s="543"/>
    </row>
    <row r="193" spans="1:24" s="544" customFormat="1" x14ac:dyDescent="0.3">
      <c r="A193" s="555"/>
      <c r="B193" s="556" t="s">
        <v>63</v>
      </c>
      <c r="C193" s="556"/>
      <c r="D193" s="556"/>
      <c r="E193" s="556"/>
      <c r="F193" s="556"/>
      <c r="G193" s="556"/>
      <c r="H193" s="556"/>
      <c r="I193" s="556"/>
      <c r="J193" s="556"/>
      <c r="K193" s="556"/>
      <c r="L193" s="556"/>
      <c r="M193" s="556"/>
      <c r="N193" s="556"/>
      <c r="O193" s="556"/>
      <c r="P193" s="556"/>
      <c r="Q193" s="556"/>
      <c r="R193" s="556"/>
      <c r="S193" s="599">
        <f>S191+S192</f>
        <v>33453</v>
      </c>
      <c r="T193" s="599">
        <f>T192+T191</f>
        <v>6019</v>
      </c>
      <c r="U193" s="556"/>
      <c r="V193" s="599">
        <f>S193+T193</f>
        <v>39472</v>
      </c>
      <c r="W193" s="558"/>
      <c r="X193" s="543"/>
    </row>
    <row r="194" spans="1:24" s="544" customFormat="1" x14ac:dyDescent="0.3">
      <c r="A194" s="555"/>
      <c r="B194" s="556" t="s">
        <v>64</v>
      </c>
      <c r="C194" s="556"/>
      <c r="D194" s="556"/>
      <c r="E194" s="556"/>
      <c r="F194" s="556"/>
      <c r="G194" s="556"/>
      <c r="H194" s="556"/>
      <c r="I194" s="556"/>
      <c r="J194" s="556"/>
      <c r="K194" s="556"/>
      <c r="L194" s="556"/>
      <c r="M194" s="556"/>
      <c r="N194" s="556"/>
      <c r="O194" s="556"/>
      <c r="P194" s="556"/>
      <c r="Q194" s="556"/>
      <c r="R194" s="556"/>
      <c r="S194" s="599">
        <f>S190-S193-T193</f>
        <v>200572</v>
      </c>
      <c r="T194" s="578"/>
      <c r="U194" s="556"/>
      <c r="V194" s="599"/>
      <c r="W194" s="558"/>
      <c r="X194" s="543"/>
    </row>
    <row r="195" spans="1:24" ht="16.2" thickBot="1" x14ac:dyDescent="0.35">
      <c r="A195" s="417"/>
      <c r="B195" s="441"/>
      <c r="C195" s="441"/>
      <c r="D195" s="441"/>
      <c r="E195" s="441"/>
      <c r="F195" s="441"/>
      <c r="G195" s="441"/>
      <c r="H195" s="441"/>
      <c r="I195" s="441"/>
      <c r="J195" s="441"/>
      <c r="K195" s="441"/>
      <c r="L195" s="441"/>
      <c r="M195" s="441"/>
      <c r="N195" s="441"/>
      <c r="O195" s="441"/>
      <c r="P195" s="441"/>
      <c r="Q195" s="441"/>
      <c r="R195" s="441"/>
      <c r="S195" s="441"/>
      <c r="T195" s="441"/>
      <c r="U195" s="441"/>
      <c r="V195" s="452"/>
      <c r="W195" s="441"/>
      <c r="X195" s="415"/>
    </row>
    <row r="196" spans="1:24" x14ac:dyDescent="0.3">
      <c r="A196" s="413"/>
      <c r="B196" s="414"/>
      <c r="C196" s="414"/>
      <c r="D196" s="414"/>
      <c r="E196" s="414"/>
      <c r="F196" s="414"/>
      <c r="G196" s="414"/>
      <c r="H196" s="414"/>
      <c r="I196" s="414"/>
      <c r="J196" s="414"/>
      <c r="K196" s="414"/>
      <c r="L196" s="414"/>
      <c r="M196" s="414"/>
      <c r="N196" s="414"/>
      <c r="O196" s="414"/>
      <c r="P196" s="414"/>
      <c r="Q196" s="414"/>
      <c r="R196" s="414"/>
      <c r="S196" s="414"/>
      <c r="T196" s="414"/>
      <c r="U196" s="414"/>
      <c r="V196" s="460"/>
      <c r="W196" s="414"/>
      <c r="X196" s="415"/>
    </row>
    <row r="197" spans="1:24" x14ac:dyDescent="0.3">
      <c r="A197" s="417"/>
      <c r="B197" s="508" t="s">
        <v>65</v>
      </c>
      <c r="C197" s="419"/>
      <c r="D197" s="419"/>
      <c r="E197" s="419"/>
      <c r="F197" s="419"/>
      <c r="G197" s="419"/>
      <c r="H197" s="419"/>
      <c r="I197" s="419"/>
      <c r="J197" s="419"/>
      <c r="K197" s="419"/>
      <c r="L197" s="419"/>
      <c r="M197" s="419"/>
      <c r="N197" s="419"/>
      <c r="O197" s="419"/>
      <c r="P197" s="419"/>
      <c r="Q197" s="419"/>
      <c r="R197" s="419"/>
      <c r="S197" s="419"/>
      <c r="T197" s="419"/>
      <c r="U197" s="419"/>
      <c r="V197" s="462"/>
      <c r="W197" s="419"/>
      <c r="X197" s="415"/>
    </row>
    <row r="198" spans="1:24" s="544" customFormat="1" x14ac:dyDescent="0.3">
      <c r="A198" s="555"/>
      <c r="B198" s="556" t="s">
        <v>66</v>
      </c>
      <c r="C198" s="556"/>
      <c r="D198" s="556"/>
      <c r="E198" s="556"/>
      <c r="F198" s="556"/>
      <c r="G198" s="556"/>
      <c r="H198" s="556"/>
      <c r="I198" s="556"/>
      <c r="J198" s="556"/>
      <c r="K198" s="556"/>
      <c r="L198" s="556"/>
      <c r="M198" s="556"/>
      <c r="N198" s="556"/>
      <c r="O198" s="556"/>
      <c r="P198" s="556"/>
      <c r="Q198" s="556"/>
      <c r="R198" s="556"/>
      <c r="S198" s="556"/>
      <c r="T198" s="556"/>
      <c r="U198" s="556"/>
      <c r="V198" s="608">
        <v>0</v>
      </c>
      <c r="W198" s="558"/>
      <c r="X198" s="543"/>
    </row>
    <row r="199" spans="1:24" s="544" customFormat="1" x14ac:dyDescent="0.3">
      <c r="A199" s="555"/>
      <c r="B199" s="556" t="s">
        <v>67</v>
      </c>
      <c r="C199" s="556"/>
      <c r="D199" s="556"/>
      <c r="E199" s="556"/>
      <c r="F199" s="556"/>
      <c r="G199" s="556"/>
      <c r="H199" s="556"/>
      <c r="I199" s="556"/>
      <c r="J199" s="556"/>
      <c r="K199" s="556"/>
      <c r="L199" s="556"/>
      <c r="M199" s="556"/>
      <c r="N199" s="556"/>
      <c r="O199" s="556"/>
      <c r="P199" s="556"/>
      <c r="Q199" s="556"/>
      <c r="R199" s="556"/>
      <c r="S199" s="556"/>
      <c r="T199" s="556"/>
      <c r="U199" s="556"/>
      <c r="V199" s="610">
        <v>0</v>
      </c>
      <c r="W199" s="558"/>
      <c r="X199" s="543"/>
    </row>
    <row r="200" spans="1:24" s="544" customFormat="1" x14ac:dyDescent="0.3">
      <c r="A200" s="555"/>
      <c r="B200" s="556" t="s">
        <v>68</v>
      </c>
      <c r="C200" s="556"/>
      <c r="D200" s="556"/>
      <c r="E200" s="556"/>
      <c r="F200" s="556"/>
      <c r="G200" s="556"/>
      <c r="H200" s="556"/>
      <c r="I200" s="556"/>
      <c r="J200" s="556"/>
      <c r="K200" s="556"/>
      <c r="L200" s="556"/>
      <c r="M200" s="556"/>
      <c r="N200" s="556"/>
      <c r="O200" s="556"/>
      <c r="P200" s="556"/>
      <c r="Q200" s="556"/>
      <c r="R200" s="556"/>
      <c r="S200" s="556"/>
      <c r="T200" s="556"/>
      <c r="U200" s="556"/>
      <c r="V200" s="608">
        <v>0</v>
      </c>
      <c r="W200" s="558"/>
      <c r="X200" s="543"/>
    </row>
    <row r="201" spans="1:24" s="544" customFormat="1" x14ac:dyDescent="0.3">
      <c r="A201" s="555"/>
      <c r="B201" s="556" t="s">
        <v>69</v>
      </c>
      <c r="C201" s="556"/>
      <c r="D201" s="556"/>
      <c r="E201" s="556"/>
      <c r="F201" s="556"/>
      <c r="G201" s="556"/>
      <c r="H201" s="556"/>
      <c r="I201" s="556"/>
      <c r="J201" s="556"/>
      <c r="K201" s="556"/>
      <c r="L201" s="556"/>
      <c r="M201" s="556"/>
      <c r="N201" s="556"/>
      <c r="O201" s="556"/>
      <c r="P201" s="556"/>
      <c r="Q201" s="556"/>
      <c r="R201" s="556"/>
      <c r="S201" s="556"/>
      <c r="T201" s="556"/>
      <c r="U201" s="556"/>
      <c r="V201" s="610">
        <v>0</v>
      </c>
      <c r="W201" s="558"/>
      <c r="X201" s="543"/>
    </row>
    <row r="202" spans="1:24" s="544" customFormat="1" x14ac:dyDescent="0.3">
      <c r="A202" s="555"/>
      <c r="B202" s="556" t="s">
        <v>198</v>
      </c>
      <c r="C202" s="556"/>
      <c r="D202" s="556"/>
      <c r="E202" s="556"/>
      <c r="F202" s="556"/>
      <c r="G202" s="556"/>
      <c r="H202" s="556"/>
      <c r="I202" s="556"/>
      <c r="J202" s="556"/>
      <c r="K202" s="556"/>
      <c r="L202" s="556"/>
      <c r="M202" s="556"/>
      <c r="N202" s="556"/>
      <c r="O202" s="556"/>
      <c r="P202" s="556"/>
      <c r="Q202" s="556"/>
      <c r="R202" s="556"/>
      <c r="S202" s="556"/>
      <c r="T202" s="556"/>
      <c r="U202" s="556"/>
      <c r="V202" s="608">
        <v>0</v>
      </c>
      <c r="W202" s="558"/>
      <c r="X202" s="543"/>
    </row>
    <row r="203" spans="1:24" s="544" customFormat="1" x14ac:dyDescent="0.3">
      <c r="A203" s="555"/>
      <c r="B203" s="556" t="s">
        <v>199</v>
      </c>
      <c r="C203" s="556"/>
      <c r="D203" s="556"/>
      <c r="E203" s="556"/>
      <c r="F203" s="556"/>
      <c r="G203" s="556"/>
      <c r="H203" s="556"/>
      <c r="I203" s="556"/>
      <c r="J203" s="556"/>
      <c r="K203" s="556"/>
      <c r="L203" s="556"/>
      <c r="M203" s="556"/>
      <c r="N203" s="556"/>
      <c r="O203" s="556"/>
      <c r="P203" s="556"/>
      <c r="Q203" s="556"/>
      <c r="R203" s="556"/>
      <c r="S203" s="556"/>
      <c r="T203" s="556"/>
      <c r="U203" s="556"/>
      <c r="V203" s="610">
        <v>0</v>
      </c>
      <c r="W203" s="558"/>
      <c r="X203" s="543"/>
    </row>
    <row r="204" spans="1:24" s="544" customFormat="1" x14ac:dyDescent="0.3">
      <c r="A204" s="555"/>
      <c r="B204" s="556"/>
      <c r="C204" s="556"/>
      <c r="D204" s="556"/>
      <c r="E204" s="556"/>
      <c r="F204" s="556"/>
      <c r="G204" s="556"/>
      <c r="H204" s="556"/>
      <c r="I204" s="556"/>
      <c r="J204" s="556"/>
      <c r="K204" s="556"/>
      <c r="L204" s="556"/>
      <c r="M204" s="556"/>
      <c r="N204" s="556"/>
      <c r="O204" s="556"/>
      <c r="P204" s="556"/>
      <c r="Q204" s="556"/>
      <c r="R204" s="556"/>
      <c r="S204" s="556"/>
      <c r="T204" s="556"/>
      <c r="U204" s="556"/>
      <c r="V204" s="556"/>
      <c r="W204" s="558"/>
      <c r="X204" s="543"/>
    </row>
    <row r="205" spans="1:24" s="544" customFormat="1" x14ac:dyDescent="0.3">
      <c r="A205" s="540"/>
      <c r="B205" s="588"/>
      <c r="C205" s="588"/>
      <c r="D205" s="588"/>
      <c r="E205" s="588"/>
      <c r="F205" s="588"/>
      <c r="G205" s="588"/>
      <c r="H205" s="588"/>
      <c r="I205" s="588"/>
      <c r="J205" s="588"/>
      <c r="K205" s="588"/>
      <c r="L205" s="588"/>
      <c r="M205" s="588"/>
      <c r="N205" s="588"/>
      <c r="O205" s="588"/>
      <c r="P205" s="588"/>
      <c r="Q205" s="588"/>
      <c r="R205" s="588"/>
      <c r="S205" s="588"/>
      <c r="T205" s="588"/>
      <c r="U205" s="588"/>
      <c r="V205" s="588"/>
      <c r="W205" s="588"/>
      <c r="X205" s="543"/>
    </row>
    <row r="206" spans="1:24" s="544" customFormat="1" x14ac:dyDescent="0.3">
      <c r="A206" s="540"/>
      <c r="B206" s="541"/>
      <c r="C206" s="541"/>
      <c r="D206" s="541"/>
      <c r="E206" s="541"/>
      <c r="F206" s="541"/>
      <c r="G206" s="541"/>
      <c r="H206" s="541"/>
      <c r="I206" s="541"/>
      <c r="J206" s="541"/>
      <c r="K206" s="541"/>
      <c r="L206" s="541"/>
      <c r="M206" s="541"/>
      <c r="N206" s="541"/>
      <c r="O206" s="541"/>
      <c r="P206" s="541"/>
      <c r="Q206" s="541"/>
      <c r="R206" s="541"/>
      <c r="S206" s="541"/>
      <c r="T206" s="541"/>
      <c r="U206" s="541"/>
      <c r="V206" s="541"/>
      <c r="W206" s="541"/>
      <c r="X206" s="543"/>
    </row>
    <row r="207" spans="1:24" s="544" customFormat="1" ht="18.600000000000001" thickBot="1" x14ac:dyDescent="0.4">
      <c r="A207" s="593"/>
      <c r="B207" s="594" t="str">
        <f>B141</f>
        <v>PM14 INVESTOR REPORT QUARTER ENDING MAY 2021</v>
      </c>
      <c r="C207" s="595"/>
      <c r="D207" s="595"/>
      <c r="E207" s="595"/>
      <c r="F207" s="595"/>
      <c r="G207" s="595"/>
      <c r="H207" s="595"/>
      <c r="I207" s="595"/>
      <c r="J207" s="595"/>
      <c r="K207" s="595"/>
      <c r="L207" s="595"/>
      <c r="M207" s="595"/>
      <c r="N207" s="595"/>
      <c r="O207" s="595"/>
      <c r="P207" s="595"/>
      <c r="Q207" s="595"/>
      <c r="R207" s="595"/>
      <c r="S207" s="595"/>
      <c r="T207" s="595"/>
      <c r="U207" s="595"/>
      <c r="V207" s="595"/>
      <c r="W207" s="597"/>
      <c r="X207" s="543"/>
    </row>
    <row r="208" spans="1:24" x14ac:dyDescent="0.3">
      <c r="A208" s="527"/>
      <c r="B208" s="528" t="s">
        <v>70</v>
      </c>
      <c r="C208" s="531"/>
      <c r="D208" s="531"/>
      <c r="E208" s="531"/>
      <c r="F208" s="531"/>
      <c r="G208" s="532"/>
      <c r="H208" s="532"/>
      <c r="I208" s="532"/>
      <c r="J208" s="532"/>
      <c r="K208" s="532"/>
      <c r="L208" s="532"/>
      <c r="M208" s="532"/>
      <c r="N208" s="532"/>
      <c r="O208" s="532"/>
      <c r="P208" s="532"/>
      <c r="Q208" s="532"/>
      <c r="R208" s="532"/>
      <c r="S208" s="532"/>
      <c r="T208" s="532">
        <v>44344</v>
      </c>
      <c r="U208" s="529"/>
      <c r="V208" s="529"/>
      <c r="W208" s="529"/>
      <c r="X208" s="415"/>
    </row>
    <row r="209" spans="1:24" x14ac:dyDescent="0.3">
      <c r="A209" s="463"/>
      <c r="B209" s="429"/>
      <c r="C209" s="464"/>
      <c r="D209" s="464"/>
      <c r="E209" s="464"/>
      <c r="F209" s="464"/>
      <c r="G209" s="428"/>
      <c r="H209" s="428"/>
      <c r="I209" s="428"/>
      <c r="J209" s="428"/>
      <c r="K209" s="428"/>
      <c r="L209" s="428"/>
      <c r="M209" s="428"/>
      <c r="N209" s="428"/>
      <c r="O209" s="428"/>
      <c r="P209" s="428"/>
      <c r="Q209" s="428"/>
      <c r="R209" s="428"/>
      <c r="S209" s="428"/>
      <c r="T209" s="428"/>
      <c r="U209" s="427"/>
      <c r="V209" s="427"/>
      <c r="W209" s="427"/>
      <c r="X209" s="415"/>
    </row>
    <row r="210" spans="1:24" s="544" customFormat="1" x14ac:dyDescent="0.3">
      <c r="A210" s="555"/>
      <c r="B210" s="556" t="s">
        <v>71</v>
      </c>
      <c r="C210" s="611"/>
      <c r="D210" s="611"/>
      <c r="E210" s="611"/>
      <c r="F210" s="611"/>
      <c r="G210" s="582"/>
      <c r="H210" s="582"/>
      <c r="I210" s="582"/>
      <c r="J210" s="582"/>
      <c r="K210" s="582"/>
      <c r="L210" s="582"/>
      <c r="M210" s="582"/>
      <c r="N210" s="582"/>
      <c r="O210" s="582"/>
      <c r="P210" s="582"/>
      <c r="Q210" s="582"/>
      <c r="R210" s="582"/>
      <c r="S210" s="582"/>
      <c r="T210" s="575">
        <v>5.2819999999999999E-2</v>
      </c>
      <c r="U210" s="556"/>
      <c r="V210" s="556"/>
      <c r="W210" s="558"/>
      <c r="X210" s="543"/>
    </row>
    <row r="211" spans="1:24" s="544" customFormat="1" x14ac:dyDescent="0.3">
      <c r="A211" s="555"/>
      <c r="B211" s="556" t="s">
        <v>151</v>
      </c>
      <c r="C211" s="611"/>
      <c r="D211" s="611"/>
      <c r="E211" s="611"/>
      <c r="F211" s="611"/>
      <c r="G211" s="582"/>
      <c r="H211" s="582"/>
      <c r="I211" s="582"/>
      <c r="J211" s="582"/>
      <c r="K211" s="582"/>
      <c r="L211" s="582"/>
      <c r="M211" s="582"/>
      <c r="N211" s="582"/>
      <c r="O211" s="582"/>
      <c r="P211" s="582"/>
      <c r="Q211" s="582"/>
      <c r="R211" s="582"/>
      <c r="S211" s="582"/>
      <c r="T211" s="575">
        <v>5.7799999999999997E-2</v>
      </c>
      <c r="U211" s="556"/>
      <c r="V211" s="556"/>
      <c r="W211" s="558"/>
      <c r="X211" s="543"/>
    </row>
    <row r="212" spans="1:24" s="544" customFormat="1" x14ac:dyDescent="0.3">
      <c r="A212" s="555"/>
      <c r="B212" s="556" t="s">
        <v>72</v>
      </c>
      <c r="C212" s="611"/>
      <c r="D212" s="611"/>
      <c r="E212" s="611"/>
      <c r="F212" s="611"/>
      <c r="G212" s="582"/>
      <c r="H212" s="582"/>
      <c r="I212" s="582"/>
      <c r="J212" s="582"/>
      <c r="K212" s="582"/>
      <c r="L212" s="582"/>
      <c r="M212" s="582"/>
      <c r="N212" s="582"/>
      <c r="O212" s="582"/>
      <c r="P212" s="582"/>
      <c r="Q212" s="582"/>
      <c r="R212" s="582"/>
      <c r="S212" s="582"/>
      <c r="T212" s="575">
        <f>T210-T211</f>
        <v>-4.9799999999999983E-3</v>
      </c>
      <c r="U212" s="556"/>
      <c r="V212" s="556"/>
      <c r="W212" s="558"/>
      <c r="X212" s="543"/>
    </row>
    <row r="213" spans="1:24" s="544" customFormat="1" x14ac:dyDescent="0.3">
      <c r="A213" s="555"/>
      <c r="B213" s="556" t="s">
        <v>73</v>
      </c>
      <c r="C213" s="611"/>
      <c r="D213" s="611"/>
      <c r="E213" s="611"/>
      <c r="F213" s="611"/>
      <c r="G213" s="582"/>
      <c r="H213" s="582"/>
      <c r="I213" s="582"/>
      <c r="J213" s="582"/>
      <c r="K213" s="582"/>
      <c r="L213" s="582"/>
      <c r="M213" s="582"/>
      <c r="N213" s="582"/>
      <c r="O213" s="582"/>
      <c r="P213" s="582"/>
      <c r="Q213" s="582"/>
      <c r="R213" s="582"/>
      <c r="S213" s="582"/>
      <c r="T213" s="575">
        <v>0</v>
      </c>
      <c r="U213" s="556"/>
      <c r="V213" s="556"/>
      <c r="W213" s="558"/>
      <c r="X213" s="543"/>
    </row>
    <row r="214" spans="1:24" s="544" customFormat="1" x14ac:dyDescent="0.3">
      <c r="A214" s="555"/>
      <c r="B214" s="556" t="s">
        <v>219</v>
      </c>
      <c r="C214" s="611"/>
      <c r="D214" s="611"/>
      <c r="E214" s="611"/>
      <c r="F214" s="611"/>
      <c r="G214" s="582"/>
      <c r="H214" s="582"/>
      <c r="I214" s="582"/>
      <c r="J214" s="582"/>
      <c r="K214" s="582"/>
      <c r="L214" s="582"/>
      <c r="M214" s="582"/>
      <c r="N214" s="582"/>
      <c r="O214" s="582"/>
      <c r="P214" s="582"/>
      <c r="Q214" s="582"/>
      <c r="R214" s="582"/>
      <c r="S214" s="582"/>
      <c r="T214" s="575">
        <v>0</v>
      </c>
      <c r="U214" s="556"/>
      <c r="V214" s="556"/>
      <c r="W214" s="558"/>
      <c r="X214" s="543"/>
    </row>
    <row r="215" spans="1:24" s="544" customFormat="1" x14ac:dyDescent="0.3">
      <c r="A215" s="555"/>
      <c r="B215" s="556" t="s">
        <v>74</v>
      </c>
      <c r="C215" s="611"/>
      <c r="D215" s="611"/>
      <c r="E215" s="611"/>
      <c r="F215" s="611"/>
      <c r="G215" s="582"/>
      <c r="H215" s="582"/>
      <c r="I215" s="582"/>
      <c r="J215" s="582"/>
      <c r="K215" s="582"/>
      <c r="L215" s="582"/>
      <c r="M215" s="582"/>
      <c r="N215" s="582"/>
      <c r="O215" s="582"/>
      <c r="P215" s="582"/>
      <c r="Q215" s="582"/>
      <c r="R215" s="582"/>
      <c r="S215" s="582"/>
      <c r="T215" s="575">
        <f>T213-T214</f>
        <v>0</v>
      </c>
      <c r="U215" s="556"/>
      <c r="V215" s="556"/>
      <c r="W215" s="558"/>
      <c r="X215" s="543"/>
    </row>
    <row r="216" spans="1:24" s="544" customFormat="1" x14ac:dyDescent="0.3">
      <c r="A216" s="555"/>
      <c r="B216" s="556" t="s">
        <v>242</v>
      </c>
      <c r="C216" s="611"/>
      <c r="D216" s="611"/>
      <c r="E216" s="611"/>
      <c r="F216" s="611"/>
      <c r="G216" s="582"/>
      <c r="H216" s="582"/>
      <c r="I216" s="582"/>
      <c r="J216" s="582"/>
      <c r="K216" s="582"/>
      <c r="L216" s="582"/>
      <c r="M216" s="582"/>
      <c r="N216" s="582"/>
      <c r="O216" s="582"/>
      <c r="P216" s="582"/>
      <c r="Q216" s="582"/>
      <c r="R216" s="582"/>
      <c r="S216" s="582"/>
      <c r="T216" s="575">
        <v>0</v>
      </c>
      <c r="U216" s="556"/>
      <c r="V216" s="556"/>
      <c r="W216" s="558"/>
      <c r="X216" s="543"/>
    </row>
    <row r="217" spans="1:24" s="544" customFormat="1" x14ac:dyDescent="0.3">
      <c r="A217" s="555"/>
      <c r="B217" s="556" t="s">
        <v>208</v>
      </c>
      <c r="C217" s="611"/>
      <c r="D217" s="611"/>
      <c r="E217" s="611"/>
      <c r="F217" s="611"/>
      <c r="G217" s="582"/>
      <c r="H217" s="582"/>
      <c r="I217" s="582"/>
      <c r="J217" s="582"/>
      <c r="K217" s="582"/>
      <c r="L217" s="582"/>
      <c r="M217" s="582"/>
      <c r="N217" s="582"/>
      <c r="O217" s="582"/>
      <c r="P217" s="582"/>
      <c r="Q217" s="582"/>
      <c r="R217" s="582"/>
      <c r="S217" s="582"/>
      <c r="T217" s="612">
        <v>51014</v>
      </c>
      <c r="U217" s="556"/>
      <c r="V217" s="556"/>
      <c r="W217" s="558"/>
      <c r="X217" s="543"/>
    </row>
    <row r="218" spans="1:24" s="544" customFormat="1" x14ac:dyDescent="0.3">
      <c r="A218" s="555"/>
      <c r="B218" s="556" t="s">
        <v>209</v>
      </c>
      <c r="C218" s="611"/>
      <c r="D218" s="611"/>
      <c r="E218" s="611"/>
      <c r="F218" s="611"/>
      <c r="G218" s="582"/>
      <c r="H218" s="582"/>
      <c r="I218" s="582"/>
      <c r="J218" s="582"/>
      <c r="K218" s="582"/>
      <c r="L218" s="582"/>
      <c r="M218" s="582"/>
      <c r="N218" s="582"/>
      <c r="O218" s="582"/>
      <c r="P218" s="582"/>
      <c r="Q218" s="582"/>
      <c r="R218" s="582"/>
      <c r="S218" s="582"/>
      <c r="T218" s="612">
        <v>51014</v>
      </c>
      <c r="U218" s="556"/>
      <c r="V218" s="556"/>
      <c r="W218" s="558"/>
      <c r="X218" s="543"/>
    </row>
    <row r="219" spans="1:24" s="544" customFormat="1" x14ac:dyDescent="0.3">
      <c r="A219" s="555"/>
      <c r="B219" s="556" t="s">
        <v>210</v>
      </c>
      <c r="C219" s="611"/>
      <c r="D219" s="611"/>
      <c r="E219" s="611"/>
      <c r="F219" s="611"/>
      <c r="G219" s="582"/>
      <c r="H219" s="582"/>
      <c r="I219" s="582"/>
      <c r="J219" s="582"/>
      <c r="K219" s="582"/>
      <c r="L219" s="582"/>
      <c r="M219" s="582"/>
      <c r="N219" s="582"/>
      <c r="O219" s="582"/>
      <c r="P219" s="582"/>
      <c r="Q219" s="582"/>
      <c r="R219" s="582"/>
      <c r="S219" s="582"/>
      <c r="T219" s="612">
        <v>51014</v>
      </c>
      <c r="U219" s="556"/>
      <c r="V219" s="556"/>
      <c r="W219" s="558"/>
      <c r="X219" s="543"/>
    </row>
    <row r="220" spans="1:24" s="544" customFormat="1" x14ac:dyDescent="0.3">
      <c r="A220" s="555"/>
      <c r="B220" s="556" t="s">
        <v>75</v>
      </c>
      <c r="C220" s="611"/>
      <c r="D220" s="611"/>
      <c r="E220" s="611"/>
      <c r="F220" s="611"/>
      <c r="G220" s="582"/>
      <c r="H220" s="582"/>
      <c r="I220" s="582"/>
      <c r="J220" s="582"/>
      <c r="K220" s="582"/>
      <c r="L220" s="582"/>
      <c r="M220" s="582"/>
      <c r="N220" s="582"/>
      <c r="O220" s="582"/>
      <c r="P220" s="582"/>
      <c r="Q220" s="582"/>
      <c r="R220" s="582"/>
      <c r="S220" s="582"/>
      <c r="T220" s="580">
        <v>20.66</v>
      </c>
      <c r="U220" s="556" t="s">
        <v>110</v>
      </c>
      <c r="V220" s="556"/>
      <c r="W220" s="558"/>
      <c r="X220" s="543"/>
    </row>
    <row r="221" spans="1:24" s="544" customFormat="1" x14ac:dyDescent="0.3">
      <c r="A221" s="555"/>
      <c r="B221" s="556" t="s">
        <v>76</v>
      </c>
      <c r="C221" s="611"/>
      <c r="D221" s="611"/>
      <c r="E221" s="611"/>
      <c r="F221" s="611"/>
      <c r="G221" s="582"/>
      <c r="H221" s="582"/>
      <c r="I221" s="582"/>
      <c r="J221" s="582"/>
      <c r="K221" s="582"/>
      <c r="L221" s="582"/>
      <c r="M221" s="582"/>
      <c r="N221" s="582"/>
      <c r="O221" s="582"/>
      <c r="P221" s="582"/>
      <c r="Q221" s="582"/>
      <c r="R221" s="582"/>
      <c r="S221" s="582"/>
      <c r="T221" s="580">
        <v>0</v>
      </c>
      <c r="U221" s="556" t="s">
        <v>110</v>
      </c>
      <c r="V221" s="556"/>
      <c r="W221" s="558"/>
      <c r="X221" s="543"/>
    </row>
    <row r="222" spans="1:24" s="544" customFormat="1" x14ac:dyDescent="0.3">
      <c r="A222" s="555"/>
      <c r="B222" s="556" t="s">
        <v>77</v>
      </c>
      <c r="C222" s="611"/>
      <c r="D222" s="611"/>
      <c r="E222" s="611"/>
      <c r="F222" s="611"/>
      <c r="G222" s="582"/>
      <c r="H222" s="582"/>
      <c r="I222" s="582"/>
      <c r="J222" s="582"/>
      <c r="K222" s="582"/>
      <c r="L222" s="582"/>
      <c r="M222" s="582"/>
      <c r="N222" s="582"/>
      <c r="O222" s="582"/>
      <c r="P222" s="582"/>
      <c r="Q222" s="582"/>
      <c r="R222" s="582"/>
      <c r="S222" s="582"/>
      <c r="T222" s="575">
        <v>1</v>
      </c>
      <c r="U222" s="556"/>
      <c r="V222" s="556"/>
      <c r="W222" s="558"/>
      <c r="X222" s="543"/>
    </row>
    <row r="223" spans="1:24" s="544" customFormat="1" x14ac:dyDescent="0.3">
      <c r="A223" s="555"/>
      <c r="B223" s="556" t="s">
        <v>78</v>
      </c>
      <c r="C223" s="611"/>
      <c r="D223" s="611"/>
      <c r="E223" s="611"/>
      <c r="F223" s="611"/>
      <c r="G223" s="582"/>
      <c r="H223" s="582"/>
      <c r="I223" s="582"/>
      <c r="J223" s="582"/>
      <c r="K223" s="582"/>
      <c r="L223" s="582"/>
      <c r="M223" s="582"/>
      <c r="N223" s="582"/>
      <c r="O223" s="582"/>
      <c r="P223" s="582"/>
      <c r="Q223" s="582"/>
      <c r="R223" s="582"/>
      <c r="S223" s="582"/>
      <c r="T223" s="575">
        <v>1</v>
      </c>
      <c r="U223" s="556"/>
      <c r="V223" s="556"/>
      <c r="W223" s="558"/>
      <c r="X223" s="543"/>
    </row>
    <row r="224" spans="1:24" x14ac:dyDescent="0.3">
      <c r="A224" s="463"/>
      <c r="B224" s="437"/>
      <c r="C224" s="437"/>
      <c r="D224" s="437"/>
      <c r="E224" s="437"/>
      <c r="F224" s="437"/>
      <c r="G224" s="437"/>
      <c r="H224" s="437"/>
      <c r="I224" s="437"/>
      <c r="J224" s="437"/>
      <c r="K224" s="437"/>
      <c r="L224" s="437"/>
      <c r="M224" s="437"/>
      <c r="N224" s="437"/>
      <c r="O224" s="437"/>
      <c r="P224" s="437"/>
      <c r="Q224" s="437"/>
      <c r="R224" s="437"/>
      <c r="S224" s="437"/>
      <c r="T224" s="454"/>
      <c r="U224" s="437"/>
      <c r="V224" s="465"/>
      <c r="W224" s="437"/>
      <c r="X224" s="415"/>
    </row>
    <row r="225" spans="1:24" x14ac:dyDescent="0.3">
      <c r="A225" s="533"/>
      <c r="B225" s="523" t="s">
        <v>79</v>
      </c>
      <c r="C225" s="524"/>
      <c r="D225" s="524"/>
      <c r="E225" s="524"/>
      <c r="F225" s="534"/>
      <c r="G225" s="524"/>
      <c r="H225" s="524"/>
      <c r="I225" s="524"/>
      <c r="J225" s="524"/>
      <c r="K225" s="524"/>
      <c r="L225" s="524"/>
      <c r="M225" s="524"/>
      <c r="N225" s="524"/>
      <c r="O225" s="524"/>
      <c r="P225" s="524"/>
      <c r="Q225" s="524"/>
      <c r="R225" s="524"/>
      <c r="S225" s="524" t="s">
        <v>102</v>
      </c>
      <c r="T225" s="534" t="s">
        <v>108</v>
      </c>
      <c r="U225" s="517"/>
      <c r="V225" s="517"/>
      <c r="W225" s="520"/>
      <c r="X225" s="415"/>
    </row>
    <row r="226" spans="1:24" s="544" customFormat="1" x14ac:dyDescent="0.3">
      <c r="A226" s="613"/>
      <c r="B226" s="588" t="s">
        <v>80</v>
      </c>
      <c r="C226" s="600"/>
      <c r="D226" s="600"/>
      <c r="E226" s="600"/>
      <c r="F226" s="588"/>
      <c r="G226" s="588"/>
      <c r="H226" s="614"/>
      <c r="I226" s="614"/>
      <c r="J226" s="614"/>
      <c r="K226" s="614"/>
      <c r="L226" s="614"/>
      <c r="M226" s="614"/>
      <c r="N226" s="614"/>
      <c r="O226" s="614"/>
      <c r="P226" s="614"/>
      <c r="Q226" s="614"/>
      <c r="R226" s="614"/>
      <c r="S226" s="614">
        <v>0</v>
      </c>
      <c r="T226" s="615">
        <v>0</v>
      </c>
      <c r="U226" s="588"/>
      <c r="V226" s="616"/>
      <c r="W226" s="617"/>
      <c r="X226" s="543"/>
    </row>
    <row r="227" spans="1:24" s="544" customFormat="1" x14ac:dyDescent="0.3">
      <c r="A227" s="618"/>
      <c r="B227" s="556" t="s">
        <v>145</v>
      </c>
      <c r="C227" s="598"/>
      <c r="D227" s="598"/>
      <c r="E227" s="598"/>
      <c r="F227" s="556"/>
      <c r="G227" s="556"/>
      <c r="H227" s="562"/>
      <c r="I227" s="562"/>
      <c r="J227" s="562"/>
      <c r="K227" s="562"/>
      <c r="L227" s="562"/>
      <c r="M227" s="562"/>
      <c r="N227" s="562"/>
      <c r="O227" s="562"/>
      <c r="P227" s="562"/>
      <c r="Q227" s="562"/>
      <c r="R227" s="562"/>
      <c r="S227" s="619">
        <f>+R279</f>
        <v>0</v>
      </c>
      <c r="T227" s="620">
        <f>+T279</f>
        <v>0</v>
      </c>
      <c r="U227" s="556"/>
      <c r="V227" s="621"/>
      <c r="W227" s="622"/>
      <c r="X227" s="543"/>
    </row>
    <row r="228" spans="1:24" s="544" customFormat="1" x14ac:dyDescent="0.3">
      <c r="A228" s="618"/>
      <c r="B228" s="556" t="s">
        <v>81</v>
      </c>
      <c r="C228" s="598"/>
      <c r="D228" s="598"/>
      <c r="E228" s="598"/>
      <c r="F228" s="556"/>
      <c r="G228" s="556"/>
      <c r="H228" s="562"/>
      <c r="I228" s="562"/>
      <c r="J228" s="562"/>
      <c r="K228" s="562"/>
      <c r="L228" s="562"/>
      <c r="M228" s="562"/>
      <c r="N228" s="562"/>
      <c r="O228" s="562"/>
      <c r="P228" s="562"/>
      <c r="Q228" s="562"/>
      <c r="R228" s="562"/>
      <c r="S228" s="619">
        <f>+R301</f>
        <v>0</v>
      </c>
      <c r="T228" s="620">
        <f>+T301</f>
        <v>0</v>
      </c>
      <c r="U228" s="556"/>
      <c r="V228" s="621"/>
      <c r="W228" s="622"/>
      <c r="X228" s="543"/>
    </row>
    <row r="229" spans="1:24" x14ac:dyDescent="0.3">
      <c r="A229" s="466"/>
      <c r="B229" s="493" t="s">
        <v>82</v>
      </c>
      <c r="C229" s="467"/>
      <c r="D229" s="467"/>
      <c r="E229" s="467"/>
      <c r="F229" s="434"/>
      <c r="G229" s="434"/>
      <c r="H229" s="434"/>
      <c r="I229" s="434"/>
      <c r="J229" s="434"/>
      <c r="K229" s="434"/>
      <c r="L229" s="434"/>
      <c r="M229" s="434"/>
      <c r="N229" s="434"/>
      <c r="O229" s="434"/>
      <c r="P229" s="434"/>
      <c r="Q229" s="434"/>
      <c r="R229" s="434"/>
      <c r="S229" s="434"/>
      <c r="T229" s="620">
        <v>0</v>
      </c>
      <c r="U229" s="434"/>
      <c r="V229" s="468"/>
      <c r="W229" s="469"/>
      <c r="X229" s="415"/>
    </row>
    <row r="230" spans="1:24" x14ac:dyDescent="0.3">
      <c r="A230" s="466"/>
      <c r="B230" s="493" t="s">
        <v>243</v>
      </c>
      <c r="C230" s="467"/>
      <c r="D230" s="467"/>
      <c r="E230" s="467"/>
      <c r="F230" s="434"/>
      <c r="G230" s="434"/>
      <c r="H230" s="434"/>
      <c r="I230" s="434"/>
      <c r="J230" s="434"/>
      <c r="K230" s="434"/>
      <c r="L230" s="434"/>
      <c r="M230" s="434"/>
      <c r="N230" s="434"/>
      <c r="O230" s="434"/>
      <c r="P230" s="434"/>
      <c r="Q230" s="434"/>
      <c r="R230" s="434"/>
      <c r="S230" s="434"/>
      <c r="T230" s="620">
        <f>+N80</f>
        <v>0</v>
      </c>
      <c r="U230" s="434"/>
      <c r="V230" s="468"/>
      <c r="W230" s="469"/>
      <c r="X230" s="415"/>
    </row>
    <row r="231" spans="1:24" x14ac:dyDescent="0.3">
      <c r="A231" s="470"/>
      <c r="B231" s="493" t="s">
        <v>83</v>
      </c>
      <c r="C231" s="471"/>
      <c r="D231" s="471"/>
      <c r="E231" s="471"/>
      <c r="F231" s="471"/>
      <c r="G231" s="434"/>
      <c r="H231" s="434"/>
      <c r="I231" s="434"/>
      <c r="J231" s="434"/>
      <c r="K231" s="434"/>
      <c r="L231" s="434"/>
      <c r="M231" s="434"/>
      <c r="N231" s="434"/>
      <c r="O231" s="434"/>
      <c r="P231" s="434"/>
      <c r="Q231" s="434"/>
      <c r="R231" s="434"/>
      <c r="S231" s="434"/>
      <c r="T231" s="472"/>
      <c r="U231" s="434"/>
      <c r="V231" s="468"/>
      <c r="W231" s="473"/>
      <c r="X231" s="415"/>
    </row>
    <row r="232" spans="1:24" s="544" customFormat="1" x14ac:dyDescent="0.3">
      <c r="A232" s="623"/>
      <c r="B232" s="556" t="s">
        <v>84</v>
      </c>
      <c r="C232" s="556"/>
      <c r="D232" s="556"/>
      <c r="E232" s="556"/>
      <c r="F232" s="556"/>
      <c r="G232" s="556"/>
      <c r="H232" s="556"/>
      <c r="I232" s="556"/>
      <c r="J232" s="556"/>
      <c r="K232" s="556"/>
      <c r="L232" s="556"/>
      <c r="M232" s="556"/>
      <c r="N232" s="556"/>
      <c r="O232" s="556"/>
      <c r="P232" s="556"/>
      <c r="Q232" s="556"/>
      <c r="R232" s="556"/>
      <c r="S232" s="562"/>
      <c r="T232" s="620">
        <f>V170</f>
        <v>109</v>
      </c>
      <c r="U232" s="556"/>
      <c r="V232" s="621"/>
      <c r="W232" s="624"/>
      <c r="X232" s="543"/>
    </row>
    <row r="233" spans="1:24" s="544" customFormat="1" x14ac:dyDescent="0.3">
      <c r="A233" s="618"/>
      <c r="B233" s="556" t="s">
        <v>85</v>
      </c>
      <c r="C233" s="598"/>
      <c r="D233" s="598"/>
      <c r="E233" s="598"/>
      <c r="F233" s="598"/>
      <c r="G233" s="556"/>
      <c r="H233" s="556"/>
      <c r="I233" s="556"/>
      <c r="J233" s="556"/>
      <c r="K233" s="556"/>
      <c r="L233" s="556"/>
      <c r="M233" s="556"/>
      <c r="N233" s="556"/>
      <c r="O233" s="556"/>
      <c r="P233" s="556"/>
      <c r="Q233" s="556"/>
      <c r="R233" s="556"/>
      <c r="S233" s="562"/>
      <c r="T233" s="620">
        <f>'Feb 21'!T232+T232</f>
        <v>10109</v>
      </c>
      <c r="U233" s="556"/>
      <c r="V233" s="621"/>
      <c r="W233" s="624"/>
      <c r="X233" s="543"/>
    </row>
    <row r="234" spans="1:24" x14ac:dyDescent="0.3">
      <c r="A234" s="470"/>
      <c r="B234" s="493" t="s">
        <v>295</v>
      </c>
      <c r="C234" s="471"/>
      <c r="D234" s="471"/>
      <c r="E234" s="471"/>
      <c r="F234" s="471"/>
      <c r="G234" s="434"/>
      <c r="H234" s="434"/>
      <c r="I234" s="434"/>
      <c r="J234" s="434"/>
      <c r="K234" s="434"/>
      <c r="L234" s="434"/>
      <c r="M234" s="434"/>
      <c r="N234" s="434"/>
      <c r="O234" s="434"/>
      <c r="P234" s="434"/>
      <c r="Q234" s="434"/>
      <c r="R234" s="434"/>
      <c r="S234" s="435"/>
      <c r="T234" s="472"/>
      <c r="U234" s="434"/>
      <c r="V234" s="468"/>
      <c r="W234" s="473"/>
      <c r="X234" s="415"/>
    </row>
    <row r="235" spans="1:24" s="544" customFormat="1" x14ac:dyDescent="0.3">
      <c r="A235" s="623"/>
      <c r="B235" s="556" t="s">
        <v>291</v>
      </c>
      <c r="C235" s="556"/>
      <c r="D235" s="556"/>
      <c r="E235" s="556"/>
      <c r="F235" s="556"/>
      <c r="G235" s="556"/>
      <c r="H235" s="556"/>
      <c r="I235" s="556"/>
      <c r="J235" s="556"/>
      <c r="K235" s="556"/>
      <c r="L235" s="556"/>
      <c r="M235" s="556"/>
      <c r="N235" s="556"/>
      <c r="O235" s="556"/>
      <c r="P235" s="556"/>
      <c r="Q235" s="556"/>
      <c r="R235" s="556"/>
      <c r="S235" s="562">
        <v>0</v>
      </c>
      <c r="T235" s="620">
        <v>0</v>
      </c>
      <c r="U235" s="556"/>
      <c r="V235" s="621"/>
      <c r="W235" s="624"/>
      <c r="X235" s="543"/>
    </row>
    <row r="236" spans="1:24" s="544" customFormat="1" x14ac:dyDescent="0.3">
      <c r="A236" s="618"/>
      <c r="B236" s="556" t="s">
        <v>86</v>
      </c>
      <c r="C236" s="578"/>
      <c r="D236" s="578"/>
      <c r="E236" s="578"/>
      <c r="F236" s="625"/>
      <c r="G236" s="556"/>
      <c r="H236" s="556"/>
      <c r="I236" s="556"/>
      <c r="J236" s="556"/>
      <c r="K236" s="556"/>
      <c r="L236" s="556"/>
      <c r="M236" s="556"/>
      <c r="N236" s="556"/>
      <c r="O236" s="556"/>
      <c r="P236" s="556"/>
      <c r="Q236" s="556"/>
      <c r="R236" s="556"/>
      <c r="S236" s="556"/>
      <c r="T236" s="626">
        <v>0</v>
      </c>
      <c r="U236" s="556"/>
      <c r="V236" s="621"/>
      <c r="W236" s="624"/>
      <c r="X236" s="543"/>
    </row>
    <row r="237" spans="1:24" s="544" customFormat="1" x14ac:dyDescent="0.3">
      <c r="A237" s="618"/>
      <c r="B237" s="556" t="s">
        <v>87</v>
      </c>
      <c r="C237" s="578"/>
      <c r="D237" s="578"/>
      <c r="E237" s="578"/>
      <c r="F237" s="625"/>
      <c r="G237" s="556"/>
      <c r="H237" s="556"/>
      <c r="I237" s="556"/>
      <c r="J237" s="556"/>
      <c r="K237" s="556"/>
      <c r="L237" s="556"/>
      <c r="M237" s="556"/>
      <c r="N237" s="556"/>
      <c r="O237" s="556"/>
      <c r="P237" s="556"/>
      <c r="Q237" s="556"/>
      <c r="R237" s="556"/>
      <c r="S237" s="556"/>
      <c r="T237" s="626">
        <v>0</v>
      </c>
      <c r="U237" s="556"/>
      <c r="V237" s="621"/>
      <c r="W237" s="624"/>
      <c r="X237" s="543"/>
    </row>
    <row r="238" spans="1:24" x14ac:dyDescent="0.3">
      <c r="A238" s="466"/>
      <c r="B238" s="493" t="s">
        <v>217</v>
      </c>
      <c r="C238" s="474"/>
      <c r="D238" s="474"/>
      <c r="E238" s="474"/>
      <c r="F238" s="475"/>
      <c r="G238" s="434"/>
      <c r="H238" s="434"/>
      <c r="I238" s="434"/>
      <c r="J238" s="434"/>
      <c r="K238" s="434"/>
      <c r="L238" s="434"/>
      <c r="M238" s="434"/>
      <c r="N238" s="434"/>
      <c r="O238" s="434"/>
      <c r="P238" s="434"/>
      <c r="Q238" s="434"/>
      <c r="R238" s="434"/>
      <c r="S238" s="434"/>
      <c r="T238" s="476"/>
      <c r="U238" s="434"/>
      <c r="V238" s="468"/>
      <c r="W238" s="473"/>
      <c r="X238" s="415"/>
    </row>
    <row r="239" spans="1:24" s="544" customFormat="1" x14ac:dyDescent="0.3">
      <c r="A239" s="618"/>
      <c r="B239" s="556" t="s">
        <v>291</v>
      </c>
      <c r="C239" s="578"/>
      <c r="D239" s="578"/>
      <c r="E239" s="578"/>
      <c r="F239" s="625"/>
      <c r="G239" s="556"/>
      <c r="H239" s="556"/>
      <c r="I239" s="556"/>
      <c r="J239" s="556"/>
      <c r="K239" s="556"/>
      <c r="L239" s="556"/>
      <c r="M239" s="556"/>
      <c r="N239" s="556"/>
      <c r="O239" s="556"/>
      <c r="P239" s="556"/>
      <c r="Q239" s="556"/>
      <c r="R239" s="556"/>
      <c r="S239" s="562">
        <v>2</v>
      </c>
      <c r="T239" s="620">
        <v>366</v>
      </c>
      <c r="U239" s="556"/>
      <c r="V239" s="621"/>
      <c r="W239" s="624"/>
      <c r="X239" s="543"/>
    </row>
    <row r="240" spans="1:24" s="544" customFormat="1" x14ac:dyDescent="0.3">
      <c r="A240" s="618"/>
      <c r="B240" s="556" t="s">
        <v>218</v>
      </c>
      <c r="C240" s="578"/>
      <c r="D240" s="578"/>
      <c r="E240" s="578"/>
      <c r="F240" s="625"/>
      <c r="G240" s="556"/>
      <c r="H240" s="556"/>
      <c r="I240" s="556"/>
      <c r="J240" s="556"/>
      <c r="K240" s="556"/>
      <c r="L240" s="556"/>
      <c r="M240" s="556"/>
      <c r="N240" s="556"/>
      <c r="O240" s="556"/>
      <c r="P240" s="556"/>
      <c r="Q240" s="556"/>
      <c r="R240" s="556"/>
      <c r="S240" s="556"/>
      <c r="T240" s="626">
        <v>0</v>
      </c>
      <c r="U240" s="556"/>
      <c r="V240" s="621"/>
      <c r="W240" s="624"/>
      <c r="X240" s="543"/>
    </row>
    <row r="241" spans="1:25" x14ac:dyDescent="0.3">
      <c r="A241" s="466"/>
      <c r="B241" s="471"/>
      <c r="C241" s="474"/>
      <c r="D241" s="474"/>
      <c r="E241" s="474"/>
      <c r="F241" s="475"/>
      <c r="G241" s="434"/>
      <c r="H241" s="434"/>
      <c r="I241" s="434"/>
      <c r="J241" s="434"/>
      <c r="K241" s="434"/>
      <c r="L241" s="434"/>
      <c r="M241" s="434"/>
      <c r="N241" s="434"/>
      <c r="O241" s="434"/>
      <c r="P241" s="434"/>
      <c r="Q241" s="434"/>
      <c r="R241" s="434"/>
      <c r="S241" s="434"/>
      <c r="T241" s="476"/>
      <c r="U241" s="434"/>
      <c r="V241" s="468"/>
      <c r="W241" s="473"/>
      <c r="X241" s="415"/>
    </row>
    <row r="242" spans="1:25" x14ac:dyDescent="0.3">
      <c r="A242" s="466"/>
      <c r="B242" s="471"/>
      <c r="C242" s="474"/>
      <c r="D242" s="474"/>
      <c r="E242" s="474"/>
      <c r="F242" s="475"/>
      <c r="G242" s="434"/>
      <c r="H242" s="434"/>
      <c r="I242" s="434"/>
      <c r="J242" s="434"/>
      <c r="K242" s="434"/>
      <c r="L242" s="434"/>
      <c r="M242" s="434"/>
      <c r="N242" s="434"/>
      <c r="O242" s="434"/>
      <c r="P242" s="434"/>
      <c r="Q242" s="434"/>
      <c r="R242" s="434"/>
      <c r="S242" s="434"/>
      <c r="T242" s="476"/>
      <c r="U242" s="434"/>
      <c r="V242" s="468"/>
      <c r="W242" s="473"/>
      <c r="X242" s="415"/>
    </row>
    <row r="243" spans="1:25" ht="18" x14ac:dyDescent="0.35">
      <c r="A243" s="466"/>
      <c r="B243" s="512" t="s">
        <v>168</v>
      </c>
      <c r="C243" s="474"/>
      <c r="D243" s="474"/>
      <c r="E243" s="474"/>
      <c r="F243" s="475"/>
      <c r="G243" s="434"/>
      <c r="H243" s="434"/>
      <c r="I243" s="434"/>
      <c r="J243" s="434"/>
      <c r="K243" s="434"/>
      <c r="L243" s="434"/>
      <c r="M243" s="434"/>
      <c r="N243" s="434"/>
      <c r="O243" s="434"/>
      <c r="P243" s="513" t="s">
        <v>371</v>
      </c>
      <c r="Q243" s="434"/>
      <c r="R243" s="434"/>
      <c r="S243" s="434"/>
      <c r="T243" s="476"/>
      <c r="U243" s="434"/>
      <c r="V243" s="468"/>
      <c r="W243" s="473"/>
      <c r="X243" s="415"/>
    </row>
    <row r="244" spans="1:25" x14ac:dyDescent="0.3">
      <c r="A244" s="477"/>
      <c r="B244" s="511"/>
      <c r="C244" s="478"/>
      <c r="D244" s="478"/>
      <c r="E244" s="478"/>
      <c r="F244" s="479"/>
      <c r="G244" s="441"/>
      <c r="H244" s="441"/>
      <c r="I244" s="441"/>
      <c r="J244" s="441"/>
      <c r="K244" s="441"/>
      <c r="L244" s="441"/>
      <c r="M244" s="441"/>
      <c r="N244" s="441"/>
      <c r="O244" s="441"/>
      <c r="P244" s="441"/>
      <c r="Q244" s="441"/>
      <c r="R244" s="441"/>
      <c r="S244" s="441"/>
      <c r="T244" s="480"/>
      <c r="U244" s="441"/>
      <c r="V244" s="481"/>
      <c r="W244" s="482"/>
      <c r="X244" s="415"/>
    </row>
    <row r="245" spans="1:25" x14ac:dyDescent="0.3">
      <c r="A245" s="515"/>
      <c r="B245" s="523" t="s">
        <v>308</v>
      </c>
      <c r="C245" s="524"/>
      <c r="D245" s="524"/>
      <c r="E245" s="524"/>
      <c r="F245" s="534"/>
      <c r="G245" s="524"/>
      <c r="H245" s="524"/>
      <c r="I245" s="524"/>
      <c r="J245" s="524"/>
      <c r="K245" s="524"/>
      <c r="L245" s="524"/>
      <c r="M245" s="524"/>
      <c r="N245" s="524"/>
      <c r="O245" s="524"/>
      <c r="P245" s="524"/>
      <c r="Q245" s="524"/>
      <c r="R245" s="534" t="s">
        <v>102</v>
      </c>
      <c r="S245" s="524" t="s">
        <v>103</v>
      </c>
      <c r="T245" s="534" t="s">
        <v>109</v>
      </c>
      <c r="U245" s="524" t="s">
        <v>103</v>
      </c>
      <c r="V245" s="517"/>
      <c r="W245" s="535"/>
      <c r="X245" s="415"/>
    </row>
    <row r="246" spans="1:25" s="544" customFormat="1" x14ac:dyDescent="0.3">
      <c r="A246" s="540"/>
      <c r="B246" s="600" t="s">
        <v>88</v>
      </c>
      <c r="C246" s="627"/>
      <c r="D246" s="627"/>
      <c r="E246" s="627"/>
      <c r="F246" s="588"/>
      <c r="G246" s="627"/>
      <c r="H246" s="627"/>
      <c r="I246" s="627"/>
      <c r="J246" s="627"/>
      <c r="K246" s="627"/>
      <c r="L246" s="627"/>
      <c r="M246" s="627"/>
      <c r="N246" s="627"/>
      <c r="O246" s="627"/>
      <c r="P246" s="627"/>
      <c r="Q246" s="627"/>
      <c r="R246" s="600">
        <f t="shared" ref="R246:R253" si="1">+R258+R270+R292</f>
        <v>0</v>
      </c>
      <c r="S246" s="628">
        <v>0</v>
      </c>
      <c r="T246" s="601">
        <f t="shared" ref="T246:T253" si="2">+T258+T270+T292</f>
        <v>0</v>
      </c>
      <c r="U246" s="628">
        <v>0</v>
      </c>
      <c r="V246" s="616"/>
      <c r="W246" s="629"/>
      <c r="X246" s="543"/>
    </row>
    <row r="247" spans="1:25" s="544" customFormat="1" x14ac:dyDescent="0.3">
      <c r="A247" s="555"/>
      <c r="B247" s="598" t="s">
        <v>89</v>
      </c>
      <c r="C247" s="630"/>
      <c r="D247" s="630"/>
      <c r="E247" s="630"/>
      <c r="F247" s="556"/>
      <c r="G247" s="631"/>
      <c r="H247" s="630"/>
      <c r="I247" s="630"/>
      <c r="J247" s="630"/>
      <c r="K247" s="630"/>
      <c r="L247" s="630"/>
      <c r="M247" s="630"/>
      <c r="N247" s="630"/>
      <c r="O247" s="630"/>
      <c r="P247" s="630"/>
      <c r="Q247" s="630"/>
      <c r="R247" s="598">
        <f t="shared" si="1"/>
        <v>0</v>
      </c>
      <c r="S247" s="631">
        <v>0</v>
      </c>
      <c r="T247" s="599">
        <f t="shared" si="2"/>
        <v>0</v>
      </c>
      <c r="U247" s="631">
        <v>0</v>
      </c>
      <c r="V247" s="621"/>
      <c r="W247" s="624"/>
      <c r="X247" s="543"/>
      <c r="Y247" s="604"/>
    </row>
    <row r="248" spans="1:25" s="544" customFormat="1" x14ac:dyDescent="0.3">
      <c r="A248" s="555"/>
      <c r="B248" s="598" t="s">
        <v>90</v>
      </c>
      <c r="C248" s="630"/>
      <c r="D248" s="630"/>
      <c r="E248" s="630"/>
      <c r="F248" s="556"/>
      <c r="G248" s="631"/>
      <c r="H248" s="630"/>
      <c r="I248" s="630"/>
      <c r="J248" s="630"/>
      <c r="K248" s="630"/>
      <c r="L248" s="630"/>
      <c r="M248" s="630"/>
      <c r="N248" s="630"/>
      <c r="O248" s="630"/>
      <c r="P248" s="630"/>
      <c r="Q248" s="630"/>
      <c r="R248" s="598">
        <f t="shared" si="1"/>
        <v>0</v>
      </c>
      <c r="S248" s="631">
        <v>0</v>
      </c>
      <c r="T248" s="599">
        <f t="shared" si="2"/>
        <v>0</v>
      </c>
      <c r="U248" s="631">
        <v>0</v>
      </c>
      <c r="V248" s="621"/>
      <c r="W248" s="624"/>
      <c r="X248" s="543"/>
    </row>
    <row r="249" spans="1:25" s="544" customFormat="1" x14ac:dyDescent="0.3">
      <c r="A249" s="555"/>
      <c r="B249" s="598" t="s">
        <v>156</v>
      </c>
      <c r="C249" s="630"/>
      <c r="D249" s="630"/>
      <c r="E249" s="630"/>
      <c r="F249" s="556"/>
      <c r="G249" s="631"/>
      <c r="H249" s="630"/>
      <c r="I249" s="630"/>
      <c r="J249" s="630"/>
      <c r="K249" s="630"/>
      <c r="L249" s="630"/>
      <c r="M249" s="630"/>
      <c r="N249" s="630"/>
      <c r="O249" s="630"/>
      <c r="P249" s="630"/>
      <c r="Q249" s="630"/>
      <c r="R249" s="598">
        <f t="shared" si="1"/>
        <v>0</v>
      </c>
      <c r="S249" s="631">
        <v>0</v>
      </c>
      <c r="T249" s="599">
        <f t="shared" si="2"/>
        <v>0</v>
      </c>
      <c r="U249" s="631">
        <v>0</v>
      </c>
      <c r="V249" s="621"/>
      <c r="W249" s="624"/>
      <c r="X249" s="543"/>
      <c r="Y249" s="604"/>
    </row>
    <row r="250" spans="1:25" s="544" customFormat="1" x14ac:dyDescent="0.3">
      <c r="A250" s="555"/>
      <c r="B250" s="598" t="s">
        <v>157</v>
      </c>
      <c r="C250" s="630"/>
      <c r="D250" s="630"/>
      <c r="E250" s="630"/>
      <c r="F250" s="556"/>
      <c r="G250" s="631"/>
      <c r="H250" s="630"/>
      <c r="I250" s="630"/>
      <c r="J250" s="630"/>
      <c r="K250" s="630"/>
      <c r="L250" s="630"/>
      <c r="M250" s="630"/>
      <c r="N250" s="630"/>
      <c r="O250" s="630"/>
      <c r="P250" s="630"/>
      <c r="Q250" s="630"/>
      <c r="R250" s="598">
        <f t="shared" si="1"/>
        <v>0</v>
      </c>
      <c r="S250" s="631">
        <v>0</v>
      </c>
      <c r="T250" s="599">
        <f t="shared" si="2"/>
        <v>0</v>
      </c>
      <c r="U250" s="631">
        <v>0</v>
      </c>
      <c r="V250" s="621"/>
      <c r="W250" s="624"/>
      <c r="X250" s="543"/>
    </row>
    <row r="251" spans="1:25" s="544" customFormat="1" x14ac:dyDescent="0.3">
      <c r="A251" s="555"/>
      <c r="B251" s="598" t="s">
        <v>158</v>
      </c>
      <c r="C251" s="630"/>
      <c r="D251" s="630"/>
      <c r="E251" s="630"/>
      <c r="F251" s="556"/>
      <c r="G251" s="631"/>
      <c r="H251" s="630"/>
      <c r="I251" s="630"/>
      <c r="J251" s="630"/>
      <c r="K251" s="630"/>
      <c r="L251" s="630"/>
      <c r="M251" s="630"/>
      <c r="N251" s="630"/>
      <c r="O251" s="630"/>
      <c r="P251" s="630"/>
      <c r="Q251" s="630"/>
      <c r="R251" s="598">
        <f t="shared" si="1"/>
        <v>0</v>
      </c>
      <c r="S251" s="631">
        <v>0</v>
      </c>
      <c r="T251" s="599">
        <f t="shared" si="2"/>
        <v>0</v>
      </c>
      <c r="U251" s="631">
        <v>0</v>
      </c>
      <c r="V251" s="621"/>
      <c r="W251" s="624"/>
      <c r="X251" s="543"/>
      <c r="Y251" s="604"/>
    </row>
    <row r="252" spans="1:25" s="544" customFormat="1" x14ac:dyDescent="0.3">
      <c r="A252" s="555"/>
      <c r="B252" s="598" t="s">
        <v>159</v>
      </c>
      <c r="C252" s="630"/>
      <c r="D252" s="630"/>
      <c r="E252" s="630"/>
      <c r="F252" s="556"/>
      <c r="G252" s="631"/>
      <c r="H252" s="630"/>
      <c r="I252" s="630"/>
      <c r="J252" s="630"/>
      <c r="K252" s="630"/>
      <c r="L252" s="630"/>
      <c r="M252" s="630"/>
      <c r="N252" s="630"/>
      <c r="O252" s="630"/>
      <c r="P252" s="630"/>
      <c r="Q252" s="630"/>
      <c r="R252" s="598">
        <f t="shared" si="1"/>
        <v>0</v>
      </c>
      <c r="S252" s="631">
        <v>0</v>
      </c>
      <c r="T252" s="599">
        <f t="shared" si="2"/>
        <v>0</v>
      </c>
      <c r="U252" s="631">
        <v>0</v>
      </c>
      <c r="V252" s="621"/>
      <c r="W252" s="624"/>
      <c r="X252" s="543"/>
    </row>
    <row r="253" spans="1:25" s="544" customFormat="1" x14ac:dyDescent="0.3">
      <c r="A253" s="555"/>
      <c r="B253" s="598" t="s">
        <v>160</v>
      </c>
      <c r="C253" s="630"/>
      <c r="D253" s="630"/>
      <c r="E253" s="630"/>
      <c r="F253" s="556"/>
      <c r="G253" s="631"/>
      <c r="H253" s="630"/>
      <c r="I253" s="630"/>
      <c r="J253" s="630"/>
      <c r="K253" s="630"/>
      <c r="L253" s="630"/>
      <c r="M253" s="630"/>
      <c r="N253" s="630"/>
      <c r="O253" s="630"/>
      <c r="P253" s="630"/>
      <c r="Q253" s="630"/>
      <c r="R253" s="600">
        <f t="shared" si="1"/>
        <v>0</v>
      </c>
      <c r="S253" s="628">
        <v>0</v>
      </c>
      <c r="T253" s="601">
        <f t="shared" si="2"/>
        <v>0</v>
      </c>
      <c r="U253" s="628">
        <v>0</v>
      </c>
      <c r="V253" s="621"/>
      <c r="W253" s="624"/>
      <c r="X253" s="543"/>
      <c r="Y253" s="604"/>
    </row>
    <row r="254" spans="1:25" s="544" customFormat="1" x14ac:dyDescent="0.3">
      <c r="A254" s="555"/>
      <c r="B254" s="598"/>
      <c r="C254" s="630"/>
      <c r="D254" s="630"/>
      <c r="E254" s="630"/>
      <c r="F254" s="556"/>
      <c r="G254" s="631"/>
      <c r="H254" s="630"/>
      <c r="I254" s="630"/>
      <c r="J254" s="630"/>
      <c r="K254" s="630"/>
      <c r="L254" s="630"/>
      <c r="M254" s="630"/>
      <c r="N254" s="630"/>
      <c r="O254" s="630"/>
      <c r="P254" s="630"/>
      <c r="Q254" s="630"/>
      <c r="R254" s="598"/>
      <c r="S254" s="631"/>
      <c r="T254" s="599"/>
      <c r="U254" s="631"/>
      <c r="V254" s="621"/>
      <c r="W254" s="624"/>
      <c r="X254" s="543"/>
    </row>
    <row r="255" spans="1:25" s="544" customFormat="1" x14ac:dyDescent="0.3">
      <c r="A255" s="555"/>
      <c r="B255" s="556" t="s">
        <v>114</v>
      </c>
      <c r="C255" s="556"/>
      <c r="D255" s="556"/>
      <c r="E255" s="556"/>
      <c r="F255" s="556"/>
      <c r="G255" s="556"/>
      <c r="H255" s="632"/>
      <c r="I255" s="632"/>
      <c r="J255" s="632"/>
      <c r="K255" s="632"/>
      <c r="L255" s="632"/>
      <c r="M255" s="632"/>
      <c r="N255" s="632"/>
      <c r="O255" s="632"/>
      <c r="P255" s="632"/>
      <c r="Q255" s="632"/>
      <c r="R255" s="598">
        <f>SUM(R246:R254)</f>
        <v>0</v>
      </c>
      <c r="S255" s="631">
        <f>SUM(S246:S254)</f>
        <v>0</v>
      </c>
      <c r="T255" s="599">
        <f>SUM(T246:T254)</f>
        <v>0</v>
      </c>
      <c r="U255" s="631">
        <f>SUM(U246:U254)</f>
        <v>0</v>
      </c>
      <c r="V255" s="556"/>
      <c r="W255" s="558"/>
      <c r="X255" s="543"/>
    </row>
    <row r="256" spans="1:25" x14ac:dyDescent="0.3">
      <c r="A256" s="417"/>
      <c r="B256" s="441"/>
      <c r="C256" s="441"/>
      <c r="D256" s="441"/>
      <c r="E256" s="441"/>
      <c r="F256" s="441"/>
      <c r="G256" s="441"/>
      <c r="H256" s="485"/>
      <c r="I256" s="485"/>
      <c r="J256" s="485"/>
      <c r="K256" s="485"/>
      <c r="L256" s="485"/>
      <c r="M256" s="485"/>
      <c r="N256" s="485"/>
      <c r="O256" s="485"/>
      <c r="P256" s="485"/>
      <c r="Q256" s="485"/>
      <c r="R256" s="442"/>
      <c r="S256" s="486"/>
      <c r="T256" s="487"/>
      <c r="U256" s="486"/>
      <c r="V256" s="441"/>
      <c r="W256" s="441"/>
      <c r="X256" s="415"/>
    </row>
    <row r="257" spans="1:25" x14ac:dyDescent="0.3">
      <c r="A257" s="515"/>
      <c r="B257" s="523" t="s">
        <v>162</v>
      </c>
      <c r="C257" s="524"/>
      <c r="D257" s="524"/>
      <c r="E257" s="524"/>
      <c r="F257" s="534"/>
      <c r="G257" s="524"/>
      <c r="H257" s="524"/>
      <c r="I257" s="524"/>
      <c r="J257" s="524"/>
      <c r="K257" s="524"/>
      <c r="L257" s="524"/>
      <c r="M257" s="524"/>
      <c r="N257" s="524"/>
      <c r="O257" s="524"/>
      <c r="P257" s="524"/>
      <c r="Q257" s="524"/>
      <c r="R257" s="534" t="s">
        <v>102</v>
      </c>
      <c r="S257" s="524" t="s">
        <v>103</v>
      </c>
      <c r="T257" s="534" t="s">
        <v>109</v>
      </c>
      <c r="U257" s="524" t="s">
        <v>103</v>
      </c>
      <c r="V257" s="517"/>
      <c r="W257" s="535"/>
      <c r="X257" s="415"/>
    </row>
    <row r="258" spans="1:25" s="544" customFormat="1" x14ac:dyDescent="0.3">
      <c r="A258" s="540"/>
      <c r="B258" s="600" t="s">
        <v>88</v>
      </c>
      <c r="C258" s="627"/>
      <c r="D258" s="627"/>
      <c r="E258" s="627"/>
      <c r="F258" s="588"/>
      <c r="G258" s="627"/>
      <c r="H258" s="627"/>
      <c r="I258" s="627"/>
      <c r="J258" s="627"/>
      <c r="K258" s="627"/>
      <c r="L258" s="627"/>
      <c r="M258" s="627"/>
      <c r="N258" s="627"/>
      <c r="O258" s="627"/>
      <c r="P258" s="627"/>
      <c r="Q258" s="627"/>
      <c r="R258" s="600">
        <v>0</v>
      </c>
      <c r="S258" s="628">
        <v>0</v>
      </c>
      <c r="T258" s="601">
        <v>0</v>
      </c>
      <c r="U258" s="628">
        <v>0</v>
      </c>
      <c r="V258" s="616"/>
      <c r="W258" s="629"/>
      <c r="X258" s="543"/>
    </row>
    <row r="259" spans="1:25" s="544" customFormat="1" x14ac:dyDescent="0.3">
      <c r="A259" s="555"/>
      <c r="B259" s="598" t="s">
        <v>89</v>
      </c>
      <c r="C259" s="630"/>
      <c r="D259" s="630"/>
      <c r="E259" s="630"/>
      <c r="F259" s="556"/>
      <c r="G259" s="631"/>
      <c r="H259" s="630"/>
      <c r="I259" s="630"/>
      <c r="J259" s="630"/>
      <c r="K259" s="630"/>
      <c r="L259" s="630"/>
      <c r="M259" s="630"/>
      <c r="N259" s="630"/>
      <c r="O259" s="630"/>
      <c r="P259" s="630"/>
      <c r="Q259" s="630"/>
      <c r="R259" s="598">
        <v>0</v>
      </c>
      <c r="S259" s="631">
        <v>0</v>
      </c>
      <c r="T259" s="599">
        <v>0</v>
      </c>
      <c r="U259" s="631">
        <v>0</v>
      </c>
      <c r="V259" s="621"/>
      <c r="W259" s="624"/>
      <c r="X259" s="543"/>
      <c r="Y259" s="604"/>
    </row>
    <row r="260" spans="1:25" s="544" customFormat="1" x14ac:dyDescent="0.3">
      <c r="A260" s="555"/>
      <c r="B260" s="598" t="s">
        <v>90</v>
      </c>
      <c r="C260" s="630"/>
      <c r="D260" s="630"/>
      <c r="E260" s="630"/>
      <c r="F260" s="556"/>
      <c r="G260" s="631"/>
      <c r="H260" s="630"/>
      <c r="I260" s="630"/>
      <c r="J260" s="630"/>
      <c r="K260" s="630"/>
      <c r="L260" s="630"/>
      <c r="M260" s="630"/>
      <c r="N260" s="630"/>
      <c r="O260" s="630"/>
      <c r="P260" s="630"/>
      <c r="Q260" s="630"/>
      <c r="R260" s="598">
        <v>0</v>
      </c>
      <c r="S260" s="631">
        <v>0</v>
      </c>
      <c r="T260" s="599">
        <v>0</v>
      </c>
      <c r="U260" s="631">
        <v>0</v>
      </c>
      <c r="V260" s="621"/>
      <c r="W260" s="624"/>
      <c r="X260" s="543"/>
    </row>
    <row r="261" spans="1:25" s="544" customFormat="1" x14ac:dyDescent="0.3">
      <c r="A261" s="555"/>
      <c r="B261" s="598" t="s">
        <v>156</v>
      </c>
      <c r="C261" s="630"/>
      <c r="D261" s="630"/>
      <c r="E261" s="630"/>
      <c r="F261" s="556"/>
      <c r="G261" s="631"/>
      <c r="H261" s="630"/>
      <c r="I261" s="630"/>
      <c r="J261" s="630"/>
      <c r="K261" s="630"/>
      <c r="L261" s="630"/>
      <c r="M261" s="630"/>
      <c r="N261" s="630"/>
      <c r="O261" s="630"/>
      <c r="P261" s="630"/>
      <c r="Q261" s="630"/>
      <c r="R261" s="598">
        <v>0</v>
      </c>
      <c r="S261" s="631">
        <v>0</v>
      </c>
      <c r="T261" s="599">
        <v>0</v>
      </c>
      <c r="U261" s="631">
        <v>0</v>
      </c>
      <c r="V261" s="621"/>
      <c r="W261" s="624"/>
      <c r="X261" s="543"/>
      <c r="Y261" s="604"/>
    </row>
    <row r="262" spans="1:25" s="544" customFormat="1" x14ac:dyDescent="0.3">
      <c r="A262" s="555"/>
      <c r="B262" s="598" t="s">
        <v>157</v>
      </c>
      <c r="C262" s="630"/>
      <c r="D262" s="630"/>
      <c r="E262" s="630"/>
      <c r="F262" s="556"/>
      <c r="G262" s="631"/>
      <c r="H262" s="630"/>
      <c r="I262" s="630"/>
      <c r="J262" s="630"/>
      <c r="K262" s="630"/>
      <c r="L262" s="630"/>
      <c r="M262" s="630"/>
      <c r="N262" s="630"/>
      <c r="O262" s="630"/>
      <c r="P262" s="630"/>
      <c r="Q262" s="630"/>
      <c r="R262" s="598">
        <v>0</v>
      </c>
      <c r="S262" s="631">
        <v>0</v>
      </c>
      <c r="T262" s="599">
        <v>0</v>
      </c>
      <c r="U262" s="631">
        <v>0</v>
      </c>
      <c r="V262" s="621"/>
      <c r="W262" s="624"/>
      <c r="X262" s="543"/>
    </row>
    <row r="263" spans="1:25" s="544" customFormat="1" x14ac:dyDescent="0.3">
      <c r="A263" s="555"/>
      <c r="B263" s="598" t="s">
        <v>158</v>
      </c>
      <c r="C263" s="630"/>
      <c r="D263" s="630"/>
      <c r="E263" s="630"/>
      <c r="F263" s="556"/>
      <c r="G263" s="631"/>
      <c r="H263" s="630"/>
      <c r="I263" s="630"/>
      <c r="J263" s="630"/>
      <c r="K263" s="630"/>
      <c r="L263" s="630"/>
      <c r="M263" s="630"/>
      <c r="N263" s="630"/>
      <c r="O263" s="630"/>
      <c r="P263" s="630"/>
      <c r="Q263" s="630"/>
      <c r="R263" s="598">
        <v>0</v>
      </c>
      <c r="S263" s="631">
        <v>0</v>
      </c>
      <c r="T263" s="599">
        <v>0</v>
      </c>
      <c r="U263" s="631">
        <v>0</v>
      </c>
      <c r="V263" s="621"/>
      <c r="W263" s="624"/>
      <c r="X263" s="543"/>
      <c r="Y263" s="604"/>
    </row>
    <row r="264" spans="1:25" s="544" customFormat="1" x14ac:dyDescent="0.3">
      <c r="A264" s="555"/>
      <c r="B264" s="598" t="s">
        <v>159</v>
      </c>
      <c r="C264" s="630"/>
      <c r="D264" s="630"/>
      <c r="E264" s="630"/>
      <c r="F264" s="556"/>
      <c r="G264" s="631"/>
      <c r="H264" s="630"/>
      <c r="I264" s="630"/>
      <c r="J264" s="630"/>
      <c r="K264" s="630"/>
      <c r="L264" s="630"/>
      <c r="M264" s="630"/>
      <c r="N264" s="630"/>
      <c r="O264" s="630"/>
      <c r="P264" s="630"/>
      <c r="Q264" s="630"/>
      <c r="R264" s="598">
        <v>0</v>
      </c>
      <c r="S264" s="631">
        <v>0</v>
      </c>
      <c r="T264" s="599">
        <v>0</v>
      </c>
      <c r="U264" s="631">
        <v>0</v>
      </c>
      <c r="V264" s="621"/>
      <c r="W264" s="624"/>
      <c r="X264" s="543"/>
    </row>
    <row r="265" spans="1:25" s="544" customFormat="1" x14ac:dyDescent="0.3">
      <c r="A265" s="555"/>
      <c r="B265" s="598" t="s">
        <v>160</v>
      </c>
      <c r="C265" s="630"/>
      <c r="D265" s="630"/>
      <c r="E265" s="630"/>
      <c r="F265" s="556"/>
      <c r="G265" s="631"/>
      <c r="H265" s="630"/>
      <c r="I265" s="630"/>
      <c r="J265" s="630"/>
      <c r="K265" s="630"/>
      <c r="L265" s="630"/>
      <c r="M265" s="630"/>
      <c r="N265" s="630"/>
      <c r="O265" s="630"/>
      <c r="P265" s="630"/>
      <c r="Q265" s="630"/>
      <c r="R265" s="598">
        <v>0</v>
      </c>
      <c r="S265" s="631">
        <v>0</v>
      </c>
      <c r="T265" s="599">
        <v>0</v>
      </c>
      <c r="U265" s="631">
        <v>0</v>
      </c>
      <c r="V265" s="621"/>
      <c r="W265" s="624"/>
      <c r="X265" s="543"/>
      <c r="Y265" s="604"/>
    </row>
    <row r="266" spans="1:25" s="544" customFormat="1" x14ac:dyDescent="0.3">
      <c r="A266" s="555"/>
      <c r="B266" s="598"/>
      <c r="C266" s="630"/>
      <c r="D266" s="630"/>
      <c r="E266" s="630"/>
      <c r="F266" s="556"/>
      <c r="G266" s="631"/>
      <c r="H266" s="630"/>
      <c r="I266" s="630"/>
      <c r="J266" s="630"/>
      <c r="K266" s="630"/>
      <c r="L266" s="630"/>
      <c r="M266" s="630"/>
      <c r="N266" s="630"/>
      <c r="O266" s="630"/>
      <c r="P266" s="630"/>
      <c r="Q266" s="630"/>
      <c r="R266" s="598"/>
      <c r="S266" s="631"/>
      <c r="T266" s="599"/>
      <c r="U266" s="631"/>
      <c r="V266" s="621"/>
      <c r="W266" s="624"/>
      <c r="X266" s="543"/>
    </row>
    <row r="267" spans="1:25" s="544" customFormat="1" x14ac:dyDescent="0.3">
      <c r="A267" s="555"/>
      <c r="B267" s="556" t="s">
        <v>114</v>
      </c>
      <c r="C267" s="556"/>
      <c r="D267" s="556"/>
      <c r="E267" s="556"/>
      <c r="F267" s="556"/>
      <c r="G267" s="556"/>
      <c r="H267" s="632"/>
      <c r="I267" s="632"/>
      <c r="J267" s="632"/>
      <c r="K267" s="632"/>
      <c r="L267" s="632"/>
      <c r="M267" s="632"/>
      <c r="N267" s="632"/>
      <c r="O267" s="632"/>
      <c r="P267" s="632"/>
      <c r="Q267" s="632"/>
      <c r="R267" s="598">
        <f>SUM(R258:R266)</f>
        <v>0</v>
      </c>
      <c r="S267" s="631">
        <f>SUM(S258:S266)</f>
        <v>0</v>
      </c>
      <c r="T267" s="599">
        <f>SUM(T258:T266)</f>
        <v>0</v>
      </c>
      <c r="U267" s="631">
        <f>SUM(U258:U266)</f>
        <v>0</v>
      </c>
      <c r="V267" s="556"/>
      <c r="W267" s="558"/>
      <c r="X267" s="543"/>
    </row>
    <row r="268" spans="1:25" x14ac:dyDescent="0.3">
      <c r="A268" s="417"/>
      <c r="B268" s="441"/>
      <c r="C268" s="441"/>
      <c r="D268" s="441"/>
      <c r="E268" s="441"/>
      <c r="F268" s="441"/>
      <c r="G268" s="441"/>
      <c r="H268" s="485"/>
      <c r="I268" s="485"/>
      <c r="J268" s="485"/>
      <c r="K268" s="485"/>
      <c r="L268" s="485"/>
      <c r="M268" s="485"/>
      <c r="N268" s="485"/>
      <c r="O268" s="485"/>
      <c r="P268" s="485"/>
      <c r="Q268" s="485"/>
      <c r="R268" s="442"/>
      <c r="S268" s="486"/>
      <c r="T268" s="487"/>
      <c r="U268" s="486"/>
      <c r="V268" s="441"/>
      <c r="W268" s="441"/>
      <c r="X268" s="415"/>
    </row>
    <row r="269" spans="1:25" x14ac:dyDescent="0.3">
      <c r="A269" s="515"/>
      <c r="B269" s="523" t="s">
        <v>275</v>
      </c>
      <c r="C269" s="524"/>
      <c r="D269" s="524"/>
      <c r="E269" s="524"/>
      <c r="F269" s="534"/>
      <c r="G269" s="524"/>
      <c r="H269" s="524"/>
      <c r="I269" s="524"/>
      <c r="J269" s="524"/>
      <c r="K269" s="524"/>
      <c r="L269" s="524"/>
      <c r="M269" s="524"/>
      <c r="N269" s="524"/>
      <c r="O269" s="524"/>
      <c r="P269" s="524"/>
      <c r="Q269" s="524"/>
      <c r="R269" s="534" t="s">
        <v>102</v>
      </c>
      <c r="S269" s="524" t="s">
        <v>103</v>
      </c>
      <c r="T269" s="534" t="s">
        <v>109</v>
      </c>
      <c r="U269" s="524" t="s">
        <v>103</v>
      </c>
      <c r="V269" s="517"/>
      <c r="W269" s="520"/>
      <c r="X269" s="415"/>
    </row>
    <row r="270" spans="1:25" s="544" customFormat="1" x14ac:dyDescent="0.3">
      <c r="A270" s="540"/>
      <c r="B270" s="600" t="s">
        <v>88</v>
      </c>
      <c r="C270" s="627"/>
      <c r="D270" s="627"/>
      <c r="E270" s="627"/>
      <c r="F270" s="588"/>
      <c r="G270" s="627"/>
      <c r="H270" s="627"/>
      <c r="I270" s="627"/>
      <c r="J270" s="627"/>
      <c r="K270" s="627"/>
      <c r="L270" s="627"/>
      <c r="M270" s="627"/>
      <c r="N270" s="627"/>
      <c r="O270" s="627"/>
      <c r="P270" s="627"/>
      <c r="Q270" s="627"/>
      <c r="R270" s="600">
        <v>0</v>
      </c>
      <c r="S270" s="628">
        <v>0</v>
      </c>
      <c r="T270" s="601">
        <v>0</v>
      </c>
      <c r="U270" s="628">
        <v>0</v>
      </c>
      <c r="V270" s="588"/>
      <c r="W270" s="588"/>
      <c r="X270" s="543"/>
    </row>
    <row r="271" spans="1:25" s="544" customFormat="1" x14ac:dyDescent="0.3">
      <c r="A271" s="555"/>
      <c r="B271" s="598" t="s">
        <v>89</v>
      </c>
      <c r="C271" s="630"/>
      <c r="D271" s="630"/>
      <c r="E271" s="630"/>
      <c r="F271" s="556"/>
      <c r="G271" s="631"/>
      <c r="H271" s="630"/>
      <c r="I271" s="630"/>
      <c r="J271" s="630"/>
      <c r="K271" s="630"/>
      <c r="L271" s="630"/>
      <c r="M271" s="630"/>
      <c r="N271" s="630"/>
      <c r="O271" s="630"/>
      <c r="P271" s="630"/>
      <c r="Q271" s="630"/>
      <c r="R271" s="598">
        <v>0</v>
      </c>
      <c r="S271" s="631">
        <v>0</v>
      </c>
      <c r="T271" s="599">
        <v>0</v>
      </c>
      <c r="U271" s="631">
        <v>0</v>
      </c>
      <c r="V271" s="556"/>
      <c r="W271" s="558"/>
      <c r="X271" s="543"/>
    </row>
    <row r="272" spans="1:25" s="544" customFormat="1" x14ac:dyDescent="0.3">
      <c r="A272" s="555"/>
      <c r="B272" s="598" t="s">
        <v>90</v>
      </c>
      <c r="C272" s="630"/>
      <c r="D272" s="630"/>
      <c r="E272" s="630"/>
      <c r="F272" s="556"/>
      <c r="G272" s="631"/>
      <c r="H272" s="630"/>
      <c r="I272" s="630"/>
      <c r="J272" s="630"/>
      <c r="K272" s="630"/>
      <c r="L272" s="630"/>
      <c r="M272" s="630"/>
      <c r="N272" s="630"/>
      <c r="O272" s="630"/>
      <c r="P272" s="630"/>
      <c r="Q272" s="630"/>
      <c r="R272" s="598">
        <v>0</v>
      </c>
      <c r="S272" s="631">
        <v>0</v>
      </c>
      <c r="T272" s="599">
        <v>0</v>
      </c>
      <c r="U272" s="631">
        <v>0</v>
      </c>
      <c r="V272" s="556"/>
      <c r="W272" s="558"/>
      <c r="X272" s="543"/>
    </row>
    <row r="273" spans="1:24" s="544" customFormat="1" x14ac:dyDescent="0.3">
      <c r="A273" s="555"/>
      <c r="B273" s="598" t="s">
        <v>156</v>
      </c>
      <c r="C273" s="630"/>
      <c r="D273" s="630"/>
      <c r="E273" s="630"/>
      <c r="F273" s="556"/>
      <c r="G273" s="631"/>
      <c r="H273" s="630"/>
      <c r="I273" s="630"/>
      <c r="J273" s="630"/>
      <c r="K273" s="630"/>
      <c r="L273" s="630"/>
      <c r="M273" s="630"/>
      <c r="N273" s="630"/>
      <c r="O273" s="630"/>
      <c r="P273" s="630"/>
      <c r="Q273" s="630"/>
      <c r="R273" s="598">
        <v>0</v>
      </c>
      <c r="S273" s="631">
        <v>0</v>
      </c>
      <c r="T273" s="599">
        <v>0</v>
      </c>
      <c r="U273" s="631">
        <v>0</v>
      </c>
      <c r="V273" s="556"/>
      <c r="W273" s="558"/>
      <c r="X273" s="543"/>
    </row>
    <row r="274" spans="1:24" s="544" customFormat="1" x14ac:dyDescent="0.3">
      <c r="A274" s="555"/>
      <c r="B274" s="598" t="s">
        <v>157</v>
      </c>
      <c r="C274" s="630"/>
      <c r="D274" s="630"/>
      <c r="E274" s="630"/>
      <c r="F274" s="556"/>
      <c r="G274" s="631"/>
      <c r="H274" s="630"/>
      <c r="I274" s="630"/>
      <c r="J274" s="630"/>
      <c r="K274" s="630"/>
      <c r="L274" s="630"/>
      <c r="M274" s="630"/>
      <c r="N274" s="630"/>
      <c r="O274" s="630"/>
      <c r="P274" s="630"/>
      <c r="Q274" s="630"/>
      <c r="R274" s="598">
        <v>0</v>
      </c>
      <c r="S274" s="631">
        <v>0</v>
      </c>
      <c r="T274" s="599">
        <v>0</v>
      </c>
      <c r="U274" s="631">
        <v>0</v>
      </c>
      <c r="V274" s="556"/>
      <c r="W274" s="558"/>
      <c r="X274" s="543"/>
    </row>
    <row r="275" spans="1:24" s="544" customFormat="1" x14ac:dyDescent="0.3">
      <c r="A275" s="555"/>
      <c r="B275" s="598" t="s">
        <v>158</v>
      </c>
      <c r="C275" s="630"/>
      <c r="D275" s="630"/>
      <c r="E275" s="630"/>
      <c r="F275" s="556"/>
      <c r="G275" s="631"/>
      <c r="H275" s="630"/>
      <c r="I275" s="630"/>
      <c r="J275" s="630"/>
      <c r="K275" s="630"/>
      <c r="L275" s="630"/>
      <c r="M275" s="630"/>
      <c r="N275" s="630"/>
      <c r="O275" s="630"/>
      <c r="P275" s="630"/>
      <c r="Q275" s="630"/>
      <c r="R275" s="598">
        <v>0</v>
      </c>
      <c r="S275" s="631">
        <v>0</v>
      </c>
      <c r="T275" s="599">
        <v>0</v>
      </c>
      <c r="U275" s="631">
        <v>0</v>
      </c>
      <c r="V275" s="556"/>
      <c r="W275" s="558"/>
      <c r="X275" s="543"/>
    </row>
    <row r="276" spans="1:24" s="544" customFormat="1" x14ac:dyDescent="0.3">
      <c r="A276" s="555"/>
      <c r="B276" s="598" t="s">
        <v>159</v>
      </c>
      <c r="C276" s="630"/>
      <c r="D276" s="630"/>
      <c r="E276" s="630"/>
      <c r="F276" s="556"/>
      <c r="G276" s="631"/>
      <c r="H276" s="630"/>
      <c r="I276" s="630"/>
      <c r="J276" s="630"/>
      <c r="K276" s="630"/>
      <c r="L276" s="630"/>
      <c r="M276" s="630"/>
      <c r="N276" s="630"/>
      <c r="O276" s="630"/>
      <c r="P276" s="630"/>
      <c r="Q276" s="630"/>
      <c r="R276" s="598">
        <v>0</v>
      </c>
      <c r="S276" s="631">
        <v>0</v>
      </c>
      <c r="T276" s="599">
        <v>0</v>
      </c>
      <c r="U276" s="631">
        <v>0</v>
      </c>
      <c r="V276" s="556"/>
      <c r="W276" s="558"/>
      <c r="X276" s="543"/>
    </row>
    <row r="277" spans="1:24" s="544" customFormat="1" x14ac:dyDescent="0.3">
      <c r="A277" s="555"/>
      <c r="B277" s="598" t="s">
        <v>160</v>
      </c>
      <c r="C277" s="630"/>
      <c r="D277" s="630"/>
      <c r="E277" s="630"/>
      <c r="F277" s="556"/>
      <c r="G277" s="631"/>
      <c r="H277" s="630"/>
      <c r="I277" s="630"/>
      <c r="J277" s="630"/>
      <c r="K277" s="630"/>
      <c r="L277" s="630"/>
      <c r="M277" s="630"/>
      <c r="N277" s="630"/>
      <c r="O277" s="630"/>
      <c r="P277" s="630"/>
      <c r="Q277" s="630"/>
      <c r="R277" s="598">
        <v>0</v>
      </c>
      <c r="S277" s="631">
        <v>0</v>
      </c>
      <c r="T277" s="599">
        <v>0</v>
      </c>
      <c r="U277" s="631">
        <v>0</v>
      </c>
      <c r="V277" s="556"/>
      <c r="W277" s="558"/>
      <c r="X277" s="543"/>
    </row>
    <row r="278" spans="1:24" s="544" customFormat="1" x14ac:dyDescent="0.3">
      <c r="A278" s="555"/>
      <c r="B278" s="598"/>
      <c r="C278" s="630"/>
      <c r="D278" s="630"/>
      <c r="E278" s="630"/>
      <c r="F278" s="556"/>
      <c r="G278" s="631"/>
      <c r="H278" s="630"/>
      <c r="I278" s="630"/>
      <c r="J278" s="630"/>
      <c r="K278" s="630"/>
      <c r="L278" s="630"/>
      <c r="M278" s="630"/>
      <c r="N278" s="630"/>
      <c r="O278" s="630"/>
      <c r="P278" s="630"/>
      <c r="Q278" s="630"/>
      <c r="R278" s="598"/>
      <c r="S278" s="631"/>
      <c r="T278" s="599"/>
      <c r="U278" s="631"/>
      <c r="V278" s="556"/>
      <c r="W278" s="558"/>
      <c r="X278" s="543"/>
    </row>
    <row r="279" spans="1:24" s="544" customFormat="1" x14ac:dyDescent="0.3">
      <c r="A279" s="555"/>
      <c r="B279" s="556" t="s">
        <v>114</v>
      </c>
      <c r="C279" s="556"/>
      <c r="D279" s="556"/>
      <c r="E279" s="556"/>
      <c r="F279" s="556"/>
      <c r="G279" s="556"/>
      <c r="H279" s="632"/>
      <c r="I279" s="632"/>
      <c r="J279" s="632"/>
      <c r="K279" s="632"/>
      <c r="L279" s="632"/>
      <c r="M279" s="632"/>
      <c r="N279" s="632"/>
      <c r="O279" s="632"/>
      <c r="P279" s="632"/>
      <c r="Q279" s="632"/>
      <c r="R279" s="598">
        <f>SUM(R270:R278)</f>
        <v>0</v>
      </c>
      <c r="S279" s="631">
        <f>SUM(S270:S278)</f>
        <v>0</v>
      </c>
      <c r="T279" s="599">
        <f>SUM(T270:T278)</f>
        <v>0</v>
      </c>
      <c r="U279" s="631">
        <f>SUM(U270:U278)</f>
        <v>0</v>
      </c>
      <c r="V279" s="556"/>
      <c r="W279" s="558"/>
      <c r="X279" s="543"/>
    </row>
    <row r="280" spans="1:24" s="544" customFormat="1" x14ac:dyDescent="0.3">
      <c r="A280" s="540"/>
      <c r="B280" s="588"/>
      <c r="C280" s="588"/>
      <c r="D280" s="588"/>
      <c r="E280" s="588"/>
      <c r="F280" s="588"/>
      <c r="G280" s="588"/>
      <c r="H280" s="633"/>
      <c r="I280" s="633"/>
      <c r="J280" s="633"/>
      <c r="K280" s="633"/>
      <c r="L280" s="633"/>
      <c r="M280" s="633"/>
      <c r="N280" s="633"/>
      <c r="O280" s="633"/>
      <c r="P280" s="633"/>
      <c r="Q280" s="633"/>
      <c r="R280" s="600"/>
      <c r="S280" s="628"/>
      <c r="T280" s="601"/>
      <c r="U280" s="628"/>
      <c r="V280" s="588"/>
      <c r="W280" s="588"/>
      <c r="X280" s="543"/>
    </row>
    <row r="281" spans="1:24" s="544" customFormat="1" x14ac:dyDescent="0.3">
      <c r="A281" s="647"/>
      <c r="B281" s="648" t="s">
        <v>405</v>
      </c>
      <c r="C281" s="649"/>
      <c r="D281" s="649"/>
      <c r="E281" s="649"/>
      <c r="F281" s="650"/>
      <c r="G281" s="649"/>
      <c r="H281" s="649"/>
      <c r="I281" s="649"/>
      <c r="J281" s="649"/>
      <c r="K281" s="649"/>
      <c r="L281" s="649"/>
      <c r="M281" s="649"/>
      <c r="N281" s="649"/>
      <c r="O281" s="649"/>
      <c r="P281" s="649"/>
      <c r="Q281" s="649"/>
      <c r="R281" s="650" t="s">
        <v>102</v>
      </c>
      <c r="S281" s="649" t="s">
        <v>103</v>
      </c>
      <c r="T281" s="650" t="s">
        <v>109</v>
      </c>
      <c r="U281" s="649" t="s">
        <v>103</v>
      </c>
      <c r="V281" s="649"/>
      <c r="W281" s="649"/>
      <c r="X281" s="543"/>
    </row>
    <row r="282" spans="1:24" s="544" customFormat="1" x14ac:dyDescent="0.3">
      <c r="A282" s="651"/>
      <c r="B282" s="652" t="s">
        <v>406</v>
      </c>
      <c r="C282" s="652"/>
      <c r="D282" s="652"/>
      <c r="E282" s="652"/>
      <c r="F282" s="652"/>
      <c r="G282" s="652"/>
      <c r="H282" s="653"/>
      <c r="I282" s="653"/>
      <c r="J282" s="653"/>
      <c r="K282" s="653"/>
      <c r="L282" s="653"/>
      <c r="M282" s="653"/>
      <c r="N282" s="653"/>
      <c r="O282" s="653"/>
      <c r="P282" s="653"/>
      <c r="Q282" s="653"/>
      <c r="R282" s="655">
        <v>0</v>
      </c>
      <c r="S282" s="656">
        <v>0</v>
      </c>
      <c r="T282" s="657">
        <v>0</v>
      </c>
      <c r="U282" s="656">
        <v>0</v>
      </c>
      <c r="V282" s="653"/>
      <c r="W282" s="653"/>
      <c r="X282" s="543"/>
    </row>
    <row r="283" spans="1:24" s="544" customFormat="1" x14ac:dyDescent="0.3">
      <c r="A283" s="651"/>
      <c r="B283" s="652" t="s">
        <v>407</v>
      </c>
      <c r="C283" s="652"/>
      <c r="D283" s="652"/>
      <c r="E283" s="652"/>
      <c r="F283" s="652"/>
      <c r="G283" s="652"/>
      <c r="H283" s="653"/>
      <c r="I283" s="653"/>
      <c r="J283" s="653"/>
      <c r="K283" s="653"/>
      <c r="L283" s="653"/>
      <c r="M283" s="653"/>
      <c r="N283" s="653"/>
      <c r="O283" s="653"/>
      <c r="P283" s="653"/>
      <c r="Q283" s="653"/>
      <c r="R283" s="655">
        <v>0</v>
      </c>
      <c r="S283" s="656">
        <v>0</v>
      </c>
      <c r="T283" s="657">
        <v>0</v>
      </c>
      <c r="U283" s="656">
        <v>0</v>
      </c>
      <c r="V283" s="653"/>
      <c r="W283" s="653"/>
      <c r="X283" s="543"/>
    </row>
    <row r="284" spans="1:24" s="544" customFormat="1" x14ac:dyDescent="0.3">
      <c r="A284" s="651"/>
      <c r="B284" s="652" t="s">
        <v>408</v>
      </c>
      <c r="C284" s="652"/>
      <c r="D284" s="652"/>
      <c r="E284" s="652"/>
      <c r="F284" s="652"/>
      <c r="G284" s="652"/>
      <c r="H284" s="653"/>
      <c r="I284" s="653"/>
      <c r="J284" s="653"/>
      <c r="K284" s="653"/>
      <c r="L284" s="653"/>
      <c r="M284" s="653"/>
      <c r="N284" s="653"/>
      <c r="O284" s="653"/>
      <c r="P284" s="653"/>
      <c r="Q284" s="653"/>
      <c r="R284" s="655">
        <v>0</v>
      </c>
      <c r="S284" s="656">
        <v>0</v>
      </c>
      <c r="T284" s="657">
        <v>0</v>
      </c>
      <c r="U284" s="656">
        <v>0</v>
      </c>
      <c r="V284" s="653"/>
      <c r="W284" s="653"/>
      <c r="X284" s="543"/>
    </row>
    <row r="285" spans="1:24" s="544" customFormat="1" x14ac:dyDescent="0.3">
      <c r="A285" s="651"/>
      <c r="B285" s="652" t="s">
        <v>409</v>
      </c>
      <c r="C285" s="652"/>
      <c r="D285" s="652"/>
      <c r="E285" s="652"/>
      <c r="F285" s="652"/>
      <c r="G285" s="652"/>
      <c r="H285" s="653"/>
      <c r="I285" s="653"/>
      <c r="J285" s="653"/>
      <c r="K285" s="653"/>
      <c r="L285" s="653"/>
      <c r="M285" s="653"/>
      <c r="N285" s="653"/>
      <c r="O285" s="653"/>
      <c r="P285" s="653"/>
      <c r="Q285" s="653"/>
      <c r="R285" s="655">
        <v>0</v>
      </c>
      <c r="S285" s="656">
        <v>0</v>
      </c>
      <c r="T285" s="657">
        <v>0</v>
      </c>
      <c r="U285" s="656">
        <v>0</v>
      </c>
      <c r="V285" s="653"/>
      <c r="W285" s="653"/>
      <c r="X285" s="543"/>
    </row>
    <row r="286" spans="1:24" s="544" customFormat="1" x14ac:dyDescent="0.3">
      <c r="A286" s="651"/>
      <c r="B286" s="652" t="s">
        <v>413</v>
      </c>
      <c r="C286" s="652"/>
      <c r="D286" s="652"/>
      <c r="E286" s="652"/>
      <c r="F286" s="652"/>
      <c r="G286" s="652"/>
      <c r="H286" s="653"/>
      <c r="I286" s="653"/>
      <c r="J286" s="653"/>
      <c r="K286" s="653"/>
      <c r="L286" s="653"/>
      <c r="M286" s="653"/>
      <c r="N286" s="653"/>
      <c r="O286" s="653"/>
      <c r="P286" s="653"/>
      <c r="Q286" s="653"/>
      <c r="R286" s="655">
        <v>0</v>
      </c>
      <c r="S286" s="656">
        <v>0</v>
      </c>
      <c r="T286" s="657">
        <v>0</v>
      </c>
      <c r="U286" s="656">
        <v>0</v>
      </c>
      <c r="V286" s="653"/>
      <c r="W286" s="653"/>
      <c r="X286" s="543"/>
    </row>
    <row r="287" spans="1:24" s="544" customFormat="1" x14ac:dyDescent="0.3">
      <c r="A287" s="651"/>
      <c r="B287" s="654" t="s">
        <v>410</v>
      </c>
      <c r="C287" s="652"/>
      <c r="D287" s="652"/>
      <c r="E287" s="652"/>
      <c r="F287" s="652"/>
      <c r="G287" s="652"/>
      <c r="H287" s="653"/>
      <c r="I287" s="653"/>
      <c r="J287" s="653"/>
      <c r="K287" s="653"/>
      <c r="L287" s="653"/>
      <c r="M287" s="653"/>
      <c r="N287" s="653"/>
      <c r="O287" s="653"/>
      <c r="P287" s="653"/>
      <c r="Q287" s="653"/>
      <c r="R287" s="655">
        <v>0</v>
      </c>
      <c r="S287" s="656">
        <v>0</v>
      </c>
      <c r="T287" s="657">
        <v>0</v>
      </c>
      <c r="U287" s="656">
        <v>0</v>
      </c>
      <c r="V287" s="653"/>
      <c r="W287" s="653"/>
      <c r="X287" s="543"/>
    </row>
    <row r="288" spans="1:24" s="544" customFormat="1" x14ac:dyDescent="0.3">
      <c r="A288" s="651"/>
      <c r="B288" s="652"/>
      <c r="C288" s="652"/>
      <c r="D288" s="652"/>
      <c r="E288" s="652"/>
      <c r="F288" s="652"/>
      <c r="G288" s="652"/>
      <c r="H288" s="653"/>
      <c r="I288" s="653"/>
      <c r="J288" s="653"/>
      <c r="K288" s="653"/>
      <c r="L288" s="653"/>
      <c r="M288" s="653"/>
      <c r="N288" s="653"/>
      <c r="O288" s="653"/>
      <c r="P288" s="653"/>
      <c r="Q288" s="653"/>
      <c r="R288" s="655"/>
      <c r="S288" s="656"/>
      <c r="T288" s="657"/>
      <c r="U288" s="656"/>
      <c r="V288" s="653"/>
      <c r="W288" s="653"/>
      <c r="X288" s="543"/>
    </row>
    <row r="289" spans="1:24" s="544" customFormat="1" x14ac:dyDescent="0.3">
      <c r="A289" s="651"/>
      <c r="B289" s="652" t="s">
        <v>114</v>
      </c>
      <c r="C289" s="652"/>
      <c r="D289" s="652"/>
      <c r="E289" s="652"/>
      <c r="F289" s="652"/>
      <c r="G289" s="652"/>
      <c r="H289" s="653"/>
      <c r="I289" s="653"/>
      <c r="J289" s="653"/>
      <c r="K289" s="653"/>
      <c r="L289" s="653"/>
      <c r="M289" s="653"/>
      <c r="N289" s="653"/>
      <c r="O289" s="653"/>
      <c r="P289" s="653"/>
      <c r="Q289" s="653"/>
      <c r="R289" s="655">
        <f>SUM(R282:R288)</f>
        <v>0</v>
      </c>
      <c r="S289" s="656">
        <f>SUM(S282:S287)</f>
        <v>0</v>
      </c>
      <c r="T289" s="657">
        <f>SUM(T282:T287)</f>
        <v>0</v>
      </c>
      <c r="U289" s="656">
        <f>SUM(U282:U288)</f>
        <v>0</v>
      </c>
      <c r="V289" s="653"/>
      <c r="W289" s="653"/>
      <c r="X289" s="543"/>
    </row>
    <row r="290" spans="1:24" x14ac:dyDescent="0.3">
      <c r="A290" s="417"/>
      <c r="B290" s="437"/>
      <c r="C290" s="437"/>
      <c r="D290" s="437"/>
      <c r="E290" s="437"/>
      <c r="F290" s="437"/>
      <c r="G290" s="437"/>
      <c r="H290" s="488"/>
      <c r="I290" s="488"/>
      <c r="J290" s="488"/>
      <c r="K290" s="488"/>
      <c r="L290" s="488"/>
      <c r="M290" s="488"/>
      <c r="N290" s="488"/>
      <c r="O290" s="488"/>
      <c r="P290" s="488"/>
      <c r="Q290" s="488"/>
      <c r="R290" s="447"/>
      <c r="S290" s="483"/>
      <c r="T290" s="484"/>
      <c r="U290" s="483"/>
      <c r="V290" s="437"/>
      <c r="W290" s="437"/>
      <c r="X290" s="415"/>
    </row>
    <row r="291" spans="1:24" x14ac:dyDescent="0.3">
      <c r="A291" s="515"/>
      <c r="B291" s="523" t="s">
        <v>163</v>
      </c>
      <c r="C291" s="517"/>
      <c r="D291" s="517"/>
      <c r="E291" s="517"/>
      <c r="F291" s="517"/>
      <c r="G291" s="517"/>
      <c r="H291" s="536"/>
      <c r="I291" s="536"/>
      <c r="J291" s="536"/>
      <c r="K291" s="536"/>
      <c r="L291" s="536"/>
      <c r="M291" s="536"/>
      <c r="N291" s="536"/>
      <c r="O291" s="536"/>
      <c r="P291" s="536"/>
      <c r="Q291" s="536"/>
      <c r="R291" s="534" t="s">
        <v>102</v>
      </c>
      <c r="S291" s="524" t="s">
        <v>103</v>
      </c>
      <c r="T291" s="534" t="s">
        <v>109</v>
      </c>
      <c r="U291" s="524" t="s">
        <v>103</v>
      </c>
      <c r="V291" s="517"/>
      <c r="W291" s="520"/>
      <c r="X291" s="415"/>
    </row>
    <row r="292" spans="1:24" s="544" customFormat="1" x14ac:dyDescent="0.3">
      <c r="A292" s="540"/>
      <c r="B292" s="600" t="s">
        <v>88</v>
      </c>
      <c r="C292" s="588"/>
      <c r="D292" s="588"/>
      <c r="E292" s="588"/>
      <c r="F292" s="588"/>
      <c r="G292" s="588"/>
      <c r="H292" s="633"/>
      <c r="I292" s="633"/>
      <c r="J292" s="633"/>
      <c r="K292" s="633"/>
      <c r="L292" s="633"/>
      <c r="M292" s="633"/>
      <c r="N292" s="633"/>
      <c r="O292" s="633"/>
      <c r="P292" s="633"/>
      <c r="Q292" s="633"/>
      <c r="R292" s="600">
        <v>0</v>
      </c>
      <c r="S292" s="628">
        <v>0</v>
      </c>
      <c r="T292" s="601">
        <v>0</v>
      </c>
      <c r="U292" s="628">
        <v>0</v>
      </c>
      <c r="V292" s="588"/>
      <c r="W292" s="588"/>
      <c r="X292" s="543"/>
    </row>
    <row r="293" spans="1:24" s="544" customFormat="1" x14ac:dyDescent="0.3">
      <c r="A293" s="555"/>
      <c r="B293" s="598" t="s">
        <v>89</v>
      </c>
      <c r="C293" s="556"/>
      <c r="D293" s="556"/>
      <c r="E293" s="556"/>
      <c r="F293" s="556"/>
      <c r="G293" s="556"/>
      <c r="H293" s="632"/>
      <c r="I293" s="632"/>
      <c r="J293" s="632"/>
      <c r="K293" s="632"/>
      <c r="L293" s="632"/>
      <c r="M293" s="632"/>
      <c r="N293" s="632"/>
      <c r="O293" s="632"/>
      <c r="P293" s="632"/>
      <c r="Q293" s="632"/>
      <c r="R293" s="598">
        <v>0</v>
      </c>
      <c r="S293" s="631">
        <v>0</v>
      </c>
      <c r="T293" s="599">
        <v>0</v>
      </c>
      <c r="U293" s="631">
        <v>0</v>
      </c>
      <c r="V293" s="556"/>
      <c r="W293" s="558"/>
      <c r="X293" s="543"/>
    </row>
    <row r="294" spans="1:24" s="544" customFormat="1" x14ac:dyDescent="0.3">
      <c r="A294" s="555"/>
      <c r="B294" s="598" t="s">
        <v>90</v>
      </c>
      <c r="C294" s="556"/>
      <c r="D294" s="556"/>
      <c r="E294" s="556"/>
      <c r="F294" s="556"/>
      <c r="G294" s="556"/>
      <c r="H294" s="632"/>
      <c r="I294" s="632"/>
      <c r="J294" s="632"/>
      <c r="K294" s="632"/>
      <c r="L294" s="632"/>
      <c r="M294" s="632"/>
      <c r="N294" s="632"/>
      <c r="O294" s="632"/>
      <c r="P294" s="632"/>
      <c r="Q294" s="632"/>
      <c r="R294" s="598">
        <v>0</v>
      </c>
      <c r="S294" s="631">
        <v>0</v>
      </c>
      <c r="T294" s="599">
        <v>0</v>
      </c>
      <c r="U294" s="631">
        <v>0</v>
      </c>
      <c r="V294" s="556"/>
      <c r="W294" s="558"/>
      <c r="X294" s="543"/>
    </row>
    <row r="295" spans="1:24" s="544" customFormat="1" x14ac:dyDescent="0.3">
      <c r="A295" s="555"/>
      <c r="B295" s="598" t="s">
        <v>156</v>
      </c>
      <c r="C295" s="556"/>
      <c r="D295" s="556"/>
      <c r="E295" s="556"/>
      <c r="F295" s="556"/>
      <c r="G295" s="556"/>
      <c r="H295" s="632"/>
      <c r="I295" s="632"/>
      <c r="J295" s="632"/>
      <c r="K295" s="632"/>
      <c r="L295" s="632"/>
      <c r="M295" s="632"/>
      <c r="N295" s="632"/>
      <c r="O295" s="632"/>
      <c r="P295" s="632"/>
      <c r="Q295" s="632"/>
      <c r="R295" s="598">
        <v>0</v>
      </c>
      <c r="S295" s="631">
        <v>0</v>
      </c>
      <c r="T295" s="599">
        <v>0</v>
      </c>
      <c r="U295" s="631">
        <v>0</v>
      </c>
      <c r="V295" s="556"/>
      <c r="W295" s="558"/>
      <c r="X295" s="543"/>
    </row>
    <row r="296" spans="1:24" s="544" customFormat="1" x14ac:dyDescent="0.3">
      <c r="A296" s="555"/>
      <c r="B296" s="598" t="s">
        <v>157</v>
      </c>
      <c r="C296" s="556"/>
      <c r="D296" s="556"/>
      <c r="E296" s="556"/>
      <c r="F296" s="556"/>
      <c r="G296" s="556"/>
      <c r="H296" s="632"/>
      <c r="I296" s="632"/>
      <c r="J296" s="632"/>
      <c r="K296" s="632"/>
      <c r="L296" s="632"/>
      <c r="M296" s="632"/>
      <c r="N296" s="632"/>
      <c r="O296" s="632"/>
      <c r="P296" s="632"/>
      <c r="Q296" s="632"/>
      <c r="R296" s="598">
        <v>0</v>
      </c>
      <c r="S296" s="631">
        <v>0</v>
      </c>
      <c r="T296" s="599">
        <v>0</v>
      </c>
      <c r="U296" s="631">
        <v>0</v>
      </c>
      <c r="V296" s="556"/>
      <c r="W296" s="558"/>
      <c r="X296" s="543"/>
    </row>
    <row r="297" spans="1:24" s="544" customFormat="1" x14ac:dyDescent="0.3">
      <c r="A297" s="555"/>
      <c r="B297" s="598" t="s">
        <v>158</v>
      </c>
      <c r="C297" s="556"/>
      <c r="D297" s="556"/>
      <c r="E297" s="556"/>
      <c r="F297" s="556"/>
      <c r="G297" s="556"/>
      <c r="H297" s="632"/>
      <c r="I297" s="632"/>
      <c r="J297" s="632"/>
      <c r="K297" s="632"/>
      <c r="L297" s="632"/>
      <c r="M297" s="632"/>
      <c r="N297" s="632"/>
      <c r="O297" s="632"/>
      <c r="P297" s="632"/>
      <c r="Q297" s="632"/>
      <c r="R297" s="598">
        <v>0</v>
      </c>
      <c r="S297" s="631">
        <v>0</v>
      </c>
      <c r="T297" s="599">
        <v>0</v>
      </c>
      <c r="U297" s="631">
        <v>0</v>
      </c>
      <c r="V297" s="556"/>
      <c r="W297" s="558"/>
      <c r="X297" s="543"/>
    </row>
    <row r="298" spans="1:24" s="544" customFormat="1" x14ac:dyDescent="0.3">
      <c r="A298" s="555"/>
      <c r="B298" s="598" t="s">
        <v>159</v>
      </c>
      <c r="C298" s="556"/>
      <c r="D298" s="556"/>
      <c r="E298" s="556"/>
      <c r="F298" s="556"/>
      <c r="G298" s="556"/>
      <c r="H298" s="632"/>
      <c r="I298" s="632"/>
      <c r="J298" s="632"/>
      <c r="K298" s="632"/>
      <c r="L298" s="632"/>
      <c r="M298" s="632"/>
      <c r="N298" s="632"/>
      <c r="O298" s="632"/>
      <c r="P298" s="632"/>
      <c r="Q298" s="632"/>
      <c r="R298" s="598">
        <v>0</v>
      </c>
      <c r="S298" s="631">
        <v>0</v>
      </c>
      <c r="T298" s="599">
        <v>0</v>
      </c>
      <c r="U298" s="631">
        <v>0</v>
      </c>
      <c r="V298" s="556"/>
      <c r="W298" s="558"/>
      <c r="X298" s="543"/>
    </row>
    <row r="299" spans="1:24" s="544" customFormat="1" x14ac:dyDescent="0.3">
      <c r="A299" s="555"/>
      <c r="B299" s="598" t="s">
        <v>160</v>
      </c>
      <c r="C299" s="556"/>
      <c r="D299" s="556"/>
      <c r="E299" s="556"/>
      <c r="F299" s="556"/>
      <c r="G299" s="556"/>
      <c r="H299" s="632"/>
      <c r="I299" s="632"/>
      <c r="J299" s="632"/>
      <c r="K299" s="632"/>
      <c r="L299" s="632"/>
      <c r="M299" s="632"/>
      <c r="N299" s="632"/>
      <c r="O299" s="632"/>
      <c r="P299" s="632"/>
      <c r="Q299" s="632"/>
      <c r="R299" s="598">
        <v>0</v>
      </c>
      <c r="S299" s="631">
        <v>0</v>
      </c>
      <c r="T299" s="599">
        <v>0</v>
      </c>
      <c r="U299" s="631">
        <v>0</v>
      </c>
      <c r="V299" s="556"/>
      <c r="W299" s="558"/>
      <c r="X299" s="543"/>
    </row>
    <row r="300" spans="1:24" s="544" customFormat="1" x14ac:dyDescent="0.3">
      <c r="A300" s="555"/>
      <c r="B300" s="598"/>
      <c r="C300" s="556"/>
      <c r="D300" s="556"/>
      <c r="E300" s="556"/>
      <c r="F300" s="556"/>
      <c r="G300" s="556"/>
      <c r="H300" s="632"/>
      <c r="I300" s="632"/>
      <c r="J300" s="632"/>
      <c r="K300" s="632"/>
      <c r="L300" s="632"/>
      <c r="M300" s="632"/>
      <c r="N300" s="632"/>
      <c r="O300" s="632"/>
      <c r="P300" s="632"/>
      <c r="Q300" s="632"/>
      <c r="R300" s="598"/>
      <c r="S300" s="631"/>
      <c r="T300" s="599"/>
      <c r="U300" s="631"/>
      <c r="V300" s="556"/>
      <c r="W300" s="558"/>
      <c r="X300" s="543"/>
    </row>
    <row r="301" spans="1:24" s="544" customFormat="1" x14ac:dyDescent="0.3">
      <c r="A301" s="555"/>
      <c r="B301" s="556" t="s">
        <v>114</v>
      </c>
      <c r="C301" s="556"/>
      <c r="D301" s="556"/>
      <c r="E301" s="556"/>
      <c r="F301" s="556"/>
      <c r="G301" s="556"/>
      <c r="H301" s="632"/>
      <c r="I301" s="632"/>
      <c r="J301" s="632"/>
      <c r="K301" s="632"/>
      <c r="L301" s="632"/>
      <c r="M301" s="632"/>
      <c r="N301" s="632"/>
      <c r="O301" s="632"/>
      <c r="P301" s="632"/>
      <c r="Q301" s="632"/>
      <c r="R301" s="598">
        <f>SUM(R292:R299)</f>
        <v>0</v>
      </c>
      <c r="S301" s="631">
        <f>SUM(S292:S300)</f>
        <v>0</v>
      </c>
      <c r="T301" s="599">
        <f>SUM(T292:T299)</f>
        <v>0</v>
      </c>
      <c r="U301" s="631">
        <f>SUM(U292:U300)</f>
        <v>0</v>
      </c>
      <c r="V301" s="556"/>
      <c r="W301" s="558"/>
      <c r="X301" s="543"/>
    </row>
    <row r="302" spans="1:24" s="544" customFormat="1" x14ac:dyDescent="0.3">
      <c r="A302" s="555"/>
      <c r="B302" s="556"/>
      <c r="C302" s="556"/>
      <c r="D302" s="556"/>
      <c r="E302" s="556"/>
      <c r="F302" s="556"/>
      <c r="G302" s="556"/>
      <c r="H302" s="632"/>
      <c r="I302" s="632"/>
      <c r="J302" s="632"/>
      <c r="K302" s="632"/>
      <c r="L302" s="632"/>
      <c r="M302" s="632"/>
      <c r="N302" s="632"/>
      <c r="O302" s="632"/>
      <c r="P302" s="632"/>
      <c r="Q302" s="632"/>
      <c r="R302" s="598"/>
      <c r="S302" s="631"/>
      <c r="T302" s="599"/>
      <c r="U302" s="631"/>
      <c r="V302" s="556"/>
      <c r="W302" s="558"/>
      <c r="X302" s="543"/>
    </row>
    <row r="303" spans="1:24" s="544" customFormat="1" x14ac:dyDescent="0.3">
      <c r="A303" s="555"/>
      <c r="B303" s="561" t="s">
        <v>164</v>
      </c>
      <c r="C303" s="556"/>
      <c r="D303" s="556"/>
      <c r="E303" s="556"/>
      <c r="F303" s="556"/>
      <c r="G303" s="556"/>
      <c r="H303" s="632"/>
      <c r="I303" s="632"/>
      <c r="J303" s="632"/>
      <c r="K303" s="632"/>
      <c r="L303" s="632"/>
      <c r="M303" s="632"/>
      <c r="N303" s="632"/>
      <c r="O303" s="632"/>
      <c r="P303" s="632"/>
      <c r="Q303" s="632"/>
      <c r="R303" s="634">
        <f>R301+R279+R267</f>
        <v>0</v>
      </c>
      <c r="S303" s="631"/>
      <c r="T303" s="635">
        <f>+T301+T279+T267</f>
        <v>0</v>
      </c>
      <c r="U303" s="631"/>
      <c r="V303" s="556"/>
      <c r="W303" s="558"/>
      <c r="X303" s="543"/>
    </row>
    <row r="304" spans="1:24" s="544" customFormat="1" x14ac:dyDescent="0.3">
      <c r="A304" s="540"/>
      <c r="B304" s="629"/>
      <c r="C304" s="588"/>
      <c r="D304" s="588"/>
      <c r="E304" s="588"/>
      <c r="F304" s="588"/>
      <c r="G304" s="588"/>
      <c r="H304" s="633"/>
      <c r="I304" s="633"/>
      <c r="J304" s="633"/>
      <c r="K304" s="633"/>
      <c r="L304" s="633"/>
      <c r="M304" s="633"/>
      <c r="N304" s="633"/>
      <c r="O304" s="633"/>
      <c r="P304" s="633"/>
      <c r="Q304" s="633"/>
      <c r="R304" s="617"/>
      <c r="S304" s="628"/>
      <c r="T304" s="643"/>
      <c r="U304" s="628"/>
      <c r="V304" s="588"/>
      <c r="W304" s="588"/>
      <c r="X304" s="543"/>
    </row>
    <row r="305" spans="1:24" s="544" customFormat="1" x14ac:dyDescent="0.3">
      <c r="A305" s="515" t="s">
        <v>392</v>
      </c>
      <c r="B305" s="523" t="s">
        <v>393</v>
      </c>
      <c r="C305" s="517"/>
      <c r="D305" s="517"/>
      <c r="E305" s="517"/>
      <c r="F305" s="517"/>
      <c r="G305" s="517"/>
      <c r="H305" s="536"/>
      <c r="I305" s="536"/>
      <c r="J305" s="536"/>
      <c r="K305" s="536"/>
      <c r="L305" s="536"/>
      <c r="M305" s="536"/>
      <c r="N305" s="536"/>
      <c r="O305" s="536"/>
      <c r="P305" s="536"/>
      <c r="Q305" s="536"/>
      <c r="R305" s="534" t="s">
        <v>102</v>
      </c>
      <c r="S305" s="524" t="s">
        <v>103</v>
      </c>
      <c r="T305" s="534" t="s">
        <v>109</v>
      </c>
      <c r="U305" s="524" t="s">
        <v>103</v>
      </c>
      <c r="V305" s="648" t="s">
        <v>421</v>
      </c>
      <c r="W305" s="520"/>
      <c r="X305" s="543"/>
    </row>
    <row r="306" spans="1:24" s="544" customFormat="1" x14ac:dyDescent="0.3">
      <c r="A306" s="540"/>
      <c r="B306" s="600" t="s">
        <v>88</v>
      </c>
      <c r="C306" s="588"/>
      <c r="D306" s="588"/>
      <c r="E306" s="588"/>
      <c r="F306" s="588"/>
      <c r="G306" s="588"/>
      <c r="H306" s="633"/>
      <c r="I306" s="633"/>
      <c r="J306" s="633"/>
      <c r="K306" s="633"/>
      <c r="L306" s="633"/>
      <c r="M306" s="633"/>
      <c r="N306" s="633"/>
      <c r="O306" s="633"/>
      <c r="P306" s="633"/>
      <c r="Q306" s="633"/>
      <c r="R306" s="600">
        <v>0</v>
      </c>
      <c r="S306" s="628">
        <v>0</v>
      </c>
      <c r="T306" s="601">
        <v>0</v>
      </c>
      <c r="U306" s="628">
        <v>0</v>
      </c>
      <c r="V306" s="588"/>
      <c r="W306" s="588"/>
      <c r="X306" s="543"/>
    </row>
    <row r="307" spans="1:24" s="544" customFormat="1" x14ac:dyDescent="0.3">
      <c r="A307" s="555"/>
      <c r="B307" s="598" t="s">
        <v>89</v>
      </c>
      <c r="C307" s="556"/>
      <c r="D307" s="556"/>
      <c r="E307" s="556"/>
      <c r="F307" s="556"/>
      <c r="G307" s="556"/>
      <c r="H307" s="632"/>
      <c r="I307" s="632"/>
      <c r="J307" s="632"/>
      <c r="K307" s="632"/>
      <c r="L307" s="632"/>
      <c r="M307" s="632"/>
      <c r="N307" s="632"/>
      <c r="O307" s="632"/>
      <c r="P307" s="632"/>
      <c r="Q307" s="632"/>
      <c r="R307" s="598">
        <v>0</v>
      </c>
      <c r="S307" s="631">
        <v>0</v>
      </c>
      <c r="T307" s="599">
        <v>0</v>
      </c>
      <c r="U307" s="631">
        <v>0</v>
      </c>
      <c r="V307" s="556"/>
      <c r="W307" s="558"/>
      <c r="X307" s="543"/>
    </row>
    <row r="308" spans="1:24" s="544" customFormat="1" x14ac:dyDescent="0.3">
      <c r="A308" s="555"/>
      <c r="B308" s="598" t="s">
        <v>90</v>
      </c>
      <c r="C308" s="556"/>
      <c r="D308" s="556"/>
      <c r="E308" s="556"/>
      <c r="F308" s="556"/>
      <c r="G308" s="556"/>
      <c r="H308" s="632"/>
      <c r="I308" s="632"/>
      <c r="J308" s="632"/>
      <c r="K308" s="632"/>
      <c r="L308" s="632"/>
      <c r="M308" s="632"/>
      <c r="N308" s="632"/>
      <c r="O308" s="632"/>
      <c r="P308" s="632"/>
      <c r="Q308" s="632"/>
      <c r="R308" s="598">
        <v>0</v>
      </c>
      <c r="S308" s="631">
        <v>0</v>
      </c>
      <c r="T308" s="599">
        <v>0</v>
      </c>
      <c r="U308" s="631">
        <v>0</v>
      </c>
      <c r="V308" s="556"/>
      <c r="W308" s="558"/>
      <c r="X308" s="543"/>
    </row>
    <row r="309" spans="1:24" s="544" customFormat="1" x14ac:dyDescent="0.3">
      <c r="A309" s="555"/>
      <c r="B309" s="598" t="s">
        <v>156</v>
      </c>
      <c r="C309" s="556"/>
      <c r="D309" s="556"/>
      <c r="E309" s="556"/>
      <c r="F309" s="556"/>
      <c r="G309" s="556"/>
      <c r="H309" s="632"/>
      <c r="I309" s="632"/>
      <c r="J309" s="632"/>
      <c r="K309" s="632"/>
      <c r="L309" s="632"/>
      <c r="M309" s="632"/>
      <c r="N309" s="632"/>
      <c r="O309" s="632"/>
      <c r="P309" s="632"/>
      <c r="Q309" s="632"/>
      <c r="R309" s="598">
        <v>0</v>
      </c>
      <c r="S309" s="631">
        <v>0</v>
      </c>
      <c r="T309" s="599">
        <v>0</v>
      </c>
      <c r="U309" s="631">
        <v>0</v>
      </c>
      <c r="V309" s="556"/>
      <c r="W309" s="558"/>
      <c r="X309" s="543"/>
    </row>
    <row r="310" spans="1:24" s="544" customFormat="1" x14ac:dyDescent="0.3">
      <c r="A310" s="555"/>
      <c r="B310" s="598" t="s">
        <v>157</v>
      </c>
      <c r="C310" s="556"/>
      <c r="D310" s="556"/>
      <c r="E310" s="556"/>
      <c r="F310" s="556"/>
      <c r="G310" s="556"/>
      <c r="H310" s="632"/>
      <c r="I310" s="632"/>
      <c r="J310" s="632"/>
      <c r="K310" s="632"/>
      <c r="L310" s="632"/>
      <c r="M310" s="632"/>
      <c r="N310" s="632"/>
      <c r="O310" s="632"/>
      <c r="P310" s="632"/>
      <c r="Q310" s="632"/>
      <c r="R310" s="598">
        <v>0</v>
      </c>
      <c r="S310" s="631">
        <v>0</v>
      </c>
      <c r="T310" s="599">
        <v>0</v>
      </c>
      <c r="U310" s="631">
        <v>0</v>
      </c>
      <c r="V310" s="556"/>
      <c r="W310" s="558"/>
      <c r="X310" s="543"/>
    </row>
    <row r="311" spans="1:24" s="544" customFormat="1" x14ac:dyDescent="0.3">
      <c r="A311" s="555"/>
      <c r="B311" s="598" t="s">
        <v>158</v>
      </c>
      <c r="C311" s="556"/>
      <c r="D311" s="556"/>
      <c r="E311" s="556"/>
      <c r="F311" s="556"/>
      <c r="G311" s="556"/>
      <c r="H311" s="632"/>
      <c r="I311" s="632"/>
      <c r="J311" s="632"/>
      <c r="K311" s="632"/>
      <c r="L311" s="632"/>
      <c r="M311" s="632"/>
      <c r="N311" s="632"/>
      <c r="O311" s="632"/>
      <c r="P311" s="632"/>
      <c r="Q311" s="632"/>
      <c r="R311" s="598">
        <v>0</v>
      </c>
      <c r="S311" s="631">
        <v>0</v>
      </c>
      <c r="T311" s="599">
        <v>0</v>
      </c>
      <c r="U311" s="631">
        <v>0</v>
      </c>
      <c r="V311" s="556"/>
      <c r="W311" s="558"/>
      <c r="X311" s="543"/>
    </row>
    <row r="312" spans="1:24" s="544" customFormat="1" x14ac:dyDescent="0.3">
      <c r="A312" s="555"/>
      <c r="B312" s="598" t="s">
        <v>159</v>
      </c>
      <c r="C312" s="556"/>
      <c r="D312" s="556"/>
      <c r="E312" s="556"/>
      <c r="F312" s="556"/>
      <c r="G312" s="556"/>
      <c r="H312" s="632"/>
      <c r="I312" s="632"/>
      <c r="J312" s="632"/>
      <c r="K312" s="632"/>
      <c r="L312" s="632"/>
      <c r="M312" s="632"/>
      <c r="N312" s="632"/>
      <c r="O312" s="632"/>
      <c r="P312" s="632"/>
      <c r="Q312" s="632"/>
      <c r="R312" s="598">
        <v>0</v>
      </c>
      <c r="S312" s="631">
        <v>0</v>
      </c>
      <c r="T312" s="599">
        <v>0</v>
      </c>
      <c r="U312" s="631">
        <v>0</v>
      </c>
      <c r="V312" s="556"/>
      <c r="W312" s="558"/>
      <c r="X312" s="543"/>
    </row>
    <row r="313" spans="1:24" s="544" customFormat="1" x14ac:dyDescent="0.3">
      <c r="A313" s="555"/>
      <c r="B313" s="598" t="s">
        <v>160</v>
      </c>
      <c r="C313" s="556"/>
      <c r="D313" s="556"/>
      <c r="E313" s="556"/>
      <c r="F313" s="556"/>
      <c r="G313" s="556"/>
      <c r="H313" s="632"/>
      <c r="I313" s="632"/>
      <c r="J313" s="632"/>
      <c r="K313" s="632"/>
      <c r="L313" s="632"/>
      <c r="M313" s="632"/>
      <c r="N313" s="632"/>
      <c r="O313" s="632"/>
      <c r="P313" s="632"/>
      <c r="Q313" s="632"/>
      <c r="R313" s="598">
        <v>0</v>
      </c>
      <c r="S313" s="631">
        <v>0</v>
      </c>
      <c r="T313" s="599">
        <v>0</v>
      </c>
      <c r="U313" s="631">
        <v>0</v>
      </c>
      <c r="V313" s="556"/>
      <c r="W313" s="558"/>
      <c r="X313" s="543"/>
    </row>
    <row r="314" spans="1:24" s="544" customFormat="1" x14ac:dyDescent="0.3">
      <c r="A314" s="555"/>
      <c r="B314" s="598"/>
      <c r="C314" s="556"/>
      <c r="D314" s="556"/>
      <c r="E314" s="556"/>
      <c r="F314" s="556"/>
      <c r="G314" s="556"/>
      <c r="H314" s="632"/>
      <c r="I314" s="632"/>
      <c r="J314" s="632"/>
      <c r="K314" s="632"/>
      <c r="L314" s="632"/>
      <c r="M314" s="632"/>
      <c r="N314" s="632"/>
      <c r="O314" s="632"/>
      <c r="P314" s="632"/>
      <c r="Q314" s="632"/>
      <c r="R314" s="598"/>
      <c r="S314" s="631"/>
      <c r="T314" s="599"/>
      <c r="U314" s="631"/>
      <c r="V314" s="556"/>
      <c r="W314" s="558"/>
      <c r="X314" s="543"/>
    </row>
    <row r="315" spans="1:24" s="544" customFormat="1" x14ac:dyDescent="0.3">
      <c r="A315" s="555"/>
      <c r="B315" s="556" t="s">
        <v>114</v>
      </c>
      <c r="C315" s="556"/>
      <c r="D315" s="556"/>
      <c r="E315" s="556"/>
      <c r="F315" s="556"/>
      <c r="G315" s="556"/>
      <c r="H315" s="632"/>
      <c r="I315" s="632"/>
      <c r="J315" s="632"/>
      <c r="K315" s="632"/>
      <c r="L315" s="632"/>
      <c r="M315" s="632"/>
      <c r="N315" s="632"/>
      <c r="O315" s="632"/>
      <c r="P315" s="632"/>
      <c r="Q315" s="632"/>
      <c r="R315" s="598">
        <f>SUM(R306:R313)</f>
        <v>0</v>
      </c>
      <c r="S315" s="631">
        <f>SUM(S306:S314)</f>
        <v>0</v>
      </c>
      <c r="T315" s="599">
        <f>SUM(T306:T313)</f>
        <v>0</v>
      </c>
      <c r="U315" s="631">
        <f>SUM(U306:U314)</f>
        <v>0</v>
      </c>
      <c r="V315" s="556"/>
      <c r="W315" s="558"/>
      <c r="X315" s="543"/>
    </row>
    <row r="316" spans="1:24" s="544" customFormat="1" ht="16.2" thickBot="1" x14ac:dyDescent="0.35">
      <c r="A316" s="555"/>
      <c r="B316" s="556" t="s">
        <v>412</v>
      </c>
      <c r="C316" s="556"/>
      <c r="D316" s="556"/>
      <c r="E316" s="556"/>
      <c r="F316" s="556"/>
      <c r="G316" s="556"/>
      <c r="H316" s="632"/>
      <c r="I316" s="632"/>
      <c r="J316" s="632"/>
      <c r="K316" s="632"/>
      <c r="L316" s="632"/>
      <c r="M316" s="632"/>
      <c r="N316" s="632"/>
      <c r="O316" s="632"/>
      <c r="P316" s="632"/>
      <c r="Q316" s="632"/>
      <c r="R316" s="658"/>
      <c r="S316" s="658">
        <v>0</v>
      </c>
      <c r="T316" s="660"/>
      <c r="U316" s="660">
        <v>0</v>
      </c>
      <c r="V316" s="556"/>
      <c r="W316" s="558"/>
      <c r="X316" s="543"/>
    </row>
    <row r="317" spans="1:24" s="544" customFormat="1" ht="16.2" thickTop="1" x14ac:dyDescent="0.3">
      <c r="A317" s="661"/>
      <c r="B317" s="662" t="s">
        <v>415</v>
      </c>
      <c r="C317" s="556"/>
      <c r="D317" s="556"/>
      <c r="E317" s="556"/>
      <c r="F317" s="556"/>
      <c r="G317" s="556"/>
      <c r="H317" s="632"/>
      <c r="I317" s="632"/>
      <c r="J317" s="632"/>
      <c r="K317" s="632"/>
      <c r="L317" s="632"/>
      <c r="M317" s="632"/>
      <c r="N317" s="632"/>
      <c r="O317" s="632"/>
      <c r="P317" s="632"/>
      <c r="Q317" s="632"/>
      <c r="R317" s="663">
        <v>0</v>
      </c>
      <c r="S317" s="664">
        <v>0</v>
      </c>
      <c r="T317" s="665">
        <v>0</v>
      </c>
      <c r="U317" s="664">
        <v>0</v>
      </c>
      <c r="V317" s="666">
        <v>0</v>
      </c>
      <c r="W317" s="558"/>
      <c r="X317" s="543"/>
    </row>
    <row r="318" spans="1:24" s="544" customFormat="1" ht="16.2" thickBot="1" x14ac:dyDescent="0.35">
      <c r="A318" s="661"/>
      <c r="B318" s="662" t="s">
        <v>416</v>
      </c>
      <c r="C318" s="556"/>
      <c r="D318" s="556"/>
      <c r="E318" s="556"/>
      <c r="F318" s="556"/>
      <c r="G318" s="556"/>
      <c r="H318" s="632"/>
      <c r="I318" s="632"/>
      <c r="J318" s="632"/>
      <c r="K318" s="632"/>
      <c r="L318" s="632"/>
      <c r="M318" s="632"/>
      <c r="N318" s="632"/>
      <c r="O318" s="632"/>
      <c r="P318" s="632"/>
      <c r="Q318" s="632"/>
      <c r="R318" s="667">
        <v>0</v>
      </c>
      <c r="S318" s="668">
        <v>0</v>
      </c>
      <c r="T318" s="669">
        <v>0</v>
      </c>
      <c r="U318" s="670">
        <v>0</v>
      </c>
      <c r="V318" s="671">
        <v>0</v>
      </c>
      <c r="W318" s="558"/>
      <c r="X318" s="543"/>
    </row>
    <row r="319" spans="1:24" s="544" customFormat="1" ht="16.2" thickTop="1" x14ac:dyDescent="0.3">
      <c r="A319" s="540"/>
      <c r="B319" s="541"/>
      <c r="C319" s="541"/>
      <c r="D319" s="541"/>
      <c r="E319" s="541"/>
      <c r="F319" s="541"/>
      <c r="G319" s="541"/>
      <c r="H319" s="636"/>
      <c r="I319" s="636"/>
      <c r="J319" s="636"/>
      <c r="K319" s="636"/>
      <c r="L319" s="636"/>
      <c r="M319" s="636"/>
      <c r="N319" s="636"/>
      <c r="O319" s="636"/>
      <c r="P319" s="636"/>
      <c r="Q319" s="636"/>
      <c r="R319" s="636"/>
      <c r="S319" s="636"/>
      <c r="T319" s="637"/>
      <c r="U319" s="636"/>
      <c r="V319" s="541"/>
      <c r="W319" s="541"/>
      <c r="X319" s="543"/>
    </row>
    <row r="320" spans="1:24" s="544" customFormat="1" x14ac:dyDescent="0.3">
      <c r="A320" s="540"/>
      <c r="B320" s="539" t="s">
        <v>91</v>
      </c>
      <c r="C320" s="541"/>
      <c r="D320" s="541"/>
      <c r="E320" s="541"/>
      <c r="F320" s="547" t="s">
        <v>97</v>
      </c>
      <c r="G320" s="541"/>
      <c r="H320" s="539" t="s">
        <v>99</v>
      </c>
      <c r="I320" s="539"/>
      <c r="J320" s="539"/>
      <c r="K320" s="541"/>
      <c r="L320" s="541"/>
      <c r="M320" s="541"/>
      <c r="N320" s="541"/>
      <c r="O320" s="541"/>
      <c r="P320" s="541"/>
      <c r="Q320" s="541"/>
      <c r="R320" s="541"/>
      <c r="S320" s="541"/>
      <c r="T320" s="541"/>
      <c r="U320" s="541"/>
      <c r="V320" s="541"/>
      <c r="W320" s="541"/>
      <c r="X320" s="543"/>
    </row>
    <row r="321" spans="1:24" s="544" customFormat="1" x14ac:dyDescent="0.3">
      <c r="A321" s="540"/>
      <c r="B321" s="539" t="s">
        <v>339</v>
      </c>
      <c r="C321" s="539"/>
      <c r="D321" s="539"/>
      <c r="E321" s="539"/>
      <c r="F321" s="638" t="s">
        <v>278</v>
      </c>
      <c r="G321" s="539"/>
      <c r="H321" s="639" t="s">
        <v>372</v>
      </c>
      <c r="I321" s="541"/>
      <c r="J321" s="539"/>
      <c r="K321" s="541"/>
      <c r="L321" s="541"/>
      <c r="M321" s="541"/>
      <c r="N321" s="541"/>
      <c r="O321" s="541"/>
      <c r="P321" s="541"/>
      <c r="Q321" s="541"/>
      <c r="R321" s="541"/>
      <c r="S321" s="541"/>
      <c r="T321" s="541"/>
      <c r="U321" s="541"/>
      <c r="V321" s="541"/>
      <c r="W321" s="541"/>
      <c r="X321" s="543"/>
    </row>
    <row r="322" spans="1:24" s="544" customFormat="1" x14ac:dyDescent="0.3">
      <c r="A322" s="540"/>
      <c r="B322" s="539" t="s">
        <v>340</v>
      </c>
      <c r="C322" s="539"/>
      <c r="D322" s="539"/>
      <c r="E322" s="539"/>
      <c r="F322" s="638" t="s">
        <v>147</v>
      </c>
      <c r="G322" s="539"/>
      <c r="H322" s="639" t="s">
        <v>373</v>
      </c>
      <c r="I322" s="539"/>
      <c r="J322" s="539"/>
      <c r="K322" s="541"/>
      <c r="L322" s="541"/>
      <c r="M322" s="541"/>
      <c r="N322" s="541"/>
      <c r="O322" s="541"/>
      <c r="P322" s="541"/>
      <c r="Q322" s="541"/>
      <c r="R322" s="541"/>
      <c r="S322" s="541"/>
      <c r="T322" s="541"/>
      <c r="U322" s="541"/>
      <c r="V322" s="541"/>
      <c r="W322" s="541"/>
      <c r="X322" s="543"/>
    </row>
    <row r="323" spans="1:24" s="544" customFormat="1" x14ac:dyDescent="0.3">
      <c r="A323" s="540"/>
      <c r="B323" s="539"/>
      <c r="C323" s="539"/>
      <c r="D323" s="539"/>
      <c r="E323" s="539"/>
      <c r="F323" s="638"/>
      <c r="G323" s="539"/>
      <c r="H323" s="539"/>
      <c r="I323" s="539"/>
      <c r="J323" s="539"/>
      <c r="K323" s="541"/>
      <c r="L323" s="541"/>
      <c r="M323" s="541"/>
      <c r="N323" s="541"/>
      <c r="O323" s="541"/>
      <c r="P323" s="541"/>
      <c r="Q323" s="541"/>
      <c r="R323" s="541"/>
      <c r="S323" s="541"/>
      <c r="T323" s="541"/>
      <c r="U323" s="541"/>
      <c r="V323" s="541"/>
      <c r="W323" s="541"/>
      <c r="X323" s="543"/>
    </row>
    <row r="324" spans="1:24" s="544" customFormat="1" x14ac:dyDescent="0.3">
      <c r="A324" s="540"/>
      <c r="B324" s="588" t="s">
        <v>368</v>
      </c>
      <c r="C324" s="539"/>
      <c r="D324" s="539"/>
      <c r="E324" s="539"/>
      <c r="F324" s="638"/>
      <c r="G324" s="539"/>
      <c r="H324" s="539"/>
      <c r="I324" s="539"/>
      <c r="J324" s="539"/>
      <c r="K324" s="541"/>
      <c r="L324" s="541"/>
      <c r="M324" s="541"/>
      <c r="N324" s="541"/>
      <c r="O324" s="541"/>
      <c r="P324" s="541"/>
      <c r="Q324" s="541"/>
      <c r="R324" s="541"/>
      <c r="S324" s="541"/>
      <c r="T324" s="541"/>
      <c r="U324" s="541"/>
      <c r="V324" s="541"/>
      <c r="W324" s="541"/>
      <c r="X324" s="543"/>
    </row>
    <row r="325" spans="1:24" s="544" customFormat="1" x14ac:dyDescent="0.3">
      <c r="A325" s="540"/>
      <c r="B325" s="588" t="s">
        <v>374</v>
      </c>
      <c r="C325" s="539"/>
      <c r="D325" s="539"/>
      <c r="E325" s="539"/>
      <c r="F325" s="638"/>
      <c r="G325" s="539"/>
      <c r="H325" s="539"/>
      <c r="I325" s="539"/>
      <c r="J325" s="539"/>
      <c r="K325" s="541"/>
      <c r="L325" s="541"/>
      <c r="M325" s="541"/>
      <c r="N325" s="541"/>
      <c r="O325" s="541"/>
      <c r="P325" s="541"/>
      <c r="Q325" s="541"/>
      <c r="R325" s="541"/>
      <c r="S325" s="541"/>
      <c r="T325" s="541"/>
      <c r="U325" s="541"/>
      <c r="V325" s="541"/>
      <c r="W325" s="541"/>
      <c r="X325" s="543"/>
    </row>
    <row r="326" spans="1:24" s="544" customFormat="1" x14ac:dyDescent="0.3">
      <c r="A326" s="540"/>
      <c r="B326" s="588" t="s">
        <v>365</v>
      </c>
      <c r="C326" s="539"/>
      <c r="D326" s="539"/>
      <c r="E326" s="539"/>
      <c r="F326" s="638"/>
      <c r="G326" s="539"/>
      <c r="H326" s="539"/>
      <c r="I326" s="539"/>
      <c r="J326" s="539"/>
      <c r="K326" s="541"/>
      <c r="L326" s="541"/>
      <c r="M326" s="541"/>
      <c r="N326" s="541"/>
      <c r="O326" s="541"/>
      <c r="P326" s="541"/>
      <c r="Q326" s="541"/>
      <c r="R326" s="541"/>
      <c r="S326" s="541"/>
      <c r="T326" s="541"/>
      <c r="U326" s="541"/>
      <c r="V326" s="541"/>
      <c r="W326" s="541"/>
      <c r="X326" s="543"/>
    </row>
    <row r="327" spans="1:24" s="544" customFormat="1" x14ac:dyDescent="0.3">
      <c r="A327" s="540"/>
      <c r="B327" s="588" t="s">
        <v>366</v>
      </c>
      <c r="C327" s="539"/>
      <c r="D327" s="539"/>
      <c r="E327" s="539"/>
      <c r="F327" s="638"/>
      <c r="G327" s="539"/>
      <c r="H327" s="539"/>
      <c r="I327" s="539"/>
      <c r="J327" s="539"/>
      <c r="K327" s="541"/>
      <c r="L327" s="541"/>
      <c r="M327" s="541"/>
      <c r="N327" s="541"/>
      <c r="O327" s="541"/>
      <c r="P327" s="541"/>
      <c r="Q327" s="541"/>
      <c r="R327" s="541"/>
      <c r="S327" s="541"/>
      <c r="T327" s="541"/>
      <c r="U327" s="541"/>
      <c r="V327" s="541"/>
      <c r="W327" s="541"/>
      <c r="X327" s="543"/>
    </row>
    <row r="328" spans="1:24" s="544" customFormat="1" x14ac:dyDescent="0.3">
      <c r="A328" s="540"/>
      <c r="B328" s="588"/>
      <c r="C328" s="539"/>
      <c r="D328" s="539"/>
      <c r="E328" s="539"/>
      <c r="F328" s="638"/>
      <c r="G328" s="539"/>
      <c r="H328" s="539"/>
      <c r="I328" s="539"/>
      <c r="J328" s="539"/>
      <c r="K328" s="541"/>
      <c r="L328" s="541"/>
      <c r="M328" s="541"/>
      <c r="N328" s="541"/>
      <c r="O328" s="541"/>
      <c r="P328" s="541"/>
      <c r="Q328" s="541"/>
      <c r="R328" s="541"/>
      <c r="S328" s="541"/>
      <c r="T328" s="541"/>
      <c r="U328" s="541"/>
      <c r="V328" s="541"/>
      <c r="W328" s="541"/>
      <c r="X328" s="543"/>
    </row>
    <row r="329" spans="1:24" s="544" customFormat="1" x14ac:dyDescent="0.3">
      <c r="A329" s="540"/>
      <c r="B329" s="644" t="s">
        <v>411</v>
      </c>
      <c r="C329" s="539"/>
      <c r="D329" s="539"/>
      <c r="E329" s="539"/>
      <c r="F329" s="638"/>
      <c r="G329" s="539"/>
      <c r="H329" s="539"/>
      <c r="I329" s="539"/>
      <c r="J329" s="539"/>
      <c r="K329" s="541"/>
      <c r="L329" s="541"/>
      <c r="M329" s="541"/>
      <c r="N329" s="541"/>
      <c r="O329" s="541"/>
      <c r="P329" s="541"/>
      <c r="Q329" s="541"/>
      <c r="R329" s="541"/>
      <c r="S329" s="541"/>
      <c r="T329" s="541"/>
      <c r="U329" s="541"/>
      <c r="V329" s="541"/>
      <c r="W329" s="541"/>
      <c r="X329" s="543"/>
    </row>
    <row r="330" spans="1:24" s="544" customFormat="1" x14ac:dyDescent="0.3">
      <c r="A330" s="540"/>
      <c r="B330" s="588"/>
      <c r="C330" s="539"/>
      <c r="D330" s="539"/>
      <c r="E330" s="539"/>
      <c r="F330" s="638"/>
      <c r="G330" s="539"/>
      <c r="H330" s="539"/>
      <c r="I330" s="539"/>
      <c r="J330" s="539"/>
      <c r="K330" s="541"/>
      <c r="L330" s="541"/>
      <c r="M330" s="541"/>
      <c r="N330" s="541"/>
      <c r="O330" s="541"/>
      <c r="P330" s="541"/>
      <c r="Q330" s="541"/>
      <c r="R330" s="541"/>
      <c r="S330" s="541"/>
      <c r="T330" s="541"/>
      <c r="U330" s="541"/>
      <c r="V330" s="541"/>
      <c r="W330" s="541"/>
      <c r="X330" s="543"/>
    </row>
    <row r="331" spans="1:24" x14ac:dyDescent="0.3">
      <c r="A331" s="417"/>
      <c r="B331" s="426"/>
      <c r="C331" s="426"/>
      <c r="D331" s="426"/>
      <c r="E331" s="426"/>
      <c r="F331" s="489"/>
      <c r="G331" s="426"/>
      <c r="H331" s="426"/>
      <c r="I331" s="426"/>
      <c r="J331" s="426"/>
      <c r="K331" s="427"/>
      <c r="L331" s="427"/>
      <c r="M331" s="427"/>
      <c r="N331" s="427"/>
      <c r="O331" s="427"/>
      <c r="P331" s="427"/>
      <c r="Q331" s="427"/>
      <c r="R331" s="427"/>
      <c r="S331" s="427"/>
      <c r="T331" s="427"/>
      <c r="U331" s="427"/>
      <c r="V331" s="427"/>
      <c r="W331" s="427"/>
      <c r="X331" s="415"/>
    </row>
    <row r="332" spans="1:24" ht="18" x14ac:dyDescent="0.35">
      <c r="A332" s="417"/>
      <c r="B332" s="514" t="s">
        <v>369</v>
      </c>
      <c r="C332" s="426"/>
      <c r="D332" s="426"/>
      <c r="E332" s="426"/>
      <c r="F332" s="426"/>
      <c r="G332" s="426"/>
      <c r="H332" s="427"/>
      <c r="I332" s="427"/>
      <c r="J332" s="427"/>
      <c r="K332" s="427"/>
      <c r="L332" s="419"/>
      <c r="M332" s="419"/>
      <c r="N332" s="490"/>
      <c r="O332" s="419"/>
      <c r="P332" s="412" t="s">
        <v>371</v>
      </c>
      <c r="Q332" s="427"/>
      <c r="R332" s="427"/>
      <c r="S332" s="427"/>
      <c r="T332" s="427"/>
      <c r="U332" s="427"/>
      <c r="V332" s="427"/>
      <c r="W332" s="427"/>
      <c r="X332" s="415"/>
    </row>
    <row r="333" spans="1:24" x14ac:dyDescent="0.3">
      <c r="A333" s="417"/>
      <c r="B333" s="426"/>
      <c r="C333" s="426"/>
      <c r="D333" s="426"/>
      <c r="E333" s="426"/>
      <c r="F333" s="426"/>
      <c r="G333" s="426"/>
      <c r="H333" s="427"/>
      <c r="I333" s="427"/>
      <c r="J333" s="427"/>
      <c r="K333" s="427"/>
      <c r="L333" s="427"/>
      <c r="M333" s="427"/>
      <c r="N333" s="427"/>
      <c r="O333" s="427"/>
      <c r="P333" s="427"/>
      <c r="Q333" s="427"/>
      <c r="R333" s="427"/>
      <c r="S333" s="427"/>
      <c r="T333" s="427"/>
      <c r="U333" s="427"/>
      <c r="V333" s="427"/>
      <c r="W333" s="427"/>
      <c r="X333" s="415"/>
    </row>
    <row r="334" spans="1:24" ht="18.600000000000001" thickBot="1" x14ac:dyDescent="0.4">
      <c r="A334" s="417"/>
      <c r="B334" s="640" t="str">
        <f>B207</f>
        <v>PM14 INVESTOR REPORT QUARTER ENDING MAY 2021</v>
      </c>
      <c r="C334" s="426"/>
      <c r="D334" s="426"/>
      <c r="E334" s="426"/>
      <c r="F334" s="426"/>
      <c r="G334" s="426"/>
      <c r="H334" s="427"/>
      <c r="I334" s="427"/>
      <c r="J334" s="427"/>
      <c r="K334" s="427"/>
      <c r="L334" s="427"/>
      <c r="M334" s="427"/>
      <c r="N334" s="427"/>
      <c r="O334" s="427"/>
      <c r="P334" s="427"/>
      <c r="Q334" s="427"/>
      <c r="R334" s="427"/>
      <c r="S334" s="427"/>
      <c r="T334" s="427"/>
      <c r="U334" s="427"/>
      <c r="V334" s="427"/>
      <c r="W334" s="427"/>
      <c r="X334" s="415"/>
    </row>
    <row r="335" spans="1:24" x14ac:dyDescent="0.3">
      <c r="A335" s="491"/>
      <c r="B335" s="491"/>
      <c r="C335" s="491"/>
      <c r="D335" s="491"/>
      <c r="E335" s="491"/>
      <c r="F335" s="491"/>
      <c r="G335" s="491"/>
      <c r="H335" s="491"/>
      <c r="I335" s="491"/>
      <c r="J335" s="491"/>
      <c r="K335" s="491"/>
      <c r="L335" s="491"/>
      <c r="M335" s="491"/>
      <c r="N335" s="491"/>
      <c r="O335" s="491"/>
      <c r="P335" s="491"/>
      <c r="Q335" s="491"/>
      <c r="R335" s="491"/>
      <c r="S335" s="491"/>
      <c r="T335" s="491"/>
      <c r="U335" s="491"/>
      <c r="V335" s="491"/>
      <c r="W335" s="491"/>
    </row>
    <row r="336" spans="1:24" x14ac:dyDescent="0.3">
      <c r="B336" s="645" t="s">
        <v>394</v>
      </c>
    </row>
    <row r="337" spans="2:2" x14ac:dyDescent="0.3">
      <c r="B337" s="646" t="s">
        <v>395</v>
      </c>
    </row>
    <row r="338" spans="2:2" x14ac:dyDescent="0.3">
      <c r="B338" s="646" t="s">
        <v>396</v>
      </c>
    </row>
    <row r="339" spans="2:2" x14ac:dyDescent="0.3">
      <c r="B339" s="646" t="s">
        <v>397</v>
      </c>
    </row>
    <row r="340" spans="2:2" x14ac:dyDescent="0.3">
      <c r="B340" s="646" t="s">
        <v>398</v>
      </c>
    </row>
    <row r="341" spans="2:2" x14ac:dyDescent="0.3">
      <c r="B341" s="646" t="s">
        <v>399</v>
      </c>
    </row>
    <row r="342" spans="2:2" x14ac:dyDescent="0.3">
      <c r="B342" s="646" t="s">
        <v>400</v>
      </c>
    </row>
    <row r="343" spans="2:2" x14ac:dyDescent="0.3">
      <c r="B343" s="646" t="s">
        <v>401</v>
      </c>
    </row>
    <row r="344" spans="2:2" x14ac:dyDescent="0.3">
      <c r="B344" s="646"/>
    </row>
    <row r="345" spans="2:2" x14ac:dyDescent="0.3">
      <c r="B345" s="645" t="s">
        <v>417</v>
      </c>
    </row>
    <row r="346" spans="2:2" x14ac:dyDescent="0.3">
      <c r="B346" s="646" t="s">
        <v>423</v>
      </c>
    </row>
    <row r="347" spans="2:2" x14ac:dyDescent="0.3">
      <c r="B347" s="646" t="s">
        <v>430</v>
      </c>
    </row>
    <row r="348" spans="2:2" x14ac:dyDescent="0.3">
      <c r="B348" s="646"/>
    </row>
    <row r="349" spans="2:2" x14ac:dyDescent="0.3">
      <c r="B349" s="645" t="s">
        <v>402</v>
      </c>
    </row>
    <row r="350" spans="2:2" x14ac:dyDescent="0.3">
      <c r="B350" s="646" t="s">
        <v>403</v>
      </c>
    </row>
    <row r="351" spans="2:2" x14ac:dyDescent="0.3">
      <c r="B351" s="646" t="s">
        <v>404</v>
      </c>
    </row>
  </sheetData>
  <hyperlinks>
    <hyperlink ref="I9" r:id="rId1" xr:uid="{D407F6D4-C9CC-413C-B4F8-5319B77CBE1B}"/>
    <hyperlink ref="P243" r:id="rId2" xr:uid="{84438BAC-CA95-4F53-8104-55A1818DE086}"/>
    <hyperlink ref="P332" r:id="rId3" xr:uid="{1CC1E87B-83BC-4AF9-B14D-1DC635A00432}"/>
  </hyperlinks>
  <printOptions horizontalCentered="1" verticalCentered="1"/>
  <pageMargins left="0.19685039370078741" right="0.19685039370078741" top="0.27559055118110237" bottom="0.27559055118110237" header="0" footer="0"/>
  <pageSetup scale="37" orientation="landscape" r:id="rId4"/>
  <headerFooter alignWithMargins="0"/>
  <rowBreaks count="3" manualBreakCount="3">
    <brk id="63" max="23" man="1"/>
    <brk id="141" max="14" man="1"/>
    <brk id="207" max="14" man="1"/>
  </rowBreaks>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4"/>
  </sheetPr>
  <dimension ref="A1:IV289"/>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2"/>
      <c r="B1" s="3" t="s">
        <v>244</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245</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137</v>
      </c>
      <c r="C5" s="8"/>
      <c r="D5" s="8"/>
      <c r="E5" s="8"/>
      <c r="F5" s="8"/>
      <c r="G5" s="8"/>
      <c r="H5" s="8"/>
      <c r="I5" s="8"/>
      <c r="J5" s="8"/>
      <c r="K5" s="8"/>
      <c r="L5" s="8"/>
      <c r="M5" s="8"/>
      <c r="N5" s="8"/>
      <c r="O5" s="8"/>
      <c r="P5" s="8"/>
      <c r="Q5" s="8"/>
      <c r="R5" s="8"/>
      <c r="S5" s="8"/>
      <c r="T5" s="8"/>
      <c r="U5" s="8"/>
      <c r="V5" s="8"/>
      <c r="W5" s="8"/>
      <c r="X5" s="5"/>
    </row>
    <row r="6" spans="1:24" ht="15.6" x14ac:dyDescent="0.3">
      <c r="A6" s="6"/>
      <c r="B6" s="11" t="s">
        <v>139</v>
      </c>
      <c r="C6" s="8"/>
      <c r="D6" s="8"/>
      <c r="E6" s="8"/>
      <c r="F6" s="8"/>
      <c r="G6" s="8"/>
      <c r="H6" s="8"/>
      <c r="I6" s="8"/>
      <c r="J6" s="8"/>
      <c r="K6" s="8"/>
      <c r="L6" s="8"/>
      <c r="M6" s="8"/>
      <c r="N6" s="8"/>
      <c r="O6" s="8"/>
      <c r="P6" s="8"/>
      <c r="Q6" s="8"/>
      <c r="R6" s="8"/>
      <c r="S6" s="8"/>
      <c r="T6" s="8"/>
      <c r="U6" s="8"/>
      <c r="V6" s="8"/>
      <c r="W6" s="8"/>
      <c r="X6" s="5"/>
    </row>
    <row r="7" spans="1:24" ht="15.6" x14ac:dyDescent="0.3">
      <c r="A7" s="6"/>
      <c r="B7" s="11" t="s">
        <v>138</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5" t="s">
        <v>166</v>
      </c>
      <c r="C9" s="8"/>
      <c r="D9" s="8"/>
      <c r="E9" s="8"/>
      <c r="F9" s="8"/>
      <c r="G9" s="8"/>
      <c r="H9" s="8"/>
      <c r="I9" s="146" t="s">
        <v>167</v>
      </c>
      <c r="J9" s="8"/>
      <c r="K9" s="8"/>
      <c r="L9" s="146"/>
      <c r="M9" s="8"/>
      <c r="N9" s="146"/>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246</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104</v>
      </c>
      <c r="S15" s="135">
        <v>0.38300000000000001</v>
      </c>
      <c r="T15" s="17" t="s">
        <v>140</v>
      </c>
      <c r="U15" s="135">
        <v>0.61699999999999999</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104</v>
      </c>
      <c r="S16" s="135">
        <v>0.43709999999999999</v>
      </c>
      <c r="T16" s="17" t="s">
        <v>140</v>
      </c>
      <c r="U16" s="135">
        <v>0.56289999999999996</v>
      </c>
      <c r="V16" s="16"/>
      <c r="W16" s="15"/>
      <c r="X16" s="5"/>
    </row>
    <row r="17" spans="1:24" ht="15.6" x14ac:dyDescent="0.3">
      <c r="A17" s="6"/>
      <c r="B17" s="14" t="s">
        <v>4</v>
      </c>
      <c r="C17" s="15"/>
      <c r="D17" s="15"/>
      <c r="E17" s="15"/>
      <c r="F17" s="15"/>
      <c r="G17" s="15"/>
      <c r="H17" s="15"/>
      <c r="I17" s="15"/>
      <c r="J17" s="15"/>
      <c r="K17" s="15"/>
      <c r="L17" s="15"/>
      <c r="M17" s="15"/>
      <c r="N17" s="15"/>
      <c r="O17" s="15"/>
      <c r="P17" s="15"/>
      <c r="Q17" s="15"/>
      <c r="R17" s="15"/>
      <c r="S17" s="15"/>
      <c r="T17" s="15"/>
      <c r="U17" s="15"/>
      <c r="V17" s="19">
        <v>39163</v>
      </c>
      <c r="W17" s="15"/>
      <c r="X17" s="5"/>
    </row>
    <row r="18" spans="1:24" ht="15.6" x14ac:dyDescent="0.3">
      <c r="A18" s="6"/>
      <c r="B18" s="14" t="s">
        <v>5</v>
      </c>
      <c r="C18" s="15"/>
      <c r="D18" s="15"/>
      <c r="E18" s="15"/>
      <c r="F18" s="15"/>
      <c r="G18" s="15"/>
      <c r="H18" s="15"/>
      <c r="I18" s="15"/>
      <c r="J18" s="15"/>
      <c r="K18" s="15"/>
      <c r="L18" s="15"/>
      <c r="M18" s="15"/>
      <c r="N18" s="15"/>
      <c r="O18" s="15"/>
      <c r="P18" s="15"/>
      <c r="Q18" s="15"/>
      <c r="R18" s="15"/>
      <c r="S18" s="15"/>
      <c r="T18" s="15"/>
      <c r="U18" s="15"/>
      <c r="V18" s="19">
        <v>39805</v>
      </c>
      <c r="W18" s="15"/>
      <c r="X18" s="5"/>
    </row>
    <row r="19" spans="1:24"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4" ht="15.6" x14ac:dyDescent="0.3">
      <c r="A20" s="6"/>
      <c r="B20" s="21" t="s">
        <v>6</v>
      </c>
      <c r="C20" s="8"/>
      <c r="D20" s="8"/>
      <c r="E20" s="8"/>
      <c r="F20" s="8"/>
      <c r="G20" s="8"/>
      <c r="H20" s="8"/>
      <c r="I20" s="8"/>
      <c r="J20" s="8"/>
      <c r="K20" s="8"/>
      <c r="L20" s="8"/>
      <c r="M20" s="8"/>
      <c r="N20" s="8"/>
      <c r="O20" s="8"/>
      <c r="P20" s="8"/>
      <c r="Q20" s="8"/>
      <c r="R20" s="8"/>
      <c r="S20" s="8"/>
      <c r="T20" s="20" t="s">
        <v>105</v>
      </c>
      <c r="U20" s="8"/>
      <c r="V20" s="173"/>
      <c r="W20" s="8"/>
      <c r="X20" s="5"/>
    </row>
    <row r="21" spans="1:24"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4" ht="15.6" x14ac:dyDescent="0.3">
      <c r="A22" s="6"/>
      <c r="B22" s="8"/>
      <c r="C22" s="112"/>
      <c r="D22" s="112" t="s">
        <v>177</v>
      </c>
      <c r="E22" s="112"/>
      <c r="F22" s="112" t="s">
        <v>178</v>
      </c>
      <c r="G22" s="112"/>
      <c r="H22" s="112" t="s">
        <v>179</v>
      </c>
      <c r="I22" s="112"/>
      <c r="J22" s="112" t="s">
        <v>220</v>
      </c>
      <c r="K22" s="112"/>
      <c r="L22" s="112" t="s">
        <v>180</v>
      </c>
      <c r="M22" s="112"/>
      <c r="N22" s="112" t="s">
        <v>181</v>
      </c>
      <c r="O22" s="112"/>
      <c r="P22" s="112" t="s">
        <v>221</v>
      </c>
      <c r="Q22" s="112"/>
      <c r="R22" s="112" t="s">
        <v>182</v>
      </c>
      <c r="S22" s="113"/>
      <c r="T22" s="23"/>
      <c r="U22" s="173"/>
      <c r="V22" s="173"/>
      <c r="W22" s="8"/>
      <c r="X22" s="5"/>
    </row>
    <row r="23" spans="1:24" ht="15.6" x14ac:dyDescent="0.3">
      <c r="A23" s="24"/>
      <c r="B23" s="25" t="s">
        <v>7</v>
      </c>
      <c r="C23" s="26"/>
      <c r="D23" s="26" t="s">
        <v>213</v>
      </c>
      <c r="E23" s="26"/>
      <c r="F23" s="26" t="s">
        <v>141</v>
      </c>
      <c r="G23" s="26"/>
      <c r="H23" s="26" t="s">
        <v>141</v>
      </c>
      <c r="I23" s="26"/>
      <c r="J23" s="26" t="s">
        <v>141</v>
      </c>
      <c r="K23" s="26"/>
      <c r="L23" s="26" t="s">
        <v>183</v>
      </c>
      <c r="M23" s="26"/>
      <c r="N23" s="26" t="s">
        <v>183</v>
      </c>
      <c r="O23" s="26"/>
      <c r="P23" s="26" t="s">
        <v>142</v>
      </c>
      <c r="Q23" s="26"/>
      <c r="R23" s="26" t="s">
        <v>142</v>
      </c>
      <c r="S23" s="26"/>
      <c r="T23" s="26"/>
      <c r="U23" s="174"/>
      <c r="V23" s="174"/>
      <c r="W23" s="25"/>
      <c r="X23" s="5"/>
    </row>
    <row r="24" spans="1:24" ht="15.6" x14ac:dyDescent="0.3">
      <c r="A24" s="24"/>
      <c r="B24" s="25" t="s">
        <v>8</v>
      </c>
      <c r="C24" s="26"/>
      <c r="D24" s="26" t="s">
        <v>214</v>
      </c>
      <c r="E24" s="26"/>
      <c r="F24" s="26" t="s">
        <v>143</v>
      </c>
      <c r="G24" s="26"/>
      <c r="H24" s="26" t="s">
        <v>143</v>
      </c>
      <c r="I24" s="26"/>
      <c r="J24" s="26" t="s">
        <v>143</v>
      </c>
      <c r="K24" s="26"/>
      <c r="L24" s="26" t="s">
        <v>165</v>
      </c>
      <c r="M24" s="26"/>
      <c r="N24" s="26" t="s">
        <v>165</v>
      </c>
      <c r="O24" s="26"/>
      <c r="P24" s="26" t="s">
        <v>144</v>
      </c>
      <c r="Q24" s="26"/>
      <c r="R24" s="26" t="s">
        <v>144</v>
      </c>
      <c r="S24" s="26"/>
      <c r="T24" s="26"/>
      <c r="U24" s="174"/>
      <c r="V24" s="174"/>
      <c r="W24" s="25"/>
      <c r="X24" s="5"/>
    </row>
    <row r="25" spans="1:24" ht="15.6" x14ac:dyDescent="0.3">
      <c r="A25" s="28"/>
      <c r="B25" s="131" t="s">
        <v>190</v>
      </c>
      <c r="C25" s="123"/>
      <c r="D25" s="26" t="s">
        <v>215</v>
      </c>
      <c r="E25" s="26"/>
      <c r="F25" s="26" t="s">
        <v>143</v>
      </c>
      <c r="G25" s="26"/>
      <c r="H25" s="26" t="s">
        <v>143</v>
      </c>
      <c r="I25" s="26"/>
      <c r="J25" s="26" t="s">
        <v>143</v>
      </c>
      <c r="K25" s="26"/>
      <c r="L25" s="26" t="s">
        <v>293</v>
      </c>
      <c r="M25" s="26"/>
      <c r="N25" s="26" t="s">
        <v>293</v>
      </c>
      <c r="O25" s="26"/>
      <c r="P25" s="26" t="s">
        <v>144</v>
      </c>
      <c r="Q25" s="26"/>
      <c r="R25" s="26" t="s">
        <v>144</v>
      </c>
      <c r="S25" s="123"/>
      <c r="T25" s="26"/>
      <c r="U25" s="174"/>
      <c r="V25" s="174"/>
      <c r="W25" s="25"/>
      <c r="X25" s="5"/>
    </row>
    <row r="26" spans="1:24" ht="15.6" x14ac:dyDescent="0.3">
      <c r="A26" s="28"/>
      <c r="B26" s="29" t="s">
        <v>9</v>
      </c>
      <c r="C26" s="123"/>
      <c r="D26" s="123" t="s">
        <v>213</v>
      </c>
      <c r="E26" s="123"/>
      <c r="F26" s="123" t="s">
        <v>141</v>
      </c>
      <c r="G26" s="123"/>
      <c r="H26" s="123" t="s">
        <v>141</v>
      </c>
      <c r="I26" s="123"/>
      <c r="J26" s="123" t="s">
        <v>141</v>
      </c>
      <c r="K26" s="123"/>
      <c r="L26" s="123" t="s">
        <v>183</v>
      </c>
      <c r="M26" s="123"/>
      <c r="N26" s="123" t="s">
        <v>183</v>
      </c>
      <c r="O26" s="123"/>
      <c r="P26" s="123" t="s">
        <v>142</v>
      </c>
      <c r="Q26" s="123"/>
      <c r="R26" s="123" t="s">
        <v>142</v>
      </c>
      <c r="S26" s="123"/>
      <c r="T26" s="26"/>
      <c r="U26" s="174"/>
      <c r="V26" s="174"/>
      <c r="W26" s="25"/>
      <c r="X26" s="5"/>
    </row>
    <row r="27" spans="1:24" ht="15.6" x14ac:dyDescent="0.3">
      <c r="A27" s="24"/>
      <c r="B27" s="29" t="s">
        <v>191</v>
      </c>
      <c r="C27" s="26"/>
      <c r="D27" s="123" t="s">
        <v>214</v>
      </c>
      <c r="E27" s="123"/>
      <c r="F27" s="123" t="s">
        <v>143</v>
      </c>
      <c r="G27" s="123"/>
      <c r="H27" s="123" t="s">
        <v>143</v>
      </c>
      <c r="I27" s="123"/>
      <c r="J27" s="123" t="s">
        <v>143</v>
      </c>
      <c r="K27" s="123"/>
      <c r="L27" s="123" t="s">
        <v>165</v>
      </c>
      <c r="M27" s="123"/>
      <c r="N27" s="123" t="s">
        <v>165</v>
      </c>
      <c r="O27" s="123"/>
      <c r="P27" s="123" t="s">
        <v>144</v>
      </c>
      <c r="Q27" s="123"/>
      <c r="R27" s="123" t="s">
        <v>144</v>
      </c>
      <c r="S27" s="26"/>
      <c r="T27" s="30"/>
      <c r="U27" s="174"/>
      <c r="V27" s="174"/>
      <c r="W27" s="25"/>
      <c r="X27" s="5"/>
    </row>
    <row r="28" spans="1:24" ht="15.6" x14ac:dyDescent="0.3">
      <c r="A28" s="24"/>
      <c r="B28" s="151" t="s">
        <v>192</v>
      </c>
      <c r="C28" s="26"/>
      <c r="D28" s="123" t="s">
        <v>215</v>
      </c>
      <c r="E28" s="123"/>
      <c r="F28" s="123" t="s">
        <v>143</v>
      </c>
      <c r="G28" s="123"/>
      <c r="H28" s="123" t="s">
        <v>143</v>
      </c>
      <c r="I28" s="123"/>
      <c r="J28" s="123" t="s">
        <v>143</v>
      </c>
      <c r="K28" s="123"/>
      <c r="L28" s="123" t="s">
        <v>293</v>
      </c>
      <c r="M28" s="123"/>
      <c r="N28" s="123" t="s">
        <v>293</v>
      </c>
      <c r="O28" s="123"/>
      <c r="P28" s="123" t="s">
        <v>144</v>
      </c>
      <c r="Q28" s="123"/>
      <c r="R28" s="123" t="s">
        <v>144</v>
      </c>
      <c r="S28" s="26"/>
      <c r="T28" s="30"/>
      <c r="U28" s="174"/>
      <c r="V28" s="174"/>
      <c r="W28" s="25"/>
      <c r="X28" s="5"/>
    </row>
    <row r="29" spans="1:24" ht="15.6" x14ac:dyDescent="0.3">
      <c r="A29" s="24"/>
      <c r="B29" s="25" t="s">
        <v>10</v>
      </c>
      <c r="C29" s="32"/>
      <c r="D29" s="26" t="s">
        <v>249</v>
      </c>
      <c r="E29" s="26"/>
      <c r="F29" s="30" t="s">
        <v>250</v>
      </c>
      <c r="G29" s="26"/>
      <c r="H29" s="26" t="s">
        <v>251</v>
      </c>
      <c r="I29" s="26"/>
      <c r="J29" s="26" t="s">
        <v>253</v>
      </c>
      <c r="K29" s="26"/>
      <c r="L29" s="26" t="s">
        <v>254</v>
      </c>
      <c r="M29" s="26"/>
      <c r="N29" s="26" t="s">
        <v>255</v>
      </c>
      <c r="O29" s="26"/>
      <c r="P29" s="26" t="s">
        <v>256</v>
      </c>
      <c r="Q29" s="26"/>
      <c r="R29" s="26" t="s">
        <v>257</v>
      </c>
      <c r="S29" s="31"/>
      <c r="T29" s="31"/>
      <c r="U29" s="175"/>
      <c r="V29" s="31"/>
      <c r="W29" s="34"/>
      <c r="X29" s="5"/>
    </row>
    <row r="30" spans="1:24" ht="15.6" x14ac:dyDescent="0.3">
      <c r="A30" s="24"/>
      <c r="B30" s="25" t="s">
        <v>10</v>
      </c>
      <c r="C30" s="32"/>
      <c r="D30" s="26" t="s">
        <v>248</v>
      </c>
      <c r="E30" s="26"/>
      <c r="F30" s="30" t="s">
        <v>118</v>
      </c>
      <c r="G30" s="26"/>
      <c r="H30" s="26" t="s">
        <v>118</v>
      </c>
      <c r="I30" s="26"/>
      <c r="J30" s="26" t="s">
        <v>252</v>
      </c>
      <c r="K30" s="26"/>
      <c r="L30" s="26" t="s">
        <v>118</v>
      </c>
      <c r="M30" s="26"/>
      <c r="N30" s="26" t="s">
        <v>118</v>
      </c>
      <c r="O30" s="26"/>
      <c r="P30" s="26" t="s">
        <v>118</v>
      </c>
      <c r="Q30" s="26"/>
      <c r="R30" s="26" t="s">
        <v>118</v>
      </c>
      <c r="S30" s="31"/>
      <c r="T30" s="31"/>
      <c r="U30" s="175"/>
      <c r="V30" s="31"/>
      <c r="W30" s="34"/>
      <c r="X30" s="5"/>
    </row>
    <row r="31" spans="1:24" ht="15.6" x14ac:dyDescent="0.3">
      <c r="A31" s="28"/>
      <c r="B31" s="25" t="s">
        <v>133</v>
      </c>
      <c r="C31" s="36"/>
      <c r="D31" s="144">
        <v>1500000</v>
      </c>
      <c r="E31" s="32"/>
      <c r="F31" s="31">
        <v>125000</v>
      </c>
      <c r="G31" s="31"/>
      <c r="H31" s="124">
        <v>246000</v>
      </c>
      <c r="I31" s="124"/>
      <c r="J31" s="144">
        <v>400000</v>
      </c>
      <c r="K31" s="31"/>
      <c r="L31" s="31">
        <v>51900</v>
      </c>
      <c r="M31" s="31"/>
      <c r="N31" s="124">
        <v>88800</v>
      </c>
      <c r="O31" s="31"/>
      <c r="P31" s="31">
        <v>20000</v>
      </c>
      <c r="Q31" s="31"/>
      <c r="R31" s="124">
        <v>135500</v>
      </c>
      <c r="S31" s="35"/>
      <c r="T31" s="35"/>
      <c r="U31" s="37"/>
      <c r="V31" s="35"/>
      <c r="W31" s="34"/>
      <c r="X31" s="5"/>
    </row>
    <row r="32" spans="1:24" ht="15.6" x14ac:dyDescent="0.3">
      <c r="A32" s="24"/>
      <c r="B32" s="25" t="s">
        <v>132</v>
      </c>
      <c r="C32" s="32"/>
      <c r="D32" s="144">
        <f>D31*D38</f>
        <v>1289544.45</v>
      </c>
      <c r="E32" s="32"/>
      <c r="F32" s="31">
        <f>F31*F38</f>
        <v>107462.075</v>
      </c>
      <c r="G32" s="31"/>
      <c r="H32" s="124">
        <f>H31*H38</f>
        <v>211485.36360000001</v>
      </c>
      <c r="I32" s="124"/>
      <c r="J32" s="144">
        <f>J31*J38</f>
        <v>343878.51999999996</v>
      </c>
      <c r="K32" s="31"/>
      <c r="L32" s="31">
        <f>+L31</f>
        <v>51900</v>
      </c>
      <c r="M32" s="31"/>
      <c r="N32" s="124">
        <f>+N31</f>
        <v>88800</v>
      </c>
      <c r="O32" s="31"/>
      <c r="P32" s="31">
        <f>+P31</f>
        <v>20000</v>
      </c>
      <c r="Q32" s="31"/>
      <c r="R32" s="124">
        <f>+R31</f>
        <v>135500</v>
      </c>
      <c r="S32" s="31"/>
      <c r="T32" s="31"/>
      <c r="U32" s="175"/>
      <c r="V32" s="31"/>
      <c r="W32" s="34"/>
      <c r="X32" s="5"/>
    </row>
    <row r="33" spans="1:24" ht="15.6" x14ac:dyDescent="0.3">
      <c r="A33" s="24"/>
      <c r="B33" s="29" t="s">
        <v>134</v>
      </c>
      <c r="C33" s="32"/>
      <c r="D33" s="149">
        <f>D37*D31</f>
        <v>1226924.4000000001</v>
      </c>
      <c r="E33" s="36"/>
      <c r="F33" s="35">
        <f>F37*F31</f>
        <v>102243.75</v>
      </c>
      <c r="G33" s="35"/>
      <c r="H33" s="125">
        <f>H31*H37</f>
        <v>201215.69999999998</v>
      </c>
      <c r="I33" s="125"/>
      <c r="J33" s="149">
        <f>J37*J31</f>
        <v>327179.84000000003</v>
      </c>
      <c r="K33" s="35"/>
      <c r="L33" s="35">
        <f>L31*L37</f>
        <v>51900</v>
      </c>
      <c r="M33" s="35"/>
      <c r="N33" s="125">
        <f>N31*N37</f>
        <v>88800</v>
      </c>
      <c r="O33" s="35"/>
      <c r="P33" s="35">
        <f>P31*P37</f>
        <v>20000</v>
      </c>
      <c r="Q33" s="35"/>
      <c r="R33" s="125">
        <f>R31*R37</f>
        <v>135500</v>
      </c>
      <c r="S33" s="31"/>
      <c r="T33" s="31"/>
      <c r="U33" s="175"/>
      <c r="V33" s="31"/>
      <c r="W33" s="34"/>
      <c r="X33" s="5"/>
    </row>
    <row r="34" spans="1:24" ht="15.6" x14ac:dyDescent="0.3">
      <c r="A34" s="28"/>
      <c r="B34" s="25" t="s">
        <v>296</v>
      </c>
      <c r="C34" s="36"/>
      <c r="D34" s="31">
        <v>775194</v>
      </c>
      <c r="E34" s="32"/>
      <c r="F34" s="31">
        <v>125000</v>
      </c>
      <c r="G34" s="31"/>
      <c r="H34" s="31">
        <v>168148</v>
      </c>
      <c r="I34" s="31"/>
      <c r="J34" s="31">
        <v>206718</v>
      </c>
      <c r="K34" s="31"/>
      <c r="L34" s="31">
        <v>51900</v>
      </c>
      <c r="M34" s="31"/>
      <c r="N34" s="31">
        <v>60697</v>
      </c>
      <c r="O34" s="31"/>
      <c r="P34" s="31">
        <v>20000</v>
      </c>
      <c r="Q34" s="31"/>
      <c r="R34" s="31">
        <v>92618</v>
      </c>
      <c r="S34" s="35"/>
      <c r="T34" s="35"/>
      <c r="U34" s="37"/>
      <c r="V34" s="152">
        <f>SUM(C34:R34)</f>
        <v>1500275</v>
      </c>
      <c r="W34" s="34"/>
      <c r="X34" s="5"/>
    </row>
    <row r="35" spans="1:24" ht="15.6" x14ac:dyDescent="0.3">
      <c r="A35" s="28"/>
      <c r="B35" s="25" t="s">
        <v>297</v>
      </c>
      <c r="C35" s="126"/>
      <c r="D35" s="31">
        <f>D34*D38</f>
        <v>666431.41358219995</v>
      </c>
      <c r="E35" s="32"/>
      <c r="F35" s="31">
        <f>F34*F38</f>
        <v>107462.075</v>
      </c>
      <c r="G35" s="31"/>
      <c r="H35" s="31">
        <f>H34*H38</f>
        <v>144556.2638968</v>
      </c>
      <c r="I35" s="31"/>
      <c r="J35" s="31">
        <f>J34*J38</f>
        <v>177714.69974340001</v>
      </c>
      <c r="K35" s="31"/>
      <c r="L35" s="31">
        <f>+L34</f>
        <v>51900</v>
      </c>
      <c r="M35" s="31"/>
      <c r="N35" s="31">
        <f>+N34</f>
        <v>60697</v>
      </c>
      <c r="O35" s="31"/>
      <c r="P35" s="31">
        <f>+P34</f>
        <v>20000</v>
      </c>
      <c r="Q35" s="31"/>
      <c r="R35" s="31">
        <f>+R34</f>
        <v>92618</v>
      </c>
      <c r="S35" s="31"/>
      <c r="T35" s="31"/>
      <c r="U35" s="175"/>
      <c r="V35" s="152">
        <f>SUM(C35:R35)</f>
        <v>1321379.4522223999</v>
      </c>
      <c r="W35" s="34"/>
      <c r="X35" s="5"/>
    </row>
    <row r="36" spans="1:24" ht="15.6" x14ac:dyDescent="0.3">
      <c r="A36" s="28"/>
      <c r="B36" s="29" t="s">
        <v>298</v>
      </c>
      <c r="C36" s="126"/>
      <c r="D36" s="35">
        <f>D34*D37</f>
        <v>634069.62222240004</v>
      </c>
      <c r="E36" s="36"/>
      <c r="F36" s="35">
        <f>F34*F37</f>
        <v>102243.75</v>
      </c>
      <c r="G36" s="35"/>
      <c r="H36" s="35">
        <f>H34*H37</f>
        <v>137536.65659999999</v>
      </c>
      <c r="I36" s="35"/>
      <c r="J36" s="35">
        <f>J34*J37</f>
        <v>169084.9054128</v>
      </c>
      <c r="K36" s="35"/>
      <c r="L36" s="35">
        <f>L34*L37</f>
        <v>51900</v>
      </c>
      <c r="M36" s="35"/>
      <c r="N36" s="35">
        <f>N34*N37</f>
        <v>60697</v>
      </c>
      <c r="O36" s="35"/>
      <c r="P36" s="35">
        <f>P34*P37</f>
        <v>20000</v>
      </c>
      <c r="Q36" s="35"/>
      <c r="R36" s="35">
        <f>R34*R37</f>
        <v>92618</v>
      </c>
      <c r="S36" s="128"/>
      <c r="T36" s="128"/>
      <c r="U36" s="175"/>
      <c r="V36" s="153">
        <f>SUM(C36:R36)</f>
        <v>1268149.9342352001</v>
      </c>
      <c r="W36" s="34"/>
      <c r="X36" s="5"/>
    </row>
    <row r="37" spans="1:24" ht="15.6" x14ac:dyDescent="0.3">
      <c r="A37" s="24"/>
      <c r="B37" s="122" t="s">
        <v>130</v>
      </c>
      <c r="C37" s="25"/>
      <c r="D37" s="171">
        <v>0.81794960000000005</v>
      </c>
      <c r="E37" s="171"/>
      <c r="F37" s="171">
        <v>0.81794999999999995</v>
      </c>
      <c r="G37" s="171"/>
      <c r="H37" s="171">
        <v>0.81794999999999995</v>
      </c>
      <c r="I37" s="171"/>
      <c r="J37" s="171">
        <v>0.81794960000000005</v>
      </c>
      <c r="K37" s="171"/>
      <c r="L37" s="171">
        <v>1</v>
      </c>
      <c r="M37" s="171"/>
      <c r="N37" s="171">
        <v>1</v>
      </c>
      <c r="O37" s="171"/>
      <c r="P37" s="171">
        <v>1</v>
      </c>
      <c r="Q37" s="171"/>
      <c r="R37" s="171">
        <v>1</v>
      </c>
      <c r="S37" s="30"/>
      <c r="T37" s="30"/>
      <c r="U37" s="174"/>
      <c r="V37" s="174"/>
      <c r="W37" s="25"/>
      <c r="X37" s="5"/>
    </row>
    <row r="38" spans="1:24" ht="15.6" x14ac:dyDescent="0.3">
      <c r="A38" s="24"/>
      <c r="B38" s="122" t="s">
        <v>131</v>
      </c>
      <c r="C38" s="25"/>
      <c r="D38" s="171">
        <v>0.85969629999999997</v>
      </c>
      <c r="E38" s="171"/>
      <c r="F38" s="171">
        <v>0.85969660000000003</v>
      </c>
      <c r="G38" s="171"/>
      <c r="H38" s="171">
        <v>0.85969660000000003</v>
      </c>
      <c r="I38" s="171"/>
      <c r="J38" s="171">
        <v>0.85969629999999997</v>
      </c>
      <c r="K38" s="171"/>
      <c r="L38" s="171">
        <v>1</v>
      </c>
      <c r="M38" s="171"/>
      <c r="N38" s="171">
        <v>1</v>
      </c>
      <c r="O38" s="171"/>
      <c r="P38" s="171">
        <v>1</v>
      </c>
      <c r="Q38" s="171"/>
      <c r="R38" s="171">
        <v>1</v>
      </c>
      <c r="S38" s="39"/>
      <c r="T38" s="38"/>
      <c r="U38" s="174"/>
      <c r="V38" s="39"/>
      <c r="W38" s="25"/>
      <c r="X38" s="5"/>
    </row>
    <row r="39" spans="1:24" ht="15.6" x14ac:dyDescent="0.3">
      <c r="A39" s="24"/>
      <c r="B39" s="25" t="s">
        <v>11</v>
      </c>
      <c r="C39" s="25"/>
      <c r="D39" s="30" t="s">
        <v>285</v>
      </c>
      <c r="E39" s="25"/>
      <c r="F39" s="30" t="s">
        <v>258</v>
      </c>
      <c r="G39" s="30"/>
      <c r="H39" s="30" t="s">
        <v>258</v>
      </c>
      <c r="I39" s="30"/>
      <c r="J39" s="30" t="s">
        <v>258</v>
      </c>
      <c r="K39" s="30"/>
      <c r="L39" s="30" t="s">
        <v>232</v>
      </c>
      <c r="M39" s="30"/>
      <c r="N39" s="30" t="s">
        <v>232</v>
      </c>
      <c r="O39" s="30"/>
      <c r="P39" s="30" t="s">
        <v>233</v>
      </c>
      <c r="Q39" s="30"/>
      <c r="R39" s="30" t="s">
        <v>233</v>
      </c>
      <c r="S39" s="39"/>
      <c r="T39" s="38"/>
      <c r="U39" s="174"/>
      <c r="V39" s="174"/>
      <c r="W39" s="25"/>
      <c r="X39" s="5"/>
    </row>
    <row r="40" spans="1:24" ht="15.6" x14ac:dyDescent="0.3">
      <c r="A40" s="24"/>
      <c r="B40" s="25" t="s">
        <v>12</v>
      </c>
      <c r="C40" s="25"/>
      <c r="D40" s="38">
        <v>1.5225000000000001E-2</v>
      </c>
      <c r="E40" s="25"/>
      <c r="F40" s="38">
        <v>5.815E-2</v>
      </c>
      <c r="G40" s="39"/>
      <c r="H40" s="38">
        <v>5.058E-2</v>
      </c>
      <c r="I40" s="38"/>
      <c r="J40" s="38">
        <v>2.9187500000000002E-2</v>
      </c>
      <c r="K40" s="39"/>
      <c r="L40" s="38">
        <v>5.8950000000000002E-2</v>
      </c>
      <c r="M40" s="39"/>
      <c r="N40" s="38">
        <v>5.1380000000000002E-2</v>
      </c>
      <c r="O40" s="39"/>
      <c r="P40" s="38">
        <v>6.0949999999999997E-2</v>
      </c>
      <c r="Q40" s="39"/>
      <c r="R40" s="38">
        <v>5.3379999999999997E-2</v>
      </c>
      <c r="S40" s="39"/>
      <c r="T40" s="38"/>
      <c r="U40" s="174"/>
      <c r="V40" s="30"/>
      <c r="W40" s="25"/>
      <c r="X40" s="5"/>
    </row>
    <row r="41" spans="1:24" ht="15.6" x14ac:dyDescent="0.3">
      <c r="A41" s="24"/>
      <c r="B41" s="25" t="s">
        <v>13</v>
      </c>
      <c r="C41" s="25"/>
      <c r="D41" s="38">
        <v>2.5668799999999999E-2</v>
      </c>
      <c r="E41" s="25"/>
      <c r="F41" s="38">
        <v>6.055E-2</v>
      </c>
      <c r="G41" s="39"/>
      <c r="H41" s="38">
        <v>5.058E-2</v>
      </c>
      <c r="I41" s="38"/>
      <c r="J41" s="38">
        <v>2.87625E-2</v>
      </c>
      <c r="K41" s="39"/>
      <c r="L41" s="38">
        <v>6.1350000000000002E-2</v>
      </c>
      <c r="M41" s="39"/>
      <c r="N41" s="38">
        <v>5.1380000000000002E-2</v>
      </c>
      <c r="O41" s="39"/>
      <c r="P41" s="38">
        <v>6.3350000000000004E-2</v>
      </c>
      <c r="Q41" s="39"/>
      <c r="R41" s="38">
        <v>5.3379999999999997E-2</v>
      </c>
      <c r="S41" s="39"/>
      <c r="T41" s="38"/>
      <c r="U41" s="174"/>
      <c r="V41" s="39" t="s">
        <v>193</v>
      </c>
      <c r="W41" s="25"/>
      <c r="X41" s="5"/>
    </row>
    <row r="42" spans="1:24" ht="15.6" x14ac:dyDescent="0.3">
      <c r="A42" s="24"/>
      <c r="B42" s="25" t="s">
        <v>299</v>
      </c>
      <c r="C42" s="25"/>
      <c r="D42" s="30" t="s">
        <v>286</v>
      </c>
      <c r="E42" s="25"/>
      <c r="F42" s="30" t="s">
        <v>258</v>
      </c>
      <c r="G42" s="30"/>
      <c r="H42" s="30" t="s">
        <v>259</v>
      </c>
      <c r="I42" s="30"/>
      <c r="J42" s="30" t="s">
        <v>260</v>
      </c>
      <c r="K42" s="30"/>
      <c r="L42" s="30" t="s">
        <v>232</v>
      </c>
      <c r="M42" s="30"/>
      <c r="N42" s="30" t="s">
        <v>235</v>
      </c>
      <c r="O42" s="30"/>
      <c r="P42" s="30" t="s">
        <v>233</v>
      </c>
      <c r="Q42" s="30"/>
      <c r="R42" s="30" t="s">
        <v>261</v>
      </c>
      <c r="S42" s="39"/>
      <c r="T42" s="38"/>
      <c r="U42" s="174"/>
      <c r="V42" s="174"/>
      <c r="W42" s="25"/>
      <c r="X42" s="5"/>
    </row>
    <row r="43" spans="1:24" ht="15.6" x14ac:dyDescent="0.3">
      <c r="A43" s="24"/>
      <c r="B43" s="25" t="s">
        <v>300</v>
      </c>
      <c r="C43" s="110"/>
      <c r="D43" s="38">
        <v>5.8488999999999999E-2</v>
      </c>
      <c r="E43" s="38"/>
      <c r="F43" s="38">
        <f>+F40</f>
        <v>5.815E-2</v>
      </c>
      <c r="G43" s="38"/>
      <c r="H43" s="38">
        <v>5.8290000000000002E-2</v>
      </c>
      <c r="I43" s="38"/>
      <c r="J43" s="38">
        <v>5.8513000000000003E-2</v>
      </c>
      <c r="K43" s="38"/>
      <c r="L43" s="38">
        <v>5.8950000000000002E-2</v>
      </c>
      <c r="M43" s="38"/>
      <c r="N43" s="38">
        <v>5.9246E-2</v>
      </c>
      <c r="O43" s="38"/>
      <c r="P43" s="38">
        <v>6.0949999999999997E-2</v>
      </c>
      <c r="Q43" s="39"/>
      <c r="R43" s="38">
        <v>6.1483000000000003E-2</v>
      </c>
      <c r="S43" s="30"/>
      <c r="T43" s="30"/>
      <c r="U43" s="174"/>
      <c r="V43" s="39">
        <f>SUMPRODUCT(D43:R43,D35:R35)/V35</f>
        <v>5.8742871538027305E-2</v>
      </c>
      <c r="W43" s="25"/>
      <c r="X43" s="5"/>
    </row>
    <row r="44" spans="1:24" ht="15.6" x14ac:dyDescent="0.3">
      <c r="A44" s="24"/>
      <c r="B44" s="25" t="s">
        <v>301</v>
      </c>
      <c r="C44" s="110"/>
      <c r="D44" s="38">
        <v>6.0888999999999999E-2</v>
      </c>
      <c r="E44" s="38"/>
      <c r="F44" s="38">
        <f>+F41</f>
        <v>6.055E-2</v>
      </c>
      <c r="G44" s="38"/>
      <c r="H44" s="38">
        <v>6.0690000000000001E-2</v>
      </c>
      <c r="I44" s="38"/>
      <c r="J44" s="38">
        <v>6.0913000000000002E-2</v>
      </c>
      <c r="K44" s="38"/>
      <c r="L44" s="38">
        <f>+L41</f>
        <v>6.1350000000000002E-2</v>
      </c>
      <c r="M44" s="38"/>
      <c r="N44" s="38">
        <v>6.1645999999999999E-2</v>
      </c>
      <c r="O44" s="38"/>
      <c r="P44" s="38">
        <f>+P41</f>
        <v>6.3350000000000004E-2</v>
      </c>
      <c r="Q44" s="39"/>
      <c r="R44" s="38">
        <v>6.3882999999999995E-2</v>
      </c>
      <c r="S44" s="30"/>
      <c r="T44" s="30"/>
      <c r="U44" s="174"/>
      <c r="V44" s="174"/>
      <c r="W44" s="25"/>
      <c r="X44" s="5"/>
    </row>
    <row r="45" spans="1:24" ht="15.6" x14ac:dyDescent="0.3">
      <c r="A45" s="24"/>
      <c r="B45" s="25" t="s">
        <v>14</v>
      </c>
      <c r="C45" s="25"/>
      <c r="D45" s="110">
        <v>40617</v>
      </c>
      <c r="E45" s="110"/>
      <c r="F45" s="110">
        <v>40617</v>
      </c>
      <c r="G45" s="110"/>
      <c r="H45" s="110">
        <v>40617</v>
      </c>
      <c r="I45" s="110"/>
      <c r="J45" s="110">
        <v>40617</v>
      </c>
      <c r="K45" s="110"/>
      <c r="L45" s="110">
        <v>40617</v>
      </c>
      <c r="M45" s="110"/>
      <c r="N45" s="110">
        <v>40617</v>
      </c>
      <c r="O45" s="110"/>
      <c r="P45" s="110">
        <v>40617</v>
      </c>
      <c r="Q45" s="110"/>
      <c r="R45" s="110">
        <v>40617</v>
      </c>
      <c r="S45" s="30"/>
      <c r="T45" s="30"/>
      <c r="U45" s="174"/>
      <c r="V45" s="174"/>
      <c r="W45" s="25"/>
      <c r="X45" s="5"/>
    </row>
    <row r="46" spans="1:24" ht="15.6" x14ac:dyDescent="0.3">
      <c r="A46" s="24"/>
      <c r="B46" s="25" t="s">
        <v>15</v>
      </c>
      <c r="C46" s="25"/>
      <c r="D46" s="110" t="s">
        <v>118</v>
      </c>
      <c r="E46" s="110"/>
      <c r="F46" s="110">
        <v>40983</v>
      </c>
      <c r="G46" s="110"/>
      <c r="H46" s="110">
        <v>40983</v>
      </c>
      <c r="I46" s="110"/>
      <c r="J46" s="110">
        <v>40983</v>
      </c>
      <c r="K46" s="30"/>
      <c r="L46" s="110">
        <v>40983</v>
      </c>
      <c r="M46" s="30"/>
      <c r="N46" s="110">
        <v>40983</v>
      </c>
      <c r="O46" s="30"/>
      <c r="P46" s="110">
        <v>40983</v>
      </c>
      <c r="Q46" s="30"/>
      <c r="R46" s="110">
        <v>40983</v>
      </c>
      <c r="S46" s="30"/>
      <c r="T46" s="30"/>
      <c r="U46" s="174"/>
      <c r="V46" s="174"/>
      <c r="W46" s="25"/>
      <c r="X46" s="5"/>
    </row>
    <row r="47" spans="1:24" ht="15.6" x14ac:dyDescent="0.3">
      <c r="A47" s="24"/>
      <c r="B47" s="25" t="s">
        <v>119</v>
      </c>
      <c r="C47" s="25"/>
      <c r="D47" s="158" t="s">
        <v>118</v>
      </c>
      <c r="E47" s="25"/>
      <c r="F47" s="30" t="s">
        <v>231</v>
      </c>
      <c r="G47" s="30"/>
      <c r="H47" s="30" t="s">
        <v>231</v>
      </c>
      <c r="I47" s="30"/>
      <c r="J47" s="30" t="s">
        <v>231</v>
      </c>
      <c r="K47" s="30"/>
      <c r="L47" s="30" t="s">
        <v>265</v>
      </c>
      <c r="M47" s="30"/>
      <c r="N47" s="30" t="s">
        <v>265</v>
      </c>
      <c r="O47" s="30"/>
      <c r="P47" s="30" t="s">
        <v>266</v>
      </c>
      <c r="Q47" s="30"/>
      <c r="R47" s="30" t="s">
        <v>266</v>
      </c>
      <c r="S47" s="40"/>
      <c r="T47" s="40"/>
      <c r="U47" s="40"/>
      <c r="V47" s="40"/>
      <c r="W47" s="25"/>
      <c r="X47" s="5"/>
    </row>
    <row r="48" spans="1:24" ht="15.6" x14ac:dyDescent="0.3">
      <c r="A48" s="24"/>
      <c r="B48" s="25" t="s">
        <v>302</v>
      </c>
      <c r="C48" s="25"/>
      <c r="D48" s="30" t="s">
        <v>200</v>
      </c>
      <c r="E48" s="25"/>
      <c r="F48" s="30" t="s">
        <v>231</v>
      </c>
      <c r="G48" s="30"/>
      <c r="H48" s="30" t="s">
        <v>262</v>
      </c>
      <c r="I48" s="30"/>
      <c r="J48" s="30" t="s">
        <v>263</v>
      </c>
      <c r="K48" s="30"/>
      <c r="L48" s="30" t="s">
        <v>265</v>
      </c>
      <c r="M48" s="30"/>
      <c r="N48" s="30" t="s">
        <v>234</v>
      </c>
      <c r="O48" s="30"/>
      <c r="P48" s="30" t="s">
        <v>266</v>
      </c>
      <c r="Q48" s="30"/>
      <c r="R48" s="30" t="s">
        <v>264</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193</v>
      </c>
      <c r="W49" s="25"/>
      <c r="X49" s="5"/>
    </row>
    <row r="50" spans="1:25" ht="15.6" x14ac:dyDescent="0.3">
      <c r="A50" s="24"/>
      <c r="B50" s="25" t="s">
        <v>169</v>
      </c>
      <c r="C50" s="25"/>
      <c r="D50" s="30"/>
      <c r="E50" s="25"/>
      <c r="F50" s="30"/>
      <c r="G50" s="30"/>
      <c r="H50" s="30"/>
      <c r="I50" s="30"/>
      <c r="J50" s="30"/>
      <c r="K50" s="30"/>
      <c r="L50" s="30"/>
      <c r="M50" s="30"/>
      <c r="N50" s="30"/>
      <c r="O50" s="30"/>
      <c r="P50" s="30"/>
      <c r="Q50" s="30"/>
      <c r="R50" s="30"/>
      <c r="S50" s="25"/>
      <c r="T50" s="25"/>
      <c r="U50" s="25"/>
      <c r="V50" s="39">
        <f>SUM(L34:R34)/SUM(D34:J34)</f>
        <v>0.17663090364375009</v>
      </c>
      <c r="W50" s="25"/>
      <c r="X50" s="5"/>
    </row>
    <row r="51" spans="1:25" ht="15.6" x14ac:dyDescent="0.3">
      <c r="A51" s="24"/>
      <c r="B51" s="25" t="s">
        <v>170</v>
      </c>
      <c r="C51" s="25"/>
      <c r="D51" s="25"/>
      <c r="E51" s="25"/>
      <c r="F51" s="41"/>
      <c r="G51" s="25"/>
      <c r="H51" s="25"/>
      <c r="I51" s="25"/>
      <c r="J51" s="25"/>
      <c r="K51" s="25"/>
      <c r="L51" s="25"/>
      <c r="M51" s="25"/>
      <c r="N51" s="25"/>
      <c r="O51" s="25"/>
      <c r="P51" s="25"/>
      <c r="Q51" s="25"/>
      <c r="R51" s="25"/>
      <c r="S51" s="25"/>
      <c r="T51" s="25"/>
      <c r="U51" s="25"/>
      <c r="V51" s="39">
        <f>SUM(L36:R36)/SUM(D36:J36)</f>
        <v>0.21594348085113629</v>
      </c>
      <c r="W51" s="25"/>
      <c r="X51" s="5"/>
    </row>
    <row r="52" spans="1:25" ht="15.6" x14ac:dyDescent="0.3">
      <c r="A52" s="24"/>
      <c r="B52" s="25" t="s">
        <v>171</v>
      </c>
      <c r="C52" s="25"/>
      <c r="D52" s="25"/>
      <c r="E52" s="25"/>
      <c r="F52" s="25"/>
      <c r="G52" s="25"/>
      <c r="H52" s="25"/>
      <c r="I52" s="25"/>
      <c r="J52" s="25"/>
      <c r="K52" s="25"/>
      <c r="L52" s="25"/>
      <c r="M52" s="25"/>
      <c r="N52" s="25"/>
      <c r="O52" s="25"/>
      <c r="P52" s="25"/>
      <c r="Q52" s="25"/>
      <c r="R52" s="25"/>
      <c r="S52" s="25"/>
      <c r="T52" s="30"/>
      <c r="U52" s="30"/>
      <c r="V52" s="31" t="s">
        <v>276</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202</v>
      </c>
      <c r="C54" s="25"/>
      <c r="D54" s="25"/>
      <c r="E54" s="25"/>
      <c r="F54" s="25"/>
      <c r="G54" s="25"/>
      <c r="H54" s="25"/>
      <c r="I54" s="25"/>
      <c r="J54" s="25"/>
      <c r="K54" s="25"/>
      <c r="L54" s="25"/>
      <c r="M54" s="25"/>
      <c r="N54" s="25"/>
      <c r="O54" s="25"/>
      <c r="P54" s="25"/>
      <c r="Q54" s="25"/>
      <c r="R54" s="25"/>
      <c r="S54" s="25"/>
      <c r="T54" s="25"/>
      <c r="U54" s="25"/>
      <c r="V54" s="154" t="s">
        <v>203</v>
      </c>
      <c r="W54" s="25"/>
      <c r="X54" s="5"/>
    </row>
    <row r="55" spans="1:25" ht="15.6" x14ac:dyDescent="0.3">
      <c r="A55" s="24"/>
      <c r="B55" s="25" t="s">
        <v>280</v>
      </c>
      <c r="C55" s="25"/>
      <c r="D55" s="25"/>
      <c r="E55" s="25"/>
      <c r="F55" s="25"/>
      <c r="G55" s="25"/>
      <c r="H55" s="25"/>
      <c r="I55" s="25"/>
      <c r="J55" s="25"/>
      <c r="K55" s="25"/>
      <c r="L55" s="25"/>
      <c r="M55" s="25"/>
      <c r="N55" s="25"/>
      <c r="O55" s="25"/>
      <c r="P55" s="25"/>
      <c r="Q55" s="25"/>
      <c r="R55" s="25"/>
      <c r="S55" s="25"/>
      <c r="T55" s="30"/>
      <c r="U55" s="30"/>
      <c r="V55" s="155" t="s">
        <v>111</v>
      </c>
      <c r="W55" s="25"/>
      <c r="X55" s="5"/>
    </row>
    <row r="56" spans="1:25" ht="15.6" x14ac:dyDescent="0.3">
      <c r="A56" s="24"/>
      <c r="B56" s="29" t="s">
        <v>201</v>
      </c>
      <c r="C56" s="29"/>
      <c r="D56" s="29"/>
      <c r="E56" s="29"/>
      <c r="F56" s="29"/>
      <c r="G56" s="29"/>
      <c r="H56" s="29"/>
      <c r="I56" s="29"/>
      <c r="J56" s="29"/>
      <c r="K56" s="29"/>
      <c r="L56" s="29"/>
      <c r="M56" s="29"/>
      <c r="N56" s="29"/>
      <c r="O56" s="29"/>
      <c r="P56" s="29"/>
      <c r="Q56" s="29"/>
      <c r="R56" s="29"/>
      <c r="S56" s="29"/>
      <c r="T56" s="43"/>
      <c r="U56" s="43"/>
      <c r="V56" s="44">
        <v>39797</v>
      </c>
      <c r="W56" s="25"/>
      <c r="X56" s="5"/>
    </row>
    <row r="57" spans="1:25" ht="15.6" x14ac:dyDescent="0.3">
      <c r="A57" s="24"/>
      <c r="B57" s="25" t="s">
        <v>121</v>
      </c>
      <c r="C57" s="25"/>
      <c r="D57" s="25"/>
      <c r="E57" s="25"/>
      <c r="F57" s="25"/>
      <c r="G57" s="25"/>
      <c r="H57" s="58"/>
      <c r="I57" s="58"/>
      <c r="J57" s="58"/>
      <c r="K57" s="58"/>
      <c r="L57" s="58"/>
      <c r="M57" s="58"/>
      <c r="N57" s="58"/>
      <c r="O57" s="58"/>
      <c r="P57" s="58"/>
      <c r="Q57" s="58"/>
      <c r="R57" s="25">
        <f>+V57-T57+1</f>
        <v>91</v>
      </c>
      <c r="S57" s="58"/>
      <c r="T57" s="45">
        <v>39615</v>
      </c>
      <c r="U57" s="46"/>
      <c r="V57" s="45">
        <v>39705</v>
      </c>
      <c r="W57" s="25"/>
      <c r="X57" s="5"/>
    </row>
    <row r="58" spans="1:25" ht="15.6" x14ac:dyDescent="0.3">
      <c r="A58" s="24"/>
      <c r="B58" s="25" t="s">
        <v>122</v>
      </c>
      <c r="C58" s="25"/>
      <c r="D58" s="25"/>
      <c r="E58" s="25"/>
      <c r="F58" s="25"/>
      <c r="G58" s="25"/>
      <c r="H58" s="25"/>
      <c r="I58" s="25"/>
      <c r="J58" s="25"/>
      <c r="K58" s="25"/>
      <c r="L58" s="25"/>
      <c r="M58" s="25"/>
      <c r="N58" s="25"/>
      <c r="O58" s="25"/>
      <c r="P58" s="25"/>
      <c r="Q58" s="25"/>
      <c r="R58" s="25">
        <f>+V58-T58+1</f>
        <v>91</v>
      </c>
      <c r="S58" s="25"/>
      <c r="T58" s="45">
        <v>39706</v>
      </c>
      <c r="U58" s="46"/>
      <c r="V58" s="45">
        <v>39796</v>
      </c>
      <c r="W58" s="25"/>
      <c r="X58" s="5"/>
    </row>
    <row r="59" spans="1:25" ht="15.6" x14ac:dyDescent="0.3">
      <c r="A59" s="24"/>
      <c r="B59" s="25" t="s">
        <v>229</v>
      </c>
      <c r="C59" s="25"/>
      <c r="D59" s="25"/>
      <c r="E59" s="25"/>
      <c r="F59" s="25"/>
      <c r="G59" s="25"/>
      <c r="H59" s="25"/>
      <c r="I59" s="25"/>
      <c r="J59" s="25"/>
      <c r="K59" s="25"/>
      <c r="L59" s="25"/>
      <c r="M59" s="25"/>
      <c r="N59" s="25"/>
      <c r="O59" s="25"/>
      <c r="P59" s="25"/>
      <c r="Q59" s="25"/>
      <c r="R59" s="25"/>
      <c r="S59" s="25"/>
      <c r="T59" s="45"/>
      <c r="U59" s="46"/>
      <c r="V59" s="45" t="s">
        <v>120</v>
      </c>
      <c r="W59" s="25"/>
      <c r="X59" s="5"/>
    </row>
    <row r="60" spans="1:25" ht="15.6" x14ac:dyDescent="0.3">
      <c r="A60" s="24"/>
      <c r="B60" s="25" t="s">
        <v>228</v>
      </c>
      <c r="C60" s="25"/>
      <c r="D60" s="25"/>
      <c r="E60" s="25"/>
      <c r="F60" s="25"/>
      <c r="G60" s="25"/>
      <c r="H60" s="25"/>
      <c r="I60" s="25"/>
      <c r="J60" s="25"/>
      <c r="K60" s="25"/>
      <c r="L60" s="25"/>
      <c r="M60" s="25"/>
      <c r="N60" s="25"/>
      <c r="O60" s="25"/>
      <c r="P60" s="25"/>
      <c r="Q60" s="25"/>
      <c r="R60" s="25"/>
      <c r="S60" s="25"/>
      <c r="T60" s="45"/>
      <c r="U60" s="46"/>
      <c r="V60" s="45" t="s">
        <v>154</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39783</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289</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94</v>
      </c>
      <c r="M68" s="115"/>
      <c r="N68" s="115" t="s">
        <v>96</v>
      </c>
      <c r="O68" s="115"/>
      <c r="P68" s="115" t="s">
        <v>98</v>
      </c>
      <c r="Q68" s="115"/>
      <c r="R68" s="115" t="s">
        <v>100</v>
      </c>
      <c r="S68" s="115"/>
      <c r="T68" s="115" t="s">
        <v>106</v>
      </c>
      <c r="U68" s="115"/>
      <c r="V68" s="116" t="s">
        <v>112</v>
      </c>
      <c r="W68" s="117"/>
      <c r="X68" s="5"/>
    </row>
    <row r="69" spans="1:24" ht="15.6" x14ac:dyDescent="0.3">
      <c r="A69" s="24"/>
      <c r="B69" s="25" t="s">
        <v>19</v>
      </c>
      <c r="C69" s="34"/>
      <c r="D69" s="34"/>
      <c r="E69" s="34"/>
      <c r="F69" s="34"/>
      <c r="G69" s="34"/>
      <c r="H69" s="34"/>
      <c r="I69" s="34"/>
      <c r="J69" s="34"/>
      <c r="K69" s="34"/>
      <c r="L69" s="34">
        <v>1158015</v>
      </c>
      <c r="M69" s="34"/>
      <c r="N69" s="53">
        <v>1321379</v>
      </c>
      <c r="O69" s="34"/>
      <c r="P69" s="34">
        <f>53229+514+925</f>
        <v>54668</v>
      </c>
      <c r="Q69" s="34"/>
      <c r="R69" s="34">
        <f>514+925</f>
        <v>1439</v>
      </c>
      <c r="S69" s="34"/>
      <c r="T69" s="34">
        <v>0</v>
      </c>
      <c r="U69" s="34"/>
      <c r="V69" s="53">
        <f>+N69-P69+R69-T69</f>
        <v>1268150</v>
      </c>
      <c r="W69" s="25"/>
      <c r="X69" s="5"/>
    </row>
    <row r="70" spans="1:24" ht="15.6" x14ac:dyDescent="0.3">
      <c r="A70" s="24"/>
      <c r="B70" s="25" t="s">
        <v>20</v>
      </c>
      <c r="C70" s="34"/>
      <c r="D70" s="34"/>
      <c r="E70" s="34"/>
      <c r="F70" s="34"/>
      <c r="G70" s="34"/>
      <c r="H70" s="34"/>
      <c r="I70" s="34"/>
      <c r="J70" s="34"/>
      <c r="K70" s="34"/>
      <c r="L70" s="34">
        <v>15</v>
      </c>
      <c r="M70" s="34"/>
      <c r="N70" s="53">
        <v>0</v>
      </c>
      <c r="O70" s="34"/>
      <c r="P70" s="34">
        <v>0</v>
      </c>
      <c r="Q70" s="34"/>
      <c r="R70" s="34">
        <v>0</v>
      </c>
      <c r="S70" s="34"/>
      <c r="T70" s="34">
        <v>0</v>
      </c>
      <c r="U70" s="34"/>
      <c r="V70" s="53">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1158030</v>
      </c>
      <c r="M72" s="34"/>
      <c r="N72" s="54">
        <f>N69+N70</f>
        <v>1321379</v>
      </c>
      <c r="O72" s="34"/>
      <c r="P72" s="34">
        <f>SUM(P69:P71)</f>
        <v>54668</v>
      </c>
      <c r="Q72" s="34"/>
      <c r="R72" s="34">
        <f>SUM(R69:R71)</f>
        <v>1439</v>
      </c>
      <c r="S72" s="34"/>
      <c r="T72" s="34">
        <f>SUM(T69:T71)</f>
        <v>0</v>
      </c>
      <c r="U72" s="34"/>
      <c r="V72" s="54">
        <f>SUM(V69:V71)</f>
        <v>1268150</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117</v>
      </c>
      <c r="C82" s="34"/>
      <c r="D82" s="34"/>
      <c r="E82" s="34"/>
      <c r="F82" s="34"/>
      <c r="G82" s="34"/>
      <c r="H82" s="34"/>
      <c r="I82" s="34"/>
      <c r="J82" s="34"/>
      <c r="K82" s="34"/>
      <c r="L82" s="34">
        <v>342245</v>
      </c>
      <c r="M82" s="34"/>
      <c r="N82" s="34">
        <v>0</v>
      </c>
      <c r="O82" s="34"/>
      <c r="P82" s="34">
        <v>0</v>
      </c>
      <c r="Q82" s="34"/>
      <c r="R82" s="34"/>
      <c r="S82" s="34"/>
      <c r="T82" s="34"/>
      <c r="U82" s="34"/>
      <c r="V82" s="54">
        <f>SUM(N82:R82)</f>
        <v>0</v>
      </c>
      <c r="W82" s="25"/>
      <c r="X82" s="5"/>
    </row>
    <row r="83" spans="1:24" ht="15.6" x14ac:dyDescent="0.3">
      <c r="A83" s="24"/>
      <c r="B83" s="25" t="s">
        <v>146</v>
      </c>
      <c r="C83" s="34"/>
      <c r="D83" s="34"/>
      <c r="E83" s="34"/>
      <c r="F83" s="34"/>
      <c r="G83" s="34"/>
      <c r="H83" s="34"/>
      <c r="I83" s="34"/>
      <c r="J83" s="34"/>
      <c r="K83" s="34"/>
      <c r="L83" s="34">
        <v>0</v>
      </c>
      <c r="M83" s="34"/>
      <c r="N83" s="34">
        <v>0</v>
      </c>
      <c r="O83" s="34"/>
      <c r="P83" s="34">
        <v>0</v>
      </c>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1500275</v>
      </c>
      <c r="M85" s="34"/>
      <c r="N85" s="54">
        <f>SUM(N72:N84)</f>
        <v>1321379</v>
      </c>
      <c r="O85" s="34"/>
      <c r="P85" s="34"/>
      <c r="Q85" s="34"/>
      <c r="R85" s="34"/>
      <c r="S85" s="34"/>
      <c r="T85" s="54"/>
      <c r="U85" s="34"/>
      <c r="V85" s="54">
        <f>SUM(V72:V84)</f>
        <v>1268150</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7" t="s">
        <v>95</v>
      </c>
      <c r="M88" s="17"/>
      <c r="N88" s="156">
        <f>+T205</f>
        <v>39780</v>
      </c>
      <c r="O88" s="17"/>
      <c r="P88" s="17"/>
      <c r="Q88" s="17"/>
      <c r="R88" s="17"/>
      <c r="S88" s="17"/>
      <c r="T88" s="17" t="s">
        <v>107</v>
      </c>
      <c r="U88" s="17"/>
      <c r="V88" s="17" t="s">
        <v>113</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f>54668-213</f>
        <v>54455</v>
      </c>
      <c r="U90" s="25"/>
      <c r="V90" s="53"/>
      <c r="W90" s="25"/>
      <c r="X90" s="5"/>
    </row>
    <row r="91" spans="1:24" ht="15.6" x14ac:dyDescent="0.3">
      <c r="A91" s="24"/>
      <c r="B91" s="25" t="s">
        <v>216</v>
      </c>
      <c r="C91" s="25"/>
      <c r="D91" s="25"/>
      <c r="E91" s="25"/>
      <c r="F91" s="25"/>
      <c r="G91" s="25"/>
      <c r="H91" s="40"/>
      <c r="I91" s="40"/>
      <c r="J91" s="40"/>
      <c r="K91" s="57"/>
      <c r="L91" s="40"/>
      <c r="M91" s="25"/>
      <c r="N91" s="127"/>
      <c r="O91" s="25"/>
      <c r="P91" s="25"/>
      <c r="Q91" s="25"/>
      <c r="R91" s="25"/>
      <c r="S91" s="25"/>
      <c r="T91" s="34"/>
      <c r="U91" s="25"/>
      <c r="V91" s="53">
        <f>7422+12681-212-2346+39+34</f>
        <v>17618</v>
      </c>
      <c r="W91" s="25"/>
      <c r="X91" s="5"/>
    </row>
    <row r="92" spans="1:24" ht="15.6" x14ac:dyDescent="0.3">
      <c r="A92" s="24"/>
      <c r="B92" s="25" t="s">
        <v>211</v>
      </c>
      <c r="C92" s="25"/>
      <c r="D92" s="25"/>
      <c r="E92" s="25"/>
      <c r="F92" s="25"/>
      <c r="G92" s="25"/>
      <c r="H92" s="40"/>
      <c r="I92" s="40"/>
      <c r="J92" s="40"/>
      <c r="K92" s="57"/>
      <c r="L92" s="40"/>
      <c r="M92" s="25"/>
      <c r="N92" s="127"/>
      <c r="O92" s="25"/>
      <c r="P92" s="25"/>
      <c r="Q92" s="25"/>
      <c r="R92" s="25"/>
      <c r="S92" s="25"/>
      <c r="T92" s="34"/>
      <c r="U92" s="25"/>
      <c r="V92" s="53">
        <f>74+292</f>
        <v>366</v>
      </c>
      <c r="W92" s="25"/>
      <c r="X92" s="5"/>
    </row>
    <row r="93" spans="1:24" ht="15.6" x14ac:dyDescent="0.3">
      <c r="A93" s="24"/>
      <c r="B93" s="25" t="s">
        <v>212</v>
      </c>
      <c r="C93" s="25"/>
      <c r="D93" s="25"/>
      <c r="E93" s="25"/>
      <c r="F93" s="25"/>
      <c r="G93" s="25"/>
      <c r="H93" s="40"/>
      <c r="I93" s="40"/>
      <c r="J93" s="40"/>
      <c r="K93" s="57"/>
      <c r="L93" s="40"/>
      <c r="M93" s="25"/>
      <c r="N93" s="127"/>
      <c r="O93" s="25"/>
      <c r="P93" s="25"/>
      <c r="Q93" s="25"/>
      <c r="R93" s="25"/>
      <c r="S93" s="25"/>
      <c r="T93" s="34"/>
      <c r="U93" s="25"/>
      <c r="V93" s="53">
        <v>818</v>
      </c>
      <c r="W93" s="25"/>
      <c r="X93" s="5"/>
    </row>
    <row r="94" spans="1:24" ht="15.6" x14ac:dyDescent="0.3">
      <c r="A94" s="24"/>
      <c r="B94" s="25" t="s">
        <v>272</v>
      </c>
      <c r="C94" s="25"/>
      <c r="D94" s="25"/>
      <c r="E94" s="25"/>
      <c r="F94" s="25"/>
      <c r="G94" s="25"/>
      <c r="H94" s="40"/>
      <c r="I94" s="40"/>
      <c r="J94" s="40"/>
      <c r="K94" s="57"/>
      <c r="L94" s="40"/>
      <c r="M94" s="25"/>
      <c r="N94" s="127"/>
      <c r="O94" s="25"/>
      <c r="P94" s="25"/>
      <c r="Q94" s="25"/>
      <c r="R94" s="25"/>
      <c r="S94" s="25"/>
      <c r="T94" s="34"/>
      <c r="U94" s="25"/>
      <c r="V94" s="53">
        <v>36</v>
      </c>
      <c r="W94" s="25"/>
      <c r="X94" s="5"/>
    </row>
    <row r="95" spans="1:24" ht="15.6" x14ac:dyDescent="0.3">
      <c r="A95" s="24"/>
      <c r="B95" s="25" t="s">
        <v>274</v>
      </c>
      <c r="C95" s="25"/>
      <c r="D95" s="25"/>
      <c r="E95" s="25"/>
      <c r="F95" s="25"/>
      <c r="G95" s="25"/>
      <c r="H95" s="40"/>
      <c r="I95" s="40"/>
      <c r="J95" s="40"/>
      <c r="K95" s="57"/>
      <c r="L95" s="40"/>
      <c r="M95" s="25"/>
      <c r="N95" s="127"/>
      <c r="O95" s="25"/>
      <c r="P95" s="25"/>
      <c r="Q95" s="25"/>
      <c r="R95" s="25"/>
      <c r="S95" s="25"/>
      <c r="T95" s="34"/>
      <c r="U95" s="25"/>
      <c r="V95" s="53">
        <v>0</v>
      </c>
      <c r="W95" s="25"/>
      <c r="X95" s="5"/>
    </row>
    <row r="96" spans="1:24" ht="15.6" x14ac:dyDescent="0.3">
      <c r="A96" s="24"/>
      <c r="B96" s="25" t="s">
        <v>135</v>
      </c>
      <c r="C96" s="25"/>
      <c r="D96" s="25"/>
      <c r="E96" s="25"/>
      <c r="F96" s="25"/>
      <c r="G96" s="25"/>
      <c r="H96" s="25"/>
      <c r="I96" s="25"/>
      <c r="J96" s="25"/>
      <c r="K96" s="25"/>
      <c r="L96" s="25"/>
      <c r="M96" s="25"/>
      <c r="N96" s="25"/>
      <c r="O96" s="25"/>
      <c r="P96" s="25"/>
      <c r="Q96" s="25"/>
      <c r="R96" s="25"/>
      <c r="S96" s="25"/>
      <c r="T96" s="34"/>
      <c r="U96" s="25"/>
      <c r="V96" s="53">
        <v>0</v>
      </c>
      <c r="W96" s="25"/>
      <c r="X96" s="5"/>
    </row>
    <row r="97" spans="1:25" ht="15.6" x14ac:dyDescent="0.3">
      <c r="A97" s="24"/>
      <c r="B97" s="25" t="s">
        <v>268</v>
      </c>
      <c r="C97" s="25"/>
      <c r="D97" s="25"/>
      <c r="E97" s="25"/>
      <c r="F97" s="25"/>
      <c r="G97" s="25"/>
      <c r="H97" s="25"/>
      <c r="I97" s="25"/>
      <c r="J97" s="25"/>
      <c r="K97" s="25"/>
      <c r="L97" s="25"/>
      <c r="M97" s="25"/>
      <c r="N97" s="25"/>
      <c r="O97" s="25"/>
      <c r="P97" s="25"/>
      <c r="Q97" s="25"/>
      <c r="R97" s="25"/>
      <c r="S97" s="25"/>
      <c r="T97" s="34"/>
      <c r="U97" s="25"/>
      <c r="V97" s="53">
        <v>4773</v>
      </c>
      <c r="W97" s="25"/>
      <c r="X97" s="5"/>
    </row>
    <row r="98" spans="1:25" ht="15.6" x14ac:dyDescent="0.3">
      <c r="A98" s="24"/>
      <c r="B98" s="25" t="s">
        <v>30</v>
      </c>
      <c r="C98" s="25"/>
      <c r="D98" s="25"/>
      <c r="E98" s="25"/>
      <c r="F98" s="25"/>
      <c r="G98" s="25"/>
      <c r="H98" s="25"/>
      <c r="I98" s="25"/>
      <c r="J98" s="25"/>
      <c r="K98" s="25"/>
      <c r="L98" s="25"/>
      <c r="M98" s="25"/>
      <c r="N98" s="25"/>
      <c r="O98" s="25"/>
      <c r="P98" s="25"/>
      <c r="Q98" s="25"/>
      <c r="R98" s="25"/>
      <c r="S98" s="25"/>
      <c r="T98" s="34">
        <f>SUM(T89:T97)</f>
        <v>54455</v>
      </c>
      <c r="U98" s="25"/>
      <c r="V98" s="54">
        <f>SUM(V89:V97)</f>
        <v>23611</v>
      </c>
      <c r="W98" s="25"/>
      <c r="X98" s="5"/>
    </row>
    <row r="99" spans="1:25" ht="15.6" x14ac:dyDescent="0.3">
      <c r="A99" s="24"/>
      <c r="B99" s="25" t="s">
        <v>161</v>
      </c>
      <c r="C99" s="25"/>
      <c r="D99" s="25"/>
      <c r="E99" s="25"/>
      <c r="F99" s="25"/>
      <c r="G99" s="25"/>
      <c r="H99" s="25"/>
      <c r="I99" s="25"/>
      <c r="J99" s="25"/>
      <c r="K99" s="25"/>
      <c r="L99" s="25"/>
      <c r="M99" s="25"/>
      <c r="N99" s="25"/>
      <c r="O99" s="25"/>
      <c r="P99" s="25"/>
      <c r="Q99" s="25"/>
      <c r="R99" s="25"/>
      <c r="S99" s="25"/>
      <c r="T99" s="34">
        <f>-V99</f>
        <v>-121</v>
      </c>
      <c r="U99" s="25"/>
      <c r="V99" s="54">
        <v>121</v>
      </c>
      <c r="W99" s="25"/>
      <c r="X99" s="5"/>
    </row>
    <row r="100" spans="1:25" ht="15.6" x14ac:dyDescent="0.3">
      <c r="A100" s="24"/>
      <c r="B100" s="25" t="s">
        <v>31</v>
      </c>
      <c r="C100" s="25"/>
      <c r="D100" s="25"/>
      <c r="E100" s="25"/>
      <c r="F100" s="25"/>
      <c r="G100" s="25"/>
      <c r="H100" s="25"/>
      <c r="I100" s="25"/>
      <c r="J100" s="25"/>
      <c r="K100" s="25"/>
      <c r="L100" s="25"/>
      <c r="M100" s="25"/>
      <c r="N100" s="25"/>
      <c r="O100" s="25"/>
      <c r="P100" s="25"/>
      <c r="Q100" s="25"/>
      <c r="R100" s="25"/>
      <c r="S100" s="25"/>
      <c r="T100" s="34">
        <f>-V100</f>
        <v>0</v>
      </c>
      <c r="U100" s="25"/>
      <c r="V100" s="53">
        <v>0</v>
      </c>
      <c r="W100" s="25"/>
      <c r="X100" s="5"/>
    </row>
    <row r="101" spans="1:25" ht="15.6" x14ac:dyDescent="0.3">
      <c r="A101" s="24"/>
      <c r="B101" s="25" t="s">
        <v>283</v>
      </c>
      <c r="C101" s="25"/>
      <c r="D101" s="25"/>
      <c r="E101" s="25"/>
      <c r="F101" s="25"/>
      <c r="G101" s="25"/>
      <c r="H101" s="25"/>
      <c r="I101" s="25"/>
      <c r="J101" s="25"/>
      <c r="K101" s="25"/>
      <c r="L101" s="25"/>
      <c r="M101" s="25"/>
      <c r="N101" s="25"/>
      <c r="O101" s="25"/>
      <c r="P101" s="25"/>
      <c r="Q101" s="25"/>
      <c r="R101" s="25"/>
      <c r="S101" s="25"/>
      <c r="T101" s="34"/>
      <c r="U101" s="25"/>
      <c r="V101" s="53">
        <v>0</v>
      </c>
      <c r="W101" s="25"/>
      <c r="X101" s="5"/>
    </row>
    <row r="102" spans="1:25" ht="15.6" x14ac:dyDescent="0.3">
      <c r="A102" s="24"/>
      <c r="B102" s="25" t="s">
        <v>32</v>
      </c>
      <c r="C102" s="25"/>
      <c r="D102" s="25"/>
      <c r="E102" s="25"/>
      <c r="F102" s="25"/>
      <c r="G102" s="25"/>
      <c r="H102" s="25"/>
      <c r="I102" s="25"/>
      <c r="J102" s="25"/>
      <c r="K102" s="25"/>
      <c r="L102" s="25"/>
      <c r="M102" s="25"/>
      <c r="N102" s="25"/>
      <c r="O102" s="25"/>
      <c r="P102" s="25"/>
      <c r="Q102" s="25"/>
      <c r="R102" s="25"/>
      <c r="S102" s="25"/>
      <c r="T102" s="34">
        <f>T98+T100+T99</f>
        <v>54334</v>
      </c>
      <c r="U102" s="25"/>
      <c r="V102" s="54">
        <f>V98+V100+V99+V101</f>
        <v>23732</v>
      </c>
      <c r="W102" s="25"/>
      <c r="X102" s="5"/>
    </row>
    <row r="103" spans="1:25" ht="15.6" x14ac:dyDescent="0.3">
      <c r="A103" s="24"/>
      <c r="B103" s="118" t="s">
        <v>33</v>
      </c>
      <c r="C103" s="25"/>
      <c r="D103" s="25"/>
      <c r="E103" s="25"/>
      <c r="F103" s="25"/>
      <c r="G103" s="25"/>
      <c r="H103" s="25"/>
      <c r="I103" s="25"/>
      <c r="J103" s="25"/>
      <c r="K103" s="25"/>
      <c r="L103" s="25"/>
      <c r="M103" s="25"/>
      <c r="N103" s="25"/>
      <c r="O103" s="25"/>
      <c r="P103" s="25"/>
      <c r="Q103" s="25"/>
      <c r="R103" s="25"/>
      <c r="S103" s="25"/>
      <c r="T103" s="34"/>
      <c r="U103" s="25"/>
      <c r="V103" s="53"/>
      <c r="W103" s="25"/>
      <c r="X103" s="5"/>
    </row>
    <row r="104" spans="1:25" ht="15.6" x14ac:dyDescent="0.3">
      <c r="A104" s="24">
        <v>1</v>
      </c>
      <c r="B104" s="25" t="s">
        <v>34</v>
      </c>
      <c r="C104" s="25"/>
      <c r="D104" s="25"/>
      <c r="E104" s="25"/>
      <c r="F104" s="25"/>
      <c r="G104" s="25"/>
      <c r="H104" s="25"/>
      <c r="I104" s="25"/>
      <c r="J104" s="25"/>
      <c r="K104" s="25"/>
      <c r="L104" s="25"/>
      <c r="M104" s="25"/>
      <c r="N104" s="25"/>
      <c r="O104" s="25"/>
      <c r="P104" s="25"/>
      <c r="Q104" s="25"/>
      <c r="R104" s="25"/>
      <c r="S104" s="25"/>
      <c r="T104" s="25"/>
      <c r="U104" s="25"/>
      <c r="V104" s="53">
        <v>0</v>
      </c>
      <c r="W104" s="25"/>
      <c r="X104" s="5"/>
    </row>
    <row r="105" spans="1:25" ht="15.6" x14ac:dyDescent="0.3">
      <c r="A105" s="24">
        <f>+A104+1</f>
        <v>2</v>
      </c>
      <c r="B105" s="25" t="s">
        <v>225</v>
      </c>
      <c r="C105" s="25"/>
      <c r="D105" s="25"/>
      <c r="E105" s="25"/>
      <c r="F105" s="25"/>
      <c r="G105" s="25"/>
      <c r="H105" s="25"/>
      <c r="I105" s="25"/>
      <c r="J105" s="25"/>
      <c r="K105" s="25"/>
      <c r="L105" s="25"/>
      <c r="M105" s="25"/>
      <c r="N105" s="25"/>
      <c r="O105" s="25"/>
      <c r="P105" s="25"/>
      <c r="Q105" s="25"/>
      <c r="R105" s="25"/>
      <c r="S105" s="25"/>
      <c r="T105" s="25"/>
      <c r="U105" s="25"/>
      <c r="V105" s="53">
        <v>-2</v>
      </c>
      <c r="W105" s="25"/>
      <c r="X105" s="5"/>
    </row>
    <row r="106" spans="1:25" ht="15.6" x14ac:dyDescent="0.3">
      <c r="A106" s="24">
        <f>+A105+1</f>
        <v>3</v>
      </c>
      <c r="B106" s="25" t="s">
        <v>204</v>
      </c>
      <c r="C106" s="25"/>
      <c r="D106" s="25"/>
      <c r="E106" s="25"/>
      <c r="F106" s="25"/>
      <c r="G106" s="25"/>
      <c r="H106" s="25"/>
      <c r="I106" s="25"/>
      <c r="J106" s="25"/>
      <c r="K106" s="25"/>
      <c r="L106" s="25"/>
      <c r="M106" s="25"/>
      <c r="N106" s="25"/>
      <c r="O106" s="25"/>
      <c r="P106" s="25"/>
      <c r="Q106" s="25"/>
      <c r="R106" s="25"/>
      <c r="S106" s="25"/>
      <c r="T106" s="25"/>
      <c r="U106" s="25"/>
      <c r="V106" s="53">
        <f>-165-68-15</f>
        <v>-248</v>
      </c>
      <c r="W106" s="25"/>
      <c r="X106" s="5"/>
    </row>
    <row r="107" spans="1:25" ht="15.6" x14ac:dyDescent="0.3">
      <c r="A107" s="24" t="s">
        <v>127</v>
      </c>
      <c r="B107" s="25" t="s">
        <v>116</v>
      </c>
      <c r="C107" s="25"/>
      <c r="D107" s="25"/>
      <c r="E107" s="25"/>
      <c r="F107" s="25"/>
      <c r="G107" s="25"/>
      <c r="H107" s="25"/>
      <c r="I107" s="25"/>
      <c r="J107" s="25"/>
      <c r="K107" s="25"/>
      <c r="L107" s="25"/>
      <c r="M107" s="25"/>
      <c r="N107" s="25"/>
      <c r="O107" s="25"/>
      <c r="P107" s="25"/>
      <c r="Q107" s="25"/>
      <c r="R107" s="25"/>
      <c r="S107" s="25"/>
      <c r="T107" s="25"/>
      <c r="U107" s="25"/>
      <c r="V107" s="53">
        <v>0</v>
      </c>
      <c r="W107" s="25"/>
      <c r="X107" s="5"/>
    </row>
    <row r="108" spans="1:25" ht="15.6" x14ac:dyDescent="0.3">
      <c r="A108" s="24" t="s">
        <v>128</v>
      </c>
      <c r="B108" s="25" t="s">
        <v>222</v>
      </c>
      <c r="C108" s="25"/>
      <c r="D108" s="25"/>
      <c r="E108" s="25"/>
      <c r="F108" s="25"/>
      <c r="G108" s="25"/>
      <c r="H108" s="25"/>
      <c r="I108" s="25"/>
      <c r="J108" s="25"/>
      <c r="K108" s="25"/>
      <c r="L108" s="25"/>
      <c r="M108" s="25"/>
      <c r="N108" s="25"/>
      <c r="O108" s="25"/>
      <c r="P108" s="25"/>
      <c r="Q108" s="25"/>
      <c r="R108" s="25"/>
      <c r="S108" s="25"/>
      <c r="T108" s="25"/>
      <c r="U108" s="25"/>
      <c r="V108" s="53">
        <f>-15970+1558</f>
        <v>-14412</v>
      </c>
      <c r="W108" s="25"/>
      <c r="X108" s="5"/>
      <c r="Y108" s="109"/>
    </row>
    <row r="109" spans="1:25" ht="15.6" x14ac:dyDescent="0.3">
      <c r="A109" s="24" t="s">
        <v>150</v>
      </c>
      <c r="B109" s="25" t="s">
        <v>184</v>
      </c>
      <c r="C109" s="25"/>
      <c r="D109" s="25"/>
      <c r="E109" s="25"/>
      <c r="F109" s="25"/>
      <c r="G109" s="25"/>
      <c r="H109" s="25"/>
      <c r="I109" s="25"/>
      <c r="J109" s="25"/>
      <c r="K109" s="25"/>
      <c r="L109" s="25"/>
      <c r="M109" s="25"/>
      <c r="N109" s="25"/>
      <c r="O109" s="25"/>
      <c r="P109" s="25"/>
      <c r="Q109" s="25"/>
      <c r="R109" s="25"/>
      <c r="S109" s="25"/>
      <c r="T109" s="25"/>
      <c r="U109" s="25"/>
      <c r="V109" s="53">
        <v>-1558</v>
      </c>
      <c r="W109" s="25"/>
      <c r="X109" s="5"/>
      <c r="Y109" s="109"/>
    </row>
    <row r="110" spans="1:25" ht="15.6" x14ac:dyDescent="0.3">
      <c r="A110" s="24" t="s">
        <v>236</v>
      </c>
      <c r="B110" s="25" t="s">
        <v>238</v>
      </c>
      <c r="C110" s="25"/>
      <c r="D110" s="25"/>
      <c r="E110" s="25"/>
      <c r="F110" s="25"/>
      <c r="G110" s="25"/>
      <c r="H110" s="25"/>
      <c r="I110" s="25"/>
      <c r="J110" s="25"/>
      <c r="K110" s="25"/>
      <c r="L110" s="25"/>
      <c r="M110" s="25"/>
      <c r="N110" s="25"/>
      <c r="O110" s="25"/>
      <c r="P110" s="25"/>
      <c r="Q110" s="25"/>
      <c r="R110" s="25"/>
      <c r="S110" s="25"/>
      <c r="T110" s="25"/>
      <c r="U110" s="25"/>
      <c r="V110" s="53">
        <v>-1</v>
      </c>
      <c r="W110" s="25"/>
      <c r="X110" s="5"/>
    </row>
    <row r="111" spans="1:25" ht="15.6" x14ac:dyDescent="0.3">
      <c r="A111" s="24" t="s">
        <v>205</v>
      </c>
      <c r="B111" s="25" t="s">
        <v>185</v>
      </c>
      <c r="C111" s="25"/>
      <c r="D111" s="25"/>
      <c r="E111" s="25"/>
      <c r="F111" s="25"/>
      <c r="G111" s="25"/>
      <c r="H111" s="25"/>
      <c r="I111" s="25"/>
      <c r="J111" s="25"/>
      <c r="K111" s="25"/>
      <c r="L111" s="25"/>
      <c r="M111" s="25"/>
      <c r="N111" s="25"/>
      <c r="O111" s="25"/>
      <c r="P111" s="25"/>
      <c r="Q111" s="25"/>
      <c r="R111" s="25"/>
      <c r="S111" s="25"/>
      <c r="T111" s="25"/>
      <c r="U111" s="25"/>
      <c r="V111" s="53">
        <v>-896</v>
      </c>
      <c r="W111" s="25"/>
      <c r="X111" s="5"/>
      <c r="Y111" s="109"/>
    </row>
    <row r="112" spans="1:25" ht="15.6" x14ac:dyDescent="0.3">
      <c r="A112" s="24" t="s">
        <v>206</v>
      </c>
      <c r="B112" s="25" t="s">
        <v>186</v>
      </c>
      <c r="C112" s="25"/>
      <c r="D112" s="25"/>
      <c r="E112" s="25"/>
      <c r="F112" s="25"/>
      <c r="G112" s="25"/>
      <c r="H112" s="25"/>
      <c r="I112" s="25"/>
      <c r="J112" s="25"/>
      <c r="K112" s="25"/>
      <c r="L112" s="25"/>
      <c r="M112" s="25"/>
      <c r="N112" s="25"/>
      <c r="O112" s="25"/>
      <c r="P112" s="25"/>
      <c r="Q112" s="25"/>
      <c r="R112" s="25"/>
      <c r="S112" s="25"/>
      <c r="T112" s="25"/>
      <c r="U112" s="25"/>
      <c r="V112" s="53">
        <f>-1659+896</f>
        <v>-763</v>
      </c>
      <c r="W112" s="25"/>
      <c r="X112" s="179"/>
      <c r="Y112" s="109"/>
    </row>
    <row r="113" spans="1:25" ht="15.6" x14ac:dyDescent="0.3">
      <c r="A113" s="24" t="s">
        <v>207</v>
      </c>
      <c r="B113" s="25" t="s">
        <v>196</v>
      </c>
      <c r="C113" s="25"/>
      <c r="D113" s="25"/>
      <c r="E113" s="25"/>
      <c r="F113" s="25"/>
      <c r="G113" s="25"/>
      <c r="H113" s="25"/>
      <c r="I113" s="25"/>
      <c r="J113" s="25"/>
      <c r="K113" s="25"/>
      <c r="L113" s="25"/>
      <c r="M113" s="25"/>
      <c r="N113" s="25"/>
      <c r="O113" s="25"/>
      <c r="P113" s="25"/>
      <c r="Q113" s="25"/>
      <c r="R113" s="25"/>
      <c r="S113" s="25"/>
      <c r="T113" s="25"/>
      <c r="U113" s="25"/>
      <c r="V113" s="53">
        <v>-1420</v>
      </c>
      <c r="W113" s="25"/>
      <c r="X113" s="5"/>
      <c r="Y113" s="109"/>
    </row>
    <row r="114" spans="1:25" ht="15.6" x14ac:dyDescent="0.3">
      <c r="A114" s="24" t="s">
        <v>224</v>
      </c>
      <c r="B114" s="25" t="s">
        <v>223</v>
      </c>
      <c r="C114" s="25"/>
      <c r="D114" s="25"/>
      <c r="E114" s="25"/>
      <c r="F114" s="25"/>
      <c r="G114" s="25"/>
      <c r="H114" s="25"/>
      <c r="I114" s="25"/>
      <c r="J114" s="25"/>
      <c r="K114" s="25"/>
      <c r="L114" s="25"/>
      <c r="M114" s="25"/>
      <c r="N114" s="25"/>
      <c r="O114" s="25"/>
      <c r="P114" s="25"/>
      <c r="Q114" s="25"/>
      <c r="R114" s="25"/>
      <c r="S114" s="25"/>
      <c r="T114" s="25"/>
      <c r="U114" s="25"/>
      <c r="V114" s="53">
        <f>-1724+1420</f>
        <v>-304</v>
      </c>
      <c r="W114" s="25"/>
      <c r="X114" s="5"/>
      <c r="Y114" s="109"/>
    </row>
    <row r="115" spans="1:25" ht="15.6" x14ac:dyDescent="0.3">
      <c r="A115" s="24">
        <v>7</v>
      </c>
      <c r="B115" s="25" t="s">
        <v>35</v>
      </c>
      <c r="C115" s="25"/>
      <c r="D115" s="25"/>
      <c r="E115" s="25"/>
      <c r="F115" s="25"/>
      <c r="G115" s="25"/>
      <c r="H115" s="25"/>
      <c r="I115" s="25"/>
      <c r="J115" s="25"/>
      <c r="K115" s="25"/>
      <c r="L115" s="25"/>
      <c r="M115" s="25"/>
      <c r="N115" s="25"/>
      <c r="O115" s="25"/>
      <c r="P115" s="25"/>
      <c r="Q115" s="25"/>
      <c r="R115" s="25"/>
      <c r="S115" s="25"/>
      <c r="T115" s="25"/>
      <c r="U115" s="25"/>
      <c r="V115" s="53">
        <v>-12</v>
      </c>
      <c r="W115" s="25"/>
      <c r="X115" s="5"/>
    </row>
    <row r="116" spans="1:25" ht="15.6" x14ac:dyDescent="0.3">
      <c r="A116" s="24">
        <f t="shared" ref="A116:A122" si="0">+A115+1</f>
        <v>8</v>
      </c>
      <c r="B116" s="25" t="s">
        <v>45</v>
      </c>
      <c r="C116" s="25"/>
      <c r="D116" s="25"/>
      <c r="E116" s="25"/>
      <c r="F116" s="25"/>
      <c r="G116" s="25"/>
      <c r="H116" s="25"/>
      <c r="I116" s="25"/>
      <c r="J116" s="25"/>
      <c r="K116" s="25"/>
      <c r="L116" s="25"/>
      <c r="M116" s="25"/>
      <c r="N116" s="25"/>
      <c r="O116" s="25"/>
      <c r="P116" s="25"/>
      <c r="Q116" s="25"/>
      <c r="R116" s="25"/>
      <c r="S116" s="25"/>
      <c r="T116" s="34">
        <f>-V116</f>
        <v>213</v>
      </c>
      <c r="U116" s="25"/>
      <c r="V116" s="53">
        <v>-213</v>
      </c>
      <c r="W116" s="25"/>
      <c r="X116" s="5"/>
    </row>
    <row r="117" spans="1:25" ht="15.6" x14ac:dyDescent="0.3">
      <c r="A117" s="24">
        <f t="shared" si="0"/>
        <v>9</v>
      </c>
      <c r="B117" s="25" t="s">
        <v>125</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5" ht="15.6" x14ac:dyDescent="0.3">
      <c r="A118" s="24">
        <f t="shared" si="0"/>
        <v>10</v>
      </c>
      <c r="B118" s="25" t="s">
        <v>240</v>
      </c>
      <c r="C118" s="25"/>
      <c r="D118" s="25"/>
      <c r="E118" s="25"/>
      <c r="F118" s="25"/>
      <c r="G118" s="25"/>
      <c r="H118" s="25"/>
      <c r="I118" s="25"/>
      <c r="J118" s="25"/>
      <c r="K118" s="25"/>
      <c r="L118" s="25"/>
      <c r="M118" s="25"/>
      <c r="N118" s="25"/>
      <c r="O118" s="25"/>
      <c r="P118" s="25"/>
      <c r="Q118" s="25"/>
      <c r="R118" s="25"/>
      <c r="S118" s="25"/>
      <c r="T118" s="25"/>
      <c r="U118" s="25"/>
      <c r="V118" s="53">
        <v>0</v>
      </c>
      <c r="W118" s="25"/>
      <c r="X118" s="5"/>
    </row>
    <row r="119" spans="1:25" ht="15.6" x14ac:dyDescent="0.3">
      <c r="A119" s="24">
        <f t="shared" si="0"/>
        <v>11</v>
      </c>
      <c r="B119" s="25" t="s">
        <v>36</v>
      </c>
      <c r="C119" s="25"/>
      <c r="D119" s="25"/>
      <c r="E119" s="25"/>
      <c r="F119" s="25"/>
      <c r="G119" s="25"/>
      <c r="H119" s="25"/>
      <c r="I119" s="25"/>
      <c r="J119" s="25"/>
      <c r="K119" s="25"/>
      <c r="L119" s="25"/>
      <c r="M119" s="25"/>
      <c r="N119" s="25"/>
      <c r="O119" s="25"/>
      <c r="P119" s="25"/>
      <c r="Q119" s="25"/>
      <c r="R119" s="25"/>
      <c r="S119" s="25"/>
      <c r="T119" s="25"/>
      <c r="U119" s="25"/>
      <c r="V119" s="53">
        <v>0</v>
      </c>
      <c r="W119" s="25"/>
      <c r="X119" s="5"/>
    </row>
    <row r="120" spans="1:25" ht="15.6" x14ac:dyDescent="0.3">
      <c r="A120" s="24">
        <f t="shared" si="0"/>
        <v>12</v>
      </c>
      <c r="B120" s="25" t="s">
        <v>239</v>
      </c>
      <c r="C120" s="25"/>
      <c r="D120" s="25"/>
      <c r="E120" s="25"/>
      <c r="F120" s="25"/>
      <c r="G120" s="25"/>
      <c r="H120" s="25"/>
      <c r="I120" s="25"/>
      <c r="J120" s="25"/>
      <c r="K120" s="25"/>
      <c r="L120" s="25"/>
      <c r="M120" s="25"/>
      <c r="N120" s="25"/>
      <c r="O120" s="25"/>
      <c r="P120" s="25"/>
      <c r="Q120" s="25"/>
      <c r="R120" s="25"/>
      <c r="S120" s="25"/>
      <c r="T120" s="25"/>
      <c r="U120" s="25"/>
      <c r="V120" s="53">
        <v>0</v>
      </c>
      <c r="W120" s="25"/>
      <c r="X120" s="5"/>
    </row>
    <row r="121" spans="1:25" ht="15.6" x14ac:dyDescent="0.3">
      <c r="A121" s="24">
        <f t="shared" si="0"/>
        <v>13</v>
      </c>
      <c r="B121" s="25" t="s">
        <v>149</v>
      </c>
      <c r="C121" s="25"/>
      <c r="D121" s="25"/>
      <c r="E121" s="25"/>
      <c r="F121" s="25"/>
      <c r="G121" s="25"/>
      <c r="H121" s="25"/>
      <c r="I121" s="25"/>
      <c r="J121" s="25"/>
      <c r="K121" s="25"/>
      <c r="L121" s="25"/>
      <c r="M121" s="25"/>
      <c r="N121" s="25"/>
      <c r="O121" s="25"/>
      <c r="P121" s="25"/>
      <c r="Q121" s="25"/>
      <c r="R121" s="25"/>
      <c r="S121" s="25"/>
      <c r="T121" s="25"/>
      <c r="U121" s="25"/>
      <c r="V121" s="53">
        <v>-824</v>
      </c>
      <c r="W121" s="25"/>
      <c r="X121" s="5"/>
    </row>
    <row r="122" spans="1:25" ht="15.6" x14ac:dyDescent="0.3">
      <c r="A122" s="24">
        <f t="shared" si="0"/>
        <v>14</v>
      </c>
      <c r="B122" s="25" t="s">
        <v>126</v>
      </c>
      <c r="C122" s="25"/>
      <c r="D122" s="25"/>
      <c r="E122" s="25"/>
      <c r="F122" s="25"/>
      <c r="G122" s="25"/>
      <c r="H122" s="25"/>
      <c r="I122" s="25"/>
      <c r="J122" s="25"/>
      <c r="K122" s="25"/>
      <c r="L122" s="25"/>
      <c r="M122" s="25"/>
      <c r="N122" s="25"/>
      <c r="O122" s="25"/>
      <c r="P122" s="25"/>
      <c r="Q122" s="25"/>
      <c r="R122" s="25"/>
      <c r="S122" s="25"/>
      <c r="T122" s="25"/>
      <c r="U122" s="25"/>
      <c r="V122" s="53">
        <f>-V102-SUM(V104:V121)</f>
        <v>-3079</v>
      </c>
      <c r="W122" s="25"/>
      <c r="X122" s="5"/>
    </row>
    <row r="123" spans="1:25" ht="15.6" x14ac:dyDescent="0.3">
      <c r="A123" s="24"/>
      <c r="B123" s="118" t="s">
        <v>37</v>
      </c>
      <c r="C123" s="25"/>
      <c r="D123" s="25"/>
      <c r="E123" s="25"/>
      <c r="F123" s="25"/>
      <c r="G123" s="25"/>
      <c r="H123" s="25"/>
      <c r="I123" s="25"/>
      <c r="J123" s="25"/>
      <c r="K123" s="25"/>
      <c r="L123" s="25"/>
      <c r="M123" s="25"/>
      <c r="N123" s="25"/>
      <c r="O123" s="25"/>
      <c r="P123" s="25"/>
      <c r="Q123" s="25"/>
      <c r="R123" s="25"/>
      <c r="S123" s="25"/>
      <c r="T123" s="25"/>
      <c r="U123" s="25"/>
      <c r="V123" s="59"/>
      <c r="W123" s="25"/>
      <c r="X123" s="5"/>
    </row>
    <row r="124" spans="1:25" ht="15.6" x14ac:dyDescent="0.3">
      <c r="A124" s="24"/>
      <c r="B124" s="25" t="s">
        <v>173</v>
      </c>
      <c r="C124" s="25"/>
      <c r="D124" s="25"/>
      <c r="E124" s="25"/>
      <c r="F124" s="25"/>
      <c r="G124" s="25"/>
      <c r="H124" s="25"/>
      <c r="I124" s="25"/>
      <c r="J124" s="25"/>
      <c r="K124" s="25"/>
      <c r="L124" s="25"/>
      <c r="M124" s="25"/>
      <c r="N124" s="25"/>
      <c r="O124" s="25"/>
      <c r="P124" s="25"/>
      <c r="Q124" s="25"/>
      <c r="R124" s="25"/>
      <c r="S124" s="25"/>
      <c r="T124" s="34">
        <f>-T189</f>
        <v>-31</v>
      </c>
      <c r="U124" s="34"/>
      <c r="V124" s="53"/>
      <c r="W124" s="25"/>
      <c r="X124" s="5"/>
    </row>
    <row r="125" spans="1:25" ht="15.6" x14ac:dyDescent="0.3">
      <c r="A125" s="24"/>
      <c r="B125" s="25" t="s">
        <v>174</v>
      </c>
      <c r="C125" s="25"/>
      <c r="D125" s="25"/>
      <c r="E125" s="25"/>
      <c r="F125" s="25"/>
      <c r="G125" s="25"/>
      <c r="H125" s="25"/>
      <c r="I125" s="25"/>
      <c r="J125" s="25"/>
      <c r="K125" s="25"/>
      <c r="L125" s="25"/>
      <c r="M125" s="25"/>
      <c r="N125" s="25"/>
      <c r="O125" s="25"/>
      <c r="P125" s="25"/>
      <c r="Q125" s="25"/>
      <c r="R125" s="25"/>
      <c r="S125" s="25"/>
      <c r="T125" s="34">
        <v>-126</v>
      </c>
      <c r="U125" s="34"/>
      <c r="V125" s="53"/>
      <c r="W125" s="25"/>
      <c r="X125" s="5"/>
    </row>
    <row r="126" spans="1:25" ht="15.6" x14ac:dyDescent="0.3">
      <c r="A126" s="24"/>
      <c r="B126" s="25" t="s">
        <v>38</v>
      </c>
      <c r="C126" s="25"/>
      <c r="D126" s="25"/>
      <c r="E126" s="25"/>
      <c r="F126" s="25"/>
      <c r="G126" s="25"/>
      <c r="H126" s="25"/>
      <c r="I126" s="25"/>
      <c r="J126" s="25"/>
      <c r="K126" s="25"/>
      <c r="L126" s="25"/>
      <c r="M126" s="25"/>
      <c r="N126" s="25"/>
      <c r="O126" s="25"/>
      <c r="P126" s="25"/>
      <c r="Q126" s="25"/>
      <c r="R126" s="25"/>
      <c r="S126" s="25"/>
      <c r="T126" s="34">
        <f>-S189</f>
        <v>-1161</v>
      </c>
      <c r="U126" s="34"/>
      <c r="V126" s="53"/>
      <c r="W126" s="25"/>
      <c r="X126" s="5"/>
    </row>
    <row r="127" spans="1:25" ht="15.6" x14ac:dyDescent="0.3">
      <c r="A127" s="24"/>
      <c r="B127" s="25" t="s">
        <v>197</v>
      </c>
      <c r="C127" s="25"/>
      <c r="D127" s="25"/>
      <c r="E127" s="25"/>
      <c r="F127" s="25"/>
      <c r="G127" s="25"/>
      <c r="H127" s="25"/>
      <c r="I127" s="25"/>
      <c r="J127" s="25"/>
      <c r="K127" s="25"/>
      <c r="L127" s="25"/>
      <c r="M127" s="25"/>
      <c r="N127" s="25"/>
      <c r="O127" s="25"/>
      <c r="P127" s="25"/>
      <c r="Q127" s="25"/>
      <c r="R127" s="25"/>
      <c r="S127" s="25"/>
      <c r="T127" s="34">
        <v>-32362</v>
      </c>
      <c r="U127" s="34"/>
      <c r="V127" s="53"/>
      <c r="W127" s="25"/>
      <c r="X127" s="5"/>
    </row>
    <row r="128" spans="1:25" ht="15.6" x14ac:dyDescent="0.3">
      <c r="A128" s="24"/>
      <c r="B128" s="25" t="s">
        <v>195</v>
      </c>
      <c r="C128" s="25"/>
      <c r="D128" s="25"/>
      <c r="E128" s="25"/>
      <c r="F128" s="25"/>
      <c r="G128" s="25"/>
      <c r="H128" s="25"/>
      <c r="I128" s="25"/>
      <c r="J128" s="25"/>
      <c r="K128" s="25"/>
      <c r="L128" s="25"/>
      <c r="M128" s="25"/>
      <c r="N128" s="25"/>
      <c r="O128" s="25"/>
      <c r="P128" s="25"/>
      <c r="Q128" s="25"/>
      <c r="R128" s="25"/>
      <c r="S128" s="25"/>
      <c r="T128" s="34">
        <v>-5218</v>
      </c>
      <c r="U128" s="34"/>
      <c r="V128" s="53"/>
      <c r="W128" s="25"/>
      <c r="X128" s="5"/>
    </row>
    <row r="129" spans="1:24" ht="15.6" x14ac:dyDescent="0.3">
      <c r="A129" s="24"/>
      <c r="B129" s="25" t="s">
        <v>194</v>
      </c>
      <c r="C129" s="25"/>
      <c r="D129" s="25"/>
      <c r="E129" s="25"/>
      <c r="F129" s="25"/>
      <c r="G129" s="25"/>
      <c r="H129" s="25"/>
      <c r="I129" s="25"/>
      <c r="J129" s="25"/>
      <c r="K129" s="25"/>
      <c r="L129" s="25"/>
      <c r="M129" s="25"/>
      <c r="N129" s="25"/>
      <c r="O129" s="25"/>
      <c r="P129" s="25"/>
      <c r="Q129" s="25"/>
      <c r="R129" s="25"/>
      <c r="S129" s="25"/>
      <c r="T129" s="34">
        <v>-7020</v>
      </c>
      <c r="U129" s="34"/>
      <c r="V129" s="53"/>
      <c r="W129" s="25"/>
      <c r="X129" s="5"/>
    </row>
    <row r="130" spans="1:24" ht="15.6" x14ac:dyDescent="0.3">
      <c r="A130" s="24"/>
      <c r="B130" s="25" t="s">
        <v>226</v>
      </c>
      <c r="C130" s="25"/>
      <c r="D130" s="25"/>
      <c r="E130" s="25"/>
      <c r="F130" s="25"/>
      <c r="G130" s="25"/>
      <c r="H130" s="25"/>
      <c r="I130" s="25"/>
      <c r="J130" s="25"/>
      <c r="K130" s="25"/>
      <c r="L130" s="25"/>
      <c r="M130" s="25"/>
      <c r="N130" s="25"/>
      <c r="O130" s="25"/>
      <c r="P130" s="25"/>
      <c r="Q130" s="25"/>
      <c r="R130" s="25"/>
      <c r="S130" s="25"/>
      <c r="T130" s="34">
        <v>-8629</v>
      </c>
      <c r="U130" s="34"/>
      <c r="V130" s="53"/>
      <c r="W130" s="25"/>
      <c r="X130" s="5"/>
    </row>
    <row r="131" spans="1:24" ht="15.6" x14ac:dyDescent="0.3">
      <c r="A131" s="24"/>
      <c r="B131" s="25" t="s">
        <v>189</v>
      </c>
      <c r="C131" s="25"/>
      <c r="D131" s="25"/>
      <c r="E131" s="25"/>
      <c r="F131" s="25"/>
      <c r="G131" s="25"/>
      <c r="H131" s="25"/>
      <c r="I131" s="25"/>
      <c r="J131" s="25"/>
      <c r="K131" s="25"/>
      <c r="L131" s="25"/>
      <c r="M131" s="25"/>
      <c r="N131" s="25"/>
      <c r="O131" s="25"/>
      <c r="P131" s="25"/>
      <c r="Q131" s="25"/>
      <c r="R131" s="25"/>
      <c r="S131" s="25"/>
      <c r="T131" s="34">
        <v>0</v>
      </c>
      <c r="U131" s="34"/>
      <c r="V131" s="53"/>
      <c r="W131" s="25"/>
      <c r="X131" s="5"/>
    </row>
    <row r="132" spans="1:24" ht="15.6" x14ac:dyDescent="0.3">
      <c r="A132" s="24"/>
      <c r="B132" s="25" t="s">
        <v>188</v>
      </c>
      <c r="C132" s="25"/>
      <c r="D132" s="25"/>
      <c r="E132" s="25"/>
      <c r="F132" s="25"/>
      <c r="G132" s="25"/>
      <c r="H132" s="25"/>
      <c r="I132" s="25"/>
      <c r="J132" s="25"/>
      <c r="K132" s="25"/>
      <c r="L132" s="25"/>
      <c r="M132" s="25"/>
      <c r="N132" s="25"/>
      <c r="O132" s="25"/>
      <c r="P132" s="25"/>
      <c r="Q132" s="25"/>
      <c r="R132" s="25"/>
      <c r="S132" s="25"/>
      <c r="T132" s="34">
        <v>0</v>
      </c>
      <c r="U132" s="34"/>
      <c r="V132" s="53"/>
      <c r="W132" s="25"/>
      <c r="X132" s="5"/>
    </row>
    <row r="133" spans="1:24" ht="15.6" x14ac:dyDescent="0.3">
      <c r="A133" s="24"/>
      <c r="B133" s="25" t="s">
        <v>227</v>
      </c>
      <c r="C133" s="25"/>
      <c r="D133" s="25"/>
      <c r="E133" s="25"/>
      <c r="F133" s="25"/>
      <c r="G133" s="25"/>
      <c r="H133" s="25"/>
      <c r="I133" s="25"/>
      <c r="J133" s="25"/>
      <c r="K133" s="25"/>
      <c r="L133" s="25"/>
      <c r="M133" s="25"/>
      <c r="N133" s="25"/>
      <c r="O133" s="25"/>
      <c r="P133" s="25"/>
      <c r="Q133" s="25"/>
      <c r="R133" s="25"/>
      <c r="S133" s="25"/>
      <c r="T133" s="34">
        <v>0</v>
      </c>
      <c r="U133" s="34"/>
      <c r="V133" s="53"/>
      <c r="W133" s="25"/>
      <c r="X133" s="5"/>
    </row>
    <row r="134" spans="1:24" ht="15.6" x14ac:dyDescent="0.3">
      <c r="A134" s="24"/>
      <c r="B134" s="25" t="s">
        <v>187</v>
      </c>
      <c r="C134" s="25"/>
      <c r="D134" s="25"/>
      <c r="E134" s="25"/>
      <c r="F134" s="25"/>
      <c r="G134" s="25"/>
      <c r="H134" s="25"/>
      <c r="I134" s="25"/>
      <c r="J134" s="25"/>
      <c r="K134" s="25"/>
      <c r="L134" s="25"/>
      <c r="M134" s="25"/>
      <c r="N134" s="25"/>
      <c r="O134" s="25"/>
      <c r="P134" s="25"/>
      <c r="Q134" s="25"/>
      <c r="R134" s="25"/>
      <c r="S134" s="25"/>
      <c r="T134" s="34">
        <v>0</v>
      </c>
      <c r="U134" s="34"/>
      <c r="V134" s="53"/>
      <c r="W134" s="25"/>
      <c r="X134" s="5"/>
    </row>
    <row r="135" spans="1:24" ht="15.6" x14ac:dyDescent="0.3">
      <c r="A135" s="24"/>
      <c r="B135" s="25" t="s">
        <v>39</v>
      </c>
      <c r="C135" s="25"/>
      <c r="D135" s="25"/>
      <c r="E135" s="25"/>
      <c r="F135" s="25"/>
      <c r="G135" s="25"/>
      <c r="H135" s="25"/>
      <c r="I135" s="25"/>
      <c r="J135" s="25"/>
      <c r="K135" s="25"/>
      <c r="L135" s="25"/>
      <c r="M135" s="25"/>
      <c r="N135" s="25"/>
      <c r="O135" s="25"/>
      <c r="P135" s="25"/>
      <c r="Q135" s="25"/>
      <c r="R135" s="25"/>
      <c r="S135" s="25"/>
      <c r="T135" s="34">
        <f>SUM(T124:T134)</f>
        <v>-54547</v>
      </c>
      <c r="U135" s="34"/>
      <c r="V135" s="34">
        <f>SUM(V103:V132)</f>
        <v>-23732</v>
      </c>
      <c r="W135" s="25"/>
      <c r="X135" s="5"/>
    </row>
    <row r="136" spans="1:24" ht="15.6" x14ac:dyDescent="0.3">
      <c r="A136" s="24"/>
      <c r="B136" s="25" t="s">
        <v>40</v>
      </c>
      <c r="C136" s="25"/>
      <c r="D136" s="25"/>
      <c r="E136" s="25"/>
      <c r="F136" s="25"/>
      <c r="G136" s="25"/>
      <c r="H136" s="25"/>
      <c r="I136" s="25"/>
      <c r="J136" s="25"/>
      <c r="K136" s="25"/>
      <c r="L136" s="25"/>
      <c r="M136" s="25"/>
      <c r="N136" s="25"/>
      <c r="O136" s="25"/>
      <c r="P136" s="25"/>
      <c r="Q136" s="25"/>
      <c r="R136" s="25"/>
      <c r="S136" s="25"/>
      <c r="T136" s="34">
        <f>T102+T135+T116</f>
        <v>0</v>
      </c>
      <c r="U136" s="34"/>
      <c r="V136" s="34">
        <f>V102+V135</f>
        <v>0</v>
      </c>
      <c r="W136" s="25"/>
      <c r="X136" s="5"/>
    </row>
    <row r="137" spans="1:24" ht="15.6" x14ac:dyDescent="0.3">
      <c r="A137" s="24"/>
      <c r="B137" s="25"/>
      <c r="C137" s="25"/>
      <c r="D137" s="25"/>
      <c r="E137" s="25"/>
      <c r="F137" s="25"/>
      <c r="G137" s="25"/>
      <c r="H137" s="25"/>
      <c r="I137" s="25"/>
      <c r="J137" s="25"/>
      <c r="K137" s="25"/>
      <c r="L137" s="25"/>
      <c r="M137" s="25"/>
      <c r="N137" s="25"/>
      <c r="O137" s="25"/>
      <c r="P137" s="25"/>
      <c r="Q137" s="25"/>
      <c r="R137" s="25"/>
      <c r="S137" s="25"/>
      <c r="T137" s="34"/>
      <c r="U137" s="34"/>
      <c r="V137" s="34"/>
      <c r="W137" s="25"/>
      <c r="X137" s="5"/>
    </row>
    <row r="138" spans="1:24" ht="15.6" x14ac:dyDescent="0.3">
      <c r="A138" s="6"/>
      <c r="B138" s="8"/>
      <c r="C138" s="8"/>
      <c r="D138" s="8"/>
      <c r="E138" s="8"/>
      <c r="F138" s="8"/>
      <c r="G138" s="8"/>
      <c r="H138" s="8"/>
      <c r="I138" s="8"/>
      <c r="J138" s="8"/>
      <c r="K138" s="8"/>
      <c r="L138" s="8"/>
      <c r="M138" s="8"/>
      <c r="N138" s="8"/>
      <c r="O138" s="8"/>
      <c r="P138" s="8"/>
      <c r="Q138" s="8"/>
      <c r="R138" s="8"/>
      <c r="S138" s="8"/>
      <c r="T138" s="8"/>
      <c r="U138" s="8"/>
      <c r="V138" s="52"/>
      <c r="W138" s="8"/>
      <c r="X138" s="5"/>
    </row>
    <row r="139" spans="1:24" ht="18" thickBot="1" x14ac:dyDescent="0.35">
      <c r="A139" s="101"/>
      <c r="B139" s="102" t="str">
        <f>B64</f>
        <v>PM14 INVESTOR REPORT QUARTER ENDING NOVEMBER 2008</v>
      </c>
      <c r="C139" s="103"/>
      <c r="D139" s="103"/>
      <c r="E139" s="103"/>
      <c r="F139" s="103"/>
      <c r="G139" s="103"/>
      <c r="H139" s="103"/>
      <c r="I139" s="103"/>
      <c r="J139" s="103"/>
      <c r="K139" s="103"/>
      <c r="L139" s="103"/>
      <c r="M139" s="103"/>
      <c r="N139" s="103"/>
      <c r="O139" s="103"/>
      <c r="P139" s="103"/>
      <c r="Q139" s="103"/>
      <c r="R139" s="103"/>
      <c r="S139" s="103"/>
      <c r="T139" s="103"/>
      <c r="U139" s="103"/>
      <c r="V139" s="106"/>
      <c r="W139" s="105"/>
      <c r="X139" s="5"/>
    </row>
    <row r="140" spans="1:24" ht="15.6" x14ac:dyDescent="0.3">
      <c r="A140" s="2"/>
      <c r="B140" s="60" t="s">
        <v>41</v>
      </c>
      <c r="C140" s="4"/>
      <c r="D140" s="4"/>
      <c r="E140" s="4"/>
      <c r="F140" s="4"/>
      <c r="G140" s="4"/>
      <c r="H140" s="4"/>
      <c r="I140" s="4"/>
      <c r="J140" s="4"/>
      <c r="K140" s="4"/>
      <c r="L140" s="4"/>
      <c r="M140" s="4"/>
      <c r="N140" s="4"/>
      <c r="O140" s="4"/>
      <c r="P140" s="4"/>
      <c r="Q140" s="4"/>
      <c r="R140" s="4"/>
      <c r="S140" s="4"/>
      <c r="T140" s="4"/>
      <c r="U140" s="4"/>
      <c r="V140" s="50"/>
      <c r="W140" s="4"/>
      <c r="X140" s="5"/>
    </row>
    <row r="141" spans="1:24" ht="15.6" x14ac:dyDescent="0.3">
      <c r="A141" s="6"/>
      <c r="B141" s="21"/>
      <c r="C141" s="8"/>
      <c r="D141" s="8"/>
      <c r="E141" s="8"/>
      <c r="F141" s="8"/>
      <c r="G141" s="8"/>
      <c r="H141" s="8"/>
      <c r="I141" s="8"/>
      <c r="J141" s="8"/>
      <c r="K141" s="8"/>
      <c r="L141" s="8"/>
      <c r="M141" s="8"/>
      <c r="N141" s="8"/>
      <c r="O141" s="8"/>
      <c r="P141" s="8"/>
      <c r="Q141" s="8"/>
      <c r="R141" s="8"/>
      <c r="S141" s="8"/>
      <c r="T141" s="8"/>
      <c r="U141" s="8"/>
      <c r="V141" s="52"/>
      <c r="W141" s="8"/>
      <c r="X141" s="5"/>
    </row>
    <row r="142" spans="1:24" ht="15.6" x14ac:dyDescent="0.3">
      <c r="A142" s="6"/>
      <c r="B142" s="119" t="s">
        <v>42</v>
      </c>
      <c r="C142" s="8"/>
      <c r="D142" s="8"/>
      <c r="E142" s="8"/>
      <c r="F142" s="8"/>
      <c r="G142" s="8"/>
      <c r="H142" s="8"/>
      <c r="I142" s="8"/>
      <c r="J142" s="8"/>
      <c r="K142" s="8"/>
      <c r="L142" s="8"/>
      <c r="M142" s="8"/>
      <c r="N142" s="8"/>
      <c r="O142" s="8"/>
      <c r="P142" s="8"/>
      <c r="Q142" s="8"/>
      <c r="R142" s="8"/>
      <c r="S142" s="8"/>
      <c r="T142" s="8"/>
      <c r="U142" s="8"/>
      <c r="V142" s="52"/>
      <c r="W142" s="8"/>
      <c r="X142" s="5"/>
    </row>
    <row r="143" spans="1:24" ht="15.6" x14ac:dyDescent="0.3">
      <c r="A143" s="24"/>
      <c r="B143" s="25" t="s">
        <v>43</v>
      </c>
      <c r="C143" s="25"/>
      <c r="D143" s="25"/>
      <c r="E143" s="25"/>
      <c r="F143" s="25"/>
      <c r="G143" s="25"/>
      <c r="H143" s="25"/>
      <c r="I143" s="25"/>
      <c r="J143" s="25"/>
      <c r="K143" s="25"/>
      <c r="L143" s="25"/>
      <c r="M143" s="25"/>
      <c r="N143" s="25"/>
      <c r="O143" s="25"/>
      <c r="P143" s="25"/>
      <c r="Q143" s="25"/>
      <c r="R143" s="25"/>
      <c r="S143" s="25"/>
      <c r="T143" s="25"/>
      <c r="U143" s="25"/>
      <c r="V143" s="53">
        <f>+V34*0.019</f>
        <v>28505.224999999999</v>
      </c>
      <c r="W143" s="25"/>
      <c r="X143" s="5"/>
    </row>
    <row r="144" spans="1:24" ht="15.6" x14ac:dyDescent="0.3">
      <c r="A144" s="24"/>
      <c r="B144" s="25" t="s">
        <v>44</v>
      </c>
      <c r="C144" s="25"/>
      <c r="D144" s="25"/>
      <c r="E144" s="25"/>
      <c r="F144" s="25"/>
      <c r="G144" s="25"/>
      <c r="H144" s="25"/>
      <c r="I144" s="25"/>
      <c r="J144" s="25"/>
      <c r="K144" s="25"/>
      <c r="L144" s="25"/>
      <c r="M144" s="25"/>
      <c r="N144" s="25"/>
      <c r="O144" s="25"/>
      <c r="P144" s="25"/>
      <c r="Q144" s="25"/>
      <c r="R144" s="25"/>
      <c r="S144" s="25"/>
      <c r="T144" s="25"/>
      <c r="U144" s="25"/>
      <c r="V144" s="53">
        <v>28505</v>
      </c>
      <c r="W144" s="25"/>
      <c r="X144" s="5"/>
    </row>
    <row r="145" spans="1:25" ht="15.6" x14ac:dyDescent="0.3">
      <c r="A145" s="24"/>
      <c r="B145" s="25" t="s">
        <v>136</v>
      </c>
      <c r="C145" s="25"/>
      <c r="D145" s="25"/>
      <c r="E145" s="25"/>
      <c r="F145" s="25"/>
      <c r="G145" s="25"/>
      <c r="H145" s="25"/>
      <c r="I145" s="25"/>
      <c r="J145" s="25"/>
      <c r="K145" s="25"/>
      <c r="L145" s="25"/>
      <c r="M145" s="25"/>
      <c r="N145" s="25"/>
      <c r="O145" s="25"/>
      <c r="P145" s="25"/>
      <c r="Q145" s="25"/>
      <c r="R145" s="25"/>
      <c r="S145" s="25"/>
      <c r="T145" s="25"/>
      <c r="U145" s="25"/>
      <c r="V145" s="53"/>
      <c r="W145" s="25"/>
      <c r="X145" s="5"/>
    </row>
    <row r="146" spans="1:25" ht="15.6" x14ac:dyDescent="0.3">
      <c r="A146" s="24"/>
      <c r="B146" s="25" t="s">
        <v>123</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124</v>
      </c>
      <c r="C147" s="25"/>
      <c r="D147" s="25"/>
      <c r="E147" s="25"/>
      <c r="F147" s="25"/>
      <c r="G147" s="25"/>
      <c r="H147" s="25"/>
      <c r="I147" s="25"/>
      <c r="J147" s="25"/>
      <c r="K147" s="25"/>
      <c r="L147" s="25"/>
      <c r="M147" s="25"/>
      <c r="N147" s="25"/>
      <c r="O147" s="25"/>
      <c r="P147" s="25"/>
      <c r="Q147" s="25"/>
      <c r="R147" s="25"/>
      <c r="S147" s="25"/>
      <c r="T147" s="25"/>
      <c r="U147" s="25"/>
      <c r="V147" s="53">
        <v>0</v>
      </c>
      <c r="W147" s="25"/>
      <c r="X147" s="5"/>
    </row>
    <row r="148" spans="1:25" ht="15.6" x14ac:dyDescent="0.3">
      <c r="A148" s="24"/>
      <c r="B148" s="25" t="s">
        <v>175</v>
      </c>
      <c r="C148" s="25"/>
      <c r="D148" s="25"/>
      <c r="E148" s="25"/>
      <c r="F148" s="25"/>
      <c r="G148" s="25"/>
      <c r="H148" s="25"/>
      <c r="I148" s="25"/>
      <c r="J148" s="25"/>
      <c r="K148" s="25"/>
      <c r="L148" s="25"/>
      <c r="M148" s="25"/>
      <c r="N148" s="25"/>
      <c r="O148" s="25"/>
      <c r="P148" s="25"/>
      <c r="Q148" s="25"/>
      <c r="R148" s="25"/>
      <c r="S148" s="25"/>
      <c r="T148" s="25"/>
      <c r="U148" s="25"/>
      <c r="V148" s="53">
        <v>0</v>
      </c>
      <c r="W148" s="25"/>
      <c r="X148" s="5"/>
    </row>
    <row r="149" spans="1:25" ht="15.6" x14ac:dyDescent="0.3">
      <c r="A149" s="24"/>
      <c r="B149" s="25" t="s">
        <v>45</v>
      </c>
      <c r="C149" s="25"/>
      <c r="D149" s="25"/>
      <c r="E149" s="25"/>
      <c r="F149" s="25"/>
      <c r="G149" s="25"/>
      <c r="H149" s="25"/>
      <c r="I149" s="25"/>
      <c r="J149" s="25"/>
      <c r="K149" s="25"/>
      <c r="L149" s="25"/>
      <c r="M149" s="25"/>
      <c r="N149" s="25"/>
      <c r="O149" s="25"/>
      <c r="P149" s="25"/>
      <c r="Q149" s="25"/>
      <c r="R149" s="25"/>
      <c r="S149" s="25"/>
      <c r="T149" s="25"/>
      <c r="U149" s="25"/>
      <c r="V149" s="53">
        <v>0</v>
      </c>
      <c r="W149" s="25"/>
      <c r="X149" s="5"/>
    </row>
    <row r="150" spans="1:25" ht="15.6" x14ac:dyDescent="0.3">
      <c r="A150" s="24"/>
      <c r="B150" s="25" t="s">
        <v>129</v>
      </c>
      <c r="C150" s="25"/>
      <c r="D150" s="25"/>
      <c r="E150" s="25"/>
      <c r="F150" s="25"/>
      <c r="G150" s="25"/>
      <c r="H150" s="25"/>
      <c r="I150" s="25"/>
      <c r="J150" s="25"/>
      <c r="K150" s="25"/>
      <c r="L150" s="25"/>
      <c r="M150" s="25"/>
      <c r="N150" s="25"/>
      <c r="O150" s="25"/>
      <c r="P150" s="25"/>
      <c r="Q150" s="25"/>
      <c r="R150" s="25"/>
      <c r="S150" s="25"/>
      <c r="T150" s="25"/>
      <c r="U150" s="25"/>
      <c r="V150" s="53">
        <v>0</v>
      </c>
      <c r="W150" s="25"/>
      <c r="X150" s="5"/>
    </row>
    <row r="151" spans="1:25" ht="15.6" x14ac:dyDescent="0.3">
      <c r="A151" s="24"/>
      <c r="B151" s="25" t="s">
        <v>267</v>
      </c>
      <c r="C151" s="25"/>
      <c r="D151" s="25"/>
      <c r="E151" s="25"/>
      <c r="F151" s="25"/>
      <c r="G151" s="25"/>
      <c r="H151" s="25"/>
      <c r="I151" s="25"/>
      <c r="J151" s="25"/>
      <c r="K151" s="25"/>
      <c r="L151" s="25"/>
      <c r="M151" s="25"/>
      <c r="N151" s="25"/>
      <c r="O151" s="25"/>
      <c r="P151" s="25"/>
      <c r="Q151" s="25"/>
      <c r="R151" s="25"/>
      <c r="S151" s="25"/>
      <c r="T151" s="25"/>
      <c r="U151" s="25"/>
      <c r="V151" s="53">
        <v>0</v>
      </c>
      <c r="W151" s="25"/>
      <c r="X151" s="5"/>
      <c r="Y151" s="109"/>
    </row>
    <row r="152" spans="1:25" ht="15.6" x14ac:dyDescent="0.3">
      <c r="A152" s="24"/>
      <c r="B152" s="25" t="s">
        <v>46</v>
      </c>
      <c r="C152" s="25"/>
      <c r="D152" s="25"/>
      <c r="E152" s="25"/>
      <c r="F152" s="25"/>
      <c r="G152" s="25"/>
      <c r="H152" s="25"/>
      <c r="I152" s="25"/>
      <c r="J152" s="25"/>
      <c r="K152" s="25"/>
      <c r="L152" s="25"/>
      <c r="M152" s="25"/>
      <c r="N152" s="25"/>
      <c r="O152" s="25"/>
      <c r="P152" s="25"/>
      <c r="Q152" s="25"/>
      <c r="R152" s="25"/>
      <c r="S152" s="25"/>
      <c r="T152" s="25"/>
      <c r="U152" s="25"/>
      <c r="V152" s="53">
        <f>SUM(V144:V151)</f>
        <v>28505</v>
      </c>
      <c r="W152" s="25"/>
      <c r="X152" s="5"/>
    </row>
    <row r="153" spans="1:25" ht="15.6" x14ac:dyDescent="0.3">
      <c r="A153" s="24"/>
      <c r="B153" s="25"/>
      <c r="C153" s="25"/>
      <c r="D153" s="25"/>
      <c r="E153" s="25"/>
      <c r="F153" s="25"/>
      <c r="G153" s="25"/>
      <c r="H153" s="25"/>
      <c r="I153" s="25"/>
      <c r="J153" s="25"/>
      <c r="K153" s="25"/>
      <c r="L153" s="25"/>
      <c r="M153" s="25"/>
      <c r="N153" s="25"/>
      <c r="O153" s="25"/>
      <c r="P153" s="25"/>
      <c r="Q153" s="25"/>
      <c r="R153" s="25"/>
      <c r="S153" s="25"/>
      <c r="T153" s="25"/>
      <c r="U153" s="25"/>
      <c r="V153" s="53"/>
      <c r="W153" s="25"/>
      <c r="X153" s="5"/>
    </row>
    <row r="154" spans="1:25" ht="15.6" x14ac:dyDescent="0.3">
      <c r="A154" s="24"/>
      <c r="B154" s="136" t="s">
        <v>237</v>
      </c>
      <c r="C154" s="25"/>
      <c r="D154" s="25"/>
      <c r="E154" s="25"/>
      <c r="F154" s="25"/>
      <c r="G154" s="25"/>
      <c r="H154" s="25"/>
      <c r="I154" s="25"/>
      <c r="J154" s="25"/>
      <c r="K154" s="25"/>
      <c r="L154" s="25"/>
      <c r="M154" s="25"/>
      <c r="N154" s="25"/>
      <c r="O154" s="25"/>
      <c r="P154" s="25"/>
      <c r="Q154" s="25"/>
      <c r="R154" s="25"/>
      <c r="S154" s="25"/>
      <c r="T154" s="25"/>
      <c r="U154" s="25"/>
      <c r="V154" s="53"/>
      <c r="W154" s="25"/>
      <c r="X154" s="5"/>
    </row>
    <row r="155" spans="1:25" ht="15.6" x14ac:dyDescent="0.3">
      <c r="A155" s="24"/>
      <c r="B155" s="25" t="s">
        <v>155</v>
      </c>
      <c r="C155" s="25"/>
      <c r="D155" s="25"/>
      <c r="E155" s="25"/>
      <c r="F155" s="25"/>
      <c r="G155" s="25"/>
      <c r="H155" s="25"/>
      <c r="I155" s="25"/>
      <c r="J155" s="25"/>
      <c r="K155" s="25"/>
      <c r="L155" s="25"/>
      <c r="M155" s="25"/>
      <c r="N155" s="25"/>
      <c r="O155" s="25"/>
      <c r="P155" s="25"/>
      <c r="Q155" s="25"/>
      <c r="R155" s="25"/>
      <c r="S155" s="25"/>
      <c r="T155" s="25"/>
      <c r="U155" s="25"/>
      <c r="V155" s="53">
        <v>7500</v>
      </c>
      <c r="W155" s="25"/>
      <c r="X155" s="5"/>
    </row>
    <row r="156" spans="1:25" ht="15.6" x14ac:dyDescent="0.3">
      <c r="A156" s="24"/>
      <c r="B156" s="25" t="s">
        <v>172</v>
      </c>
      <c r="C156" s="25"/>
      <c r="D156" s="25"/>
      <c r="E156" s="25"/>
      <c r="F156" s="25"/>
      <c r="G156" s="25"/>
      <c r="H156" s="25"/>
      <c r="I156" s="25"/>
      <c r="J156" s="25"/>
      <c r="K156" s="25"/>
      <c r="L156" s="25"/>
      <c r="M156" s="25"/>
      <c r="N156" s="25"/>
      <c r="O156" s="25"/>
      <c r="P156" s="25"/>
      <c r="Q156" s="25"/>
      <c r="R156" s="25"/>
      <c r="S156" s="25"/>
      <c r="T156" s="25"/>
      <c r="U156" s="25"/>
      <c r="V156" s="53">
        <v>0</v>
      </c>
      <c r="W156" s="25"/>
      <c r="X156" s="5"/>
    </row>
    <row r="157" spans="1:25" ht="15.6" x14ac:dyDescent="0.3">
      <c r="A157" s="24"/>
      <c r="B157" s="25" t="s">
        <v>241</v>
      </c>
      <c r="C157" s="25"/>
      <c r="D157" s="25"/>
      <c r="E157" s="25"/>
      <c r="F157" s="25"/>
      <c r="G157" s="25"/>
      <c r="H157" s="25"/>
      <c r="I157" s="25"/>
      <c r="J157" s="25"/>
      <c r="K157" s="25"/>
      <c r="L157" s="25"/>
      <c r="M157" s="25"/>
      <c r="N157" s="25"/>
      <c r="O157" s="25"/>
      <c r="P157" s="25"/>
      <c r="Q157" s="25"/>
      <c r="R157" s="25"/>
      <c r="S157" s="25"/>
      <c r="T157" s="25"/>
      <c r="U157" s="25"/>
      <c r="V157" s="53">
        <v>3000</v>
      </c>
      <c r="W157" s="25"/>
      <c r="X157" s="5"/>
    </row>
    <row r="158" spans="1:25" ht="15.6" x14ac:dyDescent="0.3">
      <c r="A158" s="24"/>
      <c r="B158" s="25"/>
      <c r="C158" s="25"/>
      <c r="D158" s="25"/>
      <c r="E158" s="25"/>
      <c r="F158" s="25"/>
      <c r="G158" s="25"/>
      <c r="H158" s="25"/>
      <c r="I158" s="25"/>
      <c r="J158" s="25"/>
      <c r="K158" s="25"/>
      <c r="L158" s="25"/>
      <c r="M158" s="25"/>
      <c r="N158" s="25"/>
      <c r="O158" s="25"/>
      <c r="P158" s="25"/>
      <c r="Q158" s="25"/>
      <c r="R158" s="25"/>
      <c r="S158" s="25"/>
      <c r="T158" s="25"/>
      <c r="U158" s="25"/>
      <c r="V158" s="53"/>
      <c r="W158" s="25"/>
      <c r="X158" s="5"/>
    </row>
    <row r="159" spans="1:25" ht="15.6" x14ac:dyDescent="0.3">
      <c r="A159" s="24"/>
      <c r="B159" s="25"/>
      <c r="C159" s="25"/>
      <c r="D159" s="25"/>
      <c r="E159" s="25"/>
      <c r="F159" s="25"/>
      <c r="G159" s="25"/>
      <c r="H159" s="25"/>
      <c r="I159" s="25"/>
      <c r="J159" s="25"/>
      <c r="K159" s="25"/>
      <c r="L159" s="25"/>
      <c r="M159" s="25"/>
      <c r="N159" s="25"/>
      <c r="O159" s="25"/>
      <c r="P159" s="25"/>
      <c r="Q159" s="25"/>
      <c r="R159" s="25"/>
      <c r="S159" s="25"/>
      <c r="T159" s="25"/>
      <c r="U159" s="25"/>
      <c r="V159" s="61"/>
      <c r="W159" s="25"/>
      <c r="X159" s="5"/>
    </row>
    <row r="160" spans="1:25" ht="15.6" x14ac:dyDescent="0.3">
      <c r="A160" s="6"/>
      <c r="B160" s="119" t="s">
        <v>24</v>
      </c>
      <c r="C160" s="8"/>
      <c r="D160" s="8"/>
      <c r="E160" s="8"/>
      <c r="F160" s="8"/>
      <c r="G160" s="8"/>
      <c r="H160" s="8"/>
      <c r="I160" s="8"/>
      <c r="J160" s="8"/>
      <c r="K160" s="8"/>
      <c r="L160" s="8"/>
      <c r="M160" s="8"/>
      <c r="N160" s="8"/>
      <c r="O160" s="8"/>
      <c r="P160" s="8"/>
      <c r="Q160" s="8"/>
      <c r="R160" s="8"/>
      <c r="S160" s="8"/>
      <c r="T160" s="8"/>
      <c r="U160" s="8"/>
      <c r="V160" s="52"/>
      <c r="W160" s="8"/>
      <c r="X160" s="5"/>
    </row>
    <row r="161" spans="1:256" ht="15.6" x14ac:dyDescent="0.3">
      <c r="A161" s="24"/>
      <c r="B161" s="25" t="s">
        <v>47</v>
      </c>
      <c r="C161" s="25"/>
      <c r="D161" s="25"/>
      <c r="E161" s="25"/>
      <c r="F161" s="25"/>
      <c r="G161" s="25"/>
      <c r="H161" s="25"/>
      <c r="I161" s="25"/>
      <c r="J161" s="25"/>
      <c r="K161" s="25"/>
      <c r="L161" s="25"/>
      <c r="M161" s="25"/>
      <c r="N161" s="25"/>
      <c r="O161" s="25"/>
      <c r="P161" s="25"/>
      <c r="Q161" s="25"/>
      <c r="R161" s="25"/>
      <c r="S161" s="25"/>
      <c r="T161" s="25"/>
      <c r="U161" s="25"/>
      <c r="V161" s="59" t="s">
        <v>118</v>
      </c>
      <c r="W161" s="25"/>
      <c r="X161" s="5"/>
    </row>
    <row r="162" spans="1:256" ht="15.6" x14ac:dyDescent="0.3">
      <c r="A162" s="24"/>
      <c r="B162" s="25" t="s">
        <v>48</v>
      </c>
      <c r="C162" s="174"/>
      <c r="D162" s="174"/>
      <c r="E162" s="174"/>
      <c r="F162" s="174"/>
      <c r="G162" s="174"/>
      <c r="H162" s="174"/>
      <c r="I162" s="174"/>
      <c r="J162" s="174"/>
      <c r="K162" s="174"/>
      <c r="L162" s="174"/>
      <c r="M162" s="174"/>
      <c r="N162" s="174"/>
      <c r="O162" s="174"/>
      <c r="P162" s="174"/>
      <c r="Q162" s="174"/>
      <c r="R162" s="174"/>
      <c r="S162" s="174"/>
      <c r="T162" s="174"/>
      <c r="U162" s="174"/>
      <c r="V162" s="59" t="s">
        <v>118</v>
      </c>
      <c r="W162" s="25"/>
      <c r="X162" s="5"/>
    </row>
    <row r="163" spans="1:256" ht="15.6" x14ac:dyDescent="0.3">
      <c r="A163" s="24"/>
      <c r="B163" s="25" t="s">
        <v>49</v>
      </c>
      <c r="C163" s="25"/>
      <c r="D163" s="25"/>
      <c r="E163" s="25"/>
      <c r="F163" s="25"/>
      <c r="G163" s="25"/>
      <c r="H163" s="25"/>
      <c r="I163" s="25"/>
      <c r="J163" s="25"/>
      <c r="K163" s="25"/>
      <c r="L163" s="25"/>
      <c r="M163" s="25"/>
      <c r="N163" s="25"/>
      <c r="O163" s="25"/>
      <c r="P163" s="25"/>
      <c r="Q163" s="25"/>
      <c r="R163" s="25"/>
      <c r="S163" s="25"/>
      <c r="T163" s="25"/>
      <c r="U163" s="25"/>
      <c r="V163" s="59" t="s">
        <v>118</v>
      </c>
      <c r="W163" s="25"/>
      <c r="X163" s="5"/>
    </row>
    <row r="164" spans="1:256" ht="15.6" x14ac:dyDescent="0.3">
      <c r="A164" s="24"/>
      <c r="B164" s="25" t="s">
        <v>50</v>
      </c>
      <c r="C164" s="25"/>
      <c r="D164" s="25"/>
      <c r="E164" s="25"/>
      <c r="F164" s="25"/>
      <c r="G164" s="25"/>
      <c r="H164" s="25"/>
      <c r="I164" s="25"/>
      <c r="J164" s="25"/>
      <c r="K164" s="25"/>
      <c r="L164" s="25"/>
      <c r="M164" s="25"/>
      <c r="N164" s="25"/>
      <c r="O164" s="25"/>
      <c r="P164" s="25"/>
      <c r="Q164" s="25"/>
      <c r="R164" s="25"/>
      <c r="S164" s="25"/>
      <c r="T164" s="25"/>
      <c r="U164" s="25"/>
      <c r="V164" s="59" t="s">
        <v>118</v>
      </c>
      <c r="W164" s="25"/>
      <c r="X164" s="5"/>
    </row>
    <row r="165" spans="1:256" ht="15.6" x14ac:dyDescent="0.3">
      <c r="A165" s="24"/>
      <c r="B165" s="25"/>
      <c r="C165" s="25"/>
      <c r="D165" s="25"/>
      <c r="E165" s="25"/>
      <c r="F165" s="25"/>
      <c r="G165" s="25"/>
      <c r="H165" s="25"/>
      <c r="I165" s="25"/>
      <c r="J165" s="25"/>
      <c r="K165" s="25"/>
      <c r="L165" s="25"/>
      <c r="M165" s="25"/>
      <c r="N165" s="25"/>
      <c r="O165" s="25"/>
      <c r="P165" s="25"/>
      <c r="Q165" s="25"/>
      <c r="R165" s="25"/>
      <c r="S165" s="25"/>
      <c r="T165" s="25"/>
      <c r="U165" s="25"/>
      <c r="V165" s="61"/>
      <c r="W165" s="25"/>
      <c r="X165" s="5"/>
    </row>
    <row r="166" spans="1:256" ht="15.6" x14ac:dyDescent="0.3">
      <c r="A166" s="6"/>
      <c r="B166" s="119" t="s">
        <v>51</v>
      </c>
      <c r="C166" s="8"/>
      <c r="D166" s="8"/>
      <c r="E166" s="8"/>
      <c r="F166" s="8"/>
      <c r="G166" s="8"/>
      <c r="H166" s="8"/>
      <c r="I166" s="8"/>
      <c r="J166" s="8"/>
      <c r="K166" s="8"/>
      <c r="L166" s="8"/>
      <c r="M166" s="8"/>
      <c r="N166" s="8"/>
      <c r="O166" s="8"/>
      <c r="P166" s="8"/>
      <c r="Q166" s="8"/>
      <c r="R166" s="8"/>
      <c r="S166" s="8"/>
      <c r="T166" s="8"/>
      <c r="U166" s="8"/>
      <c r="V166" s="63"/>
      <c r="W166" s="8"/>
      <c r="X166" s="5"/>
    </row>
    <row r="167" spans="1:256" ht="15.6" x14ac:dyDescent="0.3">
      <c r="A167" s="24"/>
      <c r="B167" s="25" t="s">
        <v>52</v>
      </c>
      <c r="C167" s="25"/>
      <c r="D167" s="25"/>
      <c r="E167" s="25"/>
      <c r="F167" s="25"/>
      <c r="G167" s="25"/>
      <c r="H167" s="25"/>
      <c r="I167" s="25"/>
      <c r="J167" s="25"/>
      <c r="K167" s="25"/>
      <c r="L167" s="25"/>
      <c r="M167" s="25"/>
      <c r="N167" s="25"/>
      <c r="O167" s="25"/>
      <c r="P167" s="25"/>
      <c r="Q167" s="25"/>
      <c r="R167" s="25"/>
      <c r="S167" s="25"/>
      <c r="T167" s="25"/>
      <c r="U167" s="25"/>
      <c r="V167" s="53">
        <v>0</v>
      </c>
      <c r="W167" s="25"/>
      <c r="X167" s="5"/>
    </row>
    <row r="168" spans="1:256" ht="15.6" x14ac:dyDescent="0.3">
      <c r="A168" s="24"/>
      <c r="B168" s="25" t="s">
        <v>53</v>
      </c>
      <c r="C168" s="25"/>
      <c r="D168" s="25"/>
      <c r="E168" s="25"/>
      <c r="F168" s="25"/>
      <c r="G168" s="25"/>
      <c r="H168" s="25"/>
      <c r="I168" s="25"/>
      <c r="J168" s="25"/>
      <c r="K168" s="25"/>
      <c r="L168" s="25"/>
      <c r="M168" s="25"/>
      <c r="N168" s="25"/>
      <c r="O168" s="25"/>
      <c r="P168" s="25"/>
      <c r="Q168" s="25"/>
      <c r="R168" s="25"/>
      <c r="S168" s="25"/>
      <c r="T168" s="25"/>
      <c r="U168" s="25"/>
      <c r="V168" s="53">
        <v>213</v>
      </c>
      <c r="W168" s="25"/>
      <c r="X168" s="5"/>
    </row>
    <row r="169" spans="1:256" ht="15.6" x14ac:dyDescent="0.3">
      <c r="A169" s="24"/>
      <c r="B169" s="25" t="s">
        <v>54</v>
      </c>
      <c r="C169" s="25"/>
      <c r="D169" s="25"/>
      <c r="E169" s="25"/>
      <c r="F169" s="25"/>
      <c r="G169" s="25"/>
      <c r="H169" s="25"/>
      <c r="I169" s="25"/>
      <c r="J169" s="25"/>
      <c r="K169" s="25"/>
      <c r="L169" s="25"/>
      <c r="M169" s="25"/>
      <c r="N169" s="25"/>
      <c r="O169" s="25"/>
      <c r="P169" s="25"/>
      <c r="Q169" s="25"/>
      <c r="R169" s="25"/>
      <c r="S169" s="25"/>
      <c r="T169" s="25"/>
      <c r="U169" s="25"/>
      <c r="V169" s="53">
        <f>V168+V167</f>
        <v>213</v>
      </c>
      <c r="W169" s="25"/>
      <c r="X169" s="5"/>
    </row>
    <row r="170" spans="1:256" ht="15.6" x14ac:dyDescent="0.3">
      <c r="A170" s="24"/>
      <c r="B170" s="25" t="s">
        <v>315</v>
      </c>
      <c r="C170" s="25"/>
      <c r="D170" s="25"/>
      <c r="E170" s="25"/>
      <c r="F170" s="25"/>
      <c r="G170" s="25"/>
      <c r="H170" s="25"/>
      <c r="I170" s="25"/>
      <c r="J170" s="25"/>
      <c r="K170" s="25"/>
      <c r="L170" s="25"/>
      <c r="M170" s="25"/>
      <c r="N170" s="25"/>
      <c r="O170" s="25"/>
      <c r="P170" s="25"/>
      <c r="Q170" s="25"/>
      <c r="R170" s="25"/>
      <c r="S170" s="25"/>
      <c r="T170" s="25"/>
      <c r="U170" s="25"/>
      <c r="V170" s="53">
        <f>V116</f>
        <v>-213</v>
      </c>
      <c r="W170" s="25"/>
      <c r="X170" s="5"/>
    </row>
    <row r="171" spans="1:256" ht="15.6" x14ac:dyDescent="0.3">
      <c r="A171" s="24"/>
      <c r="B171" s="25" t="s">
        <v>55</v>
      </c>
      <c r="C171" s="25"/>
      <c r="D171" s="25"/>
      <c r="E171" s="25"/>
      <c r="F171" s="25"/>
      <c r="G171" s="25"/>
      <c r="H171" s="25"/>
      <c r="I171" s="25"/>
      <c r="J171" s="25"/>
      <c r="K171" s="25"/>
      <c r="L171" s="25"/>
      <c r="M171" s="25"/>
      <c r="N171" s="25"/>
      <c r="O171" s="25"/>
      <c r="P171" s="25"/>
      <c r="Q171" s="25"/>
      <c r="R171" s="25"/>
      <c r="S171" s="25"/>
      <c r="T171" s="25"/>
      <c r="U171" s="25"/>
      <c r="V171" s="53">
        <f>V169+V170</f>
        <v>0</v>
      </c>
      <c r="W171" s="25"/>
      <c r="X171" s="5"/>
    </row>
    <row r="172" spans="1:256" ht="16.2" thickBot="1" x14ac:dyDescent="0.35">
      <c r="A172" s="24"/>
      <c r="B172" s="25"/>
      <c r="C172" s="25"/>
      <c r="D172" s="25"/>
      <c r="E172" s="25"/>
      <c r="F172" s="25"/>
      <c r="G172" s="25"/>
      <c r="H172" s="25"/>
      <c r="I172" s="25"/>
      <c r="J172" s="25"/>
      <c r="K172" s="25"/>
      <c r="L172" s="25"/>
      <c r="M172" s="25"/>
      <c r="N172" s="25"/>
      <c r="O172" s="25"/>
      <c r="P172" s="25"/>
      <c r="Q172" s="25"/>
      <c r="R172" s="25"/>
      <c r="S172" s="25"/>
      <c r="T172" s="25"/>
      <c r="U172" s="25"/>
      <c r="V172" s="61"/>
      <c r="W172" s="25"/>
      <c r="X172" s="5"/>
    </row>
    <row r="173" spans="1:256" ht="15.6" x14ac:dyDescent="0.3">
      <c r="A173" s="2"/>
      <c r="B173" s="4"/>
      <c r="C173" s="4"/>
      <c r="D173" s="4"/>
      <c r="E173" s="4"/>
      <c r="F173" s="4"/>
      <c r="G173" s="4"/>
      <c r="H173" s="4"/>
      <c r="I173" s="4"/>
      <c r="J173" s="4"/>
      <c r="K173" s="4"/>
      <c r="L173" s="4"/>
      <c r="M173" s="4"/>
      <c r="N173" s="4"/>
      <c r="O173" s="4"/>
      <c r="P173" s="4"/>
      <c r="Q173" s="4"/>
      <c r="R173" s="4"/>
      <c r="S173" s="4"/>
      <c r="T173" s="4"/>
      <c r="U173" s="4"/>
      <c r="V173" s="50"/>
      <c r="W173" s="4"/>
      <c r="X173" s="5"/>
    </row>
    <row r="174" spans="1:256" s="161" customFormat="1" ht="15.6" x14ac:dyDescent="0.3">
      <c r="A174" s="6"/>
      <c r="B174" s="119" t="s">
        <v>269</v>
      </c>
      <c r="C174" s="160"/>
      <c r="D174" s="160"/>
      <c r="E174" s="160"/>
      <c r="F174" s="160"/>
      <c r="G174" s="160"/>
      <c r="H174" s="160"/>
      <c r="I174" s="160"/>
      <c r="J174" s="160"/>
      <c r="K174" s="160"/>
      <c r="L174" s="160"/>
      <c r="M174" s="160"/>
      <c r="N174" s="160"/>
      <c r="O174" s="160"/>
      <c r="P174" s="160"/>
      <c r="Q174" s="160"/>
      <c r="R174" s="160"/>
      <c r="S174" s="160"/>
      <c r="T174" s="160"/>
      <c r="U174" s="160"/>
      <c r="V174" s="168"/>
      <c r="W174" s="160"/>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5.6" x14ac:dyDescent="0.3">
      <c r="A175" s="24"/>
      <c r="B175" s="162" t="s">
        <v>270</v>
      </c>
      <c r="C175" s="162"/>
      <c r="D175" s="162"/>
      <c r="E175" s="162"/>
      <c r="F175" s="162"/>
      <c r="G175" s="162"/>
      <c r="H175" s="162"/>
      <c r="I175" s="162"/>
      <c r="J175" s="162"/>
      <c r="K175" s="162"/>
      <c r="L175" s="162"/>
      <c r="M175" s="162"/>
      <c r="N175" s="162"/>
      <c r="O175" s="162"/>
      <c r="P175" s="162"/>
      <c r="Q175" s="162"/>
      <c r="R175" s="162"/>
      <c r="S175" s="162"/>
      <c r="T175" s="162"/>
      <c r="U175" s="162"/>
      <c r="V175" s="169">
        <f>+'Aug 08'!V177</f>
        <v>0</v>
      </c>
      <c r="W175" s="162"/>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3" customFormat="1" ht="15.6" x14ac:dyDescent="0.3">
      <c r="A176" s="24"/>
      <c r="B176" s="162" t="s">
        <v>273</v>
      </c>
      <c r="C176" s="162"/>
      <c r="D176" s="162"/>
      <c r="E176" s="162"/>
      <c r="F176" s="162"/>
      <c r="G176" s="162"/>
      <c r="H176" s="162"/>
      <c r="I176" s="162"/>
      <c r="J176" s="162"/>
      <c r="K176" s="162"/>
      <c r="L176" s="162"/>
      <c r="M176" s="162"/>
      <c r="N176" s="162"/>
      <c r="O176" s="162"/>
      <c r="P176" s="162"/>
      <c r="Q176" s="162"/>
      <c r="R176" s="162"/>
      <c r="S176" s="162"/>
      <c r="T176" s="162"/>
      <c r="U176" s="162"/>
      <c r="V176" s="169">
        <f>+V95</f>
        <v>0</v>
      </c>
      <c r="W176" s="162"/>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s="163" customFormat="1" ht="15.6" x14ac:dyDescent="0.3">
      <c r="A177" s="24"/>
      <c r="B177" s="162" t="s">
        <v>271</v>
      </c>
      <c r="C177" s="162"/>
      <c r="D177" s="162"/>
      <c r="E177" s="162"/>
      <c r="F177" s="162"/>
      <c r="G177" s="162"/>
      <c r="H177" s="162"/>
      <c r="I177" s="162"/>
      <c r="J177" s="162"/>
      <c r="K177" s="162"/>
      <c r="L177" s="162"/>
      <c r="M177" s="162"/>
      <c r="N177" s="162"/>
      <c r="O177" s="162"/>
      <c r="P177" s="162"/>
      <c r="Q177" s="162"/>
      <c r="R177" s="162"/>
      <c r="S177" s="162"/>
      <c r="T177" s="162"/>
      <c r="U177" s="162"/>
      <c r="V177" s="169">
        <f>+V175-V176</f>
        <v>0</v>
      </c>
      <c r="W177" s="162"/>
      <c r="X177" s="5"/>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s="166" customFormat="1" ht="16.2" thickBot="1" x14ac:dyDescent="0.35">
      <c r="A178" s="170"/>
      <c r="B178" s="164"/>
      <c r="C178" s="164"/>
      <c r="D178" s="164"/>
      <c r="E178" s="164"/>
      <c r="F178" s="164"/>
      <c r="G178" s="164"/>
      <c r="H178" s="164"/>
      <c r="I178" s="164"/>
      <c r="J178" s="164"/>
      <c r="K178" s="164"/>
      <c r="L178" s="164"/>
      <c r="M178" s="164"/>
      <c r="N178" s="164"/>
      <c r="O178" s="164"/>
      <c r="P178" s="164"/>
      <c r="Q178" s="164"/>
      <c r="R178" s="164"/>
      <c r="S178" s="164"/>
      <c r="T178" s="164"/>
      <c r="U178" s="164"/>
      <c r="V178" s="165"/>
      <c r="W178" s="164"/>
      <c r="X178" s="5"/>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s="167" customFormat="1" ht="15.6" x14ac:dyDescent="0.3">
      <c r="A179" s="2"/>
      <c r="B179" s="4"/>
      <c r="C179" s="4"/>
      <c r="D179" s="4"/>
      <c r="E179" s="4"/>
      <c r="F179" s="4"/>
      <c r="G179" s="4"/>
      <c r="H179" s="4"/>
      <c r="I179" s="4"/>
      <c r="J179" s="4"/>
      <c r="K179" s="4"/>
      <c r="L179" s="4"/>
      <c r="M179" s="4"/>
      <c r="N179" s="4"/>
      <c r="O179" s="4"/>
      <c r="P179" s="4"/>
      <c r="Q179" s="4"/>
      <c r="R179" s="4"/>
      <c r="S179" s="4"/>
      <c r="T179" s="4"/>
      <c r="U179" s="4"/>
      <c r="V179" s="50"/>
      <c r="W179" s="4"/>
      <c r="X179" s="5"/>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ht="15.6" x14ac:dyDescent="0.3">
      <c r="A180" s="6"/>
      <c r="B180" s="119" t="s">
        <v>56</v>
      </c>
      <c r="C180" s="8"/>
      <c r="D180" s="8"/>
      <c r="E180" s="8"/>
      <c r="F180" s="8"/>
      <c r="G180" s="8"/>
      <c r="H180" s="8"/>
      <c r="I180" s="8"/>
      <c r="J180" s="8"/>
      <c r="K180" s="8"/>
      <c r="L180" s="8"/>
      <c r="M180" s="8"/>
      <c r="N180" s="8"/>
      <c r="O180" s="8"/>
      <c r="P180" s="8"/>
      <c r="Q180" s="8"/>
      <c r="R180" s="8"/>
      <c r="S180" s="8"/>
      <c r="T180" s="8"/>
      <c r="U180" s="8"/>
      <c r="V180" s="52"/>
      <c r="W180" s="8"/>
      <c r="X180" s="5"/>
    </row>
    <row r="181" spans="1:256" ht="15.6" x14ac:dyDescent="0.3">
      <c r="A181" s="6"/>
      <c r="B181" s="21"/>
      <c r="C181" s="8"/>
      <c r="D181" s="8"/>
      <c r="E181" s="8"/>
      <c r="F181" s="8"/>
      <c r="G181" s="8"/>
      <c r="H181" s="8"/>
      <c r="I181" s="8"/>
      <c r="J181" s="8"/>
      <c r="K181" s="8"/>
      <c r="L181" s="8"/>
      <c r="M181" s="8"/>
      <c r="N181" s="8"/>
      <c r="O181" s="8"/>
      <c r="P181" s="8"/>
      <c r="Q181" s="8"/>
      <c r="R181" s="8"/>
      <c r="S181" s="8"/>
      <c r="T181" s="8"/>
      <c r="U181" s="8"/>
      <c r="V181" s="52"/>
      <c r="W181" s="8"/>
      <c r="X181" s="5"/>
    </row>
    <row r="182" spans="1:256" ht="15.6" x14ac:dyDescent="0.3">
      <c r="A182" s="24"/>
      <c r="B182" s="25" t="s">
        <v>57</v>
      </c>
      <c r="C182" s="25"/>
      <c r="D182" s="25"/>
      <c r="E182" s="25"/>
      <c r="F182" s="25"/>
      <c r="G182" s="25"/>
      <c r="H182" s="25"/>
      <c r="I182" s="25"/>
      <c r="J182" s="25"/>
      <c r="K182" s="25"/>
      <c r="L182" s="25"/>
      <c r="M182" s="25"/>
      <c r="N182" s="25"/>
      <c r="O182" s="25"/>
      <c r="P182" s="25"/>
      <c r="Q182" s="25"/>
      <c r="R182" s="25"/>
      <c r="S182" s="25"/>
      <c r="T182" s="25"/>
      <c r="U182" s="25"/>
      <c r="V182" s="53">
        <f>V72</f>
        <v>1268150</v>
      </c>
      <c r="W182" s="25"/>
      <c r="X182" s="5"/>
    </row>
    <row r="183" spans="1:256" ht="15.6" x14ac:dyDescent="0.3">
      <c r="A183" s="24"/>
      <c r="B183" s="25" t="s">
        <v>58</v>
      </c>
      <c r="C183" s="25"/>
      <c r="D183" s="25"/>
      <c r="E183" s="25"/>
      <c r="F183" s="25"/>
      <c r="G183" s="25"/>
      <c r="H183" s="25"/>
      <c r="I183" s="25"/>
      <c r="J183" s="25"/>
      <c r="K183" s="25"/>
      <c r="L183" s="25"/>
      <c r="M183" s="25"/>
      <c r="N183" s="25"/>
      <c r="O183" s="25"/>
      <c r="P183" s="25"/>
      <c r="Q183" s="25"/>
      <c r="R183" s="25"/>
      <c r="S183" s="25"/>
      <c r="T183" s="25"/>
      <c r="U183" s="25"/>
      <c r="V183" s="53">
        <f>V85</f>
        <v>1268150</v>
      </c>
      <c r="W183" s="25"/>
      <c r="X183" s="5"/>
    </row>
    <row r="184" spans="1:256" ht="16.2" thickBot="1" x14ac:dyDescent="0.35">
      <c r="A184" s="24"/>
      <c r="B184" s="25"/>
      <c r="C184" s="25"/>
      <c r="D184" s="25"/>
      <c r="E184" s="25"/>
      <c r="F184" s="25"/>
      <c r="G184" s="25"/>
      <c r="H184" s="25"/>
      <c r="I184" s="25"/>
      <c r="J184" s="25"/>
      <c r="K184" s="25"/>
      <c r="L184" s="25"/>
      <c r="M184" s="25"/>
      <c r="N184" s="25"/>
      <c r="O184" s="25"/>
      <c r="P184" s="25"/>
      <c r="Q184" s="25"/>
      <c r="R184" s="25"/>
      <c r="S184" s="25"/>
      <c r="T184" s="25"/>
      <c r="U184" s="25"/>
      <c r="V184" s="61"/>
      <c r="W184" s="25"/>
      <c r="X184" s="5"/>
    </row>
    <row r="185" spans="1:256" ht="15.6" x14ac:dyDescent="0.3">
      <c r="A185" s="2"/>
      <c r="B185" s="4"/>
      <c r="C185" s="4"/>
      <c r="D185" s="4"/>
      <c r="E185" s="4"/>
      <c r="F185" s="4"/>
      <c r="G185" s="4"/>
      <c r="H185" s="4"/>
      <c r="I185" s="4"/>
      <c r="J185" s="4"/>
      <c r="K185" s="4"/>
      <c r="L185" s="4"/>
      <c r="M185" s="4"/>
      <c r="N185" s="4"/>
      <c r="O185" s="4"/>
      <c r="P185" s="4"/>
      <c r="Q185" s="4"/>
      <c r="R185" s="4"/>
      <c r="S185" s="4"/>
      <c r="T185" s="4"/>
      <c r="U185" s="4"/>
      <c r="V185" s="50"/>
      <c r="W185" s="4"/>
      <c r="X185" s="5"/>
    </row>
    <row r="186" spans="1:256" ht="15.6" x14ac:dyDescent="0.3">
      <c r="A186" s="6"/>
      <c r="B186" s="119" t="s">
        <v>59</v>
      </c>
      <c r="C186" s="117"/>
      <c r="D186" s="117"/>
      <c r="E186" s="117"/>
      <c r="F186" s="117"/>
      <c r="G186" s="117"/>
      <c r="H186" s="120"/>
      <c r="I186" s="120"/>
      <c r="J186" s="120"/>
      <c r="K186" s="120"/>
      <c r="L186" s="120"/>
      <c r="M186" s="120"/>
      <c r="N186" s="120"/>
      <c r="O186" s="120"/>
      <c r="P186" s="120"/>
      <c r="Q186" s="120"/>
      <c r="R186" s="120"/>
      <c r="S186" s="120" t="s">
        <v>101</v>
      </c>
      <c r="T186" s="120" t="s">
        <v>176</v>
      </c>
      <c r="U186" s="111"/>
      <c r="V186" s="121" t="s">
        <v>114</v>
      </c>
      <c r="W186" s="10"/>
      <c r="X186" s="5"/>
    </row>
    <row r="187" spans="1:256" ht="15.6" x14ac:dyDescent="0.3">
      <c r="A187" s="24"/>
      <c r="B187" s="25" t="s">
        <v>60</v>
      </c>
      <c r="C187" s="25"/>
      <c r="D187" s="25"/>
      <c r="E187" s="25"/>
      <c r="F187" s="25"/>
      <c r="G187" s="25"/>
      <c r="H187" s="25"/>
      <c r="I187" s="25"/>
      <c r="J187" s="25"/>
      <c r="K187" s="25"/>
      <c r="L187" s="25"/>
      <c r="M187" s="25"/>
      <c r="N187" s="25"/>
      <c r="O187" s="25"/>
      <c r="P187" s="25"/>
      <c r="Q187" s="25"/>
      <c r="R187" s="25"/>
      <c r="S187" s="53">
        <f>+V34*0.16</f>
        <v>240044</v>
      </c>
      <c r="T187" s="40"/>
      <c r="U187" s="25"/>
      <c r="V187" s="53"/>
      <c r="W187" s="25"/>
      <c r="X187" s="5"/>
    </row>
    <row r="188" spans="1:256" ht="15.6" x14ac:dyDescent="0.3">
      <c r="A188" s="24"/>
      <c r="B188" s="25" t="s">
        <v>61</v>
      </c>
      <c r="C188" s="25"/>
      <c r="D188" s="25"/>
      <c r="E188" s="25"/>
      <c r="F188" s="25"/>
      <c r="G188" s="25"/>
      <c r="H188" s="25"/>
      <c r="I188" s="25"/>
      <c r="J188" s="25"/>
      <c r="K188" s="25"/>
      <c r="L188" s="25"/>
      <c r="M188" s="25"/>
      <c r="N188" s="25"/>
      <c r="O188" s="25"/>
      <c r="P188" s="25"/>
      <c r="Q188" s="25"/>
      <c r="R188" s="25"/>
      <c r="S188" s="53">
        <f>+'Aug 08'!S190</f>
        <v>19656</v>
      </c>
      <c r="T188" s="53">
        <f>+'Aug 08'!T190</f>
        <v>5812</v>
      </c>
      <c r="U188" s="25"/>
      <c r="V188" s="53">
        <f>S188+T188</f>
        <v>25468</v>
      </c>
      <c r="W188" s="25"/>
      <c r="X188" s="5"/>
    </row>
    <row r="189" spans="1:256" ht="15.6" x14ac:dyDescent="0.3">
      <c r="A189" s="24"/>
      <c r="B189" s="25" t="s">
        <v>62</v>
      </c>
      <c r="C189" s="25"/>
      <c r="D189" s="25"/>
      <c r="E189" s="25"/>
      <c r="F189" s="25"/>
      <c r="G189" s="25"/>
      <c r="H189" s="25"/>
      <c r="I189" s="25"/>
      <c r="J189" s="25"/>
      <c r="K189" s="25"/>
      <c r="L189" s="25"/>
      <c r="M189" s="25"/>
      <c r="N189" s="25"/>
      <c r="O189" s="25"/>
      <c r="P189" s="25"/>
      <c r="Q189" s="25"/>
      <c r="R189" s="25"/>
      <c r="S189" s="34">
        <f>483+678</f>
        <v>1161</v>
      </c>
      <c r="T189" s="34">
        <v>31</v>
      </c>
      <c r="U189" s="25"/>
      <c r="V189" s="53">
        <f>S189+T189</f>
        <v>1192</v>
      </c>
      <c r="W189" s="25"/>
      <c r="X189" s="5"/>
    </row>
    <row r="190" spans="1:256" ht="15.6" x14ac:dyDescent="0.3">
      <c r="A190" s="24"/>
      <c r="B190" s="25" t="s">
        <v>63</v>
      </c>
      <c r="C190" s="25"/>
      <c r="D190" s="25"/>
      <c r="E190" s="25"/>
      <c r="F190" s="25"/>
      <c r="G190" s="25"/>
      <c r="H190" s="25"/>
      <c r="I190" s="25"/>
      <c r="J190" s="25"/>
      <c r="K190" s="25"/>
      <c r="L190" s="25"/>
      <c r="M190" s="25"/>
      <c r="N190" s="25"/>
      <c r="O190" s="25"/>
      <c r="P190" s="25"/>
      <c r="Q190" s="25"/>
      <c r="R190" s="25"/>
      <c r="S190" s="53">
        <f>S188+S189</f>
        <v>20817</v>
      </c>
      <c r="T190" s="53">
        <f>T189+T188</f>
        <v>5843</v>
      </c>
      <c r="U190" s="25"/>
      <c r="V190" s="53">
        <f>S190+T190</f>
        <v>26660</v>
      </c>
      <c r="W190" s="25"/>
      <c r="X190" s="5"/>
    </row>
    <row r="191" spans="1:256" ht="15.6" x14ac:dyDescent="0.3">
      <c r="A191" s="24"/>
      <c r="B191" s="25" t="s">
        <v>64</v>
      </c>
      <c r="C191" s="25"/>
      <c r="D191" s="25"/>
      <c r="E191" s="25"/>
      <c r="F191" s="25"/>
      <c r="G191" s="25"/>
      <c r="H191" s="25"/>
      <c r="I191" s="25"/>
      <c r="J191" s="25"/>
      <c r="K191" s="25"/>
      <c r="L191" s="25"/>
      <c r="M191" s="25"/>
      <c r="N191" s="25"/>
      <c r="O191" s="25"/>
      <c r="P191" s="25"/>
      <c r="Q191" s="25"/>
      <c r="R191" s="25"/>
      <c r="S191" s="53">
        <f>S187-S190-T190</f>
        <v>213384</v>
      </c>
      <c r="T191" s="40"/>
      <c r="U191" s="25"/>
      <c r="V191" s="53"/>
      <c r="W191" s="25"/>
      <c r="X191" s="5"/>
    </row>
    <row r="192" spans="1:256" ht="16.2" thickBot="1" x14ac:dyDescent="0.35">
      <c r="A192" s="24"/>
      <c r="B192" s="25"/>
      <c r="C192" s="25"/>
      <c r="D192" s="25"/>
      <c r="E192" s="25"/>
      <c r="F192" s="25"/>
      <c r="G192" s="25"/>
      <c r="H192" s="25"/>
      <c r="I192" s="25"/>
      <c r="J192" s="25"/>
      <c r="K192" s="25"/>
      <c r="L192" s="25"/>
      <c r="M192" s="25"/>
      <c r="N192" s="25"/>
      <c r="O192" s="25"/>
      <c r="P192" s="25"/>
      <c r="Q192" s="25"/>
      <c r="R192" s="25"/>
      <c r="S192" s="25"/>
      <c r="T192" s="25"/>
      <c r="U192" s="25"/>
      <c r="V192" s="61"/>
      <c r="W192" s="25"/>
      <c r="X192" s="5"/>
    </row>
    <row r="193" spans="1:24" ht="15.6" x14ac:dyDescent="0.3">
      <c r="A193" s="2"/>
      <c r="B193" s="4"/>
      <c r="C193" s="4"/>
      <c r="D193" s="4"/>
      <c r="E193" s="4"/>
      <c r="F193" s="4"/>
      <c r="G193" s="4"/>
      <c r="H193" s="4"/>
      <c r="I193" s="4"/>
      <c r="J193" s="4"/>
      <c r="K193" s="4"/>
      <c r="L193" s="4"/>
      <c r="M193" s="4"/>
      <c r="N193" s="4"/>
      <c r="O193" s="4"/>
      <c r="P193" s="4"/>
      <c r="Q193" s="4"/>
      <c r="R193" s="4"/>
      <c r="S193" s="4"/>
      <c r="T193" s="4"/>
      <c r="U193" s="4"/>
      <c r="V193" s="50"/>
      <c r="W193" s="4"/>
      <c r="X193" s="5"/>
    </row>
    <row r="194" spans="1:24" ht="15.6" x14ac:dyDescent="0.3">
      <c r="A194" s="6"/>
      <c r="B194" s="119" t="s">
        <v>65</v>
      </c>
      <c r="C194" s="8"/>
      <c r="D194" s="8"/>
      <c r="E194" s="8"/>
      <c r="F194" s="8"/>
      <c r="G194" s="8"/>
      <c r="H194" s="8"/>
      <c r="I194" s="8"/>
      <c r="J194" s="8"/>
      <c r="K194" s="8"/>
      <c r="L194" s="8"/>
      <c r="M194" s="8"/>
      <c r="N194" s="8"/>
      <c r="O194" s="8"/>
      <c r="P194" s="8"/>
      <c r="Q194" s="8"/>
      <c r="R194" s="8"/>
      <c r="S194" s="8"/>
      <c r="T194" s="8"/>
      <c r="U194" s="8"/>
      <c r="V194" s="65"/>
      <c r="W194" s="8"/>
      <c r="X194" s="5"/>
    </row>
    <row r="195" spans="1:24" ht="15.6" x14ac:dyDescent="0.3">
      <c r="A195" s="24"/>
      <c r="B195" s="25" t="s">
        <v>66</v>
      </c>
      <c r="C195" s="25"/>
      <c r="D195" s="25"/>
      <c r="E195" s="25"/>
      <c r="F195" s="25"/>
      <c r="G195" s="25"/>
      <c r="H195" s="25"/>
      <c r="I195" s="25"/>
      <c r="J195" s="25"/>
      <c r="K195" s="25"/>
      <c r="L195" s="25"/>
      <c r="M195" s="25"/>
      <c r="N195" s="25"/>
      <c r="O195" s="25"/>
      <c r="P195" s="25"/>
      <c r="Q195" s="25"/>
      <c r="R195" s="25"/>
      <c r="S195" s="25"/>
      <c r="T195" s="25"/>
      <c r="U195" s="25"/>
      <c r="V195" s="59">
        <f>(V102+V104+V105+V106+V107)/-(V108+V109)</f>
        <v>1.4703819661865998</v>
      </c>
      <c r="W195" s="25" t="s">
        <v>115</v>
      </c>
      <c r="X195" s="5"/>
    </row>
    <row r="196" spans="1:24" ht="15.6" x14ac:dyDescent="0.3">
      <c r="A196" s="24"/>
      <c r="B196" s="25" t="s">
        <v>67</v>
      </c>
      <c r="C196" s="25"/>
      <c r="D196" s="25"/>
      <c r="E196" s="25"/>
      <c r="F196" s="25"/>
      <c r="G196" s="25"/>
      <c r="H196" s="25"/>
      <c r="I196" s="25"/>
      <c r="J196" s="25"/>
      <c r="K196" s="25"/>
      <c r="L196" s="25"/>
      <c r="M196" s="25"/>
      <c r="N196" s="25"/>
      <c r="O196" s="25"/>
      <c r="P196" s="25"/>
      <c r="Q196" s="25"/>
      <c r="R196" s="25"/>
      <c r="S196" s="25"/>
      <c r="T196" s="25"/>
      <c r="U196" s="25"/>
      <c r="V196" s="66">
        <v>1.37</v>
      </c>
      <c r="W196" s="25" t="s">
        <v>115</v>
      </c>
      <c r="X196" s="5"/>
    </row>
    <row r="197" spans="1:24" ht="15.6" x14ac:dyDescent="0.3">
      <c r="A197" s="24"/>
      <c r="B197" s="25" t="s">
        <v>68</v>
      </c>
      <c r="C197" s="25"/>
      <c r="D197" s="25"/>
      <c r="E197" s="25"/>
      <c r="F197" s="25"/>
      <c r="G197" s="25"/>
      <c r="H197" s="25"/>
      <c r="I197" s="25"/>
      <c r="J197" s="25"/>
      <c r="K197" s="25"/>
      <c r="L197" s="25"/>
      <c r="M197" s="25"/>
      <c r="N197" s="25"/>
      <c r="O197" s="25"/>
      <c r="P197" s="25"/>
      <c r="Q197" s="25"/>
      <c r="R197" s="25"/>
      <c r="S197" s="25"/>
      <c r="T197" s="25"/>
      <c r="U197" s="25"/>
      <c r="V197" s="59">
        <f>(V102+V104+V105+V106+V107+V108+V109)/-(V111+V112)</f>
        <v>4.5280289330922239</v>
      </c>
      <c r="W197" s="25" t="s">
        <v>115</v>
      </c>
      <c r="X197" s="5"/>
    </row>
    <row r="198" spans="1:24" ht="15.6" x14ac:dyDescent="0.3">
      <c r="A198" s="24"/>
      <c r="B198" s="25" t="s">
        <v>69</v>
      </c>
      <c r="C198" s="25"/>
      <c r="D198" s="25"/>
      <c r="E198" s="25"/>
      <c r="F198" s="25"/>
      <c r="G198" s="25"/>
      <c r="H198" s="25"/>
      <c r="I198" s="25"/>
      <c r="J198" s="25"/>
      <c r="K198" s="25"/>
      <c r="L198" s="25"/>
      <c r="M198" s="25"/>
      <c r="N198" s="25"/>
      <c r="O198" s="25"/>
      <c r="P198" s="25"/>
      <c r="Q198" s="25"/>
      <c r="R198" s="25"/>
      <c r="S198" s="25"/>
      <c r="T198" s="25"/>
      <c r="U198" s="25"/>
      <c r="V198" s="66">
        <v>3.94</v>
      </c>
      <c r="W198" s="25" t="s">
        <v>115</v>
      </c>
      <c r="X198" s="5"/>
    </row>
    <row r="199" spans="1:24" ht="15.6" x14ac:dyDescent="0.3">
      <c r="A199" s="24"/>
      <c r="B199" s="25" t="s">
        <v>198</v>
      </c>
      <c r="C199" s="25"/>
      <c r="D199" s="25"/>
      <c r="E199" s="25"/>
      <c r="F199" s="25"/>
      <c r="G199" s="25"/>
      <c r="H199" s="25"/>
      <c r="I199" s="25"/>
      <c r="J199" s="25"/>
      <c r="K199" s="25"/>
      <c r="L199" s="25"/>
      <c r="M199" s="25"/>
      <c r="N199" s="25"/>
      <c r="O199" s="25"/>
      <c r="P199" s="25"/>
      <c r="Q199" s="25"/>
      <c r="R199" s="25"/>
      <c r="S199" s="25"/>
      <c r="T199" s="25"/>
      <c r="U199" s="25"/>
      <c r="V199" s="59">
        <f>(V102+V104+V105+V106+V107+V108+V109+V111+V112)/-(V113+V114)</f>
        <v>3.3950116009280742</v>
      </c>
      <c r="W199" s="25" t="s">
        <v>115</v>
      </c>
      <c r="X199" s="5"/>
    </row>
    <row r="200" spans="1:24" ht="15.6" x14ac:dyDescent="0.3">
      <c r="A200" s="24"/>
      <c r="B200" s="25" t="s">
        <v>199</v>
      </c>
      <c r="C200" s="25"/>
      <c r="D200" s="25"/>
      <c r="E200" s="25"/>
      <c r="F200" s="25"/>
      <c r="G200" s="25"/>
      <c r="H200" s="25"/>
      <c r="I200" s="25"/>
      <c r="J200" s="25"/>
      <c r="K200" s="25"/>
      <c r="L200" s="25"/>
      <c r="M200" s="25"/>
      <c r="N200" s="25"/>
      <c r="O200" s="25"/>
      <c r="P200" s="25"/>
      <c r="Q200" s="25"/>
      <c r="R200" s="25"/>
      <c r="S200" s="25"/>
      <c r="T200" s="25"/>
      <c r="U200" s="25"/>
      <c r="V200" s="66">
        <v>2.83</v>
      </c>
      <c r="W200" s="25" t="s">
        <v>115</v>
      </c>
      <c r="X200" s="5"/>
    </row>
    <row r="201" spans="1:24" ht="15.6" x14ac:dyDescent="0.3">
      <c r="A201" s="24"/>
      <c r="B201" s="25"/>
      <c r="C201" s="25"/>
      <c r="D201" s="25"/>
      <c r="E201" s="25"/>
      <c r="F201" s="25"/>
      <c r="G201" s="25"/>
      <c r="H201" s="25"/>
      <c r="I201" s="25"/>
      <c r="J201" s="25"/>
      <c r="K201" s="25"/>
      <c r="L201" s="25"/>
      <c r="M201" s="25"/>
      <c r="N201" s="25"/>
      <c r="O201" s="25"/>
      <c r="P201" s="25"/>
      <c r="Q201" s="25"/>
      <c r="R201" s="25"/>
      <c r="S201" s="25"/>
      <c r="T201" s="25"/>
      <c r="U201" s="25"/>
      <c r="V201" s="25"/>
      <c r="W201" s="25"/>
      <c r="X201" s="5"/>
    </row>
    <row r="202" spans="1:24" ht="15.6" x14ac:dyDescent="0.3">
      <c r="A202" s="24"/>
      <c r="B202" s="25"/>
      <c r="C202" s="25"/>
      <c r="D202" s="25"/>
      <c r="E202" s="25"/>
      <c r="F202" s="25"/>
      <c r="G202" s="25"/>
      <c r="H202" s="25"/>
      <c r="I202" s="25"/>
      <c r="J202" s="25"/>
      <c r="K202" s="25"/>
      <c r="L202" s="25"/>
      <c r="M202" s="25"/>
      <c r="N202" s="25"/>
      <c r="O202" s="25"/>
      <c r="P202" s="25"/>
      <c r="Q202" s="25"/>
      <c r="R202" s="25"/>
      <c r="S202" s="25"/>
      <c r="T202" s="25"/>
      <c r="U202" s="25"/>
      <c r="V202" s="25"/>
      <c r="W202" s="25"/>
      <c r="X202" s="5"/>
    </row>
    <row r="203" spans="1:24" ht="15.6" x14ac:dyDescent="0.3">
      <c r="A203" s="6"/>
      <c r="B203" s="8"/>
      <c r="C203" s="8"/>
      <c r="D203" s="8"/>
      <c r="E203" s="8"/>
      <c r="F203" s="8"/>
      <c r="G203" s="8"/>
      <c r="H203" s="8"/>
      <c r="I203" s="8"/>
      <c r="J203" s="8"/>
      <c r="K203" s="8"/>
      <c r="L203" s="8"/>
      <c r="M203" s="8"/>
      <c r="N203" s="8"/>
      <c r="O203" s="8"/>
      <c r="P203" s="8"/>
      <c r="Q203" s="8"/>
      <c r="R203" s="8"/>
      <c r="S203" s="8"/>
      <c r="T203" s="8"/>
      <c r="U203" s="8"/>
      <c r="V203" s="8"/>
      <c r="W203" s="8"/>
      <c r="X203" s="5"/>
    </row>
    <row r="204" spans="1:24" ht="18" thickBot="1" x14ac:dyDescent="0.35">
      <c r="A204" s="101"/>
      <c r="B204" s="102" t="str">
        <f>B139</f>
        <v>PM14 INVESTOR REPORT QUARTER ENDING NOVEMBER 2008</v>
      </c>
      <c r="C204" s="176"/>
      <c r="D204" s="176"/>
      <c r="E204" s="176"/>
      <c r="F204" s="176"/>
      <c r="G204" s="176"/>
      <c r="H204" s="176"/>
      <c r="I204" s="176"/>
      <c r="J204" s="176"/>
      <c r="K204" s="176"/>
      <c r="L204" s="176"/>
      <c r="M204" s="176"/>
      <c r="N204" s="176"/>
      <c r="O204" s="176"/>
      <c r="P204" s="176"/>
      <c r="Q204" s="176"/>
      <c r="R204" s="176"/>
      <c r="S204" s="176"/>
      <c r="T204" s="176"/>
      <c r="U204" s="176"/>
      <c r="V204" s="176"/>
      <c r="W204" s="177"/>
      <c r="X204" s="5"/>
    </row>
    <row r="205" spans="1:24" ht="15.6" x14ac:dyDescent="0.3">
      <c r="A205" s="67"/>
      <c r="B205" s="60" t="s">
        <v>70</v>
      </c>
      <c r="C205" s="68"/>
      <c r="D205" s="68"/>
      <c r="E205" s="68"/>
      <c r="F205" s="68"/>
      <c r="G205" s="69"/>
      <c r="H205" s="69"/>
      <c r="I205" s="69"/>
      <c r="J205" s="69"/>
      <c r="K205" s="69"/>
      <c r="L205" s="69"/>
      <c r="M205" s="69"/>
      <c r="N205" s="69"/>
      <c r="O205" s="69"/>
      <c r="P205" s="69"/>
      <c r="Q205" s="69"/>
      <c r="R205" s="69"/>
      <c r="S205" s="69"/>
      <c r="T205" s="70">
        <v>39780</v>
      </c>
      <c r="U205" s="4"/>
      <c r="V205" s="4"/>
      <c r="W205" s="4"/>
      <c r="X205" s="5"/>
    </row>
    <row r="206" spans="1:24" ht="15.6" x14ac:dyDescent="0.3">
      <c r="A206" s="71"/>
      <c r="B206" s="72"/>
      <c r="C206" s="73"/>
      <c r="D206" s="73"/>
      <c r="E206" s="73"/>
      <c r="F206" s="73"/>
      <c r="G206" s="74"/>
      <c r="H206" s="74"/>
      <c r="I206" s="74"/>
      <c r="J206" s="74"/>
      <c r="K206" s="74"/>
      <c r="L206" s="74"/>
      <c r="M206" s="74"/>
      <c r="N206" s="74"/>
      <c r="O206" s="74"/>
      <c r="P206" s="74"/>
      <c r="Q206" s="74"/>
      <c r="R206" s="74"/>
      <c r="S206" s="74"/>
      <c r="T206" s="74"/>
      <c r="U206" s="8"/>
      <c r="V206" s="8"/>
      <c r="W206" s="8"/>
      <c r="X206" s="5"/>
    </row>
    <row r="207" spans="1:24" ht="15.6" x14ac:dyDescent="0.3">
      <c r="A207" s="75"/>
      <c r="B207" s="76" t="s">
        <v>71</v>
      </c>
      <c r="C207" s="77"/>
      <c r="D207" s="77"/>
      <c r="E207" s="77"/>
      <c r="F207" s="77"/>
      <c r="G207" s="64"/>
      <c r="H207" s="64"/>
      <c r="I207" s="64"/>
      <c r="J207" s="64"/>
      <c r="K207" s="64"/>
      <c r="L207" s="64"/>
      <c r="M207" s="64"/>
      <c r="N207" s="64"/>
      <c r="O207" s="64"/>
      <c r="P207" s="64"/>
      <c r="Q207" s="64"/>
      <c r="R207" s="64"/>
      <c r="S207" s="64"/>
      <c r="T207" s="78">
        <v>5.2819999999999999E-2</v>
      </c>
      <c r="U207" s="25"/>
      <c r="V207" s="25"/>
      <c r="W207" s="25"/>
      <c r="X207" s="5"/>
    </row>
    <row r="208" spans="1:24" ht="15.6" x14ac:dyDescent="0.3">
      <c r="A208" s="75"/>
      <c r="B208" s="76" t="s">
        <v>151</v>
      </c>
      <c r="C208" s="77"/>
      <c r="D208" s="77"/>
      <c r="E208" s="77"/>
      <c r="F208" s="77"/>
      <c r="G208" s="64"/>
      <c r="H208" s="64"/>
      <c r="I208" s="64"/>
      <c r="J208" s="64"/>
      <c r="K208" s="64"/>
      <c r="L208" s="64"/>
      <c r="M208" s="64"/>
      <c r="N208" s="64"/>
      <c r="O208" s="64"/>
      <c r="P208" s="64"/>
      <c r="Q208" s="64"/>
      <c r="R208" s="64"/>
      <c r="S208" s="64"/>
      <c r="T208" s="39">
        <v>5.7799999999999997E-2</v>
      </c>
      <c r="U208" s="25"/>
      <c r="V208" s="25"/>
      <c r="W208" s="25"/>
      <c r="X208" s="5"/>
    </row>
    <row r="209" spans="1:24" ht="15.6" x14ac:dyDescent="0.3">
      <c r="A209" s="75"/>
      <c r="B209" s="76" t="s">
        <v>72</v>
      </c>
      <c r="C209" s="77"/>
      <c r="D209" s="77"/>
      <c r="E209" s="77"/>
      <c r="F209" s="77"/>
      <c r="G209" s="64"/>
      <c r="H209" s="64"/>
      <c r="I209" s="64"/>
      <c r="J209" s="64"/>
      <c r="K209" s="64"/>
      <c r="L209" s="64"/>
      <c r="M209" s="64"/>
      <c r="N209" s="64"/>
      <c r="O209" s="64"/>
      <c r="P209" s="64"/>
      <c r="Q209" s="64"/>
      <c r="R209" s="64"/>
      <c r="S209" s="64"/>
      <c r="T209" s="78">
        <f>T207-T208</f>
        <v>-4.9799999999999983E-3</v>
      </c>
      <c r="U209" s="25"/>
      <c r="V209" s="25"/>
      <c r="W209" s="25"/>
      <c r="X209" s="5"/>
    </row>
    <row r="210" spans="1:24" ht="15.6" x14ac:dyDescent="0.3">
      <c r="A210" s="75"/>
      <c r="B210" s="76" t="s">
        <v>73</v>
      </c>
      <c r="C210" s="77"/>
      <c r="D210" s="77"/>
      <c r="E210" s="77"/>
      <c r="F210" s="77"/>
      <c r="G210" s="64"/>
      <c r="H210" s="64"/>
      <c r="I210" s="64"/>
      <c r="J210" s="64"/>
      <c r="K210" s="64"/>
      <c r="L210" s="64"/>
      <c r="M210" s="64"/>
      <c r="N210" s="64"/>
      <c r="O210" s="64"/>
      <c r="P210" s="64"/>
      <c r="Q210" s="64"/>
      <c r="R210" s="64"/>
      <c r="S210" s="64"/>
      <c r="T210" s="78">
        <v>5.672E-2</v>
      </c>
      <c r="U210" s="25"/>
      <c r="V210" s="25"/>
      <c r="W210" s="25"/>
      <c r="X210" s="5"/>
    </row>
    <row r="211" spans="1:24" ht="15.6" x14ac:dyDescent="0.3">
      <c r="A211" s="75"/>
      <c r="B211" s="76" t="s">
        <v>219</v>
      </c>
      <c r="C211" s="77"/>
      <c r="D211" s="77"/>
      <c r="E211" s="77"/>
      <c r="F211" s="77"/>
      <c r="G211" s="64"/>
      <c r="H211" s="64"/>
      <c r="I211" s="64"/>
      <c r="J211" s="64"/>
      <c r="K211" s="64"/>
      <c r="L211" s="64"/>
      <c r="M211" s="64"/>
      <c r="N211" s="64"/>
      <c r="O211" s="64"/>
      <c r="P211" s="64"/>
      <c r="Q211" s="64"/>
      <c r="R211" s="64"/>
      <c r="S211" s="64"/>
      <c r="T211" s="78">
        <f>V43</f>
        <v>5.8742871538027305E-2</v>
      </c>
      <c r="U211" s="25"/>
      <c r="V211" s="25"/>
      <c r="W211" s="25"/>
      <c r="X211" s="5"/>
    </row>
    <row r="212" spans="1:24" ht="15.6" x14ac:dyDescent="0.3">
      <c r="A212" s="75"/>
      <c r="B212" s="76" t="s">
        <v>74</v>
      </c>
      <c r="C212" s="77"/>
      <c r="D212" s="77"/>
      <c r="E212" s="77"/>
      <c r="F212" s="77"/>
      <c r="G212" s="64"/>
      <c r="H212" s="64"/>
      <c r="I212" s="64"/>
      <c r="J212" s="64"/>
      <c r="K212" s="64"/>
      <c r="L212" s="64"/>
      <c r="M212" s="64"/>
      <c r="N212" s="64"/>
      <c r="O212" s="64"/>
      <c r="P212" s="64"/>
      <c r="Q212" s="64"/>
      <c r="R212" s="64"/>
      <c r="S212" s="64"/>
      <c r="T212" s="78">
        <f>T210-T211</f>
        <v>-2.0228715380273057E-3</v>
      </c>
      <c r="U212" s="25"/>
      <c r="V212" s="25"/>
      <c r="W212" s="25"/>
      <c r="X212" s="5"/>
    </row>
    <row r="213" spans="1:24" ht="15.6" x14ac:dyDescent="0.3">
      <c r="A213" s="75"/>
      <c r="B213" s="76" t="s">
        <v>242</v>
      </c>
      <c r="C213" s="77"/>
      <c r="D213" s="77"/>
      <c r="E213" s="77"/>
      <c r="F213" s="77"/>
      <c r="G213" s="64"/>
      <c r="H213" s="64"/>
      <c r="I213" s="64"/>
      <c r="J213" s="64"/>
      <c r="K213" s="64"/>
      <c r="L213" s="64"/>
      <c r="M213" s="64"/>
      <c r="N213" s="64"/>
      <c r="O213" s="64"/>
      <c r="P213" s="64"/>
      <c r="Q213" s="64"/>
      <c r="R213" s="64"/>
      <c r="S213" s="64"/>
      <c r="T213" s="78">
        <f>V102/N72</f>
        <v>1.7960025094995457E-2</v>
      </c>
      <c r="U213" s="25"/>
      <c r="V213" s="25"/>
      <c r="W213" s="25"/>
      <c r="X213" s="5"/>
    </row>
    <row r="214" spans="1:24" ht="15.6" x14ac:dyDescent="0.3">
      <c r="A214" s="75"/>
      <c r="B214" s="76" t="s">
        <v>208</v>
      </c>
      <c r="C214" s="77"/>
      <c r="D214" s="77"/>
      <c r="E214" s="77"/>
      <c r="F214" s="77"/>
      <c r="G214" s="64"/>
      <c r="H214" s="64"/>
      <c r="I214" s="64"/>
      <c r="J214" s="64"/>
      <c r="K214" s="64"/>
      <c r="L214" s="64"/>
      <c r="M214" s="64"/>
      <c r="N214" s="64"/>
      <c r="O214" s="64"/>
      <c r="P214" s="64"/>
      <c r="Q214" s="64"/>
      <c r="R214" s="64"/>
      <c r="S214" s="64"/>
      <c r="T214" s="129">
        <v>51014</v>
      </c>
      <c r="U214" s="25"/>
      <c r="V214" s="25"/>
      <c r="W214" s="25"/>
      <c r="X214" s="5"/>
    </row>
    <row r="215" spans="1:24" ht="15.6" x14ac:dyDescent="0.3">
      <c r="A215" s="75"/>
      <c r="B215" s="76" t="s">
        <v>209</v>
      </c>
      <c r="C215" s="77"/>
      <c r="D215" s="77"/>
      <c r="E215" s="77"/>
      <c r="F215" s="77"/>
      <c r="G215" s="64"/>
      <c r="H215" s="64"/>
      <c r="I215" s="64"/>
      <c r="J215" s="64"/>
      <c r="K215" s="64"/>
      <c r="L215" s="64"/>
      <c r="M215" s="64"/>
      <c r="N215" s="64"/>
      <c r="O215" s="64"/>
      <c r="P215" s="64"/>
      <c r="Q215" s="64"/>
      <c r="R215" s="64"/>
      <c r="S215" s="64"/>
      <c r="T215" s="129">
        <v>51014</v>
      </c>
      <c r="U215" s="25"/>
      <c r="V215" s="25"/>
      <c r="W215" s="25"/>
      <c r="X215" s="5"/>
    </row>
    <row r="216" spans="1:24" ht="15.6" x14ac:dyDescent="0.3">
      <c r="A216" s="75"/>
      <c r="B216" s="76" t="s">
        <v>210</v>
      </c>
      <c r="C216" s="77"/>
      <c r="D216" s="77"/>
      <c r="E216" s="77"/>
      <c r="F216" s="77"/>
      <c r="G216" s="64"/>
      <c r="H216" s="64"/>
      <c r="I216" s="64"/>
      <c r="J216" s="64"/>
      <c r="K216" s="64"/>
      <c r="L216" s="64"/>
      <c r="M216" s="64"/>
      <c r="N216" s="64"/>
      <c r="O216" s="64"/>
      <c r="P216" s="64"/>
      <c r="Q216" s="64"/>
      <c r="R216" s="64"/>
      <c r="S216" s="64"/>
      <c r="T216" s="129">
        <v>51014</v>
      </c>
      <c r="U216" s="25"/>
      <c r="V216" s="25"/>
      <c r="W216" s="25"/>
      <c r="X216" s="5"/>
    </row>
    <row r="217" spans="1:24" ht="15.6" x14ac:dyDescent="0.3">
      <c r="A217" s="75"/>
      <c r="B217" s="76" t="s">
        <v>75</v>
      </c>
      <c r="C217" s="77"/>
      <c r="D217" s="77"/>
      <c r="E217" s="77"/>
      <c r="F217" s="77"/>
      <c r="G217" s="64"/>
      <c r="H217" s="64"/>
      <c r="I217" s="64"/>
      <c r="J217" s="64"/>
      <c r="K217" s="64"/>
      <c r="L217" s="64"/>
      <c r="M217" s="64"/>
      <c r="N217" s="64"/>
      <c r="O217" s="64"/>
      <c r="P217" s="64"/>
      <c r="Q217" s="64"/>
      <c r="R217" s="64"/>
      <c r="S217" s="64"/>
      <c r="T217" s="133">
        <v>20.66</v>
      </c>
      <c r="U217" s="25" t="s">
        <v>110</v>
      </c>
      <c r="V217" s="25"/>
      <c r="W217" s="25"/>
      <c r="X217" s="5"/>
    </row>
    <row r="218" spans="1:24" ht="15.6" x14ac:dyDescent="0.3">
      <c r="A218" s="75"/>
      <c r="B218" s="76" t="s">
        <v>76</v>
      </c>
      <c r="C218" s="77"/>
      <c r="D218" s="77"/>
      <c r="E218" s="77"/>
      <c r="F218" s="77"/>
      <c r="G218" s="64"/>
      <c r="H218" s="64"/>
      <c r="I218" s="64"/>
      <c r="J218" s="64"/>
      <c r="K218" s="64"/>
      <c r="L218" s="64"/>
      <c r="M218" s="64"/>
      <c r="N218" s="64"/>
      <c r="O218" s="64"/>
      <c r="P218" s="64"/>
      <c r="Q218" s="64"/>
      <c r="R218" s="64"/>
      <c r="S218" s="64"/>
      <c r="T218" s="133">
        <v>19.57</v>
      </c>
      <c r="U218" s="25" t="s">
        <v>110</v>
      </c>
      <c r="V218" s="25"/>
      <c r="W218" s="25"/>
      <c r="X218" s="5"/>
    </row>
    <row r="219" spans="1:24" ht="15.6" x14ac:dyDescent="0.3">
      <c r="A219" s="75"/>
      <c r="B219" s="76" t="s">
        <v>77</v>
      </c>
      <c r="C219" s="77"/>
      <c r="D219" s="77"/>
      <c r="E219" s="77"/>
      <c r="F219" s="77"/>
      <c r="G219" s="64"/>
      <c r="H219" s="64"/>
      <c r="I219" s="64"/>
      <c r="J219" s="64"/>
      <c r="K219" s="64"/>
      <c r="L219" s="64"/>
      <c r="M219" s="64"/>
      <c r="N219" s="64"/>
      <c r="O219" s="64"/>
      <c r="P219" s="64"/>
      <c r="Q219" s="64"/>
      <c r="R219" s="64"/>
      <c r="S219" s="64"/>
      <c r="T219" s="78">
        <f>+P69/N69</f>
        <v>4.1371930384847953E-2</v>
      </c>
      <c r="U219" s="25"/>
      <c r="V219" s="25"/>
      <c r="W219" s="25"/>
      <c r="X219" s="5"/>
    </row>
    <row r="220" spans="1:24" ht="15.6" x14ac:dyDescent="0.3">
      <c r="A220" s="75"/>
      <c r="B220" s="76" t="s">
        <v>78</v>
      </c>
      <c r="C220" s="77"/>
      <c r="D220" s="77"/>
      <c r="E220" s="77"/>
      <c r="F220" s="77"/>
      <c r="G220" s="64"/>
      <c r="H220" s="64"/>
      <c r="I220" s="64"/>
      <c r="J220" s="64"/>
      <c r="K220" s="64"/>
      <c r="L220" s="64"/>
      <c r="M220" s="64"/>
      <c r="N220" s="64"/>
      <c r="O220" s="64"/>
      <c r="P220" s="64"/>
      <c r="Q220" s="64"/>
      <c r="R220" s="64"/>
      <c r="S220" s="64"/>
      <c r="T220" s="78">
        <v>0.1046</v>
      </c>
      <c r="U220" s="25"/>
      <c r="V220" s="25"/>
      <c r="W220" s="25"/>
      <c r="X220" s="5"/>
    </row>
    <row r="221" spans="1:24" ht="15.6" x14ac:dyDescent="0.3">
      <c r="A221" s="75"/>
      <c r="B221" s="76"/>
      <c r="C221" s="76"/>
      <c r="D221" s="76"/>
      <c r="E221" s="76"/>
      <c r="F221" s="76"/>
      <c r="G221" s="25"/>
      <c r="H221" s="25"/>
      <c r="I221" s="25"/>
      <c r="J221" s="25"/>
      <c r="K221" s="25"/>
      <c r="L221" s="25"/>
      <c r="M221" s="25"/>
      <c r="N221" s="25"/>
      <c r="O221" s="25"/>
      <c r="P221" s="25"/>
      <c r="Q221" s="25"/>
      <c r="R221" s="25"/>
      <c r="S221" s="25"/>
      <c r="T221" s="61"/>
      <c r="U221" s="25"/>
      <c r="V221" s="79"/>
      <c r="W221" s="25"/>
      <c r="X221" s="5"/>
    </row>
    <row r="222" spans="1:24" ht="15.6" x14ac:dyDescent="0.3">
      <c r="A222" s="80"/>
      <c r="B222" s="14" t="s">
        <v>79</v>
      </c>
      <c r="C222" s="81"/>
      <c r="D222" s="81"/>
      <c r="E222" s="81"/>
      <c r="F222" s="82"/>
      <c r="G222" s="81"/>
      <c r="H222" s="17"/>
      <c r="I222" s="17"/>
      <c r="J222" s="17"/>
      <c r="K222" s="17"/>
      <c r="L222" s="17"/>
      <c r="M222" s="17"/>
      <c r="N222" s="17"/>
      <c r="O222" s="17"/>
      <c r="P222" s="17"/>
      <c r="Q222" s="17"/>
      <c r="R222" s="17"/>
      <c r="S222" s="17" t="s">
        <v>102</v>
      </c>
      <c r="T222" s="83" t="s">
        <v>108</v>
      </c>
      <c r="U222" s="8"/>
      <c r="V222" s="8"/>
      <c r="W222" s="8"/>
      <c r="X222" s="5"/>
    </row>
    <row r="223" spans="1:24" ht="15.6" x14ac:dyDescent="0.3">
      <c r="A223" s="84"/>
      <c r="B223" s="76" t="s">
        <v>80</v>
      </c>
      <c r="C223" s="54"/>
      <c r="D223" s="54"/>
      <c r="E223" s="54"/>
      <c r="F223" s="25"/>
      <c r="G223" s="25"/>
      <c r="H223" s="30"/>
      <c r="I223" s="30"/>
      <c r="J223" s="30"/>
      <c r="K223" s="30"/>
      <c r="L223" s="30"/>
      <c r="M223" s="30"/>
      <c r="N223" s="30"/>
      <c r="O223" s="30"/>
      <c r="P223" s="30"/>
      <c r="Q223" s="30"/>
      <c r="R223" s="30"/>
      <c r="S223" s="30">
        <v>5</v>
      </c>
      <c r="T223" s="85">
        <v>1126</v>
      </c>
      <c r="U223" s="25"/>
      <c r="V223" s="79"/>
      <c r="W223" s="86"/>
      <c r="X223" s="5"/>
    </row>
    <row r="224" spans="1:24" ht="15.6" x14ac:dyDescent="0.3">
      <c r="A224" s="84"/>
      <c r="B224" s="76" t="s">
        <v>145</v>
      </c>
      <c r="C224" s="54"/>
      <c r="D224" s="54"/>
      <c r="E224" s="54"/>
      <c r="F224" s="25"/>
      <c r="G224" s="25"/>
      <c r="H224" s="30"/>
      <c r="I224" s="30"/>
      <c r="J224" s="30"/>
      <c r="K224" s="30"/>
      <c r="L224" s="30"/>
      <c r="M224" s="30"/>
      <c r="N224" s="30"/>
      <c r="O224" s="30"/>
      <c r="P224" s="30"/>
      <c r="Q224" s="30"/>
      <c r="R224" s="30"/>
      <c r="S224" s="150">
        <f>+R264</f>
        <v>109</v>
      </c>
      <c r="T224" s="85">
        <f>+T264</f>
        <v>20137</v>
      </c>
      <c r="U224" s="25"/>
      <c r="V224" s="79"/>
      <c r="W224" s="86"/>
      <c r="X224" s="5"/>
    </row>
    <row r="225" spans="1:24" ht="15.6" x14ac:dyDescent="0.3">
      <c r="A225" s="84"/>
      <c r="B225" s="76" t="s">
        <v>81</v>
      </c>
      <c r="C225" s="54"/>
      <c r="D225" s="54"/>
      <c r="E225" s="54"/>
      <c r="F225" s="25"/>
      <c r="G225" s="25"/>
      <c r="H225" s="30"/>
      <c r="I225" s="30"/>
      <c r="J225" s="30"/>
      <c r="K225" s="30"/>
      <c r="L225" s="30"/>
      <c r="M225" s="30"/>
      <c r="N225" s="30"/>
      <c r="O225" s="30"/>
      <c r="P225" s="30"/>
      <c r="Q225" s="30"/>
      <c r="R225" s="30"/>
      <c r="S225" s="30">
        <v>0</v>
      </c>
      <c r="T225" s="85">
        <v>0</v>
      </c>
      <c r="U225" s="25"/>
      <c r="V225" s="79"/>
      <c r="W225" s="86"/>
      <c r="X225" s="5"/>
    </row>
    <row r="226" spans="1:24" ht="15.6" x14ac:dyDescent="0.3">
      <c r="A226" s="84"/>
      <c r="B226" s="122" t="s">
        <v>82</v>
      </c>
      <c r="C226" s="54"/>
      <c r="D226" s="54"/>
      <c r="E226" s="54"/>
      <c r="F226" s="25"/>
      <c r="G226" s="25"/>
      <c r="H226" s="25"/>
      <c r="I226" s="25"/>
      <c r="J226" s="25"/>
      <c r="K226" s="25"/>
      <c r="L226" s="25"/>
      <c r="M226" s="25"/>
      <c r="N226" s="25"/>
      <c r="O226" s="25"/>
      <c r="P226" s="25"/>
      <c r="Q226" s="25"/>
      <c r="R226" s="25"/>
      <c r="S226" s="25"/>
      <c r="T226" s="85">
        <v>0</v>
      </c>
      <c r="U226" s="25"/>
      <c r="V226" s="79"/>
      <c r="W226" s="86"/>
      <c r="X226" s="5"/>
    </row>
    <row r="227" spans="1:24" ht="15.6" x14ac:dyDescent="0.3">
      <c r="A227" s="84"/>
      <c r="B227" s="122" t="s">
        <v>243</v>
      </c>
      <c r="C227" s="54"/>
      <c r="D227" s="54"/>
      <c r="E227" s="54"/>
      <c r="F227" s="25"/>
      <c r="G227" s="25"/>
      <c r="H227" s="25"/>
      <c r="I227" s="25"/>
      <c r="J227" s="25"/>
      <c r="K227" s="25"/>
      <c r="L227" s="25"/>
      <c r="M227" s="25"/>
      <c r="N227" s="25"/>
      <c r="O227" s="25"/>
      <c r="P227" s="25"/>
      <c r="Q227" s="25"/>
      <c r="R227" s="25"/>
      <c r="S227" s="25"/>
      <c r="T227" s="85">
        <f>+N82</f>
        <v>0</v>
      </c>
      <c r="U227" s="25"/>
      <c r="V227" s="79"/>
      <c r="W227" s="86"/>
      <c r="X227" s="5"/>
    </row>
    <row r="228" spans="1:24" ht="15.6" x14ac:dyDescent="0.3">
      <c r="A228" s="87"/>
      <c r="B228" s="122" t="s">
        <v>83</v>
      </c>
      <c r="C228" s="76"/>
      <c r="D228" s="76"/>
      <c r="E228" s="76"/>
      <c r="F228" s="76"/>
      <c r="G228" s="25"/>
      <c r="H228" s="25"/>
      <c r="I228" s="25"/>
      <c r="J228" s="25"/>
      <c r="K228" s="25"/>
      <c r="L228" s="25"/>
      <c r="M228" s="25"/>
      <c r="N228" s="25"/>
      <c r="O228" s="25"/>
      <c r="P228" s="25"/>
      <c r="Q228" s="25"/>
      <c r="R228" s="25"/>
      <c r="S228" s="25"/>
      <c r="T228" s="85"/>
      <c r="U228" s="25"/>
      <c r="V228" s="79"/>
      <c r="W228" s="88"/>
      <c r="X228" s="5"/>
    </row>
    <row r="229" spans="1:24" ht="15.6" x14ac:dyDescent="0.3">
      <c r="A229" s="87"/>
      <c r="B229" s="131" t="s">
        <v>84</v>
      </c>
      <c r="C229" s="76"/>
      <c r="D229" s="76"/>
      <c r="E229" s="76"/>
      <c r="F229" s="76"/>
      <c r="G229" s="25"/>
      <c r="H229" s="25"/>
      <c r="I229" s="25"/>
      <c r="J229" s="25"/>
      <c r="K229" s="25"/>
      <c r="L229" s="25"/>
      <c r="M229" s="25"/>
      <c r="N229" s="25"/>
      <c r="O229" s="25"/>
      <c r="P229" s="25"/>
      <c r="Q229" s="25"/>
      <c r="R229" s="25"/>
      <c r="S229" s="30"/>
      <c r="T229" s="85">
        <f>V168</f>
        <v>213</v>
      </c>
      <c r="U229" s="25"/>
      <c r="V229" s="79"/>
      <c r="W229" s="88"/>
      <c r="X229" s="5"/>
    </row>
    <row r="230" spans="1:24" ht="15.6" x14ac:dyDescent="0.3">
      <c r="A230" s="84"/>
      <c r="B230" s="76" t="s">
        <v>85</v>
      </c>
      <c r="C230" s="54"/>
      <c r="D230" s="54"/>
      <c r="E230" s="54"/>
      <c r="F230" s="54"/>
      <c r="G230" s="25"/>
      <c r="H230" s="25"/>
      <c r="I230" s="25"/>
      <c r="J230" s="25"/>
      <c r="K230" s="25"/>
      <c r="L230" s="25"/>
      <c r="M230" s="25"/>
      <c r="N230" s="25"/>
      <c r="O230" s="25"/>
      <c r="P230" s="25"/>
      <c r="Q230" s="25"/>
      <c r="R230" s="25"/>
      <c r="S230" s="30"/>
      <c r="T230" s="85">
        <f>'Aug 08'!T230+T229</f>
        <v>242</v>
      </c>
      <c r="U230" s="25"/>
      <c r="V230" s="79"/>
      <c r="W230" s="88"/>
      <c r="X230" s="5"/>
    </row>
    <row r="231" spans="1:24" ht="15.6" x14ac:dyDescent="0.3">
      <c r="A231" s="87"/>
      <c r="B231" s="122" t="s">
        <v>295</v>
      </c>
      <c r="C231" s="76"/>
      <c r="D231" s="76"/>
      <c r="E231" s="76"/>
      <c r="F231" s="76"/>
      <c r="G231" s="25"/>
      <c r="H231" s="25"/>
      <c r="I231" s="25"/>
      <c r="J231" s="25"/>
      <c r="K231" s="25"/>
      <c r="L231" s="25"/>
      <c r="M231" s="25"/>
      <c r="N231" s="25"/>
      <c r="O231" s="25"/>
      <c r="P231" s="25"/>
      <c r="Q231" s="25"/>
      <c r="R231" s="25"/>
      <c r="S231" s="30"/>
      <c r="T231" s="85"/>
      <c r="U231" s="25"/>
      <c r="V231" s="79"/>
      <c r="W231" s="88"/>
      <c r="X231" s="5"/>
    </row>
    <row r="232" spans="1:24" ht="15.6" x14ac:dyDescent="0.3">
      <c r="A232" s="87"/>
      <c r="B232" s="76" t="s">
        <v>291</v>
      </c>
      <c r="C232" s="76"/>
      <c r="D232" s="76"/>
      <c r="E232" s="76"/>
      <c r="F232" s="76"/>
      <c r="G232" s="25"/>
      <c r="H232" s="25"/>
      <c r="I232" s="25"/>
      <c r="J232" s="25"/>
      <c r="K232" s="25"/>
      <c r="L232" s="25"/>
      <c r="M232" s="25"/>
      <c r="N232" s="25"/>
      <c r="O232" s="25"/>
      <c r="P232" s="25"/>
      <c r="Q232" s="25"/>
      <c r="R232" s="25"/>
      <c r="S232" s="30">
        <v>0</v>
      </c>
      <c r="T232" s="85">
        <v>0</v>
      </c>
      <c r="U232" s="25"/>
      <c r="V232" s="79"/>
      <c r="W232" s="88"/>
      <c r="X232" s="5"/>
    </row>
    <row r="233" spans="1:24" ht="15.6" x14ac:dyDescent="0.3">
      <c r="A233" s="84"/>
      <c r="B233" s="76" t="s">
        <v>86</v>
      </c>
      <c r="C233" s="89"/>
      <c r="D233" s="89"/>
      <c r="E233" s="89"/>
      <c r="F233" s="90"/>
      <c r="G233" s="25"/>
      <c r="H233" s="25"/>
      <c r="I233" s="25"/>
      <c r="J233" s="25"/>
      <c r="K233" s="25"/>
      <c r="L233" s="25"/>
      <c r="M233" s="25"/>
      <c r="N233" s="25"/>
      <c r="O233" s="25"/>
      <c r="P233" s="25"/>
      <c r="Q233" s="25"/>
      <c r="R233" s="25"/>
      <c r="S233" s="25"/>
      <c r="T233" s="62">
        <v>0</v>
      </c>
      <c r="U233" s="25"/>
      <c r="V233" s="79"/>
      <c r="W233" s="88"/>
      <c r="X233" s="5"/>
    </row>
    <row r="234" spans="1:24" ht="15.6" x14ac:dyDescent="0.3">
      <c r="A234" s="84"/>
      <c r="B234" s="76" t="s">
        <v>87</v>
      </c>
      <c r="C234" s="89"/>
      <c r="D234" s="89"/>
      <c r="E234" s="89"/>
      <c r="F234" s="90"/>
      <c r="G234" s="25"/>
      <c r="H234" s="25"/>
      <c r="I234" s="25"/>
      <c r="J234" s="25"/>
      <c r="K234" s="25"/>
      <c r="L234" s="25"/>
      <c r="M234" s="25"/>
      <c r="N234" s="25"/>
      <c r="O234" s="25"/>
      <c r="P234" s="25"/>
      <c r="Q234" s="25"/>
      <c r="R234" s="25"/>
      <c r="S234" s="25"/>
      <c r="T234" s="62">
        <v>0</v>
      </c>
      <c r="U234" s="25"/>
      <c r="V234" s="79"/>
      <c r="W234" s="88"/>
      <c r="X234" s="5"/>
    </row>
    <row r="235" spans="1:24" ht="15.6" x14ac:dyDescent="0.3">
      <c r="A235" s="84"/>
      <c r="B235" s="122" t="s">
        <v>217</v>
      </c>
      <c r="C235" s="89"/>
      <c r="D235" s="89"/>
      <c r="E235" s="89"/>
      <c r="F235" s="90"/>
      <c r="G235" s="25"/>
      <c r="H235" s="25"/>
      <c r="I235" s="25"/>
      <c r="J235" s="25"/>
      <c r="K235" s="25"/>
      <c r="L235" s="25"/>
      <c r="M235" s="25"/>
      <c r="N235" s="25"/>
      <c r="O235" s="25"/>
      <c r="P235" s="25"/>
      <c r="Q235" s="25"/>
      <c r="R235" s="25"/>
      <c r="S235" s="25"/>
      <c r="T235" s="91"/>
      <c r="U235" s="25"/>
      <c r="V235" s="79"/>
      <c r="W235" s="88"/>
      <c r="X235" s="5"/>
    </row>
    <row r="236" spans="1:24" ht="15.6" x14ac:dyDescent="0.3">
      <c r="A236" s="84"/>
      <c r="B236" s="76" t="s">
        <v>291</v>
      </c>
      <c r="C236" s="89"/>
      <c r="D236" s="89"/>
      <c r="E236" s="89"/>
      <c r="F236" s="90"/>
      <c r="G236" s="25"/>
      <c r="H236" s="25"/>
      <c r="I236" s="25"/>
      <c r="J236" s="25"/>
      <c r="K236" s="25"/>
      <c r="L236" s="25"/>
      <c r="M236" s="25"/>
      <c r="N236" s="25"/>
      <c r="O236" s="25"/>
      <c r="P236" s="25"/>
      <c r="Q236" s="25"/>
      <c r="R236" s="25"/>
      <c r="S236" s="30">
        <v>4</v>
      </c>
      <c r="T236" s="85">
        <v>607</v>
      </c>
      <c r="U236" s="25"/>
      <c r="V236" s="79"/>
      <c r="W236" s="88"/>
      <c r="X236" s="5"/>
    </row>
    <row r="237" spans="1:24" ht="15.6" x14ac:dyDescent="0.3">
      <c r="A237" s="84"/>
      <c r="B237" s="76" t="s">
        <v>218</v>
      </c>
      <c r="C237" s="89"/>
      <c r="D237" s="89"/>
      <c r="E237" s="89"/>
      <c r="F237" s="90"/>
      <c r="G237" s="25"/>
      <c r="H237" s="25"/>
      <c r="I237" s="25"/>
      <c r="J237" s="25"/>
      <c r="K237" s="25"/>
      <c r="L237" s="25"/>
      <c r="M237" s="25"/>
      <c r="N237" s="25"/>
      <c r="O237" s="25"/>
      <c r="P237" s="25"/>
      <c r="Q237" s="25"/>
      <c r="R237" s="25"/>
      <c r="S237" s="25"/>
      <c r="T237" s="62">
        <v>9.68</v>
      </c>
      <c r="U237" s="25"/>
      <c r="V237" s="79"/>
      <c r="W237" s="88"/>
      <c r="X237" s="5"/>
    </row>
    <row r="238" spans="1:24" ht="15.6" x14ac:dyDescent="0.3">
      <c r="A238" s="84"/>
      <c r="B238" s="76"/>
      <c r="C238" s="89"/>
      <c r="D238" s="89"/>
      <c r="E238" s="89"/>
      <c r="F238" s="90"/>
      <c r="G238" s="25"/>
      <c r="H238" s="25"/>
      <c r="I238" s="25"/>
      <c r="J238" s="25"/>
      <c r="K238" s="25"/>
      <c r="L238" s="25"/>
      <c r="M238" s="25"/>
      <c r="N238" s="25"/>
      <c r="O238" s="25"/>
      <c r="P238" s="25"/>
      <c r="Q238" s="25"/>
      <c r="R238" s="25"/>
      <c r="S238" s="25"/>
      <c r="T238" s="91"/>
      <c r="U238" s="25"/>
      <c r="V238" s="79"/>
      <c r="W238" s="88"/>
      <c r="X238" s="5"/>
    </row>
    <row r="239" spans="1:24" ht="15.6" x14ac:dyDescent="0.3">
      <c r="A239" s="84"/>
      <c r="B239" s="76"/>
      <c r="C239" s="89"/>
      <c r="D239" s="89"/>
      <c r="E239" s="89"/>
      <c r="F239" s="90"/>
      <c r="G239" s="25"/>
      <c r="H239" s="25"/>
      <c r="I239" s="25"/>
      <c r="J239" s="25"/>
      <c r="K239" s="25"/>
      <c r="L239" s="25"/>
      <c r="M239" s="25"/>
      <c r="N239" s="25"/>
      <c r="O239" s="25"/>
      <c r="P239" s="25"/>
      <c r="Q239" s="25"/>
      <c r="R239" s="25"/>
      <c r="S239" s="25"/>
      <c r="T239" s="91"/>
      <c r="U239" s="25"/>
      <c r="V239" s="79"/>
      <c r="W239" s="88"/>
      <c r="X239" s="5"/>
    </row>
    <row r="240" spans="1:24" ht="17.399999999999999" x14ac:dyDescent="0.3">
      <c r="A240" s="84"/>
      <c r="B240" s="147" t="s">
        <v>168</v>
      </c>
      <c r="C240" s="89"/>
      <c r="D240" s="89"/>
      <c r="E240" s="89"/>
      <c r="F240" s="90"/>
      <c r="G240" s="25"/>
      <c r="H240" s="25"/>
      <c r="I240" s="25"/>
      <c r="J240" s="25"/>
      <c r="K240" s="25"/>
      <c r="L240" s="25"/>
      <c r="M240" s="25"/>
      <c r="N240" s="25"/>
      <c r="O240" s="25"/>
      <c r="P240" s="148" t="s">
        <v>167</v>
      </c>
      <c r="Q240" s="25"/>
      <c r="R240" s="25"/>
      <c r="S240" s="25"/>
      <c r="T240" s="91"/>
      <c r="U240" s="25"/>
      <c r="V240" s="79"/>
      <c r="W240" s="88"/>
      <c r="X240" s="5"/>
    </row>
    <row r="241" spans="1:25" ht="15.6" x14ac:dyDescent="0.3">
      <c r="A241" s="84"/>
      <c r="B241" s="76"/>
      <c r="C241" s="89"/>
      <c r="D241" s="89"/>
      <c r="E241" s="89"/>
      <c r="F241" s="90"/>
      <c r="G241" s="25"/>
      <c r="H241" s="25"/>
      <c r="I241" s="25"/>
      <c r="J241" s="25"/>
      <c r="K241" s="25"/>
      <c r="L241" s="25"/>
      <c r="M241" s="25"/>
      <c r="N241" s="25"/>
      <c r="O241" s="25"/>
      <c r="P241" s="25"/>
      <c r="Q241" s="25"/>
      <c r="R241" s="25"/>
      <c r="S241" s="25"/>
      <c r="T241" s="91"/>
      <c r="U241" s="25"/>
      <c r="V241" s="79"/>
      <c r="W241" s="88"/>
      <c r="X241" s="5"/>
    </row>
    <row r="242" spans="1:25" ht="15.6" x14ac:dyDescent="0.3">
      <c r="A242" s="6"/>
      <c r="B242" s="14" t="s">
        <v>162</v>
      </c>
      <c r="C242" s="81"/>
      <c r="D242" s="81"/>
      <c r="E242" s="81"/>
      <c r="F242" s="82"/>
      <c r="G242" s="81"/>
      <c r="H242" s="17"/>
      <c r="I242" s="17"/>
      <c r="J242" s="17"/>
      <c r="K242" s="17"/>
      <c r="L242" s="17"/>
      <c r="M242" s="17"/>
      <c r="N242" s="17"/>
      <c r="O242" s="17"/>
      <c r="P242" s="17"/>
      <c r="Q242" s="17"/>
      <c r="R242" s="83" t="s">
        <v>102</v>
      </c>
      <c r="S242" s="17" t="s">
        <v>103</v>
      </c>
      <c r="T242" s="83" t="s">
        <v>109</v>
      </c>
      <c r="U242" s="17" t="s">
        <v>103</v>
      </c>
      <c r="V242" s="8"/>
      <c r="W242" s="92"/>
      <c r="X242" s="5"/>
    </row>
    <row r="243" spans="1:25" ht="15.6" x14ac:dyDescent="0.3">
      <c r="A243" s="24"/>
      <c r="B243" s="54" t="s">
        <v>88</v>
      </c>
      <c r="C243" s="93"/>
      <c r="D243" s="93"/>
      <c r="E243" s="93"/>
      <c r="F243" s="25"/>
      <c r="G243" s="93"/>
      <c r="H243" s="93"/>
      <c r="I243" s="93"/>
      <c r="J243" s="93"/>
      <c r="K243" s="93"/>
      <c r="L243" s="93"/>
      <c r="M243" s="93"/>
      <c r="N243" s="93"/>
      <c r="O243" s="93"/>
      <c r="P243" s="93"/>
      <c r="Q243" s="93"/>
      <c r="R243" s="54">
        <v>8530</v>
      </c>
      <c r="S243" s="94">
        <f t="shared" ref="S243:S250" si="1">R243/$R$252</f>
        <v>0.97865993575034416</v>
      </c>
      <c r="T243" s="53">
        <v>1222617</v>
      </c>
      <c r="U243" s="132">
        <f t="shared" ref="U243:U250" si="2">T243/$T$252</f>
        <v>0.97965085299592236</v>
      </c>
      <c r="V243" s="79"/>
      <c r="W243" s="88"/>
      <c r="X243" s="5"/>
    </row>
    <row r="244" spans="1:25" ht="15.6" x14ac:dyDescent="0.3">
      <c r="A244" s="24"/>
      <c r="B244" s="54" t="s">
        <v>89</v>
      </c>
      <c r="C244" s="93"/>
      <c r="D244" s="93"/>
      <c r="E244" s="93"/>
      <c r="F244" s="25"/>
      <c r="G244" s="94"/>
      <c r="H244" s="93"/>
      <c r="I244" s="93"/>
      <c r="J244" s="93"/>
      <c r="K244" s="93"/>
      <c r="L244" s="93"/>
      <c r="M244" s="93"/>
      <c r="N244" s="93"/>
      <c r="O244" s="93"/>
      <c r="P244" s="93"/>
      <c r="Q244" s="93"/>
      <c r="R244" s="54">
        <v>104</v>
      </c>
      <c r="S244" s="94">
        <f t="shared" si="1"/>
        <v>1.1932078935291418E-2</v>
      </c>
      <c r="T244" s="53">
        <v>13460</v>
      </c>
      <c r="U244" s="132">
        <f t="shared" si="2"/>
        <v>1.0785144065005733E-2</v>
      </c>
      <c r="V244" s="79"/>
      <c r="W244" s="88"/>
      <c r="X244" s="5"/>
      <c r="Y244" s="109"/>
    </row>
    <row r="245" spans="1:25" ht="15.6" x14ac:dyDescent="0.3">
      <c r="A245" s="24"/>
      <c r="B245" s="54" t="s">
        <v>90</v>
      </c>
      <c r="C245" s="93"/>
      <c r="D245" s="93"/>
      <c r="E245" s="93"/>
      <c r="F245" s="25"/>
      <c r="G245" s="94"/>
      <c r="H245" s="93"/>
      <c r="I245" s="93"/>
      <c r="J245" s="93"/>
      <c r="K245" s="93"/>
      <c r="L245" s="93"/>
      <c r="M245" s="93"/>
      <c r="N245" s="93"/>
      <c r="O245" s="93"/>
      <c r="P245" s="93"/>
      <c r="Q245" s="93"/>
      <c r="R245" s="54">
        <v>49</v>
      </c>
      <c r="S245" s="94">
        <f t="shared" si="1"/>
        <v>5.6218448829738416E-3</v>
      </c>
      <c r="T245" s="53">
        <v>7230</v>
      </c>
      <c r="U245" s="132">
        <f t="shared" si="2"/>
        <v>5.7932088848433472E-3</v>
      </c>
      <c r="V245" s="79"/>
      <c r="W245" s="88"/>
      <c r="X245" s="5"/>
    </row>
    <row r="246" spans="1:25" ht="15.6" x14ac:dyDescent="0.3">
      <c r="A246" s="24"/>
      <c r="B246" s="54" t="s">
        <v>156</v>
      </c>
      <c r="C246" s="93"/>
      <c r="D246" s="93"/>
      <c r="E246" s="93"/>
      <c r="F246" s="25"/>
      <c r="G246" s="94"/>
      <c r="H246" s="93"/>
      <c r="I246" s="93"/>
      <c r="J246" s="93"/>
      <c r="K246" s="93"/>
      <c r="L246" s="93"/>
      <c r="M246" s="93"/>
      <c r="N246" s="93"/>
      <c r="O246" s="93"/>
      <c r="P246" s="93"/>
      <c r="Q246" s="93"/>
      <c r="R246" s="54">
        <v>20</v>
      </c>
      <c r="S246" s="94">
        <f t="shared" si="1"/>
        <v>2.294630564479119E-3</v>
      </c>
      <c r="T246" s="53">
        <v>2350</v>
      </c>
      <c r="U246" s="132">
        <f t="shared" si="2"/>
        <v>1.882993206000258E-3</v>
      </c>
      <c r="V246" s="79"/>
      <c r="W246" s="88"/>
      <c r="X246" s="5"/>
      <c r="Y246" s="109"/>
    </row>
    <row r="247" spans="1:25" ht="15.6" x14ac:dyDescent="0.3">
      <c r="A247" s="24"/>
      <c r="B247" s="54" t="s">
        <v>157</v>
      </c>
      <c r="C247" s="93"/>
      <c r="D247" s="93"/>
      <c r="E247" s="93"/>
      <c r="F247" s="25"/>
      <c r="G247" s="94"/>
      <c r="H247" s="93"/>
      <c r="I247" s="93"/>
      <c r="J247" s="93"/>
      <c r="K247" s="93"/>
      <c r="L247" s="93"/>
      <c r="M247" s="93"/>
      <c r="N247" s="93"/>
      <c r="O247" s="93"/>
      <c r="P247" s="93"/>
      <c r="Q247" s="93"/>
      <c r="R247" s="54">
        <v>10</v>
      </c>
      <c r="S247" s="94">
        <f t="shared" si="1"/>
        <v>1.1473152822395595E-3</v>
      </c>
      <c r="T247" s="53">
        <v>1696</v>
      </c>
      <c r="U247" s="132">
        <f t="shared" si="2"/>
        <v>1.3589602031389095E-3</v>
      </c>
      <c r="V247" s="79"/>
      <c r="W247" s="88"/>
      <c r="X247" s="5"/>
    </row>
    <row r="248" spans="1:25" ht="15.6" x14ac:dyDescent="0.3">
      <c r="A248" s="24"/>
      <c r="B248" s="54" t="s">
        <v>158</v>
      </c>
      <c r="C248" s="93"/>
      <c r="D248" s="93"/>
      <c r="E248" s="93"/>
      <c r="F248" s="25"/>
      <c r="G248" s="94"/>
      <c r="H248" s="93"/>
      <c r="I248" s="93"/>
      <c r="J248" s="93"/>
      <c r="K248" s="93"/>
      <c r="L248" s="93"/>
      <c r="M248" s="93"/>
      <c r="N248" s="93"/>
      <c r="O248" s="93"/>
      <c r="P248" s="93"/>
      <c r="Q248" s="93"/>
      <c r="R248" s="54">
        <v>0</v>
      </c>
      <c r="S248" s="94">
        <f t="shared" si="1"/>
        <v>0</v>
      </c>
      <c r="T248" s="53">
        <v>0</v>
      </c>
      <c r="U248" s="132">
        <f t="shared" si="2"/>
        <v>0</v>
      </c>
      <c r="V248" s="79"/>
      <c r="W248" s="88"/>
      <c r="X248" s="5"/>
      <c r="Y248" s="109"/>
    </row>
    <row r="249" spans="1:25" ht="15.6" x14ac:dyDescent="0.3">
      <c r="A249" s="24"/>
      <c r="B249" s="54" t="s">
        <v>159</v>
      </c>
      <c r="C249" s="93"/>
      <c r="D249" s="93"/>
      <c r="E249" s="93"/>
      <c r="F249" s="25"/>
      <c r="G249" s="94"/>
      <c r="H249" s="93"/>
      <c r="I249" s="93"/>
      <c r="J249" s="93"/>
      <c r="K249" s="93"/>
      <c r="L249" s="93"/>
      <c r="M249" s="93"/>
      <c r="N249" s="93"/>
      <c r="O249" s="93"/>
      <c r="P249" s="93"/>
      <c r="Q249" s="93"/>
      <c r="R249" s="54">
        <v>2</v>
      </c>
      <c r="S249" s="94">
        <f t="shared" si="1"/>
        <v>2.2946305644791189E-4</v>
      </c>
      <c r="T249" s="53">
        <v>527</v>
      </c>
      <c r="U249" s="132">
        <f t="shared" si="2"/>
        <v>4.2227124236686637E-4</v>
      </c>
      <c r="V249" s="79"/>
      <c r="W249" s="88"/>
      <c r="X249" s="5"/>
    </row>
    <row r="250" spans="1:25" ht="15.6" x14ac:dyDescent="0.3">
      <c r="A250" s="24"/>
      <c r="B250" s="54" t="s">
        <v>160</v>
      </c>
      <c r="C250" s="93"/>
      <c r="D250" s="93"/>
      <c r="E250" s="93"/>
      <c r="F250" s="25"/>
      <c r="G250" s="94"/>
      <c r="H250" s="93"/>
      <c r="I250" s="93"/>
      <c r="J250" s="93"/>
      <c r="K250" s="93"/>
      <c r="L250" s="93"/>
      <c r="M250" s="93"/>
      <c r="N250" s="93"/>
      <c r="O250" s="93"/>
      <c r="P250" s="93"/>
      <c r="Q250" s="93"/>
      <c r="R250" s="54">
        <v>1</v>
      </c>
      <c r="S250" s="94">
        <f t="shared" si="1"/>
        <v>1.1473152822395595E-4</v>
      </c>
      <c r="T250" s="53">
        <v>133</v>
      </c>
      <c r="U250" s="132">
        <f t="shared" si="2"/>
        <v>1.0656940272256779E-4</v>
      </c>
      <c r="V250" s="79"/>
      <c r="W250" s="88"/>
      <c r="X250" s="5"/>
      <c r="Y250" s="109"/>
    </row>
    <row r="251" spans="1:25" ht="15.6" x14ac:dyDescent="0.3">
      <c r="A251" s="24"/>
      <c r="B251" s="54"/>
      <c r="C251" s="93"/>
      <c r="D251" s="93"/>
      <c r="E251" s="93"/>
      <c r="F251" s="25"/>
      <c r="G251" s="94"/>
      <c r="H251" s="93"/>
      <c r="I251" s="93"/>
      <c r="J251" s="93"/>
      <c r="K251" s="93"/>
      <c r="L251" s="93"/>
      <c r="M251" s="93"/>
      <c r="N251" s="93"/>
      <c r="O251" s="93"/>
      <c r="P251" s="93"/>
      <c r="Q251" s="93"/>
      <c r="R251" s="54"/>
      <c r="S251" s="94"/>
      <c r="T251" s="53"/>
      <c r="U251" s="132"/>
      <c r="V251" s="79"/>
      <c r="W251" s="88"/>
      <c r="X251" s="5"/>
    </row>
    <row r="252" spans="1:25" ht="15.6" x14ac:dyDescent="0.3">
      <c r="A252" s="24"/>
      <c r="B252" s="25"/>
      <c r="C252" s="25"/>
      <c r="D252" s="25"/>
      <c r="E252" s="25"/>
      <c r="F252" s="25"/>
      <c r="G252" s="25"/>
      <c r="H252" s="95"/>
      <c r="I252" s="95"/>
      <c r="J252" s="95"/>
      <c r="K252" s="95"/>
      <c r="L252" s="95"/>
      <c r="M252" s="95"/>
      <c r="N252" s="95"/>
      <c r="O252" s="95"/>
      <c r="P252" s="95"/>
      <c r="Q252" s="95"/>
      <c r="R252" s="34">
        <f>SUM(R243:R251)</f>
        <v>8716</v>
      </c>
      <c r="S252" s="132">
        <f>SUM(S243:S251)</f>
        <v>0.99999999999999989</v>
      </c>
      <c r="T252" s="53">
        <f>SUM(T243:T251)</f>
        <v>1248013</v>
      </c>
      <c r="U252" s="132">
        <f>SUM(U243:U251)</f>
        <v>1</v>
      </c>
      <c r="V252" s="25"/>
      <c r="W252" s="25"/>
      <c r="X252" s="5"/>
    </row>
    <row r="253" spans="1:25" ht="15.6" x14ac:dyDescent="0.3">
      <c r="A253" s="24"/>
      <c r="B253" s="25"/>
      <c r="C253" s="25"/>
      <c r="D253" s="25"/>
      <c r="E253" s="25"/>
      <c r="F253" s="25"/>
      <c r="G253" s="25"/>
      <c r="H253" s="95"/>
      <c r="I253" s="95"/>
      <c r="J253" s="95"/>
      <c r="K253" s="95"/>
      <c r="L253" s="95"/>
      <c r="M253" s="95"/>
      <c r="N253" s="95"/>
      <c r="O253" s="95"/>
      <c r="P253" s="95"/>
      <c r="Q253" s="95"/>
      <c r="R253" s="34"/>
      <c r="S253" s="132"/>
      <c r="T253" s="53"/>
      <c r="U253" s="132"/>
      <c r="V253" s="25"/>
      <c r="W253" s="25"/>
      <c r="X253" s="5"/>
    </row>
    <row r="254" spans="1:25" ht="15.6" x14ac:dyDescent="0.3">
      <c r="A254" s="139"/>
      <c r="B254" s="14" t="s">
        <v>275</v>
      </c>
      <c r="C254" s="81"/>
      <c r="D254" s="81"/>
      <c r="E254" s="81"/>
      <c r="F254" s="82"/>
      <c r="G254" s="81"/>
      <c r="H254" s="17"/>
      <c r="I254" s="17"/>
      <c r="J254" s="17"/>
      <c r="K254" s="17"/>
      <c r="L254" s="17"/>
      <c r="M254" s="17"/>
      <c r="N254" s="17"/>
      <c r="O254" s="17"/>
      <c r="P254" s="17"/>
      <c r="Q254" s="17"/>
      <c r="R254" s="83" t="s">
        <v>102</v>
      </c>
      <c r="S254" s="17" t="s">
        <v>103</v>
      </c>
      <c r="T254" s="83" t="s">
        <v>109</v>
      </c>
      <c r="U254" s="17" t="s">
        <v>103</v>
      </c>
      <c r="V254" s="137"/>
      <c r="W254" s="138"/>
      <c r="X254" s="5"/>
    </row>
    <row r="255" spans="1:25" ht="15.6" x14ac:dyDescent="0.3">
      <c r="A255" s="24"/>
      <c r="B255" s="54" t="s">
        <v>88</v>
      </c>
      <c r="C255" s="93"/>
      <c r="D255" s="93"/>
      <c r="E255" s="93"/>
      <c r="F255" s="25"/>
      <c r="G255" s="93"/>
      <c r="H255" s="93"/>
      <c r="I255" s="93"/>
      <c r="J255" s="93"/>
      <c r="K255" s="93"/>
      <c r="L255" s="93"/>
      <c r="M255" s="93"/>
      <c r="N255" s="93"/>
      <c r="O255" s="93"/>
      <c r="P255" s="93"/>
      <c r="Q255" s="93"/>
      <c r="R255" s="54">
        <v>8</v>
      </c>
      <c r="S255" s="94">
        <f t="shared" ref="S255:S262" si="3">R255/$R$264</f>
        <v>7.3394495412844041E-2</v>
      </c>
      <c r="T255" s="53">
        <v>1062</v>
      </c>
      <c r="U255" s="132">
        <f t="shared" ref="U255:U262" si="4">T255/$T$264</f>
        <v>5.2738739633510452E-2</v>
      </c>
      <c r="V255" s="25"/>
      <c r="W255" s="25"/>
      <c r="X255" s="5"/>
    </row>
    <row r="256" spans="1:25" ht="15.6" x14ac:dyDescent="0.3">
      <c r="A256" s="24"/>
      <c r="B256" s="54" t="s">
        <v>89</v>
      </c>
      <c r="C256" s="93"/>
      <c r="D256" s="93"/>
      <c r="E256" s="93"/>
      <c r="F256" s="25"/>
      <c r="G256" s="94"/>
      <c r="H256" s="93"/>
      <c r="I256" s="93"/>
      <c r="J256" s="93"/>
      <c r="K256" s="93"/>
      <c r="L256" s="93"/>
      <c r="M256" s="93"/>
      <c r="N256" s="93"/>
      <c r="O256" s="93"/>
      <c r="P256" s="93"/>
      <c r="Q256" s="93"/>
      <c r="R256" s="54">
        <v>14</v>
      </c>
      <c r="S256" s="94">
        <f t="shared" si="3"/>
        <v>0.12844036697247707</v>
      </c>
      <c r="T256" s="53">
        <v>1918</v>
      </c>
      <c r="U256" s="132">
        <f t="shared" si="4"/>
        <v>9.5247554253364453E-2</v>
      </c>
      <c r="V256" s="25"/>
      <c r="W256" s="25"/>
      <c r="X256" s="5"/>
    </row>
    <row r="257" spans="1:24" ht="15.6" x14ac:dyDescent="0.3">
      <c r="A257" s="24"/>
      <c r="B257" s="54" t="s">
        <v>90</v>
      </c>
      <c r="C257" s="93"/>
      <c r="D257" s="93"/>
      <c r="E257" s="93"/>
      <c r="F257" s="25"/>
      <c r="G257" s="94"/>
      <c r="H257" s="93"/>
      <c r="I257" s="93"/>
      <c r="J257" s="93"/>
      <c r="K257" s="93"/>
      <c r="L257" s="93"/>
      <c r="M257" s="93"/>
      <c r="N257" s="93"/>
      <c r="O257" s="93"/>
      <c r="P257" s="93"/>
      <c r="Q257" s="93"/>
      <c r="R257" s="54">
        <v>23</v>
      </c>
      <c r="S257" s="94">
        <f t="shared" si="3"/>
        <v>0.21100917431192662</v>
      </c>
      <c r="T257" s="53">
        <v>5175</v>
      </c>
      <c r="U257" s="132">
        <f t="shared" si="4"/>
        <v>0.25698962109549583</v>
      </c>
      <c r="V257" s="25"/>
      <c r="W257" s="25"/>
      <c r="X257" s="5"/>
    </row>
    <row r="258" spans="1:24" ht="15.6" x14ac:dyDescent="0.3">
      <c r="A258" s="24"/>
      <c r="B258" s="54" t="s">
        <v>156</v>
      </c>
      <c r="C258" s="93"/>
      <c r="D258" s="93"/>
      <c r="E258" s="93"/>
      <c r="F258" s="25"/>
      <c r="G258" s="94"/>
      <c r="H258" s="93"/>
      <c r="I258" s="93"/>
      <c r="J258" s="93"/>
      <c r="K258" s="93"/>
      <c r="L258" s="93"/>
      <c r="M258" s="93"/>
      <c r="N258" s="93"/>
      <c r="O258" s="93"/>
      <c r="P258" s="93"/>
      <c r="Q258" s="93"/>
      <c r="R258" s="54">
        <v>15</v>
      </c>
      <c r="S258" s="94">
        <f t="shared" si="3"/>
        <v>0.13761467889908258</v>
      </c>
      <c r="T258" s="53">
        <v>4292</v>
      </c>
      <c r="U258" s="132">
        <f t="shared" si="4"/>
        <v>0.21313999106123058</v>
      </c>
      <c r="V258" s="25"/>
      <c r="W258" s="25"/>
      <c r="X258" s="5"/>
    </row>
    <row r="259" spans="1:24" ht="15.6" x14ac:dyDescent="0.3">
      <c r="A259" s="24"/>
      <c r="B259" s="54" t="s">
        <v>157</v>
      </c>
      <c r="C259" s="93"/>
      <c r="D259" s="93"/>
      <c r="E259" s="93"/>
      <c r="F259" s="25"/>
      <c r="G259" s="94"/>
      <c r="H259" s="93"/>
      <c r="I259" s="93"/>
      <c r="J259" s="93"/>
      <c r="K259" s="93"/>
      <c r="L259" s="93"/>
      <c r="M259" s="93"/>
      <c r="N259" s="93"/>
      <c r="O259" s="93"/>
      <c r="P259" s="93"/>
      <c r="Q259" s="93"/>
      <c r="R259" s="54">
        <v>9</v>
      </c>
      <c r="S259" s="94">
        <f t="shared" si="3"/>
        <v>8.2568807339449546E-2</v>
      </c>
      <c r="T259" s="53">
        <v>1348</v>
      </c>
      <c r="U259" s="132">
        <f t="shared" si="4"/>
        <v>6.694145106023737E-2</v>
      </c>
      <c r="V259" s="25"/>
      <c r="W259" s="25"/>
      <c r="X259" s="5"/>
    </row>
    <row r="260" spans="1:24" ht="15.6" x14ac:dyDescent="0.3">
      <c r="A260" s="24"/>
      <c r="B260" s="54" t="s">
        <v>158</v>
      </c>
      <c r="C260" s="93"/>
      <c r="D260" s="93"/>
      <c r="E260" s="93"/>
      <c r="F260" s="25"/>
      <c r="G260" s="94"/>
      <c r="H260" s="93"/>
      <c r="I260" s="93"/>
      <c r="J260" s="93"/>
      <c r="K260" s="93"/>
      <c r="L260" s="93"/>
      <c r="M260" s="93"/>
      <c r="N260" s="93"/>
      <c r="O260" s="93"/>
      <c r="P260" s="93"/>
      <c r="Q260" s="93"/>
      <c r="R260" s="54">
        <v>8</v>
      </c>
      <c r="S260" s="94">
        <f t="shared" si="3"/>
        <v>7.3394495412844041E-2</v>
      </c>
      <c r="T260" s="53">
        <v>1668</v>
      </c>
      <c r="U260" s="132">
        <f t="shared" si="4"/>
        <v>8.2832596712519246E-2</v>
      </c>
      <c r="V260" s="25"/>
      <c r="W260" s="25"/>
      <c r="X260" s="5"/>
    </row>
    <row r="261" spans="1:24" ht="15.6" x14ac:dyDescent="0.3">
      <c r="A261" s="24"/>
      <c r="B261" s="54" t="s">
        <v>159</v>
      </c>
      <c r="C261" s="93"/>
      <c r="D261" s="93"/>
      <c r="E261" s="93"/>
      <c r="F261" s="25"/>
      <c r="G261" s="94"/>
      <c r="H261" s="93"/>
      <c r="I261" s="93"/>
      <c r="J261" s="93"/>
      <c r="K261" s="93"/>
      <c r="L261" s="93"/>
      <c r="M261" s="93"/>
      <c r="N261" s="93"/>
      <c r="O261" s="93"/>
      <c r="P261" s="93"/>
      <c r="Q261" s="93"/>
      <c r="R261" s="54">
        <v>23</v>
      </c>
      <c r="S261" s="94">
        <f t="shared" si="3"/>
        <v>0.21100917431192662</v>
      </c>
      <c r="T261" s="53">
        <v>3566</v>
      </c>
      <c r="U261" s="132">
        <f t="shared" si="4"/>
        <v>0.17708695436261607</v>
      </c>
      <c r="V261" s="25"/>
      <c r="W261" s="25"/>
      <c r="X261" s="5"/>
    </row>
    <row r="262" spans="1:24" ht="15.6" x14ac:dyDescent="0.3">
      <c r="A262" s="24"/>
      <c r="B262" s="54" t="s">
        <v>160</v>
      </c>
      <c r="C262" s="93"/>
      <c r="D262" s="93"/>
      <c r="E262" s="93"/>
      <c r="F262" s="25"/>
      <c r="G262" s="94"/>
      <c r="H262" s="93"/>
      <c r="I262" s="93"/>
      <c r="J262" s="93"/>
      <c r="K262" s="93"/>
      <c r="L262" s="93"/>
      <c r="M262" s="93"/>
      <c r="N262" s="93"/>
      <c r="O262" s="93"/>
      <c r="P262" s="93"/>
      <c r="Q262" s="93"/>
      <c r="R262" s="54">
        <v>9</v>
      </c>
      <c r="S262" s="94">
        <f t="shared" si="3"/>
        <v>8.2568807339449546E-2</v>
      </c>
      <c r="T262" s="53">
        <v>1108</v>
      </c>
      <c r="U262" s="132">
        <f t="shared" si="4"/>
        <v>5.5023091821025973E-2</v>
      </c>
      <c r="V262" s="25"/>
      <c r="W262" s="25"/>
      <c r="X262" s="5"/>
    </row>
    <row r="263" spans="1:24" ht="15.6" x14ac:dyDescent="0.3">
      <c r="A263" s="24"/>
      <c r="B263" s="54"/>
      <c r="C263" s="93"/>
      <c r="D263" s="93"/>
      <c r="E263" s="93"/>
      <c r="F263" s="25"/>
      <c r="G263" s="94"/>
      <c r="H263" s="93"/>
      <c r="I263" s="93"/>
      <c r="J263" s="93"/>
      <c r="K263" s="93"/>
      <c r="L263" s="93"/>
      <c r="M263" s="93"/>
      <c r="N263" s="93"/>
      <c r="O263" s="93"/>
      <c r="P263" s="93"/>
      <c r="Q263" s="93"/>
      <c r="R263" s="54"/>
      <c r="S263" s="94"/>
      <c r="T263" s="53"/>
      <c r="U263" s="132"/>
      <c r="V263" s="25"/>
      <c r="W263" s="25"/>
      <c r="X263" s="5"/>
    </row>
    <row r="264" spans="1:24" ht="15.6" x14ac:dyDescent="0.3">
      <c r="A264" s="24"/>
      <c r="B264" s="25"/>
      <c r="C264" s="25"/>
      <c r="D264" s="25"/>
      <c r="E264" s="25"/>
      <c r="F264" s="25"/>
      <c r="G264" s="25"/>
      <c r="H264" s="95"/>
      <c r="I264" s="95"/>
      <c r="J264" s="95"/>
      <c r="K264" s="95"/>
      <c r="L264" s="95"/>
      <c r="M264" s="95"/>
      <c r="N264" s="95"/>
      <c r="O264" s="95"/>
      <c r="P264" s="95"/>
      <c r="Q264" s="95"/>
      <c r="R264" s="34">
        <f>SUM(R255:R263)</f>
        <v>109</v>
      </c>
      <c r="S264" s="132">
        <f>SUM(S255:S263)</f>
        <v>1</v>
      </c>
      <c r="T264" s="53">
        <f>SUM(T255:T263)</f>
        <v>20137</v>
      </c>
      <c r="U264" s="132">
        <f>SUM(U255:U263)</f>
        <v>1</v>
      </c>
      <c r="V264" s="25"/>
      <c r="W264" s="25"/>
      <c r="X264" s="5"/>
    </row>
    <row r="265" spans="1:24" ht="15.6" x14ac:dyDescent="0.3">
      <c r="A265" s="24"/>
      <c r="B265" s="25"/>
      <c r="C265" s="25"/>
      <c r="D265" s="25"/>
      <c r="E265" s="25"/>
      <c r="F265" s="25"/>
      <c r="G265" s="25"/>
      <c r="H265" s="95"/>
      <c r="I265" s="95"/>
      <c r="J265" s="95"/>
      <c r="K265" s="95"/>
      <c r="L265" s="95"/>
      <c r="M265" s="95"/>
      <c r="N265" s="95"/>
      <c r="O265" s="95"/>
      <c r="P265" s="95"/>
      <c r="Q265" s="95"/>
      <c r="R265" s="34"/>
      <c r="S265" s="132"/>
      <c r="T265" s="53"/>
      <c r="U265" s="132"/>
      <c r="V265" s="25"/>
      <c r="W265" s="25"/>
      <c r="X265" s="5"/>
    </row>
    <row r="266" spans="1:24" ht="15.6" x14ac:dyDescent="0.3">
      <c r="A266" s="139"/>
      <c r="B266" s="14" t="s">
        <v>163</v>
      </c>
      <c r="C266" s="137"/>
      <c r="D266" s="137"/>
      <c r="E266" s="137"/>
      <c r="F266" s="137"/>
      <c r="G266" s="137"/>
      <c r="H266" s="143"/>
      <c r="I266" s="143"/>
      <c r="J266" s="143"/>
      <c r="K266" s="143"/>
      <c r="L266" s="143"/>
      <c r="M266" s="143"/>
      <c r="N266" s="143"/>
      <c r="O266" s="143"/>
      <c r="P266" s="143"/>
      <c r="Q266" s="143"/>
      <c r="R266" s="83" t="s">
        <v>102</v>
      </c>
      <c r="S266" s="17" t="s">
        <v>103</v>
      </c>
      <c r="T266" s="83" t="s">
        <v>109</v>
      </c>
      <c r="U266" s="17" t="s">
        <v>103</v>
      </c>
      <c r="V266" s="137"/>
      <c r="W266" s="138"/>
      <c r="X266" s="5"/>
    </row>
    <row r="267" spans="1:24" ht="15.6" x14ac:dyDescent="0.3">
      <c r="A267" s="24"/>
      <c r="B267" s="54" t="s">
        <v>88</v>
      </c>
      <c r="C267" s="25"/>
      <c r="D267" s="25"/>
      <c r="E267" s="25"/>
      <c r="F267" s="25"/>
      <c r="G267" s="25"/>
      <c r="H267" s="95"/>
      <c r="I267" s="95"/>
      <c r="J267" s="95"/>
      <c r="K267" s="95"/>
      <c r="L267" s="95"/>
      <c r="M267" s="95"/>
      <c r="N267" s="95"/>
      <c r="O267" s="95"/>
      <c r="P267" s="95"/>
      <c r="Q267" s="95"/>
      <c r="R267" s="54">
        <v>0</v>
      </c>
      <c r="S267" s="94">
        <v>0</v>
      </c>
      <c r="T267" s="53">
        <v>0</v>
      </c>
      <c r="U267" s="132">
        <v>0</v>
      </c>
      <c r="V267" s="25"/>
      <c r="W267" s="25"/>
      <c r="X267" s="5"/>
    </row>
    <row r="268" spans="1:24" ht="15.6" x14ac:dyDescent="0.3">
      <c r="A268" s="24"/>
      <c r="B268" s="54" t="s">
        <v>89</v>
      </c>
      <c r="C268" s="25"/>
      <c r="D268" s="25"/>
      <c r="E268" s="25"/>
      <c r="F268" s="25"/>
      <c r="G268" s="25"/>
      <c r="H268" s="95"/>
      <c r="I268" s="95"/>
      <c r="J268" s="95"/>
      <c r="K268" s="95"/>
      <c r="L268" s="95"/>
      <c r="M268" s="95"/>
      <c r="N268" s="95"/>
      <c r="O268" s="95"/>
      <c r="P268" s="95"/>
      <c r="Q268" s="95"/>
      <c r="R268" s="54">
        <v>0</v>
      </c>
      <c r="S268" s="94">
        <v>0</v>
      </c>
      <c r="T268" s="53">
        <v>0</v>
      </c>
      <c r="U268" s="132">
        <v>0</v>
      </c>
      <c r="V268" s="25"/>
      <c r="W268" s="25"/>
      <c r="X268" s="5"/>
    </row>
    <row r="269" spans="1:24" ht="15.6" x14ac:dyDescent="0.3">
      <c r="A269" s="24"/>
      <c r="B269" s="54" t="s">
        <v>90</v>
      </c>
      <c r="C269" s="25"/>
      <c r="D269" s="25"/>
      <c r="E269" s="25"/>
      <c r="F269" s="25"/>
      <c r="G269" s="25"/>
      <c r="H269" s="95"/>
      <c r="I269" s="95"/>
      <c r="J269" s="95"/>
      <c r="K269" s="95"/>
      <c r="L269" s="95"/>
      <c r="M269" s="95"/>
      <c r="N269" s="95"/>
      <c r="O269" s="95"/>
      <c r="P269" s="95"/>
      <c r="Q269" s="95"/>
      <c r="R269" s="54">
        <v>0</v>
      </c>
      <c r="S269" s="94">
        <v>0</v>
      </c>
      <c r="T269" s="53">
        <v>0</v>
      </c>
      <c r="U269" s="132">
        <v>0</v>
      </c>
      <c r="V269" s="25"/>
      <c r="W269" s="25"/>
      <c r="X269" s="5"/>
    </row>
    <row r="270" spans="1:24" ht="15.6" x14ac:dyDescent="0.3">
      <c r="A270" s="24"/>
      <c r="B270" s="54" t="s">
        <v>156</v>
      </c>
      <c r="C270" s="25"/>
      <c r="D270" s="25"/>
      <c r="E270" s="25"/>
      <c r="F270" s="25"/>
      <c r="G270" s="25"/>
      <c r="H270" s="95"/>
      <c r="I270" s="95"/>
      <c r="J270" s="95"/>
      <c r="K270" s="95"/>
      <c r="L270" s="95"/>
      <c r="M270" s="95"/>
      <c r="N270" s="95"/>
      <c r="O270" s="95"/>
      <c r="P270" s="95"/>
      <c r="Q270" s="95"/>
      <c r="R270" s="54">
        <v>0</v>
      </c>
      <c r="S270" s="94">
        <v>0</v>
      </c>
      <c r="T270" s="53">
        <v>0</v>
      </c>
      <c r="U270" s="132">
        <v>0</v>
      </c>
      <c r="V270" s="25"/>
      <c r="W270" s="25"/>
      <c r="X270" s="5"/>
    </row>
    <row r="271" spans="1:24" ht="15.6" x14ac:dyDescent="0.3">
      <c r="A271" s="24"/>
      <c r="B271" s="54" t="s">
        <v>157</v>
      </c>
      <c r="C271" s="25"/>
      <c r="D271" s="25"/>
      <c r="E271" s="25"/>
      <c r="F271" s="25"/>
      <c r="G271" s="25"/>
      <c r="H271" s="95"/>
      <c r="I271" s="95"/>
      <c r="J271" s="95"/>
      <c r="K271" s="95"/>
      <c r="L271" s="95"/>
      <c r="M271" s="95"/>
      <c r="N271" s="95"/>
      <c r="O271" s="95"/>
      <c r="P271" s="95"/>
      <c r="Q271" s="95"/>
      <c r="R271" s="54">
        <v>0</v>
      </c>
      <c r="S271" s="94">
        <v>0</v>
      </c>
      <c r="T271" s="53">
        <v>0</v>
      </c>
      <c r="U271" s="132">
        <v>0</v>
      </c>
      <c r="V271" s="25"/>
      <c r="W271" s="25"/>
      <c r="X271" s="5"/>
    </row>
    <row r="272" spans="1:24" ht="15.6" x14ac:dyDescent="0.3">
      <c r="A272" s="24"/>
      <c r="B272" s="54" t="s">
        <v>158</v>
      </c>
      <c r="C272" s="25"/>
      <c r="D272" s="25"/>
      <c r="E272" s="25"/>
      <c r="F272" s="25"/>
      <c r="G272" s="25"/>
      <c r="H272" s="95"/>
      <c r="I272" s="95"/>
      <c r="J272" s="95"/>
      <c r="K272" s="95"/>
      <c r="L272" s="95"/>
      <c r="M272" s="95"/>
      <c r="N272" s="95"/>
      <c r="O272" s="95"/>
      <c r="P272" s="95"/>
      <c r="Q272" s="95"/>
      <c r="R272" s="54">
        <v>0</v>
      </c>
      <c r="S272" s="94">
        <v>0</v>
      </c>
      <c r="T272" s="53">
        <v>0</v>
      </c>
      <c r="U272" s="132">
        <v>0</v>
      </c>
      <c r="V272" s="25"/>
      <c r="W272" s="25"/>
      <c r="X272" s="5"/>
    </row>
    <row r="273" spans="1:24" ht="15.6" x14ac:dyDescent="0.3">
      <c r="A273" s="24"/>
      <c r="B273" s="54" t="s">
        <v>159</v>
      </c>
      <c r="C273" s="25"/>
      <c r="D273" s="25"/>
      <c r="E273" s="25"/>
      <c r="F273" s="25"/>
      <c r="G273" s="25"/>
      <c r="H273" s="95"/>
      <c r="I273" s="95"/>
      <c r="J273" s="95"/>
      <c r="K273" s="95"/>
      <c r="L273" s="95"/>
      <c r="M273" s="95"/>
      <c r="N273" s="95"/>
      <c r="O273" s="95"/>
      <c r="P273" s="95"/>
      <c r="Q273" s="95"/>
      <c r="R273" s="54">
        <v>0</v>
      </c>
      <c r="S273" s="94">
        <v>0</v>
      </c>
      <c r="T273" s="53">
        <v>0</v>
      </c>
      <c r="U273" s="132">
        <v>0</v>
      </c>
      <c r="V273" s="25"/>
      <c r="W273" s="25"/>
      <c r="X273" s="5"/>
    </row>
    <row r="274" spans="1:24" ht="15.6" x14ac:dyDescent="0.3">
      <c r="A274" s="24"/>
      <c r="B274" s="54" t="s">
        <v>160</v>
      </c>
      <c r="C274" s="25"/>
      <c r="D274" s="25"/>
      <c r="E274" s="25"/>
      <c r="F274" s="25"/>
      <c r="G274" s="25"/>
      <c r="H274" s="95"/>
      <c r="I274" s="95"/>
      <c r="J274" s="95"/>
      <c r="K274" s="95"/>
      <c r="L274" s="95"/>
      <c r="M274" s="95"/>
      <c r="N274" s="95"/>
      <c r="O274" s="95"/>
      <c r="P274" s="95"/>
      <c r="Q274" s="95"/>
      <c r="R274" s="54">
        <v>0</v>
      </c>
      <c r="S274" s="94">
        <v>0</v>
      </c>
      <c r="T274" s="53">
        <v>0</v>
      </c>
      <c r="U274" s="132">
        <v>0</v>
      </c>
      <c r="V274" s="25"/>
      <c r="W274" s="25"/>
      <c r="X274" s="5"/>
    </row>
    <row r="275" spans="1:24" ht="15.6" x14ac:dyDescent="0.3">
      <c r="A275" s="24"/>
      <c r="B275" s="54"/>
      <c r="C275" s="25"/>
      <c r="D275" s="25"/>
      <c r="E275" s="25"/>
      <c r="F275" s="25"/>
      <c r="G275" s="25"/>
      <c r="H275" s="95"/>
      <c r="I275" s="95"/>
      <c r="J275" s="95"/>
      <c r="K275" s="95"/>
      <c r="L275" s="95"/>
      <c r="M275" s="95"/>
      <c r="N275" s="95"/>
      <c r="O275" s="95"/>
      <c r="P275" s="95"/>
      <c r="Q275" s="95"/>
      <c r="R275" s="54"/>
      <c r="S275" s="94"/>
      <c r="T275" s="53"/>
      <c r="U275" s="132"/>
      <c r="V275" s="25"/>
      <c r="W275" s="25"/>
      <c r="X275" s="5"/>
    </row>
    <row r="276" spans="1:24" ht="15.6" x14ac:dyDescent="0.3">
      <c r="A276" s="24"/>
      <c r="B276" s="25" t="s">
        <v>114</v>
      </c>
      <c r="C276" s="25"/>
      <c r="D276" s="25"/>
      <c r="E276" s="25"/>
      <c r="F276" s="25"/>
      <c r="G276" s="25"/>
      <c r="H276" s="95"/>
      <c r="I276" s="95"/>
      <c r="J276" s="95"/>
      <c r="K276" s="95"/>
      <c r="L276" s="95"/>
      <c r="M276" s="95"/>
      <c r="N276" s="95"/>
      <c r="O276" s="95"/>
      <c r="P276" s="95"/>
      <c r="Q276" s="95"/>
      <c r="R276" s="34">
        <f>SUM(R267:R274)</f>
        <v>0</v>
      </c>
      <c r="S276" s="132">
        <f>SUM(S267:S275)</f>
        <v>0</v>
      </c>
      <c r="T276" s="53">
        <f>SUM(T267:T274)</f>
        <v>0</v>
      </c>
      <c r="U276" s="132">
        <f>SUM(U267:U275)</f>
        <v>0</v>
      </c>
      <c r="V276" s="25"/>
      <c r="W276" s="25"/>
      <c r="X276" s="5"/>
    </row>
    <row r="277" spans="1:24" ht="15.6" x14ac:dyDescent="0.3">
      <c r="A277" s="24"/>
      <c r="B277" s="25"/>
      <c r="C277" s="25"/>
      <c r="D277" s="25"/>
      <c r="E277" s="25"/>
      <c r="F277" s="25"/>
      <c r="G277" s="25"/>
      <c r="H277" s="95"/>
      <c r="I277" s="95"/>
      <c r="J277" s="95"/>
      <c r="K277" s="95"/>
      <c r="L277" s="95"/>
      <c r="M277" s="95"/>
      <c r="N277" s="95"/>
      <c r="O277" s="95"/>
      <c r="P277" s="95"/>
      <c r="Q277" s="95"/>
      <c r="R277" s="34"/>
      <c r="S277" s="132"/>
      <c r="T277" s="53"/>
      <c r="U277" s="132"/>
      <c r="V277" s="25"/>
      <c r="W277" s="25"/>
      <c r="X277" s="5"/>
    </row>
    <row r="278" spans="1:24" ht="15.6" x14ac:dyDescent="0.3">
      <c r="A278" s="24"/>
      <c r="B278" s="140" t="s">
        <v>164</v>
      </c>
      <c r="C278" s="25"/>
      <c r="D278" s="25"/>
      <c r="E278" s="25"/>
      <c r="F278" s="25"/>
      <c r="G278" s="25"/>
      <c r="H278" s="95"/>
      <c r="I278" s="95"/>
      <c r="J278" s="95"/>
      <c r="K278" s="95"/>
      <c r="L278" s="95"/>
      <c r="M278" s="95"/>
      <c r="N278" s="95"/>
      <c r="O278" s="95"/>
      <c r="P278" s="95"/>
      <c r="Q278" s="95"/>
      <c r="R278" s="159">
        <f>R276+R264+R252</f>
        <v>8825</v>
      </c>
      <c r="S278" s="141"/>
      <c r="T278" s="142">
        <f>+T276+T264+T252</f>
        <v>1268150</v>
      </c>
      <c r="U278" s="141"/>
      <c r="V278" s="25"/>
      <c r="W278" s="25"/>
      <c r="X278" s="5"/>
    </row>
    <row r="279" spans="1:24" ht="15.6" x14ac:dyDescent="0.3">
      <c r="A279" s="24"/>
      <c r="B279" s="25"/>
      <c r="C279" s="25"/>
      <c r="D279" s="25"/>
      <c r="E279" s="25"/>
      <c r="F279" s="25"/>
      <c r="G279" s="25"/>
      <c r="H279" s="95"/>
      <c r="I279" s="95"/>
      <c r="J279" s="95"/>
      <c r="K279" s="95"/>
      <c r="L279" s="95"/>
      <c r="M279" s="95"/>
      <c r="N279" s="95"/>
      <c r="O279" s="95"/>
      <c r="P279" s="95"/>
      <c r="Q279" s="95"/>
      <c r="R279" s="95"/>
      <c r="S279" s="95"/>
      <c r="T279" s="53"/>
      <c r="U279" s="95"/>
      <c r="V279" s="25"/>
      <c r="W279" s="25"/>
      <c r="X279" s="5"/>
    </row>
    <row r="280" spans="1:24" ht="15.6" x14ac:dyDescent="0.3">
      <c r="A280" s="6"/>
      <c r="B280" s="8"/>
      <c r="C280" s="8"/>
      <c r="D280" s="8"/>
      <c r="E280" s="8"/>
      <c r="F280" s="8"/>
      <c r="G280" s="8"/>
      <c r="H280" s="96"/>
      <c r="I280" s="96"/>
      <c r="J280" s="96"/>
      <c r="K280" s="96"/>
      <c r="L280" s="96"/>
      <c r="M280" s="96"/>
      <c r="N280" s="96"/>
      <c r="O280" s="96"/>
      <c r="P280" s="96"/>
      <c r="Q280" s="96"/>
      <c r="R280" s="96"/>
      <c r="S280" s="96"/>
      <c r="T280" s="97"/>
      <c r="U280" s="96"/>
      <c r="V280" s="8"/>
      <c r="W280" s="8"/>
      <c r="X280" s="5"/>
    </row>
    <row r="281" spans="1:24" ht="15.6" x14ac:dyDescent="0.3">
      <c r="A281" s="178"/>
      <c r="B281" s="14" t="s">
        <v>91</v>
      </c>
      <c r="C281" s="15"/>
      <c r="D281" s="15"/>
      <c r="E281" s="15"/>
      <c r="F281" s="17" t="s">
        <v>97</v>
      </c>
      <c r="G281" s="15"/>
      <c r="H281" s="14" t="s">
        <v>99</v>
      </c>
      <c r="I281" s="14"/>
      <c r="J281" s="14"/>
      <c r="K281" s="173"/>
      <c r="L281" s="173"/>
      <c r="M281" s="173"/>
      <c r="N281" s="173"/>
      <c r="O281" s="173"/>
      <c r="P281" s="173"/>
      <c r="Q281" s="173"/>
      <c r="R281" s="173"/>
      <c r="S281" s="173"/>
      <c r="T281" s="173"/>
      <c r="U281" s="173"/>
      <c r="V281" s="173"/>
      <c r="W281" s="173"/>
      <c r="X281" s="5"/>
    </row>
    <row r="282" spans="1:24" ht="15.6" x14ac:dyDescent="0.3">
      <c r="A282" s="178"/>
      <c r="B282" s="173"/>
      <c r="C282" s="8"/>
      <c r="D282" s="8"/>
      <c r="E282" s="8"/>
      <c r="F282" s="8"/>
      <c r="G282" s="8"/>
      <c r="H282" s="8"/>
      <c r="I282" s="8"/>
      <c r="J282" s="8"/>
      <c r="K282" s="173"/>
      <c r="L282" s="173"/>
      <c r="M282" s="173"/>
      <c r="N282" s="173"/>
      <c r="O282" s="173"/>
      <c r="P282" s="173"/>
      <c r="Q282" s="173"/>
      <c r="R282" s="173"/>
      <c r="S282" s="173"/>
      <c r="T282" s="173"/>
      <c r="U282" s="173"/>
      <c r="V282" s="173"/>
      <c r="W282" s="173"/>
      <c r="X282" s="5"/>
    </row>
    <row r="283" spans="1:24" ht="15.6" x14ac:dyDescent="0.3">
      <c r="A283" s="178"/>
      <c r="B283" s="13" t="s">
        <v>92</v>
      </c>
      <c r="C283" s="13"/>
      <c r="D283" s="13"/>
      <c r="E283" s="13"/>
      <c r="F283" s="130" t="s">
        <v>148</v>
      </c>
      <c r="G283" s="13"/>
      <c r="H283" s="13" t="s">
        <v>152</v>
      </c>
      <c r="I283" s="13"/>
      <c r="J283" s="13"/>
      <c r="K283" s="173"/>
      <c r="L283" s="173"/>
      <c r="M283" s="173"/>
      <c r="N283" s="173"/>
      <c r="O283" s="173"/>
      <c r="P283" s="173"/>
      <c r="Q283" s="173"/>
      <c r="R283" s="173"/>
      <c r="S283" s="173"/>
      <c r="T283" s="173"/>
      <c r="U283" s="173"/>
      <c r="V283" s="173"/>
      <c r="W283" s="173"/>
      <c r="X283" s="5"/>
    </row>
    <row r="284" spans="1:24" ht="15.6" x14ac:dyDescent="0.3">
      <c r="A284" s="178"/>
      <c r="B284" s="13" t="s">
        <v>277</v>
      </c>
      <c r="C284" s="13"/>
      <c r="D284" s="13"/>
      <c r="E284" s="13"/>
      <c r="F284" s="130" t="s">
        <v>278</v>
      </c>
      <c r="G284" s="13"/>
      <c r="H284" s="13" t="s">
        <v>279</v>
      </c>
      <c r="I284" s="173"/>
      <c r="J284" s="13"/>
      <c r="K284" s="173"/>
      <c r="L284" s="173"/>
      <c r="M284" s="173"/>
      <c r="N284" s="173"/>
      <c r="O284" s="173"/>
      <c r="P284" s="173"/>
      <c r="Q284" s="173"/>
      <c r="R284" s="173"/>
      <c r="S284" s="173"/>
      <c r="T284" s="173"/>
      <c r="U284" s="173"/>
      <c r="V284" s="173"/>
      <c r="W284" s="173"/>
      <c r="X284" s="5"/>
    </row>
    <row r="285" spans="1:24" ht="15.6" x14ac:dyDescent="0.3">
      <c r="A285" s="178"/>
      <c r="B285" s="13" t="s">
        <v>93</v>
      </c>
      <c r="C285" s="13"/>
      <c r="D285" s="13"/>
      <c r="E285" s="13"/>
      <c r="F285" s="130" t="s">
        <v>147</v>
      </c>
      <c r="G285" s="13"/>
      <c r="H285" s="13" t="s">
        <v>153</v>
      </c>
      <c r="I285" s="13"/>
      <c r="J285" s="13"/>
      <c r="K285" s="173"/>
      <c r="L285" s="173"/>
      <c r="M285" s="173"/>
      <c r="N285" s="173"/>
      <c r="O285" s="173"/>
      <c r="P285" s="173"/>
      <c r="Q285" s="173"/>
      <c r="R285" s="173"/>
      <c r="S285" s="173"/>
      <c r="T285" s="173"/>
      <c r="U285" s="173"/>
      <c r="V285" s="173"/>
      <c r="W285" s="173"/>
      <c r="X285" s="5"/>
    </row>
    <row r="286" spans="1:24" ht="15.6" x14ac:dyDescent="0.3">
      <c r="A286" s="178"/>
      <c r="B286" s="13"/>
      <c r="C286" s="13"/>
      <c r="D286" s="13"/>
      <c r="E286" s="13"/>
      <c r="F286" s="13"/>
      <c r="G286" s="99"/>
      <c r="H286" s="173"/>
      <c r="I286" s="173"/>
      <c r="J286" s="173"/>
      <c r="K286" s="173"/>
      <c r="L286" s="173"/>
      <c r="M286" s="173"/>
      <c r="N286" s="173"/>
      <c r="O286" s="173"/>
      <c r="P286" s="173"/>
      <c r="Q286" s="173"/>
      <c r="R286" s="173"/>
      <c r="S286" s="173"/>
      <c r="T286" s="173"/>
      <c r="U286" s="173"/>
      <c r="V286" s="173"/>
      <c r="W286" s="173"/>
      <c r="X286" s="5"/>
    </row>
    <row r="287" spans="1:24" ht="15.6" x14ac:dyDescent="0.3">
      <c r="A287" s="178"/>
      <c r="B287" s="13"/>
      <c r="C287" s="13"/>
      <c r="D287" s="13"/>
      <c r="E287" s="13"/>
      <c r="F287" s="13"/>
      <c r="G287" s="99"/>
      <c r="H287" s="173"/>
      <c r="I287" s="173"/>
      <c r="J287" s="173"/>
      <c r="K287" s="173"/>
      <c r="L287" s="173"/>
      <c r="M287" s="173"/>
      <c r="N287" s="173"/>
      <c r="O287" s="173"/>
      <c r="P287" s="173"/>
      <c r="Q287" s="173"/>
      <c r="R287" s="173"/>
      <c r="S287" s="173"/>
      <c r="T287" s="173"/>
      <c r="U287" s="173"/>
      <c r="V287" s="173"/>
      <c r="W287" s="173"/>
      <c r="X287" s="5"/>
    </row>
    <row r="288" spans="1:24" ht="18" thickBot="1" x14ac:dyDescent="0.35">
      <c r="A288" s="178"/>
      <c r="B288" s="49" t="str">
        <f>B204</f>
        <v>PM14 INVESTOR REPORT QUARTER ENDING NOVEMBER 2008</v>
      </c>
      <c r="C288" s="13"/>
      <c r="D288" s="13"/>
      <c r="E288" s="13"/>
      <c r="F288" s="13"/>
      <c r="G288" s="99"/>
      <c r="H288" s="173"/>
      <c r="I288" s="173"/>
      <c r="J288" s="173"/>
      <c r="K288" s="173"/>
      <c r="L288" s="173"/>
      <c r="M288" s="173"/>
      <c r="N288" s="173"/>
      <c r="O288" s="173"/>
      <c r="P288" s="173"/>
      <c r="Q288" s="173"/>
      <c r="R288" s="173"/>
      <c r="S288" s="173"/>
      <c r="T288" s="173"/>
      <c r="U288" s="173"/>
      <c r="V288" s="173"/>
      <c r="W288" s="173"/>
      <c r="X288" s="5"/>
    </row>
    <row r="289" spans="1:23" x14ac:dyDescent="0.25">
      <c r="A289" s="100"/>
      <c r="B289" s="100"/>
      <c r="C289" s="100"/>
      <c r="D289" s="100"/>
      <c r="E289" s="100"/>
      <c r="F289" s="100"/>
      <c r="G289" s="100"/>
      <c r="H289" s="100"/>
      <c r="I289" s="100"/>
      <c r="J289" s="100"/>
      <c r="K289" s="100"/>
      <c r="L289" s="100"/>
      <c r="M289" s="100"/>
      <c r="N289" s="100"/>
      <c r="O289" s="100"/>
      <c r="P289" s="100"/>
      <c r="Q289" s="100"/>
      <c r="R289" s="100"/>
      <c r="S289" s="100"/>
      <c r="T289" s="100"/>
      <c r="U289" s="100"/>
      <c r="V289" s="100"/>
      <c r="W289" s="100"/>
    </row>
  </sheetData>
  <phoneticPr fontId="0" type="noConversion"/>
  <hyperlinks>
    <hyperlink ref="P240" r:id="rId1" xr:uid="{00000000-0004-0000-0500-000000000000}"/>
    <hyperlink ref="I9" r:id="rId2" xr:uid="{00000000-0004-0000-05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9" max="14" man="1"/>
    <brk id="204" max="14"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6"/>
  </sheetPr>
  <dimension ref="A1:IV289"/>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2"/>
      <c r="B1" s="3" t="s">
        <v>244</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245</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137</v>
      </c>
      <c r="C5" s="8"/>
      <c r="D5" s="8"/>
      <c r="E5" s="8"/>
      <c r="F5" s="8"/>
      <c r="G5" s="8"/>
      <c r="H5" s="8"/>
      <c r="I5" s="8"/>
      <c r="J5" s="8"/>
      <c r="K5" s="8"/>
      <c r="L5" s="8"/>
      <c r="M5" s="8"/>
      <c r="N5" s="8"/>
      <c r="O5" s="8"/>
      <c r="P5" s="8"/>
      <c r="Q5" s="8"/>
      <c r="R5" s="8"/>
      <c r="S5" s="8"/>
      <c r="T5" s="8"/>
      <c r="U5" s="8"/>
      <c r="V5" s="8"/>
      <c r="W5" s="8"/>
      <c r="X5" s="5"/>
    </row>
    <row r="6" spans="1:24" ht="15.6" x14ac:dyDescent="0.3">
      <c r="A6" s="6"/>
      <c r="B6" s="11" t="s">
        <v>139</v>
      </c>
      <c r="C6" s="8"/>
      <c r="D6" s="8"/>
      <c r="E6" s="8"/>
      <c r="F6" s="8"/>
      <c r="G6" s="8"/>
      <c r="H6" s="8"/>
      <c r="I6" s="8"/>
      <c r="J6" s="8"/>
      <c r="K6" s="8"/>
      <c r="L6" s="8"/>
      <c r="M6" s="8"/>
      <c r="N6" s="8"/>
      <c r="O6" s="8"/>
      <c r="P6" s="8"/>
      <c r="Q6" s="8"/>
      <c r="R6" s="8"/>
      <c r="S6" s="8"/>
      <c r="T6" s="8"/>
      <c r="U6" s="8"/>
      <c r="V6" s="8"/>
      <c r="W6" s="8"/>
      <c r="X6" s="5"/>
    </row>
    <row r="7" spans="1:24" ht="15.6" x14ac:dyDescent="0.3">
      <c r="A7" s="6"/>
      <c r="B7" s="11" t="s">
        <v>138</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5" t="s">
        <v>166</v>
      </c>
      <c r="C9" s="8"/>
      <c r="D9" s="8"/>
      <c r="E9" s="8"/>
      <c r="F9" s="8"/>
      <c r="G9" s="8"/>
      <c r="H9" s="8"/>
      <c r="I9" s="146" t="s">
        <v>167</v>
      </c>
      <c r="J9" s="8"/>
      <c r="K9" s="8"/>
      <c r="L9" s="146"/>
      <c r="M9" s="8"/>
      <c r="N9" s="146"/>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246</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104</v>
      </c>
      <c r="S15" s="135">
        <v>0.38300000000000001</v>
      </c>
      <c r="T15" s="17" t="s">
        <v>140</v>
      </c>
      <c r="U15" s="135">
        <v>0.61699999999999999</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104</v>
      </c>
      <c r="S16" s="135">
        <v>0.4491</v>
      </c>
      <c r="T16" s="17" t="s">
        <v>140</v>
      </c>
      <c r="U16" s="135">
        <v>0.55089999999999995</v>
      </c>
      <c r="V16" s="16"/>
      <c r="W16" s="15"/>
      <c r="X16" s="5"/>
    </row>
    <row r="17" spans="1:24" ht="15.6" x14ac:dyDescent="0.3">
      <c r="A17" s="6"/>
      <c r="B17" s="14" t="s">
        <v>4</v>
      </c>
      <c r="C17" s="15"/>
      <c r="D17" s="15"/>
      <c r="E17" s="15"/>
      <c r="F17" s="15"/>
      <c r="G17" s="15"/>
      <c r="H17" s="15"/>
      <c r="I17" s="15"/>
      <c r="J17" s="15"/>
      <c r="K17" s="15"/>
      <c r="L17" s="15"/>
      <c r="M17" s="15"/>
      <c r="N17" s="15"/>
      <c r="O17" s="15"/>
      <c r="P17" s="15"/>
      <c r="Q17" s="15"/>
      <c r="R17" s="15"/>
      <c r="S17" s="15"/>
      <c r="T17" s="15"/>
      <c r="U17" s="15"/>
      <c r="V17" s="19">
        <v>39163</v>
      </c>
      <c r="W17" s="15"/>
      <c r="X17" s="5"/>
    </row>
    <row r="18" spans="1:24" ht="15.6" x14ac:dyDescent="0.3">
      <c r="A18" s="6"/>
      <c r="B18" s="14" t="s">
        <v>5</v>
      </c>
      <c r="C18" s="15"/>
      <c r="D18" s="15"/>
      <c r="E18" s="15"/>
      <c r="F18" s="15"/>
      <c r="G18" s="15"/>
      <c r="H18" s="15"/>
      <c r="I18" s="15"/>
      <c r="J18" s="15"/>
      <c r="K18" s="15"/>
      <c r="L18" s="15"/>
      <c r="M18" s="15"/>
      <c r="N18" s="15"/>
      <c r="O18" s="15"/>
      <c r="P18" s="15"/>
      <c r="Q18" s="15"/>
      <c r="R18" s="15"/>
      <c r="S18" s="15"/>
      <c r="T18" s="15"/>
      <c r="U18" s="15"/>
      <c r="V18" s="19">
        <v>39895</v>
      </c>
      <c r="W18" s="15"/>
      <c r="X18" s="5"/>
    </row>
    <row r="19" spans="1:24"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4" ht="15.6" x14ac:dyDescent="0.3">
      <c r="A20" s="6"/>
      <c r="B20" s="21" t="s">
        <v>6</v>
      </c>
      <c r="C20" s="8"/>
      <c r="D20" s="8"/>
      <c r="E20" s="8"/>
      <c r="F20" s="8"/>
      <c r="G20" s="8"/>
      <c r="H20" s="8"/>
      <c r="I20" s="8"/>
      <c r="J20" s="8"/>
      <c r="K20" s="8"/>
      <c r="L20" s="8"/>
      <c r="M20" s="8"/>
      <c r="N20" s="8"/>
      <c r="O20" s="8"/>
      <c r="P20" s="8"/>
      <c r="Q20" s="8"/>
      <c r="R20" s="8"/>
      <c r="S20" s="8"/>
      <c r="T20" s="20" t="s">
        <v>105</v>
      </c>
      <c r="U20" s="8"/>
      <c r="V20" s="173"/>
      <c r="W20" s="8"/>
      <c r="X20" s="5"/>
    </row>
    <row r="21" spans="1:24"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4" ht="15.6" x14ac:dyDescent="0.3">
      <c r="A22" s="6"/>
      <c r="B22" s="8"/>
      <c r="C22" s="112"/>
      <c r="D22" s="112" t="s">
        <v>177</v>
      </c>
      <c r="E22" s="112"/>
      <c r="F22" s="112" t="s">
        <v>178</v>
      </c>
      <c r="G22" s="112"/>
      <c r="H22" s="112" t="s">
        <v>179</v>
      </c>
      <c r="I22" s="112"/>
      <c r="J22" s="112" t="s">
        <v>220</v>
      </c>
      <c r="K22" s="112"/>
      <c r="L22" s="112" t="s">
        <v>180</v>
      </c>
      <c r="M22" s="112"/>
      <c r="N22" s="112" t="s">
        <v>181</v>
      </c>
      <c r="O22" s="112"/>
      <c r="P22" s="112" t="s">
        <v>221</v>
      </c>
      <c r="Q22" s="112"/>
      <c r="R22" s="112" t="s">
        <v>182</v>
      </c>
      <c r="S22" s="113"/>
      <c r="T22" s="23"/>
      <c r="U22" s="173"/>
      <c r="V22" s="173"/>
      <c r="W22" s="8"/>
      <c r="X22" s="5"/>
    </row>
    <row r="23" spans="1:24" ht="15.6" x14ac:dyDescent="0.3">
      <c r="A23" s="24"/>
      <c r="B23" s="25" t="s">
        <v>7</v>
      </c>
      <c r="C23" s="26"/>
      <c r="D23" s="26" t="s">
        <v>213</v>
      </c>
      <c r="E23" s="26"/>
      <c r="F23" s="26" t="s">
        <v>141</v>
      </c>
      <c r="G23" s="26"/>
      <c r="H23" s="26" t="s">
        <v>141</v>
      </c>
      <c r="I23" s="26"/>
      <c r="J23" s="26" t="s">
        <v>141</v>
      </c>
      <c r="K23" s="26"/>
      <c r="L23" s="26" t="s">
        <v>183</v>
      </c>
      <c r="M23" s="26"/>
      <c r="N23" s="26" t="s">
        <v>183</v>
      </c>
      <c r="O23" s="26"/>
      <c r="P23" s="26" t="s">
        <v>142</v>
      </c>
      <c r="Q23" s="26"/>
      <c r="R23" s="26" t="s">
        <v>142</v>
      </c>
      <c r="S23" s="26"/>
      <c r="T23" s="26"/>
      <c r="U23" s="174"/>
      <c r="V23" s="174"/>
      <c r="W23" s="25"/>
      <c r="X23" s="5"/>
    </row>
    <row r="24" spans="1:24" ht="15.6" x14ac:dyDescent="0.3">
      <c r="A24" s="24"/>
      <c r="B24" s="25" t="s">
        <v>8</v>
      </c>
      <c r="C24" s="26"/>
      <c r="D24" s="26" t="s">
        <v>214</v>
      </c>
      <c r="E24" s="26"/>
      <c r="F24" s="26" t="s">
        <v>143</v>
      </c>
      <c r="G24" s="26"/>
      <c r="H24" s="26" t="s">
        <v>143</v>
      </c>
      <c r="I24" s="26"/>
      <c r="J24" s="26" t="s">
        <v>143</v>
      </c>
      <c r="K24" s="26"/>
      <c r="L24" s="26" t="s">
        <v>165</v>
      </c>
      <c r="M24" s="26"/>
      <c r="N24" s="26" t="s">
        <v>165</v>
      </c>
      <c r="O24" s="26"/>
      <c r="P24" s="26" t="s">
        <v>144</v>
      </c>
      <c r="Q24" s="26"/>
      <c r="R24" s="26" t="s">
        <v>144</v>
      </c>
      <c r="S24" s="26"/>
      <c r="T24" s="26"/>
      <c r="U24" s="174"/>
      <c r="V24" s="174"/>
      <c r="W24" s="25"/>
      <c r="X24" s="5"/>
    </row>
    <row r="25" spans="1:24" ht="15.6" x14ac:dyDescent="0.3">
      <c r="A25" s="28"/>
      <c r="B25" s="131" t="s">
        <v>190</v>
      </c>
      <c r="C25" s="123"/>
      <c r="D25" s="26" t="s">
        <v>215</v>
      </c>
      <c r="E25" s="26"/>
      <c r="F25" s="26" t="s">
        <v>143</v>
      </c>
      <c r="G25" s="26"/>
      <c r="H25" s="26" t="s">
        <v>143</v>
      </c>
      <c r="I25" s="26"/>
      <c r="J25" s="26" t="s">
        <v>143</v>
      </c>
      <c r="K25" s="26"/>
      <c r="L25" s="26" t="s">
        <v>293</v>
      </c>
      <c r="M25" s="26"/>
      <c r="N25" s="26" t="s">
        <v>293</v>
      </c>
      <c r="O25" s="26"/>
      <c r="P25" s="26" t="s">
        <v>144</v>
      </c>
      <c r="Q25" s="26"/>
      <c r="R25" s="26" t="s">
        <v>144</v>
      </c>
      <c r="S25" s="123"/>
      <c r="T25" s="26"/>
      <c r="U25" s="174"/>
      <c r="V25" s="174"/>
      <c r="W25" s="25"/>
      <c r="X25" s="5"/>
    </row>
    <row r="26" spans="1:24" ht="15.6" x14ac:dyDescent="0.3">
      <c r="A26" s="28"/>
      <c r="B26" s="29" t="s">
        <v>9</v>
      </c>
      <c r="C26" s="123"/>
      <c r="D26" s="123" t="s">
        <v>213</v>
      </c>
      <c r="E26" s="123"/>
      <c r="F26" s="123" t="s">
        <v>141</v>
      </c>
      <c r="G26" s="123"/>
      <c r="H26" s="123" t="s">
        <v>141</v>
      </c>
      <c r="I26" s="123"/>
      <c r="J26" s="123" t="s">
        <v>141</v>
      </c>
      <c r="K26" s="123"/>
      <c r="L26" s="123" t="s">
        <v>183</v>
      </c>
      <c r="M26" s="123"/>
      <c r="N26" s="123" t="s">
        <v>183</v>
      </c>
      <c r="O26" s="123"/>
      <c r="P26" s="123" t="s">
        <v>142</v>
      </c>
      <c r="Q26" s="123"/>
      <c r="R26" s="123" t="s">
        <v>142</v>
      </c>
      <c r="S26" s="123"/>
      <c r="T26" s="26"/>
      <c r="U26" s="174"/>
      <c r="V26" s="174"/>
      <c r="W26" s="25"/>
      <c r="X26" s="5"/>
    </row>
    <row r="27" spans="1:24" ht="15.6" x14ac:dyDescent="0.3">
      <c r="A27" s="24"/>
      <c r="B27" s="29" t="s">
        <v>191</v>
      </c>
      <c r="C27" s="26"/>
      <c r="D27" s="123" t="s">
        <v>214</v>
      </c>
      <c r="E27" s="123"/>
      <c r="F27" s="123" t="s">
        <v>143</v>
      </c>
      <c r="G27" s="123"/>
      <c r="H27" s="123" t="s">
        <v>143</v>
      </c>
      <c r="I27" s="123"/>
      <c r="J27" s="123" t="s">
        <v>143</v>
      </c>
      <c r="K27" s="123"/>
      <c r="L27" s="123" t="s">
        <v>165</v>
      </c>
      <c r="M27" s="123"/>
      <c r="N27" s="123" t="s">
        <v>165</v>
      </c>
      <c r="O27" s="123"/>
      <c r="P27" s="123" t="s">
        <v>144</v>
      </c>
      <c r="Q27" s="123"/>
      <c r="R27" s="123" t="s">
        <v>144</v>
      </c>
      <c r="S27" s="26"/>
      <c r="T27" s="30"/>
      <c r="U27" s="174"/>
      <c r="V27" s="174"/>
      <c r="W27" s="25"/>
      <c r="X27" s="5"/>
    </row>
    <row r="28" spans="1:24" ht="15.6" x14ac:dyDescent="0.3">
      <c r="A28" s="24"/>
      <c r="B28" s="151" t="s">
        <v>192</v>
      </c>
      <c r="C28" s="26"/>
      <c r="D28" s="123" t="s">
        <v>215</v>
      </c>
      <c r="E28" s="123"/>
      <c r="F28" s="123" t="s">
        <v>143</v>
      </c>
      <c r="G28" s="123"/>
      <c r="H28" s="123" t="s">
        <v>143</v>
      </c>
      <c r="I28" s="123"/>
      <c r="J28" s="123" t="s">
        <v>143</v>
      </c>
      <c r="K28" s="123"/>
      <c r="L28" s="123" t="s">
        <v>293</v>
      </c>
      <c r="M28" s="123"/>
      <c r="N28" s="123" t="s">
        <v>293</v>
      </c>
      <c r="O28" s="123"/>
      <c r="P28" s="123" t="s">
        <v>144</v>
      </c>
      <c r="Q28" s="123"/>
      <c r="R28" s="123" t="s">
        <v>144</v>
      </c>
      <c r="S28" s="26"/>
      <c r="T28" s="30"/>
      <c r="U28" s="174"/>
      <c r="V28" s="174"/>
      <c r="W28" s="25"/>
      <c r="X28" s="5"/>
    </row>
    <row r="29" spans="1:24" ht="15.6" x14ac:dyDescent="0.3">
      <c r="A29" s="24"/>
      <c r="B29" s="25" t="s">
        <v>10</v>
      </c>
      <c r="C29" s="32"/>
      <c r="D29" s="26" t="s">
        <v>249</v>
      </c>
      <c r="E29" s="26"/>
      <c r="F29" s="30" t="s">
        <v>250</v>
      </c>
      <c r="G29" s="26"/>
      <c r="H29" s="26" t="s">
        <v>251</v>
      </c>
      <c r="I29" s="26"/>
      <c r="J29" s="26" t="s">
        <v>253</v>
      </c>
      <c r="K29" s="26"/>
      <c r="L29" s="26" t="s">
        <v>254</v>
      </c>
      <c r="M29" s="26"/>
      <c r="N29" s="26" t="s">
        <v>255</v>
      </c>
      <c r="O29" s="26"/>
      <c r="P29" s="26" t="s">
        <v>256</v>
      </c>
      <c r="Q29" s="26"/>
      <c r="R29" s="26" t="s">
        <v>257</v>
      </c>
      <c r="S29" s="31"/>
      <c r="T29" s="31"/>
      <c r="U29" s="175"/>
      <c r="V29" s="31"/>
      <c r="W29" s="34"/>
      <c r="X29" s="5"/>
    </row>
    <row r="30" spans="1:24" ht="15.6" x14ac:dyDescent="0.3">
      <c r="A30" s="24"/>
      <c r="B30" s="25" t="s">
        <v>10</v>
      </c>
      <c r="C30" s="32"/>
      <c r="D30" s="26" t="s">
        <v>248</v>
      </c>
      <c r="E30" s="26"/>
      <c r="F30" s="30" t="s">
        <v>118</v>
      </c>
      <c r="G30" s="26"/>
      <c r="H30" s="26" t="s">
        <v>118</v>
      </c>
      <c r="I30" s="26"/>
      <c r="J30" s="26" t="s">
        <v>252</v>
      </c>
      <c r="K30" s="26"/>
      <c r="L30" s="26" t="s">
        <v>118</v>
      </c>
      <c r="M30" s="26"/>
      <c r="N30" s="26" t="s">
        <v>118</v>
      </c>
      <c r="O30" s="26"/>
      <c r="P30" s="26" t="s">
        <v>118</v>
      </c>
      <c r="Q30" s="26"/>
      <c r="R30" s="26" t="s">
        <v>118</v>
      </c>
      <c r="S30" s="31"/>
      <c r="T30" s="31"/>
      <c r="U30" s="175"/>
      <c r="V30" s="31"/>
      <c r="W30" s="34"/>
      <c r="X30" s="5"/>
    </row>
    <row r="31" spans="1:24" ht="15.6" x14ac:dyDescent="0.3">
      <c r="A31" s="28"/>
      <c r="B31" s="25" t="s">
        <v>133</v>
      </c>
      <c r="C31" s="36"/>
      <c r="D31" s="144">
        <v>1500000</v>
      </c>
      <c r="E31" s="32"/>
      <c r="F31" s="31">
        <v>125000</v>
      </c>
      <c r="G31" s="31"/>
      <c r="H31" s="124">
        <v>246000</v>
      </c>
      <c r="I31" s="124"/>
      <c r="J31" s="144">
        <v>400000</v>
      </c>
      <c r="K31" s="31"/>
      <c r="L31" s="31">
        <v>51900</v>
      </c>
      <c r="M31" s="31"/>
      <c r="N31" s="124">
        <v>88800</v>
      </c>
      <c r="O31" s="31"/>
      <c r="P31" s="31">
        <v>20000</v>
      </c>
      <c r="Q31" s="31"/>
      <c r="R31" s="124">
        <v>135500</v>
      </c>
      <c r="S31" s="35"/>
      <c r="T31" s="35"/>
      <c r="U31" s="37"/>
      <c r="V31" s="35"/>
      <c r="W31" s="34"/>
      <c r="X31" s="5"/>
    </row>
    <row r="32" spans="1:24" ht="15.6" x14ac:dyDescent="0.3">
      <c r="A32" s="24"/>
      <c r="B32" s="25" t="s">
        <v>132</v>
      </c>
      <c r="C32" s="32"/>
      <c r="D32" s="144">
        <f>D31*D38</f>
        <v>1226924.4000000001</v>
      </c>
      <c r="E32" s="32"/>
      <c r="F32" s="31">
        <f>F31*F38</f>
        <v>102243.75</v>
      </c>
      <c r="G32" s="31"/>
      <c r="H32" s="124">
        <f>H31*H38</f>
        <v>201215.69999999998</v>
      </c>
      <c r="I32" s="124"/>
      <c r="J32" s="144">
        <f>J31*J38</f>
        <v>327179.84000000003</v>
      </c>
      <c r="K32" s="31"/>
      <c r="L32" s="31">
        <f>+L31</f>
        <v>51900</v>
      </c>
      <c r="M32" s="31"/>
      <c r="N32" s="124">
        <f>+N31</f>
        <v>88800</v>
      </c>
      <c r="O32" s="31"/>
      <c r="P32" s="31">
        <f>+P31</f>
        <v>20000</v>
      </c>
      <c r="Q32" s="31"/>
      <c r="R32" s="124">
        <f>+R31</f>
        <v>135500</v>
      </c>
      <c r="S32" s="31"/>
      <c r="T32" s="31"/>
      <c r="U32" s="175"/>
      <c r="V32" s="31"/>
      <c r="W32" s="34"/>
      <c r="X32" s="5"/>
    </row>
    <row r="33" spans="1:24" ht="15.6" x14ac:dyDescent="0.3">
      <c r="A33" s="24"/>
      <c r="B33" s="29" t="s">
        <v>134</v>
      </c>
      <c r="C33" s="32"/>
      <c r="D33" s="149">
        <f>D37*D31</f>
        <v>1172031.3</v>
      </c>
      <c r="E33" s="36"/>
      <c r="F33" s="35">
        <f>F37*F31</f>
        <v>97669.324999999997</v>
      </c>
      <c r="G33" s="35"/>
      <c r="H33" s="125">
        <f>H31*H37</f>
        <v>192213.2316</v>
      </c>
      <c r="I33" s="125"/>
      <c r="J33" s="149">
        <f>J37*J31</f>
        <v>312541.68</v>
      </c>
      <c r="K33" s="35"/>
      <c r="L33" s="35">
        <f>L31*L37</f>
        <v>51900</v>
      </c>
      <c r="M33" s="35"/>
      <c r="N33" s="125">
        <f>N31*N37</f>
        <v>88800</v>
      </c>
      <c r="O33" s="35"/>
      <c r="P33" s="35">
        <f>P31*P37</f>
        <v>20000</v>
      </c>
      <c r="Q33" s="35"/>
      <c r="R33" s="125">
        <f>R31*R37</f>
        <v>135500</v>
      </c>
      <c r="S33" s="31"/>
      <c r="T33" s="31"/>
      <c r="U33" s="175"/>
      <c r="V33" s="31"/>
      <c r="W33" s="34"/>
      <c r="X33" s="5"/>
    </row>
    <row r="34" spans="1:24" ht="15.6" x14ac:dyDescent="0.3">
      <c r="A34" s="28"/>
      <c r="B34" s="25" t="s">
        <v>296</v>
      </c>
      <c r="C34" s="36"/>
      <c r="D34" s="31">
        <v>775194</v>
      </c>
      <c r="E34" s="32"/>
      <c r="F34" s="31">
        <v>125000</v>
      </c>
      <c r="G34" s="31"/>
      <c r="H34" s="31">
        <v>168148</v>
      </c>
      <c r="I34" s="31"/>
      <c r="J34" s="31">
        <v>206718</v>
      </c>
      <c r="K34" s="31"/>
      <c r="L34" s="31">
        <v>51900</v>
      </c>
      <c r="M34" s="31"/>
      <c r="N34" s="31">
        <v>60697</v>
      </c>
      <c r="O34" s="31"/>
      <c r="P34" s="31">
        <v>20000</v>
      </c>
      <c r="Q34" s="31"/>
      <c r="R34" s="31">
        <v>92618</v>
      </c>
      <c r="S34" s="35"/>
      <c r="T34" s="35"/>
      <c r="U34" s="37"/>
      <c r="V34" s="152">
        <f>SUM(C34:R34)</f>
        <v>1500275</v>
      </c>
      <c r="W34" s="34"/>
      <c r="X34" s="5"/>
    </row>
    <row r="35" spans="1:24" ht="15.6" x14ac:dyDescent="0.3">
      <c r="A35" s="28"/>
      <c r="B35" s="25" t="s">
        <v>297</v>
      </c>
      <c r="C35" s="126"/>
      <c r="D35" s="31">
        <f>D34*D38</f>
        <v>634069.62222240004</v>
      </c>
      <c r="E35" s="32"/>
      <c r="F35" s="31">
        <f>F34*F38</f>
        <v>102243.75</v>
      </c>
      <c r="G35" s="31"/>
      <c r="H35" s="31">
        <f>H34*H38</f>
        <v>137536.65659999999</v>
      </c>
      <c r="I35" s="31"/>
      <c r="J35" s="31">
        <f>J34*J38</f>
        <v>169084.9054128</v>
      </c>
      <c r="K35" s="31"/>
      <c r="L35" s="31">
        <f>+L34</f>
        <v>51900</v>
      </c>
      <c r="M35" s="31"/>
      <c r="N35" s="31">
        <f>+N34</f>
        <v>60697</v>
      </c>
      <c r="O35" s="31"/>
      <c r="P35" s="31">
        <f>+P34</f>
        <v>20000</v>
      </c>
      <c r="Q35" s="31"/>
      <c r="R35" s="31">
        <f>+R34</f>
        <v>92618</v>
      </c>
      <c r="S35" s="31"/>
      <c r="T35" s="31"/>
      <c r="U35" s="175"/>
      <c r="V35" s="152">
        <f>SUM(C35:R35)</f>
        <v>1268149.9342352001</v>
      </c>
      <c r="W35" s="34"/>
      <c r="X35" s="5"/>
    </row>
    <row r="36" spans="1:24" ht="15.6" x14ac:dyDescent="0.3">
      <c r="A36" s="28"/>
      <c r="B36" s="29" t="s">
        <v>298</v>
      </c>
      <c r="C36" s="126"/>
      <c r="D36" s="35">
        <f>D34*D37</f>
        <v>605701.08771480003</v>
      </c>
      <c r="E36" s="36"/>
      <c r="F36" s="35">
        <f>F34*F37</f>
        <v>97669.324999999997</v>
      </c>
      <c r="G36" s="35"/>
      <c r="H36" s="35">
        <f>H34*H37</f>
        <v>131383.2132808</v>
      </c>
      <c r="I36" s="35"/>
      <c r="J36" s="35">
        <f>J34*J37</f>
        <v>161519.97751560001</v>
      </c>
      <c r="K36" s="35"/>
      <c r="L36" s="35">
        <f>L34*L37</f>
        <v>51900</v>
      </c>
      <c r="M36" s="35"/>
      <c r="N36" s="35">
        <f>N34*N37</f>
        <v>60697</v>
      </c>
      <c r="O36" s="35"/>
      <c r="P36" s="35">
        <f>P34*P37</f>
        <v>20000</v>
      </c>
      <c r="Q36" s="35"/>
      <c r="R36" s="35">
        <f>R34*R37</f>
        <v>92618</v>
      </c>
      <c r="S36" s="128"/>
      <c r="T36" s="128"/>
      <c r="U36" s="175"/>
      <c r="V36" s="153">
        <f>SUM(C36:R36)</f>
        <v>1221488.6035112001</v>
      </c>
      <c r="W36" s="34"/>
      <c r="X36" s="5"/>
    </row>
    <row r="37" spans="1:24" ht="15.6" x14ac:dyDescent="0.3">
      <c r="A37" s="24"/>
      <c r="B37" s="122" t="s">
        <v>130</v>
      </c>
      <c r="C37" s="25"/>
      <c r="D37" s="171">
        <v>0.7813542</v>
      </c>
      <c r="E37" s="171"/>
      <c r="F37" s="171">
        <v>0.78135460000000001</v>
      </c>
      <c r="G37" s="171"/>
      <c r="H37" s="171">
        <v>0.78135460000000001</v>
      </c>
      <c r="I37" s="171"/>
      <c r="J37" s="171">
        <v>0.7813542</v>
      </c>
      <c r="K37" s="171"/>
      <c r="L37" s="171">
        <v>1</v>
      </c>
      <c r="M37" s="171"/>
      <c r="N37" s="171">
        <v>1</v>
      </c>
      <c r="O37" s="171"/>
      <c r="P37" s="171">
        <v>1</v>
      </c>
      <c r="Q37" s="171"/>
      <c r="R37" s="171">
        <v>1</v>
      </c>
      <c r="S37" s="30"/>
      <c r="T37" s="30"/>
      <c r="U37" s="174"/>
      <c r="V37" s="174"/>
      <c r="W37" s="25"/>
      <c r="X37" s="5"/>
    </row>
    <row r="38" spans="1:24" ht="15.6" x14ac:dyDescent="0.3">
      <c r="A38" s="24"/>
      <c r="B38" s="122" t="s">
        <v>131</v>
      </c>
      <c r="C38" s="25"/>
      <c r="D38" s="171">
        <v>0.81794960000000005</v>
      </c>
      <c r="E38" s="171"/>
      <c r="F38" s="171">
        <v>0.81794999999999995</v>
      </c>
      <c r="G38" s="171"/>
      <c r="H38" s="171">
        <v>0.81794999999999995</v>
      </c>
      <c r="I38" s="171"/>
      <c r="J38" s="171">
        <v>0.81794960000000005</v>
      </c>
      <c r="K38" s="171"/>
      <c r="L38" s="171">
        <v>1</v>
      </c>
      <c r="M38" s="171"/>
      <c r="N38" s="171">
        <v>1</v>
      </c>
      <c r="O38" s="171"/>
      <c r="P38" s="171">
        <v>1</v>
      </c>
      <c r="Q38" s="171"/>
      <c r="R38" s="171">
        <v>1</v>
      </c>
      <c r="S38" s="39"/>
      <c r="T38" s="38"/>
      <c r="U38" s="174"/>
      <c r="V38" s="39"/>
      <c r="W38" s="25"/>
      <c r="X38" s="5"/>
    </row>
    <row r="39" spans="1:24" ht="15.6" x14ac:dyDescent="0.3">
      <c r="A39" s="24"/>
      <c r="B39" s="25" t="s">
        <v>11</v>
      </c>
      <c r="C39" s="25"/>
      <c r="D39" s="30" t="s">
        <v>285</v>
      </c>
      <c r="E39" s="25"/>
      <c r="F39" s="30" t="s">
        <v>258</v>
      </c>
      <c r="G39" s="30"/>
      <c r="H39" s="30" t="s">
        <v>258</v>
      </c>
      <c r="I39" s="30"/>
      <c r="J39" s="30" t="s">
        <v>258</v>
      </c>
      <c r="K39" s="30"/>
      <c r="L39" s="30" t="s">
        <v>232</v>
      </c>
      <c r="M39" s="30"/>
      <c r="N39" s="30" t="s">
        <v>232</v>
      </c>
      <c r="O39" s="30"/>
      <c r="P39" s="30" t="s">
        <v>233</v>
      </c>
      <c r="Q39" s="30"/>
      <c r="R39" s="30" t="s">
        <v>233</v>
      </c>
      <c r="S39" s="39"/>
      <c r="T39" s="38"/>
      <c r="U39" s="174"/>
      <c r="V39" s="174"/>
      <c r="W39" s="25"/>
      <c r="X39" s="5"/>
    </row>
    <row r="40" spans="1:24" ht="15.6" x14ac:dyDescent="0.3">
      <c r="A40" s="24"/>
      <c r="B40" s="25" t="s">
        <v>12</v>
      </c>
      <c r="C40" s="25"/>
      <c r="D40" s="38">
        <v>5.6125000000000003E-3</v>
      </c>
      <c r="E40" s="25"/>
      <c r="F40" s="38">
        <v>3.2325E-2</v>
      </c>
      <c r="G40" s="39"/>
      <c r="H40" s="38">
        <v>3.4290000000000001E-2</v>
      </c>
      <c r="I40" s="38"/>
      <c r="J40" s="38">
        <v>2.0962499999999998E-2</v>
      </c>
      <c r="K40" s="39"/>
      <c r="L40" s="38">
        <v>3.3125000000000002E-2</v>
      </c>
      <c r="M40" s="39"/>
      <c r="N40" s="38">
        <v>3.5090000000000003E-2</v>
      </c>
      <c r="O40" s="39"/>
      <c r="P40" s="38">
        <v>3.5125000000000003E-2</v>
      </c>
      <c r="Q40" s="39"/>
      <c r="R40" s="38">
        <v>3.7089999999999998E-2</v>
      </c>
      <c r="S40" s="39"/>
      <c r="T40" s="38"/>
      <c r="U40" s="174"/>
      <c r="V40" s="30"/>
      <c r="W40" s="25"/>
      <c r="X40" s="5"/>
    </row>
    <row r="41" spans="1:24" ht="15.6" x14ac:dyDescent="0.3">
      <c r="A41" s="24"/>
      <c r="B41" s="25" t="s">
        <v>13</v>
      </c>
      <c r="C41" s="25"/>
      <c r="D41" s="38">
        <v>1.5225000000000001E-2</v>
      </c>
      <c r="E41" s="25"/>
      <c r="F41" s="38">
        <v>5.815E-2</v>
      </c>
      <c r="G41" s="39"/>
      <c r="H41" s="38">
        <v>5.058E-2</v>
      </c>
      <c r="I41" s="38"/>
      <c r="J41" s="38">
        <v>2.9187500000000002E-2</v>
      </c>
      <c r="K41" s="39"/>
      <c r="L41" s="38">
        <v>5.8950000000000002E-2</v>
      </c>
      <c r="M41" s="39"/>
      <c r="N41" s="38">
        <v>5.1380000000000002E-2</v>
      </c>
      <c r="O41" s="39"/>
      <c r="P41" s="38">
        <v>6.0949999999999997E-2</v>
      </c>
      <c r="Q41" s="39"/>
      <c r="R41" s="38">
        <v>5.3379999999999997E-2</v>
      </c>
      <c r="S41" s="39"/>
      <c r="T41" s="38"/>
      <c r="U41" s="174"/>
      <c r="V41" s="39" t="s">
        <v>193</v>
      </c>
      <c r="W41" s="25"/>
      <c r="X41" s="5"/>
    </row>
    <row r="42" spans="1:24" ht="15.6" x14ac:dyDescent="0.3">
      <c r="A42" s="24"/>
      <c r="B42" s="25" t="s">
        <v>299</v>
      </c>
      <c r="C42" s="25"/>
      <c r="D42" s="30" t="s">
        <v>286</v>
      </c>
      <c r="E42" s="25"/>
      <c r="F42" s="30" t="s">
        <v>258</v>
      </c>
      <c r="G42" s="30"/>
      <c r="H42" s="30" t="s">
        <v>259</v>
      </c>
      <c r="I42" s="30"/>
      <c r="J42" s="30" t="s">
        <v>260</v>
      </c>
      <c r="K42" s="30"/>
      <c r="L42" s="30" t="s">
        <v>232</v>
      </c>
      <c r="M42" s="30"/>
      <c r="N42" s="30" t="s">
        <v>235</v>
      </c>
      <c r="O42" s="30"/>
      <c r="P42" s="30" t="s">
        <v>233</v>
      </c>
      <c r="Q42" s="30"/>
      <c r="R42" s="30" t="s">
        <v>261</v>
      </c>
      <c r="S42" s="39"/>
      <c r="T42" s="38"/>
      <c r="U42" s="174"/>
      <c r="V42" s="174"/>
      <c r="W42" s="25"/>
      <c r="X42" s="5"/>
    </row>
    <row r="43" spans="1:24" ht="15.6" x14ac:dyDescent="0.3">
      <c r="A43" s="24"/>
      <c r="B43" s="25" t="s">
        <v>300</v>
      </c>
      <c r="C43" s="110"/>
      <c r="D43" s="38">
        <v>3.2663999999999999E-2</v>
      </c>
      <c r="E43" s="38"/>
      <c r="F43" s="38">
        <f>+F40</f>
        <v>3.2325E-2</v>
      </c>
      <c r="G43" s="38"/>
      <c r="H43" s="38">
        <v>3.2465000000000001E-2</v>
      </c>
      <c r="I43" s="38"/>
      <c r="J43" s="38">
        <v>3.2688000000000002E-2</v>
      </c>
      <c r="K43" s="38"/>
      <c r="L43" s="38">
        <v>3.3125000000000002E-2</v>
      </c>
      <c r="M43" s="38"/>
      <c r="N43" s="38">
        <v>3.3420999999999999E-2</v>
      </c>
      <c r="O43" s="38"/>
      <c r="P43" s="38">
        <v>3.5125000000000003E-2</v>
      </c>
      <c r="Q43" s="39"/>
      <c r="R43" s="38">
        <v>3.5658000000000002E-2</v>
      </c>
      <c r="S43" s="30"/>
      <c r="T43" s="30"/>
      <c r="U43" s="174"/>
      <c r="V43" s="39">
        <f>SUMPRODUCT(D43:R43,D35:R35)/V35</f>
        <v>3.2930860742314827E-2</v>
      </c>
      <c r="W43" s="25"/>
      <c r="X43" s="5"/>
    </row>
    <row r="44" spans="1:24" ht="15.6" x14ac:dyDescent="0.3">
      <c r="A44" s="24"/>
      <c r="B44" s="25" t="s">
        <v>301</v>
      </c>
      <c r="C44" s="110"/>
      <c r="D44" s="38">
        <v>5.8488999999999999E-2</v>
      </c>
      <c r="E44" s="38"/>
      <c r="F44" s="38">
        <f>+F41</f>
        <v>5.815E-2</v>
      </c>
      <c r="G44" s="38"/>
      <c r="H44" s="38">
        <v>5.8290000000000002E-2</v>
      </c>
      <c r="I44" s="38"/>
      <c r="J44" s="38">
        <v>5.8513000000000003E-2</v>
      </c>
      <c r="K44" s="38"/>
      <c r="L44" s="38">
        <v>5.8950000000000002E-2</v>
      </c>
      <c r="M44" s="38"/>
      <c r="N44" s="38">
        <v>5.9246E-2</v>
      </c>
      <c r="O44" s="38"/>
      <c r="P44" s="38">
        <v>6.0949999999999997E-2</v>
      </c>
      <c r="Q44" s="39"/>
      <c r="R44" s="38">
        <v>6.1483000000000003E-2</v>
      </c>
      <c r="S44" s="30"/>
      <c r="T44" s="30"/>
      <c r="U44" s="174"/>
      <c r="V44" s="174"/>
      <c r="W44" s="25"/>
      <c r="X44" s="5"/>
    </row>
    <row r="45" spans="1:24" ht="15.6" x14ac:dyDescent="0.3">
      <c r="A45" s="24"/>
      <c r="B45" s="25" t="s">
        <v>14</v>
      </c>
      <c r="C45" s="25"/>
      <c r="D45" s="110">
        <v>40617</v>
      </c>
      <c r="E45" s="110"/>
      <c r="F45" s="110">
        <v>40617</v>
      </c>
      <c r="G45" s="110"/>
      <c r="H45" s="110">
        <v>40617</v>
      </c>
      <c r="I45" s="110"/>
      <c r="J45" s="110">
        <v>40617</v>
      </c>
      <c r="K45" s="110"/>
      <c r="L45" s="110">
        <v>40617</v>
      </c>
      <c r="M45" s="110"/>
      <c r="N45" s="110">
        <v>40617</v>
      </c>
      <c r="O45" s="110"/>
      <c r="P45" s="110">
        <v>40617</v>
      </c>
      <c r="Q45" s="110"/>
      <c r="R45" s="110">
        <v>40617</v>
      </c>
      <c r="S45" s="30"/>
      <c r="T45" s="30"/>
      <c r="U45" s="174"/>
      <c r="V45" s="174"/>
      <c r="W45" s="25"/>
      <c r="X45" s="5"/>
    </row>
    <row r="46" spans="1:24" ht="15.6" x14ac:dyDescent="0.3">
      <c r="A46" s="24"/>
      <c r="B46" s="25" t="s">
        <v>15</v>
      </c>
      <c r="C46" s="25"/>
      <c r="D46" s="110" t="s">
        <v>118</v>
      </c>
      <c r="E46" s="110"/>
      <c r="F46" s="110">
        <v>40983</v>
      </c>
      <c r="G46" s="110"/>
      <c r="H46" s="110">
        <v>40983</v>
      </c>
      <c r="I46" s="110"/>
      <c r="J46" s="110">
        <v>40983</v>
      </c>
      <c r="K46" s="30"/>
      <c r="L46" s="110">
        <v>40983</v>
      </c>
      <c r="M46" s="30"/>
      <c r="N46" s="110">
        <v>40983</v>
      </c>
      <c r="O46" s="30"/>
      <c r="P46" s="110">
        <v>40983</v>
      </c>
      <c r="Q46" s="30"/>
      <c r="R46" s="110">
        <v>40983</v>
      </c>
      <c r="S46" s="30"/>
      <c r="T46" s="30"/>
      <c r="U46" s="174"/>
      <c r="V46" s="174"/>
      <c r="W46" s="25"/>
      <c r="X46" s="5"/>
    </row>
    <row r="47" spans="1:24" ht="15.6" x14ac:dyDescent="0.3">
      <c r="A47" s="24"/>
      <c r="B47" s="25" t="s">
        <v>119</v>
      </c>
      <c r="C47" s="25"/>
      <c r="D47" s="158" t="s">
        <v>118</v>
      </c>
      <c r="E47" s="25"/>
      <c r="F47" s="30" t="s">
        <v>231</v>
      </c>
      <c r="G47" s="30"/>
      <c r="H47" s="30" t="s">
        <v>231</v>
      </c>
      <c r="I47" s="30"/>
      <c r="J47" s="30" t="s">
        <v>231</v>
      </c>
      <c r="K47" s="30"/>
      <c r="L47" s="30" t="s">
        <v>265</v>
      </c>
      <c r="M47" s="30"/>
      <c r="N47" s="30" t="s">
        <v>265</v>
      </c>
      <c r="O47" s="30"/>
      <c r="P47" s="30" t="s">
        <v>266</v>
      </c>
      <c r="Q47" s="30"/>
      <c r="R47" s="30" t="s">
        <v>266</v>
      </c>
      <c r="S47" s="40"/>
      <c r="T47" s="40"/>
      <c r="U47" s="40"/>
      <c r="V47" s="40"/>
      <c r="W47" s="25"/>
      <c r="X47" s="5"/>
    </row>
    <row r="48" spans="1:24" ht="15.6" x14ac:dyDescent="0.3">
      <c r="A48" s="24"/>
      <c r="B48" s="25" t="s">
        <v>302</v>
      </c>
      <c r="C48" s="25"/>
      <c r="D48" s="30" t="s">
        <v>200</v>
      </c>
      <c r="E48" s="25"/>
      <c r="F48" s="30" t="s">
        <v>231</v>
      </c>
      <c r="G48" s="30"/>
      <c r="H48" s="30" t="s">
        <v>262</v>
      </c>
      <c r="I48" s="30"/>
      <c r="J48" s="30" t="s">
        <v>263</v>
      </c>
      <c r="K48" s="30"/>
      <c r="L48" s="30" t="s">
        <v>265</v>
      </c>
      <c r="M48" s="30"/>
      <c r="N48" s="30" t="s">
        <v>234</v>
      </c>
      <c r="O48" s="30"/>
      <c r="P48" s="30" t="s">
        <v>266</v>
      </c>
      <c r="Q48" s="30"/>
      <c r="R48" s="30" t="s">
        <v>264</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193</v>
      </c>
      <c r="W49" s="25"/>
      <c r="X49" s="5"/>
    </row>
    <row r="50" spans="1:25" ht="15.6" x14ac:dyDescent="0.3">
      <c r="A50" s="24"/>
      <c r="B50" s="25" t="s">
        <v>169</v>
      </c>
      <c r="C50" s="25"/>
      <c r="D50" s="30"/>
      <c r="E50" s="25"/>
      <c r="F50" s="30"/>
      <c r="G50" s="30"/>
      <c r="H50" s="30"/>
      <c r="I50" s="30"/>
      <c r="J50" s="30"/>
      <c r="K50" s="30"/>
      <c r="L50" s="30"/>
      <c r="M50" s="30"/>
      <c r="N50" s="30"/>
      <c r="O50" s="30"/>
      <c r="P50" s="30"/>
      <c r="Q50" s="30"/>
      <c r="R50" s="30"/>
      <c r="S50" s="25"/>
      <c r="T50" s="25"/>
      <c r="U50" s="25"/>
      <c r="V50" s="39">
        <f>SUM(L34:R34)/SUM(D34:J34)</f>
        <v>0.17663090364375009</v>
      </c>
      <c r="W50" s="25"/>
      <c r="X50" s="5"/>
    </row>
    <row r="51" spans="1:25" ht="15.6" x14ac:dyDescent="0.3">
      <c r="A51" s="24"/>
      <c r="B51" s="25" t="s">
        <v>170</v>
      </c>
      <c r="C51" s="25"/>
      <c r="D51" s="25"/>
      <c r="E51" s="25"/>
      <c r="F51" s="41"/>
      <c r="G51" s="25"/>
      <c r="H51" s="25"/>
      <c r="I51" s="25"/>
      <c r="J51" s="25"/>
      <c r="K51" s="25"/>
      <c r="L51" s="25"/>
      <c r="M51" s="25"/>
      <c r="N51" s="25"/>
      <c r="O51" s="25"/>
      <c r="P51" s="25"/>
      <c r="Q51" s="25"/>
      <c r="R51" s="25"/>
      <c r="S51" s="25"/>
      <c r="T51" s="25"/>
      <c r="U51" s="25"/>
      <c r="V51" s="39">
        <f>SUM(L36:R36)/SUM(D36:J36)</f>
        <v>0.22605737942495646</v>
      </c>
      <c r="W51" s="25"/>
      <c r="X51" s="5"/>
    </row>
    <row r="52" spans="1:25" ht="15.6" x14ac:dyDescent="0.3">
      <c r="A52" s="24"/>
      <c r="B52" s="25" t="s">
        <v>171</v>
      </c>
      <c r="C52" s="25"/>
      <c r="D52" s="25"/>
      <c r="E52" s="25"/>
      <c r="F52" s="25"/>
      <c r="G52" s="25"/>
      <c r="H52" s="25"/>
      <c r="I52" s="25"/>
      <c r="J52" s="25"/>
      <c r="K52" s="25"/>
      <c r="L52" s="25"/>
      <c r="M52" s="25"/>
      <c r="N52" s="25"/>
      <c r="O52" s="25"/>
      <c r="P52" s="25"/>
      <c r="Q52" s="25"/>
      <c r="R52" s="25"/>
      <c r="S52" s="25"/>
      <c r="T52" s="30"/>
      <c r="U52" s="30"/>
      <c r="V52" s="31" t="s">
        <v>276</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202</v>
      </c>
      <c r="C54" s="25"/>
      <c r="D54" s="25"/>
      <c r="E54" s="25"/>
      <c r="F54" s="25"/>
      <c r="G54" s="25"/>
      <c r="H54" s="25"/>
      <c r="I54" s="25"/>
      <c r="J54" s="25"/>
      <c r="K54" s="25"/>
      <c r="L54" s="25"/>
      <c r="M54" s="25"/>
      <c r="N54" s="25"/>
      <c r="O54" s="25"/>
      <c r="P54" s="25"/>
      <c r="Q54" s="25"/>
      <c r="R54" s="25"/>
      <c r="S54" s="25"/>
      <c r="T54" s="25"/>
      <c r="U54" s="25"/>
      <c r="V54" s="154" t="s">
        <v>203</v>
      </c>
      <c r="W54" s="25"/>
      <c r="X54" s="5"/>
    </row>
    <row r="55" spans="1:25" ht="15.6" x14ac:dyDescent="0.3">
      <c r="A55" s="24"/>
      <c r="B55" s="25" t="s">
        <v>280</v>
      </c>
      <c r="C55" s="25"/>
      <c r="D55" s="25"/>
      <c r="E55" s="25"/>
      <c r="F55" s="25"/>
      <c r="G55" s="25"/>
      <c r="H55" s="25"/>
      <c r="I55" s="25"/>
      <c r="J55" s="25"/>
      <c r="K55" s="25"/>
      <c r="L55" s="25"/>
      <c r="M55" s="25"/>
      <c r="N55" s="25"/>
      <c r="O55" s="25"/>
      <c r="P55" s="25"/>
      <c r="Q55" s="25"/>
      <c r="R55" s="25"/>
      <c r="S55" s="25"/>
      <c r="T55" s="30"/>
      <c r="U55" s="30"/>
      <c r="V55" s="155" t="s">
        <v>111</v>
      </c>
      <c r="W55" s="25"/>
      <c r="X55" s="5"/>
    </row>
    <row r="56" spans="1:25" ht="15.6" x14ac:dyDescent="0.3">
      <c r="A56" s="24"/>
      <c r="B56" s="29" t="s">
        <v>201</v>
      </c>
      <c r="C56" s="29"/>
      <c r="D56" s="29"/>
      <c r="E56" s="29"/>
      <c r="F56" s="29"/>
      <c r="G56" s="29"/>
      <c r="H56" s="29"/>
      <c r="I56" s="29"/>
      <c r="J56" s="29"/>
      <c r="K56" s="29"/>
      <c r="L56" s="29"/>
      <c r="M56" s="29"/>
      <c r="N56" s="29"/>
      <c r="O56" s="29"/>
      <c r="P56" s="29"/>
      <c r="Q56" s="29"/>
      <c r="R56" s="29"/>
      <c r="S56" s="29"/>
      <c r="T56" s="43"/>
      <c r="U56" s="43"/>
      <c r="V56" s="44">
        <v>39888</v>
      </c>
      <c r="W56" s="25"/>
      <c r="X56" s="5"/>
    </row>
    <row r="57" spans="1:25" ht="15.6" x14ac:dyDescent="0.3">
      <c r="A57" s="24"/>
      <c r="B57" s="25" t="s">
        <v>121</v>
      </c>
      <c r="C57" s="25"/>
      <c r="D57" s="25"/>
      <c r="E57" s="25"/>
      <c r="F57" s="25"/>
      <c r="G57" s="25"/>
      <c r="H57" s="58"/>
      <c r="I57" s="58"/>
      <c r="J57" s="58"/>
      <c r="K57" s="58"/>
      <c r="L57" s="58"/>
      <c r="M57" s="58"/>
      <c r="N57" s="58"/>
      <c r="O57" s="58"/>
      <c r="P57" s="58"/>
      <c r="Q57" s="58"/>
      <c r="R57" s="25">
        <f>+V57-T57+1</f>
        <v>91</v>
      </c>
      <c r="S57" s="58"/>
      <c r="T57" s="45">
        <v>39706</v>
      </c>
      <c r="U57" s="46"/>
      <c r="V57" s="45">
        <v>39796</v>
      </c>
      <c r="W57" s="25"/>
      <c r="X57" s="5"/>
    </row>
    <row r="58" spans="1:25" ht="15.6" x14ac:dyDescent="0.3">
      <c r="A58" s="24"/>
      <c r="B58" s="25" t="s">
        <v>122</v>
      </c>
      <c r="C58" s="25"/>
      <c r="D58" s="25"/>
      <c r="E58" s="25"/>
      <c r="F58" s="25"/>
      <c r="G58" s="25"/>
      <c r="H58" s="25"/>
      <c r="I58" s="25"/>
      <c r="J58" s="25"/>
      <c r="K58" s="25"/>
      <c r="L58" s="25"/>
      <c r="M58" s="25"/>
      <c r="N58" s="25"/>
      <c r="O58" s="25"/>
      <c r="P58" s="25"/>
      <c r="Q58" s="25"/>
      <c r="R58" s="25">
        <f>+V58-T58+1</f>
        <v>91</v>
      </c>
      <c r="S58" s="25"/>
      <c r="T58" s="45">
        <v>39797</v>
      </c>
      <c r="U58" s="46"/>
      <c r="V58" s="45">
        <v>39887</v>
      </c>
      <c r="W58" s="25"/>
      <c r="X58" s="5"/>
    </row>
    <row r="59" spans="1:25" ht="15.6" x14ac:dyDescent="0.3">
      <c r="A59" s="24"/>
      <c r="B59" s="25" t="s">
        <v>229</v>
      </c>
      <c r="C59" s="25"/>
      <c r="D59" s="25"/>
      <c r="E59" s="25"/>
      <c r="F59" s="25"/>
      <c r="G59" s="25"/>
      <c r="H59" s="25"/>
      <c r="I59" s="25"/>
      <c r="J59" s="25"/>
      <c r="K59" s="25"/>
      <c r="L59" s="25"/>
      <c r="M59" s="25"/>
      <c r="N59" s="25"/>
      <c r="O59" s="25"/>
      <c r="P59" s="25"/>
      <c r="Q59" s="25"/>
      <c r="R59" s="25"/>
      <c r="S59" s="25"/>
      <c r="T59" s="45"/>
      <c r="U59" s="46"/>
      <c r="V59" s="45" t="s">
        <v>120</v>
      </c>
      <c r="W59" s="25"/>
      <c r="X59" s="5"/>
    </row>
    <row r="60" spans="1:25" ht="15.6" x14ac:dyDescent="0.3">
      <c r="A60" s="24"/>
      <c r="B60" s="25" t="s">
        <v>228</v>
      </c>
      <c r="C60" s="25"/>
      <c r="D60" s="25"/>
      <c r="E60" s="25"/>
      <c r="F60" s="25"/>
      <c r="G60" s="25"/>
      <c r="H60" s="25"/>
      <c r="I60" s="25"/>
      <c r="J60" s="25"/>
      <c r="K60" s="25"/>
      <c r="L60" s="25"/>
      <c r="M60" s="25"/>
      <c r="N60" s="25"/>
      <c r="O60" s="25"/>
      <c r="P60" s="25"/>
      <c r="Q60" s="25"/>
      <c r="R60" s="25"/>
      <c r="S60" s="25"/>
      <c r="T60" s="45"/>
      <c r="U60" s="46"/>
      <c r="V60" s="45" t="s">
        <v>154</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39874</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290</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94</v>
      </c>
      <c r="M68" s="115"/>
      <c r="N68" s="115" t="s">
        <v>96</v>
      </c>
      <c r="O68" s="115"/>
      <c r="P68" s="115" t="s">
        <v>98</v>
      </c>
      <c r="Q68" s="115"/>
      <c r="R68" s="115" t="s">
        <v>100</v>
      </c>
      <c r="S68" s="115"/>
      <c r="T68" s="115" t="s">
        <v>106</v>
      </c>
      <c r="U68" s="115"/>
      <c r="V68" s="116" t="s">
        <v>112</v>
      </c>
      <c r="W68" s="117"/>
      <c r="X68" s="5"/>
    </row>
    <row r="69" spans="1:24" ht="15.6" x14ac:dyDescent="0.3">
      <c r="A69" s="24"/>
      <c r="B69" s="25" t="s">
        <v>19</v>
      </c>
      <c r="C69" s="34"/>
      <c r="D69" s="34"/>
      <c r="E69" s="34"/>
      <c r="F69" s="34"/>
      <c r="G69" s="34"/>
      <c r="H69" s="34"/>
      <c r="I69" s="34"/>
      <c r="J69" s="34"/>
      <c r="K69" s="34"/>
      <c r="L69" s="34">
        <v>1158015</v>
      </c>
      <c r="M69" s="34"/>
      <c r="N69" s="53">
        <v>1268150</v>
      </c>
      <c r="O69" s="34"/>
      <c r="P69" s="34">
        <v>47302</v>
      </c>
      <c r="Q69" s="34"/>
      <c r="R69" s="34">
        <v>641</v>
      </c>
      <c r="S69" s="34"/>
      <c r="T69" s="34">
        <v>0</v>
      </c>
      <c r="U69" s="34"/>
      <c r="V69" s="53">
        <f>+N69-P69+R69-T69</f>
        <v>1221489</v>
      </c>
      <c r="W69" s="25"/>
      <c r="X69" s="5"/>
    </row>
    <row r="70" spans="1:24" ht="15.6" x14ac:dyDescent="0.3">
      <c r="A70" s="24"/>
      <c r="B70" s="25" t="s">
        <v>20</v>
      </c>
      <c r="C70" s="34"/>
      <c r="D70" s="34"/>
      <c r="E70" s="34"/>
      <c r="F70" s="34"/>
      <c r="G70" s="34"/>
      <c r="H70" s="34"/>
      <c r="I70" s="34"/>
      <c r="J70" s="34"/>
      <c r="K70" s="34"/>
      <c r="L70" s="34">
        <v>15</v>
      </c>
      <c r="M70" s="34"/>
      <c r="N70" s="53">
        <v>0</v>
      </c>
      <c r="O70" s="34"/>
      <c r="P70" s="34">
        <v>0</v>
      </c>
      <c r="Q70" s="34"/>
      <c r="R70" s="34">
        <v>0</v>
      </c>
      <c r="S70" s="34"/>
      <c r="T70" s="34">
        <v>0</v>
      </c>
      <c r="U70" s="34"/>
      <c r="V70" s="53">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1158030</v>
      </c>
      <c r="M72" s="34"/>
      <c r="N72" s="54">
        <f>N69+N70</f>
        <v>1268150</v>
      </c>
      <c r="O72" s="34"/>
      <c r="P72" s="34">
        <f>SUM(P69:P71)</f>
        <v>47302</v>
      </c>
      <c r="Q72" s="34"/>
      <c r="R72" s="34">
        <f>SUM(R69:R71)</f>
        <v>641</v>
      </c>
      <c r="S72" s="34"/>
      <c r="T72" s="34">
        <f>SUM(T69:T71)</f>
        <v>0</v>
      </c>
      <c r="U72" s="34"/>
      <c r="V72" s="54">
        <f>SUM(V69:V71)</f>
        <v>1221489</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117</v>
      </c>
      <c r="C82" s="34"/>
      <c r="D82" s="34"/>
      <c r="E82" s="34"/>
      <c r="F82" s="34"/>
      <c r="G82" s="34"/>
      <c r="H82" s="34"/>
      <c r="I82" s="34"/>
      <c r="J82" s="34"/>
      <c r="K82" s="34"/>
      <c r="L82" s="34">
        <v>342245</v>
      </c>
      <c r="M82" s="34"/>
      <c r="N82" s="34">
        <v>0</v>
      </c>
      <c r="O82" s="34"/>
      <c r="P82" s="34">
        <v>0</v>
      </c>
      <c r="Q82" s="34"/>
      <c r="R82" s="34"/>
      <c r="S82" s="34"/>
      <c r="T82" s="34"/>
      <c r="U82" s="34"/>
      <c r="V82" s="54">
        <f>SUM(N82:R82)</f>
        <v>0</v>
      </c>
      <c r="W82" s="25"/>
      <c r="X82" s="5"/>
    </row>
    <row r="83" spans="1:24" ht="15.6" x14ac:dyDescent="0.3">
      <c r="A83" s="24"/>
      <c r="B83" s="25" t="s">
        <v>146</v>
      </c>
      <c r="C83" s="34"/>
      <c r="D83" s="34"/>
      <c r="E83" s="34"/>
      <c r="F83" s="34"/>
      <c r="G83" s="34"/>
      <c r="H83" s="34"/>
      <c r="I83" s="34"/>
      <c r="J83" s="34"/>
      <c r="K83" s="34"/>
      <c r="L83" s="34">
        <v>0</v>
      </c>
      <c r="M83" s="34"/>
      <c r="N83" s="34">
        <v>0</v>
      </c>
      <c r="O83" s="34"/>
      <c r="P83" s="34">
        <v>0</v>
      </c>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1500275</v>
      </c>
      <c r="M85" s="34"/>
      <c r="N85" s="54">
        <f>SUM(N72:N84)</f>
        <v>1268150</v>
      </c>
      <c r="O85" s="34"/>
      <c r="P85" s="34"/>
      <c r="Q85" s="34"/>
      <c r="R85" s="34"/>
      <c r="S85" s="34"/>
      <c r="T85" s="54"/>
      <c r="U85" s="34"/>
      <c r="V85" s="54">
        <f>SUM(V72:V84)</f>
        <v>1221489</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7" t="s">
        <v>95</v>
      </c>
      <c r="M88" s="17"/>
      <c r="N88" s="156">
        <f>+T205</f>
        <v>39871</v>
      </c>
      <c r="O88" s="17"/>
      <c r="P88" s="17"/>
      <c r="Q88" s="17"/>
      <c r="R88" s="17"/>
      <c r="S88" s="17"/>
      <c r="T88" s="17" t="s">
        <v>107</v>
      </c>
      <c r="U88" s="17"/>
      <c r="V88" s="17" t="s">
        <v>113</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v>47144</v>
      </c>
      <c r="U90" s="25"/>
      <c r="V90" s="53"/>
      <c r="W90" s="25"/>
      <c r="X90" s="5"/>
    </row>
    <row r="91" spans="1:24" ht="15.6" x14ac:dyDescent="0.3">
      <c r="A91" s="24"/>
      <c r="B91" s="25" t="s">
        <v>216</v>
      </c>
      <c r="C91" s="25"/>
      <c r="D91" s="25"/>
      <c r="E91" s="25"/>
      <c r="F91" s="25"/>
      <c r="G91" s="25"/>
      <c r="H91" s="40"/>
      <c r="I91" s="40"/>
      <c r="J91" s="40"/>
      <c r="K91" s="57"/>
      <c r="L91" s="40"/>
      <c r="M91" s="25"/>
      <c r="N91" s="127"/>
      <c r="O91" s="25"/>
      <c r="P91" s="25"/>
      <c r="Q91" s="25"/>
      <c r="R91" s="25"/>
      <c r="S91" s="25"/>
      <c r="T91" s="34"/>
      <c r="U91" s="25"/>
      <c r="V91" s="53">
        <v>14365</v>
      </c>
      <c r="W91" s="25"/>
      <c r="X91" s="5"/>
    </row>
    <row r="92" spans="1:24" ht="15.6" x14ac:dyDescent="0.3">
      <c r="A92" s="24"/>
      <c r="B92" s="25" t="s">
        <v>211</v>
      </c>
      <c r="C92" s="25"/>
      <c r="D92" s="25"/>
      <c r="E92" s="25"/>
      <c r="F92" s="25"/>
      <c r="G92" s="25"/>
      <c r="H92" s="40"/>
      <c r="I92" s="40"/>
      <c r="J92" s="40"/>
      <c r="K92" s="57"/>
      <c r="L92" s="40"/>
      <c r="M92" s="25"/>
      <c r="N92" s="127"/>
      <c r="O92" s="25"/>
      <c r="P92" s="25"/>
      <c r="Q92" s="25"/>
      <c r="R92" s="25"/>
      <c r="S92" s="25"/>
      <c r="T92" s="34"/>
      <c r="U92" s="25"/>
      <c r="V92" s="53">
        <v>245</v>
      </c>
      <c r="W92" s="25"/>
      <c r="X92" s="5"/>
    </row>
    <row r="93" spans="1:24" ht="15.6" x14ac:dyDescent="0.3">
      <c r="A93" s="24"/>
      <c r="B93" s="25" t="s">
        <v>212</v>
      </c>
      <c r="C93" s="25"/>
      <c r="D93" s="25"/>
      <c r="E93" s="25"/>
      <c r="F93" s="25"/>
      <c r="G93" s="25"/>
      <c r="H93" s="40"/>
      <c r="I93" s="40"/>
      <c r="J93" s="40"/>
      <c r="K93" s="57"/>
      <c r="L93" s="40"/>
      <c r="M93" s="25"/>
      <c r="N93" s="127"/>
      <c r="O93" s="25"/>
      <c r="P93" s="25"/>
      <c r="Q93" s="25"/>
      <c r="R93" s="25"/>
      <c r="S93" s="25"/>
      <c r="T93" s="34"/>
      <c r="U93" s="25"/>
      <c r="V93" s="53">
        <v>551</v>
      </c>
      <c r="W93" s="25"/>
      <c r="X93" s="5"/>
    </row>
    <row r="94" spans="1:24" ht="15.6" x14ac:dyDescent="0.3">
      <c r="A94" s="24"/>
      <c r="B94" s="25" t="s">
        <v>272</v>
      </c>
      <c r="C94" s="25"/>
      <c r="D94" s="25"/>
      <c r="E94" s="25"/>
      <c r="F94" s="25"/>
      <c r="G94" s="25"/>
      <c r="H94" s="40"/>
      <c r="I94" s="40"/>
      <c r="J94" s="40"/>
      <c r="K94" s="57"/>
      <c r="L94" s="40"/>
      <c r="M94" s="25"/>
      <c r="N94" s="127"/>
      <c r="O94" s="25"/>
      <c r="P94" s="25"/>
      <c r="Q94" s="25"/>
      <c r="R94" s="25"/>
      <c r="S94" s="25"/>
      <c r="T94" s="34"/>
      <c r="U94" s="25"/>
      <c r="V94" s="53">
        <v>0</v>
      </c>
      <c r="W94" s="25"/>
      <c r="X94" s="5"/>
    </row>
    <row r="95" spans="1:24" ht="15.6" x14ac:dyDescent="0.3">
      <c r="A95" s="24"/>
      <c r="B95" s="25" t="s">
        <v>274</v>
      </c>
      <c r="C95" s="25"/>
      <c r="D95" s="25"/>
      <c r="E95" s="25"/>
      <c r="F95" s="25"/>
      <c r="G95" s="25"/>
      <c r="H95" s="40"/>
      <c r="I95" s="40"/>
      <c r="J95" s="40"/>
      <c r="K95" s="57"/>
      <c r="L95" s="40"/>
      <c r="M95" s="25"/>
      <c r="N95" s="127"/>
      <c r="O95" s="25"/>
      <c r="P95" s="25"/>
      <c r="Q95" s="25"/>
      <c r="R95" s="25"/>
      <c r="S95" s="25"/>
      <c r="T95" s="34"/>
      <c r="U95" s="25"/>
      <c r="V95" s="53">
        <v>0</v>
      </c>
      <c r="W95" s="25"/>
      <c r="X95" s="5"/>
    </row>
    <row r="96" spans="1:24" ht="15.6" x14ac:dyDescent="0.3">
      <c r="A96" s="24"/>
      <c r="B96" s="25" t="s">
        <v>135</v>
      </c>
      <c r="C96" s="25"/>
      <c r="D96" s="25"/>
      <c r="E96" s="25"/>
      <c r="F96" s="25"/>
      <c r="G96" s="25"/>
      <c r="H96" s="25"/>
      <c r="I96" s="25"/>
      <c r="J96" s="25"/>
      <c r="K96" s="25"/>
      <c r="L96" s="25"/>
      <c r="M96" s="25"/>
      <c r="N96" s="25"/>
      <c r="O96" s="25"/>
      <c r="P96" s="25"/>
      <c r="Q96" s="25"/>
      <c r="R96" s="25"/>
      <c r="S96" s="25"/>
      <c r="T96" s="34"/>
      <c r="U96" s="25"/>
      <c r="V96" s="53">
        <v>0</v>
      </c>
      <c r="W96" s="25"/>
      <c r="X96" s="5"/>
    </row>
    <row r="97" spans="1:25" ht="15.6" x14ac:dyDescent="0.3">
      <c r="A97" s="24"/>
      <c r="B97" s="25" t="s">
        <v>268</v>
      </c>
      <c r="C97" s="25"/>
      <c r="D97" s="25"/>
      <c r="E97" s="25"/>
      <c r="F97" s="25"/>
      <c r="G97" s="25"/>
      <c r="H97" s="25"/>
      <c r="I97" s="25"/>
      <c r="J97" s="25"/>
      <c r="K97" s="25"/>
      <c r="L97" s="25"/>
      <c r="M97" s="25"/>
      <c r="N97" s="25"/>
      <c r="O97" s="25"/>
      <c r="P97" s="25"/>
      <c r="Q97" s="25"/>
      <c r="R97" s="25"/>
      <c r="S97" s="25"/>
      <c r="T97" s="34"/>
      <c r="U97" s="25"/>
      <c r="V97" s="53">
        <v>435</v>
      </c>
      <c r="W97" s="25"/>
      <c r="X97" s="5"/>
    </row>
    <row r="98" spans="1:25" ht="15.6" x14ac:dyDescent="0.3">
      <c r="A98" s="24"/>
      <c r="B98" s="25" t="s">
        <v>30</v>
      </c>
      <c r="C98" s="25"/>
      <c r="D98" s="25"/>
      <c r="E98" s="25"/>
      <c r="F98" s="25"/>
      <c r="G98" s="25"/>
      <c r="H98" s="25"/>
      <c r="I98" s="25"/>
      <c r="J98" s="25"/>
      <c r="K98" s="25"/>
      <c r="L98" s="25"/>
      <c r="M98" s="25"/>
      <c r="N98" s="25"/>
      <c r="O98" s="25"/>
      <c r="P98" s="25"/>
      <c r="Q98" s="25"/>
      <c r="R98" s="25"/>
      <c r="S98" s="25"/>
      <c r="T98" s="34">
        <f>SUM(T89:T97)</f>
        <v>47144</v>
      </c>
      <c r="U98" s="25"/>
      <c r="V98" s="54">
        <f>SUM(V89:V97)</f>
        <v>15596</v>
      </c>
      <c r="W98" s="25"/>
      <c r="X98" s="5"/>
    </row>
    <row r="99" spans="1:25" ht="15.6" x14ac:dyDescent="0.3">
      <c r="A99" s="24"/>
      <c r="B99" s="25" t="s">
        <v>161</v>
      </c>
      <c r="C99" s="25"/>
      <c r="D99" s="25"/>
      <c r="E99" s="25"/>
      <c r="F99" s="25"/>
      <c r="G99" s="25"/>
      <c r="H99" s="25"/>
      <c r="I99" s="25"/>
      <c r="J99" s="25"/>
      <c r="K99" s="25"/>
      <c r="L99" s="25"/>
      <c r="M99" s="25"/>
      <c r="N99" s="25"/>
      <c r="O99" s="25"/>
      <c r="P99" s="25"/>
      <c r="Q99" s="25"/>
      <c r="R99" s="25"/>
      <c r="S99" s="25"/>
      <c r="T99" s="34">
        <f>-V99</f>
        <v>-111</v>
      </c>
      <c r="U99" s="25"/>
      <c r="V99" s="54">
        <v>111</v>
      </c>
      <c r="W99" s="25"/>
      <c r="X99" s="5"/>
    </row>
    <row r="100" spans="1:25" ht="15.6" x14ac:dyDescent="0.3">
      <c r="A100" s="24"/>
      <c r="B100" s="25" t="s">
        <v>31</v>
      </c>
      <c r="C100" s="25"/>
      <c r="D100" s="25"/>
      <c r="E100" s="25"/>
      <c r="F100" s="25"/>
      <c r="G100" s="25"/>
      <c r="H100" s="25"/>
      <c r="I100" s="25"/>
      <c r="J100" s="25"/>
      <c r="K100" s="25"/>
      <c r="L100" s="25"/>
      <c r="M100" s="25"/>
      <c r="N100" s="25"/>
      <c r="O100" s="25"/>
      <c r="P100" s="25"/>
      <c r="Q100" s="25"/>
      <c r="R100" s="25"/>
      <c r="S100" s="25"/>
      <c r="T100" s="34">
        <f>-V100</f>
        <v>0</v>
      </c>
      <c r="U100" s="25"/>
      <c r="V100" s="53">
        <v>0</v>
      </c>
      <c r="W100" s="25"/>
      <c r="X100" s="5"/>
    </row>
    <row r="101" spans="1:25" ht="15.6" x14ac:dyDescent="0.3">
      <c r="A101" s="24"/>
      <c r="B101" s="25" t="s">
        <v>283</v>
      </c>
      <c r="C101" s="25"/>
      <c r="D101" s="25"/>
      <c r="E101" s="25"/>
      <c r="F101" s="25"/>
      <c r="G101" s="25"/>
      <c r="H101" s="25"/>
      <c r="I101" s="25"/>
      <c r="J101" s="25"/>
      <c r="K101" s="25"/>
      <c r="L101" s="25"/>
      <c r="M101" s="25"/>
      <c r="N101" s="25"/>
      <c r="O101" s="25"/>
      <c r="P101" s="25"/>
      <c r="Q101" s="25"/>
      <c r="R101" s="25"/>
      <c r="S101" s="25"/>
      <c r="T101" s="34"/>
      <c r="U101" s="25"/>
      <c r="V101" s="53">
        <v>-249</v>
      </c>
      <c r="W101" s="25"/>
      <c r="X101" s="5"/>
    </row>
    <row r="102" spans="1:25" ht="15.6" x14ac:dyDescent="0.3">
      <c r="A102" s="24"/>
      <c r="B102" s="25" t="s">
        <v>32</v>
      </c>
      <c r="C102" s="25"/>
      <c r="D102" s="25"/>
      <c r="E102" s="25"/>
      <c r="F102" s="25"/>
      <c r="G102" s="25"/>
      <c r="H102" s="25"/>
      <c r="I102" s="25"/>
      <c r="J102" s="25"/>
      <c r="K102" s="25"/>
      <c r="L102" s="25"/>
      <c r="M102" s="25"/>
      <c r="N102" s="25"/>
      <c r="O102" s="25"/>
      <c r="P102" s="25"/>
      <c r="Q102" s="25"/>
      <c r="R102" s="25"/>
      <c r="S102" s="25"/>
      <c r="T102" s="34">
        <f>T98+T100+T99</f>
        <v>47033</v>
      </c>
      <c r="U102" s="25"/>
      <c r="V102" s="54">
        <f>V98+V100+V99+V101</f>
        <v>15458</v>
      </c>
      <c r="W102" s="25"/>
      <c r="X102" s="5"/>
    </row>
    <row r="103" spans="1:25" ht="15.6" x14ac:dyDescent="0.3">
      <c r="A103" s="24"/>
      <c r="B103" s="118" t="s">
        <v>33</v>
      </c>
      <c r="C103" s="25"/>
      <c r="D103" s="25"/>
      <c r="E103" s="25"/>
      <c r="F103" s="25"/>
      <c r="G103" s="25"/>
      <c r="H103" s="25"/>
      <c r="I103" s="25"/>
      <c r="J103" s="25"/>
      <c r="K103" s="25"/>
      <c r="L103" s="25"/>
      <c r="M103" s="25"/>
      <c r="N103" s="25"/>
      <c r="O103" s="25"/>
      <c r="P103" s="25"/>
      <c r="Q103" s="25"/>
      <c r="R103" s="25"/>
      <c r="S103" s="25"/>
      <c r="T103" s="34"/>
      <c r="U103" s="25"/>
      <c r="V103" s="53"/>
      <c r="W103" s="25"/>
      <c r="X103" s="5"/>
    </row>
    <row r="104" spans="1:25" ht="15.6" x14ac:dyDescent="0.3">
      <c r="A104" s="24">
        <v>1</v>
      </c>
      <c r="B104" s="25" t="s">
        <v>34</v>
      </c>
      <c r="C104" s="25"/>
      <c r="D104" s="25"/>
      <c r="E104" s="25"/>
      <c r="F104" s="25"/>
      <c r="G104" s="25"/>
      <c r="H104" s="25"/>
      <c r="I104" s="25"/>
      <c r="J104" s="25"/>
      <c r="K104" s="25"/>
      <c r="L104" s="25"/>
      <c r="M104" s="25"/>
      <c r="N104" s="25"/>
      <c r="O104" s="25"/>
      <c r="P104" s="25"/>
      <c r="Q104" s="25"/>
      <c r="R104" s="25"/>
      <c r="S104" s="25"/>
      <c r="T104" s="25"/>
      <c r="U104" s="25"/>
      <c r="V104" s="53">
        <v>0</v>
      </c>
      <c r="W104" s="25"/>
      <c r="X104" s="5"/>
    </row>
    <row r="105" spans="1:25" ht="15.6" x14ac:dyDescent="0.3">
      <c r="A105" s="24">
        <f>+A104+1</f>
        <v>2</v>
      </c>
      <c r="B105" s="25" t="s">
        <v>225</v>
      </c>
      <c r="C105" s="25"/>
      <c r="D105" s="25"/>
      <c r="E105" s="25"/>
      <c r="F105" s="25"/>
      <c r="G105" s="25"/>
      <c r="H105" s="25"/>
      <c r="I105" s="25"/>
      <c r="J105" s="25"/>
      <c r="K105" s="25"/>
      <c r="L105" s="25"/>
      <c r="M105" s="25"/>
      <c r="N105" s="25"/>
      <c r="O105" s="25"/>
      <c r="P105" s="25"/>
      <c r="Q105" s="25"/>
      <c r="R105" s="25"/>
      <c r="S105" s="25"/>
      <c r="T105" s="25"/>
      <c r="U105" s="25"/>
      <c r="V105" s="53">
        <v>-2</v>
      </c>
      <c r="W105" s="25"/>
      <c r="X105" s="5"/>
    </row>
    <row r="106" spans="1:25" ht="15.6" x14ac:dyDescent="0.3">
      <c r="A106" s="24">
        <f>+A105+1</f>
        <v>3</v>
      </c>
      <c r="B106" s="25" t="s">
        <v>204</v>
      </c>
      <c r="C106" s="25"/>
      <c r="D106" s="25"/>
      <c r="E106" s="25"/>
      <c r="F106" s="25"/>
      <c r="G106" s="25"/>
      <c r="H106" s="25"/>
      <c r="I106" s="25"/>
      <c r="J106" s="25"/>
      <c r="K106" s="25"/>
      <c r="L106" s="25"/>
      <c r="M106" s="25"/>
      <c r="N106" s="25"/>
      <c r="O106" s="25"/>
      <c r="P106" s="25"/>
      <c r="Q106" s="25"/>
      <c r="R106" s="25"/>
      <c r="S106" s="25"/>
      <c r="T106" s="25"/>
      <c r="U106" s="25"/>
      <c r="V106" s="53">
        <v>-311</v>
      </c>
      <c r="W106" s="25"/>
      <c r="X106" s="5"/>
    </row>
    <row r="107" spans="1:25" ht="15.6" x14ac:dyDescent="0.3">
      <c r="A107" s="24" t="s">
        <v>127</v>
      </c>
      <c r="B107" s="25" t="s">
        <v>116</v>
      </c>
      <c r="C107" s="25"/>
      <c r="D107" s="25"/>
      <c r="E107" s="25"/>
      <c r="F107" s="25"/>
      <c r="G107" s="25"/>
      <c r="H107" s="25"/>
      <c r="I107" s="25"/>
      <c r="J107" s="25"/>
      <c r="K107" s="25"/>
      <c r="L107" s="25"/>
      <c r="M107" s="25"/>
      <c r="N107" s="25"/>
      <c r="O107" s="25"/>
      <c r="P107" s="25"/>
      <c r="Q107" s="25"/>
      <c r="R107" s="25"/>
      <c r="S107" s="25"/>
      <c r="T107" s="25"/>
      <c r="U107" s="25"/>
      <c r="V107" s="53">
        <v>-2328</v>
      </c>
      <c r="W107" s="25"/>
      <c r="X107" s="5"/>
    </row>
    <row r="108" spans="1:25" ht="15.6" x14ac:dyDescent="0.3">
      <c r="A108" s="24" t="s">
        <v>128</v>
      </c>
      <c r="B108" s="25" t="s">
        <v>222</v>
      </c>
      <c r="C108" s="25"/>
      <c r="D108" s="25"/>
      <c r="E108" s="25"/>
      <c r="F108" s="25"/>
      <c r="G108" s="25"/>
      <c r="H108" s="25"/>
      <c r="I108" s="25"/>
      <c r="J108" s="25"/>
      <c r="K108" s="25"/>
      <c r="L108" s="25"/>
      <c r="M108" s="25"/>
      <c r="N108" s="25"/>
      <c r="O108" s="25"/>
      <c r="P108" s="25"/>
      <c r="Q108" s="25"/>
      <c r="R108" s="25"/>
      <c r="S108" s="25"/>
      <c r="T108" s="25"/>
      <c r="U108" s="25"/>
      <c r="V108" s="53">
        <v>-7655</v>
      </c>
      <c r="W108" s="25"/>
      <c r="X108" s="5"/>
      <c r="Y108" s="109"/>
    </row>
    <row r="109" spans="1:25" ht="15.6" x14ac:dyDescent="0.3">
      <c r="A109" s="24" t="s">
        <v>150</v>
      </c>
      <c r="B109" s="25" t="s">
        <v>184</v>
      </c>
      <c r="C109" s="25"/>
      <c r="D109" s="25"/>
      <c r="E109" s="25"/>
      <c r="F109" s="25"/>
      <c r="G109" s="25"/>
      <c r="H109" s="25"/>
      <c r="I109" s="25"/>
      <c r="J109" s="25"/>
      <c r="K109" s="25"/>
      <c r="L109" s="25"/>
      <c r="M109" s="25"/>
      <c r="N109" s="25"/>
      <c r="O109" s="25"/>
      <c r="P109" s="25"/>
      <c r="Q109" s="25"/>
      <c r="R109" s="25"/>
      <c r="S109" s="25"/>
      <c r="T109" s="25"/>
      <c r="U109" s="25"/>
      <c r="V109" s="53">
        <v>-824</v>
      </c>
      <c r="W109" s="25"/>
      <c r="X109" s="5"/>
      <c r="Y109" s="109"/>
    </row>
    <row r="110" spans="1:25" ht="15.6" x14ac:dyDescent="0.3">
      <c r="A110" s="24" t="s">
        <v>236</v>
      </c>
      <c r="B110" s="25" t="s">
        <v>238</v>
      </c>
      <c r="C110" s="25"/>
      <c r="D110" s="25"/>
      <c r="E110" s="25"/>
      <c r="F110" s="25"/>
      <c r="G110" s="25"/>
      <c r="H110" s="25"/>
      <c r="I110" s="25"/>
      <c r="J110" s="25"/>
      <c r="K110" s="25"/>
      <c r="L110" s="25"/>
      <c r="M110" s="25"/>
      <c r="N110" s="25"/>
      <c r="O110" s="25"/>
      <c r="P110" s="25"/>
      <c r="Q110" s="25"/>
      <c r="R110" s="25"/>
      <c r="S110" s="25"/>
      <c r="T110" s="25"/>
      <c r="U110" s="25"/>
      <c r="V110" s="53">
        <v>-1</v>
      </c>
      <c r="W110" s="25"/>
      <c r="X110" s="5"/>
    </row>
    <row r="111" spans="1:25" ht="15.6" x14ac:dyDescent="0.3">
      <c r="A111" s="24" t="s">
        <v>205</v>
      </c>
      <c r="B111" s="25" t="s">
        <v>185</v>
      </c>
      <c r="C111" s="25"/>
      <c r="D111" s="25"/>
      <c r="E111" s="25"/>
      <c r="F111" s="25"/>
      <c r="G111" s="25"/>
      <c r="H111" s="25"/>
      <c r="I111" s="25"/>
      <c r="J111" s="25"/>
      <c r="K111" s="25"/>
      <c r="L111" s="25"/>
      <c r="M111" s="25"/>
      <c r="N111" s="25"/>
      <c r="O111" s="25"/>
      <c r="P111" s="25"/>
      <c r="Q111" s="25"/>
      <c r="R111" s="25"/>
      <c r="S111" s="25"/>
      <c r="T111" s="25"/>
      <c r="U111" s="25"/>
      <c r="V111" s="53">
        <v>-506</v>
      </c>
      <c r="W111" s="25"/>
      <c r="X111" s="5"/>
      <c r="Y111" s="109"/>
    </row>
    <row r="112" spans="1:25" ht="15.6" x14ac:dyDescent="0.3">
      <c r="A112" s="24" t="s">
        <v>206</v>
      </c>
      <c r="B112" s="25" t="s">
        <v>186</v>
      </c>
      <c r="C112" s="25"/>
      <c r="D112" s="25"/>
      <c r="E112" s="25"/>
      <c r="F112" s="25"/>
      <c r="G112" s="25"/>
      <c r="H112" s="25"/>
      <c r="I112" s="25"/>
      <c r="J112" s="25"/>
      <c r="K112" s="25"/>
      <c r="L112" s="25"/>
      <c r="M112" s="25"/>
      <c r="N112" s="25"/>
      <c r="O112" s="25"/>
      <c r="P112" s="25"/>
      <c r="Q112" s="25"/>
      <c r="R112" s="25"/>
      <c r="S112" s="25"/>
      <c r="T112" s="25"/>
      <c r="U112" s="25"/>
      <c r="V112" s="53">
        <v>-429</v>
      </c>
      <c r="W112" s="25"/>
      <c r="X112" s="179"/>
      <c r="Y112" s="109"/>
    </row>
    <row r="113" spans="1:25" ht="15.6" x14ac:dyDescent="0.3">
      <c r="A113" s="24" t="s">
        <v>207</v>
      </c>
      <c r="B113" s="25" t="s">
        <v>196</v>
      </c>
      <c r="C113" s="25"/>
      <c r="D113" s="25"/>
      <c r="E113" s="25"/>
      <c r="F113" s="25"/>
      <c r="G113" s="25"/>
      <c r="H113" s="25"/>
      <c r="I113" s="25"/>
      <c r="J113" s="25"/>
      <c r="K113" s="25"/>
      <c r="L113" s="25"/>
      <c r="M113" s="25"/>
      <c r="N113" s="25"/>
      <c r="O113" s="25"/>
      <c r="P113" s="25"/>
      <c r="Q113" s="25"/>
      <c r="R113" s="25"/>
      <c r="S113" s="25"/>
      <c r="T113" s="25"/>
      <c r="U113" s="25"/>
      <c r="V113" s="53">
        <v>-823</v>
      </c>
      <c r="W113" s="25"/>
      <c r="X113" s="5"/>
      <c r="Y113" s="109"/>
    </row>
    <row r="114" spans="1:25" ht="15.6" x14ac:dyDescent="0.3">
      <c r="A114" s="24" t="s">
        <v>224</v>
      </c>
      <c r="B114" s="25" t="s">
        <v>223</v>
      </c>
      <c r="C114" s="25"/>
      <c r="D114" s="25"/>
      <c r="E114" s="25"/>
      <c r="F114" s="25"/>
      <c r="G114" s="25"/>
      <c r="H114" s="25"/>
      <c r="I114" s="25"/>
      <c r="J114" s="25"/>
      <c r="K114" s="25"/>
      <c r="L114" s="25"/>
      <c r="M114" s="25"/>
      <c r="N114" s="25"/>
      <c r="O114" s="25"/>
      <c r="P114" s="25"/>
      <c r="Q114" s="25"/>
      <c r="R114" s="25"/>
      <c r="S114" s="25"/>
      <c r="T114" s="25"/>
      <c r="U114" s="25"/>
      <c r="V114" s="53">
        <v>-175</v>
      </c>
      <c r="W114" s="25"/>
      <c r="X114" s="5"/>
      <c r="Y114" s="109"/>
    </row>
    <row r="115" spans="1:25" ht="15.6" x14ac:dyDescent="0.3">
      <c r="A115" s="24">
        <v>7</v>
      </c>
      <c r="B115" s="25" t="s">
        <v>35</v>
      </c>
      <c r="C115" s="25"/>
      <c r="D115" s="25"/>
      <c r="E115" s="25"/>
      <c r="F115" s="25"/>
      <c r="G115" s="25"/>
      <c r="H115" s="25"/>
      <c r="I115" s="25"/>
      <c r="J115" s="25"/>
      <c r="K115" s="25"/>
      <c r="L115" s="25"/>
      <c r="M115" s="25"/>
      <c r="N115" s="25"/>
      <c r="O115" s="25"/>
      <c r="P115" s="25"/>
      <c r="Q115" s="25"/>
      <c r="R115" s="25"/>
      <c r="S115" s="25"/>
      <c r="T115" s="25"/>
      <c r="U115" s="25"/>
      <c r="V115" s="53">
        <v>-12</v>
      </c>
      <c r="W115" s="25"/>
      <c r="X115" s="5"/>
    </row>
    <row r="116" spans="1:25" ht="15.6" x14ac:dyDescent="0.3">
      <c r="A116" s="24">
        <f t="shared" ref="A116:A122" si="0">+A115+1</f>
        <v>8</v>
      </c>
      <c r="B116" s="25" t="s">
        <v>45</v>
      </c>
      <c r="C116" s="25"/>
      <c r="D116" s="25"/>
      <c r="E116" s="25"/>
      <c r="F116" s="25"/>
      <c r="G116" s="25"/>
      <c r="H116" s="25"/>
      <c r="I116" s="25"/>
      <c r="J116" s="25"/>
      <c r="K116" s="25"/>
      <c r="L116" s="25"/>
      <c r="M116" s="25"/>
      <c r="N116" s="25"/>
      <c r="O116" s="25"/>
      <c r="P116" s="25"/>
      <c r="Q116" s="25"/>
      <c r="R116" s="25"/>
      <c r="S116" s="25"/>
      <c r="T116" s="34">
        <f>-V116</f>
        <v>158</v>
      </c>
      <c r="U116" s="25"/>
      <c r="V116" s="53">
        <v>-158</v>
      </c>
      <c r="W116" s="25"/>
      <c r="X116" s="5"/>
    </row>
    <row r="117" spans="1:25" ht="15.6" x14ac:dyDescent="0.3">
      <c r="A117" s="24">
        <f t="shared" si="0"/>
        <v>9</v>
      </c>
      <c r="B117" s="25" t="s">
        <v>125</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5" ht="15.6" x14ac:dyDescent="0.3">
      <c r="A118" s="24">
        <f t="shared" si="0"/>
        <v>10</v>
      </c>
      <c r="B118" s="25" t="s">
        <v>240</v>
      </c>
      <c r="C118" s="25"/>
      <c r="D118" s="25"/>
      <c r="E118" s="25"/>
      <c r="F118" s="25"/>
      <c r="G118" s="25"/>
      <c r="H118" s="25"/>
      <c r="I118" s="25"/>
      <c r="J118" s="25"/>
      <c r="K118" s="25"/>
      <c r="L118" s="25"/>
      <c r="M118" s="25"/>
      <c r="N118" s="25"/>
      <c r="O118" s="25"/>
      <c r="P118" s="25"/>
      <c r="Q118" s="25"/>
      <c r="R118" s="25"/>
      <c r="S118" s="25"/>
      <c r="T118" s="25"/>
      <c r="U118" s="25"/>
      <c r="V118" s="53">
        <v>0</v>
      </c>
      <c r="W118" s="25"/>
      <c r="X118" s="5"/>
    </row>
    <row r="119" spans="1:25" ht="15.6" x14ac:dyDescent="0.3">
      <c r="A119" s="24">
        <f t="shared" si="0"/>
        <v>11</v>
      </c>
      <c r="B119" s="25" t="s">
        <v>36</v>
      </c>
      <c r="C119" s="25"/>
      <c r="D119" s="25"/>
      <c r="E119" s="25"/>
      <c r="F119" s="25"/>
      <c r="G119" s="25"/>
      <c r="H119" s="25"/>
      <c r="I119" s="25"/>
      <c r="J119" s="25"/>
      <c r="K119" s="25"/>
      <c r="L119" s="25"/>
      <c r="M119" s="25"/>
      <c r="N119" s="25"/>
      <c r="O119" s="25"/>
      <c r="P119" s="25"/>
      <c r="Q119" s="25"/>
      <c r="R119" s="25"/>
      <c r="S119" s="25"/>
      <c r="T119" s="25"/>
      <c r="U119" s="25"/>
      <c r="V119" s="53">
        <v>0</v>
      </c>
      <c r="W119" s="25"/>
      <c r="X119" s="5"/>
    </row>
    <row r="120" spans="1:25" ht="15.6" x14ac:dyDescent="0.3">
      <c r="A120" s="24">
        <f t="shared" si="0"/>
        <v>12</v>
      </c>
      <c r="B120" s="25" t="s">
        <v>239</v>
      </c>
      <c r="C120" s="25"/>
      <c r="D120" s="25"/>
      <c r="E120" s="25"/>
      <c r="F120" s="25"/>
      <c r="G120" s="25"/>
      <c r="H120" s="25"/>
      <c r="I120" s="25"/>
      <c r="J120" s="25"/>
      <c r="K120" s="25"/>
      <c r="L120" s="25"/>
      <c r="M120" s="25"/>
      <c r="N120" s="25"/>
      <c r="O120" s="25"/>
      <c r="P120" s="25"/>
      <c r="Q120" s="25"/>
      <c r="R120" s="25"/>
      <c r="S120" s="25"/>
      <c r="T120" s="25"/>
      <c r="U120" s="25"/>
      <c r="V120" s="53">
        <v>0</v>
      </c>
      <c r="W120" s="25"/>
      <c r="X120" s="5"/>
    </row>
    <row r="121" spans="1:25" ht="15.6" x14ac:dyDescent="0.3">
      <c r="A121" s="24">
        <f t="shared" si="0"/>
        <v>13</v>
      </c>
      <c r="B121" s="25" t="s">
        <v>149</v>
      </c>
      <c r="C121" s="25"/>
      <c r="D121" s="25"/>
      <c r="E121" s="25"/>
      <c r="F121" s="25"/>
      <c r="G121" s="25"/>
      <c r="H121" s="25"/>
      <c r="I121" s="25"/>
      <c r="J121" s="25"/>
      <c r="K121" s="25"/>
      <c r="L121" s="25"/>
      <c r="M121" s="25"/>
      <c r="N121" s="25"/>
      <c r="O121" s="25"/>
      <c r="P121" s="25"/>
      <c r="Q121" s="25"/>
      <c r="R121" s="25"/>
      <c r="S121" s="25"/>
      <c r="T121" s="25"/>
      <c r="U121" s="25"/>
      <c r="V121" s="53">
        <v>-782</v>
      </c>
      <c r="W121" s="25"/>
      <c r="X121" s="5"/>
    </row>
    <row r="122" spans="1:25" ht="15.6" x14ac:dyDescent="0.3">
      <c r="A122" s="24">
        <f t="shared" si="0"/>
        <v>14</v>
      </c>
      <c r="B122" s="25" t="s">
        <v>126</v>
      </c>
      <c r="C122" s="25"/>
      <c r="D122" s="25"/>
      <c r="E122" s="25"/>
      <c r="F122" s="25"/>
      <c r="G122" s="25"/>
      <c r="H122" s="25"/>
      <c r="I122" s="25"/>
      <c r="J122" s="25"/>
      <c r="K122" s="25"/>
      <c r="L122" s="25"/>
      <c r="M122" s="25"/>
      <c r="N122" s="25"/>
      <c r="O122" s="25"/>
      <c r="P122" s="25"/>
      <c r="Q122" s="25"/>
      <c r="R122" s="25"/>
      <c r="S122" s="25"/>
      <c r="T122" s="25"/>
      <c r="U122" s="25"/>
      <c r="V122" s="53">
        <f>-V102-SUM(V104:V121)</f>
        <v>-1452</v>
      </c>
      <c r="W122" s="25"/>
      <c r="X122" s="5"/>
    </row>
    <row r="123" spans="1:25" ht="15.6" x14ac:dyDescent="0.3">
      <c r="A123" s="24"/>
      <c r="B123" s="118" t="s">
        <v>37</v>
      </c>
      <c r="C123" s="25"/>
      <c r="D123" s="25"/>
      <c r="E123" s="25"/>
      <c r="F123" s="25"/>
      <c r="G123" s="25"/>
      <c r="H123" s="25"/>
      <c r="I123" s="25"/>
      <c r="J123" s="25"/>
      <c r="K123" s="25"/>
      <c r="L123" s="25"/>
      <c r="M123" s="25"/>
      <c r="N123" s="25"/>
      <c r="O123" s="25"/>
      <c r="P123" s="25"/>
      <c r="Q123" s="25"/>
      <c r="R123" s="25"/>
      <c r="S123" s="25"/>
      <c r="T123" s="25"/>
      <c r="U123" s="25"/>
      <c r="V123" s="59"/>
      <c r="W123" s="25"/>
      <c r="X123" s="5"/>
    </row>
    <row r="124" spans="1:25" ht="15.6" x14ac:dyDescent="0.3">
      <c r="A124" s="24"/>
      <c r="B124" s="25" t="s">
        <v>173</v>
      </c>
      <c r="C124" s="25"/>
      <c r="D124" s="25"/>
      <c r="E124" s="25"/>
      <c r="F124" s="25"/>
      <c r="G124" s="25"/>
      <c r="H124" s="25"/>
      <c r="I124" s="25"/>
      <c r="J124" s="25"/>
      <c r="K124" s="25"/>
      <c r="L124" s="25"/>
      <c r="M124" s="25"/>
      <c r="N124" s="25"/>
      <c r="O124" s="25"/>
      <c r="P124" s="25"/>
      <c r="Q124" s="25"/>
      <c r="R124" s="25"/>
      <c r="S124" s="25"/>
      <c r="T124" s="34">
        <f>-T189</f>
        <v>-79</v>
      </c>
      <c r="U124" s="34"/>
      <c r="V124" s="53"/>
      <c r="W124" s="25"/>
      <c r="X124" s="5"/>
    </row>
    <row r="125" spans="1:25" ht="15.6" x14ac:dyDescent="0.3">
      <c r="A125" s="24"/>
      <c r="B125" s="25" t="s">
        <v>174</v>
      </c>
      <c r="C125" s="25"/>
      <c r="D125" s="25"/>
      <c r="E125" s="25"/>
      <c r="F125" s="25"/>
      <c r="G125" s="25"/>
      <c r="H125" s="25"/>
      <c r="I125" s="25"/>
      <c r="J125" s="25"/>
      <c r="K125" s="25"/>
      <c r="L125" s="25"/>
      <c r="M125" s="25"/>
      <c r="N125" s="25"/>
      <c r="O125" s="25"/>
      <c r="P125" s="25"/>
      <c r="Q125" s="25"/>
      <c r="R125" s="25"/>
      <c r="S125" s="25"/>
      <c r="T125" s="34">
        <v>-6</v>
      </c>
      <c r="U125" s="34"/>
      <c r="V125" s="53"/>
      <c r="W125" s="25"/>
      <c r="X125" s="5"/>
    </row>
    <row r="126" spans="1:25" ht="15.6" x14ac:dyDescent="0.3">
      <c r="A126" s="24"/>
      <c r="B126" s="25" t="s">
        <v>38</v>
      </c>
      <c r="C126" s="25"/>
      <c r="D126" s="25"/>
      <c r="E126" s="25"/>
      <c r="F126" s="25"/>
      <c r="G126" s="25"/>
      <c r="H126" s="25"/>
      <c r="I126" s="25"/>
      <c r="J126" s="25"/>
      <c r="K126" s="25"/>
      <c r="L126" s="25"/>
      <c r="M126" s="25"/>
      <c r="N126" s="25"/>
      <c r="O126" s="25"/>
      <c r="P126" s="25"/>
      <c r="Q126" s="25"/>
      <c r="R126" s="25"/>
      <c r="S126" s="25"/>
      <c r="T126" s="34">
        <f>-S189</f>
        <v>-445</v>
      </c>
      <c r="U126" s="34"/>
      <c r="V126" s="53"/>
      <c r="W126" s="25"/>
      <c r="X126" s="5"/>
    </row>
    <row r="127" spans="1:25" ht="15.6" x14ac:dyDescent="0.3">
      <c r="A127" s="24"/>
      <c r="B127" s="25" t="s">
        <v>197</v>
      </c>
      <c r="C127" s="25"/>
      <c r="D127" s="25"/>
      <c r="E127" s="25"/>
      <c r="F127" s="25"/>
      <c r="G127" s="25"/>
      <c r="H127" s="25"/>
      <c r="I127" s="25"/>
      <c r="J127" s="25"/>
      <c r="K127" s="25"/>
      <c r="L127" s="25"/>
      <c r="M127" s="25"/>
      <c r="N127" s="25"/>
      <c r="O127" s="25"/>
      <c r="P127" s="25"/>
      <c r="Q127" s="25"/>
      <c r="R127" s="25"/>
      <c r="S127" s="25"/>
      <c r="T127" s="34">
        <v>-28368</v>
      </c>
      <c r="U127" s="34"/>
      <c r="V127" s="53"/>
      <c r="W127" s="25"/>
      <c r="X127" s="5"/>
    </row>
    <row r="128" spans="1:25" ht="15.6" x14ac:dyDescent="0.3">
      <c r="A128" s="24"/>
      <c r="B128" s="25" t="s">
        <v>195</v>
      </c>
      <c r="C128" s="25"/>
      <c r="D128" s="25"/>
      <c r="E128" s="25"/>
      <c r="F128" s="25"/>
      <c r="G128" s="25"/>
      <c r="H128" s="25"/>
      <c r="I128" s="25"/>
      <c r="J128" s="25"/>
      <c r="K128" s="25"/>
      <c r="L128" s="25"/>
      <c r="M128" s="25"/>
      <c r="N128" s="25"/>
      <c r="O128" s="25"/>
      <c r="P128" s="25"/>
      <c r="Q128" s="25"/>
      <c r="R128" s="25"/>
      <c r="S128" s="25"/>
      <c r="T128" s="34">
        <v>-4574</v>
      </c>
      <c r="U128" s="34"/>
      <c r="V128" s="53"/>
      <c r="W128" s="25"/>
      <c r="X128" s="5"/>
    </row>
    <row r="129" spans="1:24" ht="15.6" x14ac:dyDescent="0.3">
      <c r="A129" s="24"/>
      <c r="B129" s="25" t="s">
        <v>194</v>
      </c>
      <c r="C129" s="25"/>
      <c r="D129" s="25"/>
      <c r="E129" s="25"/>
      <c r="F129" s="25"/>
      <c r="G129" s="25"/>
      <c r="H129" s="25"/>
      <c r="I129" s="25"/>
      <c r="J129" s="25"/>
      <c r="K129" s="25"/>
      <c r="L129" s="25"/>
      <c r="M129" s="25"/>
      <c r="N129" s="25"/>
      <c r="O129" s="25"/>
      <c r="P129" s="25"/>
      <c r="Q129" s="25"/>
      <c r="R129" s="25"/>
      <c r="S129" s="25"/>
      <c r="T129" s="34">
        <v>-6154</v>
      </c>
      <c r="U129" s="34"/>
      <c r="V129" s="53"/>
      <c r="W129" s="25"/>
      <c r="X129" s="5"/>
    </row>
    <row r="130" spans="1:24" ht="15.6" x14ac:dyDescent="0.3">
      <c r="A130" s="24"/>
      <c r="B130" s="25" t="s">
        <v>226</v>
      </c>
      <c r="C130" s="25"/>
      <c r="D130" s="25"/>
      <c r="E130" s="25"/>
      <c r="F130" s="25"/>
      <c r="G130" s="25"/>
      <c r="H130" s="25"/>
      <c r="I130" s="25"/>
      <c r="J130" s="25"/>
      <c r="K130" s="25"/>
      <c r="L130" s="25"/>
      <c r="M130" s="25"/>
      <c r="N130" s="25"/>
      <c r="O130" s="25"/>
      <c r="P130" s="25"/>
      <c r="Q130" s="25"/>
      <c r="R130" s="25"/>
      <c r="S130" s="25"/>
      <c r="T130" s="34">
        <v>-7565</v>
      </c>
      <c r="U130" s="34"/>
      <c r="V130" s="53"/>
      <c r="W130" s="25"/>
      <c r="X130" s="5"/>
    </row>
    <row r="131" spans="1:24" ht="15.6" x14ac:dyDescent="0.3">
      <c r="A131" s="24"/>
      <c r="B131" s="25" t="s">
        <v>189</v>
      </c>
      <c r="C131" s="25"/>
      <c r="D131" s="25"/>
      <c r="E131" s="25"/>
      <c r="F131" s="25"/>
      <c r="G131" s="25"/>
      <c r="H131" s="25"/>
      <c r="I131" s="25"/>
      <c r="J131" s="25"/>
      <c r="K131" s="25"/>
      <c r="L131" s="25"/>
      <c r="M131" s="25"/>
      <c r="N131" s="25"/>
      <c r="O131" s="25"/>
      <c r="P131" s="25"/>
      <c r="Q131" s="25"/>
      <c r="R131" s="25"/>
      <c r="S131" s="25"/>
      <c r="T131" s="34">
        <v>0</v>
      </c>
      <c r="U131" s="34"/>
      <c r="V131" s="53"/>
      <c r="W131" s="25"/>
      <c r="X131" s="5"/>
    </row>
    <row r="132" spans="1:24" ht="15.6" x14ac:dyDescent="0.3">
      <c r="A132" s="24"/>
      <c r="B132" s="25" t="s">
        <v>188</v>
      </c>
      <c r="C132" s="25"/>
      <c r="D132" s="25"/>
      <c r="E132" s="25"/>
      <c r="F132" s="25"/>
      <c r="G132" s="25"/>
      <c r="H132" s="25"/>
      <c r="I132" s="25"/>
      <c r="J132" s="25"/>
      <c r="K132" s="25"/>
      <c r="L132" s="25"/>
      <c r="M132" s="25"/>
      <c r="N132" s="25"/>
      <c r="O132" s="25"/>
      <c r="P132" s="25"/>
      <c r="Q132" s="25"/>
      <c r="R132" s="25"/>
      <c r="S132" s="25"/>
      <c r="T132" s="34">
        <v>0</v>
      </c>
      <c r="U132" s="34"/>
      <c r="V132" s="53"/>
      <c r="W132" s="25"/>
      <c r="X132" s="5"/>
    </row>
    <row r="133" spans="1:24" ht="15.6" x14ac:dyDescent="0.3">
      <c r="A133" s="24"/>
      <c r="B133" s="25" t="s">
        <v>227</v>
      </c>
      <c r="C133" s="25"/>
      <c r="D133" s="25"/>
      <c r="E133" s="25"/>
      <c r="F133" s="25"/>
      <c r="G133" s="25"/>
      <c r="H133" s="25"/>
      <c r="I133" s="25"/>
      <c r="J133" s="25"/>
      <c r="K133" s="25"/>
      <c r="L133" s="25"/>
      <c r="M133" s="25"/>
      <c r="N133" s="25"/>
      <c r="O133" s="25"/>
      <c r="P133" s="25"/>
      <c r="Q133" s="25"/>
      <c r="R133" s="25"/>
      <c r="S133" s="25"/>
      <c r="T133" s="34">
        <v>0</v>
      </c>
      <c r="U133" s="34"/>
      <c r="V133" s="53"/>
      <c r="W133" s="25"/>
      <c r="X133" s="5"/>
    </row>
    <row r="134" spans="1:24" ht="15.6" x14ac:dyDescent="0.3">
      <c r="A134" s="24"/>
      <c r="B134" s="25" t="s">
        <v>187</v>
      </c>
      <c r="C134" s="25"/>
      <c r="D134" s="25"/>
      <c r="E134" s="25"/>
      <c r="F134" s="25"/>
      <c r="G134" s="25"/>
      <c r="H134" s="25"/>
      <c r="I134" s="25"/>
      <c r="J134" s="25"/>
      <c r="K134" s="25"/>
      <c r="L134" s="25"/>
      <c r="M134" s="25"/>
      <c r="N134" s="25"/>
      <c r="O134" s="25"/>
      <c r="P134" s="25"/>
      <c r="Q134" s="25"/>
      <c r="R134" s="25"/>
      <c r="S134" s="25"/>
      <c r="T134" s="34">
        <v>0</v>
      </c>
      <c r="U134" s="34"/>
      <c r="V134" s="53"/>
      <c r="W134" s="25"/>
      <c r="X134" s="5"/>
    </row>
    <row r="135" spans="1:24" ht="15.6" x14ac:dyDescent="0.3">
      <c r="A135" s="24"/>
      <c r="B135" s="25" t="s">
        <v>39</v>
      </c>
      <c r="C135" s="25"/>
      <c r="D135" s="25"/>
      <c r="E135" s="25"/>
      <c r="F135" s="25"/>
      <c r="G135" s="25"/>
      <c r="H135" s="25"/>
      <c r="I135" s="25"/>
      <c r="J135" s="25"/>
      <c r="K135" s="25"/>
      <c r="L135" s="25"/>
      <c r="M135" s="25"/>
      <c r="N135" s="25"/>
      <c r="O135" s="25"/>
      <c r="P135" s="25"/>
      <c r="Q135" s="25"/>
      <c r="R135" s="25"/>
      <c r="S135" s="25"/>
      <c r="T135" s="34">
        <f>SUM(T124:T134)</f>
        <v>-47191</v>
      </c>
      <c r="U135" s="34"/>
      <c r="V135" s="34">
        <f>SUM(V103:V132)</f>
        <v>-15458</v>
      </c>
      <c r="W135" s="25"/>
      <c r="X135" s="5"/>
    </row>
    <row r="136" spans="1:24" ht="15.6" x14ac:dyDescent="0.3">
      <c r="A136" s="24"/>
      <c r="B136" s="25" t="s">
        <v>40</v>
      </c>
      <c r="C136" s="25"/>
      <c r="D136" s="25"/>
      <c r="E136" s="25"/>
      <c r="F136" s="25"/>
      <c r="G136" s="25"/>
      <c r="H136" s="25"/>
      <c r="I136" s="25"/>
      <c r="J136" s="25"/>
      <c r="K136" s="25"/>
      <c r="L136" s="25"/>
      <c r="M136" s="25"/>
      <c r="N136" s="25"/>
      <c r="O136" s="25"/>
      <c r="P136" s="25"/>
      <c r="Q136" s="25"/>
      <c r="R136" s="25"/>
      <c r="S136" s="25"/>
      <c r="T136" s="34">
        <f>T102+T135+T116</f>
        <v>0</v>
      </c>
      <c r="U136" s="34"/>
      <c r="V136" s="34">
        <f>V102+V135</f>
        <v>0</v>
      </c>
      <c r="W136" s="25"/>
      <c r="X136" s="5"/>
    </row>
    <row r="137" spans="1:24" ht="15.6" x14ac:dyDescent="0.3">
      <c r="A137" s="24"/>
      <c r="B137" s="25"/>
      <c r="C137" s="25"/>
      <c r="D137" s="25"/>
      <c r="E137" s="25"/>
      <c r="F137" s="25"/>
      <c r="G137" s="25"/>
      <c r="H137" s="25"/>
      <c r="I137" s="25"/>
      <c r="J137" s="25"/>
      <c r="K137" s="25"/>
      <c r="L137" s="25"/>
      <c r="M137" s="25"/>
      <c r="N137" s="25"/>
      <c r="O137" s="25"/>
      <c r="P137" s="25"/>
      <c r="Q137" s="25"/>
      <c r="R137" s="25"/>
      <c r="S137" s="25"/>
      <c r="T137" s="34"/>
      <c r="U137" s="34"/>
      <c r="V137" s="34"/>
      <c r="W137" s="25"/>
      <c r="X137" s="5"/>
    </row>
    <row r="138" spans="1:24" ht="15.6" x14ac:dyDescent="0.3">
      <c r="A138" s="6"/>
      <c r="B138" s="8"/>
      <c r="C138" s="8"/>
      <c r="D138" s="8"/>
      <c r="E138" s="8"/>
      <c r="F138" s="8"/>
      <c r="G138" s="8"/>
      <c r="H138" s="8"/>
      <c r="I138" s="8"/>
      <c r="J138" s="8"/>
      <c r="K138" s="8"/>
      <c r="L138" s="8"/>
      <c r="M138" s="8"/>
      <c r="N138" s="8"/>
      <c r="O138" s="8"/>
      <c r="P138" s="8"/>
      <c r="Q138" s="8"/>
      <c r="R138" s="8"/>
      <c r="S138" s="8"/>
      <c r="T138" s="8"/>
      <c r="U138" s="8"/>
      <c r="V138" s="52"/>
      <c r="W138" s="8"/>
      <c r="X138" s="5"/>
    </row>
    <row r="139" spans="1:24" ht="18" thickBot="1" x14ac:dyDescent="0.35">
      <c r="A139" s="101"/>
      <c r="B139" s="102" t="str">
        <f>B64</f>
        <v>PM14 INVESTOR REPORT QUARTER ENDING FEBRUARY 2009</v>
      </c>
      <c r="C139" s="103"/>
      <c r="D139" s="103"/>
      <c r="E139" s="103"/>
      <c r="F139" s="103"/>
      <c r="G139" s="103"/>
      <c r="H139" s="103"/>
      <c r="I139" s="103"/>
      <c r="J139" s="103"/>
      <c r="K139" s="103"/>
      <c r="L139" s="103"/>
      <c r="M139" s="103"/>
      <c r="N139" s="103"/>
      <c r="O139" s="103"/>
      <c r="P139" s="103"/>
      <c r="Q139" s="103"/>
      <c r="R139" s="103"/>
      <c r="S139" s="103"/>
      <c r="T139" s="103"/>
      <c r="U139" s="103"/>
      <c r="V139" s="106"/>
      <c r="W139" s="105"/>
      <c r="X139" s="5"/>
    </row>
    <row r="140" spans="1:24" ht="15.6" x14ac:dyDescent="0.3">
      <c r="A140" s="2"/>
      <c r="B140" s="60" t="s">
        <v>41</v>
      </c>
      <c r="C140" s="4"/>
      <c r="D140" s="4"/>
      <c r="E140" s="4"/>
      <c r="F140" s="4"/>
      <c r="G140" s="4"/>
      <c r="H140" s="4"/>
      <c r="I140" s="4"/>
      <c r="J140" s="4"/>
      <c r="K140" s="4"/>
      <c r="L140" s="4"/>
      <c r="M140" s="4"/>
      <c r="N140" s="4"/>
      <c r="O140" s="4"/>
      <c r="P140" s="4"/>
      <c r="Q140" s="4"/>
      <c r="R140" s="4"/>
      <c r="S140" s="4"/>
      <c r="T140" s="4"/>
      <c r="U140" s="4"/>
      <c r="V140" s="50"/>
      <c r="W140" s="4"/>
      <c r="X140" s="5"/>
    </row>
    <row r="141" spans="1:24" ht="15.6" x14ac:dyDescent="0.3">
      <c r="A141" s="6"/>
      <c r="B141" s="21"/>
      <c r="C141" s="8"/>
      <c r="D141" s="8"/>
      <c r="E141" s="8"/>
      <c r="F141" s="8"/>
      <c r="G141" s="8"/>
      <c r="H141" s="8"/>
      <c r="I141" s="8"/>
      <c r="J141" s="8"/>
      <c r="K141" s="8"/>
      <c r="L141" s="8"/>
      <c r="M141" s="8"/>
      <c r="N141" s="8"/>
      <c r="O141" s="8"/>
      <c r="P141" s="8"/>
      <c r="Q141" s="8"/>
      <c r="R141" s="8"/>
      <c r="S141" s="8"/>
      <c r="T141" s="8"/>
      <c r="U141" s="8"/>
      <c r="V141" s="52"/>
      <c r="W141" s="8"/>
      <c r="X141" s="5"/>
    </row>
    <row r="142" spans="1:24" ht="15.6" x14ac:dyDescent="0.3">
      <c r="A142" s="6"/>
      <c r="B142" s="119" t="s">
        <v>42</v>
      </c>
      <c r="C142" s="8"/>
      <c r="D142" s="8"/>
      <c r="E142" s="8"/>
      <c r="F142" s="8"/>
      <c r="G142" s="8"/>
      <c r="H142" s="8"/>
      <c r="I142" s="8"/>
      <c r="J142" s="8"/>
      <c r="K142" s="8"/>
      <c r="L142" s="8"/>
      <c r="M142" s="8"/>
      <c r="N142" s="8"/>
      <c r="O142" s="8"/>
      <c r="P142" s="8"/>
      <c r="Q142" s="8"/>
      <c r="R142" s="8"/>
      <c r="S142" s="8"/>
      <c r="T142" s="8"/>
      <c r="U142" s="8"/>
      <c r="V142" s="52"/>
      <c r="W142" s="8"/>
      <c r="X142" s="5"/>
    </row>
    <row r="143" spans="1:24" ht="15.6" x14ac:dyDescent="0.3">
      <c r="A143" s="24"/>
      <c r="B143" s="25" t="s">
        <v>43</v>
      </c>
      <c r="C143" s="25"/>
      <c r="D143" s="25"/>
      <c r="E143" s="25"/>
      <c r="F143" s="25"/>
      <c r="G143" s="25"/>
      <c r="H143" s="25"/>
      <c r="I143" s="25"/>
      <c r="J143" s="25"/>
      <c r="K143" s="25"/>
      <c r="L143" s="25"/>
      <c r="M143" s="25"/>
      <c r="N143" s="25"/>
      <c r="O143" s="25"/>
      <c r="P143" s="25"/>
      <c r="Q143" s="25"/>
      <c r="R143" s="25"/>
      <c r="S143" s="25"/>
      <c r="T143" s="25"/>
      <c r="U143" s="25"/>
      <c r="V143" s="53">
        <f>+V34*0.019</f>
        <v>28505.224999999999</v>
      </c>
      <c r="W143" s="25"/>
      <c r="X143" s="5"/>
    </row>
    <row r="144" spans="1:24" ht="15.6" x14ac:dyDescent="0.3">
      <c r="A144" s="24"/>
      <c r="B144" s="25" t="s">
        <v>44</v>
      </c>
      <c r="C144" s="25"/>
      <c r="D144" s="25"/>
      <c r="E144" s="25"/>
      <c r="F144" s="25"/>
      <c r="G144" s="25"/>
      <c r="H144" s="25"/>
      <c r="I144" s="25"/>
      <c r="J144" s="25"/>
      <c r="K144" s="25"/>
      <c r="L144" s="25"/>
      <c r="M144" s="25"/>
      <c r="N144" s="25"/>
      <c r="O144" s="25"/>
      <c r="P144" s="25"/>
      <c r="Q144" s="25"/>
      <c r="R144" s="25"/>
      <c r="S144" s="25"/>
      <c r="T144" s="25"/>
      <c r="U144" s="25"/>
      <c r="V144" s="53">
        <v>28505</v>
      </c>
      <c r="W144" s="25"/>
      <c r="X144" s="5"/>
    </row>
    <row r="145" spans="1:25" ht="15.6" x14ac:dyDescent="0.3">
      <c r="A145" s="24"/>
      <c r="B145" s="25" t="s">
        <v>136</v>
      </c>
      <c r="C145" s="25"/>
      <c r="D145" s="25"/>
      <c r="E145" s="25"/>
      <c r="F145" s="25"/>
      <c r="G145" s="25"/>
      <c r="H145" s="25"/>
      <c r="I145" s="25"/>
      <c r="J145" s="25"/>
      <c r="K145" s="25"/>
      <c r="L145" s="25"/>
      <c r="M145" s="25"/>
      <c r="N145" s="25"/>
      <c r="O145" s="25"/>
      <c r="P145" s="25"/>
      <c r="Q145" s="25"/>
      <c r="R145" s="25"/>
      <c r="S145" s="25"/>
      <c r="T145" s="25"/>
      <c r="U145" s="25"/>
      <c r="V145" s="53"/>
      <c r="W145" s="25"/>
      <c r="X145" s="5"/>
    </row>
    <row r="146" spans="1:25" ht="15.6" x14ac:dyDescent="0.3">
      <c r="A146" s="24"/>
      <c r="B146" s="25" t="s">
        <v>123</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124</v>
      </c>
      <c r="C147" s="25"/>
      <c r="D147" s="25"/>
      <c r="E147" s="25"/>
      <c r="F147" s="25"/>
      <c r="G147" s="25"/>
      <c r="H147" s="25"/>
      <c r="I147" s="25"/>
      <c r="J147" s="25"/>
      <c r="K147" s="25"/>
      <c r="L147" s="25"/>
      <c r="M147" s="25"/>
      <c r="N147" s="25"/>
      <c r="O147" s="25"/>
      <c r="P147" s="25"/>
      <c r="Q147" s="25"/>
      <c r="R147" s="25"/>
      <c r="S147" s="25"/>
      <c r="T147" s="25"/>
      <c r="U147" s="25"/>
      <c r="V147" s="53">
        <v>0</v>
      </c>
      <c r="W147" s="25"/>
      <c r="X147" s="5"/>
    </row>
    <row r="148" spans="1:25" ht="15.6" x14ac:dyDescent="0.3">
      <c r="A148" s="24"/>
      <c r="B148" s="25" t="s">
        <v>175</v>
      </c>
      <c r="C148" s="25"/>
      <c r="D148" s="25"/>
      <c r="E148" s="25"/>
      <c r="F148" s="25"/>
      <c r="G148" s="25"/>
      <c r="H148" s="25"/>
      <c r="I148" s="25"/>
      <c r="J148" s="25"/>
      <c r="K148" s="25"/>
      <c r="L148" s="25"/>
      <c r="M148" s="25"/>
      <c r="N148" s="25"/>
      <c r="O148" s="25"/>
      <c r="P148" s="25"/>
      <c r="Q148" s="25"/>
      <c r="R148" s="25"/>
      <c r="S148" s="25"/>
      <c r="T148" s="25"/>
      <c r="U148" s="25"/>
      <c r="V148" s="53">
        <v>0</v>
      </c>
      <c r="W148" s="25"/>
      <c r="X148" s="5"/>
    </row>
    <row r="149" spans="1:25" ht="15.6" x14ac:dyDescent="0.3">
      <c r="A149" s="24"/>
      <c r="B149" s="25" t="s">
        <v>45</v>
      </c>
      <c r="C149" s="25"/>
      <c r="D149" s="25"/>
      <c r="E149" s="25"/>
      <c r="F149" s="25"/>
      <c r="G149" s="25"/>
      <c r="H149" s="25"/>
      <c r="I149" s="25"/>
      <c r="J149" s="25"/>
      <c r="K149" s="25"/>
      <c r="L149" s="25"/>
      <c r="M149" s="25"/>
      <c r="N149" s="25"/>
      <c r="O149" s="25"/>
      <c r="P149" s="25"/>
      <c r="Q149" s="25"/>
      <c r="R149" s="25"/>
      <c r="S149" s="25"/>
      <c r="T149" s="25"/>
      <c r="U149" s="25"/>
      <c r="V149" s="53">
        <v>0</v>
      </c>
      <c r="W149" s="25"/>
      <c r="X149" s="5"/>
    </row>
    <row r="150" spans="1:25" ht="15.6" x14ac:dyDescent="0.3">
      <c r="A150" s="24"/>
      <c r="B150" s="25" t="s">
        <v>129</v>
      </c>
      <c r="C150" s="25"/>
      <c r="D150" s="25"/>
      <c r="E150" s="25"/>
      <c r="F150" s="25"/>
      <c r="G150" s="25"/>
      <c r="H150" s="25"/>
      <c r="I150" s="25"/>
      <c r="J150" s="25"/>
      <c r="K150" s="25"/>
      <c r="L150" s="25"/>
      <c r="M150" s="25"/>
      <c r="N150" s="25"/>
      <c r="O150" s="25"/>
      <c r="P150" s="25"/>
      <c r="Q150" s="25"/>
      <c r="R150" s="25"/>
      <c r="S150" s="25"/>
      <c r="T150" s="25"/>
      <c r="U150" s="25"/>
      <c r="V150" s="53">
        <v>0</v>
      </c>
      <c r="W150" s="25"/>
      <c r="X150" s="5"/>
    </row>
    <row r="151" spans="1:25" ht="15.6" x14ac:dyDescent="0.3">
      <c r="A151" s="24"/>
      <c r="B151" s="25" t="s">
        <v>267</v>
      </c>
      <c r="C151" s="25"/>
      <c r="D151" s="25"/>
      <c r="E151" s="25"/>
      <c r="F151" s="25"/>
      <c r="G151" s="25"/>
      <c r="H151" s="25"/>
      <c r="I151" s="25"/>
      <c r="J151" s="25"/>
      <c r="K151" s="25"/>
      <c r="L151" s="25"/>
      <c r="M151" s="25"/>
      <c r="N151" s="25"/>
      <c r="O151" s="25"/>
      <c r="P151" s="25"/>
      <c r="Q151" s="25"/>
      <c r="R151" s="25"/>
      <c r="S151" s="25"/>
      <c r="T151" s="25"/>
      <c r="U151" s="25"/>
      <c r="V151" s="53">
        <v>0</v>
      </c>
      <c r="W151" s="25"/>
      <c r="X151" s="5"/>
      <c r="Y151" s="109"/>
    </row>
    <row r="152" spans="1:25" ht="15.6" x14ac:dyDescent="0.3">
      <c r="A152" s="24"/>
      <c r="B152" s="25" t="s">
        <v>46</v>
      </c>
      <c r="C152" s="25"/>
      <c r="D152" s="25"/>
      <c r="E152" s="25"/>
      <c r="F152" s="25"/>
      <c r="G152" s="25"/>
      <c r="H152" s="25"/>
      <c r="I152" s="25"/>
      <c r="J152" s="25"/>
      <c r="K152" s="25"/>
      <c r="L152" s="25"/>
      <c r="M152" s="25"/>
      <c r="N152" s="25"/>
      <c r="O152" s="25"/>
      <c r="P152" s="25"/>
      <c r="Q152" s="25"/>
      <c r="R152" s="25"/>
      <c r="S152" s="25"/>
      <c r="T152" s="25"/>
      <c r="U152" s="25"/>
      <c r="V152" s="53">
        <f>SUM(V144:V151)</f>
        <v>28505</v>
      </c>
      <c r="W152" s="25"/>
      <c r="X152" s="5"/>
    </row>
    <row r="153" spans="1:25" ht="15.6" x14ac:dyDescent="0.3">
      <c r="A153" s="24"/>
      <c r="B153" s="25"/>
      <c r="C153" s="25"/>
      <c r="D153" s="25"/>
      <c r="E153" s="25"/>
      <c r="F153" s="25"/>
      <c r="G153" s="25"/>
      <c r="H153" s="25"/>
      <c r="I153" s="25"/>
      <c r="J153" s="25"/>
      <c r="K153" s="25"/>
      <c r="L153" s="25"/>
      <c r="M153" s="25"/>
      <c r="N153" s="25"/>
      <c r="O153" s="25"/>
      <c r="P153" s="25"/>
      <c r="Q153" s="25"/>
      <c r="R153" s="25"/>
      <c r="S153" s="25"/>
      <c r="T153" s="25"/>
      <c r="U153" s="25"/>
      <c r="V153" s="53"/>
      <c r="W153" s="25"/>
      <c r="X153" s="5"/>
    </row>
    <row r="154" spans="1:25" ht="15.6" x14ac:dyDescent="0.3">
      <c r="A154" s="24"/>
      <c r="B154" s="136" t="s">
        <v>237</v>
      </c>
      <c r="C154" s="25"/>
      <c r="D154" s="25"/>
      <c r="E154" s="25"/>
      <c r="F154" s="25"/>
      <c r="G154" s="25"/>
      <c r="H154" s="25"/>
      <c r="I154" s="25"/>
      <c r="J154" s="25"/>
      <c r="K154" s="25"/>
      <c r="L154" s="25"/>
      <c r="M154" s="25"/>
      <c r="N154" s="25"/>
      <c r="O154" s="25"/>
      <c r="P154" s="25"/>
      <c r="Q154" s="25"/>
      <c r="R154" s="25"/>
      <c r="S154" s="25"/>
      <c r="T154" s="25"/>
      <c r="U154" s="25"/>
      <c r="V154" s="53"/>
      <c r="W154" s="25"/>
      <c r="X154" s="5"/>
    </row>
    <row r="155" spans="1:25" ht="15.6" x14ac:dyDescent="0.3">
      <c r="A155" s="24"/>
      <c r="B155" s="25" t="s">
        <v>155</v>
      </c>
      <c r="C155" s="25"/>
      <c r="D155" s="25"/>
      <c r="E155" s="25"/>
      <c r="F155" s="25"/>
      <c r="G155" s="25"/>
      <c r="H155" s="25"/>
      <c r="I155" s="25"/>
      <c r="J155" s="25"/>
      <c r="K155" s="25"/>
      <c r="L155" s="25"/>
      <c r="M155" s="25"/>
      <c r="N155" s="25"/>
      <c r="O155" s="25"/>
      <c r="P155" s="25"/>
      <c r="Q155" s="25"/>
      <c r="R155" s="25"/>
      <c r="S155" s="25"/>
      <c r="T155" s="25"/>
      <c r="U155" s="25"/>
      <c r="V155" s="53">
        <v>7500</v>
      </c>
      <c r="W155" s="25"/>
      <c r="X155" s="5"/>
    </row>
    <row r="156" spans="1:25" ht="15.6" x14ac:dyDescent="0.3">
      <c r="A156" s="24"/>
      <c r="B156" s="25" t="s">
        <v>172</v>
      </c>
      <c r="C156" s="25"/>
      <c r="D156" s="25"/>
      <c r="E156" s="25"/>
      <c r="F156" s="25"/>
      <c r="G156" s="25"/>
      <c r="H156" s="25"/>
      <c r="I156" s="25"/>
      <c r="J156" s="25"/>
      <c r="K156" s="25"/>
      <c r="L156" s="25"/>
      <c r="M156" s="25"/>
      <c r="N156" s="25"/>
      <c r="O156" s="25"/>
      <c r="P156" s="25"/>
      <c r="Q156" s="25"/>
      <c r="R156" s="25"/>
      <c r="S156" s="25"/>
      <c r="T156" s="25"/>
      <c r="U156" s="25"/>
      <c r="V156" s="53">
        <v>0</v>
      </c>
      <c r="W156" s="25"/>
      <c r="X156" s="5"/>
    </row>
    <row r="157" spans="1:25" ht="15.6" x14ac:dyDescent="0.3">
      <c r="A157" s="24"/>
      <c r="B157" s="25" t="s">
        <v>241</v>
      </c>
      <c r="C157" s="25"/>
      <c r="D157" s="25"/>
      <c r="E157" s="25"/>
      <c r="F157" s="25"/>
      <c r="G157" s="25"/>
      <c r="H157" s="25"/>
      <c r="I157" s="25"/>
      <c r="J157" s="25"/>
      <c r="K157" s="25"/>
      <c r="L157" s="25"/>
      <c r="M157" s="25"/>
      <c r="N157" s="25"/>
      <c r="O157" s="25"/>
      <c r="P157" s="25"/>
      <c r="Q157" s="25"/>
      <c r="R157" s="25"/>
      <c r="S157" s="25"/>
      <c r="T157" s="25"/>
      <c r="U157" s="25"/>
      <c r="V157" s="53">
        <v>3000</v>
      </c>
      <c r="W157" s="25"/>
      <c r="X157" s="5"/>
    </row>
    <row r="158" spans="1:25" ht="15.6" x14ac:dyDescent="0.3">
      <c r="A158" s="24"/>
      <c r="B158" s="25"/>
      <c r="C158" s="25"/>
      <c r="D158" s="25"/>
      <c r="E158" s="25"/>
      <c r="F158" s="25"/>
      <c r="G158" s="25"/>
      <c r="H158" s="25"/>
      <c r="I158" s="25"/>
      <c r="J158" s="25"/>
      <c r="K158" s="25"/>
      <c r="L158" s="25"/>
      <c r="M158" s="25"/>
      <c r="N158" s="25"/>
      <c r="O158" s="25"/>
      <c r="P158" s="25"/>
      <c r="Q158" s="25"/>
      <c r="R158" s="25"/>
      <c r="S158" s="25"/>
      <c r="T158" s="25"/>
      <c r="U158" s="25"/>
      <c r="V158" s="53"/>
      <c r="W158" s="25"/>
      <c r="X158" s="5"/>
    </row>
    <row r="159" spans="1:25" ht="15.6" x14ac:dyDescent="0.3">
      <c r="A159" s="24"/>
      <c r="B159" s="25"/>
      <c r="C159" s="25"/>
      <c r="D159" s="25"/>
      <c r="E159" s="25"/>
      <c r="F159" s="25"/>
      <c r="G159" s="25"/>
      <c r="H159" s="25"/>
      <c r="I159" s="25"/>
      <c r="J159" s="25"/>
      <c r="K159" s="25"/>
      <c r="L159" s="25"/>
      <c r="M159" s="25"/>
      <c r="N159" s="25"/>
      <c r="O159" s="25"/>
      <c r="P159" s="25"/>
      <c r="Q159" s="25"/>
      <c r="R159" s="25"/>
      <c r="S159" s="25"/>
      <c r="T159" s="25"/>
      <c r="U159" s="25"/>
      <c r="V159" s="61"/>
      <c r="W159" s="25"/>
      <c r="X159" s="5"/>
    </row>
    <row r="160" spans="1:25" ht="15.6" x14ac:dyDescent="0.3">
      <c r="A160" s="6"/>
      <c r="B160" s="119" t="s">
        <v>24</v>
      </c>
      <c r="C160" s="8"/>
      <c r="D160" s="8"/>
      <c r="E160" s="8"/>
      <c r="F160" s="8"/>
      <c r="G160" s="8"/>
      <c r="H160" s="8"/>
      <c r="I160" s="8"/>
      <c r="J160" s="8"/>
      <c r="K160" s="8"/>
      <c r="L160" s="8"/>
      <c r="M160" s="8"/>
      <c r="N160" s="8"/>
      <c r="O160" s="8"/>
      <c r="P160" s="8"/>
      <c r="Q160" s="8"/>
      <c r="R160" s="8"/>
      <c r="S160" s="8"/>
      <c r="T160" s="8"/>
      <c r="U160" s="8"/>
      <c r="V160" s="52"/>
      <c r="W160" s="8"/>
      <c r="X160" s="5"/>
    </row>
    <row r="161" spans="1:256" ht="15.6" x14ac:dyDescent="0.3">
      <c r="A161" s="24"/>
      <c r="B161" s="25" t="s">
        <v>47</v>
      </c>
      <c r="C161" s="25"/>
      <c r="D161" s="25"/>
      <c r="E161" s="25"/>
      <c r="F161" s="25"/>
      <c r="G161" s="25"/>
      <c r="H161" s="25"/>
      <c r="I161" s="25"/>
      <c r="J161" s="25"/>
      <c r="K161" s="25"/>
      <c r="L161" s="25"/>
      <c r="M161" s="25"/>
      <c r="N161" s="25"/>
      <c r="O161" s="25"/>
      <c r="P161" s="25"/>
      <c r="Q161" s="25"/>
      <c r="R161" s="25"/>
      <c r="S161" s="25"/>
      <c r="T161" s="25"/>
      <c r="U161" s="25"/>
      <c r="V161" s="59" t="s">
        <v>118</v>
      </c>
      <c r="W161" s="25"/>
      <c r="X161" s="5"/>
    </row>
    <row r="162" spans="1:256" ht="15.6" x14ac:dyDescent="0.3">
      <c r="A162" s="24"/>
      <c r="B162" s="25" t="s">
        <v>48</v>
      </c>
      <c r="C162" s="174"/>
      <c r="D162" s="174"/>
      <c r="E162" s="174"/>
      <c r="F162" s="174"/>
      <c r="G162" s="174"/>
      <c r="H162" s="174"/>
      <c r="I162" s="174"/>
      <c r="J162" s="174"/>
      <c r="K162" s="174"/>
      <c r="L162" s="174"/>
      <c r="M162" s="174"/>
      <c r="N162" s="174"/>
      <c r="O162" s="174"/>
      <c r="P162" s="174"/>
      <c r="Q162" s="174"/>
      <c r="R162" s="174"/>
      <c r="S162" s="174"/>
      <c r="T162" s="174"/>
      <c r="U162" s="174"/>
      <c r="V162" s="59" t="s">
        <v>118</v>
      </c>
      <c r="W162" s="25"/>
      <c r="X162" s="5"/>
    </row>
    <row r="163" spans="1:256" ht="15.6" x14ac:dyDescent="0.3">
      <c r="A163" s="24"/>
      <c r="B163" s="25" t="s">
        <v>49</v>
      </c>
      <c r="C163" s="25"/>
      <c r="D163" s="25"/>
      <c r="E163" s="25"/>
      <c r="F163" s="25"/>
      <c r="G163" s="25"/>
      <c r="H163" s="25"/>
      <c r="I163" s="25"/>
      <c r="J163" s="25"/>
      <c r="K163" s="25"/>
      <c r="L163" s="25"/>
      <c r="M163" s="25"/>
      <c r="N163" s="25"/>
      <c r="O163" s="25"/>
      <c r="P163" s="25"/>
      <c r="Q163" s="25"/>
      <c r="R163" s="25"/>
      <c r="S163" s="25"/>
      <c r="T163" s="25"/>
      <c r="U163" s="25"/>
      <c r="V163" s="59" t="s">
        <v>118</v>
      </c>
      <c r="W163" s="25"/>
      <c r="X163" s="5"/>
    </row>
    <row r="164" spans="1:256" ht="15.6" x14ac:dyDescent="0.3">
      <c r="A164" s="24"/>
      <c r="B164" s="25" t="s">
        <v>50</v>
      </c>
      <c r="C164" s="25"/>
      <c r="D164" s="25"/>
      <c r="E164" s="25"/>
      <c r="F164" s="25"/>
      <c r="G164" s="25"/>
      <c r="H164" s="25"/>
      <c r="I164" s="25"/>
      <c r="J164" s="25"/>
      <c r="K164" s="25"/>
      <c r="L164" s="25"/>
      <c r="M164" s="25"/>
      <c r="N164" s="25"/>
      <c r="O164" s="25"/>
      <c r="P164" s="25"/>
      <c r="Q164" s="25"/>
      <c r="R164" s="25"/>
      <c r="S164" s="25"/>
      <c r="T164" s="25"/>
      <c r="U164" s="25"/>
      <c r="V164" s="59" t="s">
        <v>118</v>
      </c>
      <c r="W164" s="25"/>
      <c r="X164" s="5"/>
    </row>
    <row r="165" spans="1:256" ht="15.6" x14ac:dyDescent="0.3">
      <c r="A165" s="24"/>
      <c r="B165" s="25"/>
      <c r="C165" s="25"/>
      <c r="D165" s="25"/>
      <c r="E165" s="25"/>
      <c r="F165" s="25"/>
      <c r="G165" s="25"/>
      <c r="H165" s="25"/>
      <c r="I165" s="25"/>
      <c r="J165" s="25"/>
      <c r="K165" s="25"/>
      <c r="L165" s="25"/>
      <c r="M165" s="25"/>
      <c r="N165" s="25"/>
      <c r="O165" s="25"/>
      <c r="P165" s="25"/>
      <c r="Q165" s="25"/>
      <c r="R165" s="25"/>
      <c r="S165" s="25"/>
      <c r="T165" s="25"/>
      <c r="U165" s="25"/>
      <c r="V165" s="61"/>
      <c r="W165" s="25"/>
      <c r="X165" s="5"/>
    </row>
    <row r="166" spans="1:256" ht="15.6" x14ac:dyDescent="0.3">
      <c r="A166" s="6"/>
      <c r="B166" s="119" t="s">
        <v>51</v>
      </c>
      <c r="C166" s="8"/>
      <c r="D166" s="8"/>
      <c r="E166" s="8"/>
      <c r="F166" s="8"/>
      <c r="G166" s="8"/>
      <c r="H166" s="8"/>
      <c r="I166" s="8"/>
      <c r="J166" s="8"/>
      <c r="K166" s="8"/>
      <c r="L166" s="8"/>
      <c r="M166" s="8"/>
      <c r="N166" s="8"/>
      <c r="O166" s="8"/>
      <c r="P166" s="8"/>
      <c r="Q166" s="8"/>
      <c r="R166" s="8"/>
      <c r="S166" s="8"/>
      <c r="T166" s="8"/>
      <c r="U166" s="8"/>
      <c r="V166" s="63"/>
      <c r="W166" s="8"/>
      <c r="X166" s="5"/>
    </row>
    <row r="167" spans="1:256" ht="15.6" x14ac:dyDescent="0.3">
      <c r="A167" s="24"/>
      <c r="B167" s="25" t="s">
        <v>52</v>
      </c>
      <c r="C167" s="25"/>
      <c r="D167" s="25"/>
      <c r="E167" s="25"/>
      <c r="F167" s="25"/>
      <c r="G167" s="25"/>
      <c r="H167" s="25"/>
      <c r="I167" s="25"/>
      <c r="J167" s="25"/>
      <c r="K167" s="25"/>
      <c r="L167" s="25"/>
      <c r="M167" s="25"/>
      <c r="N167" s="25"/>
      <c r="O167" s="25"/>
      <c r="P167" s="25"/>
      <c r="Q167" s="25"/>
      <c r="R167" s="25"/>
      <c r="S167" s="25"/>
      <c r="T167" s="25"/>
      <c r="U167" s="25"/>
      <c r="V167" s="53">
        <v>0</v>
      </c>
      <c r="W167" s="25"/>
      <c r="X167" s="5"/>
    </row>
    <row r="168" spans="1:256" ht="15.6" x14ac:dyDescent="0.3">
      <c r="A168" s="24"/>
      <c r="B168" s="25" t="s">
        <v>53</v>
      </c>
      <c r="C168" s="25"/>
      <c r="D168" s="25"/>
      <c r="E168" s="25"/>
      <c r="F168" s="25"/>
      <c r="G168" s="25"/>
      <c r="H168" s="25"/>
      <c r="I168" s="25"/>
      <c r="J168" s="25"/>
      <c r="K168" s="25"/>
      <c r="L168" s="25"/>
      <c r="M168" s="25"/>
      <c r="N168" s="25"/>
      <c r="O168" s="25"/>
      <c r="P168" s="25"/>
      <c r="Q168" s="25"/>
      <c r="R168" s="25"/>
      <c r="S168" s="25"/>
      <c r="T168" s="25"/>
      <c r="U168" s="25"/>
      <c r="V168" s="53">
        <v>158</v>
      </c>
      <c r="W168" s="25"/>
      <c r="X168" s="5"/>
    </row>
    <row r="169" spans="1:256" ht="15.6" x14ac:dyDescent="0.3">
      <c r="A169" s="24"/>
      <c r="B169" s="25" t="s">
        <v>54</v>
      </c>
      <c r="C169" s="25"/>
      <c r="D169" s="25"/>
      <c r="E169" s="25"/>
      <c r="F169" s="25"/>
      <c r="G169" s="25"/>
      <c r="H169" s="25"/>
      <c r="I169" s="25"/>
      <c r="J169" s="25"/>
      <c r="K169" s="25"/>
      <c r="L169" s="25"/>
      <c r="M169" s="25"/>
      <c r="N169" s="25"/>
      <c r="O169" s="25"/>
      <c r="P169" s="25"/>
      <c r="Q169" s="25"/>
      <c r="R169" s="25"/>
      <c r="S169" s="25"/>
      <c r="T169" s="25"/>
      <c r="U169" s="25"/>
      <c r="V169" s="53">
        <f>V168+V167</f>
        <v>158</v>
      </c>
      <c r="W169" s="25"/>
      <c r="X169" s="5"/>
    </row>
    <row r="170" spans="1:256" ht="15.6" x14ac:dyDescent="0.3">
      <c r="A170" s="24"/>
      <c r="B170" s="25" t="s">
        <v>315</v>
      </c>
      <c r="C170" s="25"/>
      <c r="D170" s="25"/>
      <c r="E170" s="25"/>
      <c r="F170" s="25"/>
      <c r="G170" s="25"/>
      <c r="H170" s="25"/>
      <c r="I170" s="25"/>
      <c r="J170" s="25"/>
      <c r="K170" s="25"/>
      <c r="L170" s="25"/>
      <c r="M170" s="25"/>
      <c r="N170" s="25"/>
      <c r="O170" s="25"/>
      <c r="P170" s="25"/>
      <c r="Q170" s="25"/>
      <c r="R170" s="25"/>
      <c r="S170" s="25"/>
      <c r="T170" s="25"/>
      <c r="U170" s="25"/>
      <c r="V170" s="53">
        <f>V116</f>
        <v>-158</v>
      </c>
      <c r="W170" s="25"/>
      <c r="X170" s="5"/>
    </row>
    <row r="171" spans="1:256" ht="15.6" x14ac:dyDescent="0.3">
      <c r="A171" s="24"/>
      <c r="B171" s="25" t="s">
        <v>55</v>
      </c>
      <c r="C171" s="25"/>
      <c r="D171" s="25"/>
      <c r="E171" s="25"/>
      <c r="F171" s="25"/>
      <c r="G171" s="25"/>
      <c r="H171" s="25"/>
      <c r="I171" s="25"/>
      <c r="J171" s="25"/>
      <c r="K171" s="25"/>
      <c r="L171" s="25"/>
      <c r="M171" s="25"/>
      <c r="N171" s="25"/>
      <c r="O171" s="25"/>
      <c r="P171" s="25"/>
      <c r="Q171" s="25"/>
      <c r="R171" s="25"/>
      <c r="S171" s="25"/>
      <c r="T171" s="25"/>
      <c r="U171" s="25"/>
      <c r="V171" s="53">
        <f>V169+V170</f>
        <v>0</v>
      </c>
      <c r="W171" s="25"/>
      <c r="X171" s="5"/>
    </row>
    <row r="172" spans="1:256" ht="16.2" thickBot="1" x14ac:dyDescent="0.35">
      <c r="A172" s="24"/>
      <c r="B172" s="25"/>
      <c r="C172" s="25"/>
      <c r="D172" s="25"/>
      <c r="E172" s="25"/>
      <c r="F172" s="25"/>
      <c r="G172" s="25"/>
      <c r="H172" s="25"/>
      <c r="I172" s="25"/>
      <c r="J172" s="25"/>
      <c r="K172" s="25"/>
      <c r="L172" s="25"/>
      <c r="M172" s="25"/>
      <c r="N172" s="25"/>
      <c r="O172" s="25"/>
      <c r="P172" s="25"/>
      <c r="Q172" s="25"/>
      <c r="R172" s="25"/>
      <c r="S172" s="25"/>
      <c r="T172" s="25"/>
      <c r="U172" s="25"/>
      <c r="V172" s="61"/>
      <c r="W172" s="25"/>
      <c r="X172" s="5"/>
    </row>
    <row r="173" spans="1:256" ht="15.6" x14ac:dyDescent="0.3">
      <c r="A173" s="2"/>
      <c r="B173" s="4"/>
      <c r="C173" s="4"/>
      <c r="D173" s="4"/>
      <c r="E173" s="4"/>
      <c r="F173" s="4"/>
      <c r="G173" s="4"/>
      <c r="H173" s="4"/>
      <c r="I173" s="4"/>
      <c r="J173" s="4"/>
      <c r="K173" s="4"/>
      <c r="L173" s="4"/>
      <c r="M173" s="4"/>
      <c r="N173" s="4"/>
      <c r="O173" s="4"/>
      <c r="P173" s="4"/>
      <c r="Q173" s="4"/>
      <c r="R173" s="4"/>
      <c r="S173" s="4"/>
      <c r="T173" s="4"/>
      <c r="U173" s="4"/>
      <c r="V173" s="50"/>
      <c r="W173" s="4"/>
      <c r="X173" s="5"/>
    </row>
    <row r="174" spans="1:256" s="161" customFormat="1" ht="15.6" x14ac:dyDescent="0.3">
      <c r="A174" s="6"/>
      <c r="B174" s="119" t="s">
        <v>269</v>
      </c>
      <c r="C174" s="160"/>
      <c r="D174" s="160"/>
      <c r="E174" s="160"/>
      <c r="F174" s="160"/>
      <c r="G174" s="160"/>
      <c r="H174" s="160"/>
      <c r="I174" s="160"/>
      <c r="J174" s="160"/>
      <c r="K174" s="160"/>
      <c r="L174" s="160"/>
      <c r="M174" s="160"/>
      <c r="N174" s="160"/>
      <c r="O174" s="160"/>
      <c r="P174" s="160"/>
      <c r="Q174" s="160"/>
      <c r="R174" s="160"/>
      <c r="S174" s="160"/>
      <c r="T174" s="160"/>
      <c r="U174" s="160"/>
      <c r="V174" s="168"/>
      <c r="W174" s="160"/>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5.6" x14ac:dyDescent="0.3">
      <c r="A175" s="24"/>
      <c r="B175" s="162" t="s">
        <v>270</v>
      </c>
      <c r="C175" s="162"/>
      <c r="D175" s="162"/>
      <c r="E175" s="162"/>
      <c r="F175" s="162"/>
      <c r="G175" s="162"/>
      <c r="H175" s="162"/>
      <c r="I175" s="162"/>
      <c r="J175" s="162"/>
      <c r="K175" s="162"/>
      <c r="L175" s="162"/>
      <c r="M175" s="162"/>
      <c r="N175" s="162"/>
      <c r="O175" s="162"/>
      <c r="P175" s="162"/>
      <c r="Q175" s="162"/>
      <c r="R175" s="162"/>
      <c r="S175" s="162"/>
      <c r="T175" s="162"/>
      <c r="U175" s="162"/>
      <c r="V175" s="169">
        <f>+'Aug 08'!V177</f>
        <v>0</v>
      </c>
      <c r="W175" s="162"/>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3" customFormat="1" ht="15.6" x14ac:dyDescent="0.3">
      <c r="A176" s="24"/>
      <c r="B176" s="162" t="s">
        <v>273</v>
      </c>
      <c r="C176" s="162"/>
      <c r="D176" s="162"/>
      <c r="E176" s="162"/>
      <c r="F176" s="162"/>
      <c r="G176" s="162"/>
      <c r="H176" s="162"/>
      <c r="I176" s="162"/>
      <c r="J176" s="162"/>
      <c r="K176" s="162"/>
      <c r="L176" s="162"/>
      <c r="M176" s="162"/>
      <c r="N176" s="162"/>
      <c r="O176" s="162"/>
      <c r="P176" s="162"/>
      <c r="Q176" s="162"/>
      <c r="R176" s="162"/>
      <c r="S176" s="162"/>
      <c r="T176" s="162"/>
      <c r="U176" s="162"/>
      <c r="V176" s="169">
        <f>+V95</f>
        <v>0</v>
      </c>
      <c r="W176" s="162"/>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s="163" customFormat="1" ht="15.6" x14ac:dyDescent="0.3">
      <c r="A177" s="24"/>
      <c r="B177" s="162" t="s">
        <v>271</v>
      </c>
      <c r="C177" s="162"/>
      <c r="D177" s="162"/>
      <c r="E177" s="162"/>
      <c r="F177" s="162"/>
      <c r="G177" s="162"/>
      <c r="H177" s="162"/>
      <c r="I177" s="162"/>
      <c r="J177" s="162"/>
      <c r="K177" s="162"/>
      <c r="L177" s="162"/>
      <c r="M177" s="162"/>
      <c r="N177" s="162"/>
      <c r="O177" s="162"/>
      <c r="P177" s="162"/>
      <c r="Q177" s="162"/>
      <c r="R177" s="162"/>
      <c r="S177" s="162"/>
      <c r="T177" s="162"/>
      <c r="U177" s="162"/>
      <c r="V177" s="169">
        <f>+V175-V176</f>
        <v>0</v>
      </c>
      <c r="W177" s="162"/>
      <c r="X177" s="5"/>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s="166" customFormat="1" ht="16.2" thickBot="1" x14ac:dyDescent="0.35">
      <c r="A178" s="170"/>
      <c r="B178" s="164"/>
      <c r="C178" s="164"/>
      <c r="D178" s="164"/>
      <c r="E178" s="164"/>
      <c r="F178" s="164"/>
      <c r="G178" s="164"/>
      <c r="H178" s="164"/>
      <c r="I178" s="164"/>
      <c r="J178" s="164"/>
      <c r="K178" s="164"/>
      <c r="L178" s="164"/>
      <c r="M178" s="164"/>
      <c r="N178" s="164"/>
      <c r="O178" s="164"/>
      <c r="P178" s="164"/>
      <c r="Q178" s="164"/>
      <c r="R178" s="164"/>
      <c r="S178" s="164"/>
      <c r="T178" s="164"/>
      <c r="U178" s="164"/>
      <c r="V178" s="165"/>
      <c r="W178" s="164"/>
      <c r="X178" s="5"/>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s="167" customFormat="1" ht="15.6" x14ac:dyDescent="0.3">
      <c r="A179" s="2"/>
      <c r="B179" s="4"/>
      <c r="C179" s="4"/>
      <c r="D179" s="4"/>
      <c r="E179" s="4"/>
      <c r="F179" s="4"/>
      <c r="G179" s="4"/>
      <c r="H179" s="4"/>
      <c r="I179" s="4"/>
      <c r="J179" s="4"/>
      <c r="K179" s="4"/>
      <c r="L179" s="4"/>
      <c r="M179" s="4"/>
      <c r="N179" s="4"/>
      <c r="O179" s="4"/>
      <c r="P179" s="4"/>
      <c r="Q179" s="4"/>
      <c r="R179" s="4"/>
      <c r="S179" s="4"/>
      <c r="T179" s="4"/>
      <c r="U179" s="4"/>
      <c r="V179" s="50"/>
      <c r="W179" s="4"/>
      <c r="X179" s="5"/>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ht="15.6" x14ac:dyDescent="0.3">
      <c r="A180" s="6"/>
      <c r="B180" s="119" t="s">
        <v>56</v>
      </c>
      <c r="C180" s="8"/>
      <c r="D180" s="8"/>
      <c r="E180" s="8"/>
      <c r="F180" s="8"/>
      <c r="G180" s="8"/>
      <c r="H180" s="8"/>
      <c r="I180" s="8"/>
      <c r="J180" s="8"/>
      <c r="K180" s="8"/>
      <c r="L180" s="8"/>
      <c r="M180" s="8"/>
      <c r="N180" s="8"/>
      <c r="O180" s="8"/>
      <c r="P180" s="8"/>
      <c r="Q180" s="8"/>
      <c r="R180" s="8"/>
      <c r="S180" s="8"/>
      <c r="T180" s="8"/>
      <c r="U180" s="8"/>
      <c r="V180" s="52"/>
      <c r="W180" s="8"/>
      <c r="X180" s="5"/>
    </row>
    <row r="181" spans="1:256" ht="15.6" x14ac:dyDescent="0.3">
      <c r="A181" s="6"/>
      <c r="B181" s="21"/>
      <c r="C181" s="8"/>
      <c r="D181" s="8"/>
      <c r="E181" s="8"/>
      <c r="F181" s="8"/>
      <c r="G181" s="8"/>
      <c r="H181" s="8"/>
      <c r="I181" s="8"/>
      <c r="J181" s="8"/>
      <c r="K181" s="8"/>
      <c r="L181" s="8"/>
      <c r="M181" s="8"/>
      <c r="N181" s="8"/>
      <c r="O181" s="8"/>
      <c r="P181" s="8"/>
      <c r="Q181" s="8"/>
      <c r="R181" s="8"/>
      <c r="S181" s="8"/>
      <c r="T181" s="8"/>
      <c r="U181" s="8"/>
      <c r="V181" s="52"/>
      <c r="W181" s="8"/>
      <c r="X181" s="5"/>
    </row>
    <row r="182" spans="1:256" ht="15.6" x14ac:dyDescent="0.3">
      <c r="A182" s="24"/>
      <c r="B182" s="25" t="s">
        <v>57</v>
      </c>
      <c r="C182" s="25"/>
      <c r="D182" s="25"/>
      <c r="E182" s="25"/>
      <c r="F182" s="25"/>
      <c r="G182" s="25"/>
      <c r="H182" s="25"/>
      <c r="I182" s="25"/>
      <c r="J182" s="25"/>
      <c r="K182" s="25"/>
      <c r="L182" s="25"/>
      <c r="M182" s="25"/>
      <c r="N182" s="25"/>
      <c r="O182" s="25"/>
      <c r="P182" s="25"/>
      <c r="Q182" s="25"/>
      <c r="R182" s="25"/>
      <c r="S182" s="25"/>
      <c r="T182" s="25"/>
      <c r="U182" s="25"/>
      <c r="V182" s="53">
        <f>V72</f>
        <v>1221489</v>
      </c>
      <c r="W182" s="25"/>
      <c r="X182" s="5"/>
    </row>
    <row r="183" spans="1:256" ht="15.6" x14ac:dyDescent="0.3">
      <c r="A183" s="24"/>
      <c r="B183" s="25" t="s">
        <v>58</v>
      </c>
      <c r="C183" s="25"/>
      <c r="D183" s="25"/>
      <c r="E183" s="25"/>
      <c r="F183" s="25"/>
      <c r="G183" s="25"/>
      <c r="H183" s="25"/>
      <c r="I183" s="25"/>
      <c r="J183" s="25"/>
      <c r="K183" s="25"/>
      <c r="L183" s="25"/>
      <c r="M183" s="25"/>
      <c r="N183" s="25"/>
      <c r="O183" s="25"/>
      <c r="P183" s="25"/>
      <c r="Q183" s="25"/>
      <c r="R183" s="25"/>
      <c r="S183" s="25"/>
      <c r="T183" s="25"/>
      <c r="U183" s="25"/>
      <c r="V183" s="53">
        <f>V85</f>
        <v>1221489</v>
      </c>
      <c r="W183" s="25"/>
      <c r="X183" s="5"/>
    </row>
    <row r="184" spans="1:256" ht="16.2" thickBot="1" x14ac:dyDescent="0.35">
      <c r="A184" s="24"/>
      <c r="B184" s="25"/>
      <c r="C184" s="25"/>
      <c r="D184" s="25"/>
      <c r="E184" s="25"/>
      <c r="F184" s="25"/>
      <c r="G184" s="25"/>
      <c r="H184" s="25"/>
      <c r="I184" s="25"/>
      <c r="J184" s="25"/>
      <c r="K184" s="25"/>
      <c r="L184" s="25"/>
      <c r="M184" s="25"/>
      <c r="N184" s="25"/>
      <c r="O184" s="25"/>
      <c r="P184" s="25"/>
      <c r="Q184" s="25"/>
      <c r="R184" s="25"/>
      <c r="S184" s="25"/>
      <c r="T184" s="25"/>
      <c r="U184" s="25"/>
      <c r="V184" s="61"/>
      <c r="W184" s="25"/>
      <c r="X184" s="5"/>
    </row>
    <row r="185" spans="1:256" ht="15.6" x14ac:dyDescent="0.3">
      <c r="A185" s="2"/>
      <c r="B185" s="4"/>
      <c r="C185" s="4"/>
      <c r="D185" s="4"/>
      <c r="E185" s="4"/>
      <c r="F185" s="4"/>
      <c r="G185" s="4"/>
      <c r="H185" s="4"/>
      <c r="I185" s="4"/>
      <c r="J185" s="4"/>
      <c r="K185" s="4"/>
      <c r="L185" s="4"/>
      <c r="M185" s="4"/>
      <c r="N185" s="4"/>
      <c r="O185" s="4"/>
      <c r="P185" s="4"/>
      <c r="Q185" s="4"/>
      <c r="R185" s="4"/>
      <c r="S185" s="4"/>
      <c r="T185" s="4"/>
      <c r="U185" s="4"/>
      <c r="V185" s="50"/>
      <c r="W185" s="4"/>
      <c r="X185" s="5"/>
    </row>
    <row r="186" spans="1:256" ht="15.6" x14ac:dyDescent="0.3">
      <c r="A186" s="6"/>
      <c r="B186" s="119" t="s">
        <v>59</v>
      </c>
      <c r="C186" s="117"/>
      <c r="D186" s="117"/>
      <c r="E186" s="117"/>
      <c r="F186" s="117"/>
      <c r="G186" s="117"/>
      <c r="H186" s="120"/>
      <c r="I186" s="120"/>
      <c r="J186" s="120"/>
      <c r="K186" s="120"/>
      <c r="L186" s="120"/>
      <c r="M186" s="120"/>
      <c r="N186" s="120"/>
      <c r="O186" s="120"/>
      <c r="P186" s="120"/>
      <c r="Q186" s="120"/>
      <c r="R186" s="120"/>
      <c r="S186" s="120" t="s">
        <v>101</v>
      </c>
      <c r="T186" s="120" t="s">
        <v>176</v>
      </c>
      <c r="U186" s="111"/>
      <c r="V186" s="121" t="s">
        <v>114</v>
      </c>
      <c r="W186" s="10"/>
      <c r="X186" s="5"/>
    </row>
    <row r="187" spans="1:256" ht="15.6" x14ac:dyDescent="0.3">
      <c r="A187" s="24"/>
      <c r="B187" s="25" t="s">
        <v>60</v>
      </c>
      <c r="C187" s="25"/>
      <c r="D187" s="25"/>
      <c r="E187" s="25"/>
      <c r="F187" s="25"/>
      <c r="G187" s="25"/>
      <c r="H187" s="25"/>
      <c r="I187" s="25"/>
      <c r="J187" s="25"/>
      <c r="K187" s="25"/>
      <c r="L187" s="25"/>
      <c r="M187" s="25"/>
      <c r="N187" s="25"/>
      <c r="O187" s="25"/>
      <c r="P187" s="25"/>
      <c r="Q187" s="25"/>
      <c r="R187" s="25"/>
      <c r="S187" s="53">
        <f>+V34*0.16</f>
        <v>240044</v>
      </c>
      <c r="T187" s="40"/>
      <c r="U187" s="25"/>
      <c r="V187" s="53"/>
      <c r="W187" s="25"/>
      <c r="X187" s="5"/>
    </row>
    <row r="188" spans="1:256" ht="15.6" x14ac:dyDescent="0.3">
      <c r="A188" s="24"/>
      <c r="B188" s="25" t="s">
        <v>61</v>
      </c>
      <c r="C188" s="25"/>
      <c r="D188" s="25"/>
      <c r="E188" s="25"/>
      <c r="F188" s="25"/>
      <c r="G188" s="25"/>
      <c r="H188" s="25"/>
      <c r="I188" s="25"/>
      <c r="J188" s="25"/>
      <c r="K188" s="25"/>
      <c r="L188" s="25"/>
      <c r="M188" s="25"/>
      <c r="N188" s="25"/>
      <c r="O188" s="25"/>
      <c r="P188" s="25"/>
      <c r="Q188" s="25"/>
      <c r="R188" s="25"/>
      <c r="S188" s="53">
        <f>+'Nov 08'!S190</f>
        <v>20817</v>
      </c>
      <c r="T188" s="53">
        <f>+'Nov 08'!T190</f>
        <v>5843</v>
      </c>
      <c r="U188" s="25"/>
      <c r="V188" s="53">
        <f>S188+T188</f>
        <v>26660</v>
      </c>
      <c r="W188" s="25"/>
      <c r="X188" s="5"/>
    </row>
    <row r="189" spans="1:256" ht="15.6" x14ac:dyDescent="0.3">
      <c r="A189" s="24"/>
      <c r="B189" s="25" t="s">
        <v>62</v>
      </c>
      <c r="C189" s="25"/>
      <c r="D189" s="25"/>
      <c r="E189" s="25"/>
      <c r="F189" s="25"/>
      <c r="G189" s="25"/>
      <c r="H189" s="25"/>
      <c r="I189" s="25"/>
      <c r="J189" s="25"/>
      <c r="K189" s="25"/>
      <c r="L189" s="25"/>
      <c r="M189" s="25"/>
      <c r="N189" s="25"/>
      <c r="O189" s="25"/>
      <c r="P189" s="25"/>
      <c r="Q189" s="25"/>
      <c r="R189" s="25"/>
      <c r="S189" s="34">
        <v>445</v>
      </c>
      <c r="T189" s="34">
        <v>79</v>
      </c>
      <c r="U189" s="25"/>
      <c r="V189" s="53">
        <f>S189+T189</f>
        <v>524</v>
      </c>
      <c r="W189" s="25"/>
      <c r="X189" s="5"/>
    </row>
    <row r="190" spans="1:256" ht="15.6" x14ac:dyDescent="0.3">
      <c r="A190" s="24"/>
      <c r="B190" s="25" t="s">
        <v>63</v>
      </c>
      <c r="C190" s="25"/>
      <c r="D190" s="25"/>
      <c r="E190" s="25"/>
      <c r="F190" s="25"/>
      <c r="G190" s="25"/>
      <c r="H190" s="25"/>
      <c r="I190" s="25"/>
      <c r="J190" s="25"/>
      <c r="K190" s="25"/>
      <c r="L190" s="25"/>
      <c r="M190" s="25"/>
      <c r="N190" s="25"/>
      <c r="O190" s="25"/>
      <c r="P190" s="25"/>
      <c r="Q190" s="25"/>
      <c r="R190" s="25"/>
      <c r="S190" s="53">
        <f>S188+S189</f>
        <v>21262</v>
      </c>
      <c r="T190" s="53">
        <f>T189+T188</f>
        <v>5922</v>
      </c>
      <c r="U190" s="25"/>
      <c r="V190" s="53">
        <f>S190+T190</f>
        <v>27184</v>
      </c>
      <c r="W190" s="25"/>
      <c r="X190" s="5"/>
    </row>
    <row r="191" spans="1:256" ht="15.6" x14ac:dyDescent="0.3">
      <c r="A191" s="24"/>
      <c r="B191" s="25" t="s">
        <v>64</v>
      </c>
      <c r="C191" s="25"/>
      <c r="D191" s="25"/>
      <c r="E191" s="25"/>
      <c r="F191" s="25"/>
      <c r="G191" s="25"/>
      <c r="H191" s="25"/>
      <c r="I191" s="25"/>
      <c r="J191" s="25"/>
      <c r="K191" s="25"/>
      <c r="L191" s="25"/>
      <c r="M191" s="25"/>
      <c r="N191" s="25"/>
      <c r="O191" s="25"/>
      <c r="P191" s="25"/>
      <c r="Q191" s="25"/>
      <c r="R191" s="25"/>
      <c r="S191" s="53">
        <f>S187-S190-T190</f>
        <v>212860</v>
      </c>
      <c r="T191" s="40"/>
      <c r="U191" s="25"/>
      <c r="V191" s="53"/>
      <c r="W191" s="25"/>
      <c r="X191" s="5"/>
    </row>
    <row r="192" spans="1:256" ht="16.2" thickBot="1" x14ac:dyDescent="0.35">
      <c r="A192" s="24"/>
      <c r="B192" s="25"/>
      <c r="C192" s="25"/>
      <c r="D192" s="25"/>
      <c r="E192" s="25"/>
      <c r="F192" s="25"/>
      <c r="G192" s="25"/>
      <c r="H192" s="25"/>
      <c r="I192" s="25"/>
      <c r="J192" s="25"/>
      <c r="K192" s="25"/>
      <c r="L192" s="25"/>
      <c r="M192" s="25"/>
      <c r="N192" s="25"/>
      <c r="O192" s="25"/>
      <c r="P192" s="25"/>
      <c r="Q192" s="25"/>
      <c r="R192" s="25"/>
      <c r="S192" s="25"/>
      <c r="T192" s="25"/>
      <c r="U192" s="25"/>
      <c r="V192" s="61"/>
      <c r="W192" s="25"/>
      <c r="X192" s="5"/>
    </row>
    <row r="193" spans="1:24" ht="15.6" x14ac:dyDescent="0.3">
      <c r="A193" s="2"/>
      <c r="B193" s="4"/>
      <c r="C193" s="4"/>
      <c r="D193" s="4"/>
      <c r="E193" s="4"/>
      <c r="F193" s="4"/>
      <c r="G193" s="4"/>
      <c r="H193" s="4"/>
      <c r="I193" s="4"/>
      <c r="J193" s="4"/>
      <c r="K193" s="4"/>
      <c r="L193" s="4"/>
      <c r="M193" s="4"/>
      <c r="N193" s="4"/>
      <c r="O193" s="4"/>
      <c r="P193" s="4"/>
      <c r="Q193" s="4"/>
      <c r="R193" s="4"/>
      <c r="S193" s="4"/>
      <c r="T193" s="4"/>
      <c r="U193" s="4"/>
      <c r="V193" s="50"/>
      <c r="W193" s="4"/>
      <c r="X193" s="5"/>
    </row>
    <row r="194" spans="1:24" ht="15.6" x14ac:dyDescent="0.3">
      <c r="A194" s="6"/>
      <c r="B194" s="119" t="s">
        <v>65</v>
      </c>
      <c r="C194" s="8"/>
      <c r="D194" s="8"/>
      <c r="E194" s="8"/>
      <c r="F194" s="8"/>
      <c r="G194" s="8"/>
      <c r="H194" s="8"/>
      <c r="I194" s="8"/>
      <c r="J194" s="8"/>
      <c r="K194" s="8"/>
      <c r="L194" s="8"/>
      <c r="M194" s="8"/>
      <c r="N194" s="8"/>
      <c r="O194" s="8"/>
      <c r="P194" s="8"/>
      <c r="Q194" s="8"/>
      <c r="R194" s="8"/>
      <c r="S194" s="8"/>
      <c r="T194" s="8"/>
      <c r="U194" s="8"/>
      <c r="V194" s="65"/>
      <c r="W194" s="8"/>
      <c r="X194" s="5"/>
    </row>
    <row r="195" spans="1:24" ht="15.6" x14ac:dyDescent="0.3">
      <c r="A195" s="24"/>
      <c r="B195" s="25" t="s">
        <v>66</v>
      </c>
      <c r="C195" s="25"/>
      <c r="D195" s="25"/>
      <c r="E195" s="25"/>
      <c r="F195" s="25"/>
      <c r="G195" s="25"/>
      <c r="H195" s="25"/>
      <c r="I195" s="25"/>
      <c r="J195" s="25"/>
      <c r="K195" s="25"/>
      <c r="L195" s="25"/>
      <c r="M195" s="25"/>
      <c r="N195" s="25"/>
      <c r="O195" s="25"/>
      <c r="P195" s="25"/>
      <c r="Q195" s="25"/>
      <c r="R195" s="25"/>
      <c r="S195" s="25"/>
      <c r="T195" s="25"/>
      <c r="U195" s="25"/>
      <c r="V195" s="59">
        <f>(V102+V104+V105+V106+V107)/-(V108+V109)</f>
        <v>1.5116169359594291</v>
      </c>
      <c r="W195" s="25" t="s">
        <v>115</v>
      </c>
      <c r="X195" s="5"/>
    </row>
    <row r="196" spans="1:24" ht="15.6" x14ac:dyDescent="0.3">
      <c r="A196" s="24"/>
      <c r="B196" s="25" t="s">
        <v>67</v>
      </c>
      <c r="C196" s="25"/>
      <c r="D196" s="25"/>
      <c r="E196" s="25"/>
      <c r="F196" s="25"/>
      <c r="G196" s="25"/>
      <c r="H196" s="25"/>
      <c r="I196" s="25"/>
      <c r="J196" s="25"/>
      <c r="K196" s="25"/>
      <c r="L196" s="25"/>
      <c r="M196" s="25"/>
      <c r="N196" s="25"/>
      <c r="O196" s="25"/>
      <c r="P196" s="25"/>
      <c r="Q196" s="25"/>
      <c r="R196" s="25"/>
      <c r="S196" s="25"/>
      <c r="T196" s="25"/>
      <c r="U196" s="25"/>
      <c r="V196" s="66">
        <v>1.38</v>
      </c>
      <c r="W196" s="25" t="s">
        <v>115</v>
      </c>
      <c r="X196" s="5"/>
    </row>
    <row r="197" spans="1:24" ht="15.6" x14ac:dyDescent="0.3">
      <c r="A197" s="24"/>
      <c r="B197" s="25" t="s">
        <v>68</v>
      </c>
      <c r="C197" s="25"/>
      <c r="D197" s="25"/>
      <c r="E197" s="25"/>
      <c r="F197" s="25"/>
      <c r="G197" s="25"/>
      <c r="H197" s="25"/>
      <c r="I197" s="25"/>
      <c r="J197" s="25"/>
      <c r="K197" s="25"/>
      <c r="L197" s="25"/>
      <c r="M197" s="25"/>
      <c r="N197" s="25"/>
      <c r="O197" s="25"/>
      <c r="P197" s="25"/>
      <c r="Q197" s="25"/>
      <c r="R197" s="25"/>
      <c r="S197" s="25"/>
      <c r="T197" s="25"/>
      <c r="U197" s="25"/>
      <c r="V197" s="59">
        <f>(V102+V104+V105+V106+V107+V108+V109)/-(V111+V112)</f>
        <v>4.6395721925133691</v>
      </c>
      <c r="W197" s="25" t="s">
        <v>115</v>
      </c>
      <c r="X197" s="5"/>
    </row>
    <row r="198" spans="1:24" ht="15.6" x14ac:dyDescent="0.3">
      <c r="A198" s="24"/>
      <c r="B198" s="25" t="s">
        <v>69</v>
      </c>
      <c r="C198" s="25"/>
      <c r="D198" s="25"/>
      <c r="E198" s="25"/>
      <c r="F198" s="25"/>
      <c r="G198" s="25"/>
      <c r="H198" s="25"/>
      <c r="I198" s="25"/>
      <c r="J198" s="25"/>
      <c r="K198" s="25"/>
      <c r="L198" s="25"/>
      <c r="M198" s="25"/>
      <c r="N198" s="25"/>
      <c r="O198" s="25"/>
      <c r="P198" s="25"/>
      <c r="Q198" s="25"/>
      <c r="R198" s="25"/>
      <c r="S198" s="25"/>
      <c r="T198" s="25"/>
      <c r="U198" s="25"/>
      <c r="V198" s="66">
        <v>3.99</v>
      </c>
      <c r="W198" s="25" t="s">
        <v>115</v>
      </c>
      <c r="X198" s="5"/>
    </row>
    <row r="199" spans="1:24" ht="15.6" x14ac:dyDescent="0.3">
      <c r="A199" s="24"/>
      <c r="B199" s="25" t="s">
        <v>198</v>
      </c>
      <c r="C199" s="25"/>
      <c r="D199" s="25"/>
      <c r="E199" s="25"/>
      <c r="F199" s="25"/>
      <c r="G199" s="25"/>
      <c r="H199" s="25"/>
      <c r="I199" s="25"/>
      <c r="J199" s="25"/>
      <c r="K199" s="25"/>
      <c r="L199" s="25"/>
      <c r="M199" s="25"/>
      <c r="N199" s="25"/>
      <c r="O199" s="25"/>
      <c r="P199" s="25"/>
      <c r="Q199" s="25"/>
      <c r="R199" s="25"/>
      <c r="S199" s="25"/>
      <c r="T199" s="25"/>
      <c r="U199" s="25"/>
      <c r="V199" s="59">
        <f>(V102+V104+V105+V106+V107+V108+V109+V111+V112)/-(V113+V114)</f>
        <v>3.4098196392785569</v>
      </c>
      <c r="W199" s="25" t="s">
        <v>115</v>
      </c>
      <c r="X199" s="5"/>
    </row>
    <row r="200" spans="1:24" ht="15.6" x14ac:dyDescent="0.3">
      <c r="A200" s="24"/>
      <c r="B200" s="25" t="s">
        <v>199</v>
      </c>
      <c r="C200" s="25"/>
      <c r="D200" s="25"/>
      <c r="E200" s="25"/>
      <c r="F200" s="25"/>
      <c r="G200" s="25"/>
      <c r="H200" s="25"/>
      <c r="I200" s="25"/>
      <c r="J200" s="25"/>
      <c r="K200" s="25"/>
      <c r="L200" s="25"/>
      <c r="M200" s="25"/>
      <c r="N200" s="25"/>
      <c r="O200" s="25"/>
      <c r="P200" s="25"/>
      <c r="Q200" s="25"/>
      <c r="R200" s="25"/>
      <c r="S200" s="25"/>
      <c r="T200" s="25"/>
      <c r="U200" s="25"/>
      <c r="V200" s="66">
        <v>2.88</v>
      </c>
      <c r="W200" s="25" t="s">
        <v>115</v>
      </c>
      <c r="X200" s="5"/>
    </row>
    <row r="201" spans="1:24" ht="15.6" x14ac:dyDescent="0.3">
      <c r="A201" s="24"/>
      <c r="B201" s="25"/>
      <c r="C201" s="25"/>
      <c r="D201" s="25"/>
      <c r="E201" s="25"/>
      <c r="F201" s="25"/>
      <c r="G201" s="25"/>
      <c r="H201" s="25"/>
      <c r="I201" s="25"/>
      <c r="J201" s="25"/>
      <c r="K201" s="25"/>
      <c r="L201" s="25"/>
      <c r="M201" s="25"/>
      <c r="N201" s="25"/>
      <c r="O201" s="25"/>
      <c r="P201" s="25"/>
      <c r="Q201" s="25"/>
      <c r="R201" s="25"/>
      <c r="S201" s="25"/>
      <c r="T201" s="25"/>
      <c r="U201" s="25"/>
      <c r="V201" s="25"/>
      <c r="W201" s="25"/>
      <c r="X201" s="5"/>
    </row>
    <row r="202" spans="1:24" ht="15.6" x14ac:dyDescent="0.3">
      <c r="A202" s="24"/>
      <c r="B202" s="25"/>
      <c r="C202" s="25"/>
      <c r="D202" s="25"/>
      <c r="E202" s="25"/>
      <c r="F202" s="25"/>
      <c r="G202" s="25"/>
      <c r="H202" s="25"/>
      <c r="I202" s="25"/>
      <c r="J202" s="25"/>
      <c r="K202" s="25"/>
      <c r="L202" s="25"/>
      <c r="M202" s="25"/>
      <c r="N202" s="25"/>
      <c r="O202" s="25"/>
      <c r="P202" s="25"/>
      <c r="Q202" s="25"/>
      <c r="R202" s="25"/>
      <c r="S202" s="25"/>
      <c r="T202" s="25"/>
      <c r="U202" s="25"/>
      <c r="V202" s="25"/>
      <c r="W202" s="25"/>
      <c r="X202" s="5"/>
    </row>
    <row r="203" spans="1:24" ht="15.6" x14ac:dyDescent="0.3">
      <c r="A203" s="6"/>
      <c r="B203" s="8"/>
      <c r="C203" s="8"/>
      <c r="D203" s="8"/>
      <c r="E203" s="8"/>
      <c r="F203" s="8"/>
      <c r="G203" s="8"/>
      <c r="H203" s="8"/>
      <c r="I203" s="8"/>
      <c r="J203" s="8"/>
      <c r="K203" s="8"/>
      <c r="L203" s="8"/>
      <c r="M203" s="8"/>
      <c r="N203" s="8"/>
      <c r="O203" s="8"/>
      <c r="P203" s="8"/>
      <c r="Q203" s="8"/>
      <c r="R203" s="8"/>
      <c r="S203" s="8"/>
      <c r="T203" s="8"/>
      <c r="U203" s="8"/>
      <c r="V203" s="8"/>
      <c r="W203" s="8"/>
      <c r="X203" s="5"/>
    </row>
    <row r="204" spans="1:24" ht="18" thickBot="1" x14ac:dyDescent="0.35">
      <c r="A204" s="101"/>
      <c r="B204" s="102" t="str">
        <f>B139</f>
        <v>PM14 INVESTOR REPORT QUARTER ENDING FEBRUARY 2009</v>
      </c>
      <c r="C204" s="176"/>
      <c r="D204" s="176"/>
      <c r="E204" s="176"/>
      <c r="F204" s="176"/>
      <c r="G204" s="176"/>
      <c r="H204" s="176"/>
      <c r="I204" s="176"/>
      <c r="J204" s="176"/>
      <c r="K204" s="176"/>
      <c r="L204" s="176"/>
      <c r="M204" s="176"/>
      <c r="N204" s="176"/>
      <c r="O204" s="176"/>
      <c r="P204" s="176"/>
      <c r="Q204" s="176"/>
      <c r="R204" s="176"/>
      <c r="S204" s="176"/>
      <c r="T204" s="176"/>
      <c r="U204" s="176"/>
      <c r="V204" s="176"/>
      <c r="W204" s="177"/>
      <c r="X204" s="5"/>
    </row>
    <row r="205" spans="1:24" ht="15.6" x14ac:dyDescent="0.3">
      <c r="A205" s="67"/>
      <c r="B205" s="60" t="s">
        <v>70</v>
      </c>
      <c r="C205" s="68"/>
      <c r="D205" s="68"/>
      <c r="E205" s="68"/>
      <c r="F205" s="68"/>
      <c r="G205" s="69"/>
      <c r="H205" s="69"/>
      <c r="I205" s="69"/>
      <c r="J205" s="69"/>
      <c r="K205" s="69"/>
      <c r="L205" s="69"/>
      <c r="M205" s="69"/>
      <c r="N205" s="69"/>
      <c r="O205" s="69"/>
      <c r="P205" s="69"/>
      <c r="Q205" s="69"/>
      <c r="R205" s="69"/>
      <c r="S205" s="69"/>
      <c r="T205" s="70">
        <v>39871</v>
      </c>
      <c r="U205" s="4"/>
      <c r="V205" s="4"/>
      <c r="W205" s="4"/>
      <c r="X205" s="5"/>
    </row>
    <row r="206" spans="1:24" ht="15.6" x14ac:dyDescent="0.3">
      <c r="A206" s="71"/>
      <c r="B206" s="72"/>
      <c r="C206" s="73"/>
      <c r="D206" s="73"/>
      <c r="E206" s="73"/>
      <c r="F206" s="73"/>
      <c r="G206" s="74"/>
      <c r="H206" s="74"/>
      <c r="I206" s="74"/>
      <c r="J206" s="74"/>
      <c r="K206" s="74"/>
      <c r="L206" s="74"/>
      <c r="M206" s="74"/>
      <c r="N206" s="74"/>
      <c r="O206" s="74"/>
      <c r="P206" s="74"/>
      <c r="Q206" s="74"/>
      <c r="R206" s="74"/>
      <c r="S206" s="74"/>
      <c r="T206" s="74"/>
      <c r="U206" s="8"/>
      <c r="V206" s="8"/>
      <c r="W206" s="8"/>
      <c r="X206" s="5"/>
    </row>
    <row r="207" spans="1:24" ht="15.6" x14ac:dyDescent="0.3">
      <c r="A207" s="75"/>
      <c r="B207" s="76" t="s">
        <v>71</v>
      </c>
      <c r="C207" s="77"/>
      <c r="D207" s="77"/>
      <c r="E207" s="77"/>
      <c r="F207" s="77"/>
      <c r="G207" s="64"/>
      <c r="H207" s="64"/>
      <c r="I207" s="64"/>
      <c r="J207" s="64"/>
      <c r="K207" s="64"/>
      <c r="L207" s="64"/>
      <c r="M207" s="64"/>
      <c r="N207" s="64"/>
      <c r="O207" s="64"/>
      <c r="P207" s="64"/>
      <c r="Q207" s="64"/>
      <c r="R207" s="64"/>
      <c r="S207" s="64"/>
      <c r="T207" s="78">
        <v>5.2819999999999999E-2</v>
      </c>
      <c r="U207" s="25"/>
      <c r="V207" s="25"/>
      <c r="W207" s="25"/>
      <c r="X207" s="5"/>
    </row>
    <row r="208" spans="1:24" ht="15.6" x14ac:dyDescent="0.3">
      <c r="A208" s="75"/>
      <c r="B208" s="76" t="s">
        <v>151</v>
      </c>
      <c r="C208" s="77"/>
      <c r="D208" s="77"/>
      <c r="E208" s="77"/>
      <c r="F208" s="77"/>
      <c r="G208" s="64"/>
      <c r="H208" s="64"/>
      <c r="I208" s="64"/>
      <c r="J208" s="64"/>
      <c r="K208" s="64"/>
      <c r="L208" s="64"/>
      <c r="M208" s="64"/>
      <c r="N208" s="64"/>
      <c r="O208" s="64"/>
      <c r="P208" s="64"/>
      <c r="Q208" s="64"/>
      <c r="R208" s="64"/>
      <c r="S208" s="64"/>
      <c r="T208" s="39">
        <v>5.7799999999999997E-2</v>
      </c>
      <c r="U208" s="25"/>
      <c r="V208" s="25"/>
      <c r="W208" s="25"/>
      <c r="X208" s="5"/>
    </row>
    <row r="209" spans="1:24" ht="15.6" x14ac:dyDescent="0.3">
      <c r="A209" s="75"/>
      <c r="B209" s="76" t="s">
        <v>72</v>
      </c>
      <c r="C209" s="77"/>
      <c r="D209" s="77"/>
      <c r="E209" s="77"/>
      <c r="F209" s="77"/>
      <c r="G209" s="64"/>
      <c r="H209" s="64"/>
      <c r="I209" s="64"/>
      <c r="J209" s="64"/>
      <c r="K209" s="64"/>
      <c r="L209" s="64"/>
      <c r="M209" s="64"/>
      <c r="N209" s="64"/>
      <c r="O209" s="64"/>
      <c r="P209" s="64"/>
      <c r="Q209" s="64"/>
      <c r="R209" s="64"/>
      <c r="S209" s="64"/>
      <c r="T209" s="78">
        <f>T207-T208</f>
        <v>-4.9799999999999983E-3</v>
      </c>
      <c r="U209" s="25"/>
      <c r="V209" s="25"/>
      <c r="W209" s="25"/>
      <c r="X209" s="5"/>
    </row>
    <row r="210" spans="1:24" ht="15.6" x14ac:dyDescent="0.3">
      <c r="A210" s="75"/>
      <c r="B210" s="76" t="s">
        <v>73</v>
      </c>
      <c r="C210" s="77"/>
      <c r="D210" s="77"/>
      <c r="E210" s="77"/>
      <c r="F210" s="77"/>
      <c r="G210" s="64"/>
      <c r="H210" s="64"/>
      <c r="I210" s="64"/>
      <c r="J210" s="64"/>
      <c r="K210" s="64"/>
      <c r="L210" s="64"/>
      <c r="M210" s="64"/>
      <c r="N210" s="64"/>
      <c r="O210" s="64"/>
      <c r="P210" s="64"/>
      <c r="Q210" s="64"/>
      <c r="R210" s="64"/>
      <c r="S210" s="64"/>
      <c r="T210" s="78">
        <v>4.5659999999999999E-2</v>
      </c>
      <c r="U210" s="25"/>
      <c r="V210" s="25"/>
      <c r="W210" s="25"/>
      <c r="X210" s="5"/>
    </row>
    <row r="211" spans="1:24" ht="15.6" x14ac:dyDescent="0.3">
      <c r="A211" s="75"/>
      <c r="B211" s="76" t="s">
        <v>219</v>
      </c>
      <c r="C211" s="77"/>
      <c r="D211" s="77"/>
      <c r="E211" s="77"/>
      <c r="F211" s="77"/>
      <c r="G211" s="64"/>
      <c r="H211" s="64"/>
      <c r="I211" s="64"/>
      <c r="J211" s="64"/>
      <c r="K211" s="64"/>
      <c r="L211" s="64"/>
      <c r="M211" s="64"/>
      <c r="N211" s="64"/>
      <c r="O211" s="64"/>
      <c r="P211" s="64"/>
      <c r="Q211" s="64"/>
      <c r="R211" s="64"/>
      <c r="S211" s="64"/>
      <c r="T211" s="78">
        <f>V43</f>
        <v>3.2930860742314827E-2</v>
      </c>
      <c r="U211" s="25"/>
      <c r="V211" s="25"/>
      <c r="W211" s="25"/>
      <c r="X211" s="5"/>
    </row>
    <row r="212" spans="1:24" ht="15.6" x14ac:dyDescent="0.3">
      <c r="A212" s="75"/>
      <c r="B212" s="76" t="s">
        <v>74</v>
      </c>
      <c r="C212" s="77"/>
      <c r="D212" s="77"/>
      <c r="E212" s="77"/>
      <c r="F212" s="77"/>
      <c r="G212" s="64"/>
      <c r="H212" s="64"/>
      <c r="I212" s="64"/>
      <c r="J212" s="64"/>
      <c r="K212" s="64"/>
      <c r="L212" s="64"/>
      <c r="M212" s="64"/>
      <c r="N212" s="64"/>
      <c r="O212" s="64"/>
      <c r="P212" s="64"/>
      <c r="Q212" s="64"/>
      <c r="R212" s="64"/>
      <c r="S212" s="64"/>
      <c r="T212" s="78">
        <f>T210-T211</f>
        <v>1.2729139257685172E-2</v>
      </c>
      <c r="U212" s="25"/>
      <c r="V212" s="25"/>
      <c r="W212" s="25"/>
      <c r="X212" s="5"/>
    </row>
    <row r="213" spans="1:24" ht="15.6" x14ac:dyDescent="0.3">
      <c r="A213" s="75"/>
      <c r="B213" s="76" t="s">
        <v>242</v>
      </c>
      <c r="C213" s="77"/>
      <c r="D213" s="77"/>
      <c r="E213" s="77"/>
      <c r="F213" s="77"/>
      <c r="G213" s="64"/>
      <c r="H213" s="64"/>
      <c r="I213" s="64"/>
      <c r="J213" s="64"/>
      <c r="K213" s="64"/>
      <c r="L213" s="64"/>
      <c r="M213" s="64"/>
      <c r="N213" s="64"/>
      <c r="O213" s="64"/>
      <c r="P213" s="64"/>
      <c r="Q213" s="64"/>
      <c r="R213" s="64"/>
      <c r="S213" s="64"/>
      <c r="T213" s="78">
        <f>V102/N72</f>
        <v>1.2189409770137601E-2</v>
      </c>
      <c r="U213" s="25"/>
      <c r="V213" s="25"/>
      <c r="W213" s="25"/>
      <c r="X213" s="5"/>
    </row>
    <row r="214" spans="1:24" ht="15.6" x14ac:dyDescent="0.3">
      <c r="A214" s="75"/>
      <c r="B214" s="76" t="s">
        <v>208</v>
      </c>
      <c r="C214" s="77"/>
      <c r="D214" s="77"/>
      <c r="E214" s="77"/>
      <c r="F214" s="77"/>
      <c r="G214" s="64"/>
      <c r="H214" s="64"/>
      <c r="I214" s="64"/>
      <c r="J214" s="64"/>
      <c r="K214" s="64"/>
      <c r="L214" s="64"/>
      <c r="M214" s="64"/>
      <c r="N214" s="64"/>
      <c r="O214" s="64"/>
      <c r="P214" s="64"/>
      <c r="Q214" s="64"/>
      <c r="R214" s="64"/>
      <c r="S214" s="64"/>
      <c r="T214" s="129">
        <v>51014</v>
      </c>
      <c r="U214" s="25"/>
      <c r="V214" s="25"/>
      <c r="W214" s="25"/>
      <c r="X214" s="5"/>
    </row>
    <row r="215" spans="1:24" ht="15.6" x14ac:dyDescent="0.3">
      <c r="A215" s="75"/>
      <c r="B215" s="76" t="s">
        <v>209</v>
      </c>
      <c r="C215" s="77"/>
      <c r="D215" s="77"/>
      <c r="E215" s="77"/>
      <c r="F215" s="77"/>
      <c r="G215" s="64"/>
      <c r="H215" s="64"/>
      <c r="I215" s="64"/>
      <c r="J215" s="64"/>
      <c r="K215" s="64"/>
      <c r="L215" s="64"/>
      <c r="M215" s="64"/>
      <c r="N215" s="64"/>
      <c r="O215" s="64"/>
      <c r="P215" s="64"/>
      <c r="Q215" s="64"/>
      <c r="R215" s="64"/>
      <c r="S215" s="64"/>
      <c r="T215" s="129">
        <v>51014</v>
      </c>
      <c r="U215" s="25"/>
      <c r="V215" s="25"/>
      <c r="W215" s="25"/>
      <c r="X215" s="5"/>
    </row>
    <row r="216" spans="1:24" ht="15.6" x14ac:dyDescent="0.3">
      <c r="A216" s="75"/>
      <c r="B216" s="76" t="s">
        <v>210</v>
      </c>
      <c r="C216" s="77"/>
      <c r="D216" s="77"/>
      <c r="E216" s="77"/>
      <c r="F216" s="77"/>
      <c r="G216" s="64"/>
      <c r="H216" s="64"/>
      <c r="I216" s="64"/>
      <c r="J216" s="64"/>
      <c r="K216" s="64"/>
      <c r="L216" s="64"/>
      <c r="M216" s="64"/>
      <c r="N216" s="64"/>
      <c r="O216" s="64"/>
      <c r="P216" s="64"/>
      <c r="Q216" s="64"/>
      <c r="R216" s="64"/>
      <c r="S216" s="64"/>
      <c r="T216" s="129">
        <v>51014</v>
      </c>
      <c r="U216" s="25"/>
      <c r="V216" s="25"/>
      <c r="W216" s="25"/>
      <c r="X216" s="5"/>
    </row>
    <row r="217" spans="1:24" ht="15.6" x14ac:dyDescent="0.3">
      <c r="A217" s="75"/>
      <c r="B217" s="76" t="s">
        <v>75</v>
      </c>
      <c r="C217" s="77"/>
      <c r="D217" s="77"/>
      <c r="E217" s="77"/>
      <c r="F217" s="77"/>
      <c r="G217" s="64"/>
      <c r="H217" s="64"/>
      <c r="I217" s="64"/>
      <c r="J217" s="64"/>
      <c r="K217" s="64"/>
      <c r="L217" s="64"/>
      <c r="M217" s="64"/>
      <c r="N217" s="64"/>
      <c r="O217" s="64"/>
      <c r="P217" s="64"/>
      <c r="Q217" s="64"/>
      <c r="R217" s="64"/>
      <c r="S217" s="64"/>
      <c r="T217" s="133">
        <v>20.66</v>
      </c>
      <c r="U217" s="25" t="s">
        <v>110</v>
      </c>
      <c r="V217" s="25"/>
      <c r="W217" s="25"/>
      <c r="X217" s="5"/>
    </row>
    <row r="218" spans="1:24" ht="15.6" x14ac:dyDescent="0.3">
      <c r="A218" s="75"/>
      <c r="B218" s="76" t="s">
        <v>76</v>
      </c>
      <c r="C218" s="77"/>
      <c r="D218" s="77"/>
      <c r="E218" s="77"/>
      <c r="F218" s="77"/>
      <c r="G218" s="64"/>
      <c r="H218" s="64"/>
      <c r="I218" s="64"/>
      <c r="J218" s="64"/>
      <c r="K218" s="64"/>
      <c r="L218" s="64"/>
      <c r="M218" s="64"/>
      <c r="N218" s="64"/>
      <c r="O218" s="64"/>
      <c r="P218" s="64"/>
      <c r="Q218" s="64"/>
      <c r="R218" s="64"/>
      <c r="S218" s="64"/>
      <c r="T218" s="133">
        <v>19.350000000000001</v>
      </c>
      <c r="U218" s="25" t="s">
        <v>110</v>
      </c>
      <c r="V218" s="25"/>
      <c r="W218" s="25"/>
      <c r="X218" s="5"/>
    </row>
    <row r="219" spans="1:24" ht="15.6" x14ac:dyDescent="0.3">
      <c r="A219" s="75"/>
      <c r="B219" s="76" t="s">
        <v>77</v>
      </c>
      <c r="C219" s="77"/>
      <c r="D219" s="77"/>
      <c r="E219" s="77"/>
      <c r="F219" s="77"/>
      <c r="G219" s="64"/>
      <c r="H219" s="64"/>
      <c r="I219" s="64"/>
      <c r="J219" s="64"/>
      <c r="K219" s="64"/>
      <c r="L219" s="64"/>
      <c r="M219" s="64"/>
      <c r="N219" s="64"/>
      <c r="O219" s="64"/>
      <c r="P219" s="64"/>
      <c r="Q219" s="64"/>
      <c r="R219" s="64"/>
      <c r="S219" s="64"/>
      <c r="T219" s="78">
        <f>+P69/N69</f>
        <v>3.730000394275125E-2</v>
      </c>
      <c r="U219" s="25"/>
      <c r="V219" s="25"/>
      <c r="W219" s="25"/>
      <c r="X219" s="5"/>
    </row>
    <row r="220" spans="1:24" ht="15.6" x14ac:dyDescent="0.3">
      <c r="A220" s="75"/>
      <c r="B220" s="76" t="s">
        <v>78</v>
      </c>
      <c r="C220" s="77"/>
      <c r="D220" s="77"/>
      <c r="E220" s="77"/>
      <c r="F220" s="77"/>
      <c r="G220" s="64"/>
      <c r="H220" s="64"/>
      <c r="I220" s="64"/>
      <c r="J220" s="64"/>
      <c r="K220" s="64"/>
      <c r="L220" s="64"/>
      <c r="M220" s="64"/>
      <c r="N220" s="64"/>
      <c r="O220" s="64"/>
      <c r="P220" s="64"/>
      <c r="Q220" s="64"/>
      <c r="R220" s="64"/>
      <c r="S220" s="64"/>
      <c r="T220" s="78">
        <v>0.10929999999999999</v>
      </c>
      <c r="U220" s="25"/>
      <c r="V220" s="25"/>
      <c r="W220" s="25"/>
      <c r="X220" s="5"/>
    </row>
    <row r="221" spans="1:24" ht="15.6" x14ac:dyDescent="0.3">
      <c r="A221" s="75"/>
      <c r="B221" s="76"/>
      <c r="C221" s="76"/>
      <c r="D221" s="76"/>
      <c r="E221" s="76"/>
      <c r="F221" s="76"/>
      <c r="G221" s="25"/>
      <c r="H221" s="25"/>
      <c r="I221" s="25"/>
      <c r="J221" s="25"/>
      <c r="K221" s="25"/>
      <c r="L221" s="25"/>
      <c r="M221" s="25"/>
      <c r="N221" s="25"/>
      <c r="O221" s="25"/>
      <c r="P221" s="25"/>
      <c r="Q221" s="25"/>
      <c r="R221" s="25"/>
      <c r="S221" s="25"/>
      <c r="T221" s="61"/>
      <c r="U221" s="25"/>
      <c r="V221" s="79"/>
      <c r="W221" s="25"/>
      <c r="X221" s="5"/>
    </row>
    <row r="222" spans="1:24" ht="15.6" x14ac:dyDescent="0.3">
      <c r="A222" s="80"/>
      <c r="B222" s="14" t="s">
        <v>79</v>
      </c>
      <c r="C222" s="81"/>
      <c r="D222" s="81"/>
      <c r="E222" s="81"/>
      <c r="F222" s="82"/>
      <c r="G222" s="81"/>
      <c r="H222" s="17"/>
      <c r="I222" s="17"/>
      <c r="J222" s="17"/>
      <c r="K222" s="17"/>
      <c r="L222" s="17"/>
      <c r="M222" s="17"/>
      <c r="N222" s="17"/>
      <c r="O222" s="17"/>
      <c r="P222" s="17"/>
      <c r="Q222" s="17"/>
      <c r="R222" s="17"/>
      <c r="S222" s="17" t="s">
        <v>102</v>
      </c>
      <c r="T222" s="83" t="s">
        <v>108</v>
      </c>
      <c r="U222" s="8"/>
      <c r="V222" s="8"/>
      <c r="W222" s="8"/>
      <c r="X222" s="5"/>
    </row>
    <row r="223" spans="1:24" ht="15.6" x14ac:dyDescent="0.3">
      <c r="A223" s="84"/>
      <c r="B223" s="76" t="s">
        <v>80</v>
      </c>
      <c r="C223" s="54"/>
      <c r="D223" s="54"/>
      <c r="E223" s="54"/>
      <c r="F223" s="25"/>
      <c r="G223" s="25"/>
      <c r="H223" s="30"/>
      <c r="I223" s="30"/>
      <c r="J223" s="30"/>
      <c r="K223" s="30"/>
      <c r="L223" s="30"/>
      <c r="M223" s="30"/>
      <c r="N223" s="30"/>
      <c r="O223" s="30"/>
      <c r="P223" s="30"/>
      <c r="Q223" s="30"/>
      <c r="R223" s="30"/>
      <c r="S223" s="30">
        <v>3</v>
      </c>
      <c r="T223" s="85">
        <v>554</v>
      </c>
      <c r="U223" s="25"/>
      <c r="V223" s="79"/>
      <c r="W223" s="86"/>
      <c r="X223" s="5"/>
    </row>
    <row r="224" spans="1:24" ht="15.6" x14ac:dyDescent="0.3">
      <c r="A224" s="84"/>
      <c r="B224" s="76" t="s">
        <v>145</v>
      </c>
      <c r="C224" s="54"/>
      <c r="D224" s="54"/>
      <c r="E224" s="54"/>
      <c r="F224" s="25"/>
      <c r="G224" s="25"/>
      <c r="H224" s="30"/>
      <c r="I224" s="30"/>
      <c r="J224" s="30"/>
      <c r="K224" s="30"/>
      <c r="L224" s="30"/>
      <c r="M224" s="30"/>
      <c r="N224" s="30"/>
      <c r="O224" s="30"/>
      <c r="P224" s="30"/>
      <c r="Q224" s="30"/>
      <c r="R224" s="30"/>
      <c r="S224" s="150">
        <f>+R264</f>
        <v>181</v>
      </c>
      <c r="T224" s="85">
        <f>+T264</f>
        <v>29041</v>
      </c>
      <c r="U224" s="25"/>
      <c r="V224" s="79"/>
      <c r="W224" s="86"/>
      <c r="X224" s="5"/>
    </row>
    <row r="225" spans="1:24" ht="15.6" x14ac:dyDescent="0.3">
      <c r="A225" s="84"/>
      <c r="B225" s="76" t="s">
        <v>81</v>
      </c>
      <c r="C225" s="54"/>
      <c r="D225" s="54"/>
      <c r="E225" s="54"/>
      <c r="F225" s="25"/>
      <c r="G225" s="25"/>
      <c r="H225" s="30"/>
      <c r="I225" s="30"/>
      <c r="J225" s="30"/>
      <c r="K225" s="30"/>
      <c r="L225" s="30"/>
      <c r="M225" s="30"/>
      <c r="N225" s="30"/>
      <c r="O225" s="30"/>
      <c r="P225" s="30"/>
      <c r="Q225" s="30"/>
      <c r="R225" s="30"/>
      <c r="S225" s="30">
        <v>0</v>
      </c>
      <c r="T225" s="85">
        <v>0</v>
      </c>
      <c r="U225" s="25"/>
      <c r="V225" s="79"/>
      <c r="W225" s="86"/>
      <c r="X225" s="5"/>
    </row>
    <row r="226" spans="1:24" ht="15.6" x14ac:dyDescent="0.3">
      <c r="A226" s="84"/>
      <c r="B226" s="122" t="s">
        <v>82</v>
      </c>
      <c r="C226" s="54"/>
      <c r="D226" s="54"/>
      <c r="E226" s="54"/>
      <c r="F226" s="25"/>
      <c r="G226" s="25"/>
      <c r="H226" s="25"/>
      <c r="I226" s="25"/>
      <c r="J226" s="25"/>
      <c r="K226" s="25"/>
      <c r="L226" s="25"/>
      <c r="M226" s="25"/>
      <c r="N226" s="25"/>
      <c r="O226" s="25"/>
      <c r="P226" s="25"/>
      <c r="Q226" s="25"/>
      <c r="R226" s="25"/>
      <c r="S226" s="25"/>
      <c r="T226" s="85">
        <v>0</v>
      </c>
      <c r="U226" s="25"/>
      <c r="V226" s="79"/>
      <c r="W226" s="86"/>
      <c r="X226" s="5"/>
    </row>
    <row r="227" spans="1:24" ht="15.6" x14ac:dyDescent="0.3">
      <c r="A227" s="84"/>
      <c r="B227" s="122" t="s">
        <v>243</v>
      </c>
      <c r="C227" s="54"/>
      <c r="D227" s="54"/>
      <c r="E227" s="54"/>
      <c r="F227" s="25"/>
      <c r="G227" s="25"/>
      <c r="H227" s="25"/>
      <c r="I227" s="25"/>
      <c r="J227" s="25"/>
      <c r="K227" s="25"/>
      <c r="L227" s="25"/>
      <c r="M227" s="25"/>
      <c r="N227" s="25"/>
      <c r="O227" s="25"/>
      <c r="P227" s="25"/>
      <c r="Q227" s="25"/>
      <c r="R227" s="25"/>
      <c r="S227" s="25"/>
      <c r="T227" s="85">
        <f>+N82</f>
        <v>0</v>
      </c>
      <c r="U227" s="25"/>
      <c r="V227" s="79"/>
      <c r="W227" s="86"/>
      <c r="X227" s="5"/>
    </row>
    <row r="228" spans="1:24" ht="15.6" x14ac:dyDescent="0.3">
      <c r="A228" s="87"/>
      <c r="B228" s="122" t="s">
        <v>83</v>
      </c>
      <c r="C228" s="76"/>
      <c r="D228" s="76"/>
      <c r="E228" s="76"/>
      <c r="F228" s="76"/>
      <c r="G228" s="25"/>
      <c r="H228" s="25"/>
      <c r="I228" s="25"/>
      <c r="J228" s="25"/>
      <c r="K228" s="25"/>
      <c r="L228" s="25"/>
      <c r="M228" s="25"/>
      <c r="N228" s="25"/>
      <c r="O228" s="25"/>
      <c r="P228" s="25"/>
      <c r="Q228" s="25"/>
      <c r="R228" s="25"/>
      <c r="S228" s="25"/>
      <c r="T228" s="85"/>
      <c r="U228" s="25"/>
      <c r="V228" s="79"/>
      <c r="W228" s="88"/>
      <c r="X228" s="5"/>
    </row>
    <row r="229" spans="1:24" ht="15.6" x14ac:dyDescent="0.3">
      <c r="A229" s="87"/>
      <c r="B229" s="131" t="s">
        <v>84</v>
      </c>
      <c r="C229" s="76"/>
      <c r="D229" s="76"/>
      <c r="E229" s="76"/>
      <c r="F229" s="76"/>
      <c r="G229" s="25"/>
      <c r="H229" s="25"/>
      <c r="I229" s="25"/>
      <c r="J229" s="25"/>
      <c r="K229" s="25"/>
      <c r="L229" s="25"/>
      <c r="M229" s="25"/>
      <c r="N229" s="25"/>
      <c r="O229" s="25"/>
      <c r="P229" s="25"/>
      <c r="Q229" s="25"/>
      <c r="R229" s="25"/>
      <c r="S229" s="30"/>
      <c r="T229" s="85">
        <f>V168</f>
        <v>158</v>
      </c>
      <c r="U229" s="25"/>
      <c r="V229" s="79"/>
      <c r="W229" s="88"/>
      <c r="X229" s="5"/>
    </row>
    <row r="230" spans="1:24" ht="15.6" x14ac:dyDescent="0.3">
      <c r="A230" s="84"/>
      <c r="B230" s="76" t="s">
        <v>85</v>
      </c>
      <c r="C230" s="54"/>
      <c r="D230" s="54"/>
      <c r="E230" s="54"/>
      <c r="F230" s="54"/>
      <c r="G230" s="25"/>
      <c r="H230" s="25"/>
      <c r="I230" s="25"/>
      <c r="J230" s="25"/>
      <c r="K230" s="25"/>
      <c r="L230" s="25"/>
      <c r="M230" s="25"/>
      <c r="N230" s="25"/>
      <c r="O230" s="25"/>
      <c r="P230" s="25"/>
      <c r="Q230" s="25"/>
      <c r="R230" s="25"/>
      <c r="S230" s="30"/>
      <c r="T230" s="85">
        <f>'Nov 08'!T230+T229</f>
        <v>400</v>
      </c>
      <c r="U230" s="25"/>
      <c r="V230" s="79"/>
      <c r="W230" s="88"/>
      <c r="X230" s="5"/>
    </row>
    <row r="231" spans="1:24" ht="15.6" x14ac:dyDescent="0.3">
      <c r="A231" s="87"/>
      <c r="B231" s="122" t="s">
        <v>295</v>
      </c>
      <c r="C231" s="76"/>
      <c r="D231" s="76"/>
      <c r="E231" s="76"/>
      <c r="F231" s="76"/>
      <c r="G231" s="25"/>
      <c r="H231" s="25"/>
      <c r="I231" s="25"/>
      <c r="J231" s="25"/>
      <c r="K231" s="25"/>
      <c r="L231" s="25"/>
      <c r="M231" s="25"/>
      <c r="N231" s="25"/>
      <c r="O231" s="25"/>
      <c r="P231" s="25"/>
      <c r="Q231" s="25"/>
      <c r="R231" s="25"/>
      <c r="S231" s="30"/>
      <c r="T231" s="85"/>
      <c r="U231" s="25"/>
      <c r="V231" s="79"/>
      <c r="W231" s="88"/>
      <c r="X231" s="5"/>
    </row>
    <row r="232" spans="1:24" ht="15.6" x14ac:dyDescent="0.3">
      <c r="A232" s="87"/>
      <c r="B232" s="76" t="s">
        <v>291</v>
      </c>
      <c r="C232" s="76"/>
      <c r="D232" s="76"/>
      <c r="E232" s="76"/>
      <c r="F232" s="76"/>
      <c r="G232" s="25"/>
      <c r="H232" s="25"/>
      <c r="I232" s="25"/>
      <c r="J232" s="25"/>
      <c r="K232" s="25"/>
      <c r="L232" s="25"/>
      <c r="M232" s="25"/>
      <c r="N232" s="25"/>
      <c r="O232" s="25"/>
      <c r="P232" s="25"/>
      <c r="Q232" s="25"/>
      <c r="R232" s="25"/>
      <c r="S232" s="30">
        <v>0</v>
      </c>
      <c r="T232" s="85">
        <v>0</v>
      </c>
      <c r="U232" s="25"/>
      <c r="V232" s="79"/>
      <c r="W232" s="88"/>
      <c r="X232" s="5"/>
    </row>
    <row r="233" spans="1:24" ht="15.6" x14ac:dyDescent="0.3">
      <c r="A233" s="84"/>
      <c r="B233" s="76" t="s">
        <v>86</v>
      </c>
      <c r="C233" s="89"/>
      <c r="D233" s="89"/>
      <c r="E233" s="89"/>
      <c r="F233" s="90"/>
      <c r="G233" s="25"/>
      <c r="H233" s="25"/>
      <c r="I233" s="25"/>
      <c r="J233" s="25"/>
      <c r="K233" s="25"/>
      <c r="L233" s="25"/>
      <c r="M233" s="25"/>
      <c r="N233" s="25"/>
      <c r="O233" s="25"/>
      <c r="P233" s="25"/>
      <c r="Q233" s="25"/>
      <c r="R233" s="25"/>
      <c r="S233" s="25"/>
      <c r="T233" s="62">
        <v>0</v>
      </c>
      <c r="U233" s="25"/>
      <c r="V233" s="79"/>
      <c r="W233" s="88"/>
      <c r="X233" s="5"/>
    </row>
    <row r="234" spans="1:24" ht="15.6" x14ac:dyDescent="0.3">
      <c r="A234" s="84"/>
      <c r="B234" s="76" t="s">
        <v>87</v>
      </c>
      <c r="C234" s="89"/>
      <c r="D234" s="89"/>
      <c r="E234" s="89"/>
      <c r="F234" s="90"/>
      <c r="G234" s="25"/>
      <c r="H234" s="25"/>
      <c r="I234" s="25"/>
      <c r="J234" s="25"/>
      <c r="K234" s="25"/>
      <c r="L234" s="25"/>
      <c r="M234" s="25"/>
      <c r="N234" s="25"/>
      <c r="O234" s="25"/>
      <c r="P234" s="25"/>
      <c r="Q234" s="25"/>
      <c r="R234" s="25"/>
      <c r="S234" s="25"/>
      <c r="T234" s="62">
        <v>0</v>
      </c>
      <c r="U234" s="25"/>
      <c r="V234" s="79"/>
      <c r="W234" s="88"/>
      <c r="X234" s="5"/>
    </row>
    <row r="235" spans="1:24" ht="15.6" x14ac:dyDescent="0.3">
      <c r="A235" s="84"/>
      <c r="B235" s="122" t="s">
        <v>217</v>
      </c>
      <c r="C235" s="89"/>
      <c r="D235" s="89"/>
      <c r="E235" s="89"/>
      <c r="F235" s="90"/>
      <c r="G235" s="25"/>
      <c r="H235" s="25"/>
      <c r="I235" s="25"/>
      <c r="J235" s="25"/>
      <c r="K235" s="25"/>
      <c r="L235" s="25"/>
      <c r="M235" s="25"/>
      <c r="N235" s="25"/>
      <c r="O235" s="25"/>
      <c r="P235" s="25"/>
      <c r="Q235" s="25"/>
      <c r="R235" s="25"/>
      <c r="S235" s="25"/>
      <c r="T235" s="91"/>
      <c r="U235" s="25"/>
      <c r="V235" s="79"/>
      <c r="W235" s="88"/>
      <c r="X235" s="5"/>
    </row>
    <row r="236" spans="1:24" ht="15.6" x14ac:dyDescent="0.3">
      <c r="A236" s="84"/>
      <c r="B236" s="76" t="s">
        <v>291</v>
      </c>
      <c r="C236" s="89"/>
      <c r="D236" s="89"/>
      <c r="E236" s="89"/>
      <c r="F236" s="90"/>
      <c r="G236" s="25"/>
      <c r="H236" s="25"/>
      <c r="I236" s="25"/>
      <c r="J236" s="25"/>
      <c r="K236" s="25"/>
      <c r="L236" s="25"/>
      <c r="M236" s="25"/>
      <c r="N236" s="25"/>
      <c r="O236" s="25"/>
      <c r="P236" s="25"/>
      <c r="Q236" s="25"/>
      <c r="R236" s="25"/>
      <c r="S236" s="30">
        <v>4</v>
      </c>
      <c r="T236" s="85">
        <v>610</v>
      </c>
      <c r="U236" s="25"/>
      <c r="V236" s="79"/>
      <c r="W236" s="88"/>
      <c r="X236" s="5"/>
    </row>
    <row r="237" spans="1:24" ht="15.6" x14ac:dyDescent="0.3">
      <c r="A237" s="84"/>
      <c r="B237" s="76" t="s">
        <v>218</v>
      </c>
      <c r="C237" s="89"/>
      <c r="D237" s="89"/>
      <c r="E237" s="89"/>
      <c r="F237" s="90"/>
      <c r="G237" s="25"/>
      <c r="H237" s="25"/>
      <c r="I237" s="25"/>
      <c r="J237" s="25"/>
      <c r="K237" s="25"/>
      <c r="L237" s="25"/>
      <c r="M237" s="25"/>
      <c r="N237" s="25"/>
      <c r="O237" s="25"/>
      <c r="P237" s="25"/>
      <c r="Q237" s="25"/>
      <c r="R237" s="25"/>
      <c r="S237" s="25"/>
      <c r="T237" s="62">
        <v>12.52</v>
      </c>
      <c r="U237" s="25"/>
      <c r="V237" s="79"/>
      <c r="W237" s="88"/>
      <c r="X237" s="5"/>
    </row>
    <row r="238" spans="1:24" ht="15.6" x14ac:dyDescent="0.3">
      <c r="A238" s="84"/>
      <c r="B238" s="76"/>
      <c r="C238" s="89"/>
      <c r="D238" s="89"/>
      <c r="E238" s="89"/>
      <c r="F238" s="90"/>
      <c r="G238" s="25"/>
      <c r="H238" s="25"/>
      <c r="I238" s="25"/>
      <c r="J238" s="25"/>
      <c r="K238" s="25"/>
      <c r="L238" s="25"/>
      <c r="M238" s="25"/>
      <c r="N238" s="25"/>
      <c r="O238" s="25"/>
      <c r="P238" s="25"/>
      <c r="Q238" s="25"/>
      <c r="R238" s="25"/>
      <c r="S238" s="25"/>
      <c r="T238" s="91"/>
      <c r="U238" s="25"/>
      <c r="V238" s="79"/>
      <c r="W238" s="88"/>
      <c r="X238" s="5"/>
    </row>
    <row r="239" spans="1:24" ht="15.6" x14ac:dyDescent="0.3">
      <c r="A239" s="84"/>
      <c r="B239" s="76"/>
      <c r="C239" s="89"/>
      <c r="D239" s="89"/>
      <c r="E239" s="89"/>
      <c r="F239" s="90"/>
      <c r="G239" s="25"/>
      <c r="H239" s="25"/>
      <c r="I239" s="25"/>
      <c r="J239" s="25"/>
      <c r="K239" s="25"/>
      <c r="L239" s="25"/>
      <c r="M239" s="25"/>
      <c r="N239" s="25"/>
      <c r="O239" s="25"/>
      <c r="P239" s="25"/>
      <c r="Q239" s="25"/>
      <c r="R239" s="25"/>
      <c r="S239" s="25"/>
      <c r="T239" s="91"/>
      <c r="U239" s="25"/>
      <c r="V239" s="79"/>
      <c r="W239" s="88"/>
      <c r="X239" s="5"/>
    </row>
    <row r="240" spans="1:24" ht="17.399999999999999" x14ac:dyDescent="0.3">
      <c r="A240" s="84"/>
      <c r="B240" s="147" t="s">
        <v>168</v>
      </c>
      <c r="C240" s="89"/>
      <c r="D240" s="89"/>
      <c r="E240" s="89"/>
      <c r="F240" s="90"/>
      <c r="G240" s="25"/>
      <c r="H240" s="25"/>
      <c r="I240" s="25"/>
      <c r="J240" s="25"/>
      <c r="K240" s="25"/>
      <c r="L240" s="25"/>
      <c r="M240" s="25"/>
      <c r="N240" s="25"/>
      <c r="O240" s="25"/>
      <c r="P240" s="148" t="s">
        <v>167</v>
      </c>
      <c r="Q240" s="25"/>
      <c r="R240" s="25"/>
      <c r="S240" s="25"/>
      <c r="T240" s="91"/>
      <c r="U240" s="25"/>
      <c r="V240" s="79"/>
      <c r="W240" s="88"/>
      <c r="X240" s="5"/>
    </row>
    <row r="241" spans="1:25" ht="15.6" x14ac:dyDescent="0.3">
      <c r="A241" s="84"/>
      <c r="B241" s="76"/>
      <c r="C241" s="89"/>
      <c r="D241" s="89"/>
      <c r="E241" s="89"/>
      <c r="F241" s="90"/>
      <c r="G241" s="25"/>
      <c r="H241" s="25"/>
      <c r="I241" s="25"/>
      <c r="J241" s="25"/>
      <c r="K241" s="25"/>
      <c r="L241" s="25"/>
      <c r="M241" s="25"/>
      <c r="N241" s="25"/>
      <c r="O241" s="25"/>
      <c r="P241" s="25"/>
      <c r="Q241" s="25"/>
      <c r="R241" s="25"/>
      <c r="S241" s="25"/>
      <c r="T241" s="91"/>
      <c r="U241" s="25"/>
      <c r="V241" s="79"/>
      <c r="W241" s="88"/>
      <c r="X241" s="5"/>
    </row>
    <row r="242" spans="1:25" ht="15.6" x14ac:dyDescent="0.3">
      <c r="A242" s="6"/>
      <c r="B242" s="14" t="s">
        <v>162</v>
      </c>
      <c r="C242" s="81"/>
      <c r="D242" s="81"/>
      <c r="E242" s="81"/>
      <c r="F242" s="82"/>
      <c r="G242" s="81"/>
      <c r="H242" s="17"/>
      <c r="I242" s="17"/>
      <c r="J242" s="17"/>
      <c r="K242" s="17"/>
      <c r="L242" s="17"/>
      <c r="M242" s="17"/>
      <c r="N242" s="17"/>
      <c r="O242" s="17"/>
      <c r="P242" s="17"/>
      <c r="Q242" s="17"/>
      <c r="R242" s="83" t="s">
        <v>102</v>
      </c>
      <c r="S242" s="17" t="s">
        <v>103</v>
      </c>
      <c r="T242" s="83" t="s">
        <v>109</v>
      </c>
      <c r="U242" s="17" t="s">
        <v>103</v>
      </c>
      <c r="V242" s="8"/>
      <c r="W242" s="92"/>
      <c r="X242" s="5"/>
    </row>
    <row r="243" spans="1:25" ht="15.6" x14ac:dyDescent="0.3">
      <c r="A243" s="24"/>
      <c r="B243" s="54" t="s">
        <v>88</v>
      </c>
      <c r="C243" s="93"/>
      <c r="D243" s="93"/>
      <c r="E243" s="93"/>
      <c r="F243" s="25"/>
      <c r="G243" s="93"/>
      <c r="H243" s="93"/>
      <c r="I243" s="93"/>
      <c r="J243" s="93"/>
      <c r="K243" s="93"/>
      <c r="L243" s="93"/>
      <c r="M243" s="93"/>
      <c r="N243" s="93"/>
      <c r="O243" s="93"/>
      <c r="P243" s="93"/>
      <c r="Q243" s="93"/>
      <c r="R243" s="54">
        <v>8199</v>
      </c>
      <c r="S243" s="94">
        <f t="shared" ref="S243:S250" si="1">R243/$R$252</f>
        <v>0.98262224352828376</v>
      </c>
      <c r="T243" s="53">
        <v>1168534</v>
      </c>
      <c r="U243" s="132">
        <f t="shared" ref="U243:U250" si="2">T243/$T$252</f>
        <v>0.97994545674109057</v>
      </c>
      <c r="V243" s="79"/>
      <c r="W243" s="88"/>
      <c r="X243" s="5"/>
    </row>
    <row r="244" spans="1:25" ht="15.6" x14ac:dyDescent="0.3">
      <c r="A244" s="24"/>
      <c r="B244" s="54" t="s">
        <v>89</v>
      </c>
      <c r="C244" s="93"/>
      <c r="D244" s="93"/>
      <c r="E244" s="93"/>
      <c r="F244" s="25"/>
      <c r="G244" s="94"/>
      <c r="H244" s="93"/>
      <c r="I244" s="93"/>
      <c r="J244" s="93"/>
      <c r="K244" s="93"/>
      <c r="L244" s="93"/>
      <c r="M244" s="93"/>
      <c r="N244" s="93"/>
      <c r="O244" s="93"/>
      <c r="P244" s="93"/>
      <c r="Q244" s="93"/>
      <c r="R244" s="54">
        <v>69</v>
      </c>
      <c r="S244" s="94">
        <f t="shared" si="1"/>
        <v>8.2694151486097794E-3</v>
      </c>
      <c r="T244" s="53">
        <v>10932</v>
      </c>
      <c r="U244" s="132">
        <f t="shared" si="2"/>
        <v>9.1676953628166587E-3</v>
      </c>
      <c r="V244" s="79"/>
      <c r="W244" s="88"/>
      <c r="X244" s="5"/>
      <c r="Y244" s="109"/>
    </row>
    <row r="245" spans="1:25" ht="15.6" x14ac:dyDescent="0.3">
      <c r="A245" s="24"/>
      <c r="B245" s="54" t="s">
        <v>90</v>
      </c>
      <c r="C245" s="93"/>
      <c r="D245" s="93"/>
      <c r="E245" s="93"/>
      <c r="F245" s="25"/>
      <c r="G245" s="94"/>
      <c r="H245" s="93"/>
      <c r="I245" s="93"/>
      <c r="J245" s="93"/>
      <c r="K245" s="93"/>
      <c r="L245" s="93"/>
      <c r="M245" s="93"/>
      <c r="N245" s="93"/>
      <c r="O245" s="93"/>
      <c r="P245" s="93"/>
      <c r="Q245" s="93"/>
      <c r="R245" s="54">
        <v>25</v>
      </c>
      <c r="S245" s="94">
        <f t="shared" si="1"/>
        <v>2.9961649089165869E-3</v>
      </c>
      <c r="T245" s="53">
        <v>4350</v>
      </c>
      <c r="U245" s="132">
        <f t="shared" si="2"/>
        <v>3.6479578145126664E-3</v>
      </c>
      <c r="V245" s="79"/>
      <c r="W245" s="88"/>
      <c r="X245" s="5"/>
    </row>
    <row r="246" spans="1:25" ht="15.6" x14ac:dyDescent="0.3">
      <c r="A246" s="24"/>
      <c r="B246" s="54" t="s">
        <v>156</v>
      </c>
      <c r="C246" s="93"/>
      <c r="D246" s="93"/>
      <c r="E246" s="93"/>
      <c r="F246" s="25"/>
      <c r="G246" s="94"/>
      <c r="H246" s="93"/>
      <c r="I246" s="93"/>
      <c r="J246" s="93"/>
      <c r="K246" s="93"/>
      <c r="L246" s="93"/>
      <c r="M246" s="93"/>
      <c r="N246" s="93"/>
      <c r="O246" s="93"/>
      <c r="P246" s="93"/>
      <c r="Q246" s="93"/>
      <c r="R246" s="54">
        <v>14</v>
      </c>
      <c r="S246" s="94">
        <f t="shared" si="1"/>
        <v>1.6778523489932886E-3</v>
      </c>
      <c r="T246" s="53">
        <v>2604</v>
      </c>
      <c r="U246" s="132">
        <f t="shared" si="2"/>
        <v>2.1837430227565481E-3</v>
      </c>
      <c r="V246" s="79"/>
      <c r="W246" s="88"/>
      <c r="X246" s="5"/>
      <c r="Y246" s="109"/>
    </row>
    <row r="247" spans="1:25" ht="15.6" x14ac:dyDescent="0.3">
      <c r="A247" s="24"/>
      <c r="B247" s="54" t="s">
        <v>157</v>
      </c>
      <c r="C247" s="93"/>
      <c r="D247" s="93"/>
      <c r="E247" s="93"/>
      <c r="F247" s="25"/>
      <c r="G247" s="94"/>
      <c r="H247" s="93"/>
      <c r="I247" s="93"/>
      <c r="J247" s="93"/>
      <c r="K247" s="93"/>
      <c r="L247" s="93"/>
      <c r="M247" s="93"/>
      <c r="N247" s="93"/>
      <c r="O247" s="93"/>
      <c r="P247" s="93"/>
      <c r="Q247" s="93"/>
      <c r="R247" s="54">
        <v>11</v>
      </c>
      <c r="S247" s="94">
        <f t="shared" si="1"/>
        <v>1.3183125599232981E-3</v>
      </c>
      <c r="T247" s="53">
        <v>2268</v>
      </c>
      <c r="U247" s="132">
        <f t="shared" si="2"/>
        <v>1.9019697294976384E-3</v>
      </c>
      <c r="V247" s="79"/>
      <c r="W247" s="88"/>
      <c r="X247" s="5"/>
    </row>
    <row r="248" spans="1:25" ht="15.6" x14ac:dyDescent="0.3">
      <c r="A248" s="24"/>
      <c r="B248" s="54" t="s">
        <v>158</v>
      </c>
      <c r="C248" s="93"/>
      <c r="D248" s="93"/>
      <c r="E248" s="93"/>
      <c r="F248" s="25"/>
      <c r="G248" s="94"/>
      <c r="H248" s="93"/>
      <c r="I248" s="93"/>
      <c r="J248" s="93"/>
      <c r="K248" s="93"/>
      <c r="L248" s="93"/>
      <c r="M248" s="93"/>
      <c r="N248" s="93"/>
      <c r="O248" s="93"/>
      <c r="P248" s="93"/>
      <c r="Q248" s="93"/>
      <c r="R248" s="54">
        <v>3</v>
      </c>
      <c r="S248" s="94">
        <f t="shared" si="1"/>
        <v>3.5953978906999042E-4</v>
      </c>
      <c r="T248" s="53">
        <v>557</v>
      </c>
      <c r="U248" s="132">
        <f t="shared" si="2"/>
        <v>4.6710632245598971E-4</v>
      </c>
      <c r="V248" s="79"/>
      <c r="W248" s="88"/>
      <c r="X248" s="5"/>
      <c r="Y248" s="109"/>
    </row>
    <row r="249" spans="1:25" ht="15.6" x14ac:dyDescent="0.3">
      <c r="A249" s="24"/>
      <c r="B249" s="54" t="s">
        <v>159</v>
      </c>
      <c r="C249" s="93"/>
      <c r="D249" s="93"/>
      <c r="E249" s="93"/>
      <c r="F249" s="25"/>
      <c r="G249" s="94"/>
      <c r="H249" s="93"/>
      <c r="I249" s="93"/>
      <c r="J249" s="93"/>
      <c r="K249" s="93"/>
      <c r="L249" s="93"/>
      <c r="M249" s="93"/>
      <c r="N249" s="93"/>
      <c r="O249" s="93"/>
      <c r="P249" s="93"/>
      <c r="Q249" s="93"/>
      <c r="R249" s="54">
        <v>15</v>
      </c>
      <c r="S249" s="94">
        <f t="shared" si="1"/>
        <v>1.7976989453499521E-3</v>
      </c>
      <c r="T249" s="53">
        <v>1568</v>
      </c>
      <c r="U249" s="132">
        <f t="shared" si="2"/>
        <v>1.3149420352082438E-3</v>
      </c>
      <c r="V249" s="79"/>
      <c r="W249" s="88"/>
      <c r="X249" s="5"/>
    </row>
    <row r="250" spans="1:25" ht="15.6" x14ac:dyDescent="0.3">
      <c r="A250" s="24"/>
      <c r="B250" s="54" t="s">
        <v>160</v>
      </c>
      <c r="C250" s="93"/>
      <c r="D250" s="93"/>
      <c r="E250" s="93"/>
      <c r="F250" s="25"/>
      <c r="G250" s="94"/>
      <c r="H250" s="93"/>
      <c r="I250" s="93"/>
      <c r="J250" s="93"/>
      <c r="K250" s="93"/>
      <c r="L250" s="93"/>
      <c r="M250" s="93"/>
      <c r="N250" s="93"/>
      <c r="O250" s="93"/>
      <c r="P250" s="93"/>
      <c r="Q250" s="93"/>
      <c r="R250" s="54">
        <v>8</v>
      </c>
      <c r="S250" s="94">
        <f t="shared" si="1"/>
        <v>9.5877277085330771E-4</v>
      </c>
      <c r="T250" s="53">
        <v>1635</v>
      </c>
      <c r="U250" s="132">
        <f t="shared" si="2"/>
        <v>1.3711289716616573E-3</v>
      </c>
      <c r="V250" s="79"/>
      <c r="W250" s="88"/>
      <c r="X250" s="5"/>
      <c r="Y250" s="109"/>
    </row>
    <row r="251" spans="1:25" ht="15.6" x14ac:dyDescent="0.3">
      <c r="A251" s="24"/>
      <c r="B251" s="54"/>
      <c r="C251" s="93"/>
      <c r="D251" s="93"/>
      <c r="E251" s="93"/>
      <c r="F251" s="25"/>
      <c r="G251" s="94"/>
      <c r="H251" s="93"/>
      <c r="I251" s="93"/>
      <c r="J251" s="93"/>
      <c r="K251" s="93"/>
      <c r="L251" s="93"/>
      <c r="M251" s="93"/>
      <c r="N251" s="93"/>
      <c r="O251" s="93"/>
      <c r="P251" s="93"/>
      <c r="Q251" s="93"/>
      <c r="R251" s="54"/>
      <c r="S251" s="94"/>
      <c r="T251" s="53"/>
      <c r="U251" s="132"/>
      <c r="V251" s="79"/>
      <c r="W251" s="88"/>
      <c r="X251" s="5"/>
    </row>
    <row r="252" spans="1:25" ht="15.6" x14ac:dyDescent="0.3">
      <c r="A252" s="24"/>
      <c r="B252" s="25"/>
      <c r="C252" s="25"/>
      <c r="D252" s="25"/>
      <c r="E252" s="25"/>
      <c r="F252" s="25"/>
      <c r="G252" s="25"/>
      <c r="H252" s="95"/>
      <c r="I252" s="95"/>
      <c r="J252" s="95"/>
      <c r="K252" s="95"/>
      <c r="L252" s="95"/>
      <c r="M252" s="95"/>
      <c r="N252" s="95"/>
      <c r="O252" s="95"/>
      <c r="P252" s="95"/>
      <c r="Q252" s="95"/>
      <c r="R252" s="34">
        <f>SUM(R243:R251)</f>
        <v>8344</v>
      </c>
      <c r="S252" s="132">
        <f>SUM(S243:S251)</f>
        <v>1</v>
      </c>
      <c r="T252" s="53">
        <f>SUM(T243:T251)</f>
        <v>1192448</v>
      </c>
      <c r="U252" s="132">
        <f>SUM(U243:U251)</f>
        <v>1</v>
      </c>
      <c r="V252" s="25"/>
      <c r="W252" s="25"/>
      <c r="X252" s="5"/>
    </row>
    <row r="253" spans="1:25" ht="15.6" x14ac:dyDescent="0.3">
      <c r="A253" s="24"/>
      <c r="B253" s="25"/>
      <c r="C253" s="25"/>
      <c r="D253" s="25"/>
      <c r="E253" s="25"/>
      <c r="F253" s="25"/>
      <c r="G253" s="25"/>
      <c r="H253" s="95"/>
      <c r="I253" s="95"/>
      <c r="J253" s="95"/>
      <c r="K253" s="95"/>
      <c r="L253" s="95"/>
      <c r="M253" s="95"/>
      <c r="N253" s="95"/>
      <c r="O253" s="95"/>
      <c r="P253" s="95"/>
      <c r="Q253" s="95"/>
      <c r="R253" s="34"/>
      <c r="S253" s="132"/>
      <c r="T253" s="53"/>
      <c r="U253" s="132"/>
      <c r="V253" s="25"/>
      <c r="W253" s="25"/>
      <c r="X253" s="5"/>
    </row>
    <row r="254" spans="1:25" ht="15.6" x14ac:dyDescent="0.3">
      <c r="A254" s="139"/>
      <c r="B254" s="14" t="s">
        <v>275</v>
      </c>
      <c r="C254" s="81"/>
      <c r="D254" s="81"/>
      <c r="E254" s="81"/>
      <c r="F254" s="82"/>
      <c r="G254" s="81"/>
      <c r="H254" s="17"/>
      <c r="I254" s="17"/>
      <c r="J254" s="17"/>
      <c r="K254" s="17"/>
      <c r="L254" s="17"/>
      <c r="M254" s="17"/>
      <c r="N254" s="17"/>
      <c r="O254" s="17"/>
      <c r="P254" s="17"/>
      <c r="Q254" s="17"/>
      <c r="R254" s="83" t="s">
        <v>102</v>
      </c>
      <c r="S254" s="17" t="s">
        <v>103</v>
      </c>
      <c r="T254" s="83" t="s">
        <v>109</v>
      </c>
      <c r="U254" s="17" t="s">
        <v>103</v>
      </c>
      <c r="V254" s="137"/>
      <c r="W254" s="138"/>
      <c r="X254" s="5"/>
    </row>
    <row r="255" spans="1:25" ht="15.6" x14ac:dyDescent="0.3">
      <c r="A255" s="24"/>
      <c r="B255" s="54" t="s">
        <v>88</v>
      </c>
      <c r="C255" s="93"/>
      <c r="D255" s="93"/>
      <c r="E255" s="93"/>
      <c r="F255" s="25"/>
      <c r="G255" s="93"/>
      <c r="H255" s="93"/>
      <c r="I255" s="93"/>
      <c r="J255" s="93"/>
      <c r="K255" s="93"/>
      <c r="L255" s="93"/>
      <c r="M255" s="93"/>
      <c r="N255" s="93"/>
      <c r="O255" s="93"/>
      <c r="P255" s="93"/>
      <c r="Q255" s="93"/>
      <c r="R255" s="54">
        <v>56</v>
      </c>
      <c r="S255" s="94">
        <f t="shared" ref="S255:S262" si="3">R255/$R$264</f>
        <v>0.30939226519337015</v>
      </c>
      <c r="T255" s="53">
        <v>9722</v>
      </c>
      <c r="U255" s="132">
        <f t="shared" ref="U255:U262" si="4">T255/$T$264</f>
        <v>0.33476808649839884</v>
      </c>
      <c r="V255" s="25"/>
      <c r="W255" s="25"/>
      <c r="X255" s="5"/>
    </row>
    <row r="256" spans="1:25" ht="15.6" x14ac:dyDescent="0.3">
      <c r="A256" s="24"/>
      <c r="B256" s="54" t="s">
        <v>89</v>
      </c>
      <c r="C256" s="93"/>
      <c r="D256" s="93"/>
      <c r="E256" s="93"/>
      <c r="F256" s="25"/>
      <c r="G256" s="94"/>
      <c r="H256" s="93"/>
      <c r="I256" s="93"/>
      <c r="J256" s="93"/>
      <c r="K256" s="93"/>
      <c r="L256" s="93"/>
      <c r="M256" s="93"/>
      <c r="N256" s="93"/>
      <c r="O256" s="93"/>
      <c r="P256" s="93"/>
      <c r="Q256" s="93"/>
      <c r="R256" s="54">
        <v>18</v>
      </c>
      <c r="S256" s="94">
        <f t="shared" si="3"/>
        <v>9.9447513812154692E-2</v>
      </c>
      <c r="T256" s="53">
        <v>2570</v>
      </c>
      <c r="U256" s="132">
        <f t="shared" si="4"/>
        <v>8.8495575221238937E-2</v>
      </c>
      <c r="V256" s="25"/>
      <c r="W256" s="25"/>
      <c r="X256" s="5"/>
    </row>
    <row r="257" spans="1:24" ht="15.6" x14ac:dyDescent="0.3">
      <c r="A257" s="24"/>
      <c r="B257" s="54" t="s">
        <v>90</v>
      </c>
      <c r="C257" s="93"/>
      <c r="D257" s="93"/>
      <c r="E257" s="93"/>
      <c r="F257" s="25"/>
      <c r="G257" s="94"/>
      <c r="H257" s="93"/>
      <c r="I257" s="93"/>
      <c r="J257" s="93"/>
      <c r="K257" s="93"/>
      <c r="L257" s="93"/>
      <c r="M257" s="93"/>
      <c r="N257" s="93"/>
      <c r="O257" s="93"/>
      <c r="P257" s="93"/>
      <c r="Q257" s="93"/>
      <c r="R257" s="54">
        <v>12</v>
      </c>
      <c r="S257" s="94">
        <f t="shared" si="3"/>
        <v>6.6298342541436461E-2</v>
      </c>
      <c r="T257" s="53">
        <v>1323</v>
      </c>
      <c r="U257" s="132">
        <f t="shared" si="4"/>
        <v>4.5556282497159185E-2</v>
      </c>
      <c r="V257" s="25"/>
      <c r="W257" s="25"/>
      <c r="X257" s="5"/>
    </row>
    <row r="258" spans="1:24" ht="15.6" x14ac:dyDescent="0.3">
      <c r="A258" s="24"/>
      <c r="B258" s="54" t="s">
        <v>156</v>
      </c>
      <c r="C258" s="93"/>
      <c r="D258" s="93"/>
      <c r="E258" s="93"/>
      <c r="F258" s="25"/>
      <c r="G258" s="94"/>
      <c r="H258" s="93"/>
      <c r="I258" s="93"/>
      <c r="J258" s="93"/>
      <c r="K258" s="93"/>
      <c r="L258" s="93"/>
      <c r="M258" s="93"/>
      <c r="N258" s="93"/>
      <c r="O258" s="93"/>
      <c r="P258" s="93"/>
      <c r="Q258" s="93"/>
      <c r="R258" s="54">
        <v>5</v>
      </c>
      <c r="S258" s="94">
        <f t="shared" si="3"/>
        <v>2.7624309392265192E-2</v>
      </c>
      <c r="T258" s="53">
        <v>1046</v>
      </c>
      <c r="U258" s="132">
        <f t="shared" si="4"/>
        <v>3.6018043455803866E-2</v>
      </c>
      <c r="V258" s="25"/>
      <c r="W258" s="25"/>
      <c r="X258" s="5"/>
    </row>
    <row r="259" spans="1:24" ht="15.6" x14ac:dyDescent="0.3">
      <c r="A259" s="24"/>
      <c r="B259" s="54" t="s">
        <v>157</v>
      </c>
      <c r="C259" s="93"/>
      <c r="D259" s="93"/>
      <c r="E259" s="93"/>
      <c r="F259" s="25"/>
      <c r="G259" s="94"/>
      <c r="H259" s="93"/>
      <c r="I259" s="93"/>
      <c r="J259" s="93"/>
      <c r="K259" s="93"/>
      <c r="L259" s="93"/>
      <c r="M259" s="93"/>
      <c r="N259" s="93"/>
      <c r="O259" s="93"/>
      <c r="P259" s="93"/>
      <c r="Q259" s="93"/>
      <c r="R259" s="54">
        <v>8</v>
      </c>
      <c r="S259" s="94">
        <f t="shared" si="3"/>
        <v>4.4198895027624308E-2</v>
      </c>
      <c r="T259" s="53">
        <v>950</v>
      </c>
      <c r="U259" s="132">
        <f t="shared" si="4"/>
        <v>3.2712372163492993E-2</v>
      </c>
      <c r="V259" s="25"/>
      <c r="W259" s="25"/>
      <c r="X259" s="5"/>
    </row>
    <row r="260" spans="1:24" ht="15.6" x14ac:dyDescent="0.3">
      <c r="A260" s="24"/>
      <c r="B260" s="54" t="s">
        <v>158</v>
      </c>
      <c r="C260" s="93"/>
      <c r="D260" s="93"/>
      <c r="E260" s="93"/>
      <c r="F260" s="25"/>
      <c r="G260" s="94"/>
      <c r="H260" s="93"/>
      <c r="I260" s="93"/>
      <c r="J260" s="93"/>
      <c r="K260" s="93"/>
      <c r="L260" s="93"/>
      <c r="M260" s="93"/>
      <c r="N260" s="93"/>
      <c r="O260" s="93"/>
      <c r="P260" s="93"/>
      <c r="Q260" s="93"/>
      <c r="R260" s="54">
        <v>10</v>
      </c>
      <c r="S260" s="94">
        <f t="shared" si="3"/>
        <v>5.5248618784530384E-2</v>
      </c>
      <c r="T260" s="53">
        <v>1437</v>
      </c>
      <c r="U260" s="132">
        <f t="shared" si="4"/>
        <v>4.948176715677835E-2</v>
      </c>
      <c r="V260" s="25"/>
      <c r="W260" s="25"/>
      <c r="X260" s="5"/>
    </row>
    <row r="261" spans="1:24" ht="15.6" x14ac:dyDescent="0.3">
      <c r="A261" s="24"/>
      <c r="B261" s="54" t="s">
        <v>159</v>
      </c>
      <c r="C261" s="93"/>
      <c r="D261" s="93"/>
      <c r="E261" s="93"/>
      <c r="F261" s="25"/>
      <c r="G261" s="94"/>
      <c r="H261" s="93"/>
      <c r="I261" s="93"/>
      <c r="J261" s="93"/>
      <c r="K261" s="93"/>
      <c r="L261" s="93"/>
      <c r="M261" s="93"/>
      <c r="N261" s="93"/>
      <c r="O261" s="93"/>
      <c r="P261" s="93"/>
      <c r="Q261" s="93"/>
      <c r="R261" s="54">
        <v>42</v>
      </c>
      <c r="S261" s="94">
        <f t="shared" si="3"/>
        <v>0.23204419889502761</v>
      </c>
      <c r="T261" s="53">
        <v>7329</v>
      </c>
      <c r="U261" s="132">
        <f t="shared" si="4"/>
        <v>0.25236734272235806</v>
      </c>
      <c r="V261" s="25"/>
      <c r="W261" s="25"/>
      <c r="X261" s="5"/>
    </row>
    <row r="262" spans="1:24" ht="15.6" x14ac:dyDescent="0.3">
      <c r="A262" s="24"/>
      <c r="B262" s="54" t="s">
        <v>160</v>
      </c>
      <c r="C262" s="93"/>
      <c r="D262" s="93"/>
      <c r="E262" s="93"/>
      <c r="F262" s="25"/>
      <c r="G262" s="94"/>
      <c r="H262" s="93"/>
      <c r="I262" s="93"/>
      <c r="J262" s="93"/>
      <c r="K262" s="93"/>
      <c r="L262" s="93"/>
      <c r="M262" s="93"/>
      <c r="N262" s="93"/>
      <c r="O262" s="93"/>
      <c r="P262" s="93"/>
      <c r="Q262" s="93"/>
      <c r="R262" s="54">
        <v>30</v>
      </c>
      <c r="S262" s="94">
        <f t="shared" si="3"/>
        <v>0.16574585635359115</v>
      </c>
      <c r="T262" s="53">
        <v>4664</v>
      </c>
      <c r="U262" s="132">
        <f t="shared" si="4"/>
        <v>0.16060053028476981</v>
      </c>
      <c r="V262" s="25"/>
      <c r="W262" s="25"/>
      <c r="X262" s="5"/>
    </row>
    <row r="263" spans="1:24" ht="15.6" x14ac:dyDescent="0.3">
      <c r="A263" s="24"/>
      <c r="B263" s="54"/>
      <c r="C263" s="93"/>
      <c r="D263" s="93"/>
      <c r="E263" s="93"/>
      <c r="F263" s="25"/>
      <c r="G263" s="94"/>
      <c r="H263" s="93"/>
      <c r="I263" s="93"/>
      <c r="J263" s="93"/>
      <c r="K263" s="93"/>
      <c r="L263" s="93"/>
      <c r="M263" s="93"/>
      <c r="N263" s="93"/>
      <c r="O263" s="93"/>
      <c r="P263" s="93"/>
      <c r="Q263" s="93"/>
      <c r="R263" s="54"/>
      <c r="S263" s="94"/>
      <c r="T263" s="53"/>
      <c r="U263" s="132"/>
      <c r="V263" s="25"/>
      <c r="W263" s="25"/>
      <c r="X263" s="5"/>
    </row>
    <row r="264" spans="1:24" ht="15.6" x14ac:dyDescent="0.3">
      <c r="A264" s="24"/>
      <c r="B264" s="25"/>
      <c r="C264" s="25"/>
      <c r="D264" s="25"/>
      <c r="E264" s="25"/>
      <c r="F264" s="25"/>
      <c r="G264" s="25"/>
      <c r="H264" s="95"/>
      <c r="I264" s="95"/>
      <c r="J264" s="95"/>
      <c r="K264" s="95"/>
      <c r="L264" s="95"/>
      <c r="M264" s="95"/>
      <c r="N264" s="95"/>
      <c r="O264" s="95"/>
      <c r="P264" s="95"/>
      <c r="Q264" s="95"/>
      <c r="R264" s="34">
        <f>SUM(R255:R263)</f>
        <v>181</v>
      </c>
      <c r="S264" s="132">
        <f>SUM(S255:S263)</f>
        <v>0.99999999999999989</v>
      </c>
      <c r="T264" s="53">
        <f>SUM(T255:T263)</f>
        <v>29041</v>
      </c>
      <c r="U264" s="132">
        <f>SUM(U255:U263)</f>
        <v>1</v>
      </c>
      <c r="V264" s="25"/>
      <c r="W264" s="25"/>
      <c r="X264" s="5"/>
    </row>
    <row r="265" spans="1:24" ht="15.6" x14ac:dyDescent="0.3">
      <c r="A265" s="24"/>
      <c r="B265" s="25"/>
      <c r="C265" s="25"/>
      <c r="D265" s="25"/>
      <c r="E265" s="25"/>
      <c r="F265" s="25"/>
      <c r="G265" s="25"/>
      <c r="H265" s="95"/>
      <c r="I265" s="95"/>
      <c r="J265" s="95"/>
      <c r="K265" s="95"/>
      <c r="L265" s="95"/>
      <c r="M265" s="95"/>
      <c r="N265" s="95"/>
      <c r="O265" s="95"/>
      <c r="P265" s="95"/>
      <c r="Q265" s="95"/>
      <c r="R265" s="34"/>
      <c r="S265" s="132"/>
      <c r="T265" s="53"/>
      <c r="U265" s="132"/>
      <c r="V265" s="25"/>
      <c r="W265" s="25"/>
      <c r="X265" s="5"/>
    </row>
    <row r="266" spans="1:24" ht="15.6" x14ac:dyDescent="0.3">
      <c r="A266" s="139"/>
      <c r="B266" s="14" t="s">
        <v>163</v>
      </c>
      <c r="C266" s="137"/>
      <c r="D266" s="137"/>
      <c r="E266" s="137"/>
      <c r="F266" s="137"/>
      <c r="G266" s="137"/>
      <c r="H266" s="143"/>
      <c r="I266" s="143"/>
      <c r="J266" s="143"/>
      <c r="K266" s="143"/>
      <c r="L266" s="143"/>
      <c r="M266" s="143"/>
      <c r="N266" s="143"/>
      <c r="O266" s="143"/>
      <c r="P266" s="143"/>
      <c r="Q266" s="143"/>
      <c r="R266" s="83" t="s">
        <v>102</v>
      </c>
      <c r="S266" s="17" t="s">
        <v>103</v>
      </c>
      <c r="T266" s="83" t="s">
        <v>109</v>
      </c>
      <c r="U266" s="17" t="s">
        <v>103</v>
      </c>
      <c r="V266" s="137"/>
      <c r="W266" s="138"/>
      <c r="X266" s="5"/>
    </row>
    <row r="267" spans="1:24" ht="15.6" x14ac:dyDescent="0.3">
      <c r="A267" s="24"/>
      <c r="B267" s="54" t="s">
        <v>88</v>
      </c>
      <c r="C267" s="25"/>
      <c r="D267" s="25"/>
      <c r="E267" s="25"/>
      <c r="F267" s="25"/>
      <c r="G267" s="25"/>
      <c r="H267" s="95"/>
      <c r="I267" s="95"/>
      <c r="J267" s="95"/>
      <c r="K267" s="95"/>
      <c r="L267" s="95"/>
      <c r="M267" s="95"/>
      <c r="N267" s="95"/>
      <c r="O267" s="95"/>
      <c r="P267" s="95"/>
      <c r="Q267" s="95"/>
      <c r="R267" s="54">
        <v>0</v>
      </c>
      <c r="S267" s="94">
        <v>0</v>
      </c>
      <c r="T267" s="53">
        <v>0</v>
      </c>
      <c r="U267" s="132">
        <v>0</v>
      </c>
      <c r="V267" s="25"/>
      <c r="W267" s="25"/>
      <c r="X267" s="5"/>
    </row>
    <row r="268" spans="1:24" ht="15.6" x14ac:dyDescent="0.3">
      <c r="A268" s="24"/>
      <c r="B268" s="54" t="s">
        <v>89</v>
      </c>
      <c r="C268" s="25"/>
      <c r="D268" s="25"/>
      <c r="E268" s="25"/>
      <c r="F268" s="25"/>
      <c r="G268" s="25"/>
      <c r="H268" s="95"/>
      <c r="I268" s="95"/>
      <c r="J268" s="95"/>
      <c r="K268" s="95"/>
      <c r="L268" s="95"/>
      <c r="M268" s="95"/>
      <c r="N268" s="95"/>
      <c r="O268" s="95"/>
      <c r="P268" s="95"/>
      <c r="Q268" s="95"/>
      <c r="R268" s="54">
        <v>0</v>
      </c>
      <c r="S268" s="94">
        <v>0</v>
      </c>
      <c r="T268" s="53">
        <v>0</v>
      </c>
      <c r="U268" s="132">
        <v>0</v>
      </c>
      <c r="V268" s="25"/>
      <c r="W268" s="25"/>
      <c r="X268" s="5"/>
    </row>
    <row r="269" spans="1:24" ht="15.6" x14ac:dyDescent="0.3">
      <c r="A269" s="24"/>
      <c r="B269" s="54" t="s">
        <v>90</v>
      </c>
      <c r="C269" s="25"/>
      <c r="D269" s="25"/>
      <c r="E269" s="25"/>
      <c r="F269" s="25"/>
      <c r="G269" s="25"/>
      <c r="H269" s="95"/>
      <c r="I269" s="95"/>
      <c r="J269" s="95"/>
      <c r="K269" s="95"/>
      <c r="L269" s="95"/>
      <c r="M269" s="95"/>
      <c r="N269" s="95"/>
      <c r="O269" s="95"/>
      <c r="P269" s="95"/>
      <c r="Q269" s="95"/>
      <c r="R269" s="54">
        <v>0</v>
      </c>
      <c r="S269" s="94">
        <v>0</v>
      </c>
      <c r="T269" s="53">
        <v>0</v>
      </c>
      <c r="U269" s="132">
        <v>0</v>
      </c>
      <c r="V269" s="25"/>
      <c r="W269" s="25"/>
      <c r="X269" s="5"/>
    </row>
    <row r="270" spans="1:24" ht="15.6" x14ac:dyDescent="0.3">
      <c r="A270" s="24"/>
      <c r="B270" s="54" t="s">
        <v>156</v>
      </c>
      <c r="C270" s="25"/>
      <c r="D270" s="25"/>
      <c r="E270" s="25"/>
      <c r="F270" s="25"/>
      <c r="G270" s="25"/>
      <c r="H270" s="95"/>
      <c r="I270" s="95"/>
      <c r="J270" s="95"/>
      <c r="K270" s="95"/>
      <c r="L270" s="95"/>
      <c r="M270" s="95"/>
      <c r="N270" s="95"/>
      <c r="O270" s="95"/>
      <c r="P270" s="95"/>
      <c r="Q270" s="95"/>
      <c r="R270" s="54">
        <v>0</v>
      </c>
      <c r="S270" s="94">
        <v>0</v>
      </c>
      <c r="T270" s="53">
        <v>0</v>
      </c>
      <c r="U270" s="132">
        <v>0</v>
      </c>
      <c r="V270" s="25"/>
      <c r="W270" s="25"/>
      <c r="X270" s="5"/>
    </row>
    <row r="271" spans="1:24" ht="15.6" x14ac:dyDescent="0.3">
      <c r="A271" s="24"/>
      <c r="B271" s="54" t="s">
        <v>157</v>
      </c>
      <c r="C271" s="25"/>
      <c r="D271" s="25"/>
      <c r="E271" s="25"/>
      <c r="F271" s="25"/>
      <c r="G271" s="25"/>
      <c r="H271" s="95"/>
      <c r="I271" s="95"/>
      <c r="J271" s="95"/>
      <c r="K271" s="95"/>
      <c r="L271" s="95"/>
      <c r="M271" s="95"/>
      <c r="N271" s="95"/>
      <c r="O271" s="95"/>
      <c r="P271" s="95"/>
      <c r="Q271" s="95"/>
      <c r="R271" s="54">
        <v>0</v>
      </c>
      <c r="S271" s="94">
        <v>0</v>
      </c>
      <c r="T271" s="53">
        <v>0</v>
      </c>
      <c r="U271" s="132">
        <v>0</v>
      </c>
      <c r="V271" s="25"/>
      <c r="W271" s="25"/>
      <c r="X271" s="5"/>
    </row>
    <row r="272" spans="1:24" ht="15.6" x14ac:dyDescent="0.3">
      <c r="A272" s="24"/>
      <c r="B272" s="54" t="s">
        <v>158</v>
      </c>
      <c r="C272" s="25"/>
      <c r="D272" s="25"/>
      <c r="E272" s="25"/>
      <c r="F272" s="25"/>
      <c r="G272" s="25"/>
      <c r="H272" s="95"/>
      <c r="I272" s="95"/>
      <c r="J272" s="95"/>
      <c r="K272" s="95"/>
      <c r="L272" s="95"/>
      <c r="M272" s="95"/>
      <c r="N272" s="95"/>
      <c r="O272" s="95"/>
      <c r="P272" s="95"/>
      <c r="Q272" s="95"/>
      <c r="R272" s="54">
        <v>0</v>
      </c>
      <c r="S272" s="94">
        <v>0</v>
      </c>
      <c r="T272" s="53">
        <v>0</v>
      </c>
      <c r="U272" s="132">
        <v>0</v>
      </c>
      <c r="V272" s="25"/>
      <c r="W272" s="25"/>
      <c r="X272" s="5"/>
    </row>
    <row r="273" spans="1:24" ht="15.6" x14ac:dyDescent="0.3">
      <c r="A273" s="24"/>
      <c r="B273" s="54" t="s">
        <v>159</v>
      </c>
      <c r="C273" s="25"/>
      <c r="D273" s="25"/>
      <c r="E273" s="25"/>
      <c r="F273" s="25"/>
      <c r="G273" s="25"/>
      <c r="H273" s="95"/>
      <c r="I273" s="95"/>
      <c r="J273" s="95"/>
      <c r="K273" s="95"/>
      <c r="L273" s="95"/>
      <c r="M273" s="95"/>
      <c r="N273" s="95"/>
      <c r="O273" s="95"/>
      <c r="P273" s="95"/>
      <c r="Q273" s="95"/>
      <c r="R273" s="54">
        <v>0</v>
      </c>
      <c r="S273" s="94">
        <v>0</v>
      </c>
      <c r="T273" s="53">
        <v>0</v>
      </c>
      <c r="U273" s="132">
        <v>0</v>
      </c>
      <c r="V273" s="25"/>
      <c r="W273" s="25"/>
      <c r="X273" s="5"/>
    </row>
    <row r="274" spans="1:24" ht="15.6" x14ac:dyDescent="0.3">
      <c r="A274" s="24"/>
      <c r="B274" s="54" t="s">
        <v>160</v>
      </c>
      <c r="C274" s="25"/>
      <c r="D274" s="25"/>
      <c r="E274" s="25"/>
      <c r="F274" s="25"/>
      <c r="G274" s="25"/>
      <c r="H274" s="95"/>
      <c r="I274" s="95"/>
      <c r="J274" s="95"/>
      <c r="K274" s="95"/>
      <c r="L274" s="95"/>
      <c r="M274" s="95"/>
      <c r="N274" s="95"/>
      <c r="O274" s="95"/>
      <c r="P274" s="95"/>
      <c r="Q274" s="95"/>
      <c r="R274" s="54">
        <v>0</v>
      </c>
      <c r="S274" s="94">
        <v>0</v>
      </c>
      <c r="T274" s="53">
        <v>0</v>
      </c>
      <c r="U274" s="132">
        <v>0</v>
      </c>
      <c r="V274" s="25"/>
      <c r="W274" s="25"/>
      <c r="X274" s="5"/>
    </row>
    <row r="275" spans="1:24" ht="15.6" x14ac:dyDescent="0.3">
      <c r="A275" s="24"/>
      <c r="B275" s="54"/>
      <c r="C275" s="25"/>
      <c r="D275" s="25"/>
      <c r="E275" s="25"/>
      <c r="F275" s="25"/>
      <c r="G275" s="25"/>
      <c r="H275" s="95"/>
      <c r="I275" s="95"/>
      <c r="J275" s="95"/>
      <c r="K275" s="95"/>
      <c r="L275" s="95"/>
      <c r="M275" s="95"/>
      <c r="N275" s="95"/>
      <c r="O275" s="95"/>
      <c r="P275" s="95"/>
      <c r="Q275" s="95"/>
      <c r="R275" s="54"/>
      <c r="S275" s="94"/>
      <c r="T275" s="53"/>
      <c r="U275" s="132"/>
      <c r="V275" s="25"/>
      <c r="W275" s="25"/>
      <c r="X275" s="5"/>
    </row>
    <row r="276" spans="1:24" ht="15.6" x14ac:dyDescent="0.3">
      <c r="A276" s="24"/>
      <c r="B276" s="25" t="s">
        <v>114</v>
      </c>
      <c r="C276" s="25"/>
      <c r="D276" s="25"/>
      <c r="E276" s="25"/>
      <c r="F276" s="25"/>
      <c r="G276" s="25"/>
      <c r="H276" s="95"/>
      <c r="I276" s="95"/>
      <c r="J276" s="95"/>
      <c r="K276" s="95"/>
      <c r="L276" s="95"/>
      <c r="M276" s="95"/>
      <c r="N276" s="95"/>
      <c r="O276" s="95"/>
      <c r="P276" s="95"/>
      <c r="Q276" s="95"/>
      <c r="R276" s="34">
        <f>SUM(R267:R274)</f>
        <v>0</v>
      </c>
      <c r="S276" s="132">
        <f>SUM(S267:S275)</f>
        <v>0</v>
      </c>
      <c r="T276" s="53">
        <f>SUM(T267:T274)</f>
        <v>0</v>
      </c>
      <c r="U276" s="132">
        <f>SUM(U267:U275)</f>
        <v>0</v>
      </c>
      <c r="V276" s="25"/>
      <c r="W276" s="25"/>
      <c r="X276" s="5"/>
    </row>
    <row r="277" spans="1:24" ht="15.6" x14ac:dyDescent="0.3">
      <c r="A277" s="24"/>
      <c r="B277" s="25"/>
      <c r="C277" s="25"/>
      <c r="D277" s="25"/>
      <c r="E277" s="25"/>
      <c r="F277" s="25"/>
      <c r="G277" s="25"/>
      <c r="H277" s="95"/>
      <c r="I277" s="95"/>
      <c r="J277" s="95"/>
      <c r="K277" s="95"/>
      <c r="L277" s="95"/>
      <c r="M277" s="95"/>
      <c r="N277" s="95"/>
      <c r="O277" s="95"/>
      <c r="P277" s="95"/>
      <c r="Q277" s="95"/>
      <c r="R277" s="34"/>
      <c r="S277" s="132"/>
      <c r="T277" s="53"/>
      <c r="U277" s="132"/>
      <c r="V277" s="25"/>
      <c r="W277" s="25"/>
      <c r="X277" s="5"/>
    </row>
    <row r="278" spans="1:24" ht="15.6" x14ac:dyDescent="0.3">
      <c r="A278" s="24"/>
      <c r="B278" s="140" t="s">
        <v>164</v>
      </c>
      <c r="C278" s="25"/>
      <c r="D278" s="25"/>
      <c r="E278" s="25"/>
      <c r="F278" s="25"/>
      <c r="G278" s="25"/>
      <c r="H278" s="95"/>
      <c r="I278" s="95"/>
      <c r="J278" s="95"/>
      <c r="K278" s="95"/>
      <c r="L278" s="95"/>
      <c r="M278" s="95"/>
      <c r="N278" s="95"/>
      <c r="O278" s="95"/>
      <c r="P278" s="95"/>
      <c r="Q278" s="95"/>
      <c r="R278" s="159">
        <f>R276+R264+R252</f>
        <v>8525</v>
      </c>
      <c r="S278" s="141"/>
      <c r="T278" s="142">
        <f>+T276+T264+T252</f>
        <v>1221489</v>
      </c>
      <c r="U278" s="141"/>
      <c r="V278" s="25"/>
      <c r="W278" s="25"/>
      <c r="X278" s="5"/>
    </row>
    <row r="279" spans="1:24" ht="15.6" x14ac:dyDescent="0.3">
      <c r="A279" s="24"/>
      <c r="B279" s="25"/>
      <c r="C279" s="25"/>
      <c r="D279" s="25"/>
      <c r="E279" s="25"/>
      <c r="F279" s="25"/>
      <c r="G279" s="25"/>
      <c r="H279" s="95"/>
      <c r="I279" s="95"/>
      <c r="J279" s="95"/>
      <c r="K279" s="95"/>
      <c r="L279" s="95"/>
      <c r="M279" s="95"/>
      <c r="N279" s="95"/>
      <c r="O279" s="95"/>
      <c r="P279" s="95"/>
      <c r="Q279" s="95"/>
      <c r="R279" s="95"/>
      <c r="S279" s="95"/>
      <c r="T279" s="53"/>
      <c r="U279" s="95"/>
      <c r="V279" s="25"/>
      <c r="W279" s="25"/>
      <c r="X279" s="5"/>
    </row>
    <row r="280" spans="1:24" ht="15.6" x14ac:dyDescent="0.3">
      <c r="A280" s="6"/>
      <c r="B280" s="8"/>
      <c r="C280" s="8"/>
      <c r="D280" s="8"/>
      <c r="E280" s="8"/>
      <c r="F280" s="8"/>
      <c r="G280" s="8"/>
      <c r="H280" s="96"/>
      <c r="I280" s="96"/>
      <c r="J280" s="96"/>
      <c r="K280" s="96"/>
      <c r="L280" s="96"/>
      <c r="M280" s="96"/>
      <c r="N280" s="96"/>
      <c r="O280" s="96"/>
      <c r="P280" s="96"/>
      <c r="Q280" s="96"/>
      <c r="R280" s="96"/>
      <c r="S280" s="96"/>
      <c r="T280" s="97"/>
      <c r="U280" s="96"/>
      <c r="V280" s="8"/>
      <c r="W280" s="8"/>
      <c r="X280" s="5"/>
    </row>
    <row r="281" spans="1:24" ht="15.6" x14ac:dyDescent="0.3">
      <c r="A281" s="178"/>
      <c r="B281" s="14" t="s">
        <v>91</v>
      </c>
      <c r="C281" s="15"/>
      <c r="D281" s="15"/>
      <c r="E281" s="15"/>
      <c r="F281" s="17" t="s">
        <v>97</v>
      </c>
      <c r="G281" s="15"/>
      <c r="H281" s="14" t="s">
        <v>99</v>
      </c>
      <c r="I281" s="14"/>
      <c r="J281" s="14"/>
      <c r="K281" s="173"/>
      <c r="L281" s="173"/>
      <c r="M281" s="173"/>
      <c r="N281" s="173"/>
      <c r="O281" s="173"/>
      <c r="P281" s="173"/>
      <c r="Q281" s="173"/>
      <c r="R281" s="173"/>
      <c r="S281" s="173"/>
      <c r="T281" s="173"/>
      <c r="U281" s="173"/>
      <c r="V281" s="173"/>
      <c r="W281" s="173"/>
      <c r="X281" s="5"/>
    </row>
    <row r="282" spans="1:24" ht="15.6" x14ac:dyDescent="0.3">
      <c r="A282" s="178"/>
      <c r="B282" s="173"/>
      <c r="C282" s="8"/>
      <c r="D282" s="8"/>
      <c r="E282" s="8"/>
      <c r="F282" s="8"/>
      <c r="G282" s="8"/>
      <c r="H282" s="8"/>
      <c r="I282" s="8"/>
      <c r="J282" s="8"/>
      <c r="K282" s="173"/>
      <c r="L282" s="173"/>
      <c r="M282" s="173"/>
      <c r="N282" s="173"/>
      <c r="O282" s="173"/>
      <c r="P282" s="173"/>
      <c r="Q282" s="173"/>
      <c r="R282" s="173"/>
      <c r="S282" s="173"/>
      <c r="T282" s="173"/>
      <c r="U282" s="173"/>
      <c r="V282" s="173"/>
      <c r="W282" s="173"/>
      <c r="X282" s="5"/>
    </row>
    <row r="283" spans="1:24" ht="15.6" x14ac:dyDescent="0.3">
      <c r="A283" s="178"/>
      <c r="B283" s="13" t="s">
        <v>92</v>
      </c>
      <c r="C283" s="13"/>
      <c r="D283" s="13"/>
      <c r="E283" s="13"/>
      <c r="F283" s="130" t="s">
        <v>148</v>
      </c>
      <c r="G283" s="13"/>
      <c r="H283" s="13" t="s">
        <v>152</v>
      </c>
      <c r="I283" s="13"/>
      <c r="J283" s="13"/>
      <c r="K283" s="173"/>
      <c r="L283" s="173"/>
      <c r="M283" s="173"/>
      <c r="N283" s="173"/>
      <c r="O283" s="173"/>
      <c r="P283" s="173"/>
      <c r="Q283" s="173"/>
      <c r="R283" s="173"/>
      <c r="S283" s="173"/>
      <c r="T283" s="173"/>
      <c r="U283" s="173"/>
      <c r="V283" s="173"/>
      <c r="W283" s="173"/>
      <c r="X283" s="5"/>
    </row>
    <row r="284" spans="1:24" ht="15.6" x14ac:dyDescent="0.3">
      <c r="A284" s="178"/>
      <c r="B284" s="13" t="s">
        <v>277</v>
      </c>
      <c r="C284" s="13"/>
      <c r="D284" s="13"/>
      <c r="E284" s="13"/>
      <c r="F284" s="130" t="s">
        <v>278</v>
      </c>
      <c r="G284" s="13"/>
      <c r="H284" s="13" t="s">
        <v>279</v>
      </c>
      <c r="I284" s="173"/>
      <c r="J284" s="13"/>
      <c r="K284" s="173"/>
      <c r="L284" s="173"/>
      <c r="M284" s="173"/>
      <c r="N284" s="173"/>
      <c r="O284" s="173"/>
      <c r="P284" s="173"/>
      <c r="Q284" s="173"/>
      <c r="R284" s="173"/>
      <c r="S284" s="173"/>
      <c r="T284" s="173"/>
      <c r="U284" s="173"/>
      <c r="V284" s="173"/>
      <c r="W284" s="173"/>
      <c r="X284" s="5"/>
    </row>
    <row r="285" spans="1:24" ht="15.6" x14ac:dyDescent="0.3">
      <c r="A285" s="178"/>
      <c r="B285" s="13" t="s">
        <v>93</v>
      </c>
      <c r="C285" s="13"/>
      <c r="D285" s="13"/>
      <c r="E285" s="13"/>
      <c r="F285" s="130" t="s">
        <v>147</v>
      </c>
      <c r="G285" s="13"/>
      <c r="H285" s="13" t="s">
        <v>153</v>
      </c>
      <c r="I285" s="13"/>
      <c r="J285" s="13"/>
      <c r="K285" s="173"/>
      <c r="L285" s="173"/>
      <c r="M285" s="173"/>
      <c r="N285" s="173"/>
      <c r="O285" s="173"/>
      <c r="P285" s="173"/>
      <c r="Q285" s="173"/>
      <c r="R285" s="173"/>
      <c r="S285" s="173"/>
      <c r="T285" s="173"/>
      <c r="U285" s="173"/>
      <c r="V285" s="173"/>
      <c r="W285" s="173"/>
      <c r="X285" s="5"/>
    </row>
    <row r="286" spans="1:24" ht="15.6" x14ac:dyDescent="0.3">
      <c r="A286" s="178"/>
      <c r="B286" s="13"/>
      <c r="C286" s="13"/>
      <c r="D286" s="13"/>
      <c r="E286" s="13"/>
      <c r="F286" s="13"/>
      <c r="G286" s="99"/>
      <c r="H286" s="173"/>
      <c r="I286" s="173"/>
      <c r="J286" s="173"/>
      <c r="K286" s="173"/>
      <c r="L286" s="173"/>
      <c r="M286" s="173"/>
      <c r="N286" s="173"/>
      <c r="O286" s="173"/>
      <c r="P286" s="173"/>
      <c r="Q286" s="173"/>
      <c r="R286" s="173"/>
      <c r="S286" s="173"/>
      <c r="T286" s="173"/>
      <c r="U286" s="173"/>
      <c r="V286" s="173"/>
      <c r="W286" s="173"/>
      <c r="X286" s="5"/>
    </row>
    <row r="287" spans="1:24" ht="15.6" x14ac:dyDescent="0.3">
      <c r="A287" s="178"/>
      <c r="B287" s="13"/>
      <c r="C287" s="13"/>
      <c r="D287" s="13"/>
      <c r="E287" s="13"/>
      <c r="F287" s="13"/>
      <c r="G287" s="99"/>
      <c r="H287" s="173"/>
      <c r="I287" s="173"/>
      <c r="J287" s="173"/>
      <c r="K287" s="173"/>
      <c r="L287" s="173"/>
      <c r="M287" s="173"/>
      <c r="N287" s="173"/>
      <c r="O287" s="173"/>
      <c r="P287" s="173"/>
      <c r="Q287" s="173"/>
      <c r="R287" s="173"/>
      <c r="S287" s="173"/>
      <c r="T287" s="173"/>
      <c r="U287" s="173"/>
      <c r="V287" s="173"/>
      <c r="W287" s="173"/>
      <c r="X287" s="5"/>
    </row>
    <row r="288" spans="1:24" ht="18" thickBot="1" x14ac:dyDescent="0.35">
      <c r="A288" s="178"/>
      <c r="B288" s="49" t="str">
        <f>B204</f>
        <v>PM14 INVESTOR REPORT QUARTER ENDING FEBRUARY 2009</v>
      </c>
      <c r="C288" s="13"/>
      <c r="D288" s="13"/>
      <c r="E288" s="13"/>
      <c r="F288" s="13"/>
      <c r="G288" s="99"/>
      <c r="H288" s="173"/>
      <c r="I288" s="173"/>
      <c r="J288" s="173"/>
      <c r="K288" s="173"/>
      <c r="L288" s="173"/>
      <c r="M288" s="173"/>
      <c r="N288" s="173"/>
      <c r="O288" s="173"/>
      <c r="P288" s="173"/>
      <c r="Q288" s="173"/>
      <c r="R288" s="173"/>
      <c r="S288" s="173"/>
      <c r="T288" s="173"/>
      <c r="U288" s="173"/>
      <c r="V288" s="173"/>
      <c r="W288" s="173"/>
      <c r="X288" s="5"/>
    </row>
    <row r="289" spans="1:23" x14ac:dyDescent="0.25">
      <c r="A289" s="100"/>
      <c r="B289" s="100"/>
      <c r="C289" s="100"/>
      <c r="D289" s="100"/>
      <c r="E289" s="100"/>
      <c r="F289" s="100"/>
      <c r="G289" s="100"/>
      <c r="H289" s="100"/>
      <c r="I289" s="100"/>
      <c r="J289" s="100"/>
      <c r="K289" s="100"/>
      <c r="L289" s="100"/>
      <c r="M289" s="100"/>
      <c r="N289" s="100"/>
      <c r="O289" s="100"/>
      <c r="P289" s="100"/>
      <c r="Q289" s="100"/>
      <c r="R289" s="100"/>
      <c r="S289" s="100"/>
      <c r="T289" s="100"/>
      <c r="U289" s="100"/>
      <c r="V289" s="100"/>
      <c r="W289" s="100"/>
    </row>
  </sheetData>
  <phoneticPr fontId="0" type="noConversion"/>
  <hyperlinks>
    <hyperlink ref="P240" r:id="rId1" xr:uid="{00000000-0004-0000-0600-000000000000}"/>
    <hyperlink ref="I9" r:id="rId2" xr:uid="{00000000-0004-0000-06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9" max="14" man="1"/>
    <brk id="204" max="14" man="1"/>
  </row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4"/>
  </sheetPr>
  <dimension ref="A1:IV289"/>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2"/>
      <c r="B1" s="3" t="s">
        <v>244</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245</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137</v>
      </c>
      <c r="C5" s="8"/>
      <c r="D5" s="8"/>
      <c r="E5" s="8"/>
      <c r="F5" s="8"/>
      <c r="G5" s="8"/>
      <c r="H5" s="8"/>
      <c r="I5" s="8"/>
      <c r="J5" s="8"/>
      <c r="K5" s="8"/>
      <c r="L5" s="8"/>
      <c r="M5" s="8"/>
      <c r="N5" s="8"/>
      <c r="O5" s="8"/>
      <c r="P5" s="8"/>
      <c r="Q5" s="8"/>
      <c r="R5" s="8"/>
      <c r="S5" s="8"/>
      <c r="T5" s="8"/>
      <c r="U5" s="8"/>
      <c r="V5" s="8"/>
      <c r="W5" s="8"/>
      <c r="X5" s="5"/>
    </row>
    <row r="6" spans="1:24" ht="15.6" x14ac:dyDescent="0.3">
      <c r="A6" s="6"/>
      <c r="B6" s="11" t="s">
        <v>139</v>
      </c>
      <c r="C6" s="8"/>
      <c r="D6" s="8"/>
      <c r="E6" s="8"/>
      <c r="F6" s="8"/>
      <c r="G6" s="8"/>
      <c r="H6" s="8"/>
      <c r="I6" s="8"/>
      <c r="J6" s="8"/>
      <c r="K6" s="8"/>
      <c r="L6" s="8"/>
      <c r="M6" s="8"/>
      <c r="N6" s="8"/>
      <c r="O6" s="8"/>
      <c r="P6" s="8"/>
      <c r="Q6" s="8"/>
      <c r="R6" s="8"/>
      <c r="S6" s="8"/>
      <c r="T6" s="8"/>
      <c r="U6" s="8"/>
      <c r="V6" s="8"/>
      <c r="W6" s="8"/>
      <c r="X6" s="5"/>
    </row>
    <row r="7" spans="1:24" ht="15.6" x14ac:dyDescent="0.3">
      <c r="A7" s="6"/>
      <c r="B7" s="11" t="s">
        <v>138</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5" t="s">
        <v>166</v>
      </c>
      <c r="C9" s="8"/>
      <c r="D9" s="8"/>
      <c r="E9" s="8"/>
      <c r="F9" s="8"/>
      <c r="G9" s="8"/>
      <c r="H9" s="8"/>
      <c r="I9" s="146" t="s">
        <v>167</v>
      </c>
      <c r="J9" s="8"/>
      <c r="K9" s="8"/>
      <c r="L9" s="146"/>
      <c r="M9" s="8"/>
      <c r="N9" s="146"/>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246</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104</v>
      </c>
      <c r="S15" s="135">
        <v>0.38300000000000001</v>
      </c>
      <c r="T15" s="17" t="s">
        <v>140</v>
      </c>
      <c r="U15" s="135">
        <v>0.61699999999999999</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104</v>
      </c>
      <c r="S16" s="135">
        <v>0.45069999999999999</v>
      </c>
      <c r="T16" s="17" t="s">
        <v>140</v>
      </c>
      <c r="U16" s="135">
        <v>0.54930000000000001</v>
      </c>
      <c r="V16" s="16"/>
      <c r="W16" s="15"/>
      <c r="X16" s="5"/>
    </row>
    <row r="17" spans="1:24" ht="15.6" x14ac:dyDescent="0.3">
      <c r="A17" s="6"/>
      <c r="B17" s="14" t="s">
        <v>4</v>
      </c>
      <c r="C17" s="15"/>
      <c r="D17" s="15"/>
      <c r="E17" s="15"/>
      <c r="F17" s="15"/>
      <c r="G17" s="15"/>
      <c r="H17" s="15"/>
      <c r="I17" s="15"/>
      <c r="J17" s="15"/>
      <c r="K17" s="15"/>
      <c r="L17" s="15"/>
      <c r="M17" s="15"/>
      <c r="N17" s="15"/>
      <c r="O17" s="15"/>
      <c r="P17" s="15"/>
      <c r="Q17" s="15"/>
      <c r="R17" s="15"/>
      <c r="S17" s="15"/>
      <c r="T17" s="15"/>
      <c r="U17" s="15"/>
      <c r="V17" s="19">
        <v>39163</v>
      </c>
      <c r="W17" s="15"/>
      <c r="X17" s="5"/>
    </row>
    <row r="18" spans="1:24" ht="15.6" x14ac:dyDescent="0.3">
      <c r="A18" s="6"/>
      <c r="B18" s="14" t="s">
        <v>5</v>
      </c>
      <c r="C18" s="15"/>
      <c r="D18" s="15"/>
      <c r="E18" s="15"/>
      <c r="F18" s="15"/>
      <c r="G18" s="15"/>
      <c r="H18" s="15"/>
      <c r="I18" s="15"/>
      <c r="J18" s="15"/>
      <c r="K18" s="15"/>
      <c r="L18" s="15"/>
      <c r="M18" s="15"/>
      <c r="N18" s="15"/>
      <c r="O18" s="15"/>
      <c r="P18" s="15"/>
      <c r="Q18" s="15"/>
      <c r="R18" s="15"/>
      <c r="S18" s="15"/>
      <c r="T18" s="15"/>
      <c r="U18" s="15"/>
      <c r="V18" s="19">
        <v>39986</v>
      </c>
      <c r="W18" s="15"/>
      <c r="X18" s="5"/>
    </row>
    <row r="19" spans="1:24"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4" ht="15.6" x14ac:dyDescent="0.3">
      <c r="A20" s="6"/>
      <c r="B20" s="21" t="s">
        <v>6</v>
      </c>
      <c r="C20" s="8"/>
      <c r="D20" s="8"/>
      <c r="E20" s="8"/>
      <c r="F20" s="8"/>
      <c r="G20" s="8"/>
      <c r="H20" s="8"/>
      <c r="I20" s="8"/>
      <c r="J20" s="8"/>
      <c r="K20" s="8"/>
      <c r="L20" s="8"/>
      <c r="M20" s="8"/>
      <c r="N20" s="8"/>
      <c r="O20" s="8"/>
      <c r="P20" s="8"/>
      <c r="Q20" s="8"/>
      <c r="R20" s="8"/>
      <c r="S20" s="8"/>
      <c r="T20" s="20" t="s">
        <v>105</v>
      </c>
      <c r="U20" s="8"/>
      <c r="V20" s="173"/>
      <c r="W20" s="8"/>
      <c r="X20" s="5"/>
    </row>
    <row r="21" spans="1:24"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4" ht="15.6" x14ac:dyDescent="0.3">
      <c r="A22" s="6"/>
      <c r="B22" s="8"/>
      <c r="C22" s="112"/>
      <c r="D22" s="112" t="s">
        <v>177</v>
      </c>
      <c r="E22" s="112"/>
      <c r="F22" s="112" t="s">
        <v>178</v>
      </c>
      <c r="G22" s="112"/>
      <c r="H22" s="112" t="s">
        <v>179</v>
      </c>
      <c r="I22" s="112"/>
      <c r="J22" s="112" t="s">
        <v>220</v>
      </c>
      <c r="K22" s="112"/>
      <c r="L22" s="112" t="s">
        <v>180</v>
      </c>
      <c r="M22" s="112"/>
      <c r="N22" s="112" t="s">
        <v>181</v>
      </c>
      <c r="O22" s="112"/>
      <c r="P22" s="112" t="s">
        <v>221</v>
      </c>
      <c r="Q22" s="112"/>
      <c r="R22" s="112" t="s">
        <v>182</v>
      </c>
      <c r="S22" s="113"/>
      <c r="T22" s="23"/>
      <c r="U22" s="173"/>
      <c r="V22" s="173"/>
      <c r="W22" s="8"/>
      <c r="X22" s="5"/>
    </row>
    <row r="23" spans="1:24" ht="15.6" x14ac:dyDescent="0.3">
      <c r="A23" s="24"/>
      <c r="B23" s="25" t="s">
        <v>7</v>
      </c>
      <c r="C23" s="26"/>
      <c r="D23" s="26" t="s">
        <v>213</v>
      </c>
      <c r="E23" s="26"/>
      <c r="F23" s="26" t="s">
        <v>141</v>
      </c>
      <c r="G23" s="26"/>
      <c r="H23" s="26" t="s">
        <v>141</v>
      </c>
      <c r="I23" s="26"/>
      <c r="J23" s="26" t="s">
        <v>141</v>
      </c>
      <c r="K23" s="26"/>
      <c r="L23" s="26" t="s">
        <v>183</v>
      </c>
      <c r="M23" s="26"/>
      <c r="N23" s="26" t="s">
        <v>183</v>
      </c>
      <c r="O23" s="26"/>
      <c r="P23" s="26" t="s">
        <v>142</v>
      </c>
      <c r="Q23" s="26"/>
      <c r="R23" s="26" t="s">
        <v>142</v>
      </c>
      <c r="S23" s="26"/>
      <c r="T23" s="26"/>
      <c r="U23" s="174"/>
      <c r="V23" s="174"/>
      <c r="W23" s="25"/>
      <c r="X23" s="5"/>
    </row>
    <row r="24" spans="1:24" ht="15.6" x14ac:dyDescent="0.3">
      <c r="A24" s="24"/>
      <c r="B24" s="25" t="s">
        <v>8</v>
      </c>
      <c r="C24" s="26"/>
      <c r="D24" s="26" t="s">
        <v>214</v>
      </c>
      <c r="E24" s="26"/>
      <c r="F24" s="26" t="s">
        <v>143</v>
      </c>
      <c r="G24" s="26"/>
      <c r="H24" s="26" t="s">
        <v>143</v>
      </c>
      <c r="I24" s="26"/>
      <c r="J24" s="26" t="s">
        <v>143</v>
      </c>
      <c r="K24" s="26"/>
      <c r="L24" s="26" t="s">
        <v>165</v>
      </c>
      <c r="M24" s="26"/>
      <c r="N24" s="26" t="s">
        <v>165</v>
      </c>
      <c r="O24" s="26"/>
      <c r="P24" s="26" t="s">
        <v>144</v>
      </c>
      <c r="Q24" s="26"/>
      <c r="R24" s="26" t="s">
        <v>144</v>
      </c>
      <c r="S24" s="26"/>
      <c r="T24" s="26"/>
      <c r="U24" s="174"/>
      <c r="V24" s="174"/>
      <c r="W24" s="25"/>
      <c r="X24" s="5"/>
    </row>
    <row r="25" spans="1:24" ht="15.6" x14ac:dyDescent="0.3">
      <c r="A25" s="28"/>
      <c r="B25" s="131" t="s">
        <v>190</v>
      </c>
      <c r="C25" s="123"/>
      <c r="D25" s="26" t="s">
        <v>215</v>
      </c>
      <c r="E25" s="26"/>
      <c r="F25" s="26" t="s">
        <v>143</v>
      </c>
      <c r="G25" s="26"/>
      <c r="H25" s="26" t="s">
        <v>143</v>
      </c>
      <c r="I25" s="26"/>
      <c r="J25" s="26" t="s">
        <v>143</v>
      </c>
      <c r="K25" s="26"/>
      <c r="L25" s="26" t="s">
        <v>293</v>
      </c>
      <c r="M25" s="26"/>
      <c r="N25" s="26" t="s">
        <v>293</v>
      </c>
      <c r="O25" s="26"/>
      <c r="P25" s="26" t="s">
        <v>144</v>
      </c>
      <c r="Q25" s="26"/>
      <c r="R25" s="26" t="s">
        <v>144</v>
      </c>
      <c r="S25" s="123"/>
      <c r="T25" s="26"/>
      <c r="U25" s="174"/>
      <c r="V25" s="174"/>
      <c r="W25" s="25"/>
      <c r="X25" s="5"/>
    </row>
    <row r="26" spans="1:24" ht="15.6" x14ac:dyDescent="0.3">
      <c r="A26" s="28"/>
      <c r="B26" s="29" t="s">
        <v>9</v>
      </c>
      <c r="C26" s="123"/>
      <c r="D26" s="123" t="s">
        <v>213</v>
      </c>
      <c r="E26" s="123"/>
      <c r="F26" s="123" t="s">
        <v>141</v>
      </c>
      <c r="G26" s="123"/>
      <c r="H26" s="123" t="s">
        <v>141</v>
      </c>
      <c r="I26" s="123"/>
      <c r="J26" s="123" t="s">
        <v>141</v>
      </c>
      <c r="K26" s="123"/>
      <c r="L26" s="123" t="s">
        <v>183</v>
      </c>
      <c r="M26" s="123"/>
      <c r="N26" s="123" t="s">
        <v>183</v>
      </c>
      <c r="O26" s="123"/>
      <c r="P26" s="123" t="s">
        <v>142</v>
      </c>
      <c r="Q26" s="123"/>
      <c r="R26" s="123" t="s">
        <v>142</v>
      </c>
      <c r="S26" s="123"/>
      <c r="T26" s="26"/>
      <c r="U26" s="174"/>
      <c r="V26" s="174"/>
      <c r="W26" s="25"/>
      <c r="X26" s="5"/>
    </row>
    <row r="27" spans="1:24" ht="15.6" x14ac:dyDescent="0.3">
      <c r="A27" s="24"/>
      <c r="B27" s="29" t="s">
        <v>191</v>
      </c>
      <c r="C27" s="26"/>
      <c r="D27" s="123" t="s">
        <v>214</v>
      </c>
      <c r="E27" s="123"/>
      <c r="F27" s="123" t="s">
        <v>143</v>
      </c>
      <c r="G27" s="123"/>
      <c r="H27" s="123" t="s">
        <v>143</v>
      </c>
      <c r="I27" s="123"/>
      <c r="J27" s="123" t="s">
        <v>143</v>
      </c>
      <c r="K27" s="123"/>
      <c r="L27" s="123" t="s">
        <v>165</v>
      </c>
      <c r="M27" s="123"/>
      <c r="N27" s="123" t="s">
        <v>165</v>
      </c>
      <c r="O27" s="123"/>
      <c r="P27" s="123" t="s">
        <v>144</v>
      </c>
      <c r="Q27" s="123"/>
      <c r="R27" s="123" t="s">
        <v>144</v>
      </c>
      <c r="S27" s="26"/>
      <c r="T27" s="30"/>
      <c r="U27" s="174"/>
      <c r="V27" s="174"/>
      <c r="W27" s="25"/>
      <c r="X27" s="5"/>
    </row>
    <row r="28" spans="1:24" ht="15.6" x14ac:dyDescent="0.3">
      <c r="A28" s="24"/>
      <c r="B28" s="151" t="s">
        <v>192</v>
      </c>
      <c r="C28" s="26"/>
      <c r="D28" s="123" t="s">
        <v>215</v>
      </c>
      <c r="E28" s="123"/>
      <c r="F28" s="123" t="s">
        <v>143</v>
      </c>
      <c r="G28" s="123"/>
      <c r="H28" s="123" t="s">
        <v>143</v>
      </c>
      <c r="I28" s="123"/>
      <c r="J28" s="123" t="s">
        <v>143</v>
      </c>
      <c r="K28" s="123"/>
      <c r="L28" s="123" t="s">
        <v>293</v>
      </c>
      <c r="M28" s="123"/>
      <c r="N28" s="123" t="s">
        <v>293</v>
      </c>
      <c r="O28" s="123"/>
      <c r="P28" s="123" t="s">
        <v>144</v>
      </c>
      <c r="Q28" s="123"/>
      <c r="R28" s="123" t="s">
        <v>144</v>
      </c>
      <c r="S28" s="26"/>
      <c r="T28" s="30"/>
      <c r="U28" s="174"/>
      <c r="V28" s="174"/>
      <c r="W28" s="25"/>
      <c r="X28" s="5"/>
    </row>
    <row r="29" spans="1:24" ht="15.6" x14ac:dyDescent="0.3">
      <c r="A29" s="24"/>
      <c r="B29" s="25" t="s">
        <v>10</v>
      </c>
      <c r="C29" s="32"/>
      <c r="D29" s="26" t="s">
        <v>249</v>
      </c>
      <c r="E29" s="26"/>
      <c r="F29" s="30" t="s">
        <v>250</v>
      </c>
      <c r="G29" s="26"/>
      <c r="H29" s="26" t="s">
        <v>251</v>
      </c>
      <c r="I29" s="26"/>
      <c r="J29" s="26" t="s">
        <v>253</v>
      </c>
      <c r="K29" s="26"/>
      <c r="L29" s="26" t="s">
        <v>254</v>
      </c>
      <c r="M29" s="26"/>
      <c r="N29" s="26" t="s">
        <v>255</v>
      </c>
      <c r="O29" s="26"/>
      <c r="P29" s="26" t="s">
        <v>256</v>
      </c>
      <c r="Q29" s="26"/>
      <c r="R29" s="26" t="s">
        <v>257</v>
      </c>
      <c r="S29" s="31"/>
      <c r="T29" s="31"/>
      <c r="U29" s="175"/>
      <c r="V29" s="31"/>
      <c r="W29" s="34"/>
      <c r="X29" s="5"/>
    </row>
    <row r="30" spans="1:24" ht="15.6" x14ac:dyDescent="0.3">
      <c r="A30" s="24"/>
      <c r="B30" s="25" t="s">
        <v>10</v>
      </c>
      <c r="C30" s="32"/>
      <c r="D30" s="26" t="s">
        <v>248</v>
      </c>
      <c r="E30" s="26"/>
      <c r="F30" s="30" t="s">
        <v>118</v>
      </c>
      <c r="G30" s="26"/>
      <c r="H30" s="26" t="s">
        <v>118</v>
      </c>
      <c r="I30" s="26"/>
      <c r="J30" s="26" t="s">
        <v>252</v>
      </c>
      <c r="K30" s="26"/>
      <c r="L30" s="26" t="s">
        <v>118</v>
      </c>
      <c r="M30" s="26"/>
      <c r="N30" s="26" t="s">
        <v>118</v>
      </c>
      <c r="O30" s="26"/>
      <c r="P30" s="26" t="s">
        <v>118</v>
      </c>
      <c r="Q30" s="26"/>
      <c r="R30" s="26" t="s">
        <v>118</v>
      </c>
      <c r="S30" s="31"/>
      <c r="T30" s="31"/>
      <c r="U30" s="175"/>
      <c r="V30" s="31"/>
      <c r="W30" s="34"/>
      <c r="X30" s="5"/>
    </row>
    <row r="31" spans="1:24" ht="15.6" x14ac:dyDescent="0.3">
      <c r="A31" s="28"/>
      <c r="B31" s="25" t="s">
        <v>133</v>
      </c>
      <c r="C31" s="36"/>
      <c r="D31" s="144">
        <v>1500000</v>
      </c>
      <c r="E31" s="32"/>
      <c r="F31" s="31">
        <v>125000</v>
      </c>
      <c r="G31" s="31"/>
      <c r="H31" s="124">
        <v>246000</v>
      </c>
      <c r="I31" s="124"/>
      <c r="J31" s="144">
        <v>400000</v>
      </c>
      <c r="K31" s="31"/>
      <c r="L31" s="31">
        <v>51900</v>
      </c>
      <c r="M31" s="31"/>
      <c r="N31" s="124">
        <v>88800</v>
      </c>
      <c r="O31" s="31"/>
      <c r="P31" s="31">
        <v>20000</v>
      </c>
      <c r="Q31" s="31"/>
      <c r="R31" s="124">
        <v>135500</v>
      </c>
      <c r="S31" s="35"/>
      <c r="T31" s="35"/>
      <c r="U31" s="37"/>
      <c r="V31" s="35"/>
      <c r="W31" s="34"/>
      <c r="X31" s="5"/>
    </row>
    <row r="32" spans="1:24" ht="15.6" x14ac:dyDescent="0.3">
      <c r="A32" s="24"/>
      <c r="B32" s="25" t="s">
        <v>132</v>
      </c>
      <c r="C32" s="32"/>
      <c r="D32" s="144">
        <f>D31*D38</f>
        <v>1172031.3</v>
      </c>
      <c r="E32" s="32"/>
      <c r="F32" s="31">
        <f>F31*F38</f>
        <v>97669.324999999997</v>
      </c>
      <c r="G32" s="31"/>
      <c r="H32" s="124">
        <f>H31*H38</f>
        <v>192213.2316</v>
      </c>
      <c r="I32" s="124"/>
      <c r="J32" s="144">
        <f>J31*J38</f>
        <v>312541.68</v>
      </c>
      <c r="K32" s="31"/>
      <c r="L32" s="31">
        <f>+L31</f>
        <v>51900</v>
      </c>
      <c r="M32" s="31"/>
      <c r="N32" s="124">
        <f>+N31</f>
        <v>88800</v>
      </c>
      <c r="O32" s="31"/>
      <c r="P32" s="31">
        <f>+P31</f>
        <v>20000</v>
      </c>
      <c r="Q32" s="31"/>
      <c r="R32" s="124">
        <f>+R31</f>
        <v>135500</v>
      </c>
      <c r="S32" s="31"/>
      <c r="T32" s="31"/>
      <c r="U32" s="175"/>
      <c r="V32" s="31"/>
      <c r="W32" s="34"/>
      <c r="X32" s="5"/>
    </row>
    <row r="33" spans="1:24" ht="15.6" x14ac:dyDescent="0.3">
      <c r="A33" s="24"/>
      <c r="B33" s="29" t="s">
        <v>134</v>
      </c>
      <c r="C33" s="32"/>
      <c r="D33" s="149">
        <f>D37*D31</f>
        <v>1158295.2</v>
      </c>
      <c r="E33" s="36"/>
      <c r="F33" s="35">
        <f>F37*F31</f>
        <v>96524.650000000009</v>
      </c>
      <c r="G33" s="35"/>
      <c r="H33" s="125">
        <f>H31*H37</f>
        <v>189960.51120000001</v>
      </c>
      <c r="I33" s="125"/>
      <c r="J33" s="149">
        <f>J37*J31</f>
        <v>308878.72000000003</v>
      </c>
      <c r="K33" s="35"/>
      <c r="L33" s="35">
        <f>L31*L37</f>
        <v>51900</v>
      </c>
      <c r="M33" s="35"/>
      <c r="N33" s="125">
        <f>N31*N37</f>
        <v>88800</v>
      </c>
      <c r="O33" s="35"/>
      <c r="P33" s="35">
        <f>P31*P37</f>
        <v>20000</v>
      </c>
      <c r="Q33" s="35"/>
      <c r="R33" s="125">
        <f>R31*R37</f>
        <v>135500</v>
      </c>
      <c r="S33" s="31"/>
      <c r="T33" s="31"/>
      <c r="U33" s="175"/>
      <c r="V33" s="31"/>
      <c r="W33" s="34"/>
      <c r="X33" s="5"/>
    </row>
    <row r="34" spans="1:24" ht="15.6" x14ac:dyDescent="0.3">
      <c r="A34" s="28"/>
      <c r="B34" s="25" t="s">
        <v>296</v>
      </c>
      <c r="C34" s="36"/>
      <c r="D34" s="31">
        <v>775194</v>
      </c>
      <c r="E34" s="32"/>
      <c r="F34" s="31">
        <v>125000</v>
      </c>
      <c r="G34" s="31"/>
      <c r="H34" s="31">
        <v>168148</v>
      </c>
      <c r="I34" s="31"/>
      <c r="J34" s="31">
        <v>206718</v>
      </c>
      <c r="K34" s="31"/>
      <c r="L34" s="31">
        <v>51900</v>
      </c>
      <c r="M34" s="31"/>
      <c r="N34" s="31">
        <v>60697</v>
      </c>
      <c r="O34" s="31"/>
      <c r="P34" s="31">
        <v>20000</v>
      </c>
      <c r="Q34" s="31"/>
      <c r="R34" s="31">
        <v>92618</v>
      </c>
      <c r="S34" s="35"/>
      <c r="T34" s="35"/>
      <c r="U34" s="37"/>
      <c r="V34" s="152">
        <f>SUM(C34:R34)</f>
        <v>1500275</v>
      </c>
      <c r="W34" s="34"/>
      <c r="X34" s="5"/>
    </row>
    <row r="35" spans="1:24" ht="15.6" x14ac:dyDescent="0.3">
      <c r="A35" s="28"/>
      <c r="B35" s="25" t="s">
        <v>297</v>
      </c>
      <c r="C35" s="126"/>
      <c r="D35" s="31">
        <f>D34*D38</f>
        <v>605701.08771480003</v>
      </c>
      <c r="E35" s="32"/>
      <c r="F35" s="31">
        <f>F34*F38</f>
        <v>97669.324999999997</v>
      </c>
      <c r="G35" s="31"/>
      <c r="H35" s="31">
        <f>H34*H38</f>
        <v>131383.2132808</v>
      </c>
      <c r="I35" s="31"/>
      <c r="J35" s="31">
        <f>J34*J38</f>
        <v>161519.97751560001</v>
      </c>
      <c r="K35" s="31"/>
      <c r="L35" s="31">
        <f>+L34</f>
        <v>51900</v>
      </c>
      <c r="M35" s="31"/>
      <c r="N35" s="31">
        <f>+N34</f>
        <v>60697</v>
      </c>
      <c r="O35" s="31"/>
      <c r="P35" s="31">
        <f>+P34</f>
        <v>20000</v>
      </c>
      <c r="Q35" s="31"/>
      <c r="R35" s="31">
        <f>+R34</f>
        <v>92618</v>
      </c>
      <c r="S35" s="31"/>
      <c r="T35" s="31"/>
      <c r="U35" s="175"/>
      <c r="V35" s="152">
        <f>SUM(C35:R35)</f>
        <v>1221488.6035112001</v>
      </c>
      <c r="W35" s="34"/>
      <c r="X35" s="5"/>
    </row>
    <row r="36" spans="1:24" ht="15.6" x14ac:dyDescent="0.3">
      <c r="A36" s="28"/>
      <c r="B36" s="29" t="s">
        <v>298</v>
      </c>
      <c r="C36" s="126"/>
      <c r="D36" s="35">
        <f>D34*D37</f>
        <v>598602.32617919997</v>
      </c>
      <c r="E36" s="36"/>
      <c r="F36" s="35">
        <f>F34*F37</f>
        <v>96524.650000000009</v>
      </c>
      <c r="G36" s="35"/>
      <c r="H36" s="35">
        <f>H34*H37</f>
        <v>129843.41478560001</v>
      </c>
      <c r="I36" s="35"/>
      <c r="J36" s="35">
        <f>J34*J37</f>
        <v>159626.9781024</v>
      </c>
      <c r="K36" s="35"/>
      <c r="L36" s="35">
        <f>L34*L37</f>
        <v>51900</v>
      </c>
      <c r="M36" s="35"/>
      <c r="N36" s="35">
        <f>N34*N37</f>
        <v>60697</v>
      </c>
      <c r="O36" s="35"/>
      <c r="P36" s="35">
        <f>P34*P37</f>
        <v>20000</v>
      </c>
      <c r="Q36" s="35"/>
      <c r="R36" s="35">
        <f>R34*R37</f>
        <v>92618</v>
      </c>
      <c r="S36" s="128"/>
      <c r="T36" s="128"/>
      <c r="U36" s="175"/>
      <c r="V36" s="153">
        <f>SUM(C36:R36)</f>
        <v>1209812.3690672</v>
      </c>
      <c r="W36" s="34"/>
      <c r="X36" s="5"/>
    </row>
    <row r="37" spans="1:24" ht="15.6" x14ac:dyDescent="0.3">
      <c r="A37" s="24"/>
      <c r="B37" s="122" t="s">
        <v>130</v>
      </c>
      <c r="C37" s="25"/>
      <c r="D37" s="171">
        <v>0.77219680000000002</v>
      </c>
      <c r="E37" s="171"/>
      <c r="F37" s="171">
        <v>0.77219720000000003</v>
      </c>
      <c r="G37" s="171"/>
      <c r="H37" s="171">
        <v>0.77219720000000003</v>
      </c>
      <c r="I37" s="171"/>
      <c r="J37" s="171">
        <v>0.77219680000000002</v>
      </c>
      <c r="K37" s="171"/>
      <c r="L37" s="171">
        <v>1</v>
      </c>
      <c r="M37" s="171"/>
      <c r="N37" s="171">
        <v>1</v>
      </c>
      <c r="O37" s="171"/>
      <c r="P37" s="171">
        <v>1</v>
      </c>
      <c r="Q37" s="171"/>
      <c r="R37" s="171">
        <v>1</v>
      </c>
      <c r="S37" s="30"/>
      <c r="T37" s="30"/>
      <c r="U37" s="174"/>
      <c r="V37" s="174"/>
      <c r="W37" s="25"/>
      <c r="X37" s="5"/>
    </row>
    <row r="38" spans="1:24" ht="15.6" x14ac:dyDescent="0.3">
      <c r="A38" s="24"/>
      <c r="B38" s="122" t="s">
        <v>131</v>
      </c>
      <c r="C38" s="25"/>
      <c r="D38" s="171">
        <v>0.7813542</v>
      </c>
      <c r="E38" s="171"/>
      <c r="F38" s="171">
        <v>0.78135460000000001</v>
      </c>
      <c r="G38" s="171"/>
      <c r="H38" s="171">
        <v>0.78135460000000001</v>
      </c>
      <c r="I38" s="171"/>
      <c r="J38" s="171">
        <v>0.7813542</v>
      </c>
      <c r="K38" s="171"/>
      <c r="L38" s="171">
        <v>1</v>
      </c>
      <c r="M38" s="171"/>
      <c r="N38" s="171">
        <v>1</v>
      </c>
      <c r="O38" s="171"/>
      <c r="P38" s="171">
        <v>1</v>
      </c>
      <c r="Q38" s="171"/>
      <c r="R38" s="171">
        <v>1</v>
      </c>
      <c r="S38" s="39"/>
      <c r="T38" s="38"/>
      <c r="U38" s="174"/>
      <c r="V38" s="39"/>
      <c r="W38" s="25"/>
      <c r="X38" s="5"/>
    </row>
    <row r="39" spans="1:24" ht="15.6" x14ac:dyDescent="0.3">
      <c r="A39" s="24"/>
      <c r="B39" s="25" t="s">
        <v>11</v>
      </c>
      <c r="C39" s="25"/>
      <c r="D39" s="30" t="s">
        <v>285</v>
      </c>
      <c r="E39" s="25"/>
      <c r="F39" s="30" t="s">
        <v>258</v>
      </c>
      <c r="G39" s="30"/>
      <c r="H39" s="30" t="s">
        <v>258</v>
      </c>
      <c r="I39" s="30"/>
      <c r="J39" s="30" t="s">
        <v>258</v>
      </c>
      <c r="K39" s="30"/>
      <c r="L39" s="30" t="s">
        <v>232</v>
      </c>
      <c r="M39" s="30"/>
      <c r="N39" s="30" t="s">
        <v>232</v>
      </c>
      <c r="O39" s="30"/>
      <c r="P39" s="30" t="s">
        <v>233</v>
      </c>
      <c r="Q39" s="30"/>
      <c r="R39" s="30" t="s">
        <v>233</v>
      </c>
      <c r="S39" s="39"/>
      <c r="T39" s="38"/>
      <c r="U39" s="174"/>
      <c r="V39" s="174"/>
      <c r="W39" s="25"/>
      <c r="X39" s="5"/>
    </row>
    <row r="40" spans="1:24" ht="15.6" x14ac:dyDescent="0.3">
      <c r="A40" s="24"/>
      <c r="B40" s="25" t="s">
        <v>12</v>
      </c>
      <c r="C40" s="25"/>
      <c r="D40" s="38">
        <v>4.4438000000000004E-3</v>
      </c>
      <c r="E40" s="25"/>
      <c r="F40" s="38">
        <v>1.9381300000000001E-2</v>
      </c>
      <c r="G40" s="39"/>
      <c r="H40" s="38">
        <v>1.7500000000000002E-2</v>
      </c>
      <c r="I40" s="38"/>
      <c r="J40" s="38">
        <v>1.4200000000000001E-2</v>
      </c>
      <c r="K40" s="39"/>
      <c r="L40" s="38">
        <v>2.0181299999999999E-2</v>
      </c>
      <c r="M40" s="39"/>
      <c r="N40" s="38">
        <v>1.83E-2</v>
      </c>
      <c r="O40" s="39"/>
      <c r="P40" s="38">
        <v>2.2181300000000001E-2</v>
      </c>
      <c r="Q40" s="39"/>
      <c r="R40" s="38">
        <v>2.0299999999999999E-2</v>
      </c>
      <c r="S40" s="39"/>
      <c r="T40" s="38"/>
      <c r="U40" s="174"/>
      <c r="V40" s="30"/>
      <c r="W40" s="25"/>
      <c r="X40" s="5"/>
    </row>
    <row r="41" spans="1:24" ht="15.6" x14ac:dyDescent="0.3">
      <c r="A41" s="24"/>
      <c r="B41" s="25" t="s">
        <v>13</v>
      </c>
      <c r="C41" s="25"/>
      <c r="D41" s="38">
        <v>5.6125000000000003E-3</v>
      </c>
      <c r="E41" s="25"/>
      <c r="F41" s="38">
        <v>3.2325E-2</v>
      </c>
      <c r="G41" s="39"/>
      <c r="H41" s="38">
        <v>3.4290000000000001E-2</v>
      </c>
      <c r="I41" s="38"/>
      <c r="J41" s="38">
        <v>2.0962499999999998E-2</v>
      </c>
      <c r="K41" s="39"/>
      <c r="L41" s="38">
        <v>3.3125000000000002E-2</v>
      </c>
      <c r="M41" s="39"/>
      <c r="N41" s="38">
        <v>3.5090000000000003E-2</v>
      </c>
      <c r="O41" s="39"/>
      <c r="P41" s="38">
        <v>3.5125000000000003E-2</v>
      </c>
      <c r="Q41" s="39"/>
      <c r="R41" s="38">
        <v>3.7089999999999998E-2</v>
      </c>
      <c r="S41" s="39"/>
      <c r="T41" s="38"/>
      <c r="U41" s="174"/>
      <c r="V41" s="39" t="s">
        <v>193</v>
      </c>
      <c r="W41" s="25"/>
      <c r="X41" s="5"/>
    </row>
    <row r="42" spans="1:24" ht="15.6" x14ac:dyDescent="0.3">
      <c r="A42" s="24"/>
      <c r="B42" s="25" t="s">
        <v>299</v>
      </c>
      <c r="C42" s="25"/>
      <c r="D42" s="30" t="s">
        <v>286</v>
      </c>
      <c r="E42" s="25"/>
      <c r="F42" s="30" t="s">
        <v>258</v>
      </c>
      <c r="G42" s="30"/>
      <c r="H42" s="30" t="s">
        <v>259</v>
      </c>
      <c r="I42" s="30"/>
      <c r="J42" s="30" t="s">
        <v>260</v>
      </c>
      <c r="K42" s="30"/>
      <c r="L42" s="30" t="s">
        <v>232</v>
      </c>
      <c r="M42" s="30"/>
      <c r="N42" s="30" t="s">
        <v>235</v>
      </c>
      <c r="O42" s="30"/>
      <c r="P42" s="30" t="s">
        <v>233</v>
      </c>
      <c r="Q42" s="30"/>
      <c r="R42" s="30" t="s">
        <v>261</v>
      </c>
      <c r="S42" s="39"/>
      <c r="T42" s="38"/>
      <c r="U42" s="174"/>
      <c r="V42" s="174"/>
      <c r="W42" s="25"/>
      <c r="X42" s="5"/>
    </row>
    <row r="43" spans="1:24" ht="15.6" x14ac:dyDescent="0.3">
      <c r="A43" s="24"/>
      <c r="B43" s="25" t="s">
        <v>300</v>
      </c>
      <c r="C43" s="110"/>
      <c r="D43" s="38">
        <v>1.97203E-2</v>
      </c>
      <c r="E43" s="38"/>
      <c r="F43" s="38">
        <f>+F40</f>
        <v>1.9381300000000001E-2</v>
      </c>
      <c r="G43" s="38"/>
      <c r="H43" s="38">
        <v>1.9521299999999998E-2</v>
      </c>
      <c r="I43" s="38"/>
      <c r="J43" s="38">
        <v>1.9744299999999999E-2</v>
      </c>
      <c r="K43" s="38"/>
      <c r="L43" s="38">
        <f>+L40</f>
        <v>2.0181299999999999E-2</v>
      </c>
      <c r="M43" s="38"/>
      <c r="N43" s="38">
        <v>2.04773E-2</v>
      </c>
      <c r="O43" s="38"/>
      <c r="P43" s="38">
        <f>+P40</f>
        <v>2.2181300000000001E-2</v>
      </c>
      <c r="Q43" s="39"/>
      <c r="R43" s="38">
        <v>2.27143E-2</v>
      </c>
      <c r="S43" s="30"/>
      <c r="T43" s="30"/>
      <c r="U43" s="174"/>
      <c r="V43" s="39">
        <f>SUMPRODUCT(D43:R43,D35:R35)/V35</f>
        <v>1.9999478322959577E-2</v>
      </c>
      <c r="W43" s="25"/>
      <c r="X43" s="5"/>
    </row>
    <row r="44" spans="1:24" ht="15.6" x14ac:dyDescent="0.3">
      <c r="A44" s="24"/>
      <c r="B44" s="25" t="s">
        <v>301</v>
      </c>
      <c r="C44" s="110"/>
      <c r="D44" s="38">
        <v>3.2663999999999999E-2</v>
      </c>
      <c r="E44" s="38"/>
      <c r="F44" s="38">
        <f>+F41</f>
        <v>3.2325E-2</v>
      </c>
      <c r="G44" s="38"/>
      <c r="H44" s="38">
        <v>3.2465000000000001E-2</v>
      </c>
      <c r="I44" s="38"/>
      <c r="J44" s="38">
        <v>3.2688000000000002E-2</v>
      </c>
      <c r="K44" s="38"/>
      <c r="L44" s="38">
        <f>+L41</f>
        <v>3.3125000000000002E-2</v>
      </c>
      <c r="M44" s="38"/>
      <c r="N44" s="38">
        <v>3.3420999999999999E-2</v>
      </c>
      <c r="O44" s="38"/>
      <c r="P44" s="38">
        <f>+P41</f>
        <v>3.5125000000000003E-2</v>
      </c>
      <c r="Q44" s="39"/>
      <c r="R44" s="38">
        <v>3.5658000000000002E-2</v>
      </c>
      <c r="S44" s="30"/>
      <c r="T44" s="30"/>
      <c r="U44" s="174"/>
      <c r="V44" s="174"/>
      <c r="W44" s="25"/>
      <c r="X44" s="5"/>
    </row>
    <row r="45" spans="1:24" ht="15.6" x14ac:dyDescent="0.3">
      <c r="A45" s="24"/>
      <c r="B45" s="25" t="s">
        <v>14</v>
      </c>
      <c r="C45" s="25"/>
      <c r="D45" s="110">
        <v>40617</v>
      </c>
      <c r="E45" s="110"/>
      <c r="F45" s="110">
        <v>40617</v>
      </c>
      <c r="G45" s="110"/>
      <c r="H45" s="110">
        <v>40617</v>
      </c>
      <c r="I45" s="110"/>
      <c r="J45" s="110">
        <v>40617</v>
      </c>
      <c r="K45" s="110"/>
      <c r="L45" s="110">
        <v>40617</v>
      </c>
      <c r="M45" s="110"/>
      <c r="N45" s="110">
        <v>40617</v>
      </c>
      <c r="O45" s="110"/>
      <c r="P45" s="110">
        <v>40617</v>
      </c>
      <c r="Q45" s="110"/>
      <c r="R45" s="110">
        <v>40617</v>
      </c>
      <c r="S45" s="30"/>
      <c r="T45" s="30"/>
      <c r="U45" s="174"/>
      <c r="V45" s="174"/>
      <c r="W45" s="25"/>
      <c r="X45" s="5"/>
    </row>
    <row r="46" spans="1:24" ht="15.6" x14ac:dyDescent="0.3">
      <c r="A46" s="24"/>
      <c r="B46" s="25" t="s">
        <v>15</v>
      </c>
      <c r="C46" s="25"/>
      <c r="D46" s="110" t="s">
        <v>118</v>
      </c>
      <c r="E46" s="110"/>
      <c r="F46" s="110">
        <v>40983</v>
      </c>
      <c r="G46" s="110"/>
      <c r="H46" s="110">
        <v>40983</v>
      </c>
      <c r="I46" s="110"/>
      <c r="J46" s="110">
        <v>40983</v>
      </c>
      <c r="K46" s="30"/>
      <c r="L46" s="110">
        <v>40983</v>
      </c>
      <c r="M46" s="30"/>
      <c r="N46" s="110">
        <v>40983</v>
      </c>
      <c r="O46" s="30"/>
      <c r="P46" s="110">
        <v>40983</v>
      </c>
      <c r="Q46" s="30"/>
      <c r="R46" s="110">
        <v>40983</v>
      </c>
      <c r="S46" s="30"/>
      <c r="T46" s="30"/>
      <c r="U46" s="174"/>
      <c r="V46" s="174"/>
      <c r="W46" s="25"/>
      <c r="X46" s="5"/>
    </row>
    <row r="47" spans="1:24" ht="15.6" x14ac:dyDescent="0.3">
      <c r="A47" s="24"/>
      <c r="B47" s="25" t="s">
        <v>119</v>
      </c>
      <c r="C47" s="25"/>
      <c r="D47" s="158" t="s">
        <v>118</v>
      </c>
      <c r="E47" s="25"/>
      <c r="F47" s="30" t="s">
        <v>231</v>
      </c>
      <c r="G47" s="30"/>
      <c r="H47" s="30" t="s">
        <v>231</v>
      </c>
      <c r="I47" s="30"/>
      <c r="J47" s="30" t="s">
        <v>231</v>
      </c>
      <c r="K47" s="30"/>
      <c r="L47" s="30" t="s">
        <v>265</v>
      </c>
      <c r="M47" s="30"/>
      <c r="N47" s="30" t="s">
        <v>265</v>
      </c>
      <c r="O47" s="30"/>
      <c r="P47" s="30" t="s">
        <v>266</v>
      </c>
      <c r="Q47" s="30"/>
      <c r="R47" s="30" t="s">
        <v>266</v>
      </c>
      <c r="S47" s="40"/>
      <c r="T47" s="40"/>
      <c r="U47" s="40"/>
      <c r="V47" s="40"/>
      <c r="W47" s="25"/>
      <c r="X47" s="5"/>
    </row>
    <row r="48" spans="1:24" ht="15.6" x14ac:dyDescent="0.3">
      <c r="A48" s="24"/>
      <c r="B48" s="25" t="s">
        <v>302</v>
      </c>
      <c r="C48" s="25"/>
      <c r="D48" s="30" t="s">
        <v>200</v>
      </c>
      <c r="E48" s="25"/>
      <c r="F48" s="30" t="s">
        <v>231</v>
      </c>
      <c r="G48" s="30"/>
      <c r="H48" s="30" t="s">
        <v>262</v>
      </c>
      <c r="I48" s="30"/>
      <c r="J48" s="30" t="s">
        <v>263</v>
      </c>
      <c r="K48" s="30"/>
      <c r="L48" s="30" t="s">
        <v>265</v>
      </c>
      <c r="M48" s="30"/>
      <c r="N48" s="30" t="s">
        <v>234</v>
      </c>
      <c r="O48" s="30"/>
      <c r="P48" s="30" t="s">
        <v>266</v>
      </c>
      <c r="Q48" s="30"/>
      <c r="R48" s="30" t="s">
        <v>264</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193</v>
      </c>
      <c r="W49" s="25"/>
      <c r="X49" s="5"/>
    </row>
    <row r="50" spans="1:25" ht="15.6" x14ac:dyDescent="0.3">
      <c r="A50" s="24"/>
      <c r="B50" s="25" t="s">
        <v>169</v>
      </c>
      <c r="C50" s="25"/>
      <c r="D50" s="30"/>
      <c r="E50" s="25"/>
      <c r="F50" s="30"/>
      <c r="G50" s="30"/>
      <c r="H50" s="30"/>
      <c r="I50" s="30"/>
      <c r="J50" s="30"/>
      <c r="K50" s="30"/>
      <c r="L50" s="30"/>
      <c r="M50" s="30"/>
      <c r="N50" s="30"/>
      <c r="O50" s="30"/>
      <c r="P50" s="30"/>
      <c r="Q50" s="30"/>
      <c r="R50" s="30"/>
      <c r="S50" s="25"/>
      <c r="T50" s="25"/>
      <c r="U50" s="25"/>
      <c r="V50" s="39">
        <f>SUM(L34:R34)/SUM(D34:J34)</f>
        <v>0.17663090364375009</v>
      </c>
      <c r="W50" s="25"/>
      <c r="X50" s="5"/>
    </row>
    <row r="51" spans="1:25" ht="15.6" x14ac:dyDescent="0.3">
      <c r="A51" s="24"/>
      <c r="B51" s="25" t="s">
        <v>170</v>
      </c>
      <c r="C51" s="25"/>
      <c r="D51" s="25"/>
      <c r="E51" s="25"/>
      <c r="F51" s="41"/>
      <c r="G51" s="25"/>
      <c r="H51" s="25"/>
      <c r="I51" s="25"/>
      <c r="J51" s="25"/>
      <c r="K51" s="25"/>
      <c r="L51" s="25"/>
      <c r="M51" s="25"/>
      <c r="N51" s="25"/>
      <c r="O51" s="25"/>
      <c r="P51" s="25"/>
      <c r="Q51" s="25"/>
      <c r="R51" s="25"/>
      <c r="S51" s="25"/>
      <c r="T51" s="25"/>
      <c r="U51" s="25"/>
      <c r="V51" s="39">
        <f>SUM(L36:R36)/SUM(D36:J36)</f>
        <v>0.22873816960669616</v>
      </c>
      <c r="W51" s="25"/>
      <c r="X51" s="5"/>
    </row>
    <row r="52" spans="1:25" ht="15.6" x14ac:dyDescent="0.3">
      <c r="A52" s="24"/>
      <c r="B52" s="25" t="s">
        <v>171</v>
      </c>
      <c r="C52" s="25"/>
      <c r="D52" s="25"/>
      <c r="E52" s="25"/>
      <c r="F52" s="25"/>
      <c r="G52" s="25"/>
      <c r="H52" s="25"/>
      <c r="I52" s="25"/>
      <c r="J52" s="25"/>
      <c r="K52" s="25"/>
      <c r="L52" s="25"/>
      <c r="M52" s="25"/>
      <c r="N52" s="25"/>
      <c r="O52" s="25"/>
      <c r="P52" s="25"/>
      <c r="Q52" s="25"/>
      <c r="R52" s="25"/>
      <c r="S52" s="25"/>
      <c r="T52" s="30"/>
      <c r="U52" s="30"/>
      <c r="V52" s="31" t="s">
        <v>276</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202</v>
      </c>
      <c r="C54" s="25"/>
      <c r="D54" s="25"/>
      <c r="E54" s="25"/>
      <c r="F54" s="25"/>
      <c r="G54" s="25"/>
      <c r="H54" s="25"/>
      <c r="I54" s="25"/>
      <c r="J54" s="25"/>
      <c r="K54" s="25"/>
      <c r="L54" s="25"/>
      <c r="M54" s="25"/>
      <c r="N54" s="25"/>
      <c r="O54" s="25"/>
      <c r="P54" s="25"/>
      <c r="Q54" s="25"/>
      <c r="R54" s="25"/>
      <c r="S54" s="25"/>
      <c r="T54" s="25"/>
      <c r="U54" s="25"/>
      <c r="V54" s="154" t="s">
        <v>203</v>
      </c>
      <c r="W54" s="25"/>
      <c r="X54" s="5"/>
    </row>
    <row r="55" spans="1:25" ht="15.6" x14ac:dyDescent="0.3">
      <c r="A55" s="24"/>
      <c r="B55" s="25" t="s">
        <v>280</v>
      </c>
      <c r="C55" s="25"/>
      <c r="D55" s="25"/>
      <c r="E55" s="25"/>
      <c r="F55" s="25"/>
      <c r="G55" s="25"/>
      <c r="H55" s="25"/>
      <c r="I55" s="25"/>
      <c r="J55" s="25"/>
      <c r="K55" s="25"/>
      <c r="L55" s="25"/>
      <c r="M55" s="25"/>
      <c r="N55" s="25"/>
      <c r="O55" s="25"/>
      <c r="P55" s="25"/>
      <c r="Q55" s="25"/>
      <c r="R55" s="25"/>
      <c r="S55" s="25"/>
      <c r="T55" s="30"/>
      <c r="U55" s="30"/>
      <c r="V55" s="155" t="s">
        <v>111</v>
      </c>
      <c r="W55" s="25"/>
      <c r="X55" s="5"/>
    </row>
    <row r="56" spans="1:25" ht="15.6" x14ac:dyDescent="0.3">
      <c r="A56" s="24"/>
      <c r="B56" s="29" t="s">
        <v>201</v>
      </c>
      <c r="C56" s="29"/>
      <c r="D56" s="29"/>
      <c r="E56" s="29"/>
      <c r="F56" s="29"/>
      <c r="G56" s="29"/>
      <c r="H56" s="29"/>
      <c r="I56" s="29"/>
      <c r="J56" s="29"/>
      <c r="K56" s="29"/>
      <c r="L56" s="29"/>
      <c r="M56" s="29"/>
      <c r="N56" s="29"/>
      <c r="O56" s="29"/>
      <c r="P56" s="29"/>
      <c r="Q56" s="29"/>
      <c r="R56" s="29"/>
      <c r="S56" s="29"/>
      <c r="T56" s="43"/>
      <c r="U56" s="43"/>
      <c r="V56" s="44">
        <v>39979</v>
      </c>
      <c r="W56" s="25"/>
      <c r="X56" s="5"/>
    </row>
    <row r="57" spans="1:25" ht="15.6" x14ac:dyDescent="0.3">
      <c r="A57" s="24"/>
      <c r="B57" s="25" t="s">
        <v>121</v>
      </c>
      <c r="C57" s="25"/>
      <c r="D57" s="25"/>
      <c r="E57" s="25"/>
      <c r="F57" s="25"/>
      <c r="G57" s="25"/>
      <c r="H57" s="58"/>
      <c r="I57" s="58"/>
      <c r="J57" s="58"/>
      <c r="K57" s="58"/>
      <c r="L57" s="58"/>
      <c r="M57" s="58"/>
      <c r="N57" s="58"/>
      <c r="O57" s="58"/>
      <c r="P57" s="58"/>
      <c r="Q57" s="58"/>
      <c r="R57" s="25">
        <f>+V57-T57+1</f>
        <v>91</v>
      </c>
      <c r="S57" s="58"/>
      <c r="T57" s="45">
        <v>39797</v>
      </c>
      <c r="U57" s="46"/>
      <c r="V57" s="45">
        <v>39887</v>
      </c>
      <c r="W57" s="25"/>
      <c r="X57" s="5"/>
    </row>
    <row r="58" spans="1:25" ht="15.6" x14ac:dyDescent="0.3">
      <c r="A58" s="24"/>
      <c r="B58" s="25" t="s">
        <v>122</v>
      </c>
      <c r="C58" s="25"/>
      <c r="D58" s="25"/>
      <c r="E58" s="25"/>
      <c r="F58" s="25"/>
      <c r="G58" s="25"/>
      <c r="H58" s="25"/>
      <c r="I58" s="25"/>
      <c r="J58" s="25"/>
      <c r="K58" s="25"/>
      <c r="L58" s="25"/>
      <c r="M58" s="25"/>
      <c r="N58" s="25"/>
      <c r="O58" s="25"/>
      <c r="P58" s="25"/>
      <c r="Q58" s="25"/>
      <c r="R58" s="25">
        <f>+V58-T58+1</f>
        <v>91</v>
      </c>
      <c r="S58" s="25"/>
      <c r="T58" s="45">
        <v>39888</v>
      </c>
      <c r="U58" s="46"/>
      <c r="V58" s="45">
        <v>39978</v>
      </c>
      <c r="W58" s="25"/>
      <c r="X58" s="5"/>
    </row>
    <row r="59" spans="1:25" ht="15.6" x14ac:dyDescent="0.3">
      <c r="A59" s="24"/>
      <c r="B59" s="25" t="s">
        <v>229</v>
      </c>
      <c r="C59" s="25"/>
      <c r="D59" s="25"/>
      <c r="E59" s="25"/>
      <c r="F59" s="25"/>
      <c r="G59" s="25"/>
      <c r="H59" s="25"/>
      <c r="I59" s="25"/>
      <c r="J59" s="25"/>
      <c r="K59" s="25"/>
      <c r="L59" s="25"/>
      <c r="M59" s="25"/>
      <c r="N59" s="25"/>
      <c r="O59" s="25"/>
      <c r="P59" s="25"/>
      <c r="Q59" s="25"/>
      <c r="R59" s="25"/>
      <c r="S59" s="25"/>
      <c r="T59" s="45"/>
      <c r="U59" s="46"/>
      <c r="V59" s="45" t="s">
        <v>120</v>
      </c>
      <c r="W59" s="25"/>
      <c r="X59" s="5"/>
    </row>
    <row r="60" spans="1:25" ht="15.6" x14ac:dyDescent="0.3">
      <c r="A60" s="24"/>
      <c r="B60" s="25" t="s">
        <v>228</v>
      </c>
      <c r="C60" s="25"/>
      <c r="D60" s="25"/>
      <c r="E60" s="25"/>
      <c r="F60" s="25"/>
      <c r="G60" s="25"/>
      <c r="H60" s="25"/>
      <c r="I60" s="25"/>
      <c r="J60" s="25"/>
      <c r="K60" s="25"/>
      <c r="L60" s="25"/>
      <c r="M60" s="25"/>
      <c r="N60" s="25"/>
      <c r="O60" s="25"/>
      <c r="P60" s="25"/>
      <c r="Q60" s="25"/>
      <c r="R60" s="25"/>
      <c r="S60" s="25"/>
      <c r="T60" s="45"/>
      <c r="U60" s="46"/>
      <c r="V60" s="45" t="s">
        <v>154</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39965</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292</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94</v>
      </c>
      <c r="M68" s="115"/>
      <c r="N68" s="115" t="s">
        <v>96</v>
      </c>
      <c r="O68" s="115"/>
      <c r="P68" s="115" t="s">
        <v>98</v>
      </c>
      <c r="Q68" s="115"/>
      <c r="R68" s="115" t="s">
        <v>100</v>
      </c>
      <c r="S68" s="115"/>
      <c r="T68" s="115" t="s">
        <v>106</v>
      </c>
      <c r="U68" s="115"/>
      <c r="V68" s="116" t="s">
        <v>112</v>
      </c>
      <c r="W68" s="117"/>
      <c r="X68" s="5"/>
    </row>
    <row r="69" spans="1:24" ht="15.6" x14ac:dyDescent="0.3">
      <c r="A69" s="24"/>
      <c r="B69" s="25" t="s">
        <v>19</v>
      </c>
      <c r="C69" s="34"/>
      <c r="D69" s="34"/>
      <c r="E69" s="34"/>
      <c r="F69" s="34"/>
      <c r="G69" s="34"/>
      <c r="H69" s="34"/>
      <c r="I69" s="34"/>
      <c r="J69" s="34"/>
      <c r="K69" s="34"/>
      <c r="L69" s="34">
        <v>1158015</v>
      </c>
      <c r="M69" s="34"/>
      <c r="N69" s="53">
        <v>1221489</v>
      </c>
      <c r="O69" s="34"/>
      <c r="P69" s="34">
        <f>11676+461+588+1</f>
        <v>12726</v>
      </c>
      <c r="Q69" s="34"/>
      <c r="R69" s="34">
        <f>461+588</f>
        <v>1049</v>
      </c>
      <c r="S69" s="34"/>
      <c r="T69" s="34">
        <v>0</v>
      </c>
      <c r="U69" s="34"/>
      <c r="V69" s="53">
        <f>+N69-P69+R69-T69</f>
        <v>1209812</v>
      </c>
      <c r="W69" s="25"/>
      <c r="X69" s="5"/>
    </row>
    <row r="70" spans="1:24" ht="15.6" x14ac:dyDescent="0.3">
      <c r="A70" s="24"/>
      <c r="B70" s="25" t="s">
        <v>20</v>
      </c>
      <c r="C70" s="34"/>
      <c r="D70" s="34"/>
      <c r="E70" s="34"/>
      <c r="F70" s="34"/>
      <c r="G70" s="34"/>
      <c r="H70" s="34"/>
      <c r="I70" s="34"/>
      <c r="J70" s="34"/>
      <c r="K70" s="34"/>
      <c r="L70" s="34">
        <v>15</v>
      </c>
      <c r="M70" s="34"/>
      <c r="N70" s="53">
        <v>0</v>
      </c>
      <c r="O70" s="34"/>
      <c r="P70" s="34">
        <v>0</v>
      </c>
      <c r="Q70" s="34"/>
      <c r="R70" s="34">
        <v>0</v>
      </c>
      <c r="S70" s="34"/>
      <c r="T70" s="34">
        <v>0</v>
      </c>
      <c r="U70" s="34"/>
      <c r="V70" s="53">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1158030</v>
      </c>
      <c r="M72" s="34"/>
      <c r="N72" s="54">
        <f>N69+N70</f>
        <v>1221489</v>
      </c>
      <c r="O72" s="34"/>
      <c r="P72" s="34">
        <f>SUM(P69:P71)</f>
        <v>12726</v>
      </c>
      <c r="Q72" s="34"/>
      <c r="R72" s="34">
        <f>SUM(R69:R71)</f>
        <v>1049</v>
      </c>
      <c r="S72" s="34"/>
      <c r="T72" s="34">
        <f>SUM(T69:T71)</f>
        <v>0</v>
      </c>
      <c r="U72" s="34"/>
      <c r="V72" s="54">
        <f>SUM(V69:V71)</f>
        <v>1209812</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117</v>
      </c>
      <c r="C82" s="34"/>
      <c r="D82" s="34"/>
      <c r="E82" s="34"/>
      <c r="F82" s="34"/>
      <c r="G82" s="34"/>
      <c r="H82" s="34"/>
      <c r="I82" s="34"/>
      <c r="J82" s="34"/>
      <c r="K82" s="34"/>
      <c r="L82" s="34">
        <v>342245</v>
      </c>
      <c r="M82" s="34"/>
      <c r="N82" s="34">
        <v>0</v>
      </c>
      <c r="O82" s="34"/>
      <c r="P82" s="34">
        <v>0</v>
      </c>
      <c r="Q82" s="34"/>
      <c r="R82" s="34"/>
      <c r="S82" s="34"/>
      <c r="T82" s="34"/>
      <c r="U82" s="34"/>
      <c r="V82" s="54">
        <f>SUM(N82:R82)</f>
        <v>0</v>
      </c>
      <c r="W82" s="25"/>
      <c r="X82" s="5"/>
    </row>
    <row r="83" spans="1:24" ht="15.6" x14ac:dyDescent="0.3">
      <c r="A83" s="24"/>
      <c r="B83" s="25" t="s">
        <v>146</v>
      </c>
      <c r="C83" s="34"/>
      <c r="D83" s="34"/>
      <c r="E83" s="34"/>
      <c r="F83" s="34"/>
      <c r="G83" s="34"/>
      <c r="H83" s="34"/>
      <c r="I83" s="34"/>
      <c r="J83" s="34"/>
      <c r="K83" s="34"/>
      <c r="L83" s="34">
        <v>0</v>
      </c>
      <c r="M83" s="34"/>
      <c r="N83" s="34">
        <v>0</v>
      </c>
      <c r="O83" s="34"/>
      <c r="P83" s="34">
        <v>0</v>
      </c>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1500275</v>
      </c>
      <c r="M85" s="34"/>
      <c r="N85" s="54">
        <f>SUM(N72:N84)</f>
        <v>1221489</v>
      </c>
      <c r="O85" s="34"/>
      <c r="P85" s="34"/>
      <c r="Q85" s="34"/>
      <c r="R85" s="34"/>
      <c r="S85" s="34"/>
      <c r="T85" s="54"/>
      <c r="U85" s="34"/>
      <c r="V85" s="54">
        <f>SUM(V72:V84)</f>
        <v>1209812</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7" t="s">
        <v>95</v>
      </c>
      <c r="M88" s="17"/>
      <c r="N88" s="156">
        <f>+T205</f>
        <v>39962</v>
      </c>
      <c r="O88" s="17"/>
      <c r="P88" s="17"/>
      <c r="Q88" s="17"/>
      <c r="R88" s="17"/>
      <c r="S88" s="17"/>
      <c r="T88" s="17" t="s">
        <v>107</v>
      </c>
      <c r="U88" s="17"/>
      <c r="V88" s="17" t="s">
        <v>113</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f>12726-208</f>
        <v>12518</v>
      </c>
      <c r="U90" s="25"/>
      <c r="V90" s="53"/>
      <c r="W90" s="25"/>
      <c r="X90" s="5"/>
    </row>
    <row r="91" spans="1:24" ht="15.6" x14ac:dyDescent="0.3">
      <c r="A91" s="24"/>
      <c r="B91" s="25" t="s">
        <v>216</v>
      </c>
      <c r="C91" s="25"/>
      <c r="D91" s="25"/>
      <c r="E91" s="25"/>
      <c r="F91" s="25"/>
      <c r="G91" s="25"/>
      <c r="H91" s="40"/>
      <c r="I91" s="40"/>
      <c r="J91" s="40"/>
      <c r="K91" s="57"/>
      <c r="L91" s="40"/>
      <c r="M91" s="25"/>
      <c r="N91" s="127"/>
      <c r="O91" s="25"/>
      <c r="P91" s="25"/>
      <c r="Q91" s="25"/>
      <c r="R91" s="25"/>
      <c r="S91" s="25"/>
      <c r="T91" s="34"/>
      <c r="U91" s="25"/>
      <c r="V91" s="53">
        <f>5030+7273-301-896+10+13+12</f>
        <v>11141</v>
      </c>
      <c r="W91" s="25"/>
      <c r="X91" s="5"/>
    </row>
    <row r="92" spans="1:24" ht="15.6" x14ac:dyDescent="0.3">
      <c r="A92" s="24"/>
      <c r="B92" s="25" t="s">
        <v>211</v>
      </c>
      <c r="C92" s="25"/>
      <c r="D92" s="25"/>
      <c r="E92" s="25"/>
      <c r="F92" s="25"/>
      <c r="G92" s="25"/>
      <c r="H92" s="40"/>
      <c r="I92" s="40"/>
      <c r="J92" s="40"/>
      <c r="K92" s="57"/>
      <c r="L92" s="40"/>
      <c r="M92" s="25"/>
      <c r="N92" s="127"/>
      <c r="O92" s="25"/>
      <c r="P92" s="25"/>
      <c r="Q92" s="25"/>
      <c r="R92" s="25"/>
      <c r="S92" s="25"/>
      <c r="T92" s="34"/>
      <c r="U92" s="25"/>
      <c r="V92" s="53">
        <f>25+95</f>
        <v>120</v>
      </c>
      <c r="W92" s="25"/>
      <c r="X92" s="5"/>
    </row>
    <row r="93" spans="1:24" ht="15.6" x14ac:dyDescent="0.3">
      <c r="A93" s="24"/>
      <c r="B93" s="25" t="s">
        <v>212</v>
      </c>
      <c r="C93" s="25"/>
      <c r="D93" s="25"/>
      <c r="E93" s="25"/>
      <c r="F93" s="25"/>
      <c r="G93" s="25"/>
      <c r="H93" s="40"/>
      <c r="I93" s="40"/>
      <c r="J93" s="40"/>
      <c r="K93" s="57"/>
      <c r="L93" s="40"/>
      <c r="M93" s="25"/>
      <c r="N93" s="127"/>
      <c r="O93" s="25"/>
      <c r="P93" s="25"/>
      <c r="Q93" s="25"/>
      <c r="R93" s="25"/>
      <c r="S93" s="25"/>
      <c r="T93" s="34"/>
      <c r="U93" s="25"/>
      <c r="V93" s="53">
        <v>443</v>
      </c>
      <c r="W93" s="25"/>
      <c r="X93" s="5"/>
    </row>
    <row r="94" spans="1:24" ht="15.6" x14ac:dyDescent="0.3">
      <c r="A94" s="24"/>
      <c r="B94" s="25" t="s">
        <v>272</v>
      </c>
      <c r="C94" s="25"/>
      <c r="D94" s="25"/>
      <c r="E94" s="25"/>
      <c r="F94" s="25"/>
      <c r="G94" s="25"/>
      <c r="H94" s="40"/>
      <c r="I94" s="40"/>
      <c r="J94" s="40"/>
      <c r="K94" s="57"/>
      <c r="L94" s="40"/>
      <c r="M94" s="25"/>
      <c r="N94" s="127"/>
      <c r="O94" s="25"/>
      <c r="P94" s="25"/>
      <c r="Q94" s="25"/>
      <c r="R94" s="25"/>
      <c r="S94" s="25"/>
      <c r="T94" s="34"/>
      <c r="U94" s="25"/>
      <c r="V94" s="53">
        <v>0</v>
      </c>
      <c r="W94" s="25"/>
      <c r="X94" s="5"/>
    </row>
    <row r="95" spans="1:24" ht="15.6" x14ac:dyDescent="0.3">
      <c r="A95" s="24"/>
      <c r="B95" s="25" t="s">
        <v>274</v>
      </c>
      <c r="C95" s="25"/>
      <c r="D95" s="25"/>
      <c r="E95" s="25"/>
      <c r="F95" s="25"/>
      <c r="G95" s="25"/>
      <c r="H95" s="40"/>
      <c r="I95" s="40"/>
      <c r="J95" s="40"/>
      <c r="K95" s="57"/>
      <c r="L95" s="40"/>
      <c r="M95" s="25"/>
      <c r="N95" s="127"/>
      <c r="O95" s="25"/>
      <c r="P95" s="25"/>
      <c r="Q95" s="25"/>
      <c r="R95" s="25"/>
      <c r="S95" s="25"/>
      <c r="T95" s="34"/>
      <c r="U95" s="25"/>
      <c r="V95" s="53">
        <v>0</v>
      </c>
      <c r="W95" s="25"/>
      <c r="X95" s="5"/>
    </row>
    <row r="96" spans="1:24" ht="15.6" x14ac:dyDescent="0.3">
      <c r="A96" s="24"/>
      <c r="B96" s="25" t="s">
        <v>135</v>
      </c>
      <c r="C96" s="25"/>
      <c r="D96" s="25"/>
      <c r="E96" s="25"/>
      <c r="F96" s="25"/>
      <c r="G96" s="25"/>
      <c r="H96" s="25"/>
      <c r="I96" s="25"/>
      <c r="J96" s="25"/>
      <c r="K96" s="25"/>
      <c r="L96" s="25"/>
      <c r="M96" s="25"/>
      <c r="N96" s="25"/>
      <c r="O96" s="25"/>
      <c r="P96" s="25"/>
      <c r="Q96" s="25"/>
      <c r="R96" s="25"/>
      <c r="S96" s="25"/>
      <c r="T96" s="34"/>
      <c r="U96" s="25"/>
      <c r="V96" s="53">
        <v>0</v>
      </c>
      <c r="W96" s="25"/>
      <c r="X96" s="5"/>
    </row>
    <row r="97" spans="1:25" ht="15.6" x14ac:dyDescent="0.3">
      <c r="A97" s="24"/>
      <c r="B97" s="25" t="s">
        <v>268</v>
      </c>
      <c r="C97" s="25"/>
      <c r="D97" s="25"/>
      <c r="E97" s="25"/>
      <c r="F97" s="25"/>
      <c r="G97" s="25"/>
      <c r="H97" s="25"/>
      <c r="I97" s="25"/>
      <c r="J97" s="25"/>
      <c r="K97" s="25"/>
      <c r="L97" s="25"/>
      <c r="M97" s="25"/>
      <c r="N97" s="25"/>
      <c r="O97" s="25"/>
      <c r="P97" s="25"/>
      <c r="Q97" s="25"/>
      <c r="R97" s="25"/>
      <c r="S97" s="25"/>
      <c r="T97" s="34"/>
      <c r="U97" s="25"/>
      <c r="V97" s="53">
        <v>0</v>
      </c>
      <c r="W97" s="25"/>
      <c r="X97" s="5"/>
    </row>
    <row r="98" spans="1:25" ht="15.6" x14ac:dyDescent="0.3">
      <c r="A98" s="24"/>
      <c r="B98" s="25" t="s">
        <v>30</v>
      </c>
      <c r="C98" s="25"/>
      <c r="D98" s="25"/>
      <c r="E98" s="25"/>
      <c r="F98" s="25"/>
      <c r="G98" s="25"/>
      <c r="H98" s="25"/>
      <c r="I98" s="25"/>
      <c r="J98" s="25"/>
      <c r="K98" s="25"/>
      <c r="L98" s="25"/>
      <c r="M98" s="25"/>
      <c r="N98" s="25"/>
      <c r="O98" s="25"/>
      <c r="P98" s="25"/>
      <c r="Q98" s="25"/>
      <c r="R98" s="25"/>
      <c r="S98" s="25"/>
      <c r="T98" s="34">
        <f>SUM(T89:T97)</f>
        <v>12518</v>
      </c>
      <c r="U98" s="25"/>
      <c r="V98" s="54">
        <f>SUM(V89:V97)</f>
        <v>11704</v>
      </c>
      <c r="W98" s="25"/>
      <c r="X98" s="5"/>
    </row>
    <row r="99" spans="1:25" ht="15.6" x14ac:dyDescent="0.3">
      <c r="A99" s="24"/>
      <c r="B99" s="25" t="s">
        <v>161</v>
      </c>
      <c r="C99" s="25"/>
      <c r="D99" s="25"/>
      <c r="E99" s="25"/>
      <c r="F99" s="25"/>
      <c r="G99" s="25"/>
      <c r="H99" s="25"/>
      <c r="I99" s="25"/>
      <c r="J99" s="25"/>
      <c r="K99" s="25"/>
      <c r="L99" s="25"/>
      <c r="M99" s="25"/>
      <c r="N99" s="25"/>
      <c r="O99" s="25"/>
      <c r="P99" s="25"/>
      <c r="Q99" s="25"/>
      <c r="R99" s="25"/>
      <c r="S99" s="25"/>
      <c r="T99" s="34">
        <f>-V99</f>
        <v>-61</v>
      </c>
      <c r="U99" s="25"/>
      <c r="V99" s="54">
        <v>61</v>
      </c>
      <c r="W99" s="25"/>
      <c r="X99" s="5"/>
    </row>
    <row r="100" spans="1:25" ht="15.6" x14ac:dyDescent="0.3">
      <c r="A100" s="24"/>
      <c r="B100" s="25" t="s">
        <v>31</v>
      </c>
      <c r="C100" s="25"/>
      <c r="D100" s="25"/>
      <c r="E100" s="25"/>
      <c r="F100" s="25"/>
      <c r="G100" s="25"/>
      <c r="H100" s="25"/>
      <c r="I100" s="25"/>
      <c r="J100" s="25"/>
      <c r="K100" s="25"/>
      <c r="L100" s="25"/>
      <c r="M100" s="25"/>
      <c r="N100" s="25"/>
      <c r="O100" s="25"/>
      <c r="P100" s="25"/>
      <c r="Q100" s="25"/>
      <c r="R100" s="25"/>
      <c r="S100" s="25"/>
      <c r="T100" s="34">
        <f>-V100</f>
        <v>0</v>
      </c>
      <c r="U100" s="25"/>
      <c r="V100" s="53">
        <v>0</v>
      </c>
      <c r="W100" s="25"/>
      <c r="X100" s="5"/>
    </row>
    <row r="101" spans="1:25" ht="15.6" x14ac:dyDescent="0.3">
      <c r="A101" s="24"/>
      <c r="B101" s="25" t="s">
        <v>283</v>
      </c>
      <c r="C101" s="25"/>
      <c r="D101" s="25"/>
      <c r="E101" s="25"/>
      <c r="F101" s="25"/>
      <c r="G101" s="25"/>
      <c r="H101" s="25"/>
      <c r="I101" s="25"/>
      <c r="J101" s="25"/>
      <c r="K101" s="25"/>
      <c r="L101" s="25"/>
      <c r="M101" s="25"/>
      <c r="N101" s="25"/>
      <c r="O101" s="25"/>
      <c r="P101" s="25"/>
      <c r="Q101" s="25"/>
      <c r="R101" s="25"/>
      <c r="S101" s="25"/>
      <c r="T101" s="34"/>
      <c r="U101" s="25"/>
      <c r="V101" s="53">
        <v>-65</v>
      </c>
      <c r="W101" s="25"/>
      <c r="X101" s="5"/>
    </row>
    <row r="102" spans="1:25" ht="15.6" x14ac:dyDescent="0.3">
      <c r="A102" s="24"/>
      <c r="B102" s="25" t="s">
        <v>32</v>
      </c>
      <c r="C102" s="25"/>
      <c r="D102" s="25"/>
      <c r="E102" s="25"/>
      <c r="F102" s="25"/>
      <c r="G102" s="25"/>
      <c r="H102" s="25"/>
      <c r="I102" s="25"/>
      <c r="J102" s="25"/>
      <c r="K102" s="25"/>
      <c r="L102" s="25"/>
      <c r="M102" s="25"/>
      <c r="N102" s="25"/>
      <c r="O102" s="25"/>
      <c r="P102" s="25"/>
      <c r="Q102" s="25"/>
      <c r="R102" s="25"/>
      <c r="S102" s="25"/>
      <c r="T102" s="34">
        <f>T98+T100+T99</f>
        <v>12457</v>
      </c>
      <c r="U102" s="25"/>
      <c r="V102" s="54">
        <f>V98+V100+V99+V101</f>
        <v>11700</v>
      </c>
      <c r="W102" s="25"/>
      <c r="X102" s="5"/>
    </row>
    <row r="103" spans="1:25" ht="15.6" x14ac:dyDescent="0.3">
      <c r="A103" s="24"/>
      <c r="B103" s="118" t="s">
        <v>33</v>
      </c>
      <c r="C103" s="25"/>
      <c r="D103" s="25"/>
      <c r="E103" s="25"/>
      <c r="F103" s="25"/>
      <c r="G103" s="25"/>
      <c r="H103" s="25"/>
      <c r="I103" s="25"/>
      <c r="J103" s="25"/>
      <c r="K103" s="25"/>
      <c r="L103" s="25"/>
      <c r="M103" s="25"/>
      <c r="N103" s="25"/>
      <c r="O103" s="25"/>
      <c r="P103" s="25"/>
      <c r="Q103" s="25"/>
      <c r="R103" s="25"/>
      <c r="S103" s="25"/>
      <c r="T103" s="34"/>
      <c r="U103" s="25"/>
      <c r="V103" s="53"/>
      <c r="W103" s="25"/>
      <c r="X103" s="5"/>
    </row>
    <row r="104" spans="1:25" ht="15.6" x14ac:dyDescent="0.3">
      <c r="A104" s="24">
        <v>1</v>
      </c>
      <c r="B104" s="25" t="s">
        <v>34</v>
      </c>
      <c r="C104" s="25"/>
      <c r="D104" s="25"/>
      <c r="E104" s="25"/>
      <c r="F104" s="25"/>
      <c r="G104" s="25"/>
      <c r="H104" s="25"/>
      <c r="I104" s="25"/>
      <c r="J104" s="25"/>
      <c r="K104" s="25"/>
      <c r="L104" s="25"/>
      <c r="M104" s="25"/>
      <c r="N104" s="25"/>
      <c r="O104" s="25"/>
      <c r="P104" s="25"/>
      <c r="Q104" s="25"/>
      <c r="R104" s="25"/>
      <c r="S104" s="25"/>
      <c r="T104" s="25"/>
      <c r="U104" s="25"/>
      <c r="V104" s="53">
        <v>0</v>
      </c>
      <c r="W104" s="25"/>
      <c r="X104" s="5"/>
    </row>
    <row r="105" spans="1:25" ht="15.6" x14ac:dyDescent="0.3">
      <c r="A105" s="24">
        <f>+A104+1</f>
        <v>2</v>
      </c>
      <c r="B105" s="25" t="s">
        <v>225</v>
      </c>
      <c r="C105" s="25"/>
      <c r="D105" s="25"/>
      <c r="E105" s="25"/>
      <c r="F105" s="25"/>
      <c r="G105" s="25"/>
      <c r="H105" s="25"/>
      <c r="I105" s="25"/>
      <c r="J105" s="25"/>
      <c r="K105" s="25"/>
      <c r="L105" s="25"/>
      <c r="M105" s="25"/>
      <c r="N105" s="25"/>
      <c r="O105" s="25"/>
      <c r="P105" s="25"/>
      <c r="Q105" s="25"/>
      <c r="R105" s="25"/>
      <c r="S105" s="25"/>
      <c r="T105" s="25"/>
      <c r="U105" s="25"/>
      <c r="V105" s="53">
        <v>-2</v>
      </c>
      <c r="W105" s="25"/>
      <c r="X105" s="5"/>
    </row>
    <row r="106" spans="1:25" ht="15.6" x14ac:dyDescent="0.3">
      <c r="A106" s="24">
        <f>+A105+1</f>
        <v>3</v>
      </c>
      <c r="B106" s="25" t="s">
        <v>204</v>
      </c>
      <c r="C106" s="25"/>
      <c r="D106" s="25"/>
      <c r="E106" s="25"/>
      <c r="F106" s="25"/>
      <c r="G106" s="25"/>
      <c r="H106" s="25"/>
      <c r="I106" s="25"/>
      <c r="J106" s="25"/>
      <c r="K106" s="25"/>
      <c r="L106" s="25"/>
      <c r="M106" s="25"/>
      <c r="N106" s="25"/>
      <c r="O106" s="25"/>
      <c r="P106" s="25"/>
      <c r="Q106" s="25"/>
      <c r="R106" s="25"/>
      <c r="S106" s="25"/>
      <c r="T106" s="25"/>
      <c r="U106" s="25"/>
      <c r="V106" s="53">
        <f>-154-133-14</f>
        <v>-301</v>
      </c>
      <c r="W106" s="25"/>
      <c r="X106" s="5"/>
    </row>
    <row r="107" spans="1:25" ht="15.6" x14ac:dyDescent="0.3">
      <c r="A107" s="24" t="s">
        <v>127</v>
      </c>
      <c r="B107" s="25" t="s">
        <v>116</v>
      </c>
      <c r="C107" s="25"/>
      <c r="D107" s="25"/>
      <c r="E107" s="25"/>
      <c r="F107" s="25"/>
      <c r="G107" s="25"/>
      <c r="H107" s="25"/>
      <c r="I107" s="25"/>
      <c r="J107" s="25"/>
      <c r="K107" s="25"/>
      <c r="L107" s="25"/>
      <c r="M107" s="25"/>
      <c r="N107" s="25"/>
      <c r="O107" s="25"/>
      <c r="P107" s="25"/>
      <c r="Q107" s="25"/>
      <c r="R107" s="25"/>
      <c r="S107" s="25"/>
      <c r="T107" s="25"/>
      <c r="U107" s="25"/>
      <c r="V107" s="53">
        <v>-1933</v>
      </c>
      <c r="W107" s="25"/>
      <c r="X107" s="5"/>
    </row>
    <row r="108" spans="1:25" ht="15.6" x14ac:dyDescent="0.3">
      <c r="A108" s="24" t="s">
        <v>128</v>
      </c>
      <c r="B108" s="25" t="s">
        <v>222</v>
      </c>
      <c r="C108" s="25"/>
      <c r="D108" s="25"/>
      <c r="E108" s="25"/>
      <c r="F108" s="25"/>
      <c r="G108" s="25"/>
      <c r="H108" s="25"/>
      <c r="I108" s="25"/>
      <c r="J108" s="25"/>
      <c r="K108" s="25"/>
      <c r="L108" s="25"/>
      <c r="M108" s="25"/>
      <c r="N108" s="25"/>
      <c r="O108" s="25"/>
      <c r="P108" s="25"/>
      <c r="Q108" s="25"/>
      <c r="R108" s="25"/>
      <c r="S108" s="25"/>
      <c r="T108" s="25"/>
      <c r="U108" s="25"/>
      <c r="V108" s="53">
        <f>-4884+472</f>
        <v>-4412</v>
      </c>
      <c r="W108" s="25"/>
      <c r="X108" s="5"/>
      <c r="Y108" s="109"/>
    </row>
    <row r="109" spans="1:25" ht="15.6" x14ac:dyDescent="0.3">
      <c r="A109" s="24" t="s">
        <v>150</v>
      </c>
      <c r="B109" s="25" t="s">
        <v>184</v>
      </c>
      <c r="C109" s="25"/>
      <c r="D109" s="25"/>
      <c r="E109" s="25"/>
      <c r="F109" s="25"/>
      <c r="G109" s="25"/>
      <c r="H109" s="25"/>
      <c r="I109" s="25"/>
      <c r="J109" s="25"/>
      <c r="K109" s="25"/>
      <c r="L109" s="25"/>
      <c r="M109" s="25"/>
      <c r="N109" s="25"/>
      <c r="O109" s="25"/>
      <c r="P109" s="25"/>
      <c r="Q109" s="25"/>
      <c r="R109" s="25"/>
      <c r="S109" s="25"/>
      <c r="T109" s="25"/>
      <c r="U109" s="25"/>
      <c r="V109" s="53">
        <v>-472</v>
      </c>
      <c r="W109" s="25"/>
      <c r="X109" s="5"/>
      <c r="Y109" s="109"/>
    </row>
    <row r="110" spans="1:25" ht="15.6" x14ac:dyDescent="0.3">
      <c r="A110" s="24" t="s">
        <v>236</v>
      </c>
      <c r="B110" s="25" t="s">
        <v>238</v>
      </c>
      <c r="C110" s="25"/>
      <c r="D110" s="25"/>
      <c r="E110" s="25"/>
      <c r="F110" s="25"/>
      <c r="G110" s="25"/>
      <c r="H110" s="25"/>
      <c r="I110" s="25"/>
      <c r="J110" s="25"/>
      <c r="K110" s="25"/>
      <c r="L110" s="25"/>
      <c r="M110" s="25"/>
      <c r="N110" s="25"/>
      <c r="O110" s="25"/>
      <c r="P110" s="25"/>
      <c r="Q110" s="25"/>
      <c r="R110" s="25"/>
      <c r="S110" s="25"/>
      <c r="T110" s="25"/>
      <c r="U110" s="25"/>
      <c r="V110" s="53">
        <v>-1</v>
      </c>
      <c r="W110" s="25"/>
      <c r="X110" s="5"/>
    </row>
    <row r="111" spans="1:25" ht="15.6" x14ac:dyDescent="0.3">
      <c r="A111" s="24" t="s">
        <v>205</v>
      </c>
      <c r="B111" s="25" t="s">
        <v>185</v>
      </c>
      <c r="C111" s="25"/>
      <c r="D111" s="25"/>
      <c r="E111" s="25"/>
      <c r="F111" s="25"/>
      <c r="G111" s="25"/>
      <c r="H111" s="25"/>
      <c r="I111" s="25"/>
      <c r="J111" s="25"/>
      <c r="K111" s="25"/>
      <c r="L111" s="25"/>
      <c r="M111" s="25"/>
      <c r="N111" s="25"/>
      <c r="O111" s="25"/>
      <c r="P111" s="25"/>
      <c r="Q111" s="25"/>
      <c r="R111" s="25"/>
      <c r="S111" s="25"/>
      <c r="T111" s="25"/>
      <c r="U111" s="25"/>
      <c r="V111" s="53">
        <f>-571+261</f>
        <v>-310</v>
      </c>
      <c r="W111" s="25"/>
      <c r="X111" s="5"/>
      <c r="Y111" s="109"/>
    </row>
    <row r="112" spans="1:25" ht="15.6" x14ac:dyDescent="0.3">
      <c r="A112" s="24" t="s">
        <v>206</v>
      </c>
      <c r="B112" s="25" t="s">
        <v>186</v>
      </c>
      <c r="C112" s="25"/>
      <c r="D112" s="25"/>
      <c r="E112" s="25"/>
      <c r="F112" s="25"/>
      <c r="G112" s="25"/>
      <c r="H112" s="25"/>
      <c r="I112" s="25"/>
      <c r="J112" s="25"/>
      <c r="K112" s="25"/>
      <c r="L112" s="25"/>
      <c r="M112" s="25"/>
      <c r="N112" s="25"/>
      <c r="O112" s="25"/>
      <c r="P112" s="25"/>
      <c r="Q112" s="25"/>
      <c r="R112" s="25"/>
      <c r="S112" s="25"/>
      <c r="T112" s="25"/>
      <c r="U112" s="25"/>
      <c r="V112" s="53">
        <v>-261</v>
      </c>
      <c r="W112" s="25"/>
      <c r="X112" s="179"/>
      <c r="Y112" s="109"/>
    </row>
    <row r="113" spans="1:25" ht="15.6" x14ac:dyDescent="0.3">
      <c r="A113" s="24" t="s">
        <v>207</v>
      </c>
      <c r="B113" s="25" t="s">
        <v>196</v>
      </c>
      <c r="C113" s="25"/>
      <c r="D113" s="25"/>
      <c r="E113" s="25"/>
      <c r="F113" s="25"/>
      <c r="G113" s="25"/>
      <c r="H113" s="25"/>
      <c r="I113" s="25"/>
      <c r="J113" s="25"/>
      <c r="K113" s="25"/>
      <c r="L113" s="25"/>
      <c r="M113" s="25"/>
      <c r="N113" s="25"/>
      <c r="O113" s="25"/>
      <c r="P113" s="25"/>
      <c r="Q113" s="25"/>
      <c r="R113" s="25"/>
      <c r="S113" s="25"/>
      <c r="T113" s="25"/>
      <c r="U113" s="25"/>
      <c r="V113" s="53">
        <f>-635+111</f>
        <v>-524</v>
      </c>
      <c r="W113" s="25"/>
      <c r="X113" s="5"/>
      <c r="Y113" s="109"/>
    </row>
    <row r="114" spans="1:25" ht="15.6" x14ac:dyDescent="0.3">
      <c r="A114" s="24" t="s">
        <v>224</v>
      </c>
      <c r="B114" s="25" t="s">
        <v>223</v>
      </c>
      <c r="C114" s="25"/>
      <c r="D114" s="25"/>
      <c r="E114" s="25"/>
      <c r="F114" s="25"/>
      <c r="G114" s="25"/>
      <c r="H114" s="25"/>
      <c r="I114" s="25"/>
      <c r="J114" s="25"/>
      <c r="K114" s="25"/>
      <c r="L114" s="25"/>
      <c r="M114" s="25"/>
      <c r="N114" s="25"/>
      <c r="O114" s="25"/>
      <c r="P114" s="25"/>
      <c r="Q114" s="25"/>
      <c r="R114" s="25"/>
      <c r="S114" s="25"/>
      <c r="T114" s="25"/>
      <c r="U114" s="25"/>
      <c r="V114" s="53">
        <v>-111</v>
      </c>
      <c r="W114" s="25"/>
      <c r="X114" s="5"/>
      <c r="Y114" s="109"/>
    </row>
    <row r="115" spans="1:25" ht="15.6" x14ac:dyDescent="0.3">
      <c r="A115" s="24">
        <v>7</v>
      </c>
      <c r="B115" s="25" t="s">
        <v>35</v>
      </c>
      <c r="C115" s="25"/>
      <c r="D115" s="25"/>
      <c r="E115" s="25"/>
      <c r="F115" s="25"/>
      <c r="G115" s="25"/>
      <c r="H115" s="25"/>
      <c r="I115" s="25"/>
      <c r="J115" s="25"/>
      <c r="K115" s="25"/>
      <c r="L115" s="25"/>
      <c r="M115" s="25"/>
      <c r="N115" s="25"/>
      <c r="O115" s="25"/>
      <c r="P115" s="25"/>
      <c r="Q115" s="25"/>
      <c r="R115" s="25"/>
      <c r="S115" s="25"/>
      <c r="T115" s="25"/>
      <c r="U115" s="25"/>
      <c r="V115" s="53">
        <v>-12</v>
      </c>
      <c r="W115" s="25"/>
      <c r="X115" s="5"/>
    </row>
    <row r="116" spans="1:25" ht="15.6" x14ac:dyDescent="0.3">
      <c r="A116" s="24">
        <f t="shared" ref="A116:A122" si="0">+A115+1</f>
        <v>8</v>
      </c>
      <c r="B116" s="25" t="s">
        <v>45</v>
      </c>
      <c r="C116" s="25"/>
      <c r="D116" s="25"/>
      <c r="E116" s="25"/>
      <c r="F116" s="25"/>
      <c r="G116" s="25"/>
      <c r="H116" s="25"/>
      <c r="I116" s="25"/>
      <c r="J116" s="25"/>
      <c r="K116" s="25"/>
      <c r="L116" s="25"/>
      <c r="M116" s="25"/>
      <c r="N116" s="25"/>
      <c r="O116" s="25"/>
      <c r="P116" s="25"/>
      <c r="Q116" s="25"/>
      <c r="R116" s="25"/>
      <c r="S116" s="25"/>
      <c r="T116" s="34">
        <f>-V116</f>
        <v>208</v>
      </c>
      <c r="U116" s="25"/>
      <c r="V116" s="53">
        <v>-208</v>
      </c>
      <c r="W116" s="25"/>
      <c r="X116" s="5"/>
    </row>
    <row r="117" spans="1:25" ht="15.6" x14ac:dyDescent="0.3">
      <c r="A117" s="24">
        <f t="shared" si="0"/>
        <v>9</v>
      </c>
      <c r="B117" s="25" t="s">
        <v>125</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5" ht="15.6" x14ac:dyDescent="0.3">
      <c r="A118" s="24">
        <f t="shared" si="0"/>
        <v>10</v>
      </c>
      <c r="B118" s="25" t="s">
        <v>240</v>
      </c>
      <c r="C118" s="25"/>
      <c r="D118" s="25"/>
      <c r="E118" s="25"/>
      <c r="F118" s="25"/>
      <c r="G118" s="25"/>
      <c r="H118" s="25"/>
      <c r="I118" s="25"/>
      <c r="J118" s="25"/>
      <c r="K118" s="25"/>
      <c r="L118" s="25"/>
      <c r="M118" s="25"/>
      <c r="N118" s="25"/>
      <c r="O118" s="25"/>
      <c r="P118" s="25"/>
      <c r="Q118" s="25"/>
      <c r="R118" s="25"/>
      <c r="S118" s="25"/>
      <c r="T118" s="25"/>
      <c r="U118" s="25"/>
      <c r="V118" s="53">
        <v>0</v>
      </c>
      <c r="W118" s="25"/>
      <c r="X118" s="5"/>
    </row>
    <row r="119" spans="1:25" ht="15.6" x14ac:dyDescent="0.3">
      <c r="A119" s="24">
        <f t="shared" si="0"/>
        <v>11</v>
      </c>
      <c r="B119" s="25" t="s">
        <v>36</v>
      </c>
      <c r="C119" s="25"/>
      <c r="D119" s="25"/>
      <c r="E119" s="25"/>
      <c r="F119" s="25"/>
      <c r="G119" s="25"/>
      <c r="H119" s="25"/>
      <c r="I119" s="25"/>
      <c r="J119" s="25"/>
      <c r="K119" s="25"/>
      <c r="L119" s="25"/>
      <c r="M119" s="25"/>
      <c r="N119" s="25"/>
      <c r="O119" s="25"/>
      <c r="P119" s="25"/>
      <c r="Q119" s="25"/>
      <c r="R119" s="25"/>
      <c r="S119" s="25"/>
      <c r="T119" s="25"/>
      <c r="U119" s="25"/>
      <c r="V119" s="53">
        <v>0</v>
      </c>
      <c r="W119" s="25"/>
      <c r="X119" s="5"/>
    </row>
    <row r="120" spans="1:25" ht="15.6" x14ac:dyDescent="0.3">
      <c r="A120" s="24">
        <f t="shared" si="0"/>
        <v>12</v>
      </c>
      <c r="B120" s="25" t="s">
        <v>239</v>
      </c>
      <c r="C120" s="25"/>
      <c r="D120" s="25"/>
      <c r="E120" s="25"/>
      <c r="F120" s="25"/>
      <c r="G120" s="25"/>
      <c r="H120" s="25"/>
      <c r="I120" s="25"/>
      <c r="J120" s="25"/>
      <c r="K120" s="25"/>
      <c r="L120" s="25"/>
      <c r="M120" s="25"/>
      <c r="N120" s="25"/>
      <c r="O120" s="25"/>
      <c r="P120" s="25"/>
      <c r="Q120" s="25"/>
      <c r="R120" s="25"/>
      <c r="S120" s="25"/>
      <c r="T120" s="25"/>
      <c r="U120" s="25"/>
      <c r="V120" s="53">
        <v>0</v>
      </c>
      <c r="W120" s="25"/>
      <c r="X120" s="5"/>
    </row>
    <row r="121" spans="1:25" ht="15.6" x14ac:dyDescent="0.3">
      <c r="A121" s="24">
        <f t="shared" si="0"/>
        <v>13</v>
      </c>
      <c r="B121" s="25" t="s">
        <v>149</v>
      </c>
      <c r="C121" s="25"/>
      <c r="D121" s="25"/>
      <c r="E121" s="25"/>
      <c r="F121" s="25"/>
      <c r="G121" s="25"/>
      <c r="H121" s="25"/>
      <c r="I121" s="25"/>
      <c r="J121" s="25"/>
      <c r="K121" s="25"/>
      <c r="L121" s="25"/>
      <c r="M121" s="25"/>
      <c r="N121" s="25"/>
      <c r="O121" s="25"/>
      <c r="P121" s="25"/>
      <c r="Q121" s="25"/>
      <c r="R121" s="25"/>
      <c r="S121" s="25"/>
      <c r="T121" s="25"/>
      <c r="U121" s="25"/>
      <c r="V121" s="53">
        <v>-771</v>
      </c>
      <c r="W121" s="25"/>
      <c r="X121" s="5"/>
    </row>
    <row r="122" spans="1:25" ht="15.6" x14ac:dyDescent="0.3">
      <c r="A122" s="24">
        <f t="shared" si="0"/>
        <v>14</v>
      </c>
      <c r="B122" s="25" t="s">
        <v>126</v>
      </c>
      <c r="C122" s="25"/>
      <c r="D122" s="25"/>
      <c r="E122" s="25"/>
      <c r="F122" s="25"/>
      <c r="G122" s="25"/>
      <c r="H122" s="25"/>
      <c r="I122" s="25"/>
      <c r="J122" s="25"/>
      <c r="K122" s="25"/>
      <c r="L122" s="25"/>
      <c r="M122" s="25"/>
      <c r="N122" s="25"/>
      <c r="O122" s="25"/>
      <c r="P122" s="25"/>
      <c r="Q122" s="25"/>
      <c r="R122" s="25"/>
      <c r="S122" s="25"/>
      <c r="T122" s="25"/>
      <c r="U122" s="25"/>
      <c r="V122" s="53">
        <f>-V102-SUM(V104:V121)</f>
        <v>-2382</v>
      </c>
      <c r="W122" s="25"/>
      <c r="X122" s="5"/>
    </row>
    <row r="123" spans="1:25" ht="15.6" x14ac:dyDescent="0.3">
      <c r="A123" s="24"/>
      <c r="B123" s="118" t="s">
        <v>37</v>
      </c>
      <c r="C123" s="25"/>
      <c r="D123" s="25"/>
      <c r="E123" s="25"/>
      <c r="F123" s="25"/>
      <c r="G123" s="25"/>
      <c r="H123" s="25"/>
      <c r="I123" s="25"/>
      <c r="J123" s="25"/>
      <c r="K123" s="25"/>
      <c r="L123" s="25"/>
      <c r="M123" s="25"/>
      <c r="N123" s="25"/>
      <c r="O123" s="25"/>
      <c r="P123" s="25"/>
      <c r="Q123" s="25"/>
      <c r="R123" s="25"/>
      <c r="S123" s="25"/>
      <c r="T123" s="25"/>
      <c r="U123" s="25"/>
      <c r="V123" s="59"/>
      <c r="W123" s="25"/>
      <c r="X123" s="5"/>
    </row>
    <row r="124" spans="1:25" ht="15.6" x14ac:dyDescent="0.3">
      <c r="A124" s="24"/>
      <c r="B124" s="25" t="s">
        <v>173</v>
      </c>
      <c r="C124" s="25"/>
      <c r="D124" s="25"/>
      <c r="E124" s="25"/>
      <c r="F124" s="25"/>
      <c r="G124" s="25"/>
      <c r="H124" s="25"/>
      <c r="I124" s="25"/>
      <c r="J124" s="25"/>
      <c r="K124" s="25"/>
      <c r="L124" s="25"/>
      <c r="M124" s="25"/>
      <c r="N124" s="25"/>
      <c r="O124" s="25"/>
      <c r="P124" s="25"/>
      <c r="Q124" s="25"/>
      <c r="R124" s="25"/>
      <c r="S124" s="25"/>
      <c r="T124" s="34">
        <f>-T189</f>
        <v>-30</v>
      </c>
      <c r="U124" s="34"/>
      <c r="V124" s="53"/>
      <c r="W124" s="25"/>
      <c r="X124" s="5"/>
    </row>
    <row r="125" spans="1:25" ht="15.6" x14ac:dyDescent="0.3">
      <c r="A125" s="24"/>
      <c r="B125" s="25" t="s">
        <v>174</v>
      </c>
      <c r="C125" s="25"/>
      <c r="D125" s="25"/>
      <c r="E125" s="25"/>
      <c r="F125" s="25"/>
      <c r="G125" s="25"/>
      <c r="H125" s="25"/>
      <c r="I125" s="25"/>
      <c r="J125" s="25"/>
      <c r="K125" s="25"/>
      <c r="L125" s="25"/>
      <c r="M125" s="25"/>
      <c r="N125" s="25"/>
      <c r="O125" s="25"/>
      <c r="P125" s="25"/>
      <c r="Q125" s="25"/>
      <c r="R125" s="25"/>
      <c r="S125" s="25"/>
      <c r="T125" s="34">
        <v>-37</v>
      </c>
      <c r="U125" s="34"/>
      <c r="V125" s="53"/>
      <c r="W125" s="25"/>
      <c r="X125" s="5"/>
    </row>
    <row r="126" spans="1:25" ht="15.6" x14ac:dyDescent="0.3">
      <c r="A126" s="24"/>
      <c r="B126" s="25" t="s">
        <v>38</v>
      </c>
      <c r="C126" s="25"/>
      <c r="D126" s="25"/>
      <c r="E126" s="25"/>
      <c r="F126" s="25"/>
      <c r="G126" s="25"/>
      <c r="H126" s="25"/>
      <c r="I126" s="25"/>
      <c r="J126" s="25"/>
      <c r="K126" s="25"/>
      <c r="L126" s="25"/>
      <c r="M126" s="25"/>
      <c r="N126" s="25"/>
      <c r="O126" s="25"/>
      <c r="P126" s="25"/>
      <c r="Q126" s="25"/>
      <c r="R126" s="25"/>
      <c r="S126" s="25"/>
      <c r="T126" s="34">
        <f>-S189</f>
        <v>-921</v>
      </c>
      <c r="U126" s="34"/>
      <c r="V126" s="53"/>
      <c r="W126" s="25"/>
      <c r="X126" s="5"/>
    </row>
    <row r="127" spans="1:25" ht="15.6" x14ac:dyDescent="0.3">
      <c r="A127" s="24"/>
      <c r="B127" s="25" t="s">
        <v>197</v>
      </c>
      <c r="C127" s="25"/>
      <c r="D127" s="25"/>
      <c r="E127" s="25"/>
      <c r="F127" s="25"/>
      <c r="G127" s="25"/>
      <c r="H127" s="25"/>
      <c r="I127" s="25"/>
      <c r="J127" s="25"/>
      <c r="K127" s="25"/>
      <c r="L127" s="25"/>
      <c r="M127" s="25"/>
      <c r="N127" s="25"/>
      <c r="O127" s="25"/>
      <c r="P127" s="25"/>
      <c r="Q127" s="25"/>
      <c r="R127" s="25"/>
      <c r="S127" s="25"/>
      <c r="T127" s="34">
        <v>-7099</v>
      </c>
      <c r="U127" s="34"/>
      <c r="V127" s="53"/>
      <c r="W127" s="25"/>
      <c r="X127" s="5"/>
    </row>
    <row r="128" spans="1:25" ht="15.6" x14ac:dyDescent="0.3">
      <c r="A128" s="24"/>
      <c r="B128" s="25" t="s">
        <v>195</v>
      </c>
      <c r="C128" s="25"/>
      <c r="D128" s="25"/>
      <c r="E128" s="25"/>
      <c r="F128" s="25"/>
      <c r="G128" s="25"/>
      <c r="H128" s="25"/>
      <c r="I128" s="25"/>
      <c r="J128" s="25"/>
      <c r="K128" s="25"/>
      <c r="L128" s="25"/>
      <c r="M128" s="25"/>
      <c r="N128" s="25"/>
      <c r="O128" s="25"/>
      <c r="P128" s="25"/>
      <c r="Q128" s="25"/>
      <c r="R128" s="25"/>
      <c r="S128" s="25"/>
      <c r="T128" s="34">
        <v>-1145</v>
      </c>
      <c r="U128" s="34"/>
      <c r="V128" s="53"/>
      <c r="W128" s="25"/>
      <c r="X128" s="5"/>
    </row>
    <row r="129" spans="1:24" ht="15.6" x14ac:dyDescent="0.3">
      <c r="A129" s="24"/>
      <c r="B129" s="25" t="s">
        <v>194</v>
      </c>
      <c r="C129" s="25"/>
      <c r="D129" s="25"/>
      <c r="E129" s="25"/>
      <c r="F129" s="25"/>
      <c r="G129" s="25"/>
      <c r="H129" s="25"/>
      <c r="I129" s="25"/>
      <c r="J129" s="25"/>
      <c r="K129" s="25"/>
      <c r="L129" s="25"/>
      <c r="M129" s="25"/>
      <c r="N129" s="25"/>
      <c r="O129" s="25"/>
      <c r="P129" s="25"/>
      <c r="Q129" s="25"/>
      <c r="R129" s="25"/>
      <c r="S129" s="25"/>
      <c r="T129" s="34">
        <v>-1540</v>
      </c>
      <c r="U129" s="34"/>
      <c r="V129" s="53"/>
      <c r="W129" s="25"/>
      <c r="X129" s="5"/>
    </row>
    <row r="130" spans="1:24" ht="15.6" x14ac:dyDescent="0.3">
      <c r="A130" s="24"/>
      <c r="B130" s="25" t="s">
        <v>226</v>
      </c>
      <c r="C130" s="25"/>
      <c r="D130" s="25"/>
      <c r="E130" s="25"/>
      <c r="F130" s="25"/>
      <c r="G130" s="25"/>
      <c r="H130" s="25"/>
      <c r="I130" s="25"/>
      <c r="J130" s="25"/>
      <c r="K130" s="25"/>
      <c r="L130" s="25"/>
      <c r="M130" s="25"/>
      <c r="N130" s="25"/>
      <c r="O130" s="25"/>
      <c r="P130" s="25"/>
      <c r="Q130" s="25"/>
      <c r="R130" s="25"/>
      <c r="S130" s="25"/>
      <c r="T130" s="34">
        <v>-1893</v>
      </c>
      <c r="U130" s="34"/>
      <c r="V130" s="53"/>
      <c r="W130" s="25"/>
      <c r="X130" s="5"/>
    </row>
    <row r="131" spans="1:24" ht="15.6" x14ac:dyDescent="0.3">
      <c r="A131" s="24"/>
      <c r="B131" s="25" t="s">
        <v>189</v>
      </c>
      <c r="C131" s="25"/>
      <c r="D131" s="25"/>
      <c r="E131" s="25"/>
      <c r="F131" s="25"/>
      <c r="G131" s="25"/>
      <c r="H131" s="25"/>
      <c r="I131" s="25"/>
      <c r="J131" s="25"/>
      <c r="K131" s="25"/>
      <c r="L131" s="25"/>
      <c r="M131" s="25"/>
      <c r="N131" s="25"/>
      <c r="O131" s="25"/>
      <c r="P131" s="25"/>
      <c r="Q131" s="25"/>
      <c r="R131" s="25"/>
      <c r="S131" s="25"/>
      <c r="T131" s="34">
        <v>0</v>
      </c>
      <c r="U131" s="34"/>
      <c r="V131" s="53"/>
      <c r="W131" s="25"/>
      <c r="X131" s="5"/>
    </row>
    <row r="132" spans="1:24" ht="15.6" x14ac:dyDescent="0.3">
      <c r="A132" s="24"/>
      <c r="B132" s="25" t="s">
        <v>188</v>
      </c>
      <c r="C132" s="25"/>
      <c r="D132" s="25"/>
      <c r="E132" s="25"/>
      <c r="F132" s="25"/>
      <c r="G132" s="25"/>
      <c r="H132" s="25"/>
      <c r="I132" s="25"/>
      <c r="J132" s="25"/>
      <c r="K132" s="25"/>
      <c r="L132" s="25"/>
      <c r="M132" s="25"/>
      <c r="N132" s="25"/>
      <c r="O132" s="25"/>
      <c r="P132" s="25"/>
      <c r="Q132" s="25"/>
      <c r="R132" s="25"/>
      <c r="S132" s="25"/>
      <c r="T132" s="34">
        <v>0</v>
      </c>
      <c r="U132" s="34"/>
      <c r="V132" s="53"/>
      <c r="W132" s="25"/>
      <c r="X132" s="5"/>
    </row>
    <row r="133" spans="1:24" ht="15.6" x14ac:dyDescent="0.3">
      <c r="A133" s="24"/>
      <c r="B133" s="25" t="s">
        <v>227</v>
      </c>
      <c r="C133" s="25"/>
      <c r="D133" s="25"/>
      <c r="E133" s="25"/>
      <c r="F133" s="25"/>
      <c r="G133" s="25"/>
      <c r="H133" s="25"/>
      <c r="I133" s="25"/>
      <c r="J133" s="25"/>
      <c r="K133" s="25"/>
      <c r="L133" s="25"/>
      <c r="M133" s="25"/>
      <c r="N133" s="25"/>
      <c r="O133" s="25"/>
      <c r="P133" s="25"/>
      <c r="Q133" s="25"/>
      <c r="R133" s="25"/>
      <c r="S133" s="25"/>
      <c r="T133" s="34">
        <v>0</v>
      </c>
      <c r="U133" s="34"/>
      <c r="V133" s="53"/>
      <c r="W133" s="25"/>
      <c r="X133" s="5"/>
    </row>
    <row r="134" spans="1:24" ht="15.6" x14ac:dyDescent="0.3">
      <c r="A134" s="24"/>
      <c r="B134" s="25" t="s">
        <v>187</v>
      </c>
      <c r="C134" s="25"/>
      <c r="D134" s="25"/>
      <c r="E134" s="25"/>
      <c r="F134" s="25"/>
      <c r="G134" s="25"/>
      <c r="H134" s="25"/>
      <c r="I134" s="25"/>
      <c r="J134" s="25"/>
      <c r="K134" s="25"/>
      <c r="L134" s="25"/>
      <c r="M134" s="25"/>
      <c r="N134" s="25"/>
      <c r="O134" s="25"/>
      <c r="P134" s="25"/>
      <c r="Q134" s="25"/>
      <c r="R134" s="25"/>
      <c r="S134" s="25"/>
      <c r="T134" s="34">
        <v>0</v>
      </c>
      <c r="U134" s="34"/>
      <c r="V134" s="53"/>
      <c r="W134" s="25"/>
      <c r="X134" s="5"/>
    </row>
    <row r="135" spans="1:24" ht="15.6" x14ac:dyDescent="0.3">
      <c r="A135" s="24"/>
      <c r="B135" s="25" t="s">
        <v>39</v>
      </c>
      <c r="C135" s="25"/>
      <c r="D135" s="25"/>
      <c r="E135" s="25"/>
      <c r="F135" s="25"/>
      <c r="G135" s="25"/>
      <c r="H135" s="25"/>
      <c r="I135" s="25"/>
      <c r="J135" s="25"/>
      <c r="K135" s="25"/>
      <c r="L135" s="25"/>
      <c r="M135" s="25"/>
      <c r="N135" s="25"/>
      <c r="O135" s="25"/>
      <c r="P135" s="25"/>
      <c r="Q135" s="25"/>
      <c r="R135" s="25"/>
      <c r="S135" s="25"/>
      <c r="T135" s="34">
        <f>SUM(T124:T134)</f>
        <v>-12665</v>
      </c>
      <c r="U135" s="34"/>
      <c r="V135" s="34">
        <f>SUM(V103:V132)</f>
        <v>-11700</v>
      </c>
      <c r="W135" s="25"/>
      <c r="X135" s="5"/>
    </row>
    <row r="136" spans="1:24" ht="15.6" x14ac:dyDescent="0.3">
      <c r="A136" s="24"/>
      <c r="B136" s="25" t="s">
        <v>40</v>
      </c>
      <c r="C136" s="25"/>
      <c r="D136" s="25"/>
      <c r="E136" s="25"/>
      <c r="F136" s="25"/>
      <c r="G136" s="25"/>
      <c r="H136" s="25"/>
      <c r="I136" s="25"/>
      <c r="J136" s="25"/>
      <c r="K136" s="25"/>
      <c r="L136" s="25"/>
      <c r="M136" s="25"/>
      <c r="N136" s="25"/>
      <c r="O136" s="25"/>
      <c r="P136" s="25"/>
      <c r="Q136" s="25"/>
      <c r="R136" s="25"/>
      <c r="S136" s="25"/>
      <c r="T136" s="34">
        <f>T102+T135+T116</f>
        <v>0</v>
      </c>
      <c r="U136" s="34"/>
      <c r="V136" s="34">
        <f>V102+V135</f>
        <v>0</v>
      </c>
      <c r="W136" s="25"/>
      <c r="X136" s="5"/>
    </row>
    <row r="137" spans="1:24" ht="15.6" x14ac:dyDescent="0.3">
      <c r="A137" s="24"/>
      <c r="B137" s="25"/>
      <c r="C137" s="25"/>
      <c r="D137" s="25"/>
      <c r="E137" s="25"/>
      <c r="F137" s="25"/>
      <c r="G137" s="25"/>
      <c r="H137" s="25"/>
      <c r="I137" s="25"/>
      <c r="J137" s="25"/>
      <c r="K137" s="25"/>
      <c r="L137" s="25"/>
      <c r="M137" s="25"/>
      <c r="N137" s="25"/>
      <c r="O137" s="25"/>
      <c r="P137" s="25"/>
      <c r="Q137" s="25"/>
      <c r="R137" s="25"/>
      <c r="S137" s="25"/>
      <c r="T137" s="34"/>
      <c r="U137" s="34"/>
      <c r="V137" s="34"/>
      <c r="W137" s="25"/>
      <c r="X137" s="5"/>
    </row>
    <row r="138" spans="1:24" ht="15.6" x14ac:dyDescent="0.3">
      <c r="A138" s="6"/>
      <c r="B138" s="8"/>
      <c r="C138" s="8"/>
      <c r="D138" s="8"/>
      <c r="E138" s="8"/>
      <c r="F138" s="8"/>
      <c r="G138" s="8"/>
      <c r="H138" s="8"/>
      <c r="I138" s="8"/>
      <c r="J138" s="8"/>
      <c r="K138" s="8"/>
      <c r="L138" s="8"/>
      <c r="M138" s="8"/>
      <c r="N138" s="8"/>
      <c r="O138" s="8"/>
      <c r="P138" s="8"/>
      <c r="Q138" s="8"/>
      <c r="R138" s="8"/>
      <c r="S138" s="8"/>
      <c r="T138" s="8"/>
      <c r="U138" s="8"/>
      <c r="V138" s="52"/>
      <c r="W138" s="8"/>
      <c r="X138" s="5"/>
    </row>
    <row r="139" spans="1:24" ht="18" thickBot="1" x14ac:dyDescent="0.35">
      <c r="A139" s="101"/>
      <c r="B139" s="102" t="str">
        <f>B64</f>
        <v>PM14 INVESTOR REPORT QUARTER ENDING MAY 2009</v>
      </c>
      <c r="C139" s="103"/>
      <c r="D139" s="103"/>
      <c r="E139" s="103"/>
      <c r="F139" s="103"/>
      <c r="G139" s="103"/>
      <c r="H139" s="103"/>
      <c r="I139" s="103"/>
      <c r="J139" s="103"/>
      <c r="K139" s="103"/>
      <c r="L139" s="103"/>
      <c r="M139" s="103"/>
      <c r="N139" s="103"/>
      <c r="O139" s="103"/>
      <c r="P139" s="103"/>
      <c r="Q139" s="103"/>
      <c r="R139" s="103"/>
      <c r="S139" s="103"/>
      <c r="T139" s="103"/>
      <c r="U139" s="103"/>
      <c r="V139" s="106"/>
      <c r="W139" s="105"/>
      <c r="X139" s="5"/>
    </row>
    <row r="140" spans="1:24" ht="15.6" x14ac:dyDescent="0.3">
      <c r="A140" s="2"/>
      <c r="B140" s="60" t="s">
        <v>41</v>
      </c>
      <c r="C140" s="4"/>
      <c r="D140" s="4"/>
      <c r="E140" s="4"/>
      <c r="F140" s="4"/>
      <c r="G140" s="4"/>
      <c r="H140" s="4"/>
      <c r="I140" s="4"/>
      <c r="J140" s="4"/>
      <c r="K140" s="4"/>
      <c r="L140" s="4"/>
      <c r="M140" s="4"/>
      <c r="N140" s="4"/>
      <c r="O140" s="4"/>
      <c r="P140" s="4"/>
      <c r="Q140" s="4"/>
      <c r="R140" s="4"/>
      <c r="S140" s="4"/>
      <c r="T140" s="4"/>
      <c r="U140" s="4"/>
      <c r="V140" s="50"/>
      <c r="W140" s="4"/>
      <c r="X140" s="5"/>
    </row>
    <row r="141" spans="1:24" ht="15.6" x14ac:dyDescent="0.3">
      <c r="A141" s="6"/>
      <c r="B141" s="21"/>
      <c r="C141" s="8"/>
      <c r="D141" s="8"/>
      <c r="E141" s="8"/>
      <c r="F141" s="8"/>
      <c r="G141" s="8"/>
      <c r="H141" s="8"/>
      <c r="I141" s="8"/>
      <c r="J141" s="8"/>
      <c r="K141" s="8"/>
      <c r="L141" s="8"/>
      <c r="M141" s="8"/>
      <c r="N141" s="8"/>
      <c r="O141" s="8"/>
      <c r="P141" s="8"/>
      <c r="Q141" s="8"/>
      <c r="R141" s="8"/>
      <c r="S141" s="8"/>
      <c r="T141" s="8"/>
      <c r="U141" s="8"/>
      <c r="V141" s="52"/>
      <c r="W141" s="8"/>
      <c r="X141" s="5"/>
    </row>
    <row r="142" spans="1:24" ht="15.6" x14ac:dyDescent="0.3">
      <c r="A142" s="6"/>
      <c r="B142" s="119" t="s">
        <v>42</v>
      </c>
      <c r="C142" s="8"/>
      <c r="D142" s="8"/>
      <c r="E142" s="8"/>
      <c r="F142" s="8"/>
      <c r="G142" s="8"/>
      <c r="H142" s="8"/>
      <c r="I142" s="8"/>
      <c r="J142" s="8"/>
      <c r="K142" s="8"/>
      <c r="L142" s="8"/>
      <c r="M142" s="8"/>
      <c r="N142" s="8"/>
      <c r="O142" s="8"/>
      <c r="P142" s="8"/>
      <c r="Q142" s="8"/>
      <c r="R142" s="8"/>
      <c r="S142" s="8"/>
      <c r="T142" s="8"/>
      <c r="U142" s="8"/>
      <c r="V142" s="52"/>
      <c r="W142" s="8"/>
      <c r="X142" s="5"/>
    </row>
    <row r="143" spans="1:24" ht="15.6" x14ac:dyDescent="0.3">
      <c r="A143" s="24"/>
      <c r="B143" s="25" t="s">
        <v>43</v>
      </c>
      <c r="C143" s="25"/>
      <c r="D143" s="25"/>
      <c r="E143" s="25"/>
      <c r="F143" s="25"/>
      <c r="G143" s="25"/>
      <c r="H143" s="25"/>
      <c r="I143" s="25"/>
      <c r="J143" s="25"/>
      <c r="K143" s="25"/>
      <c r="L143" s="25"/>
      <c r="M143" s="25"/>
      <c r="N143" s="25"/>
      <c r="O143" s="25"/>
      <c r="P143" s="25"/>
      <c r="Q143" s="25"/>
      <c r="R143" s="25"/>
      <c r="S143" s="25"/>
      <c r="T143" s="25"/>
      <c r="U143" s="25"/>
      <c r="V143" s="53">
        <f>+V34*0.019</f>
        <v>28505.224999999999</v>
      </c>
      <c r="W143" s="25"/>
      <c r="X143" s="5"/>
    </row>
    <row r="144" spans="1:24" ht="15.6" x14ac:dyDescent="0.3">
      <c r="A144" s="24"/>
      <c r="B144" s="25" t="s">
        <v>44</v>
      </c>
      <c r="C144" s="25"/>
      <c r="D144" s="25"/>
      <c r="E144" s="25"/>
      <c r="F144" s="25"/>
      <c r="G144" s="25"/>
      <c r="H144" s="25"/>
      <c r="I144" s="25"/>
      <c r="J144" s="25"/>
      <c r="K144" s="25"/>
      <c r="L144" s="25"/>
      <c r="M144" s="25"/>
      <c r="N144" s="25"/>
      <c r="O144" s="25"/>
      <c r="P144" s="25"/>
      <c r="Q144" s="25"/>
      <c r="R144" s="25"/>
      <c r="S144" s="25"/>
      <c r="T144" s="25"/>
      <c r="U144" s="25"/>
      <c r="V144" s="53">
        <v>28505</v>
      </c>
      <c r="W144" s="25"/>
      <c r="X144" s="5"/>
    </row>
    <row r="145" spans="1:25" ht="15.6" x14ac:dyDescent="0.3">
      <c r="A145" s="24"/>
      <c r="B145" s="25" t="s">
        <v>136</v>
      </c>
      <c r="C145" s="25"/>
      <c r="D145" s="25"/>
      <c r="E145" s="25"/>
      <c r="F145" s="25"/>
      <c r="G145" s="25"/>
      <c r="H145" s="25"/>
      <c r="I145" s="25"/>
      <c r="J145" s="25"/>
      <c r="K145" s="25"/>
      <c r="L145" s="25"/>
      <c r="M145" s="25"/>
      <c r="N145" s="25"/>
      <c r="O145" s="25"/>
      <c r="P145" s="25"/>
      <c r="Q145" s="25"/>
      <c r="R145" s="25"/>
      <c r="S145" s="25"/>
      <c r="T145" s="25"/>
      <c r="U145" s="25"/>
      <c r="V145" s="53"/>
      <c r="W145" s="25"/>
      <c r="X145" s="5"/>
    </row>
    <row r="146" spans="1:25" ht="15.6" x14ac:dyDescent="0.3">
      <c r="A146" s="24"/>
      <c r="B146" s="25" t="s">
        <v>123</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124</v>
      </c>
      <c r="C147" s="25"/>
      <c r="D147" s="25"/>
      <c r="E147" s="25"/>
      <c r="F147" s="25"/>
      <c r="G147" s="25"/>
      <c r="H147" s="25"/>
      <c r="I147" s="25"/>
      <c r="J147" s="25"/>
      <c r="K147" s="25"/>
      <c r="L147" s="25"/>
      <c r="M147" s="25"/>
      <c r="N147" s="25"/>
      <c r="O147" s="25"/>
      <c r="P147" s="25"/>
      <c r="Q147" s="25"/>
      <c r="R147" s="25"/>
      <c r="S147" s="25"/>
      <c r="T147" s="25"/>
      <c r="U147" s="25"/>
      <c r="V147" s="53">
        <v>0</v>
      </c>
      <c r="W147" s="25"/>
      <c r="X147" s="5"/>
    </row>
    <row r="148" spans="1:25" ht="15.6" x14ac:dyDescent="0.3">
      <c r="A148" s="24"/>
      <c r="B148" s="25" t="s">
        <v>175</v>
      </c>
      <c r="C148" s="25"/>
      <c r="D148" s="25"/>
      <c r="E148" s="25"/>
      <c r="F148" s="25"/>
      <c r="G148" s="25"/>
      <c r="H148" s="25"/>
      <c r="I148" s="25"/>
      <c r="J148" s="25"/>
      <c r="K148" s="25"/>
      <c r="L148" s="25"/>
      <c r="M148" s="25"/>
      <c r="N148" s="25"/>
      <c r="O148" s="25"/>
      <c r="P148" s="25"/>
      <c r="Q148" s="25"/>
      <c r="R148" s="25"/>
      <c r="S148" s="25"/>
      <c r="T148" s="25"/>
      <c r="U148" s="25"/>
      <c r="V148" s="53">
        <v>0</v>
      </c>
      <c r="W148" s="25"/>
      <c r="X148" s="5"/>
    </row>
    <row r="149" spans="1:25" ht="15.6" x14ac:dyDescent="0.3">
      <c r="A149" s="24"/>
      <c r="B149" s="25" t="s">
        <v>45</v>
      </c>
      <c r="C149" s="25"/>
      <c r="D149" s="25"/>
      <c r="E149" s="25"/>
      <c r="F149" s="25"/>
      <c r="G149" s="25"/>
      <c r="H149" s="25"/>
      <c r="I149" s="25"/>
      <c r="J149" s="25"/>
      <c r="K149" s="25"/>
      <c r="L149" s="25"/>
      <c r="M149" s="25"/>
      <c r="N149" s="25"/>
      <c r="O149" s="25"/>
      <c r="P149" s="25"/>
      <c r="Q149" s="25"/>
      <c r="R149" s="25"/>
      <c r="S149" s="25"/>
      <c r="T149" s="25"/>
      <c r="U149" s="25"/>
      <c r="V149" s="53">
        <v>0</v>
      </c>
      <c r="W149" s="25"/>
      <c r="X149" s="5"/>
    </row>
    <row r="150" spans="1:25" ht="15.6" x14ac:dyDescent="0.3">
      <c r="A150" s="24"/>
      <c r="B150" s="25" t="s">
        <v>129</v>
      </c>
      <c r="C150" s="25"/>
      <c r="D150" s="25"/>
      <c r="E150" s="25"/>
      <c r="F150" s="25"/>
      <c r="G150" s="25"/>
      <c r="H150" s="25"/>
      <c r="I150" s="25"/>
      <c r="J150" s="25"/>
      <c r="K150" s="25"/>
      <c r="L150" s="25"/>
      <c r="M150" s="25"/>
      <c r="N150" s="25"/>
      <c r="O150" s="25"/>
      <c r="P150" s="25"/>
      <c r="Q150" s="25"/>
      <c r="R150" s="25"/>
      <c r="S150" s="25"/>
      <c r="T150" s="25"/>
      <c r="U150" s="25"/>
      <c r="V150" s="53">
        <v>0</v>
      </c>
      <c r="W150" s="25"/>
      <c r="X150" s="5"/>
    </row>
    <row r="151" spans="1:25" ht="15.6" x14ac:dyDescent="0.3">
      <c r="A151" s="24"/>
      <c r="B151" s="25" t="s">
        <v>267</v>
      </c>
      <c r="C151" s="25"/>
      <c r="D151" s="25"/>
      <c r="E151" s="25"/>
      <c r="F151" s="25"/>
      <c r="G151" s="25"/>
      <c r="H151" s="25"/>
      <c r="I151" s="25"/>
      <c r="J151" s="25"/>
      <c r="K151" s="25"/>
      <c r="L151" s="25"/>
      <c r="M151" s="25"/>
      <c r="N151" s="25"/>
      <c r="O151" s="25"/>
      <c r="P151" s="25"/>
      <c r="Q151" s="25"/>
      <c r="R151" s="25"/>
      <c r="S151" s="25"/>
      <c r="T151" s="25"/>
      <c r="U151" s="25"/>
      <c r="V151" s="53">
        <v>0</v>
      </c>
      <c r="W151" s="25"/>
      <c r="X151" s="5"/>
      <c r="Y151" s="109"/>
    </row>
    <row r="152" spans="1:25" ht="15.6" x14ac:dyDescent="0.3">
      <c r="A152" s="24"/>
      <c r="B152" s="25" t="s">
        <v>46</v>
      </c>
      <c r="C152" s="25"/>
      <c r="D152" s="25"/>
      <c r="E152" s="25"/>
      <c r="F152" s="25"/>
      <c r="G152" s="25"/>
      <c r="H152" s="25"/>
      <c r="I152" s="25"/>
      <c r="J152" s="25"/>
      <c r="K152" s="25"/>
      <c r="L152" s="25"/>
      <c r="M152" s="25"/>
      <c r="N152" s="25"/>
      <c r="O152" s="25"/>
      <c r="P152" s="25"/>
      <c r="Q152" s="25"/>
      <c r="R152" s="25"/>
      <c r="S152" s="25"/>
      <c r="T152" s="25"/>
      <c r="U152" s="25"/>
      <c r="V152" s="53">
        <f>SUM(V144:V151)</f>
        <v>28505</v>
      </c>
      <c r="W152" s="25"/>
      <c r="X152" s="5"/>
    </row>
    <row r="153" spans="1:25" ht="15.6" x14ac:dyDescent="0.3">
      <c r="A153" s="24"/>
      <c r="B153" s="25"/>
      <c r="C153" s="25"/>
      <c r="D153" s="25"/>
      <c r="E153" s="25"/>
      <c r="F153" s="25"/>
      <c r="G153" s="25"/>
      <c r="H153" s="25"/>
      <c r="I153" s="25"/>
      <c r="J153" s="25"/>
      <c r="K153" s="25"/>
      <c r="L153" s="25"/>
      <c r="M153" s="25"/>
      <c r="N153" s="25"/>
      <c r="O153" s="25"/>
      <c r="P153" s="25"/>
      <c r="Q153" s="25"/>
      <c r="R153" s="25"/>
      <c r="S153" s="25"/>
      <c r="T153" s="25"/>
      <c r="U153" s="25"/>
      <c r="V153" s="53"/>
      <c r="W153" s="25"/>
      <c r="X153" s="5"/>
    </row>
    <row r="154" spans="1:25" ht="15.6" x14ac:dyDescent="0.3">
      <c r="A154" s="24"/>
      <c r="B154" s="136" t="s">
        <v>237</v>
      </c>
      <c r="C154" s="25"/>
      <c r="D154" s="25"/>
      <c r="E154" s="25"/>
      <c r="F154" s="25"/>
      <c r="G154" s="25"/>
      <c r="H154" s="25"/>
      <c r="I154" s="25"/>
      <c r="J154" s="25"/>
      <c r="K154" s="25"/>
      <c r="L154" s="25"/>
      <c r="M154" s="25"/>
      <c r="N154" s="25"/>
      <c r="O154" s="25"/>
      <c r="P154" s="25"/>
      <c r="Q154" s="25"/>
      <c r="R154" s="25"/>
      <c r="S154" s="25"/>
      <c r="T154" s="25"/>
      <c r="U154" s="25"/>
      <c r="V154" s="53"/>
      <c r="W154" s="25"/>
      <c r="X154" s="5"/>
    </row>
    <row r="155" spans="1:25" ht="15.6" x14ac:dyDescent="0.3">
      <c r="A155" s="24"/>
      <c r="B155" s="25" t="s">
        <v>155</v>
      </c>
      <c r="C155" s="25"/>
      <c r="D155" s="25"/>
      <c r="E155" s="25"/>
      <c r="F155" s="25"/>
      <c r="G155" s="25"/>
      <c r="H155" s="25"/>
      <c r="I155" s="25"/>
      <c r="J155" s="25"/>
      <c r="K155" s="25"/>
      <c r="L155" s="25"/>
      <c r="M155" s="25"/>
      <c r="N155" s="25"/>
      <c r="O155" s="25"/>
      <c r="P155" s="25"/>
      <c r="Q155" s="25"/>
      <c r="R155" s="25"/>
      <c r="S155" s="25"/>
      <c r="T155" s="25"/>
      <c r="U155" s="25"/>
      <c r="V155" s="53">
        <v>7500</v>
      </c>
      <c r="W155" s="25"/>
      <c r="X155" s="5"/>
    </row>
    <row r="156" spans="1:25" ht="15.6" x14ac:dyDescent="0.3">
      <c r="A156" s="24"/>
      <c r="B156" s="25" t="s">
        <v>172</v>
      </c>
      <c r="C156" s="25"/>
      <c r="D156" s="25"/>
      <c r="E156" s="25"/>
      <c r="F156" s="25"/>
      <c r="G156" s="25"/>
      <c r="H156" s="25"/>
      <c r="I156" s="25"/>
      <c r="J156" s="25"/>
      <c r="K156" s="25"/>
      <c r="L156" s="25"/>
      <c r="M156" s="25"/>
      <c r="N156" s="25"/>
      <c r="O156" s="25"/>
      <c r="P156" s="25"/>
      <c r="Q156" s="25"/>
      <c r="R156" s="25"/>
      <c r="S156" s="25"/>
      <c r="T156" s="25"/>
      <c r="U156" s="25"/>
      <c r="V156" s="53">
        <v>0</v>
      </c>
      <c r="W156" s="25"/>
      <c r="X156" s="5"/>
    </row>
    <row r="157" spans="1:25" ht="15.6" x14ac:dyDescent="0.3">
      <c r="A157" s="24"/>
      <c r="B157" s="25" t="s">
        <v>241</v>
      </c>
      <c r="C157" s="25"/>
      <c r="D157" s="25"/>
      <c r="E157" s="25"/>
      <c r="F157" s="25"/>
      <c r="G157" s="25"/>
      <c r="H157" s="25"/>
      <c r="I157" s="25"/>
      <c r="J157" s="25"/>
      <c r="K157" s="25"/>
      <c r="L157" s="25"/>
      <c r="M157" s="25"/>
      <c r="N157" s="25"/>
      <c r="O157" s="25"/>
      <c r="P157" s="25"/>
      <c r="Q157" s="25"/>
      <c r="R157" s="25"/>
      <c r="S157" s="25"/>
      <c r="T157" s="25"/>
      <c r="U157" s="25"/>
      <c r="V157" s="53">
        <v>3000</v>
      </c>
      <c r="W157" s="25"/>
      <c r="X157" s="5"/>
    </row>
    <row r="158" spans="1:25" ht="15.6" x14ac:dyDescent="0.3">
      <c r="A158" s="24"/>
      <c r="B158" s="25"/>
      <c r="C158" s="25"/>
      <c r="D158" s="25"/>
      <c r="E158" s="25"/>
      <c r="F158" s="25"/>
      <c r="G158" s="25"/>
      <c r="H158" s="25"/>
      <c r="I158" s="25"/>
      <c r="J158" s="25"/>
      <c r="K158" s="25"/>
      <c r="L158" s="25"/>
      <c r="M158" s="25"/>
      <c r="N158" s="25"/>
      <c r="O158" s="25"/>
      <c r="P158" s="25"/>
      <c r="Q158" s="25"/>
      <c r="R158" s="25"/>
      <c r="S158" s="25"/>
      <c r="T158" s="25"/>
      <c r="U158" s="25"/>
      <c r="V158" s="53"/>
      <c r="W158" s="25"/>
      <c r="X158" s="5"/>
    </row>
    <row r="159" spans="1:25" ht="15.6" x14ac:dyDescent="0.3">
      <c r="A159" s="24"/>
      <c r="B159" s="25"/>
      <c r="C159" s="25"/>
      <c r="D159" s="25"/>
      <c r="E159" s="25"/>
      <c r="F159" s="25"/>
      <c r="G159" s="25"/>
      <c r="H159" s="25"/>
      <c r="I159" s="25"/>
      <c r="J159" s="25"/>
      <c r="K159" s="25"/>
      <c r="L159" s="25"/>
      <c r="M159" s="25"/>
      <c r="N159" s="25"/>
      <c r="O159" s="25"/>
      <c r="P159" s="25"/>
      <c r="Q159" s="25"/>
      <c r="R159" s="25"/>
      <c r="S159" s="25"/>
      <c r="T159" s="25"/>
      <c r="U159" s="25"/>
      <c r="V159" s="61"/>
      <c r="W159" s="25"/>
      <c r="X159" s="5"/>
    </row>
    <row r="160" spans="1:25" ht="15.6" x14ac:dyDescent="0.3">
      <c r="A160" s="6"/>
      <c r="B160" s="119" t="s">
        <v>24</v>
      </c>
      <c r="C160" s="8"/>
      <c r="D160" s="8"/>
      <c r="E160" s="8"/>
      <c r="F160" s="8"/>
      <c r="G160" s="8"/>
      <c r="H160" s="8"/>
      <c r="I160" s="8"/>
      <c r="J160" s="8"/>
      <c r="K160" s="8"/>
      <c r="L160" s="8"/>
      <c r="M160" s="8"/>
      <c r="N160" s="8"/>
      <c r="O160" s="8"/>
      <c r="P160" s="8"/>
      <c r="Q160" s="8"/>
      <c r="R160" s="8"/>
      <c r="S160" s="8"/>
      <c r="T160" s="8"/>
      <c r="U160" s="8"/>
      <c r="V160" s="52"/>
      <c r="W160" s="8"/>
      <c r="X160" s="5"/>
    </row>
    <row r="161" spans="1:256" ht="15.6" x14ac:dyDescent="0.3">
      <c r="A161" s="24"/>
      <c r="B161" s="25" t="s">
        <v>47</v>
      </c>
      <c r="C161" s="25"/>
      <c r="D161" s="25"/>
      <c r="E161" s="25"/>
      <c r="F161" s="25"/>
      <c r="G161" s="25"/>
      <c r="H161" s="25"/>
      <c r="I161" s="25"/>
      <c r="J161" s="25"/>
      <c r="K161" s="25"/>
      <c r="L161" s="25"/>
      <c r="M161" s="25"/>
      <c r="N161" s="25"/>
      <c r="O161" s="25"/>
      <c r="P161" s="25"/>
      <c r="Q161" s="25"/>
      <c r="R161" s="25"/>
      <c r="S161" s="25"/>
      <c r="T161" s="25"/>
      <c r="U161" s="25"/>
      <c r="V161" s="59" t="s">
        <v>118</v>
      </c>
      <c r="W161" s="25"/>
      <c r="X161" s="5"/>
    </row>
    <row r="162" spans="1:256" ht="15.6" x14ac:dyDescent="0.3">
      <c r="A162" s="24"/>
      <c r="B162" s="25" t="s">
        <v>48</v>
      </c>
      <c r="C162" s="174"/>
      <c r="D162" s="174"/>
      <c r="E162" s="174"/>
      <c r="F162" s="174"/>
      <c r="G162" s="174"/>
      <c r="H162" s="174"/>
      <c r="I162" s="174"/>
      <c r="J162" s="174"/>
      <c r="K162" s="174"/>
      <c r="L162" s="174"/>
      <c r="M162" s="174"/>
      <c r="N162" s="174"/>
      <c r="O162" s="174"/>
      <c r="P162" s="174"/>
      <c r="Q162" s="174"/>
      <c r="R162" s="174"/>
      <c r="S162" s="174"/>
      <c r="T162" s="174"/>
      <c r="U162" s="174"/>
      <c r="V162" s="59" t="s">
        <v>118</v>
      </c>
      <c r="W162" s="25"/>
      <c r="X162" s="5"/>
    </row>
    <row r="163" spans="1:256" ht="15.6" x14ac:dyDescent="0.3">
      <c r="A163" s="24"/>
      <c r="B163" s="25" t="s">
        <v>49</v>
      </c>
      <c r="C163" s="25"/>
      <c r="D163" s="25"/>
      <c r="E163" s="25"/>
      <c r="F163" s="25"/>
      <c r="G163" s="25"/>
      <c r="H163" s="25"/>
      <c r="I163" s="25"/>
      <c r="J163" s="25"/>
      <c r="K163" s="25"/>
      <c r="L163" s="25"/>
      <c r="M163" s="25"/>
      <c r="N163" s="25"/>
      <c r="O163" s="25"/>
      <c r="P163" s="25"/>
      <c r="Q163" s="25"/>
      <c r="R163" s="25"/>
      <c r="S163" s="25"/>
      <c r="T163" s="25"/>
      <c r="U163" s="25"/>
      <c r="V163" s="59" t="s">
        <v>118</v>
      </c>
      <c r="W163" s="25"/>
      <c r="X163" s="5"/>
    </row>
    <row r="164" spans="1:256" ht="15.6" x14ac:dyDescent="0.3">
      <c r="A164" s="24"/>
      <c r="B164" s="25" t="s">
        <v>50</v>
      </c>
      <c r="C164" s="25"/>
      <c r="D164" s="25"/>
      <c r="E164" s="25"/>
      <c r="F164" s="25"/>
      <c r="G164" s="25"/>
      <c r="H164" s="25"/>
      <c r="I164" s="25"/>
      <c r="J164" s="25"/>
      <c r="K164" s="25"/>
      <c r="L164" s="25"/>
      <c r="M164" s="25"/>
      <c r="N164" s="25"/>
      <c r="O164" s="25"/>
      <c r="P164" s="25"/>
      <c r="Q164" s="25"/>
      <c r="R164" s="25"/>
      <c r="S164" s="25"/>
      <c r="T164" s="25"/>
      <c r="U164" s="25"/>
      <c r="V164" s="59" t="s">
        <v>118</v>
      </c>
      <c r="W164" s="25"/>
      <c r="X164" s="5"/>
    </row>
    <row r="165" spans="1:256" ht="15.6" x14ac:dyDescent="0.3">
      <c r="A165" s="24"/>
      <c r="B165" s="25"/>
      <c r="C165" s="25"/>
      <c r="D165" s="25"/>
      <c r="E165" s="25"/>
      <c r="F165" s="25"/>
      <c r="G165" s="25"/>
      <c r="H165" s="25"/>
      <c r="I165" s="25"/>
      <c r="J165" s="25"/>
      <c r="K165" s="25"/>
      <c r="L165" s="25"/>
      <c r="M165" s="25"/>
      <c r="N165" s="25"/>
      <c r="O165" s="25"/>
      <c r="P165" s="25"/>
      <c r="Q165" s="25"/>
      <c r="R165" s="25"/>
      <c r="S165" s="25"/>
      <c r="T165" s="25"/>
      <c r="U165" s="25"/>
      <c r="V165" s="61"/>
      <c r="W165" s="25"/>
      <c r="X165" s="5"/>
    </row>
    <row r="166" spans="1:256" ht="15.6" x14ac:dyDescent="0.3">
      <c r="A166" s="6"/>
      <c r="B166" s="119" t="s">
        <v>51</v>
      </c>
      <c r="C166" s="8"/>
      <c r="D166" s="8"/>
      <c r="E166" s="8"/>
      <c r="F166" s="8"/>
      <c r="G166" s="8"/>
      <c r="H166" s="8"/>
      <c r="I166" s="8"/>
      <c r="J166" s="8"/>
      <c r="K166" s="8"/>
      <c r="L166" s="8"/>
      <c r="M166" s="8"/>
      <c r="N166" s="8"/>
      <c r="O166" s="8"/>
      <c r="P166" s="8"/>
      <c r="Q166" s="8"/>
      <c r="R166" s="8"/>
      <c r="S166" s="8"/>
      <c r="T166" s="8"/>
      <c r="U166" s="8"/>
      <c r="V166" s="63"/>
      <c r="W166" s="8"/>
      <c r="X166" s="5"/>
    </row>
    <row r="167" spans="1:256" ht="15.6" x14ac:dyDescent="0.3">
      <c r="A167" s="24"/>
      <c r="B167" s="25" t="s">
        <v>52</v>
      </c>
      <c r="C167" s="25"/>
      <c r="D167" s="25"/>
      <c r="E167" s="25"/>
      <c r="F167" s="25"/>
      <c r="G167" s="25"/>
      <c r="H167" s="25"/>
      <c r="I167" s="25"/>
      <c r="J167" s="25"/>
      <c r="K167" s="25"/>
      <c r="L167" s="25"/>
      <c r="M167" s="25"/>
      <c r="N167" s="25"/>
      <c r="O167" s="25"/>
      <c r="P167" s="25"/>
      <c r="Q167" s="25"/>
      <c r="R167" s="25"/>
      <c r="S167" s="25"/>
      <c r="T167" s="25"/>
      <c r="U167" s="25"/>
      <c r="V167" s="53">
        <v>0</v>
      </c>
      <c r="W167" s="25"/>
      <c r="X167" s="5"/>
    </row>
    <row r="168" spans="1:256" ht="15.6" x14ac:dyDescent="0.3">
      <c r="A168" s="24"/>
      <c r="B168" s="25" t="s">
        <v>53</v>
      </c>
      <c r="C168" s="25"/>
      <c r="D168" s="25"/>
      <c r="E168" s="25"/>
      <c r="F168" s="25"/>
      <c r="G168" s="25"/>
      <c r="H168" s="25"/>
      <c r="I168" s="25"/>
      <c r="J168" s="25"/>
      <c r="K168" s="25"/>
      <c r="L168" s="25"/>
      <c r="M168" s="25"/>
      <c r="N168" s="25"/>
      <c r="O168" s="25"/>
      <c r="P168" s="25"/>
      <c r="Q168" s="25"/>
      <c r="R168" s="25"/>
      <c r="S168" s="25"/>
      <c r="T168" s="25"/>
      <c r="U168" s="25"/>
      <c r="V168" s="53">
        <v>208</v>
      </c>
      <c r="W168" s="25"/>
      <c r="X168" s="5"/>
    </row>
    <row r="169" spans="1:256" ht="15.6" x14ac:dyDescent="0.3">
      <c r="A169" s="24"/>
      <c r="B169" s="25" t="s">
        <v>54</v>
      </c>
      <c r="C169" s="25"/>
      <c r="D169" s="25"/>
      <c r="E169" s="25"/>
      <c r="F169" s="25"/>
      <c r="G169" s="25"/>
      <c r="H169" s="25"/>
      <c r="I169" s="25"/>
      <c r="J169" s="25"/>
      <c r="K169" s="25"/>
      <c r="L169" s="25"/>
      <c r="M169" s="25"/>
      <c r="N169" s="25"/>
      <c r="O169" s="25"/>
      <c r="P169" s="25"/>
      <c r="Q169" s="25"/>
      <c r="R169" s="25"/>
      <c r="S169" s="25"/>
      <c r="T169" s="25"/>
      <c r="U169" s="25"/>
      <c r="V169" s="53">
        <f>V168+V167</f>
        <v>208</v>
      </c>
      <c r="W169" s="25"/>
      <c r="X169" s="5"/>
    </row>
    <row r="170" spans="1:256" ht="15.6" x14ac:dyDescent="0.3">
      <c r="A170" s="24"/>
      <c r="B170" s="25" t="s">
        <v>315</v>
      </c>
      <c r="C170" s="25"/>
      <c r="D170" s="25"/>
      <c r="E170" s="25"/>
      <c r="F170" s="25"/>
      <c r="G170" s="25"/>
      <c r="H170" s="25"/>
      <c r="I170" s="25"/>
      <c r="J170" s="25"/>
      <c r="K170" s="25"/>
      <c r="L170" s="25"/>
      <c r="M170" s="25"/>
      <c r="N170" s="25"/>
      <c r="O170" s="25"/>
      <c r="P170" s="25"/>
      <c r="Q170" s="25"/>
      <c r="R170" s="25"/>
      <c r="S170" s="25"/>
      <c r="T170" s="25"/>
      <c r="U170" s="25"/>
      <c r="V170" s="53">
        <f>V116</f>
        <v>-208</v>
      </c>
      <c r="W170" s="25"/>
      <c r="X170" s="5"/>
    </row>
    <row r="171" spans="1:256" ht="15.6" x14ac:dyDescent="0.3">
      <c r="A171" s="24"/>
      <c r="B171" s="25" t="s">
        <v>55</v>
      </c>
      <c r="C171" s="25"/>
      <c r="D171" s="25"/>
      <c r="E171" s="25"/>
      <c r="F171" s="25"/>
      <c r="G171" s="25"/>
      <c r="H171" s="25"/>
      <c r="I171" s="25"/>
      <c r="J171" s="25"/>
      <c r="K171" s="25"/>
      <c r="L171" s="25"/>
      <c r="M171" s="25"/>
      <c r="N171" s="25"/>
      <c r="O171" s="25"/>
      <c r="P171" s="25"/>
      <c r="Q171" s="25"/>
      <c r="R171" s="25"/>
      <c r="S171" s="25"/>
      <c r="T171" s="25"/>
      <c r="U171" s="25"/>
      <c r="V171" s="53">
        <f>V169+V170</f>
        <v>0</v>
      </c>
      <c r="W171" s="25"/>
      <c r="X171" s="5"/>
    </row>
    <row r="172" spans="1:256" ht="16.2" thickBot="1" x14ac:dyDescent="0.35">
      <c r="A172" s="24"/>
      <c r="B172" s="25"/>
      <c r="C172" s="25"/>
      <c r="D172" s="25"/>
      <c r="E172" s="25"/>
      <c r="F172" s="25"/>
      <c r="G172" s="25"/>
      <c r="H172" s="25"/>
      <c r="I172" s="25"/>
      <c r="J172" s="25"/>
      <c r="K172" s="25"/>
      <c r="L172" s="25"/>
      <c r="M172" s="25"/>
      <c r="N172" s="25"/>
      <c r="O172" s="25"/>
      <c r="P172" s="25"/>
      <c r="Q172" s="25"/>
      <c r="R172" s="25"/>
      <c r="S172" s="25"/>
      <c r="T172" s="25"/>
      <c r="U172" s="25"/>
      <c r="V172" s="61"/>
      <c r="W172" s="25"/>
      <c r="X172" s="5"/>
    </row>
    <row r="173" spans="1:256" ht="15.6" x14ac:dyDescent="0.3">
      <c r="A173" s="2"/>
      <c r="B173" s="4"/>
      <c r="C173" s="4"/>
      <c r="D173" s="4"/>
      <c r="E173" s="4"/>
      <c r="F173" s="4"/>
      <c r="G173" s="4"/>
      <c r="H173" s="4"/>
      <c r="I173" s="4"/>
      <c r="J173" s="4"/>
      <c r="K173" s="4"/>
      <c r="L173" s="4"/>
      <c r="M173" s="4"/>
      <c r="N173" s="4"/>
      <c r="O173" s="4"/>
      <c r="P173" s="4"/>
      <c r="Q173" s="4"/>
      <c r="R173" s="4"/>
      <c r="S173" s="4"/>
      <c r="T173" s="4"/>
      <c r="U173" s="4"/>
      <c r="V173" s="50"/>
      <c r="W173" s="4"/>
      <c r="X173" s="5"/>
    </row>
    <row r="174" spans="1:256" s="161" customFormat="1" ht="15.6" x14ac:dyDescent="0.3">
      <c r="A174" s="6"/>
      <c r="B174" s="119" t="s">
        <v>269</v>
      </c>
      <c r="C174" s="160"/>
      <c r="D174" s="160"/>
      <c r="E174" s="160"/>
      <c r="F174" s="160"/>
      <c r="G174" s="160"/>
      <c r="H174" s="160"/>
      <c r="I174" s="160"/>
      <c r="J174" s="160"/>
      <c r="K174" s="160"/>
      <c r="L174" s="160"/>
      <c r="M174" s="160"/>
      <c r="N174" s="160"/>
      <c r="O174" s="160"/>
      <c r="P174" s="160"/>
      <c r="Q174" s="160"/>
      <c r="R174" s="160"/>
      <c r="S174" s="160"/>
      <c r="T174" s="160"/>
      <c r="U174" s="160"/>
      <c r="V174" s="168"/>
      <c r="W174" s="160"/>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5.6" x14ac:dyDescent="0.3">
      <c r="A175" s="24"/>
      <c r="B175" s="162" t="s">
        <v>270</v>
      </c>
      <c r="C175" s="162"/>
      <c r="D175" s="162"/>
      <c r="E175" s="162"/>
      <c r="F175" s="162"/>
      <c r="G175" s="162"/>
      <c r="H175" s="162"/>
      <c r="I175" s="162"/>
      <c r="J175" s="162"/>
      <c r="K175" s="162"/>
      <c r="L175" s="162"/>
      <c r="M175" s="162"/>
      <c r="N175" s="162"/>
      <c r="O175" s="162"/>
      <c r="P175" s="162"/>
      <c r="Q175" s="162"/>
      <c r="R175" s="162"/>
      <c r="S175" s="162"/>
      <c r="T175" s="162"/>
      <c r="U175" s="162"/>
      <c r="V175" s="169">
        <f>+'Aug 08'!V177</f>
        <v>0</v>
      </c>
      <c r="W175" s="162"/>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3" customFormat="1" ht="15.6" x14ac:dyDescent="0.3">
      <c r="A176" s="24"/>
      <c r="B176" s="162" t="s">
        <v>273</v>
      </c>
      <c r="C176" s="162"/>
      <c r="D176" s="162"/>
      <c r="E176" s="162"/>
      <c r="F176" s="162"/>
      <c r="G176" s="162"/>
      <c r="H176" s="162"/>
      <c r="I176" s="162"/>
      <c r="J176" s="162"/>
      <c r="K176" s="162"/>
      <c r="L176" s="162"/>
      <c r="M176" s="162"/>
      <c r="N176" s="162"/>
      <c r="O176" s="162"/>
      <c r="P176" s="162"/>
      <c r="Q176" s="162"/>
      <c r="R176" s="162"/>
      <c r="S176" s="162"/>
      <c r="T176" s="162"/>
      <c r="U176" s="162"/>
      <c r="V176" s="169">
        <f>+V95</f>
        <v>0</v>
      </c>
      <c r="W176" s="162"/>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s="163" customFormat="1" ht="15.6" x14ac:dyDescent="0.3">
      <c r="A177" s="24"/>
      <c r="B177" s="162" t="s">
        <v>271</v>
      </c>
      <c r="C177" s="162"/>
      <c r="D177" s="162"/>
      <c r="E177" s="162"/>
      <c r="F177" s="162"/>
      <c r="G177" s="162"/>
      <c r="H177" s="162"/>
      <c r="I177" s="162"/>
      <c r="J177" s="162"/>
      <c r="K177" s="162"/>
      <c r="L177" s="162"/>
      <c r="M177" s="162"/>
      <c r="N177" s="162"/>
      <c r="O177" s="162"/>
      <c r="P177" s="162"/>
      <c r="Q177" s="162"/>
      <c r="R177" s="162"/>
      <c r="S177" s="162"/>
      <c r="T177" s="162"/>
      <c r="U177" s="162"/>
      <c r="V177" s="169">
        <f>+V175-V176</f>
        <v>0</v>
      </c>
      <c r="W177" s="162"/>
      <c r="X177" s="5"/>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s="166" customFormat="1" ht="16.2" thickBot="1" x14ac:dyDescent="0.35">
      <c r="A178" s="170"/>
      <c r="B178" s="164"/>
      <c r="C178" s="164"/>
      <c r="D178" s="164"/>
      <c r="E178" s="164"/>
      <c r="F178" s="164"/>
      <c r="G178" s="164"/>
      <c r="H178" s="164"/>
      <c r="I178" s="164"/>
      <c r="J178" s="164"/>
      <c r="K178" s="164"/>
      <c r="L178" s="164"/>
      <c r="M178" s="164"/>
      <c r="N178" s="164"/>
      <c r="O178" s="164"/>
      <c r="P178" s="164"/>
      <c r="Q178" s="164"/>
      <c r="R178" s="164"/>
      <c r="S178" s="164"/>
      <c r="T178" s="164"/>
      <c r="U178" s="164"/>
      <c r="V178" s="165"/>
      <c r="W178" s="164"/>
      <c r="X178" s="5"/>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s="167" customFormat="1" ht="15.6" x14ac:dyDescent="0.3">
      <c r="A179" s="2"/>
      <c r="B179" s="4"/>
      <c r="C179" s="4"/>
      <c r="D179" s="4"/>
      <c r="E179" s="4"/>
      <c r="F179" s="4"/>
      <c r="G179" s="4"/>
      <c r="H179" s="4"/>
      <c r="I179" s="4"/>
      <c r="J179" s="4"/>
      <c r="K179" s="4"/>
      <c r="L179" s="4"/>
      <c r="M179" s="4"/>
      <c r="N179" s="4"/>
      <c r="O179" s="4"/>
      <c r="P179" s="4"/>
      <c r="Q179" s="4"/>
      <c r="R179" s="4"/>
      <c r="S179" s="4"/>
      <c r="T179" s="4"/>
      <c r="U179" s="4"/>
      <c r="V179" s="50"/>
      <c r="W179" s="4"/>
      <c r="X179" s="5"/>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ht="15.6" x14ac:dyDescent="0.3">
      <c r="A180" s="6"/>
      <c r="B180" s="119" t="s">
        <v>56</v>
      </c>
      <c r="C180" s="8"/>
      <c r="D180" s="8"/>
      <c r="E180" s="8"/>
      <c r="F180" s="8"/>
      <c r="G180" s="8"/>
      <c r="H180" s="8"/>
      <c r="I180" s="8"/>
      <c r="J180" s="8"/>
      <c r="K180" s="8"/>
      <c r="L180" s="8"/>
      <c r="M180" s="8"/>
      <c r="N180" s="8"/>
      <c r="O180" s="8"/>
      <c r="P180" s="8"/>
      <c r="Q180" s="8"/>
      <c r="R180" s="8"/>
      <c r="S180" s="8"/>
      <c r="T180" s="8"/>
      <c r="U180" s="8"/>
      <c r="V180" s="52"/>
      <c r="W180" s="8"/>
      <c r="X180" s="5"/>
    </row>
    <row r="181" spans="1:256" ht="15.6" x14ac:dyDescent="0.3">
      <c r="A181" s="6"/>
      <c r="B181" s="21"/>
      <c r="C181" s="8"/>
      <c r="D181" s="8"/>
      <c r="E181" s="8"/>
      <c r="F181" s="8"/>
      <c r="G181" s="8"/>
      <c r="H181" s="8"/>
      <c r="I181" s="8"/>
      <c r="J181" s="8"/>
      <c r="K181" s="8"/>
      <c r="L181" s="8"/>
      <c r="M181" s="8"/>
      <c r="N181" s="8"/>
      <c r="O181" s="8"/>
      <c r="P181" s="8"/>
      <c r="Q181" s="8"/>
      <c r="R181" s="8"/>
      <c r="S181" s="8"/>
      <c r="T181" s="8"/>
      <c r="U181" s="8"/>
      <c r="V181" s="52"/>
      <c r="W181" s="8"/>
      <c r="X181" s="5"/>
    </row>
    <row r="182" spans="1:256" ht="15.6" x14ac:dyDescent="0.3">
      <c r="A182" s="24"/>
      <c r="B182" s="25" t="s">
        <v>57</v>
      </c>
      <c r="C182" s="25"/>
      <c r="D182" s="25"/>
      <c r="E182" s="25"/>
      <c r="F182" s="25"/>
      <c r="G182" s="25"/>
      <c r="H182" s="25"/>
      <c r="I182" s="25"/>
      <c r="J182" s="25"/>
      <c r="K182" s="25"/>
      <c r="L182" s="25"/>
      <c r="M182" s="25"/>
      <c r="N182" s="25"/>
      <c r="O182" s="25"/>
      <c r="P182" s="25"/>
      <c r="Q182" s="25"/>
      <c r="R182" s="25"/>
      <c r="S182" s="25"/>
      <c r="T182" s="25"/>
      <c r="U182" s="25"/>
      <c r="V182" s="53">
        <f>V72</f>
        <v>1209812</v>
      </c>
      <c r="W182" s="25"/>
      <c r="X182" s="5"/>
    </row>
    <row r="183" spans="1:256" ht="15.6" x14ac:dyDescent="0.3">
      <c r="A183" s="24"/>
      <c r="B183" s="25" t="s">
        <v>58</v>
      </c>
      <c r="C183" s="25"/>
      <c r="D183" s="25"/>
      <c r="E183" s="25"/>
      <c r="F183" s="25"/>
      <c r="G183" s="25"/>
      <c r="H183" s="25"/>
      <c r="I183" s="25"/>
      <c r="J183" s="25"/>
      <c r="K183" s="25"/>
      <c r="L183" s="25"/>
      <c r="M183" s="25"/>
      <c r="N183" s="25"/>
      <c r="O183" s="25"/>
      <c r="P183" s="25"/>
      <c r="Q183" s="25"/>
      <c r="R183" s="25"/>
      <c r="S183" s="25"/>
      <c r="T183" s="25"/>
      <c r="U183" s="25"/>
      <c r="V183" s="53">
        <f>V85</f>
        <v>1209812</v>
      </c>
      <c r="W183" s="25"/>
      <c r="X183" s="5"/>
    </row>
    <row r="184" spans="1:256" ht="16.2" thickBot="1" x14ac:dyDescent="0.35">
      <c r="A184" s="24"/>
      <c r="B184" s="25"/>
      <c r="C184" s="25"/>
      <c r="D184" s="25"/>
      <c r="E184" s="25"/>
      <c r="F184" s="25"/>
      <c r="G184" s="25"/>
      <c r="H184" s="25"/>
      <c r="I184" s="25"/>
      <c r="J184" s="25"/>
      <c r="K184" s="25"/>
      <c r="L184" s="25"/>
      <c r="M184" s="25"/>
      <c r="N184" s="25"/>
      <c r="O184" s="25"/>
      <c r="P184" s="25"/>
      <c r="Q184" s="25"/>
      <c r="R184" s="25"/>
      <c r="S184" s="25"/>
      <c r="T184" s="25"/>
      <c r="U184" s="25"/>
      <c r="V184" s="61"/>
      <c r="W184" s="25"/>
      <c r="X184" s="5"/>
    </row>
    <row r="185" spans="1:256" ht="15.6" x14ac:dyDescent="0.3">
      <c r="A185" s="2"/>
      <c r="B185" s="4"/>
      <c r="C185" s="4"/>
      <c r="D185" s="4"/>
      <c r="E185" s="4"/>
      <c r="F185" s="4"/>
      <c r="G185" s="4"/>
      <c r="H185" s="4"/>
      <c r="I185" s="4"/>
      <c r="J185" s="4"/>
      <c r="K185" s="4"/>
      <c r="L185" s="4"/>
      <c r="M185" s="4"/>
      <c r="N185" s="4"/>
      <c r="O185" s="4"/>
      <c r="P185" s="4"/>
      <c r="Q185" s="4"/>
      <c r="R185" s="4"/>
      <c r="S185" s="4"/>
      <c r="T185" s="4"/>
      <c r="U185" s="4"/>
      <c r="V185" s="50"/>
      <c r="W185" s="4"/>
      <c r="X185" s="5"/>
    </row>
    <row r="186" spans="1:256" ht="15.6" x14ac:dyDescent="0.3">
      <c r="A186" s="6"/>
      <c r="B186" s="119" t="s">
        <v>59</v>
      </c>
      <c r="C186" s="117"/>
      <c r="D186" s="117"/>
      <c r="E186" s="117"/>
      <c r="F186" s="117"/>
      <c r="G186" s="117"/>
      <c r="H186" s="120"/>
      <c r="I186" s="120"/>
      <c r="J186" s="120"/>
      <c r="K186" s="120"/>
      <c r="L186" s="120"/>
      <c r="M186" s="120"/>
      <c r="N186" s="120"/>
      <c r="O186" s="120"/>
      <c r="P186" s="120"/>
      <c r="Q186" s="120"/>
      <c r="R186" s="120"/>
      <c r="S186" s="120" t="s">
        <v>101</v>
      </c>
      <c r="T186" s="120" t="s">
        <v>176</v>
      </c>
      <c r="U186" s="111"/>
      <c r="V186" s="121" t="s">
        <v>114</v>
      </c>
      <c r="W186" s="10"/>
      <c r="X186" s="5"/>
    </row>
    <row r="187" spans="1:256" ht="15.6" x14ac:dyDescent="0.3">
      <c r="A187" s="24"/>
      <c r="B187" s="25" t="s">
        <v>60</v>
      </c>
      <c r="C187" s="25"/>
      <c r="D187" s="25"/>
      <c r="E187" s="25"/>
      <c r="F187" s="25"/>
      <c r="G187" s="25"/>
      <c r="H187" s="25"/>
      <c r="I187" s="25"/>
      <c r="J187" s="25"/>
      <c r="K187" s="25"/>
      <c r="L187" s="25"/>
      <c r="M187" s="25"/>
      <c r="N187" s="25"/>
      <c r="O187" s="25"/>
      <c r="P187" s="25"/>
      <c r="Q187" s="25"/>
      <c r="R187" s="25"/>
      <c r="S187" s="53">
        <f>+V34*0.16</f>
        <v>240044</v>
      </c>
      <c r="T187" s="40"/>
      <c r="U187" s="25"/>
      <c r="V187" s="53"/>
      <c r="W187" s="25"/>
      <c r="X187" s="5"/>
    </row>
    <row r="188" spans="1:256" ht="15.6" x14ac:dyDescent="0.3">
      <c r="A188" s="24"/>
      <c r="B188" s="25" t="s">
        <v>61</v>
      </c>
      <c r="C188" s="25"/>
      <c r="D188" s="25"/>
      <c r="E188" s="25"/>
      <c r="F188" s="25"/>
      <c r="G188" s="25"/>
      <c r="H188" s="25"/>
      <c r="I188" s="25"/>
      <c r="J188" s="25"/>
      <c r="K188" s="25"/>
      <c r="L188" s="25"/>
      <c r="M188" s="25"/>
      <c r="N188" s="25"/>
      <c r="O188" s="25"/>
      <c r="P188" s="25"/>
      <c r="Q188" s="25"/>
      <c r="R188" s="25"/>
      <c r="S188" s="53">
        <f>+'Feb 09'!S190</f>
        <v>21262</v>
      </c>
      <c r="T188" s="53">
        <f>+'Feb 09'!T190</f>
        <v>5922</v>
      </c>
      <c r="U188" s="25"/>
      <c r="V188" s="53">
        <f>S188+T188</f>
        <v>27184</v>
      </c>
      <c r="W188" s="25"/>
      <c r="X188" s="5"/>
    </row>
    <row r="189" spans="1:256" ht="15.6" x14ac:dyDescent="0.3">
      <c r="A189" s="24"/>
      <c r="B189" s="25" t="s">
        <v>62</v>
      </c>
      <c r="C189" s="25"/>
      <c r="D189" s="25"/>
      <c r="E189" s="25"/>
      <c r="F189" s="25"/>
      <c r="G189" s="25"/>
      <c r="H189" s="25"/>
      <c r="I189" s="25"/>
      <c r="J189" s="25"/>
      <c r="K189" s="25"/>
      <c r="L189" s="25"/>
      <c r="M189" s="25"/>
      <c r="N189" s="25"/>
      <c r="O189" s="25"/>
      <c r="P189" s="25"/>
      <c r="Q189" s="25"/>
      <c r="R189" s="25"/>
      <c r="S189" s="34">
        <f>431+490</f>
        <v>921</v>
      </c>
      <c r="T189" s="34">
        <v>30</v>
      </c>
      <c r="U189" s="25"/>
      <c r="V189" s="53">
        <f>S189+T189</f>
        <v>951</v>
      </c>
      <c r="W189" s="25"/>
      <c r="X189" s="5"/>
    </row>
    <row r="190" spans="1:256" ht="15.6" x14ac:dyDescent="0.3">
      <c r="A190" s="24"/>
      <c r="B190" s="25" t="s">
        <v>63</v>
      </c>
      <c r="C190" s="25"/>
      <c r="D190" s="25"/>
      <c r="E190" s="25"/>
      <c r="F190" s="25"/>
      <c r="G190" s="25"/>
      <c r="H190" s="25"/>
      <c r="I190" s="25"/>
      <c r="J190" s="25"/>
      <c r="K190" s="25"/>
      <c r="L190" s="25"/>
      <c r="M190" s="25"/>
      <c r="N190" s="25"/>
      <c r="O190" s="25"/>
      <c r="P190" s="25"/>
      <c r="Q190" s="25"/>
      <c r="R190" s="25"/>
      <c r="S190" s="53">
        <f>S188+S189</f>
        <v>22183</v>
      </c>
      <c r="T190" s="53">
        <f>T189+T188</f>
        <v>5952</v>
      </c>
      <c r="U190" s="25"/>
      <c r="V190" s="53">
        <f>S190+T190</f>
        <v>28135</v>
      </c>
      <c r="W190" s="25"/>
      <c r="X190" s="5"/>
    </row>
    <row r="191" spans="1:256" ht="15.6" x14ac:dyDescent="0.3">
      <c r="A191" s="24"/>
      <c r="B191" s="25" t="s">
        <v>64</v>
      </c>
      <c r="C191" s="25"/>
      <c r="D191" s="25"/>
      <c r="E191" s="25"/>
      <c r="F191" s="25"/>
      <c r="G191" s="25"/>
      <c r="H191" s="25"/>
      <c r="I191" s="25"/>
      <c r="J191" s="25"/>
      <c r="K191" s="25"/>
      <c r="L191" s="25"/>
      <c r="M191" s="25"/>
      <c r="N191" s="25"/>
      <c r="O191" s="25"/>
      <c r="P191" s="25"/>
      <c r="Q191" s="25"/>
      <c r="R191" s="25"/>
      <c r="S191" s="53">
        <f>S187-S190-T190</f>
        <v>211909</v>
      </c>
      <c r="T191" s="40"/>
      <c r="U191" s="25"/>
      <c r="V191" s="53"/>
      <c r="W191" s="25"/>
      <c r="X191" s="5"/>
    </row>
    <row r="192" spans="1:256" ht="16.2" thickBot="1" x14ac:dyDescent="0.35">
      <c r="A192" s="24"/>
      <c r="B192" s="25"/>
      <c r="C192" s="25"/>
      <c r="D192" s="25"/>
      <c r="E192" s="25"/>
      <c r="F192" s="25"/>
      <c r="G192" s="25"/>
      <c r="H192" s="25"/>
      <c r="I192" s="25"/>
      <c r="J192" s="25"/>
      <c r="K192" s="25"/>
      <c r="L192" s="25"/>
      <c r="M192" s="25"/>
      <c r="N192" s="25"/>
      <c r="O192" s="25"/>
      <c r="P192" s="25"/>
      <c r="Q192" s="25"/>
      <c r="R192" s="25"/>
      <c r="S192" s="25"/>
      <c r="T192" s="25"/>
      <c r="U192" s="25"/>
      <c r="V192" s="61"/>
      <c r="W192" s="25"/>
      <c r="X192" s="5"/>
    </row>
    <row r="193" spans="1:24" ht="15.6" x14ac:dyDescent="0.3">
      <c r="A193" s="2"/>
      <c r="B193" s="4"/>
      <c r="C193" s="4"/>
      <c r="D193" s="4"/>
      <c r="E193" s="4"/>
      <c r="F193" s="4"/>
      <c r="G193" s="4"/>
      <c r="H193" s="4"/>
      <c r="I193" s="4"/>
      <c r="J193" s="4"/>
      <c r="K193" s="4"/>
      <c r="L193" s="4"/>
      <c r="M193" s="4"/>
      <c r="N193" s="4"/>
      <c r="O193" s="4"/>
      <c r="P193" s="4"/>
      <c r="Q193" s="4"/>
      <c r="R193" s="4"/>
      <c r="S193" s="4"/>
      <c r="T193" s="4"/>
      <c r="U193" s="4"/>
      <c r="V193" s="50"/>
      <c r="W193" s="4"/>
      <c r="X193" s="5"/>
    </row>
    <row r="194" spans="1:24" ht="15.6" x14ac:dyDescent="0.3">
      <c r="A194" s="6"/>
      <c r="B194" s="119" t="s">
        <v>65</v>
      </c>
      <c r="C194" s="8"/>
      <c r="D194" s="8"/>
      <c r="E194" s="8"/>
      <c r="F194" s="8"/>
      <c r="G194" s="8"/>
      <c r="H194" s="8"/>
      <c r="I194" s="8"/>
      <c r="J194" s="8"/>
      <c r="K194" s="8"/>
      <c r="L194" s="8"/>
      <c r="M194" s="8"/>
      <c r="N194" s="8"/>
      <c r="O194" s="8"/>
      <c r="P194" s="8"/>
      <c r="Q194" s="8"/>
      <c r="R194" s="8"/>
      <c r="S194" s="8"/>
      <c r="T194" s="8"/>
      <c r="U194" s="8"/>
      <c r="V194" s="65"/>
      <c r="W194" s="8"/>
      <c r="X194" s="5"/>
    </row>
    <row r="195" spans="1:24" ht="15.6" x14ac:dyDescent="0.3">
      <c r="A195" s="24"/>
      <c r="B195" s="25" t="s">
        <v>66</v>
      </c>
      <c r="C195" s="25"/>
      <c r="D195" s="25"/>
      <c r="E195" s="25"/>
      <c r="F195" s="25"/>
      <c r="G195" s="25"/>
      <c r="H195" s="25"/>
      <c r="I195" s="25"/>
      <c r="J195" s="25"/>
      <c r="K195" s="25"/>
      <c r="L195" s="25"/>
      <c r="M195" s="25"/>
      <c r="N195" s="25"/>
      <c r="O195" s="25"/>
      <c r="P195" s="25"/>
      <c r="Q195" s="25"/>
      <c r="R195" s="25"/>
      <c r="S195" s="25"/>
      <c r="T195" s="25"/>
      <c r="U195" s="25"/>
      <c r="V195" s="59">
        <f>(V102+V104+V105+V106+V107)/-(V108+V109)</f>
        <v>1.9377559377559377</v>
      </c>
      <c r="W195" s="25" t="s">
        <v>115</v>
      </c>
      <c r="X195" s="5"/>
    </row>
    <row r="196" spans="1:24" ht="15.6" x14ac:dyDescent="0.3">
      <c r="A196" s="24"/>
      <c r="B196" s="25" t="s">
        <v>67</v>
      </c>
      <c r="C196" s="25"/>
      <c r="D196" s="25"/>
      <c r="E196" s="25"/>
      <c r="F196" s="25"/>
      <c r="G196" s="25"/>
      <c r="H196" s="25"/>
      <c r="I196" s="25"/>
      <c r="J196" s="25"/>
      <c r="K196" s="25"/>
      <c r="L196" s="25"/>
      <c r="M196" s="25"/>
      <c r="N196" s="25"/>
      <c r="O196" s="25"/>
      <c r="P196" s="25"/>
      <c r="Q196" s="25"/>
      <c r="R196" s="25"/>
      <c r="S196" s="25"/>
      <c r="T196" s="25"/>
      <c r="U196" s="25"/>
      <c r="V196" s="66">
        <v>1.4</v>
      </c>
      <c r="W196" s="25" t="s">
        <v>115</v>
      </c>
      <c r="X196" s="5"/>
    </row>
    <row r="197" spans="1:24" ht="15.6" x14ac:dyDescent="0.3">
      <c r="A197" s="24"/>
      <c r="B197" s="25" t="s">
        <v>68</v>
      </c>
      <c r="C197" s="25"/>
      <c r="D197" s="25"/>
      <c r="E197" s="25"/>
      <c r="F197" s="25"/>
      <c r="G197" s="25"/>
      <c r="H197" s="25"/>
      <c r="I197" s="25"/>
      <c r="J197" s="25"/>
      <c r="K197" s="25"/>
      <c r="L197" s="25"/>
      <c r="M197" s="25"/>
      <c r="N197" s="25"/>
      <c r="O197" s="25"/>
      <c r="P197" s="25"/>
      <c r="Q197" s="25"/>
      <c r="R197" s="25"/>
      <c r="S197" s="25"/>
      <c r="T197" s="25"/>
      <c r="U197" s="25"/>
      <c r="V197" s="59">
        <f>(V102+V104+V105+V106+V107+V108+V109)/-(V111+V112)</f>
        <v>8.0210157618213653</v>
      </c>
      <c r="W197" s="25" t="s">
        <v>115</v>
      </c>
      <c r="X197" s="5"/>
    </row>
    <row r="198" spans="1:24" ht="15.6" x14ac:dyDescent="0.3">
      <c r="A198" s="24"/>
      <c r="B198" s="25" t="s">
        <v>69</v>
      </c>
      <c r="C198" s="25"/>
      <c r="D198" s="25"/>
      <c r="E198" s="25"/>
      <c r="F198" s="25"/>
      <c r="G198" s="25"/>
      <c r="H198" s="25"/>
      <c r="I198" s="25"/>
      <c r="J198" s="25"/>
      <c r="K198" s="25"/>
      <c r="L198" s="25"/>
      <c r="M198" s="25"/>
      <c r="N198" s="25"/>
      <c r="O198" s="25"/>
      <c r="P198" s="25"/>
      <c r="Q198" s="25"/>
      <c r="R198" s="25"/>
      <c r="S198" s="25"/>
      <c r="T198" s="25"/>
      <c r="U198" s="25"/>
      <c r="V198" s="66">
        <v>4.16</v>
      </c>
      <c r="W198" s="25" t="s">
        <v>115</v>
      </c>
      <c r="X198" s="5"/>
    </row>
    <row r="199" spans="1:24" ht="15.6" x14ac:dyDescent="0.3">
      <c r="A199" s="24"/>
      <c r="B199" s="25" t="s">
        <v>198</v>
      </c>
      <c r="C199" s="25"/>
      <c r="D199" s="25"/>
      <c r="E199" s="25"/>
      <c r="F199" s="25"/>
      <c r="G199" s="25"/>
      <c r="H199" s="25"/>
      <c r="I199" s="25"/>
      <c r="J199" s="25"/>
      <c r="K199" s="25"/>
      <c r="L199" s="25"/>
      <c r="M199" s="25"/>
      <c r="N199" s="25"/>
      <c r="O199" s="25"/>
      <c r="P199" s="25"/>
      <c r="Q199" s="25"/>
      <c r="R199" s="25"/>
      <c r="S199" s="25"/>
      <c r="T199" s="25"/>
      <c r="U199" s="25"/>
      <c r="V199" s="59">
        <f>(V102+V104+V105+V106+V107+V108+V109+V111+V112)/-(V113+V114)</f>
        <v>6.3133858267716532</v>
      </c>
      <c r="W199" s="25" t="s">
        <v>115</v>
      </c>
      <c r="X199" s="5"/>
    </row>
    <row r="200" spans="1:24" ht="15.6" x14ac:dyDescent="0.3">
      <c r="A200" s="24"/>
      <c r="B200" s="25" t="s">
        <v>199</v>
      </c>
      <c r="C200" s="25"/>
      <c r="D200" s="25"/>
      <c r="E200" s="25"/>
      <c r="F200" s="25"/>
      <c r="G200" s="25"/>
      <c r="H200" s="25"/>
      <c r="I200" s="25"/>
      <c r="J200" s="25"/>
      <c r="K200" s="25"/>
      <c r="L200" s="25"/>
      <c r="M200" s="25"/>
      <c r="N200" s="25"/>
      <c r="O200" s="25"/>
      <c r="P200" s="25"/>
      <c r="Q200" s="25"/>
      <c r="R200" s="25"/>
      <c r="S200" s="25"/>
      <c r="T200" s="25"/>
      <c r="U200" s="25"/>
      <c r="V200" s="66">
        <v>3.03</v>
      </c>
      <c r="W200" s="25" t="s">
        <v>115</v>
      </c>
      <c r="X200" s="5"/>
    </row>
    <row r="201" spans="1:24" ht="15.6" x14ac:dyDescent="0.3">
      <c r="A201" s="24"/>
      <c r="B201" s="25"/>
      <c r="C201" s="25"/>
      <c r="D201" s="25"/>
      <c r="E201" s="25"/>
      <c r="F201" s="25"/>
      <c r="G201" s="25"/>
      <c r="H201" s="25"/>
      <c r="I201" s="25"/>
      <c r="J201" s="25"/>
      <c r="K201" s="25"/>
      <c r="L201" s="25"/>
      <c r="M201" s="25"/>
      <c r="N201" s="25"/>
      <c r="O201" s="25"/>
      <c r="P201" s="25"/>
      <c r="Q201" s="25"/>
      <c r="R201" s="25"/>
      <c r="S201" s="25"/>
      <c r="T201" s="25"/>
      <c r="U201" s="25"/>
      <c r="V201" s="25"/>
      <c r="W201" s="25"/>
      <c r="X201" s="5"/>
    </row>
    <row r="202" spans="1:24" ht="15.6" x14ac:dyDescent="0.3">
      <c r="A202" s="24"/>
      <c r="B202" s="25"/>
      <c r="C202" s="25"/>
      <c r="D202" s="25"/>
      <c r="E202" s="25"/>
      <c r="F202" s="25"/>
      <c r="G202" s="25"/>
      <c r="H202" s="25"/>
      <c r="I202" s="25"/>
      <c r="J202" s="25"/>
      <c r="K202" s="25"/>
      <c r="L202" s="25"/>
      <c r="M202" s="25"/>
      <c r="N202" s="25"/>
      <c r="O202" s="25"/>
      <c r="P202" s="25"/>
      <c r="Q202" s="25"/>
      <c r="R202" s="25"/>
      <c r="S202" s="25"/>
      <c r="T202" s="25"/>
      <c r="U202" s="25"/>
      <c r="V202" s="25"/>
      <c r="W202" s="25"/>
      <c r="X202" s="5"/>
    </row>
    <row r="203" spans="1:24" ht="15.6" x14ac:dyDescent="0.3">
      <c r="A203" s="6"/>
      <c r="B203" s="8"/>
      <c r="C203" s="8"/>
      <c r="D203" s="8"/>
      <c r="E203" s="8"/>
      <c r="F203" s="8"/>
      <c r="G203" s="8"/>
      <c r="H203" s="8"/>
      <c r="I203" s="8"/>
      <c r="J203" s="8"/>
      <c r="K203" s="8"/>
      <c r="L203" s="8"/>
      <c r="M203" s="8"/>
      <c r="N203" s="8"/>
      <c r="O203" s="8"/>
      <c r="P203" s="8"/>
      <c r="Q203" s="8"/>
      <c r="R203" s="8"/>
      <c r="S203" s="8"/>
      <c r="T203" s="8"/>
      <c r="U203" s="8"/>
      <c r="V203" s="8"/>
      <c r="W203" s="8"/>
      <c r="X203" s="5"/>
    </row>
    <row r="204" spans="1:24" ht="18" thickBot="1" x14ac:dyDescent="0.35">
      <c r="A204" s="101"/>
      <c r="B204" s="102" t="str">
        <f>B139</f>
        <v>PM14 INVESTOR REPORT QUARTER ENDING MAY 2009</v>
      </c>
      <c r="C204" s="176"/>
      <c r="D204" s="176"/>
      <c r="E204" s="176"/>
      <c r="F204" s="176"/>
      <c r="G204" s="176"/>
      <c r="H204" s="176"/>
      <c r="I204" s="176"/>
      <c r="J204" s="176"/>
      <c r="K204" s="176"/>
      <c r="L204" s="176"/>
      <c r="M204" s="176"/>
      <c r="N204" s="176"/>
      <c r="O204" s="176"/>
      <c r="P204" s="176"/>
      <c r="Q204" s="176"/>
      <c r="R204" s="176"/>
      <c r="S204" s="176"/>
      <c r="T204" s="176"/>
      <c r="U204" s="176"/>
      <c r="V204" s="176"/>
      <c r="W204" s="177"/>
      <c r="X204" s="5"/>
    </row>
    <row r="205" spans="1:24" ht="15.6" x14ac:dyDescent="0.3">
      <c r="A205" s="67"/>
      <c r="B205" s="60" t="s">
        <v>70</v>
      </c>
      <c r="C205" s="68"/>
      <c r="D205" s="68"/>
      <c r="E205" s="68"/>
      <c r="F205" s="68"/>
      <c r="G205" s="69"/>
      <c r="H205" s="69"/>
      <c r="I205" s="69"/>
      <c r="J205" s="69"/>
      <c r="K205" s="69"/>
      <c r="L205" s="69"/>
      <c r="M205" s="69"/>
      <c r="N205" s="69"/>
      <c r="O205" s="69"/>
      <c r="P205" s="69"/>
      <c r="Q205" s="69"/>
      <c r="R205" s="69"/>
      <c r="S205" s="69"/>
      <c r="T205" s="70">
        <v>39962</v>
      </c>
      <c r="U205" s="4"/>
      <c r="V205" s="4"/>
      <c r="W205" s="4"/>
      <c r="X205" s="5"/>
    </row>
    <row r="206" spans="1:24" ht="15.6" x14ac:dyDescent="0.3">
      <c r="A206" s="71"/>
      <c r="B206" s="72"/>
      <c r="C206" s="73"/>
      <c r="D206" s="73"/>
      <c r="E206" s="73"/>
      <c r="F206" s="73"/>
      <c r="G206" s="74"/>
      <c r="H206" s="74"/>
      <c r="I206" s="74"/>
      <c r="J206" s="74"/>
      <c r="K206" s="74"/>
      <c r="L206" s="74"/>
      <c r="M206" s="74"/>
      <c r="N206" s="74"/>
      <c r="O206" s="74"/>
      <c r="P206" s="74"/>
      <c r="Q206" s="74"/>
      <c r="R206" s="74"/>
      <c r="S206" s="74"/>
      <c r="T206" s="74"/>
      <c r="U206" s="8"/>
      <c r="V206" s="8"/>
      <c r="W206" s="8"/>
      <c r="X206" s="5"/>
    </row>
    <row r="207" spans="1:24" ht="15.6" x14ac:dyDescent="0.3">
      <c r="A207" s="75"/>
      <c r="B207" s="76" t="s">
        <v>71</v>
      </c>
      <c r="C207" s="77"/>
      <c r="D207" s="77"/>
      <c r="E207" s="77"/>
      <c r="F207" s="77"/>
      <c r="G207" s="64"/>
      <c r="H207" s="64"/>
      <c r="I207" s="64"/>
      <c r="J207" s="64"/>
      <c r="K207" s="64"/>
      <c r="L207" s="64"/>
      <c r="M207" s="64"/>
      <c r="N207" s="64"/>
      <c r="O207" s="64"/>
      <c r="P207" s="64"/>
      <c r="Q207" s="64"/>
      <c r="R207" s="64"/>
      <c r="S207" s="64"/>
      <c r="T207" s="78">
        <v>5.2819999999999999E-2</v>
      </c>
      <c r="U207" s="25"/>
      <c r="V207" s="25"/>
      <c r="W207" s="25"/>
      <c r="X207" s="5"/>
    </row>
    <row r="208" spans="1:24" ht="15.6" x14ac:dyDescent="0.3">
      <c r="A208" s="75"/>
      <c r="B208" s="76" t="s">
        <v>151</v>
      </c>
      <c r="C208" s="77"/>
      <c r="D208" s="77"/>
      <c r="E208" s="77"/>
      <c r="F208" s="77"/>
      <c r="G208" s="64"/>
      <c r="H208" s="64"/>
      <c r="I208" s="64"/>
      <c r="J208" s="64"/>
      <c r="K208" s="64"/>
      <c r="L208" s="64"/>
      <c r="M208" s="64"/>
      <c r="N208" s="64"/>
      <c r="O208" s="64"/>
      <c r="P208" s="64"/>
      <c r="Q208" s="64"/>
      <c r="R208" s="64"/>
      <c r="S208" s="64"/>
      <c r="T208" s="39">
        <v>5.7799999999999997E-2</v>
      </c>
      <c r="U208" s="25"/>
      <c r="V208" s="25"/>
      <c r="W208" s="25"/>
      <c r="X208" s="5"/>
    </row>
    <row r="209" spans="1:24" ht="15.6" x14ac:dyDescent="0.3">
      <c r="A209" s="75"/>
      <c r="B209" s="76" t="s">
        <v>72</v>
      </c>
      <c r="C209" s="77"/>
      <c r="D209" s="77"/>
      <c r="E209" s="77"/>
      <c r="F209" s="77"/>
      <c r="G209" s="64"/>
      <c r="H209" s="64"/>
      <c r="I209" s="64"/>
      <c r="J209" s="64"/>
      <c r="K209" s="64"/>
      <c r="L209" s="64"/>
      <c r="M209" s="64"/>
      <c r="N209" s="64"/>
      <c r="O209" s="64"/>
      <c r="P209" s="64"/>
      <c r="Q209" s="64"/>
      <c r="R209" s="64"/>
      <c r="S209" s="64"/>
      <c r="T209" s="78">
        <f>T207-T208</f>
        <v>-4.9799999999999983E-3</v>
      </c>
      <c r="U209" s="25"/>
      <c r="V209" s="25"/>
      <c r="W209" s="25"/>
      <c r="X209" s="5"/>
    </row>
    <row r="210" spans="1:24" ht="15.6" x14ac:dyDescent="0.3">
      <c r="A210" s="75"/>
      <c r="B210" s="76" t="s">
        <v>73</v>
      </c>
      <c r="C210" s="77"/>
      <c r="D210" s="77"/>
      <c r="E210" s="77"/>
      <c r="F210" s="77"/>
      <c r="G210" s="64"/>
      <c r="H210" s="64"/>
      <c r="I210" s="64"/>
      <c r="J210" s="64"/>
      <c r="K210" s="64"/>
      <c r="L210" s="64"/>
      <c r="M210" s="64"/>
      <c r="N210" s="64"/>
      <c r="O210" s="64"/>
      <c r="P210" s="64"/>
      <c r="Q210" s="64"/>
      <c r="R210" s="64"/>
      <c r="S210" s="64"/>
      <c r="T210" s="78">
        <v>3.5200000000000002E-2</v>
      </c>
      <c r="U210" s="25"/>
      <c r="V210" s="25"/>
      <c r="W210" s="25"/>
      <c r="X210" s="5"/>
    </row>
    <row r="211" spans="1:24" ht="15.6" x14ac:dyDescent="0.3">
      <c r="A211" s="75"/>
      <c r="B211" s="76" t="s">
        <v>219</v>
      </c>
      <c r="C211" s="77"/>
      <c r="D211" s="77"/>
      <c r="E211" s="77"/>
      <c r="F211" s="77"/>
      <c r="G211" s="64"/>
      <c r="H211" s="64"/>
      <c r="I211" s="64"/>
      <c r="J211" s="64"/>
      <c r="K211" s="64"/>
      <c r="L211" s="64"/>
      <c r="M211" s="64"/>
      <c r="N211" s="64"/>
      <c r="O211" s="64"/>
      <c r="P211" s="64"/>
      <c r="Q211" s="64"/>
      <c r="R211" s="64"/>
      <c r="S211" s="64"/>
      <c r="T211" s="78">
        <f>V43</f>
        <v>1.9999478322959577E-2</v>
      </c>
      <c r="U211" s="25"/>
      <c r="V211" s="25"/>
      <c r="W211" s="25"/>
      <c r="X211" s="5"/>
    </row>
    <row r="212" spans="1:24" ht="15.6" x14ac:dyDescent="0.3">
      <c r="A212" s="75"/>
      <c r="B212" s="76" t="s">
        <v>74</v>
      </c>
      <c r="C212" s="77"/>
      <c r="D212" s="77"/>
      <c r="E212" s="77"/>
      <c r="F212" s="77"/>
      <c r="G212" s="64"/>
      <c r="H212" s="64"/>
      <c r="I212" s="64"/>
      <c r="J212" s="64"/>
      <c r="K212" s="64"/>
      <c r="L212" s="64"/>
      <c r="M212" s="64"/>
      <c r="N212" s="64"/>
      <c r="O212" s="64"/>
      <c r="P212" s="64"/>
      <c r="Q212" s="64"/>
      <c r="R212" s="64"/>
      <c r="S212" s="64"/>
      <c r="T212" s="78">
        <f>T210-T211</f>
        <v>1.5200521677040425E-2</v>
      </c>
      <c r="U212" s="25"/>
      <c r="V212" s="25"/>
      <c r="W212" s="25"/>
      <c r="X212" s="5"/>
    </row>
    <row r="213" spans="1:24" ht="15.6" x14ac:dyDescent="0.3">
      <c r="A213" s="75"/>
      <c r="B213" s="76" t="s">
        <v>242</v>
      </c>
      <c r="C213" s="77"/>
      <c r="D213" s="77"/>
      <c r="E213" s="77"/>
      <c r="F213" s="77"/>
      <c r="G213" s="64"/>
      <c r="H213" s="64"/>
      <c r="I213" s="64"/>
      <c r="J213" s="64"/>
      <c r="K213" s="64"/>
      <c r="L213" s="64"/>
      <c r="M213" s="64"/>
      <c r="N213" s="64"/>
      <c r="O213" s="64"/>
      <c r="P213" s="64"/>
      <c r="Q213" s="64"/>
      <c r="R213" s="64"/>
      <c r="S213" s="64"/>
      <c r="T213" s="78">
        <f>V102/N72</f>
        <v>9.5784734860485856E-3</v>
      </c>
      <c r="U213" s="25"/>
      <c r="V213" s="25"/>
      <c r="W213" s="25"/>
      <c r="X213" s="5"/>
    </row>
    <row r="214" spans="1:24" ht="15.6" x14ac:dyDescent="0.3">
      <c r="A214" s="75"/>
      <c r="B214" s="76" t="s">
        <v>208</v>
      </c>
      <c r="C214" s="77"/>
      <c r="D214" s="77"/>
      <c r="E214" s="77"/>
      <c r="F214" s="77"/>
      <c r="G214" s="64"/>
      <c r="H214" s="64"/>
      <c r="I214" s="64"/>
      <c r="J214" s="64"/>
      <c r="K214" s="64"/>
      <c r="L214" s="64"/>
      <c r="M214" s="64"/>
      <c r="N214" s="64"/>
      <c r="O214" s="64"/>
      <c r="P214" s="64"/>
      <c r="Q214" s="64"/>
      <c r="R214" s="64"/>
      <c r="S214" s="64"/>
      <c r="T214" s="129">
        <v>51014</v>
      </c>
      <c r="U214" s="25"/>
      <c r="V214" s="25"/>
      <c r="W214" s="25"/>
      <c r="X214" s="5"/>
    </row>
    <row r="215" spans="1:24" ht="15.6" x14ac:dyDescent="0.3">
      <c r="A215" s="75"/>
      <c r="B215" s="76" t="s">
        <v>209</v>
      </c>
      <c r="C215" s="77"/>
      <c r="D215" s="77"/>
      <c r="E215" s="77"/>
      <c r="F215" s="77"/>
      <c r="G215" s="64"/>
      <c r="H215" s="64"/>
      <c r="I215" s="64"/>
      <c r="J215" s="64"/>
      <c r="K215" s="64"/>
      <c r="L215" s="64"/>
      <c r="M215" s="64"/>
      <c r="N215" s="64"/>
      <c r="O215" s="64"/>
      <c r="P215" s="64"/>
      <c r="Q215" s="64"/>
      <c r="R215" s="64"/>
      <c r="S215" s="64"/>
      <c r="T215" s="129">
        <v>51014</v>
      </c>
      <c r="U215" s="25"/>
      <c r="V215" s="25"/>
      <c r="W215" s="25"/>
      <c r="X215" s="5"/>
    </row>
    <row r="216" spans="1:24" ht="15.6" x14ac:dyDescent="0.3">
      <c r="A216" s="75"/>
      <c r="B216" s="76" t="s">
        <v>210</v>
      </c>
      <c r="C216" s="77"/>
      <c r="D216" s="77"/>
      <c r="E216" s="77"/>
      <c r="F216" s="77"/>
      <c r="G216" s="64"/>
      <c r="H216" s="64"/>
      <c r="I216" s="64"/>
      <c r="J216" s="64"/>
      <c r="K216" s="64"/>
      <c r="L216" s="64"/>
      <c r="M216" s="64"/>
      <c r="N216" s="64"/>
      <c r="O216" s="64"/>
      <c r="P216" s="64"/>
      <c r="Q216" s="64"/>
      <c r="R216" s="64"/>
      <c r="S216" s="64"/>
      <c r="T216" s="129">
        <v>51014</v>
      </c>
      <c r="U216" s="25"/>
      <c r="V216" s="25"/>
      <c r="W216" s="25"/>
      <c r="X216" s="5"/>
    </row>
    <row r="217" spans="1:24" ht="15.6" x14ac:dyDescent="0.3">
      <c r="A217" s="75"/>
      <c r="B217" s="76" t="s">
        <v>75</v>
      </c>
      <c r="C217" s="77"/>
      <c r="D217" s="77"/>
      <c r="E217" s="77"/>
      <c r="F217" s="77"/>
      <c r="G217" s="64"/>
      <c r="H217" s="64"/>
      <c r="I217" s="64"/>
      <c r="J217" s="64"/>
      <c r="K217" s="64"/>
      <c r="L217" s="64"/>
      <c r="M217" s="64"/>
      <c r="N217" s="64"/>
      <c r="O217" s="64"/>
      <c r="P217" s="64"/>
      <c r="Q217" s="64"/>
      <c r="R217" s="64"/>
      <c r="S217" s="64"/>
      <c r="T217" s="133">
        <v>20.66</v>
      </c>
      <c r="U217" s="25" t="s">
        <v>110</v>
      </c>
      <c r="V217" s="25"/>
      <c r="W217" s="25"/>
      <c r="X217" s="5"/>
    </row>
    <row r="218" spans="1:24" ht="15.6" x14ac:dyDescent="0.3">
      <c r="A218" s="75"/>
      <c r="B218" s="76" t="s">
        <v>76</v>
      </c>
      <c r="C218" s="77"/>
      <c r="D218" s="77"/>
      <c r="E218" s="77"/>
      <c r="F218" s="77"/>
      <c r="G218" s="64"/>
      <c r="H218" s="64"/>
      <c r="I218" s="64"/>
      <c r="J218" s="64"/>
      <c r="K218" s="64"/>
      <c r="L218" s="64"/>
      <c r="M218" s="64"/>
      <c r="N218" s="64"/>
      <c r="O218" s="64"/>
      <c r="P218" s="64"/>
      <c r="Q218" s="64"/>
      <c r="R218" s="64"/>
      <c r="S218" s="64"/>
      <c r="T218" s="133">
        <v>19.100000000000001</v>
      </c>
      <c r="U218" s="25" t="s">
        <v>110</v>
      </c>
      <c r="V218" s="25"/>
      <c r="W218" s="25"/>
      <c r="X218" s="5"/>
    </row>
    <row r="219" spans="1:24" ht="15.6" x14ac:dyDescent="0.3">
      <c r="A219" s="75"/>
      <c r="B219" s="76" t="s">
        <v>77</v>
      </c>
      <c r="C219" s="77"/>
      <c r="D219" s="77"/>
      <c r="E219" s="77"/>
      <c r="F219" s="77"/>
      <c r="G219" s="64"/>
      <c r="H219" s="64"/>
      <c r="I219" s="64"/>
      <c r="J219" s="64"/>
      <c r="K219" s="64"/>
      <c r="L219" s="64"/>
      <c r="M219" s="64"/>
      <c r="N219" s="64"/>
      <c r="O219" s="64"/>
      <c r="P219" s="64"/>
      <c r="Q219" s="64"/>
      <c r="R219" s="64"/>
      <c r="S219" s="64"/>
      <c r="T219" s="78">
        <f>+P69/N69</f>
        <v>1.0418431930209769E-2</v>
      </c>
      <c r="U219" s="25"/>
      <c r="V219" s="25"/>
      <c r="W219" s="25"/>
      <c r="X219" s="5"/>
    </row>
    <row r="220" spans="1:24" ht="15.6" x14ac:dyDescent="0.3">
      <c r="A220" s="75"/>
      <c r="B220" s="76" t="s">
        <v>78</v>
      </c>
      <c r="C220" s="77"/>
      <c r="D220" s="77"/>
      <c r="E220" s="77"/>
      <c r="F220" s="77"/>
      <c r="G220" s="64"/>
      <c r="H220" s="64"/>
      <c r="I220" s="64"/>
      <c r="J220" s="64"/>
      <c r="K220" s="64"/>
      <c r="L220" s="64"/>
      <c r="M220" s="64"/>
      <c r="N220" s="64"/>
      <c r="O220" s="64"/>
      <c r="P220" s="64"/>
      <c r="Q220" s="64"/>
      <c r="R220" s="64"/>
      <c r="S220" s="64"/>
      <c r="T220" s="78">
        <v>0.1016</v>
      </c>
      <c r="U220" s="25"/>
      <c r="V220" s="25"/>
      <c r="W220" s="25"/>
      <c r="X220" s="5"/>
    </row>
    <row r="221" spans="1:24" ht="15.6" x14ac:dyDescent="0.3">
      <c r="A221" s="75"/>
      <c r="B221" s="76"/>
      <c r="C221" s="76"/>
      <c r="D221" s="76"/>
      <c r="E221" s="76"/>
      <c r="F221" s="76"/>
      <c r="G221" s="25"/>
      <c r="H221" s="25"/>
      <c r="I221" s="25"/>
      <c r="J221" s="25"/>
      <c r="K221" s="25"/>
      <c r="L221" s="25"/>
      <c r="M221" s="25"/>
      <c r="N221" s="25"/>
      <c r="O221" s="25"/>
      <c r="P221" s="25"/>
      <c r="Q221" s="25"/>
      <c r="R221" s="25"/>
      <c r="S221" s="25"/>
      <c r="T221" s="61"/>
      <c r="U221" s="25"/>
      <c r="V221" s="79"/>
      <c r="W221" s="25"/>
      <c r="X221" s="5"/>
    </row>
    <row r="222" spans="1:24" ht="15.6" x14ac:dyDescent="0.3">
      <c r="A222" s="80"/>
      <c r="B222" s="14" t="s">
        <v>79</v>
      </c>
      <c r="C222" s="81"/>
      <c r="D222" s="81"/>
      <c r="E222" s="81"/>
      <c r="F222" s="82"/>
      <c r="G222" s="81"/>
      <c r="H222" s="17"/>
      <c r="I222" s="17"/>
      <c r="J222" s="17"/>
      <c r="K222" s="17"/>
      <c r="L222" s="17"/>
      <c r="M222" s="17"/>
      <c r="N222" s="17"/>
      <c r="O222" s="17"/>
      <c r="P222" s="17"/>
      <c r="Q222" s="17"/>
      <c r="R222" s="17"/>
      <c r="S222" s="17" t="s">
        <v>102</v>
      </c>
      <c r="T222" s="83" t="s">
        <v>108</v>
      </c>
      <c r="U222" s="8"/>
      <c r="V222" s="8"/>
      <c r="W222" s="8"/>
      <c r="X222" s="5"/>
    </row>
    <row r="223" spans="1:24" ht="15.6" x14ac:dyDescent="0.3">
      <c r="A223" s="84"/>
      <c r="B223" s="76" t="s">
        <v>80</v>
      </c>
      <c r="C223" s="54"/>
      <c r="D223" s="54"/>
      <c r="E223" s="54"/>
      <c r="F223" s="25"/>
      <c r="G223" s="25"/>
      <c r="H223" s="30"/>
      <c r="I223" s="30"/>
      <c r="J223" s="30"/>
      <c r="K223" s="30"/>
      <c r="L223" s="30"/>
      <c r="M223" s="30"/>
      <c r="N223" s="30"/>
      <c r="O223" s="30"/>
      <c r="P223" s="30"/>
      <c r="Q223" s="30"/>
      <c r="R223" s="30"/>
      <c r="S223" s="30">
        <v>3</v>
      </c>
      <c r="T223" s="85">
        <v>371</v>
      </c>
      <c r="U223" s="25"/>
      <c r="V223" s="79"/>
      <c r="W223" s="86"/>
      <c r="X223" s="5"/>
    </row>
    <row r="224" spans="1:24" ht="15.6" x14ac:dyDescent="0.3">
      <c r="A224" s="84"/>
      <c r="B224" s="76" t="s">
        <v>145</v>
      </c>
      <c r="C224" s="54"/>
      <c r="D224" s="54"/>
      <c r="E224" s="54"/>
      <c r="F224" s="25"/>
      <c r="G224" s="25"/>
      <c r="H224" s="30"/>
      <c r="I224" s="30"/>
      <c r="J224" s="30"/>
      <c r="K224" s="30"/>
      <c r="L224" s="30"/>
      <c r="M224" s="30"/>
      <c r="N224" s="30"/>
      <c r="O224" s="30"/>
      <c r="P224" s="30"/>
      <c r="Q224" s="30"/>
      <c r="R224" s="30"/>
      <c r="S224" s="150">
        <f>+R264</f>
        <v>202</v>
      </c>
      <c r="T224" s="85">
        <f>+T264</f>
        <v>30680</v>
      </c>
      <c r="U224" s="25"/>
      <c r="V224" s="79"/>
      <c r="W224" s="86"/>
      <c r="X224" s="5"/>
    </row>
    <row r="225" spans="1:24" ht="15.6" x14ac:dyDescent="0.3">
      <c r="A225" s="84"/>
      <c r="B225" s="76" t="s">
        <v>81</v>
      </c>
      <c r="C225" s="54"/>
      <c r="D225" s="54"/>
      <c r="E225" s="54"/>
      <c r="F225" s="25"/>
      <c r="G225" s="25"/>
      <c r="H225" s="30"/>
      <c r="I225" s="30"/>
      <c r="J225" s="30"/>
      <c r="K225" s="30"/>
      <c r="L225" s="30"/>
      <c r="M225" s="30"/>
      <c r="N225" s="30"/>
      <c r="O225" s="30"/>
      <c r="P225" s="30"/>
      <c r="Q225" s="30"/>
      <c r="R225" s="30"/>
      <c r="S225" s="150">
        <f>+R276</f>
        <v>1</v>
      </c>
      <c r="T225" s="85">
        <f>+T276</f>
        <v>385</v>
      </c>
      <c r="U225" s="25"/>
      <c r="V225" s="79"/>
      <c r="W225" s="86"/>
      <c r="X225" s="5"/>
    </row>
    <row r="226" spans="1:24" ht="15.6" x14ac:dyDescent="0.3">
      <c r="A226" s="84"/>
      <c r="B226" s="122" t="s">
        <v>82</v>
      </c>
      <c r="C226" s="54"/>
      <c r="D226" s="54"/>
      <c r="E226" s="54"/>
      <c r="F226" s="25"/>
      <c r="G226" s="25"/>
      <c r="H226" s="25"/>
      <c r="I226" s="25"/>
      <c r="J226" s="25"/>
      <c r="K226" s="25"/>
      <c r="L226" s="25"/>
      <c r="M226" s="25"/>
      <c r="N226" s="25"/>
      <c r="O226" s="25"/>
      <c r="P226" s="25"/>
      <c r="Q226" s="25"/>
      <c r="R226" s="25"/>
      <c r="S226" s="25"/>
      <c r="T226" s="85">
        <v>0</v>
      </c>
      <c r="U226" s="25"/>
      <c r="V226" s="79"/>
      <c r="W226" s="86"/>
      <c r="X226" s="5"/>
    </row>
    <row r="227" spans="1:24" ht="15.6" x14ac:dyDescent="0.3">
      <c r="A227" s="84"/>
      <c r="B227" s="122" t="s">
        <v>243</v>
      </c>
      <c r="C227" s="54"/>
      <c r="D227" s="54"/>
      <c r="E227" s="54"/>
      <c r="F227" s="25"/>
      <c r="G227" s="25"/>
      <c r="H227" s="25"/>
      <c r="I227" s="25"/>
      <c r="J227" s="25"/>
      <c r="K227" s="25"/>
      <c r="L227" s="25"/>
      <c r="M227" s="25"/>
      <c r="N227" s="25"/>
      <c r="O227" s="25"/>
      <c r="P227" s="25"/>
      <c r="Q227" s="25"/>
      <c r="R227" s="25"/>
      <c r="S227" s="25"/>
      <c r="T227" s="85">
        <f>+N82</f>
        <v>0</v>
      </c>
      <c r="U227" s="25"/>
      <c r="V227" s="79"/>
      <c r="W227" s="86"/>
      <c r="X227" s="5"/>
    </row>
    <row r="228" spans="1:24" ht="15.6" x14ac:dyDescent="0.3">
      <c r="A228" s="87"/>
      <c r="B228" s="122" t="s">
        <v>83</v>
      </c>
      <c r="C228" s="76"/>
      <c r="D228" s="76"/>
      <c r="E228" s="76"/>
      <c r="F228" s="76"/>
      <c r="G228" s="25"/>
      <c r="H228" s="25"/>
      <c r="I228" s="25"/>
      <c r="J228" s="25"/>
      <c r="K228" s="25"/>
      <c r="L228" s="25"/>
      <c r="M228" s="25"/>
      <c r="N228" s="25"/>
      <c r="O228" s="25"/>
      <c r="P228" s="25"/>
      <c r="Q228" s="25"/>
      <c r="R228" s="25"/>
      <c r="S228" s="25"/>
      <c r="T228" s="85"/>
      <c r="U228" s="25"/>
      <c r="V228" s="79"/>
      <c r="W228" s="88"/>
      <c r="X228" s="5"/>
    </row>
    <row r="229" spans="1:24" ht="15.6" x14ac:dyDescent="0.3">
      <c r="A229" s="87"/>
      <c r="B229" s="131" t="s">
        <v>84</v>
      </c>
      <c r="C229" s="76"/>
      <c r="D229" s="76"/>
      <c r="E229" s="76"/>
      <c r="F229" s="76"/>
      <c r="G229" s="25"/>
      <c r="H229" s="25"/>
      <c r="I229" s="25"/>
      <c r="J229" s="25"/>
      <c r="K229" s="25"/>
      <c r="L229" s="25"/>
      <c r="M229" s="25"/>
      <c r="N229" s="25"/>
      <c r="O229" s="25"/>
      <c r="P229" s="25"/>
      <c r="Q229" s="25"/>
      <c r="R229" s="25"/>
      <c r="S229" s="30"/>
      <c r="T229" s="85">
        <f>V168</f>
        <v>208</v>
      </c>
      <c r="U229" s="25"/>
      <c r="V229" s="79"/>
      <c r="W229" s="88"/>
      <c r="X229" s="5"/>
    </row>
    <row r="230" spans="1:24" ht="15.6" x14ac:dyDescent="0.3">
      <c r="A230" s="84"/>
      <c r="B230" s="76" t="s">
        <v>85</v>
      </c>
      <c r="C230" s="54"/>
      <c r="D230" s="54"/>
      <c r="E230" s="54"/>
      <c r="F230" s="54"/>
      <c r="G230" s="25"/>
      <c r="H230" s="25"/>
      <c r="I230" s="25"/>
      <c r="J230" s="25"/>
      <c r="K230" s="25"/>
      <c r="L230" s="25"/>
      <c r="M230" s="25"/>
      <c r="N230" s="25"/>
      <c r="O230" s="25"/>
      <c r="P230" s="25"/>
      <c r="Q230" s="25"/>
      <c r="R230" s="25"/>
      <c r="S230" s="30"/>
      <c r="T230" s="85">
        <f>'Feb 09'!T230+T229</f>
        <v>608</v>
      </c>
      <c r="U230" s="25"/>
      <c r="V230" s="79"/>
      <c r="W230" s="88"/>
      <c r="X230" s="5"/>
    </row>
    <row r="231" spans="1:24" ht="15.6" x14ac:dyDescent="0.3">
      <c r="A231" s="87"/>
      <c r="B231" s="122" t="s">
        <v>295</v>
      </c>
      <c r="C231" s="76"/>
      <c r="D231" s="76"/>
      <c r="E231" s="76"/>
      <c r="F231" s="76"/>
      <c r="G231" s="25"/>
      <c r="H231" s="25"/>
      <c r="I231" s="25"/>
      <c r="J231" s="25"/>
      <c r="K231" s="25"/>
      <c r="L231" s="25"/>
      <c r="M231" s="25"/>
      <c r="N231" s="25"/>
      <c r="O231" s="25"/>
      <c r="P231" s="25"/>
      <c r="Q231" s="25"/>
      <c r="R231" s="25"/>
      <c r="S231" s="30"/>
      <c r="T231" s="85"/>
      <c r="U231" s="25"/>
      <c r="V231" s="79"/>
      <c r="W231" s="88"/>
      <c r="X231" s="5"/>
    </row>
    <row r="232" spans="1:24" ht="15.6" x14ac:dyDescent="0.3">
      <c r="A232" s="87"/>
      <c r="B232" s="76" t="s">
        <v>291</v>
      </c>
      <c r="C232" s="76"/>
      <c r="D232" s="76"/>
      <c r="E232" s="76"/>
      <c r="F232" s="76"/>
      <c r="G232" s="25"/>
      <c r="H232" s="25"/>
      <c r="I232" s="25"/>
      <c r="J232" s="25"/>
      <c r="K232" s="25"/>
      <c r="L232" s="25"/>
      <c r="M232" s="25"/>
      <c r="N232" s="25"/>
      <c r="O232" s="25"/>
      <c r="P232" s="25"/>
      <c r="Q232" s="25"/>
      <c r="R232" s="25"/>
      <c r="S232" s="30">
        <v>0</v>
      </c>
      <c r="T232" s="85">
        <v>0</v>
      </c>
      <c r="U232" s="25"/>
      <c r="V232" s="79"/>
      <c r="W232" s="88"/>
      <c r="X232" s="5"/>
    </row>
    <row r="233" spans="1:24" ht="15.6" x14ac:dyDescent="0.3">
      <c r="A233" s="84"/>
      <c r="B233" s="76" t="s">
        <v>86</v>
      </c>
      <c r="C233" s="89"/>
      <c r="D233" s="89"/>
      <c r="E233" s="89"/>
      <c r="F233" s="90"/>
      <c r="G233" s="25"/>
      <c r="H233" s="25"/>
      <c r="I233" s="25"/>
      <c r="J233" s="25"/>
      <c r="K233" s="25"/>
      <c r="L233" s="25"/>
      <c r="M233" s="25"/>
      <c r="N233" s="25"/>
      <c r="O233" s="25"/>
      <c r="P233" s="25"/>
      <c r="Q233" s="25"/>
      <c r="R233" s="25"/>
      <c r="S233" s="25"/>
      <c r="T233" s="62">
        <v>0</v>
      </c>
      <c r="U233" s="25"/>
      <c r="V233" s="79"/>
      <c r="W233" s="88"/>
      <c r="X233" s="5"/>
    </row>
    <row r="234" spans="1:24" ht="15.6" x14ac:dyDescent="0.3">
      <c r="A234" s="84"/>
      <c r="B234" s="76" t="s">
        <v>87</v>
      </c>
      <c r="C234" s="89"/>
      <c r="D234" s="89"/>
      <c r="E234" s="89"/>
      <c r="F234" s="90"/>
      <c r="G234" s="25"/>
      <c r="H234" s="25"/>
      <c r="I234" s="25"/>
      <c r="J234" s="25"/>
      <c r="K234" s="25"/>
      <c r="L234" s="25"/>
      <c r="M234" s="25"/>
      <c r="N234" s="25"/>
      <c r="O234" s="25"/>
      <c r="P234" s="25"/>
      <c r="Q234" s="25"/>
      <c r="R234" s="25"/>
      <c r="S234" s="25"/>
      <c r="T234" s="62">
        <v>0</v>
      </c>
      <c r="U234" s="25"/>
      <c r="V234" s="79"/>
      <c r="W234" s="88"/>
      <c r="X234" s="5"/>
    </row>
    <row r="235" spans="1:24" ht="15.6" x14ac:dyDescent="0.3">
      <c r="A235" s="84"/>
      <c r="B235" s="122" t="s">
        <v>217</v>
      </c>
      <c r="C235" s="89"/>
      <c r="D235" s="89"/>
      <c r="E235" s="89"/>
      <c r="F235" s="90"/>
      <c r="G235" s="25"/>
      <c r="H235" s="25"/>
      <c r="I235" s="25"/>
      <c r="J235" s="25"/>
      <c r="K235" s="25"/>
      <c r="L235" s="25"/>
      <c r="M235" s="25"/>
      <c r="N235" s="25"/>
      <c r="O235" s="25"/>
      <c r="P235" s="25"/>
      <c r="Q235" s="25"/>
      <c r="R235" s="25"/>
      <c r="S235" s="25"/>
      <c r="T235" s="91"/>
      <c r="U235" s="25"/>
      <c r="V235" s="79"/>
      <c r="W235" s="88"/>
      <c r="X235" s="5"/>
    </row>
    <row r="236" spans="1:24" ht="15.6" x14ac:dyDescent="0.3">
      <c r="A236" s="84"/>
      <c r="B236" s="76" t="s">
        <v>291</v>
      </c>
      <c r="C236" s="89"/>
      <c r="D236" s="89"/>
      <c r="E236" s="89"/>
      <c r="F236" s="90"/>
      <c r="G236" s="25"/>
      <c r="H236" s="25"/>
      <c r="I236" s="25"/>
      <c r="J236" s="25"/>
      <c r="K236" s="25"/>
      <c r="L236" s="25"/>
      <c r="M236" s="25"/>
      <c r="N236" s="25"/>
      <c r="O236" s="25"/>
      <c r="P236" s="25"/>
      <c r="Q236" s="25"/>
      <c r="R236" s="25"/>
      <c r="S236" s="30">
        <v>4</v>
      </c>
      <c r="T236" s="85">
        <v>499</v>
      </c>
      <c r="U236" s="25"/>
      <c r="V236" s="79"/>
      <c r="W236" s="88"/>
      <c r="X236" s="5"/>
    </row>
    <row r="237" spans="1:24" ht="15.6" x14ac:dyDescent="0.3">
      <c r="A237" s="84"/>
      <c r="B237" s="76" t="s">
        <v>218</v>
      </c>
      <c r="C237" s="89"/>
      <c r="D237" s="89"/>
      <c r="E237" s="89"/>
      <c r="F237" s="90"/>
      <c r="G237" s="25"/>
      <c r="H237" s="25"/>
      <c r="I237" s="25"/>
      <c r="J237" s="25"/>
      <c r="K237" s="25"/>
      <c r="L237" s="25"/>
      <c r="M237" s="25"/>
      <c r="N237" s="25"/>
      <c r="O237" s="25"/>
      <c r="P237" s="25"/>
      <c r="Q237" s="25"/>
      <c r="R237" s="25"/>
      <c r="S237" s="25"/>
      <c r="T237" s="62">
        <v>33.35</v>
      </c>
      <c r="U237" s="25"/>
      <c r="V237" s="79"/>
      <c r="W237" s="88"/>
      <c r="X237" s="5"/>
    </row>
    <row r="238" spans="1:24" ht="15.6" x14ac:dyDescent="0.3">
      <c r="A238" s="84"/>
      <c r="B238" s="76"/>
      <c r="C238" s="89"/>
      <c r="D238" s="89"/>
      <c r="E238" s="89"/>
      <c r="F238" s="90"/>
      <c r="G238" s="25"/>
      <c r="H238" s="25"/>
      <c r="I238" s="25"/>
      <c r="J238" s="25"/>
      <c r="K238" s="25"/>
      <c r="L238" s="25"/>
      <c r="M238" s="25"/>
      <c r="N238" s="25"/>
      <c r="O238" s="25"/>
      <c r="P238" s="25"/>
      <c r="Q238" s="25"/>
      <c r="R238" s="25"/>
      <c r="S238" s="25"/>
      <c r="T238" s="91"/>
      <c r="U238" s="25"/>
      <c r="V238" s="79"/>
      <c r="W238" s="88"/>
      <c r="X238" s="5"/>
    </row>
    <row r="239" spans="1:24" ht="15.6" x14ac:dyDescent="0.3">
      <c r="A239" s="84"/>
      <c r="B239" s="76"/>
      <c r="C239" s="89"/>
      <c r="D239" s="89"/>
      <c r="E239" s="89"/>
      <c r="F239" s="90"/>
      <c r="G239" s="25"/>
      <c r="H239" s="25"/>
      <c r="I239" s="25"/>
      <c r="J239" s="25"/>
      <c r="K239" s="25"/>
      <c r="L239" s="25"/>
      <c r="M239" s="25"/>
      <c r="N239" s="25"/>
      <c r="O239" s="25"/>
      <c r="P239" s="25"/>
      <c r="Q239" s="25"/>
      <c r="R239" s="25"/>
      <c r="S239" s="25"/>
      <c r="T239" s="91"/>
      <c r="U239" s="25"/>
      <c r="V239" s="79"/>
      <c r="W239" s="88"/>
      <c r="X239" s="5"/>
    </row>
    <row r="240" spans="1:24" ht="17.399999999999999" x14ac:dyDescent="0.3">
      <c r="A240" s="84"/>
      <c r="B240" s="147" t="s">
        <v>168</v>
      </c>
      <c r="C240" s="89"/>
      <c r="D240" s="89"/>
      <c r="E240" s="89"/>
      <c r="F240" s="90"/>
      <c r="G240" s="25"/>
      <c r="H240" s="25"/>
      <c r="I240" s="25"/>
      <c r="J240" s="25"/>
      <c r="K240" s="25"/>
      <c r="L240" s="25"/>
      <c r="M240" s="25"/>
      <c r="N240" s="25"/>
      <c r="O240" s="25"/>
      <c r="P240" s="148" t="s">
        <v>167</v>
      </c>
      <c r="Q240" s="25"/>
      <c r="R240" s="25"/>
      <c r="S240" s="25"/>
      <c r="T240" s="91"/>
      <c r="U240" s="25"/>
      <c r="V240" s="79"/>
      <c r="W240" s="88"/>
      <c r="X240" s="5"/>
    </row>
    <row r="241" spans="1:25" ht="15.6" x14ac:dyDescent="0.3">
      <c r="A241" s="84"/>
      <c r="B241" s="76"/>
      <c r="C241" s="89"/>
      <c r="D241" s="89"/>
      <c r="E241" s="89"/>
      <c r="F241" s="90"/>
      <c r="G241" s="25"/>
      <c r="H241" s="25"/>
      <c r="I241" s="25"/>
      <c r="J241" s="25"/>
      <c r="K241" s="25"/>
      <c r="L241" s="25"/>
      <c r="M241" s="25"/>
      <c r="N241" s="25"/>
      <c r="O241" s="25"/>
      <c r="P241" s="25"/>
      <c r="Q241" s="25"/>
      <c r="R241" s="25"/>
      <c r="S241" s="25"/>
      <c r="T241" s="91"/>
      <c r="U241" s="25"/>
      <c r="V241" s="79"/>
      <c r="W241" s="88"/>
      <c r="X241" s="5"/>
    </row>
    <row r="242" spans="1:25" ht="15.6" x14ac:dyDescent="0.3">
      <c r="A242" s="6"/>
      <c r="B242" s="14" t="s">
        <v>162</v>
      </c>
      <c r="C242" s="81"/>
      <c r="D242" s="81"/>
      <c r="E242" s="81"/>
      <c r="F242" s="82"/>
      <c r="G242" s="81"/>
      <c r="H242" s="17"/>
      <c r="I242" s="17"/>
      <c r="J242" s="17"/>
      <c r="K242" s="17"/>
      <c r="L242" s="17"/>
      <c r="M242" s="17"/>
      <c r="N242" s="17"/>
      <c r="O242" s="17"/>
      <c r="P242" s="17"/>
      <c r="Q242" s="17"/>
      <c r="R242" s="83" t="s">
        <v>102</v>
      </c>
      <c r="S242" s="17" t="s">
        <v>103</v>
      </c>
      <c r="T242" s="83" t="s">
        <v>109</v>
      </c>
      <c r="U242" s="17" t="s">
        <v>103</v>
      </c>
      <c r="V242" s="8"/>
      <c r="W242" s="92"/>
      <c r="X242" s="5"/>
    </row>
    <row r="243" spans="1:25" ht="15.6" x14ac:dyDescent="0.3">
      <c r="A243" s="24"/>
      <c r="B243" s="54" t="s">
        <v>88</v>
      </c>
      <c r="C243" s="93"/>
      <c r="D243" s="93"/>
      <c r="E243" s="93"/>
      <c r="F243" s="25"/>
      <c r="G243" s="93"/>
      <c r="H243" s="93"/>
      <c r="I243" s="93"/>
      <c r="J243" s="93"/>
      <c r="K243" s="93"/>
      <c r="L243" s="93"/>
      <c r="M243" s="93"/>
      <c r="N243" s="93"/>
      <c r="O243" s="93"/>
      <c r="P243" s="93"/>
      <c r="Q243" s="93"/>
      <c r="R243" s="54">
        <v>8135</v>
      </c>
      <c r="S243" s="94">
        <f t="shared" ref="S243:S250" si="1">R243/$R$252</f>
        <v>0.98689797403857815</v>
      </c>
      <c r="T243" s="53">
        <v>1157366</v>
      </c>
      <c r="U243" s="132">
        <f t="shared" ref="U243:U250" si="2">T243/$T$252</f>
        <v>0.98186124757899707</v>
      </c>
      <c r="V243" s="79"/>
      <c r="W243" s="88"/>
      <c r="X243" s="5"/>
    </row>
    <row r="244" spans="1:25" ht="15.6" x14ac:dyDescent="0.3">
      <c r="A244" s="24"/>
      <c r="B244" s="54" t="s">
        <v>89</v>
      </c>
      <c r="C244" s="93"/>
      <c r="D244" s="93"/>
      <c r="E244" s="93"/>
      <c r="F244" s="25"/>
      <c r="G244" s="94"/>
      <c r="H244" s="93"/>
      <c r="I244" s="93"/>
      <c r="J244" s="93"/>
      <c r="K244" s="93"/>
      <c r="L244" s="93"/>
      <c r="M244" s="93"/>
      <c r="N244" s="93"/>
      <c r="O244" s="93"/>
      <c r="P244" s="93"/>
      <c r="Q244" s="93"/>
      <c r="R244" s="54">
        <v>70</v>
      </c>
      <c r="S244" s="94">
        <f t="shared" si="1"/>
        <v>8.4920538638845085E-3</v>
      </c>
      <c r="T244" s="53">
        <v>12581</v>
      </c>
      <c r="U244" s="132">
        <f t="shared" si="2"/>
        <v>1.0673197895731654E-2</v>
      </c>
      <c r="V244" s="79"/>
      <c r="W244" s="88"/>
      <c r="X244" s="5"/>
      <c r="Y244" s="109"/>
    </row>
    <row r="245" spans="1:25" ht="15.6" x14ac:dyDescent="0.3">
      <c r="A245" s="24"/>
      <c r="B245" s="54" t="s">
        <v>90</v>
      </c>
      <c r="C245" s="93"/>
      <c r="D245" s="93"/>
      <c r="E245" s="93"/>
      <c r="F245" s="25"/>
      <c r="G245" s="94"/>
      <c r="H245" s="93"/>
      <c r="I245" s="93"/>
      <c r="J245" s="93"/>
      <c r="K245" s="93"/>
      <c r="L245" s="93"/>
      <c r="M245" s="93"/>
      <c r="N245" s="93"/>
      <c r="O245" s="93"/>
      <c r="P245" s="93"/>
      <c r="Q245" s="93"/>
      <c r="R245" s="54">
        <v>17</v>
      </c>
      <c r="S245" s="94">
        <f t="shared" si="1"/>
        <v>2.0623559383719518E-3</v>
      </c>
      <c r="T245" s="53">
        <v>3896</v>
      </c>
      <c r="U245" s="132">
        <f t="shared" si="2"/>
        <v>3.3052045943701234E-3</v>
      </c>
      <c r="V245" s="79"/>
      <c r="W245" s="88"/>
      <c r="X245" s="5"/>
    </row>
    <row r="246" spans="1:25" ht="15.6" x14ac:dyDescent="0.3">
      <c r="A246" s="24"/>
      <c r="B246" s="54" t="s">
        <v>156</v>
      </c>
      <c r="C246" s="93"/>
      <c r="D246" s="93"/>
      <c r="E246" s="93"/>
      <c r="F246" s="25"/>
      <c r="G246" s="94"/>
      <c r="H246" s="93"/>
      <c r="I246" s="93"/>
      <c r="J246" s="93"/>
      <c r="K246" s="93"/>
      <c r="L246" s="93"/>
      <c r="M246" s="93"/>
      <c r="N246" s="93"/>
      <c r="O246" s="93"/>
      <c r="P246" s="93"/>
      <c r="Q246" s="93"/>
      <c r="R246" s="54">
        <v>6</v>
      </c>
      <c r="S246" s="94">
        <f t="shared" si="1"/>
        <v>7.2789033119010065E-4</v>
      </c>
      <c r="T246" s="53">
        <v>1743</v>
      </c>
      <c r="U246" s="132">
        <f t="shared" si="2"/>
        <v>1.4786888110849912E-3</v>
      </c>
      <c r="V246" s="79"/>
      <c r="W246" s="88"/>
      <c r="X246" s="5"/>
      <c r="Y246" s="109"/>
    </row>
    <row r="247" spans="1:25" ht="15.6" x14ac:dyDescent="0.3">
      <c r="A247" s="24"/>
      <c r="B247" s="54" t="s">
        <v>157</v>
      </c>
      <c r="C247" s="93"/>
      <c r="D247" s="93"/>
      <c r="E247" s="93"/>
      <c r="F247" s="25"/>
      <c r="G247" s="94"/>
      <c r="H247" s="93"/>
      <c r="I247" s="93"/>
      <c r="J247" s="93"/>
      <c r="K247" s="93"/>
      <c r="L247" s="93"/>
      <c r="M247" s="93"/>
      <c r="N247" s="93"/>
      <c r="O247" s="93"/>
      <c r="P247" s="93"/>
      <c r="Q247" s="93"/>
      <c r="R247" s="54">
        <v>2</v>
      </c>
      <c r="S247" s="94">
        <f t="shared" si="1"/>
        <v>2.4263011039670022E-4</v>
      </c>
      <c r="T247" s="53">
        <v>294</v>
      </c>
      <c r="U247" s="132">
        <f t="shared" si="2"/>
        <v>2.4941738982156477E-4</v>
      </c>
      <c r="V247" s="79"/>
      <c r="W247" s="88"/>
      <c r="X247" s="5"/>
    </row>
    <row r="248" spans="1:25" ht="15.6" x14ac:dyDescent="0.3">
      <c r="A248" s="24"/>
      <c r="B248" s="54" t="s">
        <v>158</v>
      </c>
      <c r="C248" s="93"/>
      <c r="D248" s="93"/>
      <c r="E248" s="93"/>
      <c r="F248" s="25"/>
      <c r="G248" s="94"/>
      <c r="H248" s="93"/>
      <c r="I248" s="93"/>
      <c r="J248" s="93"/>
      <c r="K248" s="93"/>
      <c r="L248" s="93"/>
      <c r="M248" s="93"/>
      <c r="N248" s="93"/>
      <c r="O248" s="93"/>
      <c r="P248" s="93"/>
      <c r="Q248" s="93"/>
      <c r="R248" s="54">
        <v>1</v>
      </c>
      <c r="S248" s="94">
        <f t="shared" si="1"/>
        <v>1.2131505519835011E-4</v>
      </c>
      <c r="T248" s="53">
        <v>117</v>
      </c>
      <c r="U248" s="132">
        <f t="shared" si="2"/>
        <v>9.9257940847357408E-5</v>
      </c>
      <c r="V248" s="79"/>
      <c r="W248" s="88"/>
      <c r="X248" s="5"/>
      <c r="Y248" s="109"/>
    </row>
    <row r="249" spans="1:25" ht="15.6" x14ac:dyDescent="0.3">
      <c r="A249" s="24"/>
      <c r="B249" s="54" t="s">
        <v>159</v>
      </c>
      <c r="C249" s="93"/>
      <c r="D249" s="93"/>
      <c r="E249" s="93"/>
      <c r="F249" s="25"/>
      <c r="G249" s="94"/>
      <c r="H249" s="93"/>
      <c r="I249" s="93"/>
      <c r="J249" s="93"/>
      <c r="K249" s="93"/>
      <c r="L249" s="93"/>
      <c r="M249" s="93"/>
      <c r="N249" s="93"/>
      <c r="O249" s="93"/>
      <c r="P249" s="93"/>
      <c r="Q249" s="93"/>
      <c r="R249" s="54">
        <v>5</v>
      </c>
      <c r="S249" s="94">
        <f t="shared" si="1"/>
        <v>6.0657527599175054E-4</v>
      </c>
      <c r="T249" s="53">
        <v>1530</v>
      </c>
      <c r="U249" s="132">
        <f t="shared" si="2"/>
        <v>1.2979884572346739E-3</v>
      </c>
      <c r="V249" s="79"/>
      <c r="W249" s="88"/>
      <c r="X249" s="5"/>
    </row>
    <row r="250" spans="1:25" ht="15.6" x14ac:dyDescent="0.3">
      <c r="A250" s="24"/>
      <c r="B250" s="54" t="s">
        <v>160</v>
      </c>
      <c r="C250" s="93"/>
      <c r="D250" s="93"/>
      <c r="E250" s="93"/>
      <c r="F250" s="25"/>
      <c r="G250" s="94"/>
      <c r="H250" s="93"/>
      <c r="I250" s="93"/>
      <c r="J250" s="93"/>
      <c r="K250" s="93"/>
      <c r="L250" s="93"/>
      <c r="M250" s="93"/>
      <c r="N250" s="93"/>
      <c r="O250" s="93"/>
      <c r="P250" s="93"/>
      <c r="Q250" s="93"/>
      <c r="R250" s="54">
        <v>7</v>
      </c>
      <c r="S250" s="94">
        <f t="shared" si="1"/>
        <v>8.4920538638845076E-4</v>
      </c>
      <c r="T250" s="53">
        <v>1220</v>
      </c>
      <c r="U250" s="132">
        <f t="shared" si="2"/>
        <v>1.0349973319126156E-3</v>
      </c>
      <c r="V250" s="79"/>
      <c r="W250" s="88"/>
      <c r="X250" s="5"/>
      <c r="Y250" s="109"/>
    </row>
    <row r="251" spans="1:25" ht="15.6" x14ac:dyDescent="0.3">
      <c r="A251" s="24"/>
      <c r="B251" s="54"/>
      <c r="C251" s="93"/>
      <c r="D251" s="93"/>
      <c r="E251" s="93"/>
      <c r="F251" s="25"/>
      <c r="G251" s="94"/>
      <c r="H251" s="93"/>
      <c r="I251" s="93"/>
      <c r="J251" s="93"/>
      <c r="K251" s="93"/>
      <c r="L251" s="93"/>
      <c r="M251" s="93"/>
      <c r="N251" s="93"/>
      <c r="O251" s="93"/>
      <c r="P251" s="93"/>
      <c r="Q251" s="93"/>
      <c r="R251" s="54"/>
      <c r="S251" s="94"/>
      <c r="T251" s="53"/>
      <c r="U251" s="132"/>
      <c r="V251" s="79"/>
      <c r="W251" s="88"/>
      <c r="X251" s="5"/>
    </row>
    <row r="252" spans="1:25" ht="15.6" x14ac:dyDescent="0.3">
      <c r="A252" s="24"/>
      <c r="B252" s="25"/>
      <c r="C252" s="25"/>
      <c r="D252" s="25"/>
      <c r="E252" s="25"/>
      <c r="F252" s="25"/>
      <c r="G252" s="25"/>
      <c r="H252" s="95"/>
      <c r="I252" s="95"/>
      <c r="J252" s="95"/>
      <c r="K252" s="95"/>
      <c r="L252" s="95"/>
      <c r="M252" s="95"/>
      <c r="N252" s="95"/>
      <c r="O252" s="95"/>
      <c r="P252" s="95"/>
      <c r="Q252" s="95"/>
      <c r="R252" s="34">
        <f>SUM(R243:R251)</f>
        <v>8243</v>
      </c>
      <c r="S252" s="132">
        <f>SUM(S243:S251)</f>
        <v>1</v>
      </c>
      <c r="T252" s="53">
        <f>SUM(T243:T251)</f>
        <v>1178747</v>
      </c>
      <c r="U252" s="132">
        <f>SUM(U243:U251)</f>
        <v>1</v>
      </c>
      <c r="V252" s="25"/>
      <c r="W252" s="25"/>
      <c r="X252" s="5"/>
    </row>
    <row r="253" spans="1:25" ht="15.6" x14ac:dyDescent="0.3">
      <c r="A253" s="24"/>
      <c r="B253" s="25"/>
      <c r="C253" s="25"/>
      <c r="D253" s="25"/>
      <c r="E253" s="25"/>
      <c r="F253" s="25"/>
      <c r="G253" s="25"/>
      <c r="H253" s="95"/>
      <c r="I253" s="95"/>
      <c r="J253" s="95"/>
      <c r="K253" s="95"/>
      <c r="L253" s="95"/>
      <c r="M253" s="95"/>
      <c r="N253" s="95"/>
      <c r="O253" s="95"/>
      <c r="P253" s="95"/>
      <c r="Q253" s="95"/>
      <c r="R253" s="34"/>
      <c r="S253" s="132"/>
      <c r="T253" s="53"/>
      <c r="U253" s="132"/>
      <c r="V253" s="25"/>
      <c r="W253" s="25"/>
      <c r="X253" s="5"/>
    </row>
    <row r="254" spans="1:25" ht="15.6" x14ac:dyDescent="0.3">
      <c r="A254" s="139"/>
      <c r="B254" s="14" t="s">
        <v>275</v>
      </c>
      <c r="C254" s="81"/>
      <c r="D254" s="81"/>
      <c r="E254" s="81"/>
      <c r="F254" s="82"/>
      <c r="G254" s="81"/>
      <c r="H254" s="17"/>
      <c r="I254" s="17"/>
      <c r="J254" s="17"/>
      <c r="K254" s="17"/>
      <c r="L254" s="17"/>
      <c r="M254" s="17"/>
      <c r="N254" s="17"/>
      <c r="O254" s="17"/>
      <c r="P254" s="17"/>
      <c r="Q254" s="17"/>
      <c r="R254" s="83" t="s">
        <v>102</v>
      </c>
      <c r="S254" s="17" t="s">
        <v>103</v>
      </c>
      <c r="T254" s="83" t="s">
        <v>109</v>
      </c>
      <c r="U254" s="17" t="s">
        <v>103</v>
      </c>
      <c r="V254" s="137"/>
      <c r="W254" s="138"/>
      <c r="X254" s="5"/>
    </row>
    <row r="255" spans="1:25" ht="15.6" x14ac:dyDescent="0.3">
      <c r="A255" s="24"/>
      <c r="B255" s="54" t="s">
        <v>88</v>
      </c>
      <c r="C255" s="93"/>
      <c r="D255" s="93"/>
      <c r="E255" s="93"/>
      <c r="F255" s="25"/>
      <c r="G255" s="93"/>
      <c r="H255" s="93"/>
      <c r="I255" s="93"/>
      <c r="J255" s="93"/>
      <c r="K255" s="93"/>
      <c r="L255" s="93"/>
      <c r="M255" s="93"/>
      <c r="N255" s="93"/>
      <c r="O255" s="93"/>
      <c r="P255" s="93"/>
      <c r="Q255" s="93"/>
      <c r="R255" s="54">
        <v>53</v>
      </c>
      <c r="S255" s="94">
        <f t="shared" ref="S255:S262" si="3">R255/$R$264</f>
        <v>0.26237623762376239</v>
      </c>
      <c r="T255" s="53">
        <v>6032</v>
      </c>
      <c r="U255" s="132">
        <f t="shared" ref="U255:U262" si="4">T255/$T$264</f>
        <v>0.19661016949152543</v>
      </c>
      <c r="V255" s="25"/>
      <c r="W255" s="25"/>
      <c r="X255" s="5"/>
    </row>
    <row r="256" spans="1:25" ht="15.6" x14ac:dyDescent="0.3">
      <c r="A256" s="24"/>
      <c r="B256" s="54" t="s">
        <v>89</v>
      </c>
      <c r="C256" s="93"/>
      <c r="D256" s="93"/>
      <c r="E256" s="93"/>
      <c r="F256" s="25"/>
      <c r="G256" s="94"/>
      <c r="H256" s="93"/>
      <c r="I256" s="93"/>
      <c r="J256" s="93"/>
      <c r="K256" s="93"/>
      <c r="L256" s="93"/>
      <c r="M256" s="93"/>
      <c r="N256" s="93"/>
      <c r="O256" s="93"/>
      <c r="P256" s="93"/>
      <c r="Q256" s="93"/>
      <c r="R256" s="54">
        <v>27</v>
      </c>
      <c r="S256" s="94">
        <f t="shared" si="3"/>
        <v>0.13366336633663367</v>
      </c>
      <c r="T256" s="53">
        <v>3358</v>
      </c>
      <c r="U256" s="132">
        <f t="shared" si="4"/>
        <v>0.10945241199478488</v>
      </c>
      <c r="V256" s="25"/>
      <c r="W256" s="25"/>
      <c r="X256" s="5"/>
    </row>
    <row r="257" spans="1:24" ht="15.6" x14ac:dyDescent="0.3">
      <c r="A257" s="24"/>
      <c r="B257" s="54" t="s">
        <v>90</v>
      </c>
      <c r="C257" s="93"/>
      <c r="D257" s="93"/>
      <c r="E257" s="93"/>
      <c r="F257" s="25"/>
      <c r="G257" s="94"/>
      <c r="H257" s="93"/>
      <c r="I257" s="93"/>
      <c r="J257" s="93"/>
      <c r="K257" s="93"/>
      <c r="L257" s="93"/>
      <c r="M257" s="93"/>
      <c r="N257" s="93"/>
      <c r="O257" s="93"/>
      <c r="P257" s="93"/>
      <c r="Q257" s="93"/>
      <c r="R257" s="54">
        <v>27</v>
      </c>
      <c r="S257" s="94">
        <f t="shared" si="3"/>
        <v>0.13366336633663367</v>
      </c>
      <c r="T257" s="53">
        <v>4349</v>
      </c>
      <c r="U257" s="132">
        <f t="shared" si="4"/>
        <v>0.1417535853976532</v>
      </c>
      <c r="V257" s="25"/>
      <c r="W257" s="25"/>
      <c r="X257" s="5"/>
    </row>
    <row r="258" spans="1:24" ht="15.6" x14ac:dyDescent="0.3">
      <c r="A258" s="24"/>
      <c r="B258" s="54" t="s">
        <v>156</v>
      </c>
      <c r="C258" s="93"/>
      <c r="D258" s="93"/>
      <c r="E258" s="93"/>
      <c r="F258" s="25"/>
      <c r="G258" s="94"/>
      <c r="H258" s="93"/>
      <c r="I258" s="93"/>
      <c r="J258" s="93"/>
      <c r="K258" s="93"/>
      <c r="L258" s="93"/>
      <c r="M258" s="93"/>
      <c r="N258" s="93"/>
      <c r="O258" s="93"/>
      <c r="P258" s="93"/>
      <c r="Q258" s="93"/>
      <c r="R258" s="54">
        <v>15</v>
      </c>
      <c r="S258" s="94">
        <f t="shared" si="3"/>
        <v>7.4257425742574254E-2</v>
      </c>
      <c r="T258" s="53">
        <v>2119</v>
      </c>
      <c r="U258" s="132">
        <f t="shared" si="4"/>
        <v>6.9067796610169485E-2</v>
      </c>
      <c r="V258" s="25"/>
      <c r="W258" s="25"/>
      <c r="X258" s="5"/>
    </row>
    <row r="259" spans="1:24" ht="15.6" x14ac:dyDescent="0.3">
      <c r="A259" s="24"/>
      <c r="B259" s="54" t="s">
        <v>157</v>
      </c>
      <c r="C259" s="93"/>
      <c r="D259" s="93"/>
      <c r="E259" s="93"/>
      <c r="F259" s="25"/>
      <c r="G259" s="94"/>
      <c r="H259" s="93"/>
      <c r="I259" s="93"/>
      <c r="J259" s="93"/>
      <c r="K259" s="93"/>
      <c r="L259" s="93"/>
      <c r="M259" s="93"/>
      <c r="N259" s="93"/>
      <c r="O259" s="93"/>
      <c r="P259" s="93"/>
      <c r="Q259" s="93"/>
      <c r="R259" s="54">
        <v>11</v>
      </c>
      <c r="S259" s="94">
        <f t="shared" si="3"/>
        <v>5.4455445544554455E-2</v>
      </c>
      <c r="T259" s="53">
        <v>2497</v>
      </c>
      <c r="U259" s="132">
        <f t="shared" si="4"/>
        <v>8.1388526727509777E-2</v>
      </c>
      <c r="V259" s="25"/>
      <c r="W259" s="25"/>
      <c r="X259" s="5"/>
    </row>
    <row r="260" spans="1:24" ht="15.6" x14ac:dyDescent="0.3">
      <c r="A260" s="24"/>
      <c r="B260" s="54" t="s">
        <v>158</v>
      </c>
      <c r="C260" s="93"/>
      <c r="D260" s="93"/>
      <c r="E260" s="93"/>
      <c r="F260" s="25"/>
      <c r="G260" s="94"/>
      <c r="H260" s="93"/>
      <c r="I260" s="93"/>
      <c r="J260" s="93"/>
      <c r="K260" s="93"/>
      <c r="L260" s="93"/>
      <c r="M260" s="93"/>
      <c r="N260" s="93"/>
      <c r="O260" s="93"/>
      <c r="P260" s="93"/>
      <c r="Q260" s="93"/>
      <c r="R260" s="54">
        <v>8</v>
      </c>
      <c r="S260" s="94">
        <f t="shared" si="3"/>
        <v>3.9603960396039604E-2</v>
      </c>
      <c r="T260" s="53">
        <v>1871</v>
      </c>
      <c r="U260" s="132">
        <f t="shared" si="4"/>
        <v>6.0984354628422423E-2</v>
      </c>
      <c r="V260" s="25"/>
      <c r="W260" s="25"/>
      <c r="X260" s="5"/>
    </row>
    <row r="261" spans="1:24" ht="15.6" x14ac:dyDescent="0.3">
      <c r="A261" s="24"/>
      <c r="B261" s="54" t="s">
        <v>159</v>
      </c>
      <c r="C261" s="93"/>
      <c r="D261" s="93"/>
      <c r="E261" s="93"/>
      <c r="F261" s="25"/>
      <c r="G261" s="94"/>
      <c r="H261" s="93"/>
      <c r="I261" s="93"/>
      <c r="J261" s="93"/>
      <c r="K261" s="93"/>
      <c r="L261" s="93"/>
      <c r="M261" s="93"/>
      <c r="N261" s="93"/>
      <c r="O261" s="93"/>
      <c r="P261" s="93"/>
      <c r="Q261" s="93"/>
      <c r="R261" s="54">
        <v>21</v>
      </c>
      <c r="S261" s="94">
        <f t="shared" si="3"/>
        <v>0.10396039603960396</v>
      </c>
      <c r="T261" s="53">
        <v>3495</v>
      </c>
      <c r="U261" s="132">
        <f t="shared" si="4"/>
        <v>0.11391786179921773</v>
      </c>
      <c r="V261" s="25"/>
      <c r="W261" s="25"/>
      <c r="X261" s="5"/>
    </row>
    <row r="262" spans="1:24" ht="15.6" x14ac:dyDescent="0.3">
      <c r="A262" s="24"/>
      <c r="B262" s="54" t="s">
        <v>160</v>
      </c>
      <c r="C262" s="93"/>
      <c r="D262" s="93"/>
      <c r="E262" s="93"/>
      <c r="F262" s="25"/>
      <c r="G262" s="94"/>
      <c r="H262" s="93"/>
      <c r="I262" s="93"/>
      <c r="J262" s="93"/>
      <c r="K262" s="93"/>
      <c r="L262" s="93"/>
      <c r="M262" s="93"/>
      <c r="N262" s="93"/>
      <c r="O262" s="93"/>
      <c r="P262" s="93"/>
      <c r="Q262" s="93"/>
      <c r="R262" s="54">
        <v>40</v>
      </c>
      <c r="S262" s="94">
        <f t="shared" si="3"/>
        <v>0.19801980198019803</v>
      </c>
      <c r="T262" s="53">
        <v>6959</v>
      </c>
      <c r="U262" s="132">
        <f t="shared" si="4"/>
        <v>0.22682529335071708</v>
      </c>
      <c r="V262" s="25"/>
      <c r="W262" s="25"/>
      <c r="X262" s="5"/>
    </row>
    <row r="263" spans="1:24" ht="15.6" x14ac:dyDescent="0.3">
      <c r="A263" s="24"/>
      <c r="B263" s="54"/>
      <c r="C263" s="93"/>
      <c r="D263" s="93"/>
      <c r="E263" s="93"/>
      <c r="F263" s="25"/>
      <c r="G263" s="94"/>
      <c r="H263" s="93"/>
      <c r="I263" s="93"/>
      <c r="J263" s="93"/>
      <c r="K263" s="93"/>
      <c r="L263" s="93"/>
      <c r="M263" s="93"/>
      <c r="N263" s="93"/>
      <c r="O263" s="93"/>
      <c r="P263" s="93"/>
      <c r="Q263" s="93"/>
      <c r="R263" s="54"/>
      <c r="S263" s="94"/>
      <c r="T263" s="53"/>
      <c r="U263" s="132"/>
      <c r="V263" s="25"/>
      <c r="W263" s="25"/>
      <c r="X263" s="5"/>
    </row>
    <row r="264" spans="1:24" ht="15.6" x14ac:dyDescent="0.3">
      <c r="A264" s="24"/>
      <c r="B264" s="25"/>
      <c r="C264" s="25"/>
      <c r="D264" s="25"/>
      <c r="E264" s="25"/>
      <c r="F264" s="25"/>
      <c r="G264" s="25"/>
      <c r="H264" s="95"/>
      <c r="I264" s="95"/>
      <c r="J264" s="95"/>
      <c r="K264" s="95"/>
      <c r="L264" s="95"/>
      <c r="M264" s="95"/>
      <c r="N264" s="95"/>
      <c r="O264" s="95"/>
      <c r="P264" s="95"/>
      <c r="Q264" s="95"/>
      <c r="R264" s="34">
        <f>SUM(R255:R263)</f>
        <v>202</v>
      </c>
      <c r="S264" s="132">
        <f>SUM(S255:S263)</f>
        <v>1</v>
      </c>
      <c r="T264" s="53">
        <f>SUM(T255:T263)</f>
        <v>30680</v>
      </c>
      <c r="U264" s="132">
        <f>SUM(U255:U263)</f>
        <v>1</v>
      </c>
      <c r="V264" s="25"/>
      <c r="W264" s="25"/>
      <c r="X264" s="5"/>
    </row>
    <row r="265" spans="1:24" ht="15.6" x14ac:dyDescent="0.3">
      <c r="A265" s="24"/>
      <c r="B265" s="25"/>
      <c r="C265" s="25"/>
      <c r="D265" s="25"/>
      <c r="E265" s="25"/>
      <c r="F265" s="25"/>
      <c r="G265" s="25"/>
      <c r="H265" s="95"/>
      <c r="I265" s="95"/>
      <c r="J265" s="95"/>
      <c r="K265" s="95"/>
      <c r="L265" s="95"/>
      <c r="M265" s="95"/>
      <c r="N265" s="95"/>
      <c r="O265" s="95"/>
      <c r="P265" s="95"/>
      <c r="Q265" s="95"/>
      <c r="R265" s="34"/>
      <c r="S265" s="132"/>
      <c r="T265" s="53"/>
      <c r="U265" s="132"/>
      <c r="V265" s="25"/>
      <c r="W265" s="25"/>
      <c r="X265" s="5"/>
    </row>
    <row r="266" spans="1:24" ht="15.6" x14ac:dyDescent="0.3">
      <c r="A266" s="139"/>
      <c r="B266" s="14" t="s">
        <v>163</v>
      </c>
      <c r="C266" s="137"/>
      <c r="D266" s="137"/>
      <c r="E266" s="137"/>
      <c r="F266" s="137"/>
      <c r="G266" s="137"/>
      <c r="H266" s="143"/>
      <c r="I266" s="143"/>
      <c r="J266" s="143"/>
      <c r="K266" s="143"/>
      <c r="L266" s="143"/>
      <c r="M266" s="143"/>
      <c r="N266" s="143"/>
      <c r="O266" s="143"/>
      <c r="P266" s="143"/>
      <c r="Q266" s="143"/>
      <c r="R266" s="83" t="s">
        <v>102</v>
      </c>
      <c r="S266" s="17" t="s">
        <v>103</v>
      </c>
      <c r="T266" s="83" t="s">
        <v>109</v>
      </c>
      <c r="U266" s="17" t="s">
        <v>103</v>
      </c>
      <c r="V266" s="137"/>
      <c r="W266" s="138"/>
      <c r="X266" s="5"/>
    </row>
    <row r="267" spans="1:24" ht="15.6" x14ac:dyDescent="0.3">
      <c r="A267" s="24"/>
      <c r="B267" s="54" t="s">
        <v>88</v>
      </c>
      <c r="C267" s="25"/>
      <c r="D267" s="25"/>
      <c r="E267" s="25"/>
      <c r="F267" s="25"/>
      <c r="G267" s="25"/>
      <c r="H267" s="95"/>
      <c r="I267" s="95"/>
      <c r="J267" s="95"/>
      <c r="K267" s="95"/>
      <c r="L267" s="95"/>
      <c r="M267" s="95"/>
      <c r="N267" s="95"/>
      <c r="O267" s="95"/>
      <c r="P267" s="95"/>
      <c r="Q267" s="95"/>
      <c r="R267" s="54">
        <v>0</v>
      </c>
      <c r="S267" s="94">
        <f t="shared" ref="S267:S274" si="5">R267/$R$276</f>
        <v>0</v>
      </c>
      <c r="T267" s="53">
        <v>0</v>
      </c>
      <c r="U267" s="94">
        <f>T267/$T$276</f>
        <v>0</v>
      </c>
      <c r="V267" s="25"/>
      <c r="W267" s="25"/>
      <c r="X267" s="5"/>
    </row>
    <row r="268" spans="1:24" ht="15.6" x14ac:dyDescent="0.3">
      <c r="A268" s="24"/>
      <c r="B268" s="54" t="s">
        <v>89</v>
      </c>
      <c r="C268" s="25"/>
      <c r="D268" s="25"/>
      <c r="E268" s="25"/>
      <c r="F268" s="25"/>
      <c r="G268" s="25"/>
      <c r="H268" s="95"/>
      <c r="I268" s="95"/>
      <c r="J268" s="95"/>
      <c r="K268" s="95"/>
      <c r="L268" s="95"/>
      <c r="M268" s="95"/>
      <c r="N268" s="95"/>
      <c r="O268" s="95"/>
      <c r="P268" s="95"/>
      <c r="Q268" s="95"/>
      <c r="R268" s="54">
        <v>0</v>
      </c>
      <c r="S268" s="94">
        <f t="shared" si="5"/>
        <v>0</v>
      </c>
      <c r="T268" s="53">
        <v>0</v>
      </c>
      <c r="U268" s="94">
        <f t="shared" ref="U268:U274" si="6">T268/$T$276</f>
        <v>0</v>
      </c>
      <c r="V268" s="25"/>
      <c r="W268" s="25"/>
      <c r="X268" s="5"/>
    </row>
    <row r="269" spans="1:24" ht="15.6" x14ac:dyDescent="0.3">
      <c r="A269" s="24"/>
      <c r="B269" s="54" t="s">
        <v>90</v>
      </c>
      <c r="C269" s="25"/>
      <c r="D269" s="25"/>
      <c r="E269" s="25"/>
      <c r="F269" s="25"/>
      <c r="G269" s="25"/>
      <c r="H269" s="95"/>
      <c r="I269" s="95"/>
      <c r="J269" s="95"/>
      <c r="K269" s="95"/>
      <c r="L269" s="95"/>
      <c r="M269" s="95"/>
      <c r="N269" s="95"/>
      <c r="O269" s="95"/>
      <c r="P269" s="95"/>
      <c r="Q269" s="95"/>
      <c r="R269" s="54">
        <v>0</v>
      </c>
      <c r="S269" s="94">
        <f t="shared" si="5"/>
        <v>0</v>
      </c>
      <c r="T269" s="53">
        <v>0</v>
      </c>
      <c r="U269" s="94">
        <f t="shared" si="6"/>
        <v>0</v>
      </c>
      <c r="V269" s="25"/>
      <c r="W269" s="25"/>
      <c r="X269" s="5"/>
    </row>
    <row r="270" spans="1:24" ht="15.6" x14ac:dyDescent="0.3">
      <c r="A270" s="24"/>
      <c r="B270" s="54" t="s">
        <v>156</v>
      </c>
      <c r="C270" s="25"/>
      <c r="D270" s="25"/>
      <c r="E270" s="25"/>
      <c r="F270" s="25"/>
      <c r="G270" s="25"/>
      <c r="H270" s="95"/>
      <c r="I270" s="95"/>
      <c r="J270" s="95"/>
      <c r="K270" s="95"/>
      <c r="L270" s="95"/>
      <c r="M270" s="95"/>
      <c r="N270" s="95"/>
      <c r="O270" s="95"/>
      <c r="P270" s="95"/>
      <c r="Q270" s="95"/>
      <c r="R270" s="54">
        <v>0</v>
      </c>
      <c r="S270" s="94">
        <f t="shared" si="5"/>
        <v>0</v>
      </c>
      <c r="T270" s="53">
        <v>0</v>
      </c>
      <c r="U270" s="94">
        <f t="shared" si="6"/>
        <v>0</v>
      </c>
      <c r="V270" s="25"/>
      <c r="W270" s="25"/>
      <c r="X270" s="5"/>
    </row>
    <row r="271" spans="1:24" ht="15.6" x14ac:dyDescent="0.3">
      <c r="A271" s="24"/>
      <c r="B271" s="54" t="s">
        <v>157</v>
      </c>
      <c r="C271" s="25"/>
      <c r="D271" s="25"/>
      <c r="E271" s="25"/>
      <c r="F271" s="25"/>
      <c r="G271" s="25"/>
      <c r="H271" s="95"/>
      <c r="I271" s="95"/>
      <c r="J271" s="95"/>
      <c r="K271" s="95"/>
      <c r="L271" s="95"/>
      <c r="M271" s="95"/>
      <c r="N271" s="95"/>
      <c r="O271" s="95"/>
      <c r="P271" s="95"/>
      <c r="Q271" s="95"/>
      <c r="R271" s="54">
        <v>0</v>
      </c>
      <c r="S271" s="94">
        <f t="shared" si="5"/>
        <v>0</v>
      </c>
      <c r="T271" s="53">
        <v>0</v>
      </c>
      <c r="U271" s="94">
        <f t="shared" si="6"/>
        <v>0</v>
      </c>
      <c r="V271" s="25"/>
      <c r="W271" s="25"/>
      <c r="X271" s="5"/>
    </row>
    <row r="272" spans="1:24" ht="15.6" x14ac:dyDescent="0.3">
      <c r="A272" s="24"/>
      <c r="B272" s="54" t="s">
        <v>158</v>
      </c>
      <c r="C272" s="25"/>
      <c r="D272" s="25"/>
      <c r="E272" s="25"/>
      <c r="F272" s="25"/>
      <c r="G272" s="25"/>
      <c r="H272" s="95"/>
      <c r="I272" s="95"/>
      <c r="J272" s="95"/>
      <c r="K272" s="95"/>
      <c r="L272" s="95"/>
      <c r="M272" s="95"/>
      <c r="N272" s="95"/>
      <c r="O272" s="95"/>
      <c r="P272" s="95"/>
      <c r="Q272" s="95"/>
      <c r="R272" s="54">
        <v>0</v>
      </c>
      <c r="S272" s="94">
        <f t="shared" si="5"/>
        <v>0</v>
      </c>
      <c r="T272" s="53">
        <v>0</v>
      </c>
      <c r="U272" s="94">
        <f t="shared" si="6"/>
        <v>0</v>
      </c>
      <c r="V272" s="25"/>
      <c r="W272" s="25"/>
      <c r="X272" s="5"/>
    </row>
    <row r="273" spans="1:24" ht="15.6" x14ac:dyDescent="0.3">
      <c r="A273" s="24"/>
      <c r="B273" s="54" t="s">
        <v>159</v>
      </c>
      <c r="C273" s="25"/>
      <c r="D273" s="25"/>
      <c r="E273" s="25"/>
      <c r="F273" s="25"/>
      <c r="G273" s="25"/>
      <c r="H273" s="95"/>
      <c r="I273" s="95"/>
      <c r="J273" s="95"/>
      <c r="K273" s="95"/>
      <c r="L273" s="95"/>
      <c r="M273" s="95"/>
      <c r="N273" s="95"/>
      <c r="O273" s="95"/>
      <c r="P273" s="95"/>
      <c r="Q273" s="95"/>
      <c r="R273" s="54">
        <v>0</v>
      </c>
      <c r="S273" s="94">
        <f t="shared" si="5"/>
        <v>0</v>
      </c>
      <c r="T273" s="53">
        <v>0</v>
      </c>
      <c r="U273" s="94">
        <f t="shared" si="6"/>
        <v>0</v>
      </c>
      <c r="V273" s="25"/>
      <c r="W273" s="25"/>
      <c r="X273" s="5"/>
    </row>
    <row r="274" spans="1:24" ht="15.6" x14ac:dyDescent="0.3">
      <c r="A274" s="24"/>
      <c r="B274" s="54" t="s">
        <v>160</v>
      </c>
      <c r="C274" s="25"/>
      <c r="D274" s="25"/>
      <c r="E274" s="25"/>
      <c r="F274" s="25"/>
      <c r="G274" s="25"/>
      <c r="H274" s="95"/>
      <c r="I274" s="95"/>
      <c r="J274" s="95"/>
      <c r="K274" s="95"/>
      <c r="L274" s="95"/>
      <c r="M274" s="95"/>
      <c r="N274" s="95"/>
      <c r="O274" s="95"/>
      <c r="P274" s="95"/>
      <c r="Q274" s="95"/>
      <c r="R274" s="54">
        <v>1</v>
      </c>
      <c r="S274" s="94">
        <f t="shared" si="5"/>
        <v>1</v>
      </c>
      <c r="T274" s="53">
        <v>385</v>
      </c>
      <c r="U274" s="94">
        <f t="shared" si="6"/>
        <v>1</v>
      </c>
      <c r="V274" s="25"/>
      <c r="W274" s="25"/>
      <c r="X274" s="5"/>
    </row>
    <row r="275" spans="1:24" ht="15.6" x14ac:dyDescent="0.3">
      <c r="A275" s="24"/>
      <c r="B275" s="54"/>
      <c r="C275" s="25"/>
      <c r="D275" s="25"/>
      <c r="E275" s="25"/>
      <c r="F275" s="25"/>
      <c r="G275" s="25"/>
      <c r="H275" s="95"/>
      <c r="I275" s="95"/>
      <c r="J275" s="95"/>
      <c r="K275" s="95"/>
      <c r="L275" s="95"/>
      <c r="M275" s="95"/>
      <c r="N275" s="95"/>
      <c r="O275" s="95"/>
      <c r="P275" s="95"/>
      <c r="Q275" s="95"/>
      <c r="R275" s="54"/>
      <c r="S275" s="94"/>
      <c r="T275" s="53"/>
      <c r="U275" s="132"/>
      <c r="V275" s="25"/>
      <c r="W275" s="25"/>
      <c r="X275" s="5"/>
    </row>
    <row r="276" spans="1:24" ht="15.6" x14ac:dyDescent="0.3">
      <c r="A276" s="24"/>
      <c r="B276" s="25" t="s">
        <v>114</v>
      </c>
      <c r="C276" s="25"/>
      <c r="D276" s="25"/>
      <c r="E276" s="25"/>
      <c r="F276" s="25"/>
      <c r="G276" s="25"/>
      <c r="H276" s="95"/>
      <c r="I276" s="95"/>
      <c r="J276" s="95"/>
      <c r="K276" s="95"/>
      <c r="L276" s="95"/>
      <c r="M276" s="95"/>
      <c r="N276" s="95"/>
      <c r="O276" s="95"/>
      <c r="P276" s="95"/>
      <c r="Q276" s="95"/>
      <c r="R276" s="34">
        <f>SUM(R267:R274)</f>
        <v>1</v>
      </c>
      <c r="S276" s="132">
        <f>SUM(S267:S275)</f>
        <v>1</v>
      </c>
      <c r="T276" s="53">
        <f>SUM(T267:T274)</f>
        <v>385</v>
      </c>
      <c r="U276" s="132">
        <f>SUM(U267:U275)</f>
        <v>1</v>
      </c>
      <c r="V276" s="25"/>
      <c r="W276" s="25"/>
      <c r="X276" s="5"/>
    </row>
    <row r="277" spans="1:24" ht="15.6" x14ac:dyDescent="0.3">
      <c r="A277" s="24"/>
      <c r="B277" s="25"/>
      <c r="C277" s="25"/>
      <c r="D277" s="25"/>
      <c r="E277" s="25"/>
      <c r="F277" s="25"/>
      <c r="G277" s="25"/>
      <c r="H277" s="95"/>
      <c r="I277" s="95"/>
      <c r="J277" s="95"/>
      <c r="K277" s="95"/>
      <c r="L277" s="95"/>
      <c r="M277" s="95"/>
      <c r="N277" s="95"/>
      <c r="O277" s="95"/>
      <c r="P277" s="95"/>
      <c r="Q277" s="95"/>
      <c r="R277" s="34"/>
      <c r="S277" s="132"/>
      <c r="T277" s="53"/>
      <c r="U277" s="132"/>
      <c r="V277" s="25"/>
      <c r="W277" s="25"/>
      <c r="X277" s="5"/>
    </row>
    <row r="278" spans="1:24" ht="15.6" x14ac:dyDescent="0.3">
      <c r="A278" s="24"/>
      <c r="B278" s="140" t="s">
        <v>164</v>
      </c>
      <c r="C278" s="25"/>
      <c r="D278" s="25"/>
      <c r="E278" s="25"/>
      <c r="F278" s="25"/>
      <c r="G278" s="25"/>
      <c r="H278" s="95"/>
      <c r="I278" s="95"/>
      <c r="J278" s="95"/>
      <c r="K278" s="95"/>
      <c r="L278" s="95"/>
      <c r="M278" s="95"/>
      <c r="N278" s="95"/>
      <c r="O278" s="95"/>
      <c r="P278" s="95"/>
      <c r="Q278" s="95"/>
      <c r="R278" s="159">
        <f>R276+R264+R252</f>
        <v>8446</v>
      </c>
      <c r="S278" s="141"/>
      <c r="T278" s="142">
        <f>+T276+T264+T252</f>
        <v>1209812</v>
      </c>
      <c r="U278" s="141"/>
      <c r="V278" s="25"/>
      <c r="W278" s="25"/>
      <c r="X278" s="5"/>
    </row>
    <row r="279" spans="1:24" ht="15.6" x14ac:dyDescent="0.3">
      <c r="A279" s="24"/>
      <c r="B279" s="25"/>
      <c r="C279" s="25"/>
      <c r="D279" s="25"/>
      <c r="E279" s="25"/>
      <c r="F279" s="25"/>
      <c r="G279" s="25"/>
      <c r="H279" s="95"/>
      <c r="I279" s="95"/>
      <c r="J279" s="95"/>
      <c r="K279" s="95"/>
      <c r="L279" s="95"/>
      <c r="M279" s="95"/>
      <c r="N279" s="95"/>
      <c r="O279" s="95"/>
      <c r="P279" s="95"/>
      <c r="Q279" s="95"/>
      <c r="R279" s="95"/>
      <c r="S279" s="95"/>
      <c r="T279" s="53"/>
      <c r="U279" s="95"/>
      <c r="V279" s="25"/>
      <c r="W279" s="25"/>
      <c r="X279" s="5"/>
    </row>
    <row r="280" spans="1:24" ht="15.6" x14ac:dyDescent="0.3">
      <c r="A280" s="6"/>
      <c r="B280" s="8"/>
      <c r="C280" s="8"/>
      <c r="D280" s="8"/>
      <c r="E280" s="8"/>
      <c r="F280" s="8"/>
      <c r="G280" s="8"/>
      <c r="H280" s="96"/>
      <c r="I280" s="96"/>
      <c r="J280" s="96"/>
      <c r="K280" s="96"/>
      <c r="L280" s="96"/>
      <c r="M280" s="96"/>
      <c r="N280" s="96"/>
      <c r="O280" s="96"/>
      <c r="P280" s="96"/>
      <c r="Q280" s="96"/>
      <c r="R280" s="96"/>
      <c r="S280" s="96"/>
      <c r="T280" s="97"/>
      <c r="U280" s="96"/>
      <c r="V280" s="8"/>
      <c r="W280" s="8"/>
      <c r="X280" s="5"/>
    </row>
    <row r="281" spans="1:24" ht="15.6" x14ac:dyDescent="0.3">
      <c r="A281" s="178"/>
      <c r="B281" s="14" t="s">
        <v>91</v>
      </c>
      <c r="C281" s="15"/>
      <c r="D281" s="15"/>
      <c r="E281" s="15"/>
      <c r="F281" s="17" t="s">
        <v>97</v>
      </c>
      <c r="G281" s="15"/>
      <c r="H281" s="14" t="s">
        <v>99</v>
      </c>
      <c r="I281" s="14"/>
      <c r="J281" s="14"/>
      <c r="K281" s="173"/>
      <c r="L281" s="173"/>
      <c r="M281" s="173"/>
      <c r="N281" s="173"/>
      <c r="O281" s="173"/>
      <c r="P281" s="173"/>
      <c r="Q281" s="173"/>
      <c r="R281" s="173"/>
      <c r="S281" s="173"/>
      <c r="T281" s="173"/>
      <c r="U281" s="173"/>
      <c r="V281" s="173"/>
      <c r="W281" s="173"/>
      <c r="X281" s="5"/>
    </row>
    <row r="282" spans="1:24" ht="15.6" x14ac:dyDescent="0.3">
      <c r="A282" s="178"/>
      <c r="B282" s="173"/>
      <c r="C282" s="8"/>
      <c r="D282" s="8"/>
      <c r="E282" s="8"/>
      <c r="F282" s="8"/>
      <c r="G282" s="8"/>
      <c r="H282" s="8"/>
      <c r="I282" s="8"/>
      <c r="J282" s="8"/>
      <c r="K282" s="173"/>
      <c r="L282" s="173"/>
      <c r="M282" s="173"/>
      <c r="N282" s="173"/>
      <c r="O282" s="173"/>
      <c r="P282" s="173"/>
      <c r="Q282" s="173"/>
      <c r="R282" s="173"/>
      <c r="S282" s="173"/>
      <c r="T282" s="173"/>
      <c r="U282" s="173"/>
      <c r="V282" s="173"/>
      <c r="W282" s="173"/>
      <c r="X282" s="5"/>
    </row>
    <row r="283" spans="1:24" ht="15.6" x14ac:dyDescent="0.3">
      <c r="A283" s="178"/>
      <c r="B283" s="13" t="s">
        <v>92</v>
      </c>
      <c r="C283" s="13"/>
      <c r="D283" s="13"/>
      <c r="E283" s="13"/>
      <c r="F283" s="130" t="s">
        <v>148</v>
      </c>
      <c r="G283" s="13"/>
      <c r="H283" s="13" t="s">
        <v>152</v>
      </c>
      <c r="I283" s="13"/>
      <c r="J283" s="13"/>
      <c r="K283" s="173"/>
      <c r="L283" s="173"/>
      <c r="M283" s="173"/>
      <c r="N283" s="173"/>
      <c r="O283" s="173"/>
      <c r="P283" s="173"/>
      <c r="Q283" s="173"/>
      <c r="R283" s="173"/>
      <c r="S283" s="173"/>
      <c r="T283" s="173"/>
      <c r="U283" s="173"/>
      <c r="V283" s="173"/>
      <c r="W283" s="173"/>
      <c r="X283" s="5"/>
    </row>
    <row r="284" spans="1:24" ht="15.6" x14ac:dyDescent="0.3">
      <c r="A284" s="178"/>
      <c r="B284" s="13" t="s">
        <v>277</v>
      </c>
      <c r="C284" s="13"/>
      <c r="D284" s="13"/>
      <c r="E284" s="13"/>
      <c r="F284" s="130" t="s">
        <v>278</v>
      </c>
      <c r="G284" s="13"/>
      <c r="H284" s="13" t="s">
        <v>279</v>
      </c>
      <c r="I284" s="173"/>
      <c r="J284" s="13"/>
      <c r="K284" s="173"/>
      <c r="L284" s="173"/>
      <c r="M284" s="173"/>
      <c r="N284" s="173"/>
      <c r="O284" s="173"/>
      <c r="P284" s="173"/>
      <c r="Q284" s="173"/>
      <c r="R284" s="173"/>
      <c r="S284" s="173"/>
      <c r="T284" s="173"/>
      <c r="U284" s="173"/>
      <c r="V284" s="173"/>
      <c r="W284" s="173"/>
      <c r="X284" s="5"/>
    </row>
    <row r="285" spans="1:24" ht="15.6" x14ac:dyDescent="0.3">
      <c r="A285" s="178"/>
      <c r="B285" s="13" t="s">
        <v>93</v>
      </c>
      <c r="C285" s="13"/>
      <c r="D285" s="13"/>
      <c r="E285" s="13"/>
      <c r="F285" s="130" t="s">
        <v>147</v>
      </c>
      <c r="G285" s="13"/>
      <c r="H285" s="13" t="s">
        <v>153</v>
      </c>
      <c r="I285" s="13"/>
      <c r="J285" s="13"/>
      <c r="K285" s="173"/>
      <c r="L285" s="173"/>
      <c r="M285" s="173"/>
      <c r="N285" s="173"/>
      <c r="O285" s="173"/>
      <c r="P285" s="173"/>
      <c r="Q285" s="173"/>
      <c r="R285" s="173"/>
      <c r="S285" s="173"/>
      <c r="T285" s="173"/>
      <c r="U285" s="173"/>
      <c r="V285" s="173"/>
      <c r="W285" s="173"/>
      <c r="X285" s="5"/>
    </row>
    <row r="286" spans="1:24" ht="15.6" x14ac:dyDescent="0.3">
      <c r="A286" s="178"/>
      <c r="B286" s="13"/>
      <c r="C286" s="13"/>
      <c r="D286" s="13"/>
      <c r="E286" s="13"/>
      <c r="F286" s="13"/>
      <c r="G286" s="99"/>
      <c r="H286" s="173"/>
      <c r="I286" s="173"/>
      <c r="J286" s="173"/>
      <c r="K286" s="173"/>
      <c r="L286" s="173"/>
      <c r="M286" s="173"/>
      <c r="N286" s="173"/>
      <c r="O286" s="173"/>
      <c r="P286" s="173"/>
      <c r="Q286" s="173"/>
      <c r="R286" s="173"/>
      <c r="S286" s="173"/>
      <c r="T286" s="173"/>
      <c r="U286" s="173"/>
      <c r="V286" s="173"/>
      <c r="W286" s="173"/>
      <c r="X286" s="5"/>
    </row>
    <row r="287" spans="1:24" ht="15.6" x14ac:dyDescent="0.3">
      <c r="A287" s="178"/>
      <c r="B287" s="13"/>
      <c r="C287" s="13"/>
      <c r="D287" s="13"/>
      <c r="E287" s="13"/>
      <c r="F287" s="13"/>
      <c r="G287" s="99"/>
      <c r="H287" s="173"/>
      <c r="I287" s="173"/>
      <c r="J287" s="173"/>
      <c r="K287" s="173"/>
      <c r="L287" s="173"/>
      <c r="M287" s="173"/>
      <c r="N287" s="173"/>
      <c r="O287" s="173"/>
      <c r="P287" s="173"/>
      <c r="Q287" s="173"/>
      <c r="R287" s="173"/>
      <c r="S287" s="173"/>
      <c r="T287" s="173"/>
      <c r="U287" s="173"/>
      <c r="V287" s="173"/>
      <c r="W287" s="173"/>
      <c r="X287" s="5"/>
    </row>
    <row r="288" spans="1:24" ht="18" thickBot="1" x14ac:dyDescent="0.35">
      <c r="A288" s="178"/>
      <c r="B288" s="49" t="str">
        <f>B204</f>
        <v>PM14 INVESTOR REPORT QUARTER ENDING MAY 2009</v>
      </c>
      <c r="C288" s="13"/>
      <c r="D288" s="13"/>
      <c r="E288" s="13"/>
      <c r="F288" s="13"/>
      <c r="G288" s="99"/>
      <c r="H288" s="173"/>
      <c r="I288" s="173"/>
      <c r="J288" s="173"/>
      <c r="K288" s="173"/>
      <c r="L288" s="173"/>
      <c r="M288" s="173"/>
      <c r="N288" s="173"/>
      <c r="O288" s="173"/>
      <c r="P288" s="173"/>
      <c r="Q288" s="173"/>
      <c r="R288" s="173"/>
      <c r="S288" s="173"/>
      <c r="T288" s="173"/>
      <c r="U288" s="173"/>
      <c r="V288" s="173"/>
      <c r="W288" s="173"/>
      <c r="X288" s="5"/>
    </row>
    <row r="289" spans="1:23" x14ac:dyDescent="0.25">
      <c r="A289" s="100"/>
      <c r="B289" s="100"/>
      <c r="C289" s="100"/>
      <c r="D289" s="100"/>
      <c r="E289" s="100"/>
      <c r="F289" s="100"/>
      <c r="G289" s="100"/>
      <c r="H289" s="100"/>
      <c r="I289" s="100"/>
      <c r="J289" s="100"/>
      <c r="K289" s="100"/>
      <c r="L289" s="100"/>
      <c r="M289" s="100"/>
      <c r="N289" s="100"/>
      <c r="O289" s="100"/>
      <c r="P289" s="100"/>
      <c r="Q289" s="100"/>
      <c r="R289" s="100"/>
      <c r="S289" s="100"/>
      <c r="T289" s="100"/>
      <c r="U289" s="100"/>
      <c r="V289" s="100"/>
      <c r="W289" s="100"/>
    </row>
  </sheetData>
  <phoneticPr fontId="0" type="noConversion"/>
  <hyperlinks>
    <hyperlink ref="P240" r:id="rId1" xr:uid="{00000000-0004-0000-0700-000000000000}"/>
    <hyperlink ref="I9" r:id="rId2" xr:uid="{00000000-0004-0000-07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9" max="14" man="1"/>
    <brk id="204" max="14" man="1"/>
  </rowBreak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6"/>
  </sheetPr>
  <dimension ref="A1:IV289"/>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81640625" style="1" customWidth="1"/>
    <col min="10" max="10" width="16.08984375" style="1" customWidth="1"/>
    <col min="11" max="11" width="2.08984375" style="1" customWidth="1"/>
    <col min="12" max="12" width="17.81640625" style="1" customWidth="1"/>
    <col min="13" max="13" width="2.1796875" style="1" customWidth="1"/>
    <col min="14" max="14" width="14.81640625" style="1" customWidth="1"/>
    <col min="15" max="15" width="2.1796875" style="1" customWidth="1"/>
    <col min="16" max="16" width="15.54296875" style="1" customWidth="1"/>
    <col min="17" max="17" width="2.08984375" style="1" customWidth="1"/>
    <col min="18" max="18" width="15.54296875" style="1" customWidth="1"/>
    <col min="19" max="20" width="12.81640625" style="1" customWidth="1"/>
    <col min="21" max="21" width="7.81640625" style="1" customWidth="1"/>
    <col min="22" max="22" width="14.81640625" style="1" customWidth="1"/>
    <col min="23" max="23" width="11.81640625" style="1" customWidth="1"/>
    <col min="24" max="16384" width="9.81640625" style="1"/>
  </cols>
  <sheetData>
    <row r="1" spans="1:24" ht="20.399999999999999" x14ac:dyDescent="0.35">
      <c r="A1" s="2"/>
      <c r="B1" s="3" t="s">
        <v>244</v>
      </c>
      <c r="C1" s="4"/>
      <c r="D1" s="4"/>
      <c r="E1" s="4"/>
      <c r="F1" s="4"/>
      <c r="G1" s="4"/>
      <c r="H1" s="4"/>
      <c r="I1" s="4"/>
      <c r="J1" s="4"/>
      <c r="K1" s="4"/>
      <c r="L1" s="4"/>
      <c r="M1" s="4"/>
      <c r="N1" s="4"/>
      <c r="O1" s="4"/>
      <c r="P1" s="4"/>
      <c r="Q1" s="4"/>
      <c r="R1" s="4"/>
      <c r="S1" s="4"/>
      <c r="T1" s="4"/>
      <c r="U1" s="4"/>
      <c r="V1" s="4"/>
      <c r="W1" s="4"/>
      <c r="X1" s="5"/>
    </row>
    <row r="2" spans="1:24" ht="15.6" x14ac:dyDescent="0.3">
      <c r="A2" s="6"/>
      <c r="B2" s="7"/>
      <c r="C2" s="8"/>
      <c r="D2" s="8"/>
      <c r="E2" s="8"/>
      <c r="F2" s="8"/>
      <c r="G2" s="8"/>
      <c r="H2" s="8"/>
      <c r="I2" s="8"/>
      <c r="J2" s="8"/>
      <c r="K2" s="8"/>
      <c r="L2" s="8"/>
      <c r="M2" s="8"/>
      <c r="N2" s="8"/>
      <c r="O2" s="8"/>
      <c r="P2" s="8"/>
      <c r="Q2" s="8"/>
      <c r="R2" s="8"/>
      <c r="S2" s="8"/>
      <c r="T2" s="8"/>
      <c r="U2" s="8"/>
      <c r="V2" s="8"/>
      <c r="W2" s="8"/>
      <c r="X2" s="5"/>
    </row>
    <row r="3" spans="1:24" ht="15.6" x14ac:dyDescent="0.3">
      <c r="A3" s="9"/>
      <c r="B3" s="111" t="s">
        <v>245</v>
      </c>
      <c r="C3" s="8"/>
      <c r="D3" s="8"/>
      <c r="E3" s="8"/>
      <c r="F3" s="8"/>
      <c r="G3" s="8"/>
      <c r="H3" s="8"/>
      <c r="I3" s="8"/>
      <c r="J3" s="8"/>
      <c r="K3" s="8"/>
      <c r="L3" s="8"/>
      <c r="M3" s="8"/>
      <c r="N3" s="8"/>
      <c r="O3" s="8"/>
      <c r="P3" s="8"/>
      <c r="Q3" s="8"/>
      <c r="R3" s="8"/>
      <c r="S3" s="8"/>
      <c r="T3" s="8"/>
      <c r="U3" s="8"/>
      <c r="V3" s="8"/>
      <c r="W3" s="8"/>
      <c r="X3" s="5"/>
    </row>
    <row r="4" spans="1:24" ht="15.6" x14ac:dyDescent="0.3">
      <c r="A4" s="6"/>
      <c r="B4" s="7"/>
      <c r="C4" s="8"/>
      <c r="D4" s="8"/>
      <c r="E4" s="8"/>
      <c r="F4" s="8"/>
      <c r="G4" s="8"/>
      <c r="H4" s="8"/>
      <c r="I4" s="8"/>
      <c r="J4" s="8"/>
      <c r="K4" s="8"/>
      <c r="L4" s="8"/>
      <c r="M4" s="8"/>
      <c r="N4" s="8"/>
      <c r="O4" s="8"/>
      <c r="P4" s="8"/>
      <c r="Q4" s="8"/>
      <c r="R4" s="8"/>
      <c r="S4" s="8"/>
      <c r="T4" s="8"/>
      <c r="U4" s="8"/>
      <c r="V4" s="8"/>
      <c r="W4" s="8"/>
      <c r="X4" s="5"/>
    </row>
    <row r="5" spans="1:24" ht="15.6" x14ac:dyDescent="0.3">
      <c r="A5" s="6"/>
      <c r="B5" s="11" t="s">
        <v>137</v>
      </c>
      <c r="C5" s="8"/>
      <c r="D5" s="8"/>
      <c r="E5" s="8"/>
      <c r="F5" s="8"/>
      <c r="G5" s="8"/>
      <c r="H5" s="8"/>
      <c r="I5" s="8"/>
      <c r="J5" s="8"/>
      <c r="K5" s="8"/>
      <c r="L5" s="8"/>
      <c r="M5" s="8"/>
      <c r="N5" s="8"/>
      <c r="O5" s="8"/>
      <c r="P5" s="8"/>
      <c r="Q5" s="8"/>
      <c r="R5" s="8"/>
      <c r="S5" s="8"/>
      <c r="T5" s="8"/>
      <c r="U5" s="8"/>
      <c r="V5" s="8"/>
      <c r="W5" s="8"/>
      <c r="X5" s="5"/>
    </row>
    <row r="6" spans="1:24" ht="15.6" x14ac:dyDescent="0.3">
      <c r="A6" s="6"/>
      <c r="B6" s="11" t="s">
        <v>139</v>
      </c>
      <c r="C6" s="8"/>
      <c r="D6" s="8"/>
      <c r="E6" s="8"/>
      <c r="F6" s="8"/>
      <c r="G6" s="8"/>
      <c r="H6" s="8"/>
      <c r="I6" s="8"/>
      <c r="J6" s="8"/>
      <c r="K6" s="8"/>
      <c r="L6" s="8"/>
      <c r="M6" s="8"/>
      <c r="N6" s="8"/>
      <c r="O6" s="8"/>
      <c r="P6" s="8"/>
      <c r="Q6" s="8"/>
      <c r="R6" s="8"/>
      <c r="S6" s="8"/>
      <c r="T6" s="8"/>
      <c r="U6" s="8"/>
      <c r="V6" s="8"/>
      <c r="W6" s="8"/>
      <c r="X6" s="5"/>
    </row>
    <row r="7" spans="1:24" ht="15.6" x14ac:dyDescent="0.3">
      <c r="A7" s="6"/>
      <c r="B7" s="11" t="s">
        <v>138</v>
      </c>
      <c r="C7" s="8"/>
      <c r="D7" s="8"/>
      <c r="E7" s="8"/>
      <c r="F7" s="8"/>
      <c r="G7" s="8"/>
      <c r="H7" s="8"/>
      <c r="I7" s="8"/>
      <c r="J7" s="8"/>
      <c r="K7" s="8"/>
      <c r="L7" s="8"/>
      <c r="M7" s="8"/>
      <c r="N7" s="8"/>
      <c r="O7" s="8"/>
      <c r="P7" s="8"/>
      <c r="Q7" s="8"/>
      <c r="R7" s="8"/>
      <c r="S7" s="8"/>
      <c r="T7" s="8"/>
      <c r="U7" s="8"/>
      <c r="V7" s="8"/>
      <c r="W7" s="8"/>
      <c r="X7" s="5"/>
    </row>
    <row r="8" spans="1:24" ht="15.6" x14ac:dyDescent="0.3">
      <c r="A8" s="6"/>
      <c r="B8" s="11"/>
      <c r="C8" s="8"/>
      <c r="D8" s="8"/>
      <c r="E8" s="8"/>
      <c r="F8" s="8"/>
      <c r="G8" s="8"/>
      <c r="H8" s="8"/>
      <c r="I8" s="8"/>
      <c r="J8" s="8"/>
      <c r="K8" s="8"/>
      <c r="L8" s="8"/>
      <c r="M8" s="8"/>
      <c r="N8" s="8"/>
      <c r="O8" s="8"/>
      <c r="P8" s="8"/>
      <c r="Q8" s="8"/>
      <c r="R8" s="8"/>
      <c r="S8" s="8"/>
      <c r="T8" s="8"/>
      <c r="U8" s="8"/>
      <c r="V8" s="8"/>
      <c r="W8" s="8"/>
      <c r="X8" s="5"/>
    </row>
    <row r="9" spans="1:24" ht="17.399999999999999" x14ac:dyDescent="0.3">
      <c r="A9" s="6"/>
      <c r="B9" s="145" t="s">
        <v>166</v>
      </c>
      <c r="C9" s="8"/>
      <c r="D9" s="8"/>
      <c r="E9" s="8"/>
      <c r="F9" s="8"/>
      <c r="G9" s="8"/>
      <c r="H9" s="8"/>
      <c r="I9" s="146" t="s">
        <v>167</v>
      </c>
      <c r="J9" s="8"/>
      <c r="K9" s="8"/>
      <c r="L9" s="146"/>
      <c r="M9" s="8"/>
      <c r="N9" s="146"/>
      <c r="O9" s="8"/>
      <c r="P9" s="8"/>
      <c r="Q9" s="8"/>
      <c r="R9" s="8"/>
      <c r="S9" s="8"/>
      <c r="T9" s="8"/>
      <c r="U9" s="8"/>
      <c r="V9" s="8"/>
      <c r="W9" s="8"/>
      <c r="X9" s="5"/>
    </row>
    <row r="10" spans="1:24" ht="15.6" x14ac:dyDescent="0.3">
      <c r="A10" s="6"/>
      <c r="B10" s="11"/>
      <c r="C10" s="13"/>
      <c r="D10" s="13"/>
      <c r="E10" s="13"/>
      <c r="F10" s="8"/>
      <c r="G10" s="8"/>
      <c r="H10" s="8"/>
      <c r="I10" s="8"/>
      <c r="J10" s="8"/>
      <c r="K10" s="8"/>
      <c r="L10" s="8"/>
      <c r="M10" s="8"/>
      <c r="N10" s="8"/>
      <c r="O10" s="8"/>
      <c r="P10" s="8"/>
      <c r="Q10" s="8"/>
      <c r="R10" s="8"/>
      <c r="S10" s="8"/>
      <c r="T10" s="8"/>
      <c r="U10" s="8"/>
      <c r="V10" s="8"/>
      <c r="W10" s="8"/>
      <c r="X10" s="5"/>
    </row>
    <row r="11" spans="1:24" ht="15.6" x14ac:dyDescent="0.3">
      <c r="A11" s="6"/>
      <c r="B11" s="14" t="s">
        <v>0</v>
      </c>
      <c r="C11" s="8"/>
      <c r="D11" s="8"/>
      <c r="E11" s="8"/>
      <c r="F11" s="8"/>
      <c r="G11" s="8"/>
      <c r="H11" s="8"/>
      <c r="I11" s="8"/>
      <c r="J11" s="8"/>
      <c r="K11" s="8"/>
      <c r="L11" s="8"/>
      <c r="M11" s="8"/>
      <c r="N11" s="8"/>
      <c r="O11" s="8"/>
      <c r="P11" s="8"/>
      <c r="Q11" s="8"/>
      <c r="R11" s="8"/>
      <c r="S11" s="8"/>
      <c r="T11" s="8"/>
      <c r="U11" s="8"/>
      <c r="V11" s="8"/>
      <c r="W11" s="8"/>
      <c r="X11" s="5"/>
    </row>
    <row r="12" spans="1:24" ht="16.2" thickBot="1" x14ac:dyDescent="0.35">
      <c r="A12" s="6"/>
      <c r="B12" s="13"/>
      <c r="C12" s="8"/>
      <c r="D12" s="8"/>
      <c r="E12" s="8"/>
      <c r="F12" s="8"/>
      <c r="G12" s="8"/>
      <c r="H12" s="8"/>
      <c r="I12" s="8"/>
      <c r="J12" s="8"/>
      <c r="K12" s="8"/>
      <c r="L12" s="8"/>
      <c r="M12" s="8"/>
      <c r="N12" s="8"/>
      <c r="O12" s="8"/>
      <c r="P12" s="8"/>
      <c r="Q12" s="8"/>
      <c r="R12" s="8"/>
      <c r="S12" s="8"/>
      <c r="T12" s="8"/>
      <c r="U12" s="8"/>
      <c r="V12" s="8"/>
      <c r="W12" s="8"/>
      <c r="X12" s="5"/>
    </row>
    <row r="13" spans="1:24" ht="15.6" x14ac:dyDescent="0.3">
      <c r="A13" s="2"/>
      <c r="B13" s="4"/>
      <c r="C13" s="4"/>
      <c r="D13" s="4"/>
      <c r="E13" s="4"/>
      <c r="F13" s="4"/>
      <c r="G13" s="4"/>
      <c r="H13" s="4"/>
      <c r="I13" s="4"/>
      <c r="J13" s="4"/>
      <c r="K13" s="4"/>
      <c r="L13" s="4"/>
      <c r="M13" s="4"/>
      <c r="N13" s="4"/>
      <c r="O13" s="4"/>
      <c r="P13" s="4"/>
      <c r="Q13" s="4"/>
      <c r="R13" s="4"/>
      <c r="S13" s="4"/>
      <c r="T13" s="4"/>
      <c r="U13" s="4"/>
      <c r="V13" s="4"/>
      <c r="W13" s="4"/>
      <c r="X13" s="5"/>
    </row>
    <row r="14" spans="1:24" ht="15.6" x14ac:dyDescent="0.3">
      <c r="A14" s="6"/>
      <c r="B14" s="14" t="s">
        <v>1</v>
      </c>
      <c r="C14" s="15"/>
      <c r="D14" s="15"/>
      <c r="E14" s="15"/>
      <c r="F14" s="15"/>
      <c r="G14" s="15"/>
      <c r="H14" s="15"/>
      <c r="I14" s="15"/>
      <c r="J14" s="15"/>
      <c r="K14" s="15"/>
      <c r="L14" s="15"/>
      <c r="M14" s="15"/>
      <c r="N14" s="15"/>
      <c r="O14" s="15"/>
      <c r="P14" s="15"/>
      <c r="Q14" s="15"/>
      <c r="R14" s="15"/>
      <c r="S14" s="15"/>
      <c r="T14" s="15"/>
      <c r="U14" s="15"/>
      <c r="V14" s="16" t="s">
        <v>246</v>
      </c>
      <c r="W14" s="15"/>
      <c r="X14" s="5"/>
    </row>
    <row r="15" spans="1:24" ht="15.6" x14ac:dyDescent="0.3">
      <c r="A15" s="6"/>
      <c r="B15" s="14" t="s">
        <v>2</v>
      </c>
      <c r="C15" s="15"/>
      <c r="D15" s="15"/>
      <c r="E15" s="15"/>
      <c r="F15" s="15"/>
      <c r="G15" s="15"/>
      <c r="H15" s="18"/>
      <c r="I15" s="18"/>
      <c r="J15" s="18"/>
      <c r="K15" s="18"/>
      <c r="L15" s="18"/>
      <c r="M15" s="18"/>
      <c r="N15" s="18"/>
      <c r="O15" s="18"/>
      <c r="P15" s="18"/>
      <c r="Q15" s="18"/>
      <c r="R15" s="18" t="s">
        <v>104</v>
      </c>
      <c r="S15" s="135">
        <v>0.38300000000000001</v>
      </c>
      <c r="T15" s="17" t="s">
        <v>140</v>
      </c>
      <c r="U15" s="135">
        <v>0.61699999999999999</v>
      </c>
      <c r="V15" s="16"/>
      <c r="W15" s="15"/>
      <c r="X15" s="5"/>
    </row>
    <row r="16" spans="1:24" ht="15.6" x14ac:dyDescent="0.3">
      <c r="A16" s="6"/>
      <c r="B16" s="14" t="s">
        <v>3</v>
      </c>
      <c r="C16" s="15"/>
      <c r="D16" s="15"/>
      <c r="E16" s="15"/>
      <c r="F16" s="15"/>
      <c r="G16" s="15"/>
      <c r="H16" s="18"/>
      <c r="I16" s="18"/>
      <c r="J16" s="18"/>
      <c r="K16" s="18"/>
      <c r="L16" s="18"/>
      <c r="M16" s="18"/>
      <c r="N16" s="18"/>
      <c r="O16" s="18"/>
      <c r="P16" s="18"/>
      <c r="Q16" s="18"/>
      <c r="R16" s="18" t="s">
        <v>104</v>
      </c>
      <c r="S16" s="135">
        <v>0.45050000000000001</v>
      </c>
      <c r="T16" s="17" t="s">
        <v>140</v>
      </c>
      <c r="U16" s="135">
        <v>0.54949999999999999</v>
      </c>
      <c r="V16" s="16"/>
      <c r="W16" s="15"/>
      <c r="X16" s="5"/>
    </row>
    <row r="17" spans="1:24" ht="15.6" x14ac:dyDescent="0.3">
      <c r="A17" s="6"/>
      <c r="B17" s="14" t="s">
        <v>4</v>
      </c>
      <c r="C17" s="15"/>
      <c r="D17" s="15"/>
      <c r="E17" s="15"/>
      <c r="F17" s="15"/>
      <c r="G17" s="15"/>
      <c r="H17" s="15"/>
      <c r="I17" s="15"/>
      <c r="J17" s="15"/>
      <c r="K17" s="15"/>
      <c r="L17" s="15"/>
      <c r="M17" s="15"/>
      <c r="N17" s="15"/>
      <c r="O17" s="15"/>
      <c r="P17" s="15"/>
      <c r="Q17" s="15"/>
      <c r="R17" s="15"/>
      <c r="S17" s="15"/>
      <c r="T17" s="15"/>
      <c r="U17" s="15"/>
      <c r="V17" s="19">
        <v>39163</v>
      </c>
      <c r="W17" s="15"/>
      <c r="X17" s="5"/>
    </row>
    <row r="18" spans="1:24" ht="15.6" x14ac:dyDescent="0.3">
      <c r="A18" s="6"/>
      <c r="B18" s="14" t="s">
        <v>5</v>
      </c>
      <c r="C18" s="15"/>
      <c r="D18" s="15"/>
      <c r="E18" s="15"/>
      <c r="F18" s="15"/>
      <c r="G18" s="15"/>
      <c r="H18" s="15"/>
      <c r="I18" s="15"/>
      <c r="J18" s="15"/>
      <c r="K18" s="15"/>
      <c r="L18" s="15"/>
      <c r="M18" s="15"/>
      <c r="N18" s="15"/>
      <c r="O18" s="15"/>
      <c r="P18" s="15"/>
      <c r="Q18" s="15"/>
      <c r="R18" s="15"/>
      <c r="S18" s="15"/>
      <c r="T18" s="15"/>
      <c r="U18" s="15"/>
      <c r="V18" s="19">
        <v>40078</v>
      </c>
      <c r="W18" s="15"/>
      <c r="X18" s="5"/>
    </row>
    <row r="19" spans="1:24" ht="15.6" x14ac:dyDescent="0.3">
      <c r="A19" s="6"/>
      <c r="B19" s="8"/>
      <c r="C19" s="8"/>
      <c r="D19" s="8"/>
      <c r="E19" s="8"/>
      <c r="F19" s="8"/>
      <c r="G19" s="8"/>
      <c r="H19" s="8"/>
      <c r="I19" s="8"/>
      <c r="J19" s="8"/>
      <c r="K19" s="8"/>
      <c r="L19" s="8"/>
      <c r="M19" s="8"/>
      <c r="N19" s="8"/>
      <c r="O19" s="8"/>
      <c r="P19" s="8"/>
      <c r="Q19" s="8"/>
      <c r="R19" s="8"/>
      <c r="S19" s="8"/>
      <c r="T19" s="8"/>
      <c r="U19" s="8"/>
      <c r="V19" s="20"/>
      <c r="W19" s="8"/>
      <c r="X19" s="5"/>
    </row>
    <row r="20" spans="1:24" ht="15.6" x14ac:dyDescent="0.3">
      <c r="A20" s="6"/>
      <c r="B20" s="21" t="s">
        <v>6</v>
      </c>
      <c r="C20" s="8"/>
      <c r="D20" s="8"/>
      <c r="E20" s="8"/>
      <c r="F20" s="8"/>
      <c r="G20" s="8"/>
      <c r="H20" s="8"/>
      <c r="I20" s="8"/>
      <c r="J20" s="8"/>
      <c r="K20" s="8"/>
      <c r="L20" s="8"/>
      <c r="M20" s="8"/>
      <c r="N20" s="8"/>
      <c r="O20" s="8"/>
      <c r="P20" s="8"/>
      <c r="Q20" s="8"/>
      <c r="R20" s="8"/>
      <c r="S20" s="8"/>
      <c r="T20" s="20" t="s">
        <v>105</v>
      </c>
      <c r="U20" s="8"/>
      <c r="V20" s="173"/>
      <c r="W20" s="8"/>
      <c r="X20" s="5"/>
    </row>
    <row r="21" spans="1:24" ht="15.6" x14ac:dyDescent="0.3">
      <c r="A21" s="6"/>
      <c r="B21" s="8"/>
      <c r="C21" s="8"/>
      <c r="D21" s="8"/>
      <c r="E21" s="8"/>
      <c r="F21" s="8"/>
      <c r="G21" s="8"/>
      <c r="H21" s="8"/>
      <c r="I21" s="8"/>
      <c r="J21" s="8"/>
      <c r="K21" s="8"/>
      <c r="L21" s="8"/>
      <c r="M21" s="8"/>
      <c r="N21" s="8"/>
      <c r="O21" s="8"/>
      <c r="P21" s="8"/>
      <c r="Q21" s="8"/>
      <c r="R21" s="8"/>
      <c r="S21" s="8"/>
      <c r="T21" s="8"/>
      <c r="U21" s="8"/>
      <c r="V21" s="22"/>
      <c r="W21" s="8"/>
      <c r="X21" s="5"/>
    </row>
    <row r="22" spans="1:24" ht="15.6" x14ac:dyDescent="0.3">
      <c r="A22" s="6"/>
      <c r="B22" s="8"/>
      <c r="C22" s="112"/>
      <c r="D22" s="112" t="s">
        <v>177</v>
      </c>
      <c r="E22" s="112"/>
      <c r="F22" s="112" t="s">
        <v>178</v>
      </c>
      <c r="G22" s="112"/>
      <c r="H22" s="112" t="s">
        <v>179</v>
      </c>
      <c r="I22" s="112"/>
      <c r="J22" s="112" t="s">
        <v>220</v>
      </c>
      <c r="K22" s="112"/>
      <c r="L22" s="112" t="s">
        <v>180</v>
      </c>
      <c r="M22" s="112"/>
      <c r="N22" s="112" t="s">
        <v>181</v>
      </c>
      <c r="O22" s="112"/>
      <c r="P22" s="112" t="s">
        <v>221</v>
      </c>
      <c r="Q22" s="112"/>
      <c r="R22" s="112" t="s">
        <v>182</v>
      </c>
      <c r="S22" s="113"/>
      <c r="T22" s="23"/>
      <c r="U22" s="173"/>
      <c r="V22" s="173"/>
      <c r="W22" s="8"/>
      <c r="X22" s="5"/>
    </row>
    <row r="23" spans="1:24" ht="15.6" x14ac:dyDescent="0.3">
      <c r="A23" s="24"/>
      <c r="B23" s="25" t="s">
        <v>7</v>
      </c>
      <c r="C23" s="26"/>
      <c r="D23" s="26" t="s">
        <v>213</v>
      </c>
      <c r="E23" s="26"/>
      <c r="F23" s="26" t="s">
        <v>141</v>
      </c>
      <c r="G23" s="26"/>
      <c r="H23" s="26" t="s">
        <v>141</v>
      </c>
      <c r="I23" s="26"/>
      <c r="J23" s="26" t="s">
        <v>141</v>
      </c>
      <c r="K23" s="26"/>
      <c r="L23" s="26" t="s">
        <v>183</v>
      </c>
      <c r="M23" s="26"/>
      <c r="N23" s="26" t="s">
        <v>183</v>
      </c>
      <c r="O23" s="26"/>
      <c r="P23" s="26" t="s">
        <v>142</v>
      </c>
      <c r="Q23" s="26"/>
      <c r="R23" s="26" t="s">
        <v>142</v>
      </c>
      <c r="S23" s="26"/>
      <c r="T23" s="26"/>
      <c r="U23" s="174"/>
      <c r="V23" s="174"/>
      <c r="W23" s="25"/>
      <c r="X23" s="5"/>
    </row>
    <row r="24" spans="1:24" ht="15.6" x14ac:dyDescent="0.3">
      <c r="A24" s="24"/>
      <c r="B24" s="25" t="s">
        <v>8</v>
      </c>
      <c r="C24" s="26"/>
      <c r="D24" s="26" t="s">
        <v>214</v>
      </c>
      <c r="E24" s="26"/>
      <c r="F24" s="26" t="s">
        <v>143</v>
      </c>
      <c r="G24" s="26"/>
      <c r="H24" s="26" t="s">
        <v>143</v>
      </c>
      <c r="I24" s="26"/>
      <c r="J24" s="26" t="s">
        <v>143</v>
      </c>
      <c r="K24" s="26"/>
      <c r="L24" s="26" t="s">
        <v>165</v>
      </c>
      <c r="M24" s="26"/>
      <c r="N24" s="26" t="s">
        <v>165</v>
      </c>
      <c r="O24" s="26"/>
      <c r="P24" s="26" t="s">
        <v>144</v>
      </c>
      <c r="Q24" s="26"/>
      <c r="R24" s="26" t="s">
        <v>144</v>
      </c>
      <c r="S24" s="26"/>
      <c r="T24" s="26"/>
      <c r="U24" s="174"/>
      <c r="V24" s="174"/>
      <c r="W24" s="25"/>
      <c r="X24" s="5"/>
    </row>
    <row r="25" spans="1:24" ht="15.6" x14ac:dyDescent="0.3">
      <c r="A25" s="28"/>
      <c r="B25" s="131" t="s">
        <v>190</v>
      </c>
      <c r="C25" s="123"/>
      <c r="D25" s="26" t="s">
        <v>215</v>
      </c>
      <c r="E25" s="26"/>
      <c r="F25" s="26" t="s">
        <v>143</v>
      </c>
      <c r="G25" s="26"/>
      <c r="H25" s="26" t="s">
        <v>143</v>
      </c>
      <c r="I25" s="26"/>
      <c r="J25" s="26" t="s">
        <v>143</v>
      </c>
      <c r="K25" s="26"/>
      <c r="L25" s="26" t="s">
        <v>293</v>
      </c>
      <c r="M25" s="26"/>
      <c r="N25" s="26" t="s">
        <v>293</v>
      </c>
      <c r="O25" s="26"/>
      <c r="P25" s="26" t="s">
        <v>144</v>
      </c>
      <c r="Q25" s="26"/>
      <c r="R25" s="26" t="s">
        <v>144</v>
      </c>
      <c r="S25" s="123"/>
      <c r="T25" s="26"/>
      <c r="U25" s="174"/>
      <c r="V25" s="174"/>
      <c r="W25" s="25"/>
      <c r="X25" s="5"/>
    </row>
    <row r="26" spans="1:24" ht="15.6" x14ac:dyDescent="0.3">
      <c r="A26" s="28"/>
      <c r="B26" s="29" t="s">
        <v>9</v>
      </c>
      <c r="C26" s="123"/>
      <c r="D26" s="123" t="s">
        <v>213</v>
      </c>
      <c r="E26" s="123"/>
      <c r="F26" s="123" t="s">
        <v>141</v>
      </c>
      <c r="G26" s="123"/>
      <c r="H26" s="123" t="s">
        <v>141</v>
      </c>
      <c r="I26" s="123"/>
      <c r="J26" s="123" t="s">
        <v>141</v>
      </c>
      <c r="K26" s="123"/>
      <c r="L26" s="123" t="s">
        <v>183</v>
      </c>
      <c r="M26" s="123"/>
      <c r="N26" s="123" t="s">
        <v>183</v>
      </c>
      <c r="O26" s="123"/>
      <c r="P26" s="123" t="s">
        <v>142</v>
      </c>
      <c r="Q26" s="123"/>
      <c r="R26" s="123" t="s">
        <v>142</v>
      </c>
      <c r="S26" s="123"/>
      <c r="T26" s="26"/>
      <c r="U26" s="174"/>
      <c r="V26" s="174"/>
      <c r="W26" s="25"/>
      <c r="X26" s="5"/>
    </row>
    <row r="27" spans="1:24" ht="15.6" x14ac:dyDescent="0.3">
      <c r="A27" s="24"/>
      <c r="B27" s="29" t="s">
        <v>191</v>
      </c>
      <c r="C27" s="26"/>
      <c r="D27" s="123" t="s">
        <v>214</v>
      </c>
      <c r="E27" s="123"/>
      <c r="F27" s="123" t="s">
        <v>143</v>
      </c>
      <c r="G27" s="123"/>
      <c r="H27" s="123" t="s">
        <v>143</v>
      </c>
      <c r="I27" s="123"/>
      <c r="J27" s="123" t="s">
        <v>143</v>
      </c>
      <c r="K27" s="123"/>
      <c r="L27" s="123" t="s">
        <v>165</v>
      </c>
      <c r="M27" s="123"/>
      <c r="N27" s="123" t="s">
        <v>165</v>
      </c>
      <c r="O27" s="123"/>
      <c r="P27" s="123" t="s">
        <v>144</v>
      </c>
      <c r="Q27" s="123"/>
      <c r="R27" s="123" t="s">
        <v>144</v>
      </c>
      <c r="S27" s="26"/>
      <c r="T27" s="30"/>
      <c r="U27" s="174"/>
      <c r="V27" s="174"/>
      <c r="W27" s="25"/>
      <c r="X27" s="5"/>
    </row>
    <row r="28" spans="1:24" ht="15.6" x14ac:dyDescent="0.3">
      <c r="A28" s="24"/>
      <c r="B28" s="151" t="s">
        <v>192</v>
      </c>
      <c r="C28" s="26"/>
      <c r="D28" s="123" t="s">
        <v>215</v>
      </c>
      <c r="E28" s="123"/>
      <c r="F28" s="123" t="s">
        <v>143</v>
      </c>
      <c r="G28" s="123"/>
      <c r="H28" s="123" t="s">
        <v>143</v>
      </c>
      <c r="I28" s="123"/>
      <c r="J28" s="123" t="s">
        <v>143</v>
      </c>
      <c r="K28" s="123"/>
      <c r="L28" s="123" t="s">
        <v>293</v>
      </c>
      <c r="M28" s="123"/>
      <c r="N28" s="123" t="s">
        <v>293</v>
      </c>
      <c r="O28" s="123"/>
      <c r="P28" s="123" t="s">
        <v>144</v>
      </c>
      <c r="Q28" s="123"/>
      <c r="R28" s="123" t="s">
        <v>144</v>
      </c>
      <c r="S28" s="26"/>
      <c r="T28" s="30"/>
      <c r="U28" s="174"/>
      <c r="V28" s="174"/>
      <c r="W28" s="25"/>
      <c r="X28" s="5"/>
    </row>
    <row r="29" spans="1:24" ht="15.6" x14ac:dyDescent="0.3">
      <c r="A29" s="24"/>
      <c r="B29" s="25" t="s">
        <v>10</v>
      </c>
      <c r="C29" s="32"/>
      <c r="D29" s="26" t="s">
        <v>249</v>
      </c>
      <c r="E29" s="26"/>
      <c r="F29" s="30" t="s">
        <v>250</v>
      </c>
      <c r="G29" s="26"/>
      <c r="H29" s="26" t="s">
        <v>251</v>
      </c>
      <c r="I29" s="26"/>
      <c r="J29" s="26" t="s">
        <v>253</v>
      </c>
      <c r="K29" s="26"/>
      <c r="L29" s="26" t="s">
        <v>254</v>
      </c>
      <c r="M29" s="26"/>
      <c r="N29" s="26" t="s">
        <v>255</v>
      </c>
      <c r="O29" s="26"/>
      <c r="P29" s="26" t="s">
        <v>256</v>
      </c>
      <c r="Q29" s="26"/>
      <c r="R29" s="26" t="s">
        <v>257</v>
      </c>
      <c r="S29" s="31"/>
      <c r="T29" s="31"/>
      <c r="U29" s="175"/>
      <c r="V29" s="31"/>
      <c r="W29" s="34"/>
      <c r="X29" s="5"/>
    </row>
    <row r="30" spans="1:24" ht="15.6" x14ac:dyDescent="0.3">
      <c r="A30" s="24"/>
      <c r="B30" s="25" t="s">
        <v>10</v>
      </c>
      <c r="C30" s="32"/>
      <c r="D30" s="26" t="s">
        <v>248</v>
      </c>
      <c r="E30" s="26"/>
      <c r="F30" s="30" t="s">
        <v>118</v>
      </c>
      <c r="G30" s="26"/>
      <c r="H30" s="26" t="s">
        <v>118</v>
      </c>
      <c r="I30" s="26"/>
      <c r="J30" s="26" t="s">
        <v>252</v>
      </c>
      <c r="K30" s="26"/>
      <c r="L30" s="26" t="s">
        <v>118</v>
      </c>
      <c r="M30" s="26"/>
      <c r="N30" s="26" t="s">
        <v>118</v>
      </c>
      <c r="O30" s="26"/>
      <c r="P30" s="26" t="s">
        <v>118</v>
      </c>
      <c r="Q30" s="26"/>
      <c r="R30" s="26" t="s">
        <v>118</v>
      </c>
      <c r="S30" s="31"/>
      <c r="T30" s="31"/>
      <c r="U30" s="175"/>
      <c r="V30" s="31"/>
      <c r="W30" s="34"/>
      <c r="X30" s="5"/>
    </row>
    <row r="31" spans="1:24" ht="15.6" x14ac:dyDescent="0.3">
      <c r="A31" s="28"/>
      <c r="B31" s="25" t="s">
        <v>133</v>
      </c>
      <c r="C31" s="36"/>
      <c r="D31" s="144">
        <v>1500000</v>
      </c>
      <c r="E31" s="32"/>
      <c r="F31" s="31">
        <v>125000</v>
      </c>
      <c r="G31" s="31"/>
      <c r="H31" s="124">
        <v>246000</v>
      </c>
      <c r="I31" s="124"/>
      <c r="J31" s="144">
        <v>400000</v>
      </c>
      <c r="K31" s="31"/>
      <c r="L31" s="31">
        <v>51900</v>
      </c>
      <c r="M31" s="31"/>
      <c r="N31" s="124">
        <v>88800</v>
      </c>
      <c r="O31" s="31"/>
      <c r="P31" s="31">
        <v>20000</v>
      </c>
      <c r="Q31" s="31"/>
      <c r="R31" s="124">
        <v>135500</v>
      </c>
      <c r="S31" s="35"/>
      <c r="T31" s="35"/>
      <c r="U31" s="37"/>
      <c r="V31" s="35"/>
      <c r="W31" s="34"/>
      <c r="X31" s="5"/>
    </row>
    <row r="32" spans="1:24" ht="15.6" x14ac:dyDescent="0.3">
      <c r="A32" s="24"/>
      <c r="B32" s="25" t="s">
        <v>132</v>
      </c>
      <c r="C32" s="32"/>
      <c r="D32" s="144">
        <f>D31*D38</f>
        <v>1158295.2</v>
      </c>
      <c r="E32" s="32"/>
      <c r="F32" s="31">
        <f>F31*F38</f>
        <v>96524.650000000009</v>
      </c>
      <c r="G32" s="31"/>
      <c r="H32" s="124">
        <f>H31*H38</f>
        <v>189960.51120000001</v>
      </c>
      <c r="I32" s="124"/>
      <c r="J32" s="144">
        <f>J31*J38</f>
        <v>308878.72000000003</v>
      </c>
      <c r="K32" s="31"/>
      <c r="L32" s="31">
        <f>+L31</f>
        <v>51900</v>
      </c>
      <c r="M32" s="31"/>
      <c r="N32" s="124">
        <f>+N31</f>
        <v>88800</v>
      </c>
      <c r="O32" s="31"/>
      <c r="P32" s="31">
        <f>+P31</f>
        <v>20000</v>
      </c>
      <c r="Q32" s="31"/>
      <c r="R32" s="124">
        <f>+R31</f>
        <v>135500</v>
      </c>
      <c r="S32" s="31"/>
      <c r="T32" s="31"/>
      <c r="U32" s="175"/>
      <c r="V32" s="31"/>
      <c r="W32" s="34"/>
      <c r="X32" s="5"/>
    </row>
    <row r="33" spans="1:24" ht="15.6" x14ac:dyDescent="0.3">
      <c r="A33" s="24"/>
      <c r="B33" s="29" t="s">
        <v>134</v>
      </c>
      <c r="C33" s="32"/>
      <c r="D33" s="149">
        <f>D37*D31</f>
        <v>1148669.1000000001</v>
      </c>
      <c r="E33" s="36"/>
      <c r="F33" s="35">
        <f>F37*F31</f>
        <v>95722.475000000006</v>
      </c>
      <c r="G33" s="35"/>
      <c r="H33" s="125">
        <f>H31*H37</f>
        <v>188381.8308</v>
      </c>
      <c r="I33" s="125"/>
      <c r="J33" s="149">
        <f>J37*J31</f>
        <v>306311.76</v>
      </c>
      <c r="K33" s="35"/>
      <c r="L33" s="35">
        <f>L31*L37</f>
        <v>51900</v>
      </c>
      <c r="M33" s="35"/>
      <c r="N33" s="125">
        <f>N31*N37</f>
        <v>88800</v>
      </c>
      <c r="O33" s="35"/>
      <c r="P33" s="35">
        <f>P31*P37</f>
        <v>20000</v>
      </c>
      <c r="Q33" s="35"/>
      <c r="R33" s="125">
        <f>R31*R37</f>
        <v>135500</v>
      </c>
      <c r="S33" s="31"/>
      <c r="T33" s="31"/>
      <c r="U33" s="175"/>
      <c r="V33" s="31"/>
      <c r="W33" s="34"/>
      <c r="X33" s="5"/>
    </row>
    <row r="34" spans="1:24" ht="15.6" x14ac:dyDescent="0.3">
      <c r="A34" s="28"/>
      <c r="B34" s="25" t="s">
        <v>296</v>
      </c>
      <c r="C34" s="36"/>
      <c r="D34" s="31">
        <v>775194</v>
      </c>
      <c r="E34" s="32"/>
      <c r="F34" s="31">
        <v>125000</v>
      </c>
      <c r="G34" s="31"/>
      <c r="H34" s="31">
        <v>168148</v>
      </c>
      <c r="I34" s="31"/>
      <c r="J34" s="31">
        <v>206718</v>
      </c>
      <c r="K34" s="31"/>
      <c r="L34" s="31">
        <v>51900</v>
      </c>
      <c r="M34" s="31"/>
      <c r="N34" s="31">
        <v>60697</v>
      </c>
      <c r="O34" s="31"/>
      <c r="P34" s="31">
        <v>20000</v>
      </c>
      <c r="Q34" s="31"/>
      <c r="R34" s="31">
        <v>92618</v>
      </c>
      <c r="S34" s="35"/>
      <c r="T34" s="35"/>
      <c r="U34" s="37"/>
      <c r="V34" s="152">
        <f>SUM(C34:R34)</f>
        <v>1500275</v>
      </c>
      <c r="W34" s="34"/>
      <c r="X34" s="5"/>
    </row>
    <row r="35" spans="1:24" ht="15.6" x14ac:dyDescent="0.3">
      <c r="A35" s="28"/>
      <c r="B35" s="25" t="s">
        <v>297</v>
      </c>
      <c r="C35" s="126"/>
      <c r="D35" s="31">
        <f>D34*D38</f>
        <v>598602.32617919997</v>
      </c>
      <c r="E35" s="32"/>
      <c r="F35" s="31">
        <f>F34*F38</f>
        <v>96524.650000000009</v>
      </c>
      <c r="G35" s="31"/>
      <c r="H35" s="31">
        <f>H34*H38</f>
        <v>129843.41478560001</v>
      </c>
      <c r="I35" s="31"/>
      <c r="J35" s="31">
        <f>J34*J38</f>
        <v>159626.9781024</v>
      </c>
      <c r="K35" s="31"/>
      <c r="L35" s="31">
        <f>+L34</f>
        <v>51900</v>
      </c>
      <c r="M35" s="31"/>
      <c r="N35" s="31">
        <f>+N34</f>
        <v>60697</v>
      </c>
      <c r="O35" s="31"/>
      <c r="P35" s="31">
        <f>+P34</f>
        <v>20000</v>
      </c>
      <c r="Q35" s="31"/>
      <c r="R35" s="31">
        <f>+R34</f>
        <v>92618</v>
      </c>
      <c r="S35" s="31"/>
      <c r="T35" s="31"/>
      <c r="U35" s="175"/>
      <c r="V35" s="152">
        <f>SUM(C35:R35)</f>
        <v>1209812.3690672</v>
      </c>
      <c r="W35" s="34"/>
      <c r="X35" s="5"/>
    </row>
    <row r="36" spans="1:24" ht="15.6" x14ac:dyDescent="0.3">
      <c r="A36" s="28"/>
      <c r="B36" s="29" t="s">
        <v>298</v>
      </c>
      <c r="C36" s="126"/>
      <c r="D36" s="35">
        <f>D34*D37</f>
        <v>593627.59620360006</v>
      </c>
      <c r="E36" s="36"/>
      <c r="F36" s="35">
        <f>F34*F37</f>
        <v>95722.475000000006</v>
      </c>
      <c r="G36" s="35"/>
      <c r="H36" s="35">
        <f>H34*H37</f>
        <v>128764.3418104</v>
      </c>
      <c r="I36" s="35"/>
      <c r="J36" s="35">
        <f>J34*J37</f>
        <v>158300.38600920001</v>
      </c>
      <c r="K36" s="35"/>
      <c r="L36" s="35">
        <f>L34*L37</f>
        <v>51900</v>
      </c>
      <c r="M36" s="35"/>
      <c r="N36" s="35">
        <f>N34*N37</f>
        <v>60697</v>
      </c>
      <c r="O36" s="35"/>
      <c r="P36" s="35">
        <f>P34*P37</f>
        <v>20000</v>
      </c>
      <c r="Q36" s="35"/>
      <c r="R36" s="35">
        <f>R34*R37</f>
        <v>92618</v>
      </c>
      <c r="S36" s="128"/>
      <c r="T36" s="128"/>
      <c r="U36" s="175"/>
      <c r="V36" s="153">
        <f>SUM(C36:R36)</f>
        <v>1201629.7990232001</v>
      </c>
      <c r="W36" s="34"/>
      <c r="X36" s="5"/>
    </row>
    <row r="37" spans="1:24" ht="15.6" x14ac:dyDescent="0.3">
      <c r="A37" s="24"/>
      <c r="B37" s="122" t="s">
        <v>130</v>
      </c>
      <c r="C37" s="25"/>
      <c r="D37" s="171">
        <v>0.7657794</v>
      </c>
      <c r="E37" s="171"/>
      <c r="F37" s="171">
        <v>0.76577980000000001</v>
      </c>
      <c r="G37" s="171"/>
      <c r="H37" s="171">
        <v>0.76577980000000001</v>
      </c>
      <c r="I37" s="171"/>
      <c r="J37" s="171">
        <v>0.7657794</v>
      </c>
      <c r="K37" s="171"/>
      <c r="L37" s="171">
        <v>1</v>
      </c>
      <c r="M37" s="171"/>
      <c r="N37" s="171">
        <v>1</v>
      </c>
      <c r="O37" s="171"/>
      <c r="P37" s="171">
        <v>1</v>
      </c>
      <c r="Q37" s="171"/>
      <c r="R37" s="171">
        <v>1</v>
      </c>
      <c r="S37" s="30"/>
      <c r="T37" s="30"/>
      <c r="U37" s="174"/>
      <c r="V37" s="174"/>
      <c r="W37" s="25"/>
      <c r="X37" s="5"/>
    </row>
    <row r="38" spans="1:24" ht="15.6" x14ac:dyDescent="0.3">
      <c r="A38" s="24"/>
      <c r="B38" s="122" t="s">
        <v>131</v>
      </c>
      <c r="C38" s="25"/>
      <c r="D38" s="171">
        <v>0.77219680000000002</v>
      </c>
      <c r="E38" s="171"/>
      <c r="F38" s="171">
        <v>0.77219720000000003</v>
      </c>
      <c r="G38" s="171"/>
      <c r="H38" s="171">
        <v>0.77219720000000003</v>
      </c>
      <c r="I38" s="171"/>
      <c r="J38" s="171">
        <v>0.77219680000000002</v>
      </c>
      <c r="K38" s="171"/>
      <c r="L38" s="171">
        <v>1</v>
      </c>
      <c r="M38" s="171"/>
      <c r="N38" s="171">
        <v>1</v>
      </c>
      <c r="O38" s="171"/>
      <c r="P38" s="171">
        <v>1</v>
      </c>
      <c r="Q38" s="171"/>
      <c r="R38" s="171">
        <v>1</v>
      </c>
      <c r="S38" s="39"/>
      <c r="T38" s="38"/>
      <c r="U38" s="174"/>
      <c r="V38" s="39"/>
      <c r="W38" s="25"/>
      <c r="X38" s="5"/>
    </row>
    <row r="39" spans="1:24" ht="15.6" x14ac:dyDescent="0.3">
      <c r="A39" s="24"/>
      <c r="B39" s="25" t="s">
        <v>11</v>
      </c>
      <c r="C39" s="25"/>
      <c r="D39" s="30" t="s">
        <v>285</v>
      </c>
      <c r="E39" s="25"/>
      <c r="F39" s="30" t="s">
        <v>258</v>
      </c>
      <c r="G39" s="30"/>
      <c r="H39" s="30" t="s">
        <v>258</v>
      </c>
      <c r="I39" s="30"/>
      <c r="J39" s="30" t="s">
        <v>258</v>
      </c>
      <c r="K39" s="30"/>
      <c r="L39" s="30" t="s">
        <v>232</v>
      </c>
      <c r="M39" s="30"/>
      <c r="N39" s="30" t="s">
        <v>232</v>
      </c>
      <c r="O39" s="30"/>
      <c r="P39" s="30" t="s">
        <v>233</v>
      </c>
      <c r="Q39" s="30"/>
      <c r="R39" s="30" t="s">
        <v>233</v>
      </c>
      <c r="S39" s="39"/>
      <c r="T39" s="38"/>
      <c r="U39" s="174"/>
      <c r="V39" s="174"/>
      <c r="W39" s="25"/>
      <c r="X39" s="5"/>
    </row>
    <row r="40" spans="1:24" ht="15.6" x14ac:dyDescent="0.3">
      <c r="A40" s="24"/>
      <c r="B40" s="25" t="s">
        <v>12</v>
      </c>
      <c r="C40" s="25"/>
      <c r="D40" s="38">
        <v>3.7280999999999998E-3</v>
      </c>
      <c r="E40" s="25"/>
      <c r="F40" s="38">
        <v>1.3518799999999999E-2</v>
      </c>
      <c r="G40" s="39"/>
      <c r="H40" s="38">
        <v>1.3769999999999999E-2</v>
      </c>
      <c r="I40" s="38"/>
      <c r="J40" s="38">
        <v>7.2937999999999996E-3</v>
      </c>
      <c r="K40" s="39"/>
      <c r="L40" s="38">
        <v>1.43188E-2</v>
      </c>
      <c r="M40" s="39"/>
      <c r="N40" s="38">
        <v>1.457E-2</v>
      </c>
      <c r="O40" s="39"/>
      <c r="P40" s="38">
        <v>1.6318800000000001E-2</v>
      </c>
      <c r="Q40" s="39"/>
      <c r="R40" s="38">
        <v>1.6570000000000001E-2</v>
      </c>
      <c r="S40" s="39"/>
      <c r="T40" s="38"/>
      <c r="U40" s="174"/>
      <c r="V40" s="30"/>
      <c r="W40" s="25"/>
      <c r="X40" s="5"/>
    </row>
    <row r="41" spans="1:24" ht="15.6" x14ac:dyDescent="0.3">
      <c r="A41" s="24"/>
      <c r="B41" s="25" t="s">
        <v>13</v>
      </c>
      <c r="C41" s="25"/>
      <c r="D41" s="38">
        <v>4.4438000000000004E-3</v>
      </c>
      <c r="E41" s="25"/>
      <c r="F41" s="38">
        <v>1.9381300000000001E-2</v>
      </c>
      <c r="G41" s="39"/>
      <c r="H41" s="38">
        <v>1.7500000000000002E-2</v>
      </c>
      <c r="I41" s="38"/>
      <c r="J41" s="38">
        <v>1.4200000000000001E-2</v>
      </c>
      <c r="K41" s="39"/>
      <c r="L41" s="38">
        <v>2.0181299999999999E-2</v>
      </c>
      <c r="M41" s="39"/>
      <c r="N41" s="38">
        <v>1.83E-2</v>
      </c>
      <c r="O41" s="39"/>
      <c r="P41" s="38">
        <v>2.2181300000000001E-2</v>
      </c>
      <c r="Q41" s="39"/>
      <c r="R41" s="38">
        <v>2.0299999999999999E-2</v>
      </c>
      <c r="S41" s="39"/>
      <c r="T41" s="38"/>
      <c r="U41" s="174"/>
      <c r="V41" s="39" t="s">
        <v>193</v>
      </c>
      <c r="W41" s="25"/>
      <c r="X41" s="5"/>
    </row>
    <row r="42" spans="1:24" ht="15.6" x14ac:dyDescent="0.3">
      <c r="A42" s="24"/>
      <c r="B42" s="25" t="s">
        <v>299</v>
      </c>
      <c r="C42" s="25"/>
      <c r="D42" s="30" t="s">
        <v>286</v>
      </c>
      <c r="E42" s="25"/>
      <c r="F42" s="30" t="s">
        <v>258</v>
      </c>
      <c r="G42" s="30"/>
      <c r="H42" s="30" t="s">
        <v>259</v>
      </c>
      <c r="I42" s="30"/>
      <c r="J42" s="30" t="s">
        <v>260</v>
      </c>
      <c r="K42" s="30"/>
      <c r="L42" s="30" t="s">
        <v>232</v>
      </c>
      <c r="M42" s="30"/>
      <c r="N42" s="30" t="s">
        <v>235</v>
      </c>
      <c r="O42" s="30"/>
      <c r="P42" s="30" t="s">
        <v>233</v>
      </c>
      <c r="Q42" s="30"/>
      <c r="R42" s="30" t="s">
        <v>261</v>
      </c>
      <c r="S42" s="39"/>
      <c r="T42" s="38"/>
      <c r="U42" s="174"/>
      <c r="V42" s="174"/>
      <c r="W42" s="25"/>
      <c r="X42" s="5"/>
    </row>
    <row r="43" spans="1:24" ht="15.6" x14ac:dyDescent="0.3">
      <c r="A43" s="24"/>
      <c r="B43" s="25" t="s">
        <v>300</v>
      </c>
      <c r="C43" s="110"/>
      <c r="D43" s="38">
        <v>1.38578E-2</v>
      </c>
      <c r="E43" s="38"/>
      <c r="F43" s="38">
        <f>+F40</f>
        <v>1.3518799999999999E-2</v>
      </c>
      <c r="G43" s="38"/>
      <c r="H43" s="38">
        <v>1.36588E-2</v>
      </c>
      <c r="I43" s="38"/>
      <c r="J43" s="38">
        <v>1.38818E-2</v>
      </c>
      <c r="K43" s="38"/>
      <c r="L43" s="38">
        <f>+L40</f>
        <v>1.43188E-2</v>
      </c>
      <c r="M43" s="38"/>
      <c r="N43" s="38">
        <v>1.4614800000000001E-2</v>
      </c>
      <c r="O43" s="38"/>
      <c r="P43" s="38">
        <f>+P40</f>
        <v>1.6318800000000001E-2</v>
      </c>
      <c r="Q43" s="39"/>
      <c r="R43" s="38">
        <v>1.68518E-2</v>
      </c>
      <c r="S43" s="30"/>
      <c r="T43" s="30"/>
      <c r="U43" s="174"/>
      <c r="V43" s="39">
        <f>SUMPRODUCT(D43:R43,D35:R35)/V35</f>
        <v>1.41402092242052E-2</v>
      </c>
      <c r="W43" s="25"/>
      <c r="X43" s="5"/>
    </row>
    <row r="44" spans="1:24" ht="15.6" x14ac:dyDescent="0.3">
      <c r="A44" s="24"/>
      <c r="B44" s="25" t="s">
        <v>301</v>
      </c>
      <c r="C44" s="110"/>
      <c r="D44" s="38">
        <v>1.97203E-2</v>
      </c>
      <c r="E44" s="38"/>
      <c r="F44" s="38">
        <f>+F41</f>
        <v>1.9381300000000001E-2</v>
      </c>
      <c r="G44" s="38"/>
      <c r="H44" s="38">
        <v>1.9521299999999998E-2</v>
      </c>
      <c r="I44" s="38"/>
      <c r="J44" s="38">
        <v>1.9744299999999999E-2</v>
      </c>
      <c r="K44" s="38"/>
      <c r="L44" s="38">
        <f>+L41</f>
        <v>2.0181299999999999E-2</v>
      </c>
      <c r="M44" s="38"/>
      <c r="N44" s="38">
        <v>2.04773E-2</v>
      </c>
      <c r="O44" s="38"/>
      <c r="P44" s="38">
        <f>+P41</f>
        <v>2.2181300000000001E-2</v>
      </c>
      <c r="Q44" s="39"/>
      <c r="R44" s="38">
        <v>2.27143E-2</v>
      </c>
      <c r="S44" s="30"/>
      <c r="T44" s="30"/>
      <c r="U44" s="174"/>
      <c r="V44" s="174"/>
      <c r="W44" s="25"/>
      <c r="X44" s="5"/>
    </row>
    <row r="45" spans="1:24" ht="15.6" x14ac:dyDescent="0.3">
      <c r="A45" s="24"/>
      <c r="B45" s="25" t="s">
        <v>14</v>
      </c>
      <c r="C45" s="25"/>
      <c r="D45" s="110">
        <v>40617</v>
      </c>
      <c r="E45" s="110"/>
      <c r="F45" s="110">
        <v>40617</v>
      </c>
      <c r="G45" s="110"/>
      <c r="H45" s="110">
        <v>40617</v>
      </c>
      <c r="I45" s="110"/>
      <c r="J45" s="110">
        <v>40617</v>
      </c>
      <c r="K45" s="110"/>
      <c r="L45" s="110">
        <v>40617</v>
      </c>
      <c r="M45" s="110"/>
      <c r="N45" s="110">
        <v>40617</v>
      </c>
      <c r="O45" s="110"/>
      <c r="P45" s="110">
        <v>40617</v>
      </c>
      <c r="Q45" s="110"/>
      <c r="R45" s="110">
        <v>40617</v>
      </c>
      <c r="S45" s="30"/>
      <c r="T45" s="30"/>
      <c r="U45" s="174"/>
      <c r="V45" s="174"/>
      <c r="W45" s="25"/>
      <c r="X45" s="5"/>
    </row>
    <row r="46" spans="1:24" ht="15.6" x14ac:dyDescent="0.3">
      <c r="A46" s="24"/>
      <c r="B46" s="25" t="s">
        <v>15</v>
      </c>
      <c r="C46" s="25"/>
      <c r="D46" s="110" t="s">
        <v>118</v>
      </c>
      <c r="E46" s="110"/>
      <c r="F46" s="110">
        <v>40983</v>
      </c>
      <c r="G46" s="110"/>
      <c r="H46" s="110">
        <v>40983</v>
      </c>
      <c r="I46" s="110"/>
      <c r="J46" s="110">
        <v>40983</v>
      </c>
      <c r="K46" s="30"/>
      <c r="L46" s="110">
        <v>40983</v>
      </c>
      <c r="M46" s="30"/>
      <c r="N46" s="110">
        <v>40983</v>
      </c>
      <c r="O46" s="30"/>
      <c r="P46" s="110">
        <v>40983</v>
      </c>
      <c r="Q46" s="30"/>
      <c r="R46" s="110">
        <v>40983</v>
      </c>
      <c r="S46" s="30"/>
      <c r="T46" s="30"/>
      <c r="U46" s="174"/>
      <c r="V46" s="174"/>
      <c r="W46" s="25"/>
      <c r="X46" s="5"/>
    </row>
    <row r="47" spans="1:24" ht="15.6" x14ac:dyDescent="0.3">
      <c r="A47" s="24"/>
      <c r="B47" s="25" t="s">
        <v>119</v>
      </c>
      <c r="C47" s="25"/>
      <c r="D47" s="158" t="s">
        <v>118</v>
      </c>
      <c r="E47" s="25"/>
      <c r="F47" s="30" t="s">
        <v>231</v>
      </c>
      <c r="G47" s="30"/>
      <c r="H47" s="30" t="s">
        <v>231</v>
      </c>
      <c r="I47" s="30"/>
      <c r="J47" s="30" t="s">
        <v>231</v>
      </c>
      <c r="K47" s="30"/>
      <c r="L47" s="30" t="s">
        <v>265</v>
      </c>
      <c r="M47" s="30"/>
      <c r="N47" s="30" t="s">
        <v>265</v>
      </c>
      <c r="O47" s="30"/>
      <c r="P47" s="30" t="s">
        <v>266</v>
      </c>
      <c r="Q47" s="30"/>
      <c r="R47" s="30" t="s">
        <v>266</v>
      </c>
      <c r="S47" s="40"/>
      <c r="T47" s="40"/>
      <c r="U47" s="40"/>
      <c r="V47" s="40"/>
      <c r="W47" s="25"/>
      <c r="X47" s="5"/>
    </row>
    <row r="48" spans="1:24" ht="15.6" x14ac:dyDescent="0.3">
      <c r="A48" s="24"/>
      <c r="B48" s="25" t="s">
        <v>302</v>
      </c>
      <c r="C48" s="25"/>
      <c r="D48" s="30" t="s">
        <v>200</v>
      </c>
      <c r="E48" s="25"/>
      <c r="F48" s="30" t="s">
        <v>231</v>
      </c>
      <c r="G48" s="30"/>
      <c r="H48" s="30" t="s">
        <v>262</v>
      </c>
      <c r="I48" s="30"/>
      <c r="J48" s="30" t="s">
        <v>263</v>
      </c>
      <c r="K48" s="30"/>
      <c r="L48" s="30" t="s">
        <v>265</v>
      </c>
      <c r="M48" s="30"/>
      <c r="N48" s="30" t="s">
        <v>234</v>
      </c>
      <c r="O48" s="30"/>
      <c r="P48" s="30" t="s">
        <v>266</v>
      </c>
      <c r="Q48" s="30"/>
      <c r="R48" s="30" t="s">
        <v>264</v>
      </c>
      <c r="S48" s="25"/>
      <c r="T48" s="25"/>
      <c r="U48" s="25"/>
      <c r="V48" s="39"/>
      <c r="W48" s="25"/>
      <c r="X48" s="5"/>
    </row>
    <row r="49" spans="1:25" ht="15.6" x14ac:dyDescent="0.3">
      <c r="A49" s="24"/>
      <c r="B49" s="25"/>
      <c r="C49" s="25"/>
      <c r="D49" s="30"/>
      <c r="E49" s="25"/>
      <c r="F49" s="30"/>
      <c r="G49" s="30"/>
      <c r="H49" s="30"/>
      <c r="I49" s="30"/>
      <c r="J49" s="30"/>
      <c r="K49" s="30"/>
      <c r="L49" s="30"/>
      <c r="M49" s="30"/>
      <c r="N49" s="30"/>
      <c r="O49" s="30"/>
      <c r="P49" s="30"/>
      <c r="Q49" s="30"/>
      <c r="R49" s="30"/>
      <c r="S49" s="25"/>
      <c r="T49" s="25"/>
      <c r="U49" s="25"/>
      <c r="V49" s="39" t="s">
        <v>193</v>
      </c>
      <c r="W49" s="25"/>
      <c r="X49" s="5"/>
    </row>
    <row r="50" spans="1:25" ht="15.6" x14ac:dyDescent="0.3">
      <c r="A50" s="24"/>
      <c r="B50" s="25" t="s">
        <v>169</v>
      </c>
      <c r="C50" s="25"/>
      <c r="D50" s="30"/>
      <c r="E50" s="25"/>
      <c r="F50" s="30"/>
      <c r="G50" s="30"/>
      <c r="H50" s="30"/>
      <c r="I50" s="30"/>
      <c r="J50" s="30"/>
      <c r="K50" s="30"/>
      <c r="L50" s="30"/>
      <c r="M50" s="30"/>
      <c r="N50" s="30"/>
      <c r="O50" s="30"/>
      <c r="P50" s="30"/>
      <c r="Q50" s="30"/>
      <c r="R50" s="30"/>
      <c r="S50" s="25"/>
      <c r="T50" s="25"/>
      <c r="U50" s="25"/>
      <c r="V50" s="39">
        <f>SUM(L34:R34)/SUM(D34:J34)</f>
        <v>0.17663090364375009</v>
      </c>
      <c r="W50" s="25"/>
      <c r="X50" s="5"/>
    </row>
    <row r="51" spans="1:25" ht="15.6" x14ac:dyDescent="0.3">
      <c r="A51" s="24"/>
      <c r="B51" s="25" t="s">
        <v>170</v>
      </c>
      <c r="C51" s="25"/>
      <c r="D51" s="25"/>
      <c r="E51" s="25"/>
      <c r="F51" s="41"/>
      <c r="G51" s="25"/>
      <c r="H51" s="25"/>
      <c r="I51" s="25"/>
      <c r="J51" s="25"/>
      <c r="K51" s="25"/>
      <c r="L51" s="25"/>
      <c r="M51" s="25"/>
      <c r="N51" s="25"/>
      <c r="O51" s="25"/>
      <c r="P51" s="25"/>
      <c r="Q51" s="25"/>
      <c r="R51" s="25"/>
      <c r="S51" s="25"/>
      <c r="T51" s="25"/>
      <c r="U51" s="25"/>
      <c r="V51" s="39">
        <f>SUM(L36:R36)/SUM(D36:J36)</f>
        <v>0.23065504560695294</v>
      </c>
      <c r="W51" s="25"/>
      <c r="X51" s="5"/>
    </row>
    <row r="52" spans="1:25" ht="15.6" x14ac:dyDescent="0.3">
      <c r="A52" s="24"/>
      <c r="B52" s="25" t="s">
        <v>171</v>
      </c>
      <c r="C52" s="25"/>
      <c r="D52" s="25"/>
      <c r="E52" s="25"/>
      <c r="F52" s="25"/>
      <c r="G52" s="25"/>
      <c r="H52" s="25"/>
      <c r="I52" s="25"/>
      <c r="J52" s="25"/>
      <c r="K52" s="25"/>
      <c r="L52" s="25"/>
      <c r="M52" s="25"/>
      <c r="N52" s="25"/>
      <c r="O52" s="25"/>
      <c r="P52" s="25"/>
      <c r="Q52" s="25"/>
      <c r="R52" s="25"/>
      <c r="S52" s="25"/>
      <c r="T52" s="30"/>
      <c r="U52" s="30"/>
      <c r="V52" s="31" t="s">
        <v>276</v>
      </c>
      <c r="W52" s="25"/>
      <c r="X52" s="5"/>
    </row>
    <row r="53" spans="1:25" ht="15.6" x14ac:dyDescent="0.3">
      <c r="A53" s="24"/>
      <c r="B53" s="25"/>
      <c r="C53" s="25"/>
      <c r="D53" s="25"/>
      <c r="E53" s="25"/>
      <c r="F53" s="25"/>
      <c r="G53" s="25"/>
      <c r="H53" s="25"/>
      <c r="I53" s="25"/>
      <c r="J53" s="25"/>
      <c r="K53" s="25"/>
      <c r="L53" s="25"/>
      <c r="M53" s="25"/>
      <c r="N53" s="25"/>
      <c r="O53" s="25"/>
      <c r="P53" s="25"/>
      <c r="Q53" s="25"/>
      <c r="R53" s="25"/>
      <c r="S53" s="25"/>
      <c r="T53" s="25"/>
      <c r="U53" s="25"/>
      <c r="V53" s="42"/>
      <c r="W53" s="25"/>
      <c r="X53" s="5"/>
    </row>
    <row r="54" spans="1:25" ht="15.6" x14ac:dyDescent="0.3">
      <c r="A54" s="24"/>
      <c r="B54" s="25" t="s">
        <v>202</v>
      </c>
      <c r="C54" s="25"/>
      <c r="D54" s="25"/>
      <c r="E54" s="25"/>
      <c r="F54" s="25"/>
      <c r="G54" s="25"/>
      <c r="H54" s="25"/>
      <c r="I54" s="25"/>
      <c r="J54" s="25"/>
      <c r="K54" s="25"/>
      <c r="L54" s="25"/>
      <c r="M54" s="25"/>
      <c r="N54" s="25"/>
      <c r="O54" s="25"/>
      <c r="P54" s="25"/>
      <c r="Q54" s="25"/>
      <c r="R54" s="25"/>
      <c r="S54" s="25"/>
      <c r="T54" s="25"/>
      <c r="U54" s="25"/>
      <c r="V54" s="154" t="s">
        <v>203</v>
      </c>
      <c r="W54" s="25"/>
      <c r="X54" s="5"/>
    </row>
    <row r="55" spans="1:25" ht="15.6" x14ac:dyDescent="0.3">
      <c r="A55" s="24"/>
      <c r="B55" s="25" t="s">
        <v>280</v>
      </c>
      <c r="C55" s="25"/>
      <c r="D55" s="25"/>
      <c r="E55" s="25"/>
      <c r="F55" s="25"/>
      <c r="G55" s="25"/>
      <c r="H55" s="25"/>
      <c r="I55" s="25"/>
      <c r="J55" s="25"/>
      <c r="K55" s="25"/>
      <c r="L55" s="25"/>
      <c r="M55" s="25"/>
      <c r="N55" s="25"/>
      <c r="O55" s="25"/>
      <c r="P55" s="25"/>
      <c r="Q55" s="25"/>
      <c r="R55" s="25"/>
      <c r="S55" s="25"/>
      <c r="T55" s="30"/>
      <c r="U55" s="30"/>
      <c r="V55" s="155" t="s">
        <v>111</v>
      </c>
      <c r="W55" s="25"/>
      <c r="X55" s="5"/>
    </row>
    <row r="56" spans="1:25" ht="15.6" x14ac:dyDescent="0.3">
      <c r="A56" s="24"/>
      <c r="B56" s="29" t="s">
        <v>201</v>
      </c>
      <c r="C56" s="29"/>
      <c r="D56" s="29"/>
      <c r="E56" s="29"/>
      <c r="F56" s="29"/>
      <c r="G56" s="29"/>
      <c r="H56" s="29"/>
      <c r="I56" s="29"/>
      <c r="J56" s="29"/>
      <c r="K56" s="29"/>
      <c r="L56" s="29"/>
      <c r="M56" s="29"/>
      <c r="N56" s="29"/>
      <c r="O56" s="29"/>
      <c r="P56" s="29"/>
      <c r="Q56" s="29"/>
      <c r="R56" s="29"/>
      <c r="S56" s="29"/>
      <c r="T56" s="43"/>
      <c r="U56" s="43"/>
      <c r="V56" s="44">
        <v>40071</v>
      </c>
      <c r="W56" s="25"/>
      <c r="X56" s="5"/>
    </row>
    <row r="57" spans="1:25" ht="15.6" x14ac:dyDescent="0.3">
      <c r="A57" s="24"/>
      <c r="B57" s="25" t="s">
        <v>121</v>
      </c>
      <c r="C57" s="25"/>
      <c r="D57" s="25"/>
      <c r="E57" s="25"/>
      <c r="F57" s="25"/>
      <c r="G57" s="25"/>
      <c r="H57" s="58"/>
      <c r="I57" s="58"/>
      <c r="J57" s="58"/>
      <c r="K57" s="58"/>
      <c r="L57" s="58"/>
      <c r="M57" s="58"/>
      <c r="N57" s="58"/>
      <c r="O57" s="58"/>
      <c r="P57" s="58"/>
      <c r="Q57" s="58"/>
      <c r="R57" s="25">
        <f>+V57-T57+1</f>
        <v>91</v>
      </c>
      <c r="S57" s="58"/>
      <c r="T57" s="45">
        <v>39888</v>
      </c>
      <c r="U57" s="46"/>
      <c r="V57" s="45">
        <v>39978</v>
      </c>
      <c r="W57" s="25"/>
      <c r="X57" s="5"/>
    </row>
    <row r="58" spans="1:25" ht="15.6" x14ac:dyDescent="0.3">
      <c r="A58" s="24"/>
      <c r="B58" s="25" t="s">
        <v>122</v>
      </c>
      <c r="C58" s="25"/>
      <c r="D58" s="25"/>
      <c r="E58" s="25"/>
      <c r="F58" s="25"/>
      <c r="G58" s="25"/>
      <c r="H58" s="25"/>
      <c r="I58" s="25"/>
      <c r="J58" s="25"/>
      <c r="K58" s="25"/>
      <c r="L58" s="25"/>
      <c r="M58" s="25"/>
      <c r="N58" s="25"/>
      <c r="O58" s="25"/>
      <c r="P58" s="25"/>
      <c r="Q58" s="25"/>
      <c r="R58" s="25">
        <f>+V58-T58+1</f>
        <v>92</v>
      </c>
      <c r="S58" s="25"/>
      <c r="T58" s="45">
        <v>39979</v>
      </c>
      <c r="U58" s="46"/>
      <c r="V58" s="45">
        <v>40070</v>
      </c>
      <c r="W58" s="25"/>
      <c r="X58" s="5"/>
    </row>
    <row r="59" spans="1:25" ht="15.6" x14ac:dyDescent="0.3">
      <c r="A59" s="24"/>
      <c r="B59" s="25" t="s">
        <v>229</v>
      </c>
      <c r="C59" s="25"/>
      <c r="D59" s="25"/>
      <c r="E59" s="25"/>
      <c r="F59" s="25"/>
      <c r="G59" s="25"/>
      <c r="H59" s="25"/>
      <c r="I59" s="25"/>
      <c r="J59" s="25"/>
      <c r="K59" s="25"/>
      <c r="L59" s="25"/>
      <c r="M59" s="25"/>
      <c r="N59" s="25"/>
      <c r="O59" s="25"/>
      <c r="P59" s="25"/>
      <c r="Q59" s="25"/>
      <c r="R59" s="25"/>
      <c r="S59" s="25"/>
      <c r="T59" s="45"/>
      <c r="U59" s="46"/>
      <c r="V59" s="45" t="s">
        <v>120</v>
      </c>
      <c r="W59" s="25"/>
      <c r="X59" s="5"/>
    </row>
    <row r="60" spans="1:25" ht="15.6" x14ac:dyDescent="0.3">
      <c r="A60" s="24"/>
      <c r="B60" s="25" t="s">
        <v>228</v>
      </c>
      <c r="C60" s="25"/>
      <c r="D60" s="25"/>
      <c r="E60" s="25"/>
      <c r="F60" s="25"/>
      <c r="G60" s="25"/>
      <c r="H60" s="25"/>
      <c r="I60" s="25"/>
      <c r="J60" s="25"/>
      <c r="K60" s="25"/>
      <c r="L60" s="25"/>
      <c r="M60" s="25"/>
      <c r="N60" s="25"/>
      <c r="O60" s="25"/>
      <c r="P60" s="25"/>
      <c r="Q60" s="25"/>
      <c r="R60" s="25"/>
      <c r="S60" s="25"/>
      <c r="T60" s="45"/>
      <c r="U60" s="46"/>
      <c r="V60" s="45" t="s">
        <v>154</v>
      </c>
      <c r="W60" s="25"/>
      <c r="X60" s="5"/>
      <c r="Y60" s="134"/>
    </row>
    <row r="61" spans="1:25" ht="15.6" x14ac:dyDescent="0.3">
      <c r="A61" s="24"/>
      <c r="B61" s="25" t="s">
        <v>16</v>
      </c>
      <c r="C61" s="25"/>
      <c r="D61" s="25"/>
      <c r="E61" s="25"/>
      <c r="F61" s="25"/>
      <c r="G61" s="25"/>
      <c r="H61" s="25"/>
      <c r="I61" s="25"/>
      <c r="J61" s="25"/>
      <c r="K61" s="25"/>
      <c r="L61" s="25"/>
      <c r="M61" s="25"/>
      <c r="N61" s="25"/>
      <c r="O61" s="25"/>
      <c r="P61" s="25"/>
      <c r="Q61" s="25"/>
      <c r="R61" s="25"/>
      <c r="S61" s="25"/>
      <c r="T61" s="45"/>
      <c r="U61" s="46"/>
      <c r="V61" s="45">
        <v>40057</v>
      </c>
      <c r="W61" s="25"/>
      <c r="X61" s="5"/>
    </row>
    <row r="62" spans="1:25" ht="15.6" x14ac:dyDescent="0.3">
      <c r="A62" s="24"/>
      <c r="B62" s="25"/>
      <c r="C62" s="25"/>
      <c r="D62" s="25"/>
      <c r="E62" s="25"/>
      <c r="F62" s="25"/>
      <c r="G62" s="25"/>
      <c r="H62" s="25"/>
      <c r="I62" s="25"/>
      <c r="J62" s="25"/>
      <c r="K62" s="25"/>
      <c r="L62" s="25"/>
      <c r="M62" s="25"/>
      <c r="N62" s="25"/>
      <c r="O62" s="25"/>
      <c r="P62" s="25"/>
      <c r="Q62" s="25"/>
      <c r="R62" s="25"/>
      <c r="S62" s="25"/>
      <c r="T62" s="45"/>
      <c r="U62" s="46"/>
      <c r="V62" s="45"/>
      <c r="W62" s="25"/>
      <c r="X62" s="5"/>
    </row>
    <row r="63" spans="1:25" ht="15.6" x14ac:dyDescent="0.3">
      <c r="A63" s="6"/>
      <c r="B63" s="8"/>
      <c r="C63" s="8"/>
      <c r="D63" s="8"/>
      <c r="E63" s="8"/>
      <c r="F63" s="8"/>
      <c r="G63" s="8"/>
      <c r="H63" s="8"/>
      <c r="I63" s="8"/>
      <c r="J63" s="8"/>
      <c r="K63" s="8"/>
      <c r="L63" s="8"/>
      <c r="M63" s="8"/>
      <c r="N63" s="8"/>
      <c r="O63" s="8"/>
      <c r="P63" s="8"/>
      <c r="Q63" s="8"/>
      <c r="R63" s="8"/>
      <c r="S63" s="8"/>
      <c r="T63" s="47"/>
      <c r="U63" s="48"/>
      <c r="V63" s="47"/>
      <c r="W63" s="8"/>
      <c r="X63" s="5"/>
    </row>
    <row r="64" spans="1:25" ht="18" thickBot="1" x14ac:dyDescent="0.35">
      <c r="A64" s="101"/>
      <c r="B64" s="102" t="s">
        <v>294</v>
      </c>
      <c r="C64" s="103"/>
      <c r="D64" s="103"/>
      <c r="E64" s="103"/>
      <c r="F64" s="103"/>
      <c r="G64" s="103"/>
      <c r="H64" s="103"/>
      <c r="I64" s="103"/>
      <c r="J64" s="103"/>
      <c r="K64" s="103"/>
      <c r="L64" s="103"/>
      <c r="M64" s="103"/>
      <c r="N64" s="103"/>
      <c r="O64" s="103"/>
      <c r="P64" s="103"/>
      <c r="Q64" s="103"/>
      <c r="R64" s="103"/>
      <c r="S64" s="103"/>
      <c r="T64" s="103"/>
      <c r="U64" s="103"/>
      <c r="V64" s="104"/>
      <c r="W64" s="105"/>
      <c r="X64" s="5"/>
    </row>
    <row r="65" spans="1:24" ht="15.6" x14ac:dyDescent="0.3">
      <c r="A65" s="2"/>
      <c r="B65" s="4"/>
      <c r="C65" s="4"/>
      <c r="D65" s="4"/>
      <c r="E65" s="4"/>
      <c r="F65" s="4"/>
      <c r="G65" s="4"/>
      <c r="H65" s="4"/>
      <c r="I65" s="4"/>
      <c r="J65" s="4"/>
      <c r="K65" s="4"/>
      <c r="L65" s="4"/>
      <c r="M65" s="4"/>
      <c r="N65" s="4"/>
      <c r="O65" s="4"/>
      <c r="P65" s="4"/>
      <c r="Q65" s="4"/>
      <c r="R65" s="4"/>
      <c r="S65" s="4"/>
      <c r="T65" s="4"/>
      <c r="U65" s="4"/>
      <c r="V65" s="50"/>
      <c r="W65" s="4"/>
      <c r="X65" s="5"/>
    </row>
    <row r="66" spans="1:24" ht="15.6" x14ac:dyDescent="0.3">
      <c r="A66" s="6"/>
      <c r="B66" s="51" t="s">
        <v>17</v>
      </c>
      <c r="C66" s="8"/>
      <c r="D66" s="8"/>
      <c r="E66" s="8"/>
      <c r="F66" s="8"/>
      <c r="G66" s="8"/>
      <c r="H66" s="8"/>
      <c r="I66" s="8"/>
      <c r="J66" s="8"/>
      <c r="K66" s="8"/>
      <c r="L66" s="8"/>
      <c r="M66" s="8"/>
      <c r="N66" s="8"/>
      <c r="O66" s="8"/>
      <c r="P66" s="8"/>
      <c r="Q66" s="8"/>
      <c r="R66" s="8"/>
      <c r="S66" s="8"/>
      <c r="T66" s="8"/>
      <c r="U66" s="8"/>
      <c r="V66" s="52"/>
      <c r="W66" s="8"/>
      <c r="X66" s="5"/>
    </row>
    <row r="67" spans="1:24" ht="15.6" x14ac:dyDescent="0.3">
      <c r="A67" s="6"/>
      <c r="B67" s="13"/>
      <c r="C67" s="8"/>
      <c r="D67" s="8"/>
      <c r="E67" s="8"/>
      <c r="F67" s="8"/>
      <c r="G67" s="8"/>
      <c r="H67" s="8"/>
      <c r="I67" s="8"/>
      <c r="J67" s="8"/>
      <c r="K67" s="8"/>
      <c r="L67" s="8"/>
      <c r="M67" s="8"/>
      <c r="N67" s="8"/>
      <c r="O67" s="8"/>
      <c r="P67" s="8"/>
      <c r="Q67" s="8"/>
      <c r="R67" s="8"/>
      <c r="S67" s="8"/>
      <c r="T67" s="8"/>
      <c r="U67" s="8"/>
      <c r="V67" s="52"/>
      <c r="W67" s="8"/>
      <c r="X67" s="5"/>
    </row>
    <row r="68" spans="1:24" ht="46.8" x14ac:dyDescent="0.3">
      <c r="A68" s="6"/>
      <c r="B68" s="114" t="s">
        <v>18</v>
      </c>
      <c r="C68" s="115"/>
      <c r="D68" s="115"/>
      <c r="E68" s="115"/>
      <c r="F68" s="115"/>
      <c r="G68" s="115"/>
      <c r="H68" s="115"/>
      <c r="I68" s="115"/>
      <c r="J68" s="115"/>
      <c r="K68" s="115"/>
      <c r="L68" s="115" t="s">
        <v>94</v>
      </c>
      <c r="M68" s="115"/>
      <c r="N68" s="115" t="s">
        <v>96</v>
      </c>
      <c r="O68" s="115"/>
      <c r="P68" s="115" t="s">
        <v>98</v>
      </c>
      <c r="Q68" s="115"/>
      <c r="R68" s="115" t="s">
        <v>100</v>
      </c>
      <c r="S68" s="115"/>
      <c r="T68" s="115" t="s">
        <v>106</v>
      </c>
      <c r="U68" s="115"/>
      <c r="V68" s="116" t="s">
        <v>112</v>
      </c>
      <c r="W68" s="117"/>
      <c r="X68" s="5"/>
    </row>
    <row r="69" spans="1:24" ht="15.6" x14ac:dyDescent="0.3">
      <c r="A69" s="24"/>
      <c r="B69" s="25" t="s">
        <v>19</v>
      </c>
      <c r="C69" s="34"/>
      <c r="D69" s="34"/>
      <c r="E69" s="34"/>
      <c r="F69" s="34"/>
      <c r="G69" s="34"/>
      <c r="H69" s="34"/>
      <c r="I69" s="34"/>
      <c r="J69" s="34"/>
      <c r="K69" s="34"/>
      <c r="L69" s="34">
        <v>1158015</v>
      </c>
      <c r="M69" s="34"/>
      <c r="N69" s="53">
        <v>1209812</v>
      </c>
      <c r="O69" s="34"/>
      <c r="P69" s="34">
        <f>8183+408+567-1</f>
        <v>9157</v>
      </c>
      <c r="Q69" s="34"/>
      <c r="R69" s="34">
        <f>408+567</f>
        <v>975</v>
      </c>
      <c r="S69" s="34"/>
      <c r="T69" s="34">
        <v>0</v>
      </c>
      <c r="U69" s="34"/>
      <c r="V69" s="53">
        <f>+N69-P69+R69-T69</f>
        <v>1201630</v>
      </c>
      <c r="W69" s="25"/>
      <c r="X69" s="5"/>
    </row>
    <row r="70" spans="1:24" ht="15.6" x14ac:dyDescent="0.3">
      <c r="A70" s="24"/>
      <c r="B70" s="25" t="s">
        <v>20</v>
      </c>
      <c r="C70" s="34"/>
      <c r="D70" s="34"/>
      <c r="E70" s="34"/>
      <c r="F70" s="34"/>
      <c r="G70" s="34"/>
      <c r="H70" s="34"/>
      <c r="I70" s="34"/>
      <c r="J70" s="34"/>
      <c r="K70" s="34"/>
      <c r="L70" s="34">
        <v>15</v>
      </c>
      <c r="M70" s="34"/>
      <c r="N70" s="53">
        <v>0</v>
      </c>
      <c r="O70" s="34"/>
      <c r="P70" s="34">
        <v>0</v>
      </c>
      <c r="Q70" s="34"/>
      <c r="R70" s="34">
        <v>0</v>
      </c>
      <c r="S70" s="34"/>
      <c r="T70" s="34">
        <v>0</v>
      </c>
      <c r="U70" s="34"/>
      <c r="V70" s="53">
        <v>0</v>
      </c>
      <c r="W70" s="25"/>
      <c r="X70" s="5"/>
    </row>
    <row r="71" spans="1:24" ht="15.6" x14ac:dyDescent="0.3">
      <c r="A71" s="24"/>
      <c r="B71" s="25"/>
      <c r="C71" s="34"/>
      <c r="D71" s="34"/>
      <c r="E71" s="34"/>
      <c r="F71" s="34"/>
      <c r="G71" s="34"/>
      <c r="H71" s="34"/>
      <c r="I71" s="34"/>
      <c r="J71" s="34"/>
      <c r="K71" s="34"/>
      <c r="L71" s="34"/>
      <c r="M71" s="34"/>
      <c r="N71" s="53"/>
      <c r="O71" s="34"/>
      <c r="P71" s="34"/>
      <c r="Q71" s="34"/>
      <c r="R71" s="34"/>
      <c r="S71" s="34"/>
      <c r="T71" s="34"/>
      <c r="U71" s="34"/>
      <c r="V71" s="53"/>
      <c r="W71" s="25"/>
      <c r="X71" s="5"/>
    </row>
    <row r="72" spans="1:24" ht="15.6" x14ac:dyDescent="0.3">
      <c r="A72" s="24"/>
      <c r="B72" s="25" t="s">
        <v>21</v>
      </c>
      <c r="C72" s="34"/>
      <c r="D72" s="34"/>
      <c r="E72" s="34"/>
      <c r="F72" s="34"/>
      <c r="G72" s="34"/>
      <c r="H72" s="34"/>
      <c r="I72" s="34"/>
      <c r="J72" s="34"/>
      <c r="K72" s="34"/>
      <c r="L72" s="34">
        <f>SUM(L69:L71)</f>
        <v>1158030</v>
      </c>
      <c r="M72" s="34"/>
      <c r="N72" s="54">
        <f>N69+N70</f>
        <v>1209812</v>
      </c>
      <c r="O72" s="34"/>
      <c r="P72" s="34">
        <f>SUM(P69:P71)</f>
        <v>9157</v>
      </c>
      <c r="Q72" s="34"/>
      <c r="R72" s="34">
        <f>SUM(R69:R71)</f>
        <v>975</v>
      </c>
      <c r="S72" s="34"/>
      <c r="T72" s="34">
        <f>SUM(T69:T71)</f>
        <v>0</v>
      </c>
      <c r="U72" s="34"/>
      <c r="V72" s="54">
        <f>SUM(V69:V71)</f>
        <v>1201630</v>
      </c>
      <c r="W72" s="25"/>
      <c r="X72" s="5"/>
    </row>
    <row r="73" spans="1:24" ht="15.6" x14ac:dyDescent="0.3">
      <c r="A73" s="24"/>
      <c r="B73" s="25"/>
      <c r="C73" s="34"/>
      <c r="D73" s="34"/>
      <c r="E73" s="34"/>
      <c r="F73" s="34"/>
      <c r="G73" s="34"/>
      <c r="H73" s="34"/>
      <c r="I73" s="34"/>
      <c r="J73" s="34"/>
      <c r="K73" s="34"/>
      <c r="L73" s="34"/>
      <c r="M73" s="34"/>
      <c r="N73" s="34"/>
      <c r="O73" s="34"/>
      <c r="P73" s="34"/>
      <c r="Q73" s="34"/>
      <c r="R73" s="34"/>
      <c r="S73" s="34"/>
      <c r="T73" s="34"/>
      <c r="U73" s="34"/>
      <c r="V73" s="54"/>
      <c r="W73" s="25"/>
      <c r="X73" s="5"/>
    </row>
    <row r="74" spans="1:24" ht="15.6" x14ac:dyDescent="0.3">
      <c r="A74" s="6"/>
      <c r="B74" s="111" t="s">
        <v>22</v>
      </c>
      <c r="C74" s="55"/>
      <c r="D74" s="55"/>
      <c r="E74" s="55"/>
      <c r="F74" s="55"/>
      <c r="G74" s="55"/>
      <c r="H74" s="55"/>
      <c r="I74" s="55"/>
      <c r="J74" s="55"/>
      <c r="K74" s="55"/>
      <c r="L74" s="55"/>
      <c r="M74" s="55"/>
      <c r="N74" s="55"/>
      <c r="O74" s="55"/>
      <c r="P74" s="55"/>
      <c r="Q74" s="55"/>
      <c r="R74" s="55"/>
      <c r="S74" s="55"/>
      <c r="T74" s="55"/>
      <c r="U74" s="55"/>
      <c r="V74" s="56"/>
      <c r="W74" s="8"/>
      <c r="X74" s="5"/>
    </row>
    <row r="75" spans="1:24" ht="15.6" x14ac:dyDescent="0.3">
      <c r="A75" s="6"/>
      <c r="B75" s="8"/>
      <c r="C75" s="55"/>
      <c r="D75" s="55"/>
      <c r="E75" s="55"/>
      <c r="F75" s="55"/>
      <c r="G75" s="55"/>
      <c r="H75" s="55"/>
      <c r="I75" s="55"/>
      <c r="J75" s="55"/>
      <c r="K75" s="55"/>
      <c r="L75" s="55"/>
      <c r="M75" s="55"/>
      <c r="N75" s="55"/>
      <c r="O75" s="55"/>
      <c r="P75" s="55"/>
      <c r="Q75" s="55"/>
      <c r="R75" s="55"/>
      <c r="S75" s="55"/>
      <c r="T75" s="55"/>
      <c r="U75" s="55"/>
      <c r="V75" s="56"/>
      <c r="W75" s="8"/>
      <c r="X75" s="5"/>
    </row>
    <row r="76" spans="1:24" ht="15.6" x14ac:dyDescent="0.3">
      <c r="A76" s="24"/>
      <c r="B76" s="25" t="s">
        <v>19</v>
      </c>
      <c r="C76" s="34"/>
      <c r="D76" s="34"/>
      <c r="E76" s="34"/>
      <c r="F76" s="34"/>
      <c r="G76" s="34"/>
      <c r="H76" s="34"/>
      <c r="I76" s="34"/>
      <c r="J76" s="34"/>
      <c r="K76" s="34"/>
      <c r="L76" s="34"/>
      <c r="M76" s="34"/>
      <c r="N76" s="34"/>
      <c r="O76" s="34"/>
      <c r="P76" s="34"/>
      <c r="Q76" s="34"/>
      <c r="R76" s="34"/>
      <c r="S76" s="34"/>
      <c r="T76" s="34"/>
      <c r="U76" s="34"/>
      <c r="V76" s="54"/>
      <c r="W76" s="25"/>
      <c r="X76" s="5"/>
    </row>
    <row r="77" spans="1:24" ht="15.6" x14ac:dyDescent="0.3">
      <c r="A77" s="24"/>
      <c r="B77" s="25" t="s">
        <v>20</v>
      </c>
      <c r="C77" s="34"/>
      <c r="D77" s="34"/>
      <c r="E77" s="34"/>
      <c r="F77" s="34"/>
      <c r="G77" s="34"/>
      <c r="H77" s="34"/>
      <c r="I77" s="34"/>
      <c r="J77" s="34"/>
      <c r="K77" s="34"/>
      <c r="L77" s="34"/>
      <c r="M77" s="34"/>
      <c r="N77" s="34"/>
      <c r="O77" s="34"/>
      <c r="P77" s="34"/>
      <c r="Q77" s="34"/>
      <c r="R77" s="34"/>
      <c r="S77" s="34"/>
      <c r="T77" s="34"/>
      <c r="U77" s="34"/>
      <c r="V77" s="54"/>
      <c r="W77" s="25"/>
      <c r="X77" s="5"/>
    </row>
    <row r="78" spans="1:24" ht="15.6" x14ac:dyDescent="0.3">
      <c r="A78" s="24"/>
      <c r="B78" s="25"/>
      <c r="C78" s="34"/>
      <c r="D78" s="34"/>
      <c r="E78" s="34"/>
      <c r="F78" s="34"/>
      <c r="G78" s="34"/>
      <c r="H78" s="34"/>
      <c r="I78" s="34"/>
      <c r="J78" s="34"/>
      <c r="K78" s="34"/>
      <c r="L78" s="34"/>
      <c r="M78" s="34"/>
      <c r="N78" s="34"/>
      <c r="O78" s="34"/>
      <c r="P78" s="34"/>
      <c r="Q78" s="34"/>
      <c r="R78" s="34"/>
      <c r="S78" s="34"/>
      <c r="T78" s="34"/>
      <c r="U78" s="34"/>
      <c r="V78" s="54"/>
      <c r="W78" s="25"/>
      <c r="X78" s="5"/>
    </row>
    <row r="79" spans="1:24" ht="15.6" x14ac:dyDescent="0.3">
      <c r="A79" s="24"/>
      <c r="B79" s="25" t="s">
        <v>21</v>
      </c>
      <c r="C79" s="34"/>
      <c r="D79" s="34"/>
      <c r="E79" s="34"/>
      <c r="F79" s="34"/>
      <c r="G79" s="34"/>
      <c r="H79" s="34"/>
      <c r="I79" s="34"/>
      <c r="J79" s="34"/>
      <c r="K79" s="34"/>
      <c r="L79" s="34"/>
      <c r="M79" s="34"/>
      <c r="N79" s="34"/>
      <c r="O79" s="34"/>
      <c r="P79" s="34"/>
      <c r="Q79" s="34"/>
      <c r="R79" s="34"/>
      <c r="S79" s="34"/>
      <c r="T79" s="34"/>
      <c r="U79" s="34"/>
      <c r="V79" s="34"/>
      <c r="W79" s="25"/>
      <c r="X79" s="5"/>
    </row>
    <row r="80" spans="1:24" ht="15.6" x14ac:dyDescent="0.3">
      <c r="A80" s="24"/>
      <c r="B80" s="25"/>
      <c r="C80" s="34"/>
      <c r="D80" s="34"/>
      <c r="E80" s="34"/>
      <c r="F80" s="34"/>
      <c r="G80" s="34"/>
      <c r="H80" s="34"/>
      <c r="I80" s="34"/>
      <c r="J80" s="34"/>
      <c r="K80" s="34"/>
      <c r="L80" s="34"/>
      <c r="M80" s="34"/>
      <c r="N80" s="34"/>
      <c r="O80" s="34"/>
      <c r="P80" s="34"/>
      <c r="Q80" s="34"/>
      <c r="R80" s="34"/>
      <c r="S80" s="34"/>
      <c r="T80" s="34"/>
      <c r="U80" s="34"/>
      <c r="V80" s="34"/>
      <c r="W80" s="25"/>
      <c r="X80" s="5"/>
    </row>
    <row r="81" spans="1:24" ht="15.6" x14ac:dyDescent="0.3">
      <c r="A81" s="24"/>
      <c r="B81" s="25" t="s">
        <v>23</v>
      </c>
      <c r="C81" s="34"/>
      <c r="D81" s="34"/>
      <c r="E81" s="34"/>
      <c r="F81" s="34"/>
      <c r="G81" s="34"/>
      <c r="H81" s="34"/>
      <c r="I81" s="34"/>
      <c r="J81" s="34"/>
      <c r="K81" s="34"/>
      <c r="L81" s="34">
        <v>0</v>
      </c>
      <c r="M81" s="34"/>
      <c r="N81" s="34">
        <v>0</v>
      </c>
      <c r="O81" s="34"/>
      <c r="P81" s="34"/>
      <c r="Q81" s="34"/>
      <c r="R81" s="34"/>
      <c r="S81" s="34"/>
      <c r="T81" s="34"/>
      <c r="U81" s="34"/>
      <c r="V81" s="53">
        <v>0</v>
      </c>
      <c r="W81" s="25"/>
      <c r="X81" s="5"/>
    </row>
    <row r="82" spans="1:24" ht="15.6" x14ac:dyDescent="0.3">
      <c r="A82" s="24"/>
      <c r="B82" s="25" t="s">
        <v>117</v>
      </c>
      <c r="C82" s="34"/>
      <c r="D82" s="34"/>
      <c r="E82" s="34"/>
      <c r="F82" s="34"/>
      <c r="G82" s="34"/>
      <c r="H82" s="34"/>
      <c r="I82" s="34"/>
      <c r="J82" s="34"/>
      <c r="K82" s="34"/>
      <c r="L82" s="34">
        <v>342245</v>
      </c>
      <c r="M82" s="34"/>
      <c r="N82" s="34">
        <v>0</v>
      </c>
      <c r="O82" s="34"/>
      <c r="P82" s="34">
        <v>0</v>
      </c>
      <c r="Q82" s="34"/>
      <c r="R82" s="34"/>
      <c r="S82" s="34"/>
      <c r="T82" s="34"/>
      <c r="U82" s="34"/>
      <c r="V82" s="54">
        <f>SUM(N82:R82)</f>
        <v>0</v>
      </c>
      <c r="W82" s="25"/>
      <c r="X82" s="5"/>
    </row>
    <row r="83" spans="1:24" ht="15.6" x14ac:dyDescent="0.3">
      <c r="A83" s="24"/>
      <c r="B83" s="25" t="s">
        <v>146</v>
      </c>
      <c r="C83" s="34"/>
      <c r="D83" s="34"/>
      <c r="E83" s="34"/>
      <c r="F83" s="34"/>
      <c r="G83" s="34"/>
      <c r="H83" s="34"/>
      <c r="I83" s="34"/>
      <c r="J83" s="34"/>
      <c r="K83" s="34"/>
      <c r="L83" s="34">
        <v>0</v>
      </c>
      <c r="M83" s="34"/>
      <c r="N83" s="34">
        <v>0</v>
      </c>
      <c r="O83" s="34"/>
      <c r="P83" s="34">
        <v>0</v>
      </c>
      <c r="Q83" s="34"/>
      <c r="R83" s="34"/>
      <c r="S83" s="34"/>
      <c r="T83" s="34"/>
      <c r="U83" s="34"/>
      <c r="V83" s="54">
        <f>+N83+P83</f>
        <v>0</v>
      </c>
      <c r="W83" s="25"/>
      <c r="X83" s="5"/>
    </row>
    <row r="84" spans="1:24" ht="15.6" x14ac:dyDescent="0.3">
      <c r="A84" s="24"/>
      <c r="B84" s="25" t="s">
        <v>25</v>
      </c>
      <c r="C84" s="34"/>
      <c r="D84" s="34"/>
      <c r="E84" s="34"/>
      <c r="F84" s="34"/>
      <c r="G84" s="34"/>
      <c r="H84" s="34"/>
      <c r="I84" s="34"/>
      <c r="J84" s="34"/>
      <c r="K84" s="34"/>
      <c r="L84" s="34">
        <v>0</v>
      </c>
      <c r="M84" s="34"/>
      <c r="N84" s="34">
        <v>0</v>
      </c>
      <c r="O84" s="34"/>
      <c r="P84" s="34"/>
      <c r="Q84" s="34"/>
      <c r="R84" s="34"/>
      <c r="S84" s="34"/>
      <c r="T84" s="34"/>
      <c r="U84" s="34"/>
      <c r="V84" s="54">
        <v>0</v>
      </c>
      <c r="W84" s="25"/>
      <c r="X84" s="5"/>
    </row>
    <row r="85" spans="1:24" ht="15.6" x14ac:dyDescent="0.3">
      <c r="A85" s="24"/>
      <c r="B85" s="25" t="s">
        <v>26</v>
      </c>
      <c r="C85" s="34"/>
      <c r="D85" s="34"/>
      <c r="E85" s="34"/>
      <c r="F85" s="54"/>
      <c r="G85" s="34"/>
      <c r="H85" s="54"/>
      <c r="I85" s="54"/>
      <c r="J85" s="54"/>
      <c r="K85" s="54"/>
      <c r="L85" s="54">
        <f>SUM(L72:L84)</f>
        <v>1500275</v>
      </c>
      <c r="M85" s="34"/>
      <c r="N85" s="54">
        <f>SUM(N72:N84)</f>
        <v>1209812</v>
      </c>
      <c r="O85" s="34"/>
      <c r="P85" s="34"/>
      <c r="Q85" s="34"/>
      <c r="R85" s="34"/>
      <c r="S85" s="34"/>
      <c r="T85" s="54"/>
      <c r="U85" s="34"/>
      <c r="V85" s="54">
        <f>SUM(V72:V84)</f>
        <v>1201630</v>
      </c>
      <c r="W85" s="25"/>
      <c r="X85" s="5"/>
    </row>
    <row r="86" spans="1:24" ht="15.6" x14ac:dyDescent="0.3">
      <c r="A86" s="24"/>
      <c r="B86" s="25"/>
      <c r="C86" s="34"/>
      <c r="D86" s="34"/>
      <c r="E86" s="34"/>
      <c r="F86" s="34"/>
      <c r="G86" s="34"/>
      <c r="H86" s="34"/>
      <c r="I86" s="34"/>
      <c r="J86" s="34"/>
      <c r="K86" s="34"/>
      <c r="L86" s="34"/>
      <c r="M86" s="34"/>
      <c r="N86" s="34"/>
      <c r="O86" s="34"/>
      <c r="P86" s="34"/>
      <c r="Q86" s="34"/>
      <c r="R86" s="34"/>
      <c r="S86" s="34"/>
      <c r="T86" s="34"/>
      <c r="U86" s="34"/>
      <c r="V86" s="54"/>
      <c r="W86" s="25"/>
      <c r="X86" s="5"/>
    </row>
    <row r="87" spans="1:24" ht="15.6" x14ac:dyDescent="0.3">
      <c r="A87" s="6"/>
      <c r="B87" s="8"/>
      <c r="C87" s="8"/>
      <c r="D87" s="8"/>
      <c r="E87" s="8"/>
      <c r="F87" s="8"/>
      <c r="G87" s="8"/>
      <c r="H87" s="8"/>
      <c r="I87" s="8"/>
      <c r="J87" s="8"/>
      <c r="K87" s="8"/>
      <c r="L87" s="8"/>
      <c r="M87" s="8"/>
      <c r="N87" s="8"/>
      <c r="O87" s="8"/>
      <c r="P87" s="8"/>
      <c r="Q87" s="8"/>
      <c r="R87" s="8"/>
      <c r="S87" s="8"/>
      <c r="T87" s="8"/>
      <c r="U87" s="8"/>
      <c r="V87" s="8"/>
      <c r="W87" s="8"/>
      <c r="X87" s="5"/>
    </row>
    <row r="88" spans="1:24" ht="15.6" x14ac:dyDescent="0.3">
      <c r="A88" s="6"/>
      <c r="B88" s="51" t="s">
        <v>27</v>
      </c>
      <c r="C88" s="14"/>
      <c r="D88" s="14"/>
      <c r="E88" s="14"/>
      <c r="F88" s="14"/>
      <c r="G88" s="14"/>
      <c r="H88" s="17"/>
      <c r="I88" s="17"/>
      <c r="J88" s="17"/>
      <c r="K88" s="17"/>
      <c r="L88" s="157" t="s">
        <v>95</v>
      </c>
      <c r="M88" s="17"/>
      <c r="N88" s="156">
        <f>+T205</f>
        <v>40053</v>
      </c>
      <c r="O88" s="17"/>
      <c r="P88" s="17"/>
      <c r="Q88" s="17"/>
      <c r="R88" s="17"/>
      <c r="S88" s="17"/>
      <c r="T88" s="17" t="s">
        <v>107</v>
      </c>
      <c r="U88" s="17"/>
      <c r="V88" s="17" t="s">
        <v>113</v>
      </c>
      <c r="W88" s="8"/>
      <c r="X88" s="5"/>
    </row>
    <row r="89" spans="1:24" ht="15.6" x14ac:dyDescent="0.3">
      <c r="A89" s="24"/>
      <c r="B89" s="25" t="s">
        <v>28</v>
      </c>
      <c r="C89" s="25"/>
      <c r="D89" s="25"/>
      <c r="E89" s="25"/>
      <c r="F89" s="25"/>
      <c r="G89" s="25"/>
      <c r="H89" s="25"/>
      <c r="I89" s="25"/>
      <c r="J89" s="25"/>
      <c r="K89" s="25"/>
      <c r="L89" s="25"/>
      <c r="M89" s="25"/>
      <c r="N89" s="25"/>
      <c r="O89" s="25"/>
      <c r="P89" s="25"/>
      <c r="Q89" s="25"/>
      <c r="R89" s="25"/>
      <c r="S89" s="25"/>
      <c r="T89" s="34">
        <v>0</v>
      </c>
      <c r="U89" s="25"/>
      <c r="V89" s="53">
        <v>0</v>
      </c>
      <c r="W89" s="25"/>
      <c r="X89" s="5"/>
    </row>
    <row r="90" spans="1:24" ht="15.6" x14ac:dyDescent="0.3">
      <c r="A90" s="24"/>
      <c r="B90" s="25" t="s">
        <v>29</v>
      </c>
      <c r="C90" s="25"/>
      <c r="D90" s="25"/>
      <c r="E90" s="25"/>
      <c r="F90" s="25"/>
      <c r="G90" s="25"/>
      <c r="H90" s="40"/>
      <c r="I90" s="40"/>
      <c r="J90" s="40"/>
      <c r="K90" s="57"/>
      <c r="L90" s="40"/>
      <c r="M90" s="25"/>
      <c r="N90" s="127"/>
      <c r="O90" s="25"/>
      <c r="P90" s="25"/>
      <c r="Q90" s="25"/>
      <c r="R90" s="25"/>
      <c r="S90" s="25"/>
      <c r="T90" s="34">
        <f>9157-573</f>
        <v>8584</v>
      </c>
      <c r="U90" s="25"/>
      <c r="V90" s="53"/>
      <c r="W90" s="25"/>
      <c r="X90" s="5"/>
    </row>
    <row r="91" spans="1:24" ht="15.6" x14ac:dyDescent="0.3">
      <c r="A91" s="24"/>
      <c r="B91" s="25" t="s">
        <v>216</v>
      </c>
      <c r="C91" s="25"/>
      <c r="D91" s="25"/>
      <c r="E91" s="25"/>
      <c r="F91" s="25"/>
      <c r="G91" s="25"/>
      <c r="H91" s="40"/>
      <c r="I91" s="40"/>
      <c r="J91" s="40"/>
      <c r="K91" s="57"/>
      <c r="L91" s="40"/>
      <c r="M91" s="25"/>
      <c r="N91" s="127"/>
      <c r="O91" s="25"/>
      <c r="P91" s="25"/>
      <c r="Q91" s="25"/>
      <c r="R91" s="25"/>
      <c r="S91" s="25"/>
      <c r="T91" s="34"/>
      <c r="U91" s="25"/>
      <c r="V91" s="53">
        <f>4796+5733-580-599+18+1</f>
        <v>9369</v>
      </c>
      <c r="W91" s="25"/>
      <c r="X91" s="5"/>
    </row>
    <row r="92" spans="1:24" ht="15.6" x14ac:dyDescent="0.3">
      <c r="A92" s="24"/>
      <c r="B92" s="25" t="s">
        <v>211</v>
      </c>
      <c r="C92" s="25"/>
      <c r="D92" s="25"/>
      <c r="E92" s="25"/>
      <c r="F92" s="25"/>
      <c r="G92" s="25"/>
      <c r="H92" s="40"/>
      <c r="I92" s="40"/>
      <c r="J92" s="40"/>
      <c r="K92" s="57"/>
      <c r="L92" s="40"/>
      <c r="M92" s="25"/>
      <c r="N92" s="127"/>
      <c r="O92" s="25"/>
      <c r="P92" s="25"/>
      <c r="Q92" s="25"/>
      <c r="R92" s="25"/>
      <c r="S92" s="25"/>
      <c r="T92" s="34"/>
      <c r="U92" s="25"/>
      <c r="V92" s="53">
        <f>146+93</f>
        <v>239</v>
      </c>
      <c r="W92" s="25"/>
      <c r="X92" s="5"/>
    </row>
    <row r="93" spans="1:24" ht="15.6" x14ac:dyDescent="0.3">
      <c r="A93" s="24"/>
      <c r="B93" s="25" t="s">
        <v>212</v>
      </c>
      <c r="C93" s="25"/>
      <c r="D93" s="25"/>
      <c r="E93" s="25"/>
      <c r="F93" s="25"/>
      <c r="G93" s="25"/>
      <c r="H93" s="40"/>
      <c r="I93" s="40"/>
      <c r="J93" s="40"/>
      <c r="K93" s="57"/>
      <c r="L93" s="40"/>
      <c r="M93" s="25"/>
      <c r="N93" s="127"/>
      <c r="O93" s="25"/>
      <c r="P93" s="25"/>
      <c r="Q93" s="25"/>
      <c r="R93" s="25"/>
      <c r="S93" s="25"/>
      <c r="T93" s="34"/>
      <c r="U93" s="25"/>
      <c r="V93" s="53">
        <v>163</v>
      </c>
      <c r="W93" s="25"/>
      <c r="X93" s="5"/>
    </row>
    <row r="94" spans="1:24" ht="15.6" x14ac:dyDescent="0.3">
      <c r="A94" s="24"/>
      <c r="B94" s="25" t="s">
        <v>272</v>
      </c>
      <c r="C94" s="25"/>
      <c r="D94" s="25"/>
      <c r="E94" s="25"/>
      <c r="F94" s="25"/>
      <c r="G94" s="25"/>
      <c r="H94" s="40"/>
      <c r="I94" s="40"/>
      <c r="J94" s="40"/>
      <c r="K94" s="57"/>
      <c r="L94" s="40"/>
      <c r="M94" s="25"/>
      <c r="N94" s="127"/>
      <c r="O94" s="25"/>
      <c r="P94" s="25"/>
      <c r="Q94" s="25"/>
      <c r="R94" s="25"/>
      <c r="S94" s="25"/>
      <c r="T94" s="34"/>
      <c r="U94" s="25"/>
      <c r="V94" s="53">
        <v>0</v>
      </c>
      <c r="W94" s="25"/>
      <c r="X94" s="5"/>
    </row>
    <row r="95" spans="1:24" ht="15.6" x14ac:dyDescent="0.3">
      <c r="A95" s="24"/>
      <c r="B95" s="25" t="s">
        <v>274</v>
      </c>
      <c r="C95" s="25"/>
      <c r="D95" s="25"/>
      <c r="E95" s="25"/>
      <c r="F95" s="25"/>
      <c r="G95" s="25"/>
      <c r="H95" s="40"/>
      <c r="I95" s="40"/>
      <c r="J95" s="40"/>
      <c r="K95" s="57"/>
      <c r="L95" s="40"/>
      <c r="M95" s="25"/>
      <c r="N95" s="127"/>
      <c r="O95" s="25"/>
      <c r="P95" s="25"/>
      <c r="Q95" s="25"/>
      <c r="R95" s="25"/>
      <c r="S95" s="25"/>
      <c r="T95" s="34"/>
      <c r="U95" s="25"/>
      <c r="V95" s="53">
        <v>0</v>
      </c>
      <c r="W95" s="25"/>
      <c r="X95" s="5"/>
    </row>
    <row r="96" spans="1:24" ht="15.6" x14ac:dyDescent="0.3">
      <c r="A96" s="24"/>
      <c r="B96" s="25" t="s">
        <v>135</v>
      </c>
      <c r="C96" s="25"/>
      <c r="D96" s="25"/>
      <c r="E96" s="25"/>
      <c r="F96" s="25"/>
      <c r="G96" s="25"/>
      <c r="H96" s="25"/>
      <c r="I96" s="25"/>
      <c r="J96" s="25"/>
      <c r="K96" s="25"/>
      <c r="L96" s="25"/>
      <c r="M96" s="25"/>
      <c r="N96" s="25"/>
      <c r="O96" s="25"/>
      <c r="P96" s="25"/>
      <c r="Q96" s="25"/>
      <c r="R96" s="25"/>
      <c r="S96" s="25"/>
      <c r="T96" s="34"/>
      <c r="U96" s="25"/>
      <c r="V96" s="53">
        <v>0</v>
      </c>
      <c r="W96" s="25"/>
      <c r="X96" s="5"/>
    </row>
    <row r="97" spans="1:25" ht="15.6" x14ac:dyDescent="0.3">
      <c r="A97" s="24"/>
      <c r="B97" s="25" t="s">
        <v>268</v>
      </c>
      <c r="C97" s="25"/>
      <c r="D97" s="25"/>
      <c r="E97" s="25"/>
      <c r="F97" s="25"/>
      <c r="G97" s="25"/>
      <c r="H97" s="25"/>
      <c r="I97" s="25"/>
      <c r="J97" s="25"/>
      <c r="K97" s="25"/>
      <c r="L97" s="25"/>
      <c r="M97" s="25"/>
      <c r="N97" s="25"/>
      <c r="O97" s="25"/>
      <c r="P97" s="25"/>
      <c r="Q97" s="25"/>
      <c r="R97" s="25"/>
      <c r="S97" s="25"/>
      <c r="T97" s="34"/>
      <c r="U97" s="25"/>
      <c r="V97" s="53">
        <v>537</v>
      </c>
      <c r="W97" s="25"/>
      <c r="X97" s="5"/>
    </row>
    <row r="98" spans="1:25" ht="15.6" x14ac:dyDescent="0.3">
      <c r="A98" s="24"/>
      <c r="B98" s="25" t="s">
        <v>30</v>
      </c>
      <c r="C98" s="25"/>
      <c r="D98" s="25"/>
      <c r="E98" s="25"/>
      <c r="F98" s="25"/>
      <c r="G98" s="25"/>
      <c r="H98" s="25"/>
      <c r="I98" s="25"/>
      <c r="J98" s="25"/>
      <c r="K98" s="25"/>
      <c r="L98" s="25"/>
      <c r="M98" s="25"/>
      <c r="N98" s="25"/>
      <c r="O98" s="25"/>
      <c r="P98" s="25"/>
      <c r="Q98" s="25"/>
      <c r="R98" s="25"/>
      <c r="S98" s="25"/>
      <c r="T98" s="34">
        <f>SUM(T89:T97)</f>
        <v>8584</v>
      </c>
      <c r="U98" s="25"/>
      <c r="V98" s="54">
        <f>SUM(V89:V97)</f>
        <v>10308</v>
      </c>
      <c r="W98" s="25"/>
      <c r="X98" s="5"/>
    </row>
    <row r="99" spans="1:25" ht="15.6" x14ac:dyDescent="0.3">
      <c r="A99" s="24"/>
      <c r="B99" s="25" t="s">
        <v>161</v>
      </c>
      <c r="C99" s="25"/>
      <c r="D99" s="25"/>
      <c r="E99" s="25"/>
      <c r="F99" s="25"/>
      <c r="G99" s="25"/>
      <c r="H99" s="25"/>
      <c r="I99" s="25"/>
      <c r="J99" s="25"/>
      <c r="K99" s="25"/>
      <c r="L99" s="25"/>
      <c r="M99" s="25"/>
      <c r="N99" s="25"/>
      <c r="O99" s="25"/>
      <c r="P99" s="25"/>
      <c r="Q99" s="25"/>
      <c r="R99" s="25"/>
      <c r="S99" s="25"/>
      <c r="T99" s="34">
        <f>-V99</f>
        <v>-34</v>
      </c>
      <c r="U99" s="25"/>
      <c r="V99" s="54">
        <v>34</v>
      </c>
      <c r="W99" s="25"/>
      <c r="X99" s="5"/>
    </row>
    <row r="100" spans="1:25" ht="15.6" x14ac:dyDescent="0.3">
      <c r="A100" s="24"/>
      <c r="B100" s="25" t="s">
        <v>31</v>
      </c>
      <c r="C100" s="25"/>
      <c r="D100" s="25"/>
      <c r="E100" s="25"/>
      <c r="F100" s="25"/>
      <c r="G100" s="25"/>
      <c r="H100" s="25"/>
      <c r="I100" s="25"/>
      <c r="J100" s="25"/>
      <c r="K100" s="25"/>
      <c r="L100" s="25"/>
      <c r="M100" s="25"/>
      <c r="N100" s="25"/>
      <c r="O100" s="25"/>
      <c r="P100" s="25"/>
      <c r="Q100" s="25"/>
      <c r="R100" s="25"/>
      <c r="S100" s="25"/>
      <c r="T100" s="34">
        <f>-V100</f>
        <v>0</v>
      </c>
      <c r="U100" s="25"/>
      <c r="V100" s="53">
        <v>0</v>
      </c>
      <c r="W100" s="25"/>
      <c r="X100" s="5"/>
    </row>
    <row r="101" spans="1:25" ht="15.6" x14ac:dyDescent="0.3">
      <c r="A101" s="24"/>
      <c r="B101" s="25" t="s">
        <v>283</v>
      </c>
      <c r="C101" s="25"/>
      <c r="D101" s="25"/>
      <c r="E101" s="25"/>
      <c r="F101" s="25"/>
      <c r="G101" s="25"/>
      <c r="H101" s="25"/>
      <c r="I101" s="25"/>
      <c r="J101" s="25"/>
      <c r="K101" s="25"/>
      <c r="L101" s="25"/>
      <c r="M101" s="25"/>
      <c r="N101" s="25"/>
      <c r="O101" s="25"/>
      <c r="P101" s="25"/>
      <c r="Q101" s="25"/>
      <c r="R101" s="25"/>
      <c r="S101" s="25"/>
      <c r="T101" s="34"/>
      <c r="U101" s="25"/>
      <c r="V101" s="53">
        <v>34</v>
      </c>
      <c r="W101" s="25"/>
      <c r="X101" s="5"/>
    </row>
    <row r="102" spans="1:25" ht="15.6" x14ac:dyDescent="0.3">
      <c r="A102" s="24"/>
      <c r="B102" s="25" t="s">
        <v>32</v>
      </c>
      <c r="C102" s="25"/>
      <c r="D102" s="25"/>
      <c r="E102" s="25"/>
      <c r="F102" s="25"/>
      <c r="G102" s="25"/>
      <c r="H102" s="25"/>
      <c r="I102" s="25"/>
      <c r="J102" s="25"/>
      <c r="K102" s="25"/>
      <c r="L102" s="25"/>
      <c r="M102" s="25"/>
      <c r="N102" s="25"/>
      <c r="O102" s="25"/>
      <c r="P102" s="25"/>
      <c r="Q102" s="25"/>
      <c r="R102" s="25"/>
      <c r="S102" s="25"/>
      <c r="T102" s="34">
        <f>T98+T100+T99</f>
        <v>8550</v>
      </c>
      <c r="U102" s="25"/>
      <c r="V102" s="54">
        <f>V98+V100+V99+V101</f>
        <v>10376</v>
      </c>
      <c r="W102" s="25"/>
      <c r="X102" s="5"/>
    </row>
    <row r="103" spans="1:25" ht="15.6" x14ac:dyDescent="0.3">
      <c r="A103" s="24"/>
      <c r="B103" s="118" t="s">
        <v>33</v>
      </c>
      <c r="C103" s="25"/>
      <c r="D103" s="25"/>
      <c r="E103" s="25"/>
      <c r="F103" s="25"/>
      <c r="G103" s="25"/>
      <c r="H103" s="25"/>
      <c r="I103" s="25"/>
      <c r="J103" s="25"/>
      <c r="K103" s="25"/>
      <c r="L103" s="25"/>
      <c r="M103" s="25"/>
      <c r="N103" s="25"/>
      <c r="O103" s="25"/>
      <c r="P103" s="25"/>
      <c r="Q103" s="25"/>
      <c r="R103" s="25"/>
      <c r="S103" s="25"/>
      <c r="T103" s="34"/>
      <c r="U103" s="25"/>
      <c r="V103" s="53"/>
      <c r="W103" s="25"/>
      <c r="X103" s="5"/>
    </row>
    <row r="104" spans="1:25" ht="15.6" x14ac:dyDescent="0.3">
      <c r="A104" s="24">
        <v>1</v>
      </c>
      <c r="B104" s="25" t="s">
        <v>34</v>
      </c>
      <c r="C104" s="25"/>
      <c r="D104" s="25"/>
      <c r="E104" s="25"/>
      <c r="F104" s="25"/>
      <c r="G104" s="25"/>
      <c r="H104" s="25"/>
      <c r="I104" s="25"/>
      <c r="J104" s="25"/>
      <c r="K104" s="25"/>
      <c r="L104" s="25"/>
      <c r="M104" s="25"/>
      <c r="N104" s="25"/>
      <c r="O104" s="25"/>
      <c r="P104" s="25"/>
      <c r="Q104" s="25"/>
      <c r="R104" s="25"/>
      <c r="S104" s="25"/>
      <c r="T104" s="25"/>
      <c r="U104" s="25"/>
      <c r="V104" s="53">
        <v>0</v>
      </c>
      <c r="W104" s="25"/>
      <c r="X104" s="5"/>
    </row>
    <row r="105" spans="1:25" ht="15.6" x14ac:dyDescent="0.3">
      <c r="A105" s="24">
        <f>+A104+1</f>
        <v>2</v>
      </c>
      <c r="B105" s="25" t="s">
        <v>225</v>
      </c>
      <c r="C105" s="25"/>
      <c r="D105" s="25"/>
      <c r="E105" s="25"/>
      <c r="F105" s="25"/>
      <c r="G105" s="25"/>
      <c r="H105" s="25"/>
      <c r="I105" s="25"/>
      <c r="J105" s="25"/>
      <c r="K105" s="25"/>
      <c r="L105" s="25"/>
      <c r="M105" s="25"/>
      <c r="N105" s="25"/>
      <c r="O105" s="25"/>
      <c r="P105" s="25"/>
      <c r="Q105" s="25"/>
      <c r="R105" s="25"/>
      <c r="S105" s="25"/>
      <c r="T105" s="25"/>
      <c r="U105" s="25"/>
      <c r="V105" s="53">
        <v>-2</v>
      </c>
      <c r="W105" s="25"/>
      <c r="X105" s="5"/>
    </row>
    <row r="106" spans="1:25" ht="15.6" x14ac:dyDescent="0.3">
      <c r="A106" s="24">
        <f>+A105+1</f>
        <v>3</v>
      </c>
      <c r="B106" s="25" t="s">
        <v>204</v>
      </c>
      <c r="C106" s="25"/>
      <c r="D106" s="25"/>
      <c r="E106" s="25"/>
      <c r="F106" s="25"/>
      <c r="G106" s="25"/>
      <c r="H106" s="25"/>
      <c r="I106" s="25"/>
      <c r="J106" s="25"/>
      <c r="K106" s="25"/>
      <c r="L106" s="25"/>
      <c r="M106" s="25"/>
      <c r="N106" s="25"/>
      <c r="O106" s="25"/>
      <c r="P106" s="25"/>
      <c r="Q106" s="25"/>
      <c r="R106" s="25"/>
      <c r="S106" s="25"/>
      <c r="T106" s="25"/>
      <c r="U106" s="25"/>
      <c r="V106" s="53">
        <f>-152-164-14</f>
        <v>-330</v>
      </c>
      <c r="W106" s="25"/>
      <c r="X106" s="5"/>
    </row>
    <row r="107" spans="1:25" ht="15.6" x14ac:dyDescent="0.3">
      <c r="A107" s="24" t="s">
        <v>127</v>
      </c>
      <c r="B107" s="25" t="s">
        <v>116</v>
      </c>
      <c r="C107" s="25"/>
      <c r="D107" s="25"/>
      <c r="E107" s="25"/>
      <c r="F107" s="25"/>
      <c r="G107" s="25"/>
      <c r="H107" s="25"/>
      <c r="I107" s="25"/>
      <c r="J107" s="25"/>
      <c r="K107" s="25"/>
      <c r="L107" s="25"/>
      <c r="M107" s="25"/>
      <c r="N107" s="25"/>
      <c r="O107" s="25"/>
      <c r="P107" s="25"/>
      <c r="Q107" s="25"/>
      <c r="R107" s="25"/>
      <c r="S107" s="25"/>
      <c r="T107" s="25"/>
      <c r="U107" s="25"/>
      <c r="V107" s="53">
        <v>-1701</v>
      </c>
      <c r="W107" s="25"/>
      <c r="X107" s="5"/>
    </row>
    <row r="108" spans="1:25" ht="15.6" x14ac:dyDescent="0.3">
      <c r="A108" s="24" t="s">
        <v>128</v>
      </c>
      <c r="B108" s="25" t="s">
        <v>222</v>
      </c>
      <c r="C108" s="25"/>
      <c r="D108" s="25"/>
      <c r="E108" s="25"/>
      <c r="F108" s="25"/>
      <c r="G108" s="25"/>
      <c r="H108" s="25"/>
      <c r="I108" s="25"/>
      <c r="J108" s="25"/>
      <c r="K108" s="25"/>
      <c r="L108" s="25"/>
      <c r="M108" s="25"/>
      <c r="N108" s="25"/>
      <c r="O108" s="25"/>
      <c r="P108" s="25"/>
      <c r="Q108" s="25"/>
      <c r="R108" s="25"/>
      <c r="S108" s="25"/>
      <c r="T108" s="25"/>
      <c r="U108" s="25"/>
      <c r="V108" s="53">
        <f>-3426+329</f>
        <v>-3097</v>
      </c>
      <c r="W108" s="25"/>
      <c r="X108" s="5"/>
      <c r="Y108" s="109"/>
    </row>
    <row r="109" spans="1:25" ht="15.6" x14ac:dyDescent="0.3">
      <c r="A109" s="24" t="s">
        <v>150</v>
      </c>
      <c r="B109" s="25" t="s">
        <v>184</v>
      </c>
      <c r="C109" s="25"/>
      <c r="D109" s="25"/>
      <c r="E109" s="25"/>
      <c r="F109" s="25"/>
      <c r="G109" s="25"/>
      <c r="H109" s="25"/>
      <c r="I109" s="25"/>
      <c r="J109" s="25"/>
      <c r="K109" s="25"/>
      <c r="L109" s="25"/>
      <c r="M109" s="25"/>
      <c r="N109" s="25"/>
      <c r="O109" s="25"/>
      <c r="P109" s="25"/>
      <c r="Q109" s="25"/>
      <c r="R109" s="25"/>
      <c r="S109" s="25"/>
      <c r="T109" s="25"/>
      <c r="U109" s="25"/>
      <c r="V109" s="53">
        <v>-329</v>
      </c>
      <c r="W109" s="25"/>
      <c r="X109" s="5"/>
      <c r="Y109" s="109"/>
    </row>
    <row r="110" spans="1:25" ht="15.6" x14ac:dyDescent="0.3">
      <c r="A110" s="24" t="s">
        <v>236</v>
      </c>
      <c r="B110" s="25" t="s">
        <v>238</v>
      </c>
      <c r="C110" s="25"/>
      <c r="D110" s="25"/>
      <c r="E110" s="25"/>
      <c r="F110" s="25"/>
      <c r="G110" s="25"/>
      <c r="H110" s="25"/>
      <c r="I110" s="25"/>
      <c r="J110" s="25"/>
      <c r="K110" s="25"/>
      <c r="L110" s="25"/>
      <c r="M110" s="25"/>
      <c r="N110" s="25"/>
      <c r="O110" s="25"/>
      <c r="P110" s="25"/>
      <c r="Q110" s="25"/>
      <c r="R110" s="25"/>
      <c r="S110" s="25"/>
      <c r="T110" s="25"/>
      <c r="U110" s="25"/>
      <c r="V110" s="53">
        <v>-1</v>
      </c>
      <c r="W110" s="25"/>
      <c r="X110" s="5"/>
    </row>
    <row r="111" spans="1:25" ht="15.6" x14ac:dyDescent="0.3">
      <c r="A111" s="24" t="s">
        <v>205</v>
      </c>
      <c r="B111" s="25" t="s">
        <v>185</v>
      </c>
      <c r="C111" s="25"/>
      <c r="D111" s="25"/>
      <c r="E111" s="25"/>
      <c r="F111" s="25"/>
      <c r="G111" s="25"/>
      <c r="H111" s="25"/>
      <c r="I111" s="25"/>
      <c r="J111" s="25"/>
      <c r="K111" s="25"/>
      <c r="L111" s="25"/>
      <c r="M111" s="25"/>
      <c r="N111" s="25"/>
      <c r="O111" s="25"/>
      <c r="P111" s="25"/>
      <c r="Q111" s="25"/>
      <c r="R111" s="25"/>
      <c r="S111" s="25"/>
      <c r="T111" s="25"/>
      <c r="U111" s="25"/>
      <c r="V111" s="53">
        <v>-224</v>
      </c>
      <c r="W111" s="25"/>
      <c r="X111" s="5"/>
      <c r="Y111" s="109"/>
    </row>
    <row r="112" spans="1:25" ht="15.6" x14ac:dyDescent="0.3">
      <c r="A112" s="24" t="s">
        <v>206</v>
      </c>
      <c r="B112" s="25" t="s">
        <v>186</v>
      </c>
      <c r="C112" s="25"/>
      <c r="D112" s="25"/>
      <c r="E112" s="25"/>
      <c r="F112" s="25"/>
      <c r="G112" s="25"/>
      <c r="H112" s="25"/>
      <c r="I112" s="25"/>
      <c r="J112" s="25"/>
      <c r="K112" s="25"/>
      <c r="L112" s="25"/>
      <c r="M112" s="25"/>
      <c r="N112" s="25"/>
      <c r="O112" s="25"/>
      <c r="P112" s="25"/>
      <c r="Q112" s="25"/>
      <c r="R112" s="25"/>
      <c r="S112" s="25"/>
      <c r="T112" s="25"/>
      <c r="U112" s="25"/>
      <c r="V112" s="53">
        <f>-411+224</f>
        <v>-187</v>
      </c>
      <c r="W112" s="25"/>
      <c r="X112" s="179"/>
      <c r="Y112" s="109"/>
    </row>
    <row r="113" spans="1:25" ht="15.6" x14ac:dyDescent="0.3">
      <c r="A113" s="24" t="s">
        <v>207</v>
      </c>
      <c r="B113" s="25" t="s">
        <v>196</v>
      </c>
      <c r="C113" s="25"/>
      <c r="D113" s="25"/>
      <c r="E113" s="25"/>
      <c r="F113" s="25"/>
      <c r="G113" s="25"/>
      <c r="H113" s="25"/>
      <c r="I113" s="25"/>
      <c r="J113" s="25"/>
      <c r="K113" s="25"/>
      <c r="L113" s="25"/>
      <c r="M113" s="25"/>
      <c r="N113" s="25"/>
      <c r="O113" s="25"/>
      <c r="P113" s="25"/>
      <c r="Q113" s="25"/>
      <c r="R113" s="25"/>
      <c r="S113" s="25"/>
      <c r="T113" s="25"/>
      <c r="U113" s="25"/>
      <c r="V113" s="53">
        <v>-393</v>
      </c>
      <c r="W113" s="25"/>
      <c r="X113" s="5"/>
      <c r="Y113" s="109"/>
    </row>
    <row r="114" spans="1:25" ht="15.6" x14ac:dyDescent="0.3">
      <c r="A114" s="24" t="s">
        <v>224</v>
      </c>
      <c r="B114" s="25" t="s">
        <v>223</v>
      </c>
      <c r="C114" s="25"/>
      <c r="D114" s="25"/>
      <c r="E114" s="25"/>
      <c r="F114" s="25"/>
      <c r="G114" s="25"/>
      <c r="H114" s="25"/>
      <c r="I114" s="25"/>
      <c r="J114" s="25"/>
      <c r="K114" s="25"/>
      <c r="L114" s="25"/>
      <c r="M114" s="25"/>
      <c r="N114" s="25"/>
      <c r="O114" s="25"/>
      <c r="P114" s="25"/>
      <c r="Q114" s="25"/>
      <c r="R114" s="25"/>
      <c r="S114" s="25"/>
      <c r="T114" s="25"/>
      <c r="U114" s="25"/>
      <c r="V114" s="53">
        <f>-475+393</f>
        <v>-82</v>
      </c>
      <c r="W114" s="25"/>
      <c r="X114" s="5"/>
      <c r="Y114" s="109"/>
    </row>
    <row r="115" spans="1:25" ht="15.6" x14ac:dyDescent="0.3">
      <c r="A115" s="24">
        <v>7</v>
      </c>
      <c r="B115" s="25" t="s">
        <v>35</v>
      </c>
      <c r="C115" s="25"/>
      <c r="D115" s="25"/>
      <c r="E115" s="25"/>
      <c r="F115" s="25"/>
      <c r="G115" s="25"/>
      <c r="H115" s="25"/>
      <c r="I115" s="25"/>
      <c r="J115" s="25"/>
      <c r="K115" s="25"/>
      <c r="L115" s="25"/>
      <c r="M115" s="25"/>
      <c r="N115" s="25"/>
      <c r="O115" s="25"/>
      <c r="P115" s="25"/>
      <c r="Q115" s="25"/>
      <c r="R115" s="25"/>
      <c r="S115" s="25"/>
      <c r="T115" s="25"/>
      <c r="U115" s="25"/>
      <c r="V115" s="53">
        <v>-12</v>
      </c>
      <c r="W115" s="25"/>
      <c r="X115" s="5"/>
    </row>
    <row r="116" spans="1:25" ht="15.6" x14ac:dyDescent="0.3">
      <c r="A116" s="24">
        <f t="shared" ref="A116:A122" si="0">+A115+1</f>
        <v>8</v>
      </c>
      <c r="B116" s="25" t="s">
        <v>45</v>
      </c>
      <c r="C116" s="25"/>
      <c r="D116" s="25"/>
      <c r="E116" s="25"/>
      <c r="F116" s="25"/>
      <c r="G116" s="25"/>
      <c r="H116" s="25"/>
      <c r="I116" s="25"/>
      <c r="J116" s="25"/>
      <c r="K116" s="25"/>
      <c r="L116" s="25"/>
      <c r="M116" s="25"/>
      <c r="N116" s="25"/>
      <c r="O116" s="25"/>
      <c r="P116" s="25"/>
      <c r="Q116" s="25"/>
      <c r="R116" s="25"/>
      <c r="S116" s="25"/>
      <c r="T116" s="34">
        <f>-V116</f>
        <v>573</v>
      </c>
      <c r="U116" s="25"/>
      <c r="V116" s="53">
        <v>-573</v>
      </c>
      <c r="W116" s="25"/>
      <c r="X116" s="5"/>
    </row>
    <row r="117" spans="1:25" ht="15.6" x14ac:dyDescent="0.3">
      <c r="A117" s="24">
        <f t="shared" si="0"/>
        <v>9</v>
      </c>
      <c r="B117" s="25" t="s">
        <v>125</v>
      </c>
      <c r="C117" s="25"/>
      <c r="D117" s="25"/>
      <c r="E117" s="25"/>
      <c r="F117" s="25"/>
      <c r="G117" s="25"/>
      <c r="H117" s="25"/>
      <c r="I117" s="25"/>
      <c r="J117" s="25"/>
      <c r="K117" s="25"/>
      <c r="L117" s="25"/>
      <c r="M117" s="25"/>
      <c r="N117" s="25"/>
      <c r="O117" s="25"/>
      <c r="P117" s="25"/>
      <c r="Q117" s="25"/>
      <c r="R117" s="25"/>
      <c r="S117" s="25"/>
      <c r="T117" s="25"/>
      <c r="U117" s="25"/>
      <c r="V117" s="53">
        <v>0</v>
      </c>
      <c r="W117" s="25"/>
      <c r="X117" s="5"/>
    </row>
    <row r="118" spans="1:25" ht="15.6" x14ac:dyDescent="0.3">
      <c r="A118" s="24">
        <f t="shared" si="0"/>
        <v>10</v>
      </c>
      <c r="B118" s="25" t="s">
        <v>240</v>
      </c>
      <c r="C118" s="25"/>
      <c r="D118" s="25"/>
      <c r="E118" s="25"/>
      <c r="F118" s="25"/>
      <c r="G118" s="25"/>
      <c r="H118" s="25"/>
      <c r="I118" s="25"/>
      <c r="J118" s="25"/>
      <c r="K118" s="25"/>
      <c r="L118" s="25"/>
      <c r="M118" s="25"/>
      <c r="N118" s="25"/>
      <c r="O118" s="25"/>
      <c r="P118" s="25"/>
      <c r="Q118" s="25"/>
      <c r="R118" s="25"/>
      <c r="S118" s="25"/>
      <c r="T118" s="25"/>
      <c r="U118" s="25"/>
      <c r="V118" s="53">
        <v>0</v>
      </c>
      <c r="W118" s="25"/>
      <c r="X118" s="5"/>
    </row>
    <row r="119" spans="1:25" ht="15.6" x14ac:dyDescent="0.3">
      <c r="A119" s="24">
        <f t="shared" si="0"/>
        <v>11</v>
      </c>
      <c r="B119" s="25" t="s">
        <v>36</v>
      </c>
      <c r="C119" s="25"/>
      <c r="D119" s="25"/>
      <c r="E119" s="25"/>
      <c r="F119" s="25"/>
      <c r="G119" s="25"/>
      <c r="H119" s="25"/>
      <c r="I119" s="25"/>
      <c r="J119" s="25"/>
      <c r="K119" s="25"/>
      <c r="L119" s="25"/>
      <c r="M119" s="25"/>
      <c r="N119" s="25"/>
      <c r="O119" s="25"/>
      <c r="P119" s="25"/>
      <c r="Q119" s="25"/>
      <c r="R119" s="25"/>
      <c r="S119" s="25"/>
      <c r="T119" s="25"/>
      <c r="U119" s="25"/>
      <c r="V119" s="53">
        <v>0</v>
      </c>
      <c r="W119" s="25"/>
      <c r="X119" s="5"/>
    </row>
    <row r="120" spans="1:25" ht="15.6" x14ac:dyDescent="0.3">
      <c r="A120" s="24">
        <f t="shared" si="0"/>
        <v>12</v>
      </c>
      <c r="B120" s="25" t="s">
        <v>239</v>
      </c>
      <c r="C120" s="25"/>
      <c r="D120" s="25"/>
      <c r="E120" s="25"/>
      <c r="F120" s="25"/>
      <c r="G120" s="25"/>
      <c r="H120" s="25"/>
      <c r="I120" s="25"/>
      <c r="J120" s="25"/>
      <c r="K120" s="25"/>
      <c r="L120" s="25"/>
      <c r="M120" s="25"/>
      <c r="N120" s="25"/>
      <c r="O120" s="25"/>
      <c r="P120" s="25"/>
      <c r="Q120" s="25"/>
      <c r="R120" s="25"/>
      <c r="S120" s="25"/>
      <c r="T120" s="25"/>
      <c r="U120" s="25"/>
      <c r="V120" s="53">
        <v>0</v>
      </c>
      <c r="W120" s="25"/>
      <c r="X120" s="5"/>
    </row>
    <row r="121" spans="1:25" ht="15.6" x14ac:dyDescent="0.3">
      <c r="A121" s="24">
        <f t="shared" si="0"/>
        <v>13</v>
      </c>
      <c r="B121" s="25" t="s">
        <v>149</v>
      </c>
      <c r="C121" s="25"/>
      <c r="D121" s="25"/>
      <c r="E121" s="25"/>
      <c r="F121" s="25"/>
      <c r="G121" s="25"/>
      <c r="H121" s="25"/>
      <c r="I121" s="25"/>
      <c r="J121" s="25"/>
      <c r="K121" s="25"/>
      <c r="L121" s="25"/>
      <c r="M121" s="25"/>
      <c r="N121" s="25"/>
      <c r="O121" s="25"/>
      <c r="P121" s="25"/>
      <c r="Q121" s="25"/>
      <c r="R121" s="25"/>
      <c r="S121" s="25"/>
      <c r="T121" s="25"/>
      <c r="U121" s="25"/>
      <c r="V121" s="53">
        <v>-764</v>
      </c>
      <c r="W121" s="25"/>
      <c r="X121" s="5"/>
    </row>
    <row r="122" spans="1:25" ht="15.6" x14ac:dyDescent="0.3">
      <c r="A122" s="24">
        <f t="shared" si="0"/>
        <v>14</v>
      </c>
      <c r="B122" s="25" t="s">
        <v>126</v>
      </c>
      <c r="C122" s="25"/>
      <c r="D122" s="25"/>
      <c r="E122" s="25"/>
      <c r="F122" s="25"/>
      <c r="G122" s="25"/>
      <c r="H122" s="25"/>
      <c r="I122" s="25"/>
      <c r="J122" s="25"/>
      <c r="K122" s="25"/>
      <c r="L122" s="25"/>
      <c r="M122" s="25"/>
      <c r="N122" s="25"/>
      <c r="O122" s="25"/>
      <c r="P122" s="25"/>
      <c r="Q122" s="25"/>
      <c r="R122" s="25"/>
      <c r="S122" s="25"/>
      <c r="T122" s="25"/>
      <c r="U122" s="25"/>
      <c r="V122" s="53">
        <f>-V102-SUM(V104:V121)</f>
        <v>-2681</v>
      </c>
      <c r="W122" s="25"/>
      <c r="X122" s="5"/>
    </row>
    <row r="123" spans="1:25" ht="15.6" x14ac:dyDescent="0.3">
      <c r="A123" s="24"/>
      <c r="B123" s="118" t="s">
        <v>37</v>
      </c>
      <c r="C123" s="25"/>
      <c r="D123" s="25"/>
      <c r="E123" s="25"/>
      <c r="F123" s="25"/>
      <c r="G123" s="25"/>
      <c r="H123" s="25"/>
      <c r="I123" s="25"/>
      <c r="J123" s="25"/>
      <c r="K123" s="25"/>
      <c r="L123" s="25"/>
      <c r="M123" s="25"/>
      <c r="N123" s="25"/>
      <c r="O123" s="25"/>
      <c r="P123" s="25"/>
      <c r="Q123" s="25"/>
      <c r="R123" s="25"/>
      <c r="S123" s="25"/>
      <c r="T123" s="25"/>
      <c r="U123" s="25"/>
      <c r="V123" s="59"/>
      <c r="W123" s="25"/>
      <c r="X123" s="5"/>
    </row>
    <row r="124" spans="1:25" ht="15.6" x14ac:dyDescent="0.3">
      <c r="A124" s="24"/>
      <c r="B124" s="25" t="s">
        <v>173</v>
      </c>
      <c r="C124" s="25"/>
      <c r="D124" s="25"/>
      <c r="E124" s="25"/>
      <c r="F124" s="25"/>
      <c r="G124" s="25"/>
      <c r="H124" s="25"/>
      <c r="I124" s="25"/>
      <c r="J124" s="25"/>
      <c r="K124" s="25"/>
      <c r="L124" s="25"/>
      <c r="M124" s="25"/>
      <c r="N124" s="25"/>
      <c r="O124" s="25"/>
      <c r="P124" s="25"/>
      <c r="Q124" s="25"/>
      <c r="R124" s="25"/>
      <c r="S124" s="25"/>
      <c r="T124" s="34">
        <f>-T189</f>
        <v>-8</v>
      </c>
      <c r="U124" s="34"/>
      <c r="V124" s="53"/>
      <c r="W124" s="25"/>
      <c r="X124" s="5"/>
    </row>
    <row r="125" spans="1:25" ht="15.6" x14ac:dyDescent="0.3">
      <c r="A125" s="24"/>
      <c r="B125" s="25" t="s">
        <v>174</v>
      </c>
      <c r="C125" s="25"/>
      <c r="D125" s="25"/>
      <c r="E125" s="25"/>
      <c r="F125" s="25"/>
      <c r="G125" s="25"/>
      <c r="H125" s="25"/>
      <c r="I125" s="25"/>
      <c r="J125" s="25"/>
      <c r="K125" s="25"/>
      <c r="L125" s="25"/>
      <c r="M125" s="25"/>
      <c r="N125" s="25"/>
      <c r="O125" s="25"/>
      <c r="P125" s="25"/>
      <c r="Q125" s="25"/>
      <c r="R125" s="25"/>
      <c r="S125" s="25"/>
      <c r="T125" s="34">
        <v>-391</v>
      </c>
      <c r="U125" s="34"/>
      <c r="V125" s="53"/>
      <c r="W125" s="25"/>
      <c r="X125" s="5"/>
    </row>
    <row r="126" spans="1:25" ht="15.6" x14ac:dyDescent="0.3">
      <c r="A126" s="24"/>
      <c r="B126" s="25" t="s">
        <v>38</v>
      </c>
      <c r="C126" s="25"/>
      <c r="D126" s="25"/>
      <c r="E126" s="25"/>
      <c r="F126" s="25"/>
      <c r="G126" s="25"/>
      <c r="H126" s="25"/>
      <c r="I126" s="25"/>
      <c r="J126" s="25"/>
      <c r="K126" s="25"/>
      <c r="L126" s="25"/>
      <c r="M126" s="25"/>
      <c r="N126" s="25"/>
      <c r="O126" s="25"/>
      <c r="P126" s="25"/>
      <c r="Q126" s="25"/>
      <c r="R126" s="25"/>
      <c r="S126" s="25"/>
      <c r="T126" s="34">
        <f>-S189</f>
        <v>-542</v>
      </c>
      <c r="U126" s="34"/>
      <c r="V126" s="53"/>
      <c r="W126" s="25"/>
      <c r="X126" s="5"/>
    </row>
    <row r="127" spans="1:25" ht="15.6" x14ac:dyDescent="0.3">
      <c r="A127" s="24"/>
      <c r="B127" s="25" t="s">
        <v>197</v>
      </c>
      <c r="C127" s="25"/>
      <c r="D127" s="25"/>
      <c r="E127" s="25"/>
      <c r="F127" s="25"/>
      <c r="G127" s="25"/>
      <c r="H127" s="25"/>
      <c r="I127" s="25"/>
      <c r="J127" s="25"/>
      <c r="K127" s="25"/>
      <c r="L127" s="25"/>
      <c r="M127" s="25"/>
      <c r="N127" s="25"/>
      <c r="O127" s="25"/>
      <c r="P127" s="25"/>
      <c r="Q127" s="25"/>
      <c r="R127" s="25"/>
      <c r="S127" s="25"/>
      <c r="T127" s="34">
        <v>-4974</v>
      </c>
      <c r="U127" s="34"/>
      <c r="V127" s="53"/>
      <c r="W127" s="25"/>
      <c r="X127" s="5"/>
    </row>
    <row r="128" spans="1:25" ht="15.6" x14ac:dyDescent="0.3">
      <c r="A128" s="24"/>
      <c r="B128" s="25" t="s">
        <v>195</v>
      </c>
      <c r="C128" s="25"/>
      <c r="D128" s="25"/>
      <c r="E128" s="25"/>
      <c r="F128" s="25"/>
      <c r="G128" s="25"/>
      <c r="H128" s="25"/>
      <c r="I128" s="25"/>
      <c r="J128" s="25"/>
      <c r="K128" s="25"/>
      <c r="L128" s="25"/>
      <c r="M128" s="25"/>
      <c r="N128" s="25"/>
      <c r="O128" s="25"/>
      <c r="P128" s="25"/>
      <c r="Q128" s="25"/>
      <c r="R128" s="25"/>
      <c r="S128" s="25"/>
      <c r="T128" s="34">
        <v>-802</v>
      </c>
      <c r="U128" s="34"/>
      <c r="V128" s="53"/>
      <c r="W128" s="25"/>
      <c r="X128" s="5"/>
    </row>
    <row r="129" spans="1:24" ht="15.6" x14ac:dyDescent="0.3">
      <c r="A129" s="24"/>
      <c r="B129" s="25" t="s">
        <v>194</v>
      </c>
      <c r="C129" s="25"/>
      <c r="D129" s="25"/>
      <c r="E129" s="25"/>
      <c r="F129" s="25"/>
      <c r="G129" s="25"/>
      <c r="H129" s="25"/>
      <c r="I129" s="25"/>
      <c r="J129" s="25"/>
      <c r="K129" s="25"/>
      <c r="L129" s="25"/>
      <c r="M129" s="25"/>
      <c r="N129" s="25"/>
      <c r="O129" s="25"/>
      <c r="P129" s="25"/>
      <c r="Q129" s="25"/>
      <c r="R129" s="25"/>
      <c r="S129" s="25"/>
      <c r="T129" s="34">
        <v>-1079</v>
      </c>
      <c r="U129" s="34"/>
      <c r="V129" s="53"/>
      <c r="W129" s="25"/>
      <c r="X129" s="5"/>
    </row>
    <row r="130" spans="1:24" ht="15.6" x14ac:dyDescent="0.3">
      <c r="A130" s="24"/>
      <c r="B130" s="25" t="s">
        <v>226</v>
      </c>
      <c r="C130" s="25"/>
      <c r="D130" s="25"/>
      <c r="E130" s="25"/>
      <c r="F130" s="25"/>
      <c r="G130" s="25"/>
      <c r="H130" s="25"/>
      <c r="I130" s="25"/>
      <c r="J130" s="25"/>
      <c r="K130" s="25"/>
      <c r="L130" s="25"/>
      <c r="M130" s="25"/>
      <c r="N130" s="25"/>
      <c r="O130" s="25"/>
      <c r="P130" s="25"/>
      <c r="Q130" s="25"/>
      <c r="R130" s="25"/>
      <c r="S130" s="25"/>
      <c r="T130" s="34">
        <v>-1327</v>
      </c>
      <c r="U130" s="34"/>
      <c r="V130" s="53"/>
      <c r="W130" s="25"/>
      <c r="X130" s="5"/>
    </row>
    <row r="131" spans="1:24" ht="15.6" x14ac:dyDescent="0.3">
      <c r="A131" s="24"/>
      <c r="B131" s="25" t="s">
        <v>189</v>
      </c>
      <c r="C131" s="25"/>
      <c r="D131" s="25"/>
      <c r="E131" s="25"/>
      <c r="F131" s="25"/>
      <c r="G131" s="25"/>
      <c r="H131" s="25"/>
      <c r="I131" s="25"/>
      <c r="J131" s="25"/>
      <c r="K131" s="25"/>
      <c r="L131" s="25"/>
      <c r="M131" s="25"/>
      <c r="N131" s="25"/>
      <c r="O131" s="25"/>
      <c r="P131" s="25"/>
      <c r="Q131" s="25"/>
      <c r="R131" s="25"/>
      <c r="S131" s="25"/>
      <c r="T131" s="34">
        <v>0</v>
      </c>
      <c r="U131" s="34"/>
      <c r="V131" s="53"/>
      <c r="W131" s="25"/>
      <c r="X131" s="5"/>
    </row>
    <row r="132" spans="1:24" ht="15.6" x14ac:dyDescent="0.3">
      <c r="A132" s="24"/>
      <c r="B132" s="25" t="s">
        <v>188</v>
      </c>
      <c r="C132" s="25"/>
      <c r="D132" s="25"/>
      <c r="E132" s="25"/>
      <c r="F132" s="25"/>
      <c r="G132" s="25"/>
      <c r="H132" s="25"/>
      <c r="I132" s="25"/>
      <c r="J132" s="25"/>
      <c r="K132" s="25"/>
      <c r="L132" s="25"/>
      <c r="M132" s="25"/>
      <c r="N132" s="25"/>
      <c r="O132" s="25"/>
      <c r="P132" s="25"/>
      <c r="Q132" s="25"/>
      <c r="R132" s="25"/>
      <c r="S132" s="25"/>
      <c r="T132" s="34">
        <v>0</v>
      </c>
      <c r="U132" s="34"/>
      <c r="V132" s="53"/>
      <c r="W132" s="25"/>
      <c r="X132" s="5"/>
    </row>
    <row r="133" spans="1:24" ht="15.6" x14ac:dyDescent="0.3">
      <c r="A133" s="24"/>
      <c r="B133" s="25" t="s">
        <v>227</v>
      </c>
      <c r="C133" s="25"/>
      <c r="D133" s="25"/>
      <c r="E133" s="25"/>
      <c r="F133" s="25"/>
      <c r="G133" s="25"/>
      <c r="H133" s="25"/>
      <c r="I133" s="25"/>
      <c r="J133" s="25"/>
      <c r="K133" s="25"/>
      <c r="L133" s="25"/>
      <c r="M133" s="25"/>
      <c r="N133" s="25"/>
      <c r="O133" s="25"/>
      <c r="P133" s="25"/>
      <c r="Q133" s="25"/>
      <c r="R133" s="25"/>
      <c r="S133" s="25"/>
      <c r="T133" s="34">
        <v>0</v>
      </c>
      <c r="U133" s="34"/>
      <c r="V133" s="53"/>
      <c r="W133" s="25"/>
      <c r="X133" s="5"/>
    </row>
    <row r="134" spans="1:24" ht="15.6" x14ac:dyDescent="0.3">
      <c r="A134" s="24"/>
      <c r="B134" s="25" t="s">
        <v>187</v>
      </c>
      <c r="C134" s="25"/>
      <c r="D134" s="25"/>
      <c r="E134" s="25"/>
      <c r="F134" s="25"/>
      <c r="G134" s="25"/>
      <c r="H134" s="25"/>
      <c r="I134" s="25"/>
      <c r="J134" s="25"/>
      <c r="K134" s="25"/>
      <c r="L134" s="25"/>
      <c r="M134" s="25"/>
      <c r="N134" s="25"/>
      <c r="O134" s="25"/>
      <c r="P134" s="25"/>
      <c r="Q134" s="25"/>
      <c r="R134" s="25"/>
      <c r="S134" s="25"/>
      <c r="T134" s="34">
        <v>0</v>
      </c>
      <c r="U134" s="34"/>
      <c r="V134" s="53"/>
      <c r="W134" s="25"/>
      <c r="X134" s="5"/>
    </row>
    <row r="135" spans="1:24" ht="15.6" x14ac:dyDescent="0.3">
      <c r="A135" s="24"/>
      <c r="B135" s="25" t="s">
        <v>39</v>
      </c>
      <c r="C135" s="25"/>
      <c r="D135" s="25"/>
      <c r="E135" s="25"/>
      <c r="F135" s="25"/>
      <c r="G135" s="25"/>
      <c r="H135" s="25"/>
      <c r="I135" s="25"/>
      <c r="J135" s="25"/>
      <c r="K135" s="25"/>
      <c r="L135" s="25"/>
      <c r="M135" s="25"/>
      <c r="N135" s="25"/>
      <c r="O135" s="25"/>
      <c r="P135" s="25"/>
      <c r="Q135" s="25"/>
      <c r="R135" s="25"/>
      <c r="S135" s="25"/>
      <c r="T135" s="34">
        <f>SUM(T124:T134)</f>
        <v>-9123</v>
      </c>
      <c r="U135" s="34"/>
      <c r="V135" s="34">
        <f>SUM(V103:V132)</f>
        <v>-10376</v>
      </c>
      <c r="W135" s="25"/>
      <c r="X135" s="5"/>
    </row>
    <row r="136" spans="1:24" ht="15.6" x14ac:dyDescent="0.3">
      <c r="A136" s="24"/>
      <c r="B136" s="25" t="s">
        <v>40</v>
      </c>
      <c r="C136" s="25"/>
      <c r="D136" s="25"/>
      <c r="E136" s="25"/>
      <c r="F136" s="25"/>
      <c r="G136" s="25"/>
      <c r="H136" s="25"/>
      <c r="I136" s="25"/>
      <c r="J136" s="25"/>
      <c r="K136" s="25"/>
      <c r="L136" s="25"/>
      <c r="M136" s="25"/>
      <c r="N136" s="25"/>
      <c r="O136" s="25"/>
      <c r="P136" s="25"/>
      <c r="Q136" s="25"/>
      <c r="R136" s="25"/>
      <c r="S136" s="25"/>
      <c r="T136" s="34">
        <f>T102+T135+T116</f>
        <v>0</v>
      </c>
      <c r="U136" s="34"/>
      <c r="V136" s="34">
        <f>V102+V135</f>
        <v>0</v>
      </c>
      <c r="W136" s="25"/>
      <c r="X136" s="5"/>
    </row>
    <row r="137" spans="1:24" ht="15.6" x14ac:dyDescent="0.3">
      <c r="A137" s="24"/>
      <c r="B137" s="25"/>
      <c r="C137" s="25"/>
      <c r="D137" s="25"/>
      <c r="E137" s="25"/>
      <c r="F137" s="25"/>
      <c r="G137" s="25"/>
      <c r="H137" s="25"/>
      <c r="I137" s="25"/>
      <c r="J137" s="25"/>
      <c r="K137" s="25"/>
      <c r="L137" s="25"/>
      <c r="M137" s="25"/>
      <c r="N137" s="25"/>
      <c r="O137" s="25"/>
      <c r="P137" s="25"/>
      <c r="Q137" s="25"/>
      <c r="R137" s="25"/>
      <c r="S137" s="25"/>
      <c r="T137" s="34"/>
      <c r="U137" s="34"/>
      <c r="V137" s="34"/>
      <c r="W137" s="25"/>
      <c r="X137" s="5"/>
    </row>
    <row r="138" spans="1:24" ht="15.6" x14ac:dyDescent="0.3">
      <c r="A138" s="6"/>
      <c r="B138" s="8"/>
      <c r="C138" s="8"/>
      <c r="D138" s="8"/>
      <c r="E138" s="8"/>
      <c r="F138" s="8"/>
      <c r="G138" s="8"/>
      <c r="H138" s="8"/>
      <c r="I138" s="8"/>
      <c r="J138" s="8"/>
      <c r="K138" s="8"/>
      <c r="L138" s="8"/>
      <c r="M138" s="8"/>
      <c r="N138" s="8"/>
      <c r="O138" s="8"/>
      <c r="P138" s="8"/>
      <c r="Q138" s="8"/>
      <c r="R138" s="8"/>
      <c r="S138" s="8"/>
      <c r="T138" s="8"/>
      <c r="U138" s="8"/>
      <c r="V138" s="52"/>
      <c r="W138" s="8"/>
      <c r="X138" s="5"/>
    </row>
    <row r="139" spans="1:24" ht="18" thickBot="1" x14ac:dyDescent="0.35">
      <c r="A139" s="101"/>
      <c r="B139" s="102" t="str">
        <f>B64</f>
        <v>PM14 INVESTOR REPORT QUARTER ENDING AUGUST 2009</v>
      </c>
      <c r="C139" s="103"/>
      <c r="D139" s="103"/>
      <c r="E139" s="103"/>
      <c r="F139" s="103"/>
      <c r="G139" s="103"/>
      <c r="H139" s="103"/>
      <c r="I139" s="103"/>
      <c r="J139" s="103"/>
      <c r="K139" s="103"/>
      <c r="L139" s="103"/>
      <c r="M139" s="103"/>
      <c r="N139" s="103"/>
      <c r="O139" s="103"/>
      <c r="P139" s="103"/>
      <c r="Q139" s="103"/>
      <c r="R139" s="103"/>
      <c r="S139" s="103"/>
      <c r="T139" s="103"/>
      <c r="U139" s="103"/>
      <c r="V139" s="106"/>
      <c r="W139" s="105"/>
      <c r="X139" s="5"/>
    </row>
    <row r="140" spans="1:24" ht="15.6" x14ac:dyDescent="0.3">
      <c r="A140" s="2"/>
      <c r="B140" s="60" t="s">
        <v>41</v>
      </c>
      <c r="C140" s="4"/>
      <c r="D140" s="4"/>
      <c r="E140" s="4"/>
      <c r="F140" s="4"/>
      <c r="G140" s="4"/>
      <c r="H140" s="4"/>
      <c r="I140" s="4"/>
      <c r="J140" s="4"/>
      <c r="K140" s="4"/>
      <c r="L140" s="4"/>
      <c r="M140" s="4"/>
      <c r="N140" s="4"/>
      <c r="O140" s="4"/>
      <c r="P140" s="4"/>
      <c r="Q140" s="4"/>
      <c r="R140" s="4"/>
      <c r="S140" s="4"/>
      <c r="T140" s="4"/>
      <c r="U140" s="4"/>
      <c r="V140" s="50"/>
      <c r="W140" s="4"/>
      <c r="X140" s="5"/>
    </row>
    <row r="141" spans="1:24" ht="15.6" x14ac:dyDescent="0.3">
      <c r="A141" s="6"/>
      <c r="B141" s="21"/>
      <c r="C141" s="8"/>
      <c r="D141" s="8"/>
      <c r="E141" s="8"/>
      <c r="F141" s="8"/>
      <c r="G141" s="8"/>
      <c r="H141" s="8"/>
      <c r="I141" s="8"/>
      <c r="J141" s="8"/>
      <c r="K141" s="8"/>
      <c r="L141" s="8"/>
      <c r="M141" s="8"/>
      <c r="N141" s="8"/>
      <c r="O141" s="8"/>
      <c r="P141" s="8"/>
      <c r="Q141" s="8"/>
      <c r="R141" s="8"/>
      <c r="S141" s="8"/>
      <c r="T141" s="8"/>
      <c r="U141" s="8"/>
      <c r="V141" s="52"/>
      <c r="W141" s="8"/>
      <c r="X141" s="5"/>
    </row>
    <row r="142" spans="1:24" ht="15.6" x14ac:dyDescent="0.3">
      <c r="A142" s="6"/>
      <c r="B142" s="119" t="s">
        <v>42</v>
      </c>
      <c r="C142" s="8"/>
      <c r="D142" s="8"/>
      <c r="E142" s="8"/>
      <c r="F142" s="8"/>
      <c r="G142" s="8"/>
      <c r="H142" s="8"/>
      <c r="I142" s="8"/>
      <c r="J142" s="8"/>
      <c r="K142" s="8"/>
      <c r="L142" s="8"/>
      <c r="M142" s="8"/>
      <c r="N142" s="8"/>
      <c r="O142" s="8"/>
      <c r="P142" s="8"/>
      <c r="Q142" s="8"/>
      <c r="R142" s="8"/>
      <c r="S142" s="8"/>
      <c r="T142" s="8"/>
      <c r="U142" s="8"/>
      <c r="V142" s="52"/>
      <c r="W142" s="8"/>
      <c r="X142" s="5"/>
    </row>
    <row r="143" spans="1:24" ht="15.6" x14ac:dyDescent="0.3">
      <c r="A143" s="24"/>
      <c r="B143" s="25" t="s">
        <v>43</v>
      </c>
      <c r="C143" s="25"/>
      <c r="D143" s="25"/>
      <c r="E143" s="25"/>
      <c r="F143" s="25"/>
      <c r="G143" s="25"/>
      <c r="H143" s="25"/>
      <c r="I143" s="25"/>
      <c r="J143" s="25"/>
      <c r="K143" s="25"/>
      <c r="L143" s="25"/>
      <c r="M143" s="25"/>
      <c r="N143" s="25"/>
      <c r="O143" s="25"/>
      <c r="P143" s="25"/>
      <c r="Q143" s="25"/>
      <c r="R143" s="25"/>
      <c r="S143" s="25"/>
      <c r="T143" s="25"/>
      <c r="U143" s="25"/>
      <c r="V143" s="53">
        <f>+V34*0.019</f>
        <v>28505.224999999999</v>
      </c>
      <c r="W143" s="25"/>
      <c r="X143" s="5"/>
    </row>
    <row r="144" spans="1:24" ht="15.6" x14ac:dyDescent="0.3">
      <c r="A144" s="24"/>
      <c r="B144" s="25" t="s">
        <v>44</v>
      </c>
      <c r="C144" s="25"/>
      <c r="D144" s="25"/>
      <c r="E144" s="25"/>
      <c r="F144" s="25"/>
      <c r="G144" s="25"/>
      <c r="H144" s="25"/>
      <c r="I144" s="25"/>
      <c r="J144" s="25"/>
      <c r="K144" s="25"/>
      <c r="L144" s="25"/>
      <c r="M144" s="25"/>
      <c r="N144" s="25"/>
      <c r="O144" s="25"/>
      <c r="P144" s="25"/>
      <c r="Q144" s="25"/>
      <c r="R144" s="25"/>
      <c r="S144" s="25"/>
      <c r="T144" s="25"/>
      <c r="U144" s="25"/>
      <c r="V144" s="53">
        <v>28505</v>
      </c>
      <c r="W144" s="25"/>
      <c r="X144" s="5"/>
    </row>
    <row r="145" spans="1:25" ht="15.6" x14ac:dyDescent="0.3">
      <c r="A145" s="24"/>
      <c r="B145" s="25" t="s">
        <v>136</v>
      </c>
      <c r="C145" s="25"/>
      <c r="D145" s="25"/>
      <c r="E145" s="25"/>
      <c r="F145" s="25"/>
      <c r="G145" s="25"/>
      <c r="H145" s="25"/>
      <c r="I145" s="25"/>
      <c r="J145" s="25"/>
      <c r="K145" s="25"/>
      <c r="L145" s="25"/>
      <c r="M145" s="25"/>
      <c r="N145" s="25"/>
      <c r="O145" s="25"/>
      <c r="P145" s="25"/>
      <c r="Q145" s="25"/>
      <c r="R145" s="25"/>
      <c r="S145" s="25"/>
      <c r="T145" s="25"/>
      <c r="U145" s="25"/>
      <c r="V145" s="53"/>
      <c r="W145" s="25"/>
      <c r="X145" s="5"/>
    </row>
    <row r="146" spans="1:25" ht="15.6" x14ac:dyDescent="0.3">
      <c r="A146" s="24"/>
      <c r="B146" s="25" t="s">
        <v>123</v>
      </c>
      <c r="C146" s="25"/>
      <c r="D146" s="25"/>
      <c r="E146" s="25"/>
      <c r="F146" s="25"/>
      <c r="G146" s="25"/>
      <c r="H146" s="25"/>
      <c r="I146" s="25"/>
      <c r="J146" s="25"/>
      <c r="K146" s="25"/>
      <c r="L146" s="25"/>
      <c r="M146" s="25"/>
      <c r="N146" s="25"/>
      <c r="O146" s="25"/>
      <c r="P146" s="25"/>
      <c r="Q146" s="25"/>
      <c r="R146" s="25"/>
      <c r="S146" s="25"/>
      <c r="T146" s="25"/>
      <c r="U146" s="25"/>
      <c r="V146" s="53">
        <v>0</v>
      </c>
      <c r="W146" s="25"/>
      <c r="X146" s="5"/>
    </row>
    <row r="147" spans="1:25" ht="15.6" x14ac:dyDescent="0.3">
      <c r="A147" s="24"/>
      <c r="B147" s="25" t="s">
        <v>124</v>
      </c>
      <c r="C147" s="25"/>
      <c r="D147" s="25"/>
      <c r="E147" s="25"/>
      <c r="F147" s="25"/>
      <c r="G147" s="25"/>
      <c r="H147" s="25"/>
      <c r="I147" s="25"/>
      <c r="J147" s="25"/>
      <c r="K147" s="25"/>
      <c r="L147" s="25"/>
      <c r="M147" s="25"/>
      <c r="N147" s="25"/>
      <c r="O147" s="25"/>
      <c r="P147" s="25"/>
      <c r="Q147" s="25"/>
      <c r="R147" s="25"/>
      <c r="S147" s="25"/>
      <c r="T147" s="25"/>
      <c r="U147" s="25"/>
      <c r="V147" s="53">
        <v>0</v>
      </c>
      <c r="W147" s="25"/>
      <c r="X147" s="5"/>
    </row>
    <row r="148" spans="1:25" ht="15.6" x14ac:dyDescent="0.3">
      <c r="A148" s="24"/>
      <c r="B148" s="25" t="s">
        <v>175</v>
      </c>
      <c r="C148" s="25"/>
      <c r="D148" s="25"/>
      <c r="E148" s="25"/>
      <c r="F148" s="25"/>
      <c r="G148" s="25"/>
      <c r="H148" s="25"/>
      <c r="I148" s="25"/>
      <c r="J148" s="25"/>
      <c r="K148" s="25"/>
      <c r="L148" s="25"/>
      <c r="M148" s="25"/>
      <c r="N148" s="25"/>
      <c r="O148" s="25"/>
      <c r="P148" s="25"/>
      <c r="Q148" s="25"/>
      <c r="R148" s="25"/>
      <c r="S148" s="25"/>
      <c r="T148" s="25"/>
      <c r="U148" s="25"/>
      <c r="V148" s="53">
        <v>0</v>
      </c>
      <c r="W148" s="25"/>
      <c r="X148" s="5"/>
    </row>
    <row r="149" spans="1:25" ht="15.6" x14ac:dyDescent="0.3">
      <c r="A149" s="24"/>
      <c r="B149" s="25" t="s">
        <v>45</v>
      </c>
      <c r="C149" s="25"/>
      <c r="D149" s="25"/>
      <c r="E149" s="25"/>
      <c r="F149" s="25"/>
      <c r="G149" s="25"/>
      <c r="H149" s="25"/>
      <c r="I149" s="25"/>
      <c r="J149" s="25"/>
      <c r="K149" s="25"/>
      <c r="L149" s="25"/>
      <c r="M149" s="25"/>
      <c r="N149" s="25"/>
      <c r="O149" s="25"/>
      <c r="P149" s="25"/>
      <c r="Q149" s="25"/>
      <c r="R149" s="25"/>
      <c r="S149" s="25"/>
      <c r="T149" s="25"/>
      <c r="U149" s="25"/>
      <c r="V149" s="53">
        <v>0</v>
      </c>
      <c r="W149" s="25"/>
      <c r="X149" s="5"/>
    </row>
    <row r="150" spans="1:25" ht="15.6" x14ac:dyDescent="0.3">
      <c r="A150" s="24"/>
      <c r="B150" s="25" t="s">
        <v>129</v>
      </c>
      <c r="C150" s="25"/>
      <c r="D150" s="25"/>
      <c r="E150" s="25"/>
      <c r="F150" s="25"/>
      <c r="G150" s="25"/>
      <c r="H150" s="25"/>
      <c r="I150" s="25"/>
      <c r="J150" s="25"/>
      <c r="K150" s="25"/>
      <c r="L150" s="25"/>
      <c r="M150" s="25"/>
      <c r="N150" s="25"/>
      <c r="O150" s="25"/>
      <c r="P150" s="25"/>
      <c r="Q150" s="25"/>
      <c r="R150" s="25"/>
      <c r="S150" s="25"/>
      <c r="T150" s="25"/>
      <c r="U150" s="25"/>
      <c r="V150" s="53">
        <v>0</v>
      </c>
      <c r="W150" s="25"/>
      <c r="X150" s="5"/>
    </row>
    <row r="151" spans="1:25" ht="15.6" x14ac:dyDescent="0.3">
      <c r="A151" s="24"/>
      <c r="B151" s="25" t="s">
        <v>267</v>
      </c>
      <c r="C151" s="25"/>
      <c r="D151" s="25"/>
      <c r="E151" s="25"/>
      <c r="F151" s="25"/>
      <c r="G151" s="25"/>
      <c r="H151" s="25"/>
      <c r="I151" s="25"/>
      <c r="J151" s="25"/>
      <c r="K151" s="25"/>
      <c r="L151" s="25"/>
      <c r="M151" s="25"/>
      <c r="N151" s="25"/>
      <c r="O151" s="25"/>
      <c r="P151" s="25"/>
      <c r="Q151" s="25"/>
      <c r="R151" s="25"/>
      <c r="S151" s="25"/>
      <c r="T151" s="25"/>
      <c r="U151" s="25"/>
      <c r="V151" s="53">
        <v>0</v>
      </c>
      <c r="W151" s="25"/>
      <c r="X151" s="5"/>
      <c r="Y151" s="109"/>
    </row>
    <row r="152" spans="1:25" ht="15.6" x14ac:dyDescent="0.3">
      <c r="A152" s="24"/>
      <c r="B152" s="25" t="s">
        <v>46</v>
      </c>
      <c r="C152" s="25"/>
      <c r="D152" s="25"/>
      <c r="E152" s="25"/>
      <c r="F152" s="25"/>
      <c r="G152" s="25"/>
      <c r="H152" s="25"/>
      <c r="I152" s="25"/>
      <c r="J152" s="25"/>
      <c r="K152" s="25"/>
      <c r="L152" s="25"/>
      <c r="M152" s="25"/>
      <c r="N152" s="25"/>
      <c r="O152" s="25"/>
      <c r="P152" s="25"/>
      <c r="Q152" s="25"/>
      <c r="R152" s="25"/>
      <c r="S152" s="25"/>
      <c r="T152" s="25"/>
      <c r="U152" s="25"/>
      <c r="V152" s="53">
        <f>SUM(V144:V151)</f>
        <v>28505</v>
      </c>
      <c r="W152" s="25"/>
      <c r="X152" s="5"/>
    </row>
    <row r="153" spans="1:25" ht="15.6" x14ac:dyDescent="0.3">
      <c r="A153" s="24"/>
      <c r="B153" s="25"/>
      <c r="C153" s="25"/>
      <c r="D153" s="25"/>
      <c r="E153" s="25"/>
      <c r="F153" s="25"/>
      <c r="G153" s="25"/>
      <c r="H153" s="25"/>
      <c r="I153" s="25"/>
      <c r="J153" s="25"/>
      <c r="K153" s="25"/>
      <c r="L153" s="25"/>
      <c r="M153" s="25"/>
      <c r="N153" s="25"/>
      <c r="O153" s="25"/>
      <c r="P153" s="25"/>
      <c r="Q153" s="25"/>
      <c r="R153" s="25"/>
      <c r="S153" s="25"/>
      <c r="T153" s="25"/>
      <c r="U153" s="25"/>
      <c r="V153" s="53"/>
      <c r="W153" s="25"/>
      <c r="X153" s="5"/>
    </row>
    <row r="154" spans="1:25" ht="15.6" x14ac:dyDescent="0.3">
      <c r="A154" s="24"/>
      <c r="B154" s="136" t="s">
        <v>237</v>
      </c>
      <c r="C154" s="25"/>
      <c r="D154" s="25"/>
      <c r="E154" s="25"/>
      <c r="F154" s="25"/>
      <c r="G154" s="25"/>
      <c r="H154" s="25"/>
      <c r="I154" s="25"/>
      <c r="J154" s="25"/>
      <c r="K154" s="25"/>
      <c r="L154" s="25"/>
      <c r="M154" s="25"/>
      <c r="N154" s="25"/>
      <c r="O154" s="25"/>
      <c r="P154" s="25"/>
      <c r="Q154" s="25"/>
      <c r="R154" s="25"/>
      <c r="S154" s="25"/>
      <c r="T154" s="25"/>
      <c r="U154" s="25"/>
      <c r="V154" s="53"/>
      <c r="W154" s="25"/>
      <c r="X154" s="5"/>
    </row>
    <row r="155" spans="1:25" ht="15.6" x14ac:dyDescent="0.3">
      <c r="A155" s="24"/>
      <c r="B155" s="25" t="s">
        <v>155</v>
      </c>
      <c r="C155" s="25"/>
      <c r="D155" s="25"/>
      <c r="E155" s="25"/>
      <c r="F155" s="25"/>
      <c r="G155" s="25"/>
      <c r="H155" s="25"/>
      <c r="I155" s="25"/>
      <c r="J155" s="25"/>
      <c r="K155" s="25"/>
      <c r="L155" s="25"/>
      <c r="M155" s="25"/>
      <c r="N155" s="25"/>
      <c r="O155" s="25"/>
      <c r="P155" s="25"/>
      <c r="Q155" s="25"/>
      <c r="R155" s="25"/>
      <c r="S155" s="25"/>
      <c r="T155" s="25"/>
      <c r="U155" s="25"/>
      <c r="V155" s="53">
        <v>7500</v>
      </c>
      <c r="W155" s="25"/>
      <c r="X155" s="5"/>
    </row>
    <row r="156" spans="1:25" ht="15.6" x14ac:dyDescent="0.3">
      <c r="A156" s="24"/>
      <c r="B156" s="25" t="s">
        <v>172</v>
      </c>
      <c r="C156" s="25"/>
      <c r="D156" s="25"/>
      <c r="E156" s="25"/>
      <c r="F156" s="25"/>
      <c r="G156" s="25"/>
      <c r="H156" s="25"/>
      <c r="I156" s="25"/>
      <c r="J156" s="25"/>
      <c r="K156" s="25"/>
      <c r="L156" s="25"/>
      <c r="M156" s="25"/>
      <c r="N156" s="25"/>
      <c r="O156" s="25"/>
      <c r="P156" s="25"/>
      <c r="Q156" s="25"/>
      <c r="R156" s="25"/>
      <c r="S156" s="25"/>
      <c r="T156" s="25"/>
      <c r="U156" s="25"/>
      <c r="V156" s="53">
        <v>0</v>
      </c>
      <c r="W156" s="25"/>
      <c r="X156" s="5"/>
    </row>
    <row r="157" spans="1:25" ht="15.6" x14ac:dyDescent="0.3">
      <c r="A157" s="24"/>
      <c r="B157" s="25" t="s">
        <v>241</v>
      </c>
      <c r="C157" s="25"/>
      <c r="D157" s="25"/>
      <c r="E157" s="25"/>
      <c r="F157" s="25"/>
      <c r="G157" s="25"/>
      <c r="H157" s="25"/>
      <c r="I157" s="25"/>
      <c r="J157" s="25"/>
      <c r="K157" s="25"/>
      <c r="L157" s="25"/>
      <c r="M157" s="25"/>
      <c r="N157" s="25"/>
      <c r="O157" s="25"/>
      <c r="P157" s="25"/>
      <c r="Q157" s="25"/>
      <c r="R157" s="25"/>
      <c r="S157" s="25"/>
      <c r="T157" s="25"/>
      <c r="U157" s="25"/>
      <c r="V157" s="53">
        <v>3000</v>
      </c>
      <c r="W157" s="25"/>
      <c r="X157" s="5"/>
    </row>
    <row r="158" spans="1:25" ht="15.6" x14ac:dyDescent="0.3">
      <c r="A158" s="24"/>
      <c r="B158" s="25"/>
      <c r="C158" s="25"/>
      <c r="D158" s="25"/>
      <c r="E158" s="25"/>
      <c r="F158" s="25"/>
      <c r="G158" s="25"/>
      <c r="H158" s="25"/>
      <c r="I158" s="25"/>
      <c r="J158" s="25"/>
      <c r="K158" s="25"/>
      <c r="L158" s="25"/>
      <c r="M158" s="25"/>
      <c r="N158" s="25"/>
      <c r="O158" s="25"/>
      <c r="P158" s="25"/>
      <c r="Q158" s="25"/>
      <c r="R158" s="25"/>
      <c r="S158" s="25"/>
      <c r="T158" s="25"/>
      <c r="U158" s="25"/>
      <c r="V158" s="53"/>
      <c r="W158" s="25"/>
      <c r="X158" s="5"/>
    </row>
    <row r="159" spans="1:25" ht="15.6" x14ac:dyDescent="0.3">
      <c r="A159" s="24"/>
      <c r="B159" s="25"/>
      <c r="C159" s="25"/>
      <c r="D159" s="25"/>
      <c r="E159" s="25"/>
      <c r="F159" s="25"/>
      <c r="G159" s="25"/>
      <c r="H159" s="25"/>
      <c r="I159" s="25"/>
      <c r="J159" s="25"/>
      <c r="K159" s="25"/>
      <c r="L159" s="25"/>
      <c r="M159" s="25"/>
      <c r="N159" s="25"/>
      <c r="O159" s="25"/>
      <c r="P159" s="25"/>
      <c r="Q159" s="25"/>
      <c r="R159" s="25"/>
      <c r="S159" s="25"/>
      <c r="T159" s="25"/>
      <c r="U159" s="25"/>
      <c r="V159" s="61"/>
      <c r="W159" s="25"/>
      <c r="X159" s="5"/>
    </row>
    <row r="160" spans="1:25" ht="15.6" x14ac:dyDescent="0.3">
      <c r="A160" s="6"/>
      <c r="B160" s="119" t="s">
        <v>24</v>
      </c>
      <c r="C160" s="8"/>
      <c r="D160" s="8"/>
      <c r="E160" s="8"/>
      <c r="F160" s="8"/>
      <c r="G160" s="8"/>
      <c r="H160" s="8"/>
      <c r="I160" s="8"/>
      <c r="J160" s="8"/>
      <c r="K160" s="8"/>
      <c r="L160" s="8"/>
      <c r="M160" s="8"/>
      <c r="N160" s="8"/>
      <c r="O160" s="8"/>
      <c r="P160" s="8"/>
      <c r="Q160" s="8"/>
      <c r="R160" s="8"/>
      <c r="S160" s="8"/>
      <c r="T160" s="8"/>
      <c r="U160" s="8"/>
      <c r="V160" s="52"/>
      <c r="W160" s="8"/>
      <c r="X160" s="5"/>
    </row>
    <row r="161" spans="1:256" ht="15.6" x14ac:dyDescent="0.3">
      <c r="A161" s="24"/>
      <c r="B161" s="25" t="s">
        <v>47</v>
      </c>
      <c r="C161" s="25"/>
      <c r="D161" s="25"/>
      <c r="E161" s="25"/>
      <c r="F161" s="25"/>
      <c r="G161" s="25"/>
      <c r="H161" s="25"/>
      <c r="I161" s="25"/>
      <c r="J161" s="25"/>
      <c r="K161" s="25"/>
      <c r="L161" s="25"/>
      <c r="M161" s="25"/>
      <c r="N161" s="25"/>
      <c r="O161" s="25"/>
      <c r="P161" s="25"/>
      <c r="Q161" s="25"/>
      <c r="R161" s="25"/>
      <c r="S161" s="25"/>
      <c r="T161" s="25"/>
      <c r="U161" s="25"/>
      <c r="V161" s="59" t="s">
        <v>118</v>
      </c>
      <c r="W161" s="25"/>
      <c r="X161" s="5"/>
    </row>
    <row r="162" spans="1:256" ht="15.6" x14ac:dyDescent="0.3">
      <c r="A162" s="24"/>
      <c r="B162" s="25" t="s">
        <v>48</v>
      </c>
      <c r="C162" s="174"/>
      <c r="D162" s="174"/>
      <c r="E162" s="174"/>
      <c r="F162" s="174"/>
      <c r="G162" s="174"/>
      <c r="H162" s="174"/>
      <c r="I162" s="174"/>
      <c r="J162" s="174"/>
      <c r="K162" s="174"/>
      <c r="L162" s="174"/>
      <c r="M162" s="174"/>
      <c r="N162" s="174"/>
      <c r="O162" s="174"/>
      <c r="P162" s="174"/>
      <c r="Q162" s="174"/>
      <c r="R162" s="174"/>
      <c r="S162" s="174"/>
      <c r="T162" s="174"/>
      <c r="U162" s="174"/>
      <c r="V162" s="59" t="s">
        <v>118</v>
      </c>
      <c r="W162" s="25"/>
      <c r="X162" s="5"/>
    </row>
    <row r="163" spans="1:256" ht="15.6" x14ac:dyDescent="0.3">
      <c r="A163" s="24"/>
      <c r="B163" s="25" t="s">
        <v>49</v>
      </c>
      <c r="C163" s="25"/>
      <c r="D163" s="25"/>
      <c r="E163" s="25"/>
      <c r="F163" s="25"/>
      <c r="G163" s="25"/>
      <c r="H163" s="25"/>
      <c r="I163" s="25"/>
      <c r="J163" s="25"/>
      <c r="K163" s="25"/>
      <c r="L163" s="25"/>
      <c r="M163" s="25"/>
      <c r="N163" s="25"/>
      <c r="O163" s="25"/>
      <c r="P163" s="25"/>
      <c r="Q163" s="25"/>
      <c r="R163" s="25"/>
      <c r="S163" s="25"/>
      <c r="T163" s="25"/>
      <c r="U163" s="25"/>
      <c r="V163" s="59" t="s">
        <v>118</v>
      </c>
      <c r="W163" s="25"/>
      <c r="X163" s="5"/>
    </row>
    <row r="164" spans="1:256" ht="15.6" x14ac:dyDescent="0.3">
      <c r="A164" s="24"/>
      <c r="B164" s="25" t="s">
        <v>50</v>
      </c>
      <c r="C164" s="25"/>
      <c r="D164" s="25"/>
      <c r="E164" s="25"/>
      <c r="F164" s="25"/>
      <c r="G164" s="25"/>
      <c r="H164" s="25"/>
      <c r="I164" s="25"/>
      <c r="J164" s="25"/>
      <c r="K164" s="25"/>
      <c r="L164" s="25"/>
      <c r="M164" s="25"/>
      <c r="N164" s="25"/>
      <c r="O164" s="25"/>
      <c r="P164" s="25"/>
      <c r="Q164" s="25"/>
      <c r="R164" s="25"/>
      <c r="S164" s="25"/>
      <c r="T164" s="25"/>
      <c r="U164" s="25"/>
      <c r="V164" s="59" t="s">
        <v>118</v>
      </c>
      <c r="W164" s="25"/>
      <c r="X164" s="5"/>
    </row>
    <row r="165" spans="1:256" ht="15.6" x14ac:dyDescent="0.3">
      <c r="A165" s="24"/>
      <c r="B165" s="25"/>
      <c r="C165" s="25"/>
      <c r="D165" s="25"/>
      <c r="E165" s="25"/>
      <c r="F165" s="25"/>
      <c r="G165" s="25"/>
      <c r="H165" s="25"/>
      <c r="I165" s="25"/>
      <c r="J165" s="25"/>
      <c r="K165" s="25"/>
      <c r="L165" s="25"/>
      <c r="M165" s="25"/>
      <c r="N165" s="25"/>
      <c r="O165" s="25"/>
      <c r="P165" s="25"/>
      <c r="Q165" s="25"/>
      <c r="R165" s="25"/>
      <c r="S165" s="25"/>
      <c r="T165" s="25"/>
      <c r="U165" s="25"/>
      <c r="V165" s="61"/>
      <c r="W165" s="25"/>
      <c r="X165" s="5"/>
    </row>
    <row r="166" spans="1:256" ht="15.6" x14ac:dyDescent="0.3">
      <c r="A166" s="6"/>
      <c r="B166" s="119" t="s">
        <v>51</v>
      </c>
      <c r="C166" s="8"/>
      <c r="D166" s="8"/>
      <c r="E166" s="8"/>
      <c r="F166" s="8"/>
      <c r="G166" s="8"/>
      <c r="H166" s="8"/>
      <c r="I166" s="8"/>
      <c r="J166" s="8"/>
      <c r="K166" s="8"/>
      <c r="L166" s="8"/>
      <c r="M166" s="8"/>
      <c r="N166" s="8"/>
      <c r="O166" s="8"/>
      <c r="P166" s="8"/>
      <c r="Q166" s="8"/>
      <c r="R166" s="8"/>
      <c r="S166" s="8"/>
      <c r="T166" s="8"/>
      <c r="U166" s="8"/>
      <c r="V166" s="63"/>
      <c r="W166" s="8"/>
      <c r="X166" s="5"/>
    </row>
    <row r="167" spans="1:256" ht="15.6" x14ac:dyDescent="0.3">
      <c r="A167" s="24"/>
      <c r="B167" s="25" t="s">
        <v>52</v>
      </c>
      <c r="C167" s="25"/>
      <c r="D167" s="25"/>
      <c r="E167" s="25"/>
      <c r="F167" s="25"/>
      <c r="G167" s="25"/>
      <c r="H167" s="25"/>
      <c r="I167" s="25"/>
      <c r="J167" s="25"/>
      <c r="K167" s="25"/>
      <c r="L167" s="25"/>
      <c r="M167" s="25"/>
      <c r="N167" s="25"/>
      <c r="O167" s="25"/>
      <c r="P167" s="25"/>
      <c r="Q167" s="25"/>
      <c r="R167" s="25"/>
      <c r="S167" s="25"/>
      <c r="T167" s="25"/>
      <c r="U167" s="25"/>
      <c r="V167" s="53">
        <v>0</v>
      </c>
      <c r="W167" s="25"/>
      <c r="X167" s="5"/>
    </row>
    <row r="168" spans="1:256" ht="15.6" x14ac:dyDescent="0.3">
      <c r="A168" s="24"/>
      <c r="B168" s="25" t="s">
        <v>53</v>
      </c>
      <c r="C168" s="25"/>
      <c r="D168" s="25"/>
      <c r="E168" s="25"/>
      <c r="F168" s="25"/>
      <c r="G168" s="25"/>
      <c r="H168" s="25"/>
      <c r="I168" s="25"/>
      <c r="J168" s="25"/>
      <c r="K168" s="25"/>
      <c r="L168" s="25"/>
      <c r="M168" s="25"/>
      <c r="N168" s="25"/>
      <c r="O168" s="25"/>
      <c r="P168" s="25"/>
      <c r="Q168" s="25"/>
      <c r="R168" s="25"/>
      <c r="S168" s="25"/>
      <c r="T168" s="25"/>
      <c r="U168" s="25"/>
      <c r="V168" s="53">
        <v>573</v>
      </c>
      <c r="W168" s="25"/>
      <c r="X168" s="5"/>
    </row>
    <row r="169" spans="1:256" ht="15.6" x14ac:dyDescent="0.3">
      <c r="A169" s="24"/>
      <c r="B169" s="25" t="s">
        <v>54</v>
      </c>
      <c r="C169" s="25"/>
      <c r="D169" s="25"/>
      <c r="E169" s="25"/>
      <c r="F169" s="25"/>
      <c r="G169" s="25"/>
      <c r="H169" s="25"/>
      <c r="I169" s="25"/>
      <c r="J169" s="25"/>
      <c r="K169" s="25"/>
      <c r="L169" s="25"/>
      <c r="M169" s="25"/>
      <c r="N169" s="25"/>
      <c r="O169" s="25"/>
      <c r="P169" s="25"/>
      <c r="Q169" s="25"/>
      <c r="R169" s="25"/>
      <c r="S169" s="25"/>
      <c r="T169" s="25"/>
      <c r="U169" s="25"/>
      <c r="V169" s="53">
        <f>V168+V167</f>
        <v>573</v>
      </c>
      <c r="W169" s="25"/>
      <c r="X169" s="5"/>
    </row>
    <row r="170" spans="1:256" ht="15.6" x14ac:dyDescent="0.3">
      <c r="A170" s="24"/>
      <c r="B170" s="25" t="s">
        <v>315</v>
      </c>
      <c r="C170" s="25"/>
      <c r="D170" s="25"/>
      <c r="E170" s="25"/>
      <c r="F170" s="25"/>
      <c r="G170" s="25"/>
      <c r="H170" s="25"/>
      <c r="I170" s="25"/>
      <c r="J170" s="25"/>
      <c r="K170" s="25"/>
      <c r="L170" s="25"/>
      <c r="M170" s="25"/>
      <c r="N170" s="25"/>
      <c r="O170" s="25"/>
      <c r="P170" s="25"/>
      <c r="Q170" s="25"/>
      <c r="R170" s="25"/>
      <c r="S170" s="25"/>
      <c r="T170" s="25"/>
      <c r="U170" s="25"/>
      <c r="V170" s="53">
        <f>V116</f>
        <v>-573</v>
      </c>
      <c r="W170" s="25"/>
      <c r="X170" s="5"/>
    </row>
    <row r="171" spans="1:256" ht="15.6" x14ac:dyDescent="0.3">
      <c r="A171" s="24"/>
      <c r="B171" s="25" t="s">
        <v>55</v>
      </c>
      <c r="C171" s="25"/>
      <c r="D171" s="25"/>
      <c r="E171" s="25"/>
      <c r="F171" s="25"/>
      <c r="G171" s="25"/>
      <c r="H171" s="25"/>
      <c r="I171" s="25"/>
      <c r="J171" s="25"/>
      <c r="K171" s="25"/>
      <c r="L171" s="25"/>
      <c r="M171" s="25"/>
      <c r="N171" s="25"/>
      <c r="O171" s="25"/>
      <c r="P171" s="25"/>
      <c r="Q171" s="25"/>
      <c r="R171" s="25"/>
      <c r="S171" s="25"/>
      <c r="T171" s="25"/>
      <c r="U171" s="25"/>
      <c r="V171" s="53">
        <f>V169+V170</f>
        <v>0</v>
      </c>
      <c r="W171" s="25"/>
      <c r="X171" s="5"/>
    </row>
    <row r="172" spans="1:256" ht="16.2" thickBot="1" x14ac:dyDescent="0.35">
      <c r="A172" s="24"/>
      <c r="B172" s="25"/>
      <c r="C172" s="25"/>
      <c r="D172" s="25"/>
      <c r="E172" s="25"/>
      <c r="F172" s="25"/>
      <c r="G172" s="25"/>
      <c r="H172" s="25"/>
      <c r="I172" s="25"/>
      <c r="J172" s="25"/>
      <c r="K172" s="25"/>
      <c r="L172" s="25"/>
      <c r="M172" s="25"/>
      <c r="N172" s="25"/>
      <c r="O172" s="25"/>
      <c r="P172" s="25"/>
      <c r="Q172" s="25"/>
      <c r="R172" s="25"/>
      <c r="S172" s="25"/>
      <c r="T172" s="25"/>
      <c r="U172" s="25"/>
      <c r="V172" s="61"/>
      <c r="W172" s="25"/>
      <c r="X172" s="5"/>
    </row>
    <row r="173" spans="1:256" ht="15.6" x14ac:dyDescent="0.3">
      <c r="A173" s="2"/>
      <c r="B173" s="4"/>
      <c r="C173" s="4"/>
      <c r="D173" s="4"/>
      <c r="E173" s="4"/>
      <c r="F173" s="4"/>
      <c r="G173" s="4"/>
      <c r="H173" s="4"/>
      <c r="I173" s="4"/>
      <c r="J173" s="4"/>
      <c r="K173" s="4"/>
      <c r="L173" s="4"/>
      <c r="M173" s="4"/>
      <c r="N173" s="4"/>
      <c r="O173" s="4"/>
      <c r="P173" s="4"/>
      <c r="Q173" s="4"/>
      <c r="R173" s="4"/>
      <c r="S173" s="4"/>
      <c r="T173" s="4"/>
      <c r="U173" s="4"/>
      <c r="V173" s="50"/>
      <c r="W173" s="4"/>
      <c r="X173" s="5"/>
    </row>
    <row r="174" spans="1:256" s="161" customFormat="1" ht="15.6" x14ac:dyDescent="0.3">
      <c r="A174" s="6"/>
      <c r="B174" s="119" t="s">
        <v>269</v>
      </c>
      <c r="C174" s="160"/>
      <c r="D174" s="160"/>
      <c r="E174" s="160"/>
      <c r="F174" s="160"/>
      <c r="G174" s="160"/>
      <c r="H174" s="160"/>
      <c r="I174" s="160"/>
      <c r="J174" s="160"/>
      <c r="K174" s="160"/>
      <c r="L174" s="160"/>
      <c r="M174" s="160"/>
      <c r="N174" s="160"/>
      <c r="O174" s="160"/>
      <c r="P174" s="160"/>
      <c r="Q174" s="160"/>
      <c r="R174" s="160"/>
      <c r="S174" s="160"/>
      <c r="T174" s="160"/>
      <c r="U174" s="160"/>
      <c r="V174" s="168"/>
      <c r="W174" s="160"/>
      <c r="X174" s="5"/>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s="163" customFormat="1" ht="15.6" x14ac:dyDescent="0.3">
      <c r="A175" s="24"/>
      <c r="B175" s="162" t="s">
        <v>270</v>
      </c>
      <c r="C175" s="162"/>
      <c r="D175" s="162"/>
      <c r="E175" s="162"/>
      <c r="F175" s="162"/>
      <c r="G175" s="162"/>
      <c r="H175" s="162"/>
      <c r="I175" s="162"/>
      <c r="J175" s="162"/>
      <c r="K175" s="162"/>
      <c r="L175" s="162"/>
      <c r="M175" s="162"/>
      <c r="N175" s="162"/>
      <c r="O175" s="162"/>
      <c r="P175" s="162"/>
      <c r="Q175" s="162"/>
      <c r="R175" s="162"/>
      <c r="S175" s="162"/>
      <c r="T175" s="162"/>
      <c r="U175" s="162"/>
      <c r="V175" s="169">
        <f>+'Aug 08'!V177</f>
        <v>0</v>
      </c>
      <c r="W175" s="162"/>
      <c r="X175" s="5"/>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s="163" customFormat="1" ht="15.6" x14ac:dyDescent="0.3">
      <c r="A176" s="24"/>
      <c r="B176" s="162" t="s">
        <v>273</v>
      </c>
      <c r="C176" s="162"/>
      <c r="D176" s="162"/>
      <c r="E176" s="162"/>
      <c r="F176" s="162"/>
      <c r="G176" s="162"/>
      <c r="H176" s="162"/>
      <c r="I176" s="162"/>
      <c r="J176" s="162"/>
      <c r="K176" s="162"/>
      <c r="L176" s="162"/>
      <c r="M176" s="162"/>
      <c r="N176" s="162"/>
      <c r="O176" s="162"/>
      <c r="P176" s="162"/>
      <c r="Q176" s="162"/>
      <c r="R176" s="162"/>
      <c r="S176" s="162"/>
      <c r="T176" s="162"/>
      <c r="U176" s="162"/>
      <c r="V176" s="169">
        <f>+V95</f>
        <v>0</v>
      </c>
      <c r="W176" s="162"/>
      <c r="X176" s="5"/>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s="163" customFormat="1" ht="15.6" x14ac:dyDescent="0.3">
      <c r="A177" s="24"/>
      <c r="B177" s="162" t="s">
        <v>271</v>
      </c>
      <c r="C177" s="162"/>
      <c r="D177" s="162"/>
      <c r="E177" s="162"/>
      <c r="F177" s="162"/>
      <c r="G177" s="162"/>
      <c r="H177" s="162"/>
      <c r="I177" s="162"/>
      <c r="J177" s="162"/>
      <c r="K177" s="162"/>
      <c r="L177" s="162"/>
      <c r="M177" s="162"/>
      <c r="N177" s="162"/>
      <c r="O177" s="162"/>
      <c r="P177" s="162"/>
      <c r="Q177" s="162"/>
      <c r="R177" s="162"/>
      <c r="S177" s="162"/>
      <c r="T177" s="162"/>
      <c r="U177" s="162"/>
      <c r="V177" s="169">
        <f>+V175-V176</f>
        <v>0</v>
      </c>
      <c r="W177" s="162"/>
      <c r="X177" s="5"/>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s="166" customFormat="1" ht="16.2" thickBot="1" x14ac:dyDescent="0.35">
      <c r="A178" s="170"/>
      <c r="B178" s="164"/>
      <c r="C178" s="164"/>
      <c r="D178" s="164"/>
      <c r="E178" s="164"/>
      <c r="F178" s="164"/>
      <c r="G178" s="164"/>
      <c r="H178" s="164"/>
      <c r="I178" s="164"/>
      <c r="J178" s="164"/>
      <c r="K178" s="164"/>
      <c r="L178" s="164"/>
      <c r="M178" s="164"/>
      <c r="N178" s="164"/>
      <c r="O178" s="164"/>
      <c r="P178" s="164"/>
      <c r="Q178" s="164"/>
      <c r="R178" s="164"/>
      <c r="S178" s="164"/>
      <c r="T178" s="164"/>
      <c r="U178" s="164"/>
      <c r="V178" s="165"/>
      <c r="W178" s="164"/>
      <c r="X178" s="5"/>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s="167" customFormat="1" ht="15.6" x14ac:dyDescent="0.3">
      <c r="A179" s="2"/>
      <c r="B179" s="4"/>
      <c r="C179" s="4"/>
      <c r="D179" s="4"/>
      <c r="E179" s="4"/>
      <c r="F179" s="4"/>
      <c r="G179" s="4"/>
      <c r="H179" s="4"/>
      <c r="I179" s="4"/>
      <c r="J179" s="4"/>
      <c r="K179" s="4"/>
      <c r="L179" s="4"/>
      <c r="M179" s="4"/>
      <c r="N179" s="4"/>
      <c r="O179" s="4"/>
      <c r="P179" s="4"/>
      <c r="Q179" s="4"/>
      <c r="R179" s="4"/>
      <c r="S179" s="4"/>
      <c r="T179" s="4"/>
      <c r="U179" s="4"/>
      <c r="V179" s="50"/>
      <c r="W179" s="4"/>
      <c r="X179" s="5"/>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ht="15.6" x14ac:dyDescent="0.3">
      <c r="A180" s="6"/>
      <c r="B180" s="119" t="s">
        <v>56</v>
      </c>
      <c r="C180" s="8"/>
      <c r="D180" s="8"/>
      <c r="E180" s="8"/>
      <c r="F180" s="8"/>
      <c r="G180" s="8"/>
      <c r="H180" s="8"/>
      <c r="I180" s="8"/>
      <c r="J180" s="8"/>
      <c r="K180" s="8"/>
      <c r="L180" s="8"/>
      <c r="M180" s="8"/>
      <c r="N180" s="8"/>
      <c r="O180" s="8"/>
      <c r="P180" s="8"/>
      <c r="Q180" s="8"/>
      <c r="R180" s="8"/>
      <c r="S180" s="8"/>
      <c r="T180" s="8"/>
      <c r="U180" s="8"/>
      <c r="V180" s="52"/>
      <c r="W180" s="8"/>
      <c r="X180" s="5"/>
    </row>
    <row r="181" spans="1:256" ht="15.6" x14ac:dyDescent="0.3">
      <c r="A181" s="6"/>
      <c r="B181" s="21"/>
      <c r="C181" s="8"/>
      <c r="D181" s="8"/>
      <c r="E181" s="8"/>
      <c r="F181" s="8"/>
      <c r="G181" s="8"/>
      <c r="H181" s="8"/>
      <c r="I181" s="8"/>
      <c r="J181" s="8"/>
      <c r="K181" s="8"/>
      <c r="L181" s="8"/>
      <c r="M181" s="8"/>
      <c r="N181" s="8"/>
      <c r="O181" s="8"/>
      <c r="P181" s="8"/>
      <c r="Q181" s="8"/>
      <c r="R181" s="8"/>
      <c r="S181" s="8"/>
      <c r="T181" s="8"/>
      <c r="U181" s="8"/>
      <c r="V181" s="52"/>
      <c r="W181" s="8"/>
      <c r="X181" s="5"/>
    </row>
    <row r="182" spans="1:256" ht="15.6" x14ac:dyDescent="0.3">
      <c r="A182" s="24"/>
      <c r="B182" s="25" t="s">
        <v>57</v>
      </c>
      <c r="C182" s="25"/>
      <c r="D182" s="25"/>
      <c r="E182" s="25"/>
      <c r="F182" s="25"/>
      <c r="G182" s="25"/>
      <c r="H182" s="25"/>
      <c r="I182" s="25"/>
      <c r="J182" s="25"/>
      <c r="K182" s="25"/>
      <c r="L182" s="25"/>
      <c r="M182" s="25"/>
      <c r="N182" s="25"/>
      <c r="O182" s="25"/>
      <c r="P182" s="25"/>
      <c r="Q182" s="25"/>
      <c r="R182" s="25"/>
      <c r="S182" s="25"/>
      <c r="T182" s="25"/>
      <c r="U182" s="25"/>
      <c r="V182" s="53">
        <f>V72</f>
        <v>1201630</v>
      </c>
      <c r="W182" s="25"/>
      <c r="X182" s="5"/>
    </row>
    <row r="183" spans="1:256" ht="15.6" x14ac:dyDescent="0.3">
      <c r="A183" s="24"/>
      <c r="B183" s="25" t="s">
        <v>58</v>
      </c>
      <c r="C183" s="25"/>
      <c r="D183" s="25"/>
      <c r="E183" s="25"/>
      <c r="F183" s="25"/>
      <c r="G183" s="25"/>
      <c r="H183" s="25"/>
      <c r="I183" s="25"/>
      <c r="J183" s="25"/>
      <c r="K183" s="25"/>
      <c r="L183" s="25"/>
      <c r="M183" s="25"/>
      <c r="N183" s="25"/>
      <c r="O183" s="25"/>
      <c r="P183" s="25"/>
      <c r="Q183" s="25"/>
      <c r="R183" s="25"/>
      <c r="S183" s="25"/>
      <c r="T183" s="25"/>
      <c r="U183" s="25"/>
      <c r="V183" s="53">
        <f>V85</f>
        <v>1201630</v>
      </c>
      <c r="W183" s="25"/>
      <c r="X183" s="5"/>
    </row>
    <row r="184" spans="1:256" ht="16.2" thickBot="1" x14ac:dyDescent="0.35">
      <c r="A184" s="24"/>
      <c r="B184" s="25"/>
      <c r="C184" s="25"/>
      <c r="D184" s="25"/>
      <c r="E184" s="25"/>
      <c r="F184" s="25"/>
      <c r="G184" s="25"/>
      <c r="H184" s="25"/>
      <c r="I184" s="25"/>
      <c r="J184" s="25"/>
      <c r="K184" s="25"/>
      <c r="L184" s="25"/>
      <c r="M184" s="25"/>
      <c r="N184" s="25"/>
      <c r="O184" s="25"/>
      <c r="P184" s="25"/>
      <c r="Q184" s="25"/>
      <c r="R184" s="25"/>
      <c r="S184" s="25"/>
      <c r="T184" s="25"/>
      <c r="U184" s="25"/>
      <c r="V184" s="61"/>
      <c r="W184" s="25"/>
      <c r="X184" s="5"/>
    </row>
    <row r="185" spans="1:256" ht="15.6" x14ac:dyDescent="0.3">
      <c r="A185" s="2"/>
      <c r="B185" s="4"/>
      <c r="C185" s="4"/>
      <c r="D185" s="4"/>
      <c r="E185" s="4"/>
      <c r="F185" s="4"/>
      <c r="G185" s="4"/>
      <c r="H185" s="4"/>
      <c r="I185" s="4"/>
      <c r="J185" s="4"/>
      <c r="K185" s="4"/>
      <c r="L185" s="4"/>
      <c r="M185" s="4"/>
      <c r="N185" s="4"/>
      <c r="O185" s="4"/>
      <c r="P185" s="4"/>
      <c r="Q185" s="4"/>
      <c r="R185" s="4"/>
      <c r="S185" s="4"/>
      <c r="T185" s="4"/>
      <c r="U185" s="4"/>
      <c r="V185" s="50"/>
      <c r="W185" s="4"/>
      <c r="X185" s="5"/>
    </row>
    <row r="186" spans="1:256" ht="15.6" x14ac:dyDescent="0.3">
      <c r="A186" s="6"/>
      <c r="B186" s="119" t="s">
        <v>59</v>
      </c>
      <c r="C186" s="117"/>
      <c r="D186" s="117"/>
      <c r="E186" s="117"/>
      <c r="F186" s="117"/>
      <c r="G186" s="117"/>
      <c r="H186" s="120"/>
      <c r="I186" s="120"/>
      <c r="J186" s="120"/>
      <c r="K186" s="120"/>
      <c r="L186" s="120"/>
      <c r="M186" s="120"/>
      <c r="N186" s="120"/>
      <c r="O186" s="120"/>
      <c r="P186" s="120"/>
      <c r="Q186" s="120"/>
      <c r="R186" s="120"/>
      <c r="S186" s="120" t="s">
        <v>101</v>
      </c>
      <c r="T186" s="120" t="s">
        <v>176</v>
      </c>
      <c r="U186" s="111"/>
      <c r="V186" s="121" t="s">
        <v>114</v>
      </c>
      <c r="W186" s="10"/>
      <c r="X186" s="5"/>
    </row>
    <row r="187" spans="1:256" ht="15.6" x14ac:dyDescent="0.3">
      <c r="A187" s="24"/>
      <c r="B187" s="25" t="s">
        <v>60</v>
      </c>
      <c r="C187" s="25"/>
      <c r="D187" s="25"/>
      <c r="E187" s="25"/>
      <c r="F187" s="25"/>
      <c r="G187" s="25"/>
      <c r="H187" s="25"/>
      <c r="I187" s="25"/>
      <c r="J187" s="25"/>
      <c r="K187" s="25"/>
      <c r="L187" s="25"/>
      <c r="M187" s="25"/>
      <c r="N187" s="25"/>
      <c r="O187" s="25"/>
      <c r="P187" s="25"/>
      <c r="Q187" s="25"/>
      <c r="R187" s="25"/>
      <c r="S187" s="53">
        <f>+V34*0.16</f>
        <v>240044</v>
      </c>
      <c r="T187" s="40"/>
      <c r="U187" s="25"/>
      <c r="V187" s="53"/>
      <c r="W187" s="25"/>
      <c r="X187" s="5"/>
    </row>
    <row r="188" spans="1:256" ht="15.6" x14ac:dyDescent="0.3">
      <c r="A188" s="24"/>
      <c r="B188" s="25" t="s">
        <v>61</v>
      </c>
      <c r="C188" s="25"/>
      <c r="D188" s="25"/>
      <c r="E188" s="25"/>
      <c r="F188" s="25"/>
      <c r="G188" s="25"/>
      <c r="H188" s="25"/>
      <c r="I188" s="25"/>
      <c r="J188" s="25"/>
      <c r="K188" s="25"/>
      <c r="L188" s="25"/>
      <c r="M188" s="25"/>
      <c r="N188" s="25"/>
      <c r="O188" s="25"/>
      <c r="P188" s="25"/>
      <c r="Q188" s="25"/>
      <c r="R188" s="25"/>
      <c r="S188" s="53">
        <f>+'May 09'!S190</f>
        <v>22183</v>
      </c>
      <c r="T188" s="53">
        <f>+'May 09'!T190</f>
        <v>5952</v>
      </c>
      <c r="U188" s="25"/>
      <c r="V188" s="53">
        <f>S188+T188</f>
        <v>28135</v>
      </c>
      <c r="W188" s="25"/>
      <c r="X188" s="5"/>
    </row>
    <row r="189" spans="1:256" ht="15.6" x14ac:dyDescent="0.3">
      <c r="A189" s="24"/>
      <c r="B189" s="25" t="s">
        <v>62</v>
      </c>
      <c r="C189" s="25"/>
      <c r="D189" s="25"/>
      <c r="E189" s="25"/>
      <c r="F189" s="25"/>
      <c r="G189" s="25"/>
      <c r="H189" s="25"/>
      <c r="I189" s="25"/>
      <c r="J189" s="25"/>
      <c r="K189" s="25"/>
      <c r="L189" s="25"/>
      <c r="M189" s="25"/>
      <c r="N189" s="25"/>
      <c r="O189" s="25"/>
      <c r="P189" s="25"/>
      <c r="Q189" s="25"/>
      <c r="R189" s="25"/>
      <c r="S189" s="34">
        <f>401+141</f>
        <v>542</v>
      </c>
      <c r="T189" s="34">
        <v>8</v>
      </c>
      <c r="U189" s="25"/>
      <c r="V189" s="53">
        <f>S189+T189</f>
        <v>550</v>
      </c>
      <c r="W189" s="25"/>
      <c r="X189" s="5"/>
    </row>
    <row r="190" spans="1:256" ht="15.6" x14ac:dyDescent="0.3">
      <c r="A190" s="24"/>
      <c r="B190" s="25" t="s">
        <v>63</v>
      </c>
      <c r="C190" s="25"/>
      <c r="D190" s="25"/>
      <c r="E190" s="25"/>
      <c r="F190" s="25"/>
      <c r="G190" s="25"/>
      <c r="H190" s="25"/>
      <c r="I190" s="25"/>
      <c r="J190" s="25"/>
      <c r="K190" s="25"/>
      <c r="L190" s="25"/>
      <c r="M190" s="25"/>
      <c r="N190" s="25"/>
      <c r="O190" s="25"/>
      <c r="P190" s="25"/>
      <c r="Q190" s="25"/>
      <c r="R190" s="25"/>
      <c r="S190" s="53">
        <f>S188+S189</f>
        <v>22725</v>
      </c>
      <c r="T190" s="53">
        <f>T189+T188</f>
        <v>5960</v>
      </c>
      <c r="U190" s="25"/>
      <c r="V190" s="53">
        <f>S190+T190</f>
        <v>28685</v>
      </c>
      <c r="W190" s="25"/>
      <c r="X190" s="5"/>
    </row>
    <row r="191" spans="1:256" ht="15.6" x14ac:dyDescent="0.3">
      <c r="A191" s="24"/>
      <c r="B191" s="25" t="s">
        <v>64</v>
      </c>
      <c r="C191" s="25"/>
      <c r="D191" s="25"/>
      <c r="E191" s="25"/>
      <c r="F191" s="25"/>
      <c r="G191" s="25"/>
      <c r="H191" s="25"/>
      <c r="I191" s="25"/>
      <c r="J191" s="25"/>
      <c r="K191" s="25"/>
      <c r="L191" s="25"/>
      <c r="M191" s="25"/>
      <c r="N191" s="25"/>
      <c r="O191" s="25"/>
      <c r="P191" s="25"/>
      <c r="Q191" s="25"/>
      <c r="R191" s="25"/>
      <c r="S191" s="53">
        <f>S187-S190-T190</f>
        <v>211359</v>
      </c>
      <c r="T191" s="40"/>
      <c r="U191" s="25"/>
      <c r="V191" s="53"/>
      <c r="W191" s="25"/>
      <c r="X191" s="5"/>
    </row>
    <row r="192" spans="1:256" ht="16.2" thickBot="1" x14ac:dyDescent="0.35">
      <c r="A192" s="24"/>
      <c r="B192" s="25"/>
      <c r="C192" s="25"/>
      <c r="D192" s="25"/>
      <c r="E192" s="25"/>
      <c r="F192" s="25"/>
      <c r="G192" s="25"/>
      <c r="H192" s="25"/>
      <c r="I192" s="25"/>
      <c r="J192" s="25"/>
      <c r="K192" s="25"/>
      <c r="L192" s="25"/>
      <c r="M192" s="25"/>
      <c r="N192" s="25"/>
      <c r="O192" s="25"/>
      <c r="P192" s="25"/>
      <c r="Q192" s="25"/>
      <c r="R192" s="25"/>
      <c r="S192" s="25"/>
      <c r="T192" s="25"/>
      <c r="U192" s="25"/>
      <c r="V192" s="61"/>
      <c r="W192" s="25"/>
      <c r="X192" s="5"/>
    </row>
    <row r="193" spans="1:24" ht="15.6" x14ac:dyDescent="0.3">
      <c r="A193" s="2"/>
      <c r="B193" s="4"/>
      <c r="C193" s="4"/>
      <c r="D193" s="4"/>
      <c r="E193" s="4"/>
      <c r="F193" s="4"/>
      <c r="G193" s="4"/>
      <c r="H193" s="4"/>
      <c r="I193" s="4"/>
      <c r="J193" s="4"/>
      <c r="K193" s="4"/>
      <c r="L193" s="4"/>
      <c r="M193" s="4"/>
      <c r="N193" s="4"/>
      <c r="O193" s="4"/>
      <c r="P193" s="4"/>
      <c r="Q193" s="4"/>
      <c r="R193" s="4"/>
      <c r="S193" s="4"/>
      <c r="T193" s="4"/>
      <c r="U193" s="4"/>
      <c r="V193" s="50"/>
      <c r="W193" s="4"/>
      <c r="X193" s="5"/>
    </row>
    <row r="194" spans="1:24" ht="15.6" x14ac:dyDescent="0.3">
      <c r="A194" s="6"/>
      <c r="B194" s="119" t="s">
        <v>65</v>
      </c>
      <c r="C194" s="8"/>
      <c r="D194" s="8"/>
      <c r="E194" s="8"/>
      <c r="F194" s="8"/>
      <c r="G194" s="8"/>
      <c r="H194" s="8"/>
      <c r="I194" s="8"/>
      <c r="J194" s="8"/>
      <c r="K194" s="8"/>
      <c r="L194" s="8"/>
      <c r="M194" s="8"/>
      <c r="N194" s="8"/>
      <c r="O194" s="8"/>
      <c r="P194" s="8"/>
      <c r="Q194" s="8"/>
      <c r="R194" s="8"/>
      <c r="S194" s="8"/>
      <c r="T194" s="8"/>
      <c r="U194" s="8"/>
      <c r="V194" s="65"/>
      <c r="W194" s="8"/>
      <c r="X194" s="5"/>
    </row>
    <row r="195" spans="1:24" ht="15.6" x14ac:dyDescent="0.3">
      <c r="A195" s="24"/>
      <c r="B195" s="25" t="s">
        <v>66</v>
      </c>
      <c r="C195" s="25"/>
      <c r="D195" s="25"/>
      <c r="E195" s="25"/>
      <c r="F195" s="25"/>
      <c r="G195" s="25"/>
      <c r="H195" s="25"/>
      <c r="I195" s="25"/>
      <c r="J195" s="25"/>
      <c r="K195" s="25"/>
      <c r="L195" s="25"/>
      <c r="M195" s="25"/>
      <c r="N195" s="25"/>
      <c r="O195" s="25"/>
      <c r="P195" s="25"/>
      <c r="Q195" s="25"/>
      <c r="R195" s="25"/>
      <c r="S195" s="25"/>
      <c r="T195" s="25"/>
      <c r="U195" s="25"/>
      <c r="V195" s="59">
        <f>(V102+V104+V105+V106+V107)/-(V108+V109)</f>
        <v>2.4352014010507883</v>
      </c>
      <c r="W195" s="25" t="s">
        <v>115</v>
      </c>
      <c r="X195" s="5"/>
    </row>
    <row r="196" spans="1:24" ht="15.6" x14ac:dyDescent="0.3">
      <c r="A196" s="24"/>
      <c r="B196" s="25" t="s">
        <v>67</v>
      </c>
      <c r="C196" s="25"/>
      <c r="D196" s="25"/>
      <c r="E196" s="25"/>
      <c r="F196" s="25"/>
      <c r="G196" s="25"/>
      <c r="H196" s="25"/>
      <c r="I196" s="25"/>
      <c r="J196" s="25"/>
      <c r="K196" s="25"/>
      <c r="L196" s="25"/>
      <c r="M196" s="25"/>
      <c r="N196" s="25"/>
      <c r="O196" s="25"/>
      <c r="P196" s="25"/>
      <c r="Q196" s="25"/>
      <c r="R196" s="25"/>
      <c r="S196" s="25"/>
      <c r="T196" s="25"/>
      <c r="U196" s="25"/>
      <c r="V196" s="66">
        <v>1.43</v>
      </c>
      <c r="W196" s="25" t="s">
        <v>115</v>
      </c>
      <c r="X196" s="5"/>
    </row>
    <row r="197" spans="1:24" ht="15.6" x14ac:dyDescent="0.3">
      <c r="A197" s="24"/>
      <c r="B197" s="25" t="s">
        <v>68</v>
      </c>
      <c r="C197" s="25"/>
      <c r="D197" s="25"/>
      <c r="E197" s="25"/>
      <c r="F197" s="25"/>
      <c r="G197" s="25"/>
      <c r="H197" s="25"/>
      <c r="I197" s="25"/>
      <c r="J197" s="25"/>
      <c r="K197" s="25"/>
      <c r="L197" s="25"/>
      <c r="M197" s="25"/>
      <c r="N197" s="25"/>
      <c r="O197" s="25"/>
      <c r="P197" s="25"/>
      <c r="Q197" s="25"/>
      <c r="R197" s="25"/>
      <c r="S197" s="25"/>
      <c r="T197" s="25"/>
      <c r="U197" s="25"/>
      <c r="V197" s="59">
        <f>(V102+V104+V105+V106+V107+V108+V109)/-(V111+V112)</f>
        <v>11.963503649635037</v>
      </c>
      <c r="W197" s="25" t="s">
        <v>115</v>
      </c>
      <c r="X197" s="5"/>
    </row>
    <row r="198" spans="1:24" ht="15.6" x14ac:dyDescent="0.3">
      <c r="A198" s="24"/>
      <c r="B198" s="25" t="s">
        <v>69</v>
      </c>
      <c r="C198" s="25"/>
      <c r="D198" s="25"/>
      <c r="E198" s="25"/>
      <c r="F198" s="25"/>
      <c r="G198" s="25"/>
      <c r="H198" s="25"/>
      <c r="I198" s="25"/>
      <c r="J198" s="25"/>
      <c r="K198" s="25"/>
      <c r="L198" s="25"/>
      <c r="M198" s="25"/>
      <c r="N198" s="25"/>
      <c r="O198" s="25"/>
      <c r="P198" s="25"/>
      <c r="Q198" s="25"/>
      <c r="R198" s="25"/>
      <c r="S198" s="25"/>
      <c r="T198" s="25"/>
      <c r="U198" s="25"/>
      <c r="V198" s="66">
        <v>4.38</v>
      </c>
      <c r="W198" s="25" t="s">
        <v>115</v>
      </c>
      <c r="X198" s="5"/>
    </row>
    <row r="199" spans="1:24" ht="15.6" x14ac:dyDescent="0.3">
      <c r="A199" s="24"/>
      <c r="B199" s="25" t="s">
        <v>198</v>
      </c>
      <c r="C199" s="25"/>
      <c r="D199" s="25"/>
      <c r="E199" s="25"/>
      <c r="F199" s="25"/>
      <c r="G199" s="25"/>
      <c r="H199" s="25"/>
      <c r="I199" s="25"/>
      <c r="J199" s="25"/>
      <c r="K199" s="25"/>
      <c r="L199" s="25"/>
      <c r="M199" s="25"/>
      <c r="N199" s="25"/>
      <c r="O199" s="25"/>
      <c r="P199" s="25"/>
      <c r="Q199" s="25"/>
      <c r="R199" s="25"/>
      <c r="S199" s="25"/>
      <c r="T199" s="25"/>
      <c r="U199" s="25"/>
      <c r="V199" s="59">
        <f>(V102+V104+V105+V106+V107+V108+V109+V111+V112)/-(V113+V114)</f>
        <v>9.486315789473684</v>
      </c>
      <c r="W199" s="25" t="s">
        <v>115</v>
      </c>
      <c r="X199" s="5"/>
    </row>
    <row r="200" spans="1:24" ht="15.6" x14ac:dyDescent="0.3">
      <c r="A200" s="24"/>
      <c r="B200" s="25" t="s">
        <v>199</v>
      </c>
      <c r="C200" s="25"/>
      <c r="D200" s="25"/>
      <c r="E200" s="25"/>
      <c r="F200" s="25"/>
      <c r="G200" s="25"/>
      <c r="H200" s="25"/>
      <c r="I200" s="25"/>
      <c r="J200" s="25"/>
      <c r="K200" s="25"/>
      <c r="L200" s="25"/>
      <c r="M200" s="25"/>
      <c r="N200" s="25"/>
      <c r="O200" s="25"/>
      <c r="P200" s="25"/>
      <c r="Q200" s="25"/>
      <c r="R200" s="25"/>
      <c r="S200" s="25"/>
      <c r="T200" s="25"/>
      <c r="U200" s="25"/>
      <c r="V200" s="66">
        <v>3.24</v>
      </c>
      <c r="W200" s="25" t="s">
        <v>115</v>
      </c>
      <c r="X200" s="5"/>
    </row>
    <row r="201" spans="1:24" ht="15.6" x14ac:dyDescent="0.3">
      <c r="A201" s="24"/>
      <c r="B201" s="25"/>
      <c r="C201" s="25"/>
      <c r="D201" s="25"/>
      <c r="E201" s="25"/>
      <c r="F201" s="25"/>
      <c r="G201" s="25"/>
      <c r="H201" s="25"/>
      <c r="I201" s="25"/>
      <c r="J201" s="25"/>
      <c r="K201" s="25"/>
      <c r="L201" s="25"/>
      <c r="M201" s="25"/>
      <c r="N201" s="25"/>
      <c r="O201" s="25"/>
      <c r="P201" s="25"/>
      <c r="Q201" s="25"/>
      <c r="R201" s="25"/>
      <c r="S201" s="25"/>
      <c r="T201" s="25"/>
      <c r="U201" s="25"/>
      <c r="V201" s="25"/>
      <c r="W201" s="25"/>
      <c r="X201" s="5"/>
    </row>
    <row r="202" spans="1:24" ht="15.6" x14ac:dyDescent="0.3">
      <c r="A202" s="24"/>
      <c r="B202" s="25"/>
      <c r="C202" s="25"/>
      <c r="D202" s="25"/>
      <c r="E202" s="25"/>
      <c r="F202" s="25"/>
      <c r="G202" s="25"/>
      <c r="H202" s="25"/>
      <c r="I202" s="25"/>
      <c r="J202" s="25"/>
      <c r="K202" s="25"/>
      <c r="L202" s="25"/>
      <c r="M202" s="25"/>
      <c r="N202" s="25"/>
      <c r="O202" s="25"/>
      <c r="P202" s="25"/>
      <c r="Q202" s="25"/>
      <c r="R202" s="25"/>
      <c r="S202" s="25"/>
      <c r="T202" s="25"/>
      <c r="U202" s="25"/>
      <c r="V202" s="25"/>
      <c r="W202" s="25"/>
      <c r="X202" s="5"/>
    </row>
    <row r="203" spans="1:24" ht="15.6" x14ac:dyDescent="0.3">
      <c r="A203" s="6"/>
      <c r="B203" s="8"/>
      <c r="C203" s="8"/>
      <c r="D203" s="8"/>
      <c r="E203" s="8"/>
      <c r="F203" s="8"/>
      <c r="G203" s="8"/>
      <c r="H203" s="8"/>
      <c r="I203" s="8"/>
      <c r="J203" s="8"/>
      <c r="K203" s="8"/>
      <c r="L203" s="8"/>
      <c r="M203" s="8"/>
      <c r="N203" s="8"/>
      <c r="O203" s="8"/>
      <c r="P203" s="8"/>
      <c r="Q203" s="8"/>
      <c r="R203" s="8"/>
      <c r="S203" s="8"/>
      <c r="T203" s="8"/>
      <c r="U203" s="8"/>
      <c r="V203" s="8"/>
      <c r="W203" s="8"/>
      <c r="X203" s="5"/>
    </row>
    <row r="204" spans="1:24" ht="18" thickBot="1" x14ac:dyDescent="0.35">
      <c r="A204" s="101"/>
      <c r="B204" s="102" t="str">
        <f>B139</f>
        <v>PM14 INVESTOR REPORT QUARTER ENDING AUGUST 2009</v>
      </c>
      <c r="C204" s="176"/>
      <c r="D204" s="176"/>
      <c r="E204" s="176"/>
      <c r="F204" s="176"/>
      <c r="G204" s="176"/>
      <c r="H204" s="176"/>
      <c r="I204" s="176"/>
      <c r="J204" s="176"/>
      <c r="K204" s="176"/>
      <c r="L204" s="176"/>
      <c r="M204" s="176"/>
      <c r="N204" s="176"/>
      <c r="O204" s="176"/>
      <c r="P204" s="176"/>
      <c r="Q204" s="176"/>
      <c r="R204" s="176"/>
      <c r="S204" s="176"/>
      <c r="T204" s="176"/>
      <c r="U204" s="176"/>
      <c r="V204" s="176"/>
      <c r="W204" s="177"/>
      <c r="X204" s="5"/>
    </row>
    <row r="205" spans="1:24" ht="15.6" x14ac:dyDescent="0.3">
      <c r="A205" s="67"/>
      <c r="B205" s="60" t="s">
        <v>70</v>
      </c>
      <c r="C205" s="68"/>
      <c r="D205" s="68"/>
      <c r="E205" s="68"/>
      <c r="F205" s="68"/>
      <c r="G205" s="69"/>
      <c r="H205" s="69"/>
      <c r="I205" s="69"/>
      <c r="J205" s="69"/>
      <c r="K205" s="69"/>
      <c r="L205" s="69"/>
      <c r="M205" s="69"/>
      <c r="N205" s="69"/>
      <c r="O205" s="69"/>
      <c r="P205" s="69"/>
      <c r="Q205" s="69"/>
      <c r="R205" s="69"/>
      <c r="S205" s="69"/>
      <c r="T205" s="70">
        <v>40053</v>
      </c>
      <c r="U205" s="4"/>
      <c r="V205" s="4"/>
      <c r="W205" s="4"/>
      <c r="X205" s="5"/>
    </row>
    <row r="206" spans="1:24" ht="15.6" x14ac:dyDescent="0.3">
      <c r="A206" s="71"/>
      <c r="B206" s="72"/>
      <c r="C206" s="73"/>
      <c r="D206" s="73"/>
      <c r="E206" s="73"/>
      <c r="F206" s="73"/>
      <c r="G206" s="74"/>
      <c r="H206" s="74"/>
      <c r="I206" s="74"/>
      <c r="J206" s="74"/>
      <c r="K206" s="74"/>
      <c r="L206" s="74"/>
      <c r="M206" s="74"/>
      <c r="N206" s="74"/>
      <c r="O206" s="74"/>
      <c r="P206" s="74"/>
      <c r="Q206" s="74"/>
      <c r="R206" s="74"/>
      <c r="S206" s="74"/>
      <c r="T206" s="74"/>
      <c r="U206" s="8"/>
      <c r="V206" s="8"/>
      <c r="W206" s="8"/>
      <c r="X206" s="5"/>
    </row>
    <row r="207" spans="1:24" ht="15.6" x14ac:dyDescent="0.3">
      <c r="A207" s="75"/>
      <c r="B207" s="76" t="s">
        <v>71</v>
      </c>
      <c r="C207" s="77"/>
      <c r="D207" s="77"/>
      <c r="E207" s="77"/>
      <c r="F207" s="77"/>
      <c r="G207" s="64"/>
      <c r="H207" s="64"/>
      <c r="I207" s="64"/>
      <c r="J207" s="64"/>
      <c r="K207" s="64"/>
      <c r="L207" s="64"/>
      <c r="M207" s="64"/>
      <c r="N207" s="64"/>
      <c r="O207" s="64"/>
      <c r="P207" s="64"/>
      <c r="Q207" s="64"/>
      <c r="R207" s="64"/>
      <c r="S207" s="64"/>
      <c r="T207" s="78">
        <v>5.2819999999999999E-2</v>
      </c>
      <c r="U207" s="25"/>
      <c r="V207" s="25"/>
      <c r="W207" s="25"/>
      <c r="X207" s="5"/>
    </row>
    <row r="208" spans="1:24" ht="15.6" x14ac:dyDescent="0.3">
      <c r="A208" s="75"/>
      <c r="B208" s="76" t="s">
        <v>151</v>
      </c>
      <c r="C208" s="77"/>
      <c r="D208" s="77"/>
      <c r="E208" s="77"/>
      <c r="F208" s="77"/>
      <c r="G208" s="64"/>
      <c r="H208" s="64"/>
      <c r="I208" s="64"/>
      <c r="J208" s="64"/>
      <c r="K208" s="64"/>
      <c r="L208" s="64"/>
      <c r="M208" s="64"/>
      <c r="N208" s="64"/>
      <c r="O208" s="64"/>
      <c r="P208" s="64"/>
      <c r="Q208" s="64"/>
      <c r="R208" s="64"/>
      <c r="S208" s="64"/>
      <c r="T208" s="39">
        <v>5.7799999999999997E-2</v>
      </c>
      <c r="U208" s="25"/>
      <c r="V208" s="25"/>
      <c r="W208" s="25"/>
      <c r="X208" s="5"/>
    </row>
    <row r="209" spans="1:24" ht="15.6" x14ac:dyDescent="0.3">
      <c r="A209" s="75"/>
      <c r="B209" s="76" t="s">
        <v>72</v>
      </c>
      <c r="C209" s="77"/>
      <c r="D209" s="77"/>
      <c r="E209" s="77"/>
      <c r="F209" s="77"/>
      <c r="G209" s="64"/>
      <c r="H209" s="64"/>
      <c r="I209" s="64"/>
      <c r="J209" s="64"/>
      <c r="K209" s="64"/>
      <c r="L209" s="64"/>
      <c r="M209" s="64"/>
      <c r="N209" s="64"/>
      <c r="O209" s="64"/>
      <c r="P209" s="64"/>
      <c r="Q209" s="64"/>
      <c r="R209" s="64"/>
      <c r="S209" s="64"/>
      <c r="T209" s="78">
        <f>T207-T208</f>
        <v>-4.9799999999999983E-3</v>
      </c>
      <c r="U209" s="25"/>
      <c r="V209" s="25"/>
      <c r="W209" s="25"/>
      <c r="X209" s="5"/>
    </row>
    <row r="210" spans="1:24" ht="15.6" x14ac:dyDescent="0.3">
      <c r="A210" s="75"/>
      <c r="B210" s="76" t="s">
        <v>73</v>
      </c>
      <c r="C210" s="77"/>
      <c r="D210" s="77"/>
      <c r="E210" s="77"/>
      <c r="F210" s="77"/>
      <c r="G210" s="64"/>
      <c r="H210" s="64"/>
      <c r="I210" s="64"/>
      <c r="J210" s="64"/>
      <c r="K210" s="64"/>
      <c r="L210" s="64"/>
      <c r="M210" s="64"/>
      <c r="N210" s="64"/>
      <c r="O210" s="64"/>
      <c r="P210" s="64"/>
      <c r="Q210" s="64"/>
      <c r="R210" s="64"/>
      <c r="S210" s="64"/>
      <c r="T210" s="78">
        <v>3.0689999999999999E-2</v>
      </c>
      <c r="U210" s="25"/>
      <c r="V210" s="25"/>
      <c r="W210" s="25"/>
      <c r="X210" s="5"/>
    </row>
    <row r="211" spans="1:24" ht="15.6" x14ac:dyDescent="0.3">
      <c r="A211" s="75"/>
      <c r="B211" s="76" t="s">
        <v>219</v>
      </c>
      <c r="C211" s="77"/>
      <c r="D211" s="77"/>
      <c r="E211" s="77"/>
      <c r="F211" s="77"/>
      <c r="G211" s="64"/>
      <c r="H211" s="64"/>
      <c r="I211" s="64"/>
      <c r="J211" s="64"/>
      <c r="K211" s="64"/>
      <c r="L211" s="64"/>
      <c r="M211" s="64"/>
      <c r="N211" s="64"/>
      <c r="O211" s="64"/>
      <c r="P211" s="64"/>
      <c r="Q211" s="64"/>
      <c r="R211" s="64"/>
      <c r="S211" s="64"/>
      <c r="T211" s="78">
        <f>V43</f>
        <v>1.41402092242052E-2</v>
      </c>
      <c r="U211" s="25"/>
      <c r="V211" s="25"/>
      <c r="W211" s="25"/>
      <c r="X211" s="5"/>
    </row>
    <row r="212" spans="1:24" ht="15.6" x14ac:dyDescent="0.3">
      <c r="A212" s="75"/>
      <c r="B212" s="76" t="s">
        <v>74</v>
      </c>
      <c r="C212" s="77"/>
      <c r="D212" s="77"/>
      <c r="E212" s="77"/>
      <c r="F212" s="77"/>
      <c r="G212" s="64"/>
      <c r="H212" s="64"/>
      <c r="I212" s="64"/>
      <c r="J212" s="64"/>
      <c r="K212" s="64"/>
      <c r="L212" s="64"/>
      <c r="M212" s="64"/>
      <c r="N212" s="64"/>
      <c r="O212" s="64"/>
      <c r="P212" s="64"/>
      <c r="Q212" s="64"/>
      <c r="R212" s="64"/>
      <c r="S212" s="64"/>
      <c r="T212" s="78">
        <f>T210-T211</f>
        <v>1.6549790775794798E-2</v>
      </c>
      <c r="U212" s="25"/>
      <c r="V212" s="25"/>
      <c r="W212" s="25"/>
      <c r="X212" s="5"/>
    </row>
    <row r="213" spans="1:24" ht="15.6" x14ac:dyDescent="0.3">
      <c r="A213" s="75"/>
      <c r="B213" s="76" t="s">
        <v>242</v>
      </c>
      <c r="C213" s="77"/>
      <c r="D213" s="77"/>
      <c r="E213" s="77"/>
      <c r="F213" s="77"/>
      <c r="G213" s="64"/>
      <c r="H213" s="64"/>
      <c r="I213" s="64"/>
      <c r="J213" s="64"/>
      <c r="K213" s="64"/>
      <c r="L213" s="64"/>
      <c r="M213" s="64"/>
      <c r="N213" s="64"/>
      <c r="O213" s="64"/>
      <c r="P213" s="64"/>
      <c r="Q213" s="64"/>
      <c r="R213" s="64"/>
      <c r="S213" s="64"/>
      <c r="T213" s="78">
        <f>V102/N72</f>
        <v>8.5765391647627896E-3</v>
      </c>
      <c r="U213" s="25"/>
      <c r="V213" s="25"/>
      <c r="W213" s="25"/>
      <c r="X213" s="5"/>
    </row>
    <row r="214" spans="1:24" ht="15.6" x14ac:dyDescent="0.3">
      <c r="A214" s="75"/>
      <c r="B214" s="76" t="s">
        <v>208</v>
      </c>
      <c r="C214" s="77"/>
      <c r="D214" s="77"/>
      <c r="E214" s="77"/>
      <c r="F214" s="77"/>
      <c r="G214" s="64"/>
      <c r="H214" s="64"/>
      <c r="I214" s="64"/>
      <c r="J214" s="64"/>
      <c r="K214" s="64"/>
      <c r="L214" s="64"/>
      <c r="M214" s="64"/>
      <c r="N214" s="64"/>
      <c r="O214" s="64"/>
      <c r="P214" s="64"/>
      <c r="Q214" s="64"/>
      <c r="R214" s="64"/>
      <c r="S214" s="64"/>
      <c r="T214" s="129">
        <v>51014</v>
      </c>
      <c r="U214" s="25"/>
      <c r="V214" s="25"/>
      <c r="W214" s="25"/>
      <c r="X214" s="5"/>
    </row>
    <row r="215" spans="1:24" ht="15.6" x14ac:dyDescent="0.3">
      <c r="A215" s="75"/>
      <c r="B215" s="76" t="s">
        <v>209</v>
      </c>
      <c r="C215" s="77"/>
      <c r="D215" s="77"/>
      <c r="E215" s="77"/>
      <c r="F215" s="77"/>
      <c r="G215" s="64"/>
      <c r="H215" s="64"/>
      <c r="I215" s="64"/>
      <c r="J215" s="64"/>
      <c r="K215" s="64"/>
      <c r="L215" s="64"/>
      <c r="M215" s="64"/>
      <c r="N215" s="64"/>
      <c r="O215" s="64"/>
      <c r="P215" s="64"/>
      <c r="Q215" s="64"/>
      <c r="R215" s="64"/>
      <c r="S215" s="64"/>
      <c r="T215" s="129">
        <v>51014</v>
      </c>
      <c r="U215" s="25"/>
      <c r="V215" s="25"/>
      <c r="W215" s="25"/>
      <c r="X215" s="5"/>
    </row>
    <row r="216" spans="1:24" ht="15.6" x14ac:dyDescent="0.3">
      <c r="A216" s="75"/>
      <c r="B216" s="76" t="s">
        <v>210</v>
      </c>
      <c r="C216" s="77"/>
      <c r="D216" s="77"/>
      <c r="E216" s="77"/>
      <c r="F216" s="77"/>
      <c r="G216" s="64"/>
      <c r="H216" s="64"/>
      <c r="I216" s="64"/>
      <c r="J216" s="64"/>
      <c r="K216" s="64"/>
      <c r="L216" s="64"/>
      <c r="M216" s="64"/>
      <c r="N216" s="64"/>
      <c r="O216" s="64"/>
      <c r="P216" s="64"/>
      <c r="Q216" s="64"/>
      <c r="R216" s="64"/>
      <c r="S216" s="64"/>
      <c r="T216" s="129">
        <v>51014</v>
      </c>
      <c r="U216" s="25"/>
      <c r="V216" s="25"/>
      <c r="W216" s="25"/>
      <c r="X216" s="5"/>
    </row>
    <row r="217" spans="1:24" ht="15.6" x14ac:dyDescent="0.3">
      <c r="A217" s="75"/>
      <c r="B217" s="76" t="s">
        <v>75</v>
      </c>
      <c r="C217" s="77"/>
      <c r="D217" s="77"/>
      <c r="E217" s="77"/>
      <c r="F217" s="77"/>
      <c r="G217" s="64"/>
      <c r="H217" s="64"/>
      <c r="I217" s="64"/>
      <c r="J217" s="64"/>
      <c r="K217" s="64"/>
      <c r="L217" s="64"/>
      <c r="M217" s="64"/>
      <c r="N217" s="64"/>
      <c r="O217" s="64"/>
      <c r="P217" s="64"/>
      <c r="Q217" s="64"/>
      <c r="R217" s="64"/>
      <c r="S217" s="64"/>
      <c r="T217" s="133">
        <v>20.66</v>
      </c>
      <c r="U217" s="25" t="s">
        <v>110</v>
      </c>
      <c r="V217" s="25"/>
      <c r="W217" s="25"/>
      <c r="X217" s="5"/>
    </row>
    <row r="218" spans="1:24" ht="15.6" x14ac:dyDescent="0.3">
      <c r="A218" s="75"/>
      <c r="B218" s="76" t="s">
        <v>76</v>
      </c>
      <c r="C218" s="77"/>
      <c r="D218" s="77"/>
      <c r="E218" s="77"/>
      <c r="F218" s="77"/>
      <c r="G218" s="64"/>
      <c r="H218" s="64"/>
      <c r="I218" s="64"/>
      <c r="J218" s="64"/>
      <c r="K218" s="64"/>
      <c r="L218" s="64"/>
      <c r="M218" s="64"/>
      <c r="N218" s="64"/>
      <c r="O218" s="64"/>
      <c r="P218" s="64"/>
      <c r="Q218" s="64"/>
      <c r="R218" s="64"/>
      <c r="S218" s="64"/>
      <c r="T218" s="133">
        <v>18.86</v>
      </c>
      <c r="U218" s="25" t="s">
        <v>110</v>
      </c>
      <c r="V218" s="25"/>
      <c r="W218" s="25"/>
      <c r="X218" s="5"/>
    </row>
    <row r="219" spans="1:24" ht="15.6" x14ac:dyDescent="0.3">
      <c r="A219" s="75"/>
      <c r="B219" s="76" t="s">
        <v>77</v>
      </c>
      <c r="C219" s="77"/>
      <c r="D219" s="77"/>
      <c r="E219" s="77"/>
      <c r="F219" s="77"/>
      <c r="G219" s="64"/>
      <c r="H219" s="64"/>
      <c r="I219" s="64"/>
      <c r="J219" s="64"/>
      <c r="K219" s="64"/>
      <c r="L219" s="64"/>
      <c r="M219" s="64"/>
      <c r="N219" s="64"/>
      <c r="O219" s="64"/>
      <c r="P219" s="64"/>
      <c r="Q219" s="64"/>
      <c r="R219" s="64"/>
      <c r="S219" s="64"/>
      <c r="T219" s="78">
        <f>+P69/N69</f>
        <v>7.5689445963505074E-3</v>
      </c>
      <c r="U219" s="25"/>
      <c r="V219" s="25"/>
      <c r="W219" s="25"/>
      <c r="X219" s="5"/>
    </row>
    <row r="220" spans="1:24" ht="15.6" x14ac:dyDescent="0.3">
      <c r="A220" s="75"/>
      <c r="B220" s="76" t="s">
        <v>78</v>
      </c>
      <c r="C220" s="77"/>
      <c r="D220" s="77"/>
      <c r="E220" s="77"/>
      <c r="F220" s="77"/>
      <c r="G220" s="64"/>
      <c r="H220" s="64"/>
      <c r="I220" s="64"/>
      <c r="J220" s="64"/>
      <c r="K220" s="64"/>
      <c r="L220" s="64"/>
      <c r="M220" s="64"/>
      <c r="N220" s="64"/>
      <c r="O220" s="64"/>
      <c r="P220" s="64"/>
      <c r="Q220" s="64"/>
      <c r="R220" s="64"/>
      <c r="S220" s="64"/>
      <c r="T220" s="78">
        <v>9.4399999999999998E-2</v>
      </c>
      <c r="U220" s="25"/>
      <c r="V220" s="25"/>
      <c r="W220" s="25"/>
      <c r="X220" s="5"/>
    </row>
    <row r="221" spans="1:24" ht="15.6" x14ac:dyDescent="0.3">
      <c r="A221" s="75"/>
      <c r="B221" s="76"/>
      <c r="C221" s="76"/>
      <c r="D221" s="76"/>
      <c r="E221" s="76"/>
      <c r="F221" s="76"/>
      <c r="G221" s="25"/>
      <c r="H221" s="25"/>
      <c r="I221" s="25"/>
      <c r="J221" s="25"/>
      <c r="K221" s="25"/>
      <c r="L221" s="25"/>
      <c r="M221" s="25"/>
      <c r="N221" s="25"/>
      <c r="O221" s="25"/>
      <c r="P221" s="25"/>
      <c r="Q221" s="25"/>
      <c r="R221" s="25"/>
      <c r="S221" s="25"/>
      <c r="T221" s="61"/>
      <c r="U221" s="25"/>
      <c r="V221" s="79"/>
      <c r="W221" s="25"/>
      <c r="X221" s="5"/>
    </row>
    <row r="222" spans="1:24" ht="15.6" x14ac:dyDescent="0.3">
      <c r="A222" s="80"/>
      <c r="B222" s="14" t="s">
        <v>79</v>
      </c>
      <c r="C222" s="81"/>
      <c r="D222" s="81"/>
      <c r="E222" s="81"/>
      <c r="F222" s="82"/>
      <c r="G222" s="81"/>
      <c r="H222" s="17"/>
      <c r="I222" s="17"/>
      <c r="J222" s="17"/>
      <c r="K222" s="17"/>
      <c r="L222" s="17"/>
      <c r="M222" s="17"/>
      <c r="N222" s="17"/>
      <c r="O222" s="17"/>
      <c r="P222" s="17"/>
      <c r="Q222" s="17"/>
      <c r="R222" s="17"/>
      <c r="S222" s="17" t="s">
        <v>102</v>
      </c>
      <c r="T222" s="83" t="s">
        <v>108</v>
      </c>
      <c r="U222" s="8"/>
      <c r="V222" s="8"/>
      <c r="W222" s="8"/>
      <c r="X222" s="5"/>
    </row>
    <row r="223" spans="1:24" ht="15.6" x14ac:dyDescent="0.3">
      <c r="A223" s="84"/>
      <c r="B223" s="76" t="s">
        <v>80</v>
      </c>
      <c r="C223" s="54"/>
      <c r="D223" s="54"/>
      <c r="E223" s="54"/>
      <c r="F223" s="25"/>
      <c r="G223" s="25"/>
      <c r="H223" s="30"/>
      <c r="I223" s="30"/>
      <c r="J223" s="30"/>
      <c r="K223" s="30"/>
      <c r="L223" s="30"/>
      <c r="M223" s="30"/>
      <c r="N223" s="30"/>
      <c r="O223" s="30"/>
      <c r="P223" s="30"/>
      <c r="Q223" s="30"/>
      <c r="R223" s="30"/>
      <c r="S223" s="30">
        <v>2</v>
      </c>
      <c r="T223" s="85">
        <v>279</v>
      </c>
      <c r="U223" s="25"/>
      <c r="V223" s="79"/>
      <c r="W223" s="86"/>
      <c r="X223" s="5"/>
    </row>
    <row r="224" spans="1:24" ht="15.6" x14ac:dyDescent="0.3">
      <c r="A224" s="84"/>
      <c r="B224" s="76" t="s">
        <v>145</v>
      </c>
      <c r="C224" s="54"/>
      <c r="D224" s="54"/>
      <c r="E224" s="54"/>
      <c r="F224" s="25"/>
      <c r="G224" s="25"/>
      <c r="H224" s="30"/>
      <c r="I224" s="30"/>
      <c r="J224" s="30"/>
      <c r="K224" s="30"/>
      <c r="L224" s="30"/>
      <c r="M224" s="30"/>
      <c r="N224" s="30"/>
      <c r="O224" s="30"/>
      <c r="P224" s="30"/>
      <c r="Q224" s="30"/>
      <c r="R224" s="30"/>
      <c r="S224" s="150">
        <f>+R264</f>
        <v>190</v>
      </c>
      <c r="T224" s="85">
        <f>+T264</f>
        <v>30422</v>
      </c>
      <c r="U224" s="25"/>
      <c r="V224" s="79"/>
      <c r="W224" s="86"/>
      <c r="X224" s="5"/>
    </row>
    <row r="225" spans="1:24" ht="15.6" x14ac:dyDescent="0.3">
      <c r="A225" s="84"/>
      <c r="B225" s="76" t="s">
        <v>81</v>
      </c>
      <c r="C225" s="54"/>
      <c r="D225" s="54"/>
      <c r="E225" s="54"/>
      <c r="F225" s="25"/>
      <c r="G225" s="25"/>
      <c r="H225" s="30"/>
      <c r="I225" s="30"/>
      <c r="J225" s="30"/>
      <c r="K225" s="30"/>
      <c r="L225" s="30"/>
      <c r="M225" s="30"/>
      <c r="N225" s="30"/>
      <c r="O225" s="30"/>
      <c r="P225" s="30"/>
      <c r="Q225" s="30"/>
      <c r="R225" s="30"/>
      <c r="S225" s="150">
        <f>+R276</f>
        <v>0</v>
      </c>
      <c r="T225" s="85">
        <f>+T276</f>
        <v>0</v>
      </c>
      <c r="U225" s="25"/>
      <c r="V225" s="79"/>
      <c r="W225" s="86"/>
      <c r="X225" s="5"/>
    </row>
    <row r="226" spans="1:24" ht="15.6" x14ac:dyDescent="0.3">
      <c r="A226" s="84"/>
      <c r="B226" s="122" t="s">
        <v>82</v>
      </c>
      <c r="C226" s="54"/>
      <c r="D226" s="54"/>
      <c r="E226" s="54"/>
      <c r="F226" s="25"/>
      <c r="G226" s="25"/>
      <c r="H226" s="25"/>
      <c r="I226" s="25"/>
      <c r="J226" s="25"/>
      <c r="K226" s="25"/>
      <c r="L226" s="25"/>
      <c r="M226" s="25"/>
      <c r="N226" s="25"/>
      <c r="O226" s="25"/>
      <c r="P226" s="25"/>
      <c r="Q226" s="25"/>
      <c r="R226" s="25"/>
      <c r="S226" s="25"/>
      <c r="T226" s="85">
        <v>0</v>
      </c>
      <c r="U226" s="25"/>
      <c r="V226" s="79"/>
      <c r="W226" s="86"/>
      <c r="X226" s="5"/>
    </row>
    <row r="227" spans="1:24" ht="15.6" x14ac:dyDescent="0.3">
      <c r="A227" s="84"/>
      <c r="B227" s="122" t="s">
        <v>243</v>
      </c>
      <c r="C227" s="54"/>
      <c r="D227" s="54"/>
      <c r="E227" s="54"/>
      <c r="F227" s="25"/>
      <c r="G227" s="25"/>
      <c r="H227" s="25"/>
      <c r="I227" s="25"/>
      <c r="J227" s="25"/>
      <c r="K227" s="25"/>
      <c r="L227" s="25"/>
      <c r="M227" s="25"/>
      <c r="N227" s="25"/>
      <c r="O227" s="25"/>
      <c r="P227" s="25"/>
      <c r="Q227" s="25"/>
      <c r="R227" s="25"/>
      <c r="S227" s="25"/>
      <c r="T227" s="85">
        <f>+N82</f>
        <v>0</v>
      </c>
      <c r="U227" s="25"/>
      <c r="V227" s="79"/>
      <c r="W227" s="86"/>
      <c r="X227" s="5"/>
    </row>
    <row r="228" spans="1:24" ht="15.6" x14ac:dyDescent="0.3">
      <c r="A228" s="87"/>
      <c r="B228" s="122" t="s">
        <v>83</v>
      </c>
      <c r="C228" s="76"/>
      <c r="D228" s="76"/>
      <c r="E228" s="76"/>
      <c r="F228" s="76"/>
      <c r="G228" s="25"/>
      <c r="H228" s="25"/>
      <c r="I228" s="25"/>
      <c r="J228" s="25"/>
      <c r="K228" s="25"/>
      <c r="L228" s="25"/>
      <c r="M228" s="25"/>
      <c r="N228" s="25"/>
      <c r="O228" s="25"/>
      <c r="P228" s="25"/>
      <c r="Q228" s="25"/>
      <c r="R228" s="25"/>
      <c r="S228" s="25"/>
      <c r="T228" s="85"/>
      <c r="U228" s="25"/>
      <c r="V228" s="79"/>
      <c r="W228" s="88"/>
      <c r="X228" s="5"/>
    </row>
    <row r="229" spans="1:24" ht="15.6" x14ac:dyDescent="0.3">
      <c r="A229" s="87"/>
      <c r="B229" s="131" t="s">
        <v>84</v>
      </c>
      <c r="C229" s="76"/>
      <c r="D229" s="76"/>
      <c r="E229" s="76"/>
      <c r="F229" s="76"/>
      <c r="G229" s="25"/>
      <c r="H229" s="25"/>
      <c r="I229" s="25"/>
      <c r="J229" s="25"/>
      <c r="K229" s="25"/>
      <c r="L229" s="25"/>
      <c r="M229" s="25"/>
      <c r="N229" s="25"/>
      <c r="O229" s="25"/>
      <c r="P229" s="25"/>
      <c r="Q229" s="25"/>
      <c r="R229" s="25"/>
      <c r="S229" s="30"/>
      <c r="T229" s="85">
        <f>V168</f>
        <v>573</v>
      </c>
      <c r="U229" s="25"/>
      <c r="V229" s="79"/>
      <c r="W229" s="88"/>
      <c r="X229" s="5"/>
    </row>
    <row r="230" spans="1:24" ht="15.6" x14ac:dyDescent="0.3">
      <c r="A230" s="84"/>
      <c r="B230" s="76" t="s">
        <v>85</v>
      </c>
      <c r="C230" s="54"/>
      <c r="D230" s="54"/>
      <c r="E230" s="54"/>
      <c r="F230" s="54"/>
      <c r="G230" s="25"/>
      <c r="H230" s="25"/>
      <c r="I230" s="25"/>
      <c r="J230" s="25"/>
      <c r="K230" s="25"/>
      <c r="L230" s="25"/>
      <c r="M230" s="25"/>
      <c r="N230" s="25"/>
      <c r="O230" s="25"/>
      <c r="P230" s="25"/>
      <c r="Q230" s="25"/>
      <c r="R230" s="25"/>
      <c r="S230" s="30"/>
      <c r="T230" s="85">
        <f>'May 09'!T230+T229</f>
        <v>1181</v>
      </c>
      <c r="U230" s="25"/>
      <c r="V230" s="79"/>
      <c r="W230" s="88"/>
      <c r="X230" s="5"/>
    </row>
    <row r="231" spans="1:24" ht="15.6" x14ac:dyDescent="0.3">
      <c r="A231" s="87"/>
      <c r="B231" s="122" t="s">
        <v>295</v>
      </c>
      <c r="C231" s="76"/>
      <c r="D231" s="76"/>
      <c r="E231" s="76"/>
      <c r="F231" s="76"/>
      <c r="G231" s="25"/>
      <c r="H231" s="25"/>
      <c r="I231" s="25"/>
      <c r="J231" s="25"/>
      <c r="K231" s="25"/>
      <c r="L231" s="25"/>
      <c r="M231" s="25"/>
      <c r="N231" s="25"/>
      <c r="O231" s="25"/>
      <c r="P231" s="25"/>
      <c r="Q231" s="25"/>
      <c r="R231" s="25"/>
      <c r="S231" s="30"/>
      <c r="T231" s="85"/>
      <c r="U231" s="25"/>
      <c r="V231" s="79"/>
      <c r="W231" s="88"/>
      <c r="X231" s="5"/>
    </row>
    <row r="232" spans="1:24" ht="15.6" x14ac:dyDescent="0.3">
      <c r="A232" s="87"/>
      <c r="B232" s="76" t="s">
        <v>291</v>
      </c>
      <c r="C232" s="76"/>
      <c r="D232" s="76"/>
      <c r="E232" s="76"/>
      <c r="F232" s="76"/>
      <c r="G232" s="25"/>
      <c r="H232" s="25"/>
      <c r="I232" s="25"/>
      <c r="J232" s="25"/>
      <c r="K232" s="25"/>
      <c r="L232" s="25"/>
      <c r="M232" s="25"/>
      <c r="N232" s="25"/>
      <c r="O232" s="25"/>
      <c r="P232" s="25"/>
      <c r="Q232" s="25"/>
      <c r="R232" s="25"/>
      <c r="S232" s="30">
        <v>1</v>
      </c>
      <c r="T232" s="85">
        <v>385</v>
      </c>
      <c r="U232" s="25"/>
      <c r="V232" s="79"/>
      <c r="W232" s="88"/>
      <c r="X232" s="5"/>
    </row>
    <row r="233" spans="1:24" ht="15.6" x14ac:dyDescent="0.3">
      <c r="A233" s="84"/>
      <c r="B233" s="76" t="s">
        <v>86</v>
      </c>
      <c r="C233" s="89"/>
      <c r="D233" s="89"/>
      <c r="E233" s="89"/>
      <c r="F233" s="90"/>
      <c r="G233" s="25"/>
      <c r="H233" s="25"/>
      <c r="I233" s="25"/>
      <c r="J233" s="25"/>
      <c r="K233" s="25"/>
      <c r="L233" s="25"/>
      <c r="M233" s="25"/>
      <c r="N233" s="25"/>
      <c r="O233" s="25"/>
      <c r="P233" s="25"/>
      <c r="Q233" s="25"/>
      <c r="R233" s="25"/>
      <c r="S233" s="25"/>
      <c r="T233" s="62">
        <v>20.6</v>
      </c>
      <c r="U233" s="25"/>
      <c r="V233" s="79"/>
      <c r="W233" s="88"/>
      <c r="X233" s="5"/>
    </row>
    <row r="234" spans="1:24" ht="15.6" x14ac:dyDescent="0.3">
      <c r="A234" s="84"/>
      <c r="B234" s="76" t="s">
        <v>87</v>
      </c>
      <c r="C234" s="89"/>
      <c r="D234" s="89"/>
      <c r="E234" s="89"/>
      <c r="F234" s="90"/>
      <c r="G234" s="25"/>
      <c r="H234" s="25"/>
      <c r="I234" s="25"/>
      <c r="J234" s="25"/>
      <c r="K234" s="25"/>
      <c r="L234" s="25"/>
      <c r="M234" s="25"/>
      <c r="N234" s="25"/>
      <c r="O234" s="25"/>
      <c r="P234" s="25"/>
      <c r="Q234" s="25"/>
      <c r="R234" s="25"/>
      <c r="S234" s="25"/>
      <c r="T234" s="62">
        <v>9.92</v>
      </c>
      <c r="U234" s="25"/>
      <c r="V234" s="79"/>
      <c r="W234" s="88"/>
      <c r="X234" s="5"/>
    </row>
    <row r="235" spans="1:24" ht="15.6" x14ac:dyDescent="0.3">
      <c r="A235" s="84"/>
      <c r="B235" s="122" t="s">
        <v>217</v>
      </c>
      <c r="C235" s="89"/>
      <c r="D235" s="89"/>
      <c r="E235" s="89"/>
      <c r="F235" s="90"/>
      <c r="G235" s="25"/>
      <c r="H235" s="25"/>
      <c r="I235" s="25"/>
      <c r="J235" s="25"/>
      <c r="K235" s="25"/>
      <c r="L235" s="25"/>
      <c r="M235" s="25"/>
      <c r="N235" s="25"/>
      <c r="O235" s="25"/>
      <c r="P235" s="25"/>
      <c r="Q235" s="25"/>
      <c r="R235" s="25"/>
      <c r="S235" s="25"/>
      <c r="T235" s="91"/>
      <c r="U235" s="25"/>
      <c r="V235" s="79"/>
      <c r="W235" s="88"/>
      <c r="X235" s="5"/>
    </row>
    <row r="236" spans="1:24" ht="15.6" x14ac:dyDescent="0.3">
      <c r="A236" s="84"/>
      <c r="B236" s="76" t="s">
        <v>291</v>
      </c>
      <c r="C236" s="89"/>
      <c r="D236" s="89"/>
      <c r="E236" s="89"/>
      <c r="F236" s="90"/>
      <c r="G236" s="25"/>
      <c r="H236" s="25"/>
      <c r="I236" s="25"/>
      <c r="J236" s="25"/>
      <c r="K236" s="25"/>
      <c r="L236" s="25"/>
      <c r="M236" s="25"/>
      <c r="N236" s="25"/>
      <c r="O236" s="25"/>
      <c r="P236" s="25"/>
      <c r="Q236" s="25"/>
      <c r="R236" s="25"/>
      <c r="S236" s="30">
        <v>5</v>
      </c>
      <c r="T236" s="85">
        <v>864</v>
      </c>
      <c r="U236" s="25"/>
      <c r="V236" s="79"/>
      <c r="W236" s="88"/>
      <c r="X236" s="5"/>
    </row>
    <row r="237" spans="1:24" ht="15.6" x14ac:dyDescent="0.3">
      <c r="A237" s="84"/>
      <c r="B237" s="76" t="s">
        <v>218</v>
      </c>
      <c r="C237" s="89"/>
      <c r="D237" s="89"/>
      <c r="E237" s="89"/>
      <c r="F237" s="90"/>
      <c r="G237" s="25"/>
      <c r="H237" s="25"/>
      <c r="I237" s="25"/>
      <c r="J237" s="25"/>
      <c r="K237" s="25"/>
      <c r="L237" s="25"/>
      <c r="M237" s="25"/>
      <c r="N237" s="25"/>
      <c r="O237" s="25"/>
      <c r="P237" s="25"/>
      <c r="Q237" s="25"/>
      <c r="R237" s="25"/>
      <c r="S237" s="25"/>
      <c r="T237" s="62">
        <v>30.05</v>
      </c>
      <c r="U237" s="25"/>
      <c r="V237" s="79"/>
      <c r="W237" s="88"/>
      <c r="X237" s="5"/>
    </row>
    <row r="238" spans="1:24" ht="15.6" x14ac:dyDescent="0.3">
      <c r="A238" s="84"/>
      <c r="B238" s="76"/>
      <c r="C238" s="89"/>
      <c r="D238" s="89"/>
      <c r="E238" s="89"/>
      <c r="F238" s="90"/>
      <c r="G238" s="25"/>
      <c r="H238" s="25"/>
      <c r="I238" s="25"/>
      <c r="J238" s="25"/>
      <c r="K238" s="25"/>
      <c r="L238" s="25"/>
      <c r="M238" s="25"/>
      <c r="N238" s="25"/>
      <c r="O238" s="25"/>
      <c r="P238" s="25"/>
      <c r="Q238" s="25"/>
      <c r="R238" s="25"/>
      <c r="S238" s="25"/>
      <c r="T238" s="91"/>
      <c r="U238" s="25"/>
      <c r="V238" s="79"/>
      <c r="W238" s="88"/>
      <c r="X238" s="5"/>
    </row>
    <row r="239" spans="1:24" ht="15.6" x14ac:dyDescent="0.3">
      <c r="A239" s="84"/>
      <c r="B239" s="76"/>
      <c r="C239" s="89"/>
      <c r="D239" s="89"/>
      <c r="E239" s="89"/>
      <c r="F239" s="90"/>
      <c r="G239" s="25"/>
      <c r="H239" s="25"/>
      <c r="I239" s="25"/>
      <c r="J239" s="25"/>
      <c r="K239" s="25"/>
      <c r="L239" s="25"/>
      <c r="M239" s="25"/>
      <c r="N239" s="25"/>
      <c r="O239" s="25"/>
      <c r="P239" s="25"/>
      <c r="Q239" s="25"/>
      <c r="R239" s="25"/>
      <c r="S239" s="25"/>
      <c r="T239" s="91"/>
      <c r="U239" s="25"/>
      <c r="V239" s="79"/>
      <c r="W239" s="88"/>
      <c r="X239" s="5"/>
    </row>
    <row r="240" spans="1:24" ht="17.399999999999999" x14ac:dyDescent="0.3">
      <c r="A240" s="84"/>
      <c r="B240" s="147" t="s">
        <v>168</v>
      </c>
      <c r="C240" s="89"/>
      <c r="D240" s="89"/>
      <c r="E240" s="89"/>
      <c r="F240" s="90"/>
      <c r="G240" s="25"/>
      <c r="H240" s="25"/>
      <c r="I240" s="25"/>
      <c r="J240" s="25"/>
      <c r="K240" s="25"/>
      <c r="L240" s="25"/>
      <c r="M240" s="25"/>
      <c r="N240" s="25"/>
      <c r="O240" s="25"/>
      <c r="P240" s="148" t="s">
        <v>167</v>
      </c>
      <c r="Q240" s="25"/>
      <c r="R240" s="25"/>
      <c r="S240" s="25"/>
      <c r="T240" s="91"/>
      <c r="U240" s="25"/>
      <c r="V240" s="79"/>
      <c r="W240" s="88"/>
      <c r="X240" s="5"/>
    </row>
    <row r="241" spans="1:25" ht="15.6" x14ac:dyDescent="0.3">
      <c r="A241" s="84"/>
      <c r="B241" s="76"/>
      <c r="C241" s="89"/>
      <c r="D241" s="89"/>
      <c r="E241" s="89"/>
      <c r="F241" s="90"/>
      <c r="G241" s="25"/>
      <c r="H241" s="25"/>
      <c r="I241" s="25"/>
      <c r="J241" s="25"/>
      <c r="K241" s="25"/>
      <c r="L241" s="25"/>
      <c r="M241" s="25"/>
      <c r="N241" s="25"/>
      <c r="O241" s="25"/>
      <c r="P241" s="25"/>
      <c r="Q241" s="25"/>
      <c r="R241" s="25"/>
      <c r="S241" s="25"/>
      <c r="T241" s="91"/>
      <c r="U241" s="25"/>
      <c r="V241" s="79"/>
      <c r="W241" s="88"/>
      <c r="X241" s="5"/>
    </row>
    <row r="242" spans="1:25" ht="15.6" x14ac:dyDescent="0.3">
      <c r="A242" s="6"/>
      <c r="B242" s="14" t="s">
        <v>162</v>
      </c>
      <c r="C242" s="81"/>
      <c r="D242" s="81"/>
      <c r="E242" s="81"/>
      <c r="F242" s="82"/>
      <c r="G242" s="81"/>
      <c r="H242" s="17"/>
      <c r="I242" s="17"/>
      <c r="J242" s="17"/>
      <c r="K242" s="17"/>
      <c r="L242" s="17"/>
      <c r="M242" s="17"/>
      <c r="N242" s="17"/>
      <c r="O242" s="17"/>
      <c r="P242" s="17"/>
      <c r="Q242" s="17"/>
      <c r="R242" s="83" t="s">
        <v>102</v>
      </c>
      <c r="S242" s="17" t="s">
        <v>103</v>
      </c>
      <c r="T242" s="83" t="s">
        <v>109</v>
      </c>
      <c r="U242" s="17" t="s">
        <v>103</v>
      </c>
      <c r="V242" s="8"/>
      <c r="W242" s="92"/>
      <c r="X242" s="5"/>
    </row>
    <row r="243" spans="1:25" ht="15.6" x14ac:dyDescent="0.3">
      <c r="A243" s="24"/>
      <c r="B243" s="54" t="s">
        <v>88</v>
      </c>
      <c r="C243" s="93"/>
      <c r="D243" s="93"/>
      <c r="E243" s="93"/>
      <c r="F243" s="25"/>
      <c r="G243" s="93"/>
      <c r="H243" s="93"/>
      <c r="I243" s="93"/>
      <c r="J243" s="93"/>
      <c r="K243" s="93"/>
      <c r="L243" s="93"/>
      <c r="M243" s="93"/>
      <c r="N243" s="93"/>
      <c r="O243" s="93"/>
      <c r="P243" s="93"/>
      <c r="Q243" s="93"/>
      <c r="R243" s="54">
        <v>8091</v>
      </c>
      <c r="S243" s="94">
        <f t="shared" ref="S243:S250" si="1">R243/$R$252</f>
        <v>0.98622623110677721</v>
      </c>
      <c r="T243" s="53">
        <v>1146828</v>
      </c>
      <c r="U243" s="132">
        <f t="shared" ref="U243:U250" si="2">T243/$T$252</f>
        <v>0.97918388535597434</v>
      </c>
      <c r="V243" s="79"/>
      <c r="W243" s="88"/>
      <c r="X243" s="5"/>
    </row>
    <row r="244" spans="1:25" ht="15.6" x14ac:dyDescent="0.3">
      <c r="A244" s="24"/>
      <c r="B244" s="54" t="s">
        <v>89</v>
      </c>
      <c r="C244" s="93"/>
      <c r="D244" s="93"/>
      <c r="E244" s="93"/>
      <c r="F244" s="25"/>
      <c r="G244" s="94"/>
      <c r="H244" s="93"/>
      <c r="I244" s="93"/>
      <c r="J244" s="93"/>
      <c r="K244" s="93"/>
      <c r="L244" s="93"/>
      <c r="M244" s="93"/>
      <c r="N244" s="93"/>
      <c r="O244" s="93"/>
      <c r="P244" s="93"/>
      <c r="Q244" s="93"/>
      <c r="R244" s="54">
        <v>68</v>
      </c>
      <c r="S244" s="94">
        <f t="shared" si="1"/>
        <v>8.2886396879570945E-3</v>
      </c>
      <c r="T244" s="53">
        <v>13541</v>
      </c>
      <c r="U244" s="132">
        <f t="shared" si="2"/>
        <v>1.156156720240982E-2</v>
      </c>
      <c r="V244" s="79"/>
      <c r="W244" s="88"/>
      <c r="X244" s="5"/>
      <c r="Y244" s="109"/>
    </row>
    <row r="245" spans="1:25" ht="15.6" x14ac:dyDescent="0.3">
      <c r="A245" s="24"/>
      <c r="B245" s="54" t="s">
        <v>90</v>
      </c>
      <c r="C245" s="93"/>
      <c r="D245" s="93"/>
      <c r="E245" s="93"/>
      <c r="F245" s="25"/>
      <c r="G245" s="94"/>
      <c r="H245" s="93"/>
      <c r="I245" s="93"/>
      <c r="J245" s="93"/>
      <c r="K245" s="93"/>
      <c r="L245" s="93"/>
      <c r="M245" s="93"/>
      <c r="N245" s="93"/>
      <c r="O245" s="93"/>
      <c r="P245" s="93"/>
      <c r="Q245" s="93"/>
      <c r="R245" s="54">
        <v>20</v>
      </c>
      <c r="S245" s="94">
        <f t="shared" si="1"/>
        <v>2.4378352023403218E-3</v>
      </c>
      <c r="T245" s="53">
        <v>6074</v>
      </c>
      <c r="U245" s="132">
        <f t="shared" si="2"/>
        <v>5.1860984556116423E-3</v>
      </c>
      <c r="V245" s="79"/>
      <c r="W245" s="88"/>
      <c r="X245" s="5"/>
    </row>
    <row r="246" spans="1:25" ht="15.6" x14ac:dyDescent="0.3">
      <c r="A246" s="24"/>
      <c r="B246" s="54" t="s">
        <v>156</v>
      </c>
      <c r="C246" s="93"/>
      <c r="D246" s="93"/>
      <c r="E246" s="93"/>
      <c r="F246" s="25"/>
      <c r="G246" s="94"/>
      <c r="H246" s="93"/>
      <c r="I246" s="93"/>
      <c r="J246" s="93"/>
      <c r="K246" s="93"/>
      <c r="L246" s="93"/>
      <c r="M246" s="93"/>
      <c r="N246" s="93"/>
      <c r="O246" s="93"/>
      <c r="P246" s="93"/>
      <c r="Q246" s="93"/>
      <c r="R246" s="54">
        <v>4</v>
      </c>
      <c r="S246" s="94">
        <f t="shared" si="1"/>
        <v>4.8756704046806434E-4</v>
      </c>
      <c r="T246" s="53">
        <v>337</v>
      </c>
      <c r="U246" s="132">
        <f t="shared" si="2"/>
        <v>2.8773710562086322E-4</v>
      </c>
      <c r="V246" s="79"/>
      <c r="W246" s="88"/>
      <c r="X246" s="5"/>
      <c r="Y246" s="109"/>
    </row>
    <row r="247" spans="1:25" ht="15.6" x14ac:dyDescent="0.3">
      <c r="A247" s="24"/>
      <c r="B247" s="54" t="s">
        <v>157</v>
      </c>
      <c r="C247" s="93"/>
      <c r="D247" s="93"/>
      <c r="E247" s="93"/>
      <c r="F247" s="25"/>
      <c r="G247" s="94"/>
      <c r="H247" s="93"/>
      <c r="I247" s="93"/>
      <c r="J247" s="93"/>
      <c r="K247" s="93"/>
      <c r="L247" s="93"/>
      <c r="M247" s="93"/>
      <c r="N247" s="93"/>
      <c r="O247" s="93"/>
      <c r="P247" s="93"/>
      <c r="Q247" s="93"/>
      <c r="R247" s="54">
        <v>4</v>
      </c>
      <c r="S247" s="94">
        <f t="shared" si="1"/>
        <v>4.8756704046806434E-4</v>
      </c>
      <c r="T247" s="53">
        <v>798</v>
      </c>
      <c r="U247" s="132">
        <f t="shared" si="2"/>
        <v>6.8134780500133199E-4</v>
      </c>
      <c r="V247" s="79"/>
      <c r="W247" s="88"/>
      <c r="X247" s="5"/>
    </row>
    <row r="248" spans="1:25" ht="15.6" x14ac:dyDescent="0.3">
      <c r="A248" s="24"/>
      <c r="B248" s="54" t="s">
        <v>158</v>
      </c>
      <c r="C248" s="93"/>
      <c r="D248" s="93"/>
      <c r="E248" s="93"/>
      <c r="F248" s="25"/>
      <c r="G248" s="94"/>
      <c r="H248" s="93"/>
      <c r="I248" s="93"/>
      <c r="J248" s="93"/>
      <c r="K248" s="93"/>
      <c r="L248" s="93"/>
      <c r="M248" s="93"/>
      <c r="N248" s="93"/>
      <c r="O248" s="93"/>
      <c r="P248" s="93"/>
      <c r="Q248" s="93"/>
      <c r="R248" s="54">
        <v>5</v>
      </c>
      <c r="S248" s="94">
        <f t="shared" si="1"/>
        <v>6.0945880058508044E-4</v>
      </c>
      <c r="T248" s="53">
        <v>1694</v>
      </c>
      <c r="U248" s="132">
        <f t="shared" si="2"/>
        <v>1.4463699018449328E-3</v>
      </c>
      <c r="V248" s="79"/>
      <c r="W248" s="88"/>
      <c r="X248" s="5"/>
      <c r="Y248" s="109"/>
    </row>
    <row r="249" spans="1:25" ht="15.6" x14ac:dyDescent="0.3">
      <c r="A249" s="24"/>
      <c r="B249" s="54" t="s">
        <v>159</v>
      </c>
      <c r="C249" s="93"/>
      <c r="D249" s="93"/>
      <c r="E249" s="93"/>
      <c r="F249" s="25"/>
      <c r="G249" s="94"/>
      <c r="H249" s="93"/>
      <c r="I249" s="93"/>
      <c r="J249" s="93"/>
      <c r="K249" s="93"/>
      <c r="L249" s="93"/>
      <c r="M249" s="93"/>
      <c r="N249" s="93"/>
      <c r="O249" s="93"/>
      <c r="P249" s="93"/>
      <c r="Q249" s="93"/>
      <c r="R249" s="54">
        <v>2</v>
      </c>
      <c r="S249" s="94">
        <f t="shared" si="1"/>
        <v>2.4378352023403217E-4</v>
      </c>
      <c r="T249" s="53">
        <v>236</v>
      </c>
      <c r="U249" s="132">
        <f t="shared" si="2"/>
        <v>2.0150135586505556E-4</v>
      </c>
      <c r="V249" s="79"/>
      <c r="W249" s="88"/>
      <c r="X249" s="5"/>
    </row>
    <row r="250" spans="1:25" ht="15.6" x14ac:dyDescent="0.3">
      <c r="A250" s="24"/>
      <c r="B250" s="54" t="s">
        <v>160</v>
      </c>
      <c r="C250" s="93"/>
      <c r="D250" s="93"/>
      <c r="E250" s="93"/>
      <c r="F250" s="25"/>
      <c r="G250" s="94"/>
      <c r="H250" s="93"/>
      <c r="I250" s="93"/>
      <c r="J250" s="93"/>
      <c r="K250" s="93"/>
      <c r="L250" s="93"/>
      <c r="M250" s="93"/>
      <c r="N250" s="93"/>
      <c r="O250" s="93"/>
      <c r="P250" s="93"/>
      <c r="Q250" s="93"/>
      <c r="R250" s="54">
        <v>10</v>
      </c>
      <c r="S250" s="94">
        <f t="shared" si="1"/>
        <v>1.2189176011701609E-3</v>
      </c>
      <c r="T250" s="53">
        <v>1700</v>
      </c>
      <c r="U250" s="132">
        <f t="shared" si="2"/>
        <v>1.4514928176720104E-3</v>
      </c>
      <c r="V250" s="79"/>
      <c r="W250" s="88"/>
      <c r="X250" s="5"/>
      <c r="Y250" s="109"/>
    </row>
    <row r="251" spans="1:25" ht="15.6" x14ac:dyDescent="0.3">
      <c r="A251" s="24"/>
      <c r="B251" s="54"/>
      <c r="C251" s="93"/>
      <c r="D251" s="93"/>
      <c r="E251" s="93"/>
      <c r="F251" s="25"/>
      <c r="G251" s="94"/>
      <c r="H251" s="93"/>
      <c r="I251" s="93"/>
      <c r="J251" s="93"/>
      <c r="K251" s="93"/>
      <c r="L251" s="93"/>
      <c r="M251" s="93"/>
      <c r="N251" s="93"/>
      <c r="O251" s="93"/>
      <c r="P251" s="93"/>
      <c r="Q251" s="93"/>
      <c r="R251" s="54"/>
      <c r="S251" s="94"/>
      <c r="T251" s="53"/>
      <c r="U251" s="132"/>
      <c r="V251" s="79"/>
      <c r="W251" s="88"/>
      <c r="X251" s="5"/>
    </row>
    <row r="252" spans="1:25" ht="15.6" x14ac:dyDescent="0.3">
      <c r="A252" s="24"/>
      <c r="B252" s="25"/>
      <c r="C252" s="25"/>
      <c r="D252" s="25"/>
      <c r="E252" s="25"/>
      <c r="F252" s="25"/>
      <c r="G252" s="25"/>
      <c r="H252" s="95"/>
      <c r="I252" s="95"/>
      <c r="J252" s="95"/>
      <c r="K252" s="95"/>
      <c r="L252" s="95"/>
      <c r="M252" s="95"/>
      <c r="N252" s="95"/>
      <c r="O252" s="95"/>
      <c r="P252" s="95"/>
      <c r="Q252" s="95"/>
      <c r="R252" s="34">
        <f>SUM(R243:R251)</f>
        <v>8204</v>
      </c>
      <c r="S252" s="132">
        <f>SUM(S243:S251)</f>
        <v>1</v>
      </c>
      <c r="T252" s="53">
        <f>SUM(T243:T251)</f>
        <v>1171208</v>
      </c>
      <c r="U252" s="132">
        <f>SUM(U243:U251)</f>
        <v>1</v>
      </c>
      <c r="V252" s="25"/>
      <c r="W252" s="25"/>
      <c r="X252" s="5"/>
    </row>
    <row r="253" spans="1:25" ht="15.6" x14ac:dyDescent="0.3">
      <c r="A253" s="24"/>
      <c r="B253" s="25"/>
      <c r="C253" s="25"/>
      <c r="D253" s="25"/>
      <c r="E253" s="25"/>
      <c r="F253" s="25"/>
      <c r="G253" s="25"/>
      <c r="H253" s="95"/>
      <c r="I253" s="95"/>
      <c r="J253" s="95"/>
      <c r="K253" s="95"/>
      <c r="L253" s="95"/>
      <c r="M253" s="95"/>
      <c r="N253" s="95"/>
      <c r="O253" s="95"/>
      <c r="P253" s="95"/>
      <c r="Q253" s="95"/>
      <c r="R253" s="34"/>
      <c r="S253" s="132"/>
      <c r="T253" s="53"/>
      <c r="U253" s="132"/>
      <c r="V253" s="25"/>
      <c r="W253" s="25"/>
      <c r="X253" s="5"/>
    </row>
    <row r="254" spans="1:25" ht="15.6" x14ac:dyDescent="0.3">
      <c r="A254" s="139"/>
      <c r="B254" s="14" t="s">
        <v>275</v>
      </c>
      <c r="C254" s="81"/>
      <c r="D254" s="81"/>
      <c r="E254" s="81"/>
      <c r="F254" s="82"/>
      <c r="G254" s="81"/>
      <c r="H254" s="17"/>
      <c r="I254" s="17"/>
      <c r="J254" s="17"/>
      <c r="K254" s="17"/>
      <c r="L254" s="17"/>
      <c r="M254" s="17"/>
      <c r="N254" s="17"/>
      <c r="O254" s="17"/>
      <c r="P254" s="17"/>
      <c r="Q254" s="17"/>
      <c r="R254" s="83" t="s">
        <v>102</v>
      </c>
      <c r="S254" s="17" t="s">
        <v>103</v>
      </c>
      <c r="T254" s="83" t="s">
        <v>109</v>
      </c>
      <c r="U254" s="17" t="s">
        <v>103</v>
      </c>
      <c r="V254" s="137"/>
      <c r="W254" s="138"/>
      <c r="X254" s="5"/>
    </row>
    <row r="255" spans="1:25" ht="15.6" x14ac:dyDescent="0.3">
      <c r="A255" s="24"/>
      <c r="B255" s="54" t="s">
        <v>88</v>
      </c>
      <c r="C255" s="93"/>
      <c r="D255" s="93"/>
      <c r="E255" s="93"/>
      <c r="F255" s="25"/>
      <c r="G255" s="93"/>
      <c r="H255" s="93"/>
      <c r="I255" s="93"/>
      <c r="J255" s="93"/>
      <c r="K255" s="93"/>
      <c r="L255" s="93"/>
      <c r="M255" s="93"/>
      <c r="N255" s="93"/>
      <c r="O255" s="93"/>
      <c r="P255" s="93"/>
      <c r="Q255" s="93"/>
      <c r="R255" s="54">
        <v>54</v>
      </c>
      <c r="S255" s="94">
        <f t="shared" ref="S255:S262" si="3">R255/$R$264</f>
        <v>0.28421052631578947</v>
      </c>
      <c r="T255" s="53">
        <v>7740</v>
      </c>
      <c r="U255" s="132">
        <f t="shared" ref="U255:U262" si="4">T255/$T$264</f>
        <v>0.25442114259417525</v>
      </c>
      <c r="V255" s="25"/>
      <c r="W255" s="25"/>
      <c r="X255" s="5"/>
    </row>
    <row r="256" spans="1:25" ht="15.6" x14ac:dyDescent="0.3">
      <c r="A256" s="24"/>
      <c r="B256" s="54" t="s">
        <v>89</v>
      </c>
      <c r="C256" s="93"/>
      <c r="D256" s="93"/>
      <c r="E256" s="93"/>
      <c r="F256" s="25"/>
      <c r="G256" s="94"/>
      <c r="H256" s="93"/>
      <c r="I256" s="93"/>
      <c r="J256" s="93"/>
      <c r="K256" s="93"/>
      <c r="L256" s="93"/>
      <c r="M256" s="93"/>
      <c r="N256" s="93"/>
      <c r="O256" s="93"/>
      <c r="P256" s="93"/>
      <c r="Q256" s="93"/>
      <c r="R256" s="54">
        <v>23</v>
      </c>
      <c r="S256" s="94">
        <f t="shared" si="3"/>
        <v>0.12105263157894737</v>
      </c>
      <c r="T256" s="53">
        <v>2654</v>
      </c>
      <c r="U256" s="132">
        <f t="shared" si="4"/>
        <v>8.7239497731904536E-2</v>
      </c>
      <c r="V256" s="25"/>
      <c r="W256" s="25"/>
      <c r="X256" s="5"/>
    </row>
    <row r="257" spans="1:24" ht="15.6" x14ac:dyDescent="0.3">
      <c r="A257" s="24"/>
      <c r="B257" s="54" t="s">
        <v>90</v>
      </c>
      <c r="C257" s="93"/>
      <c r="D257" s="93"/>
      <c r="E257" s="93"/>
      <c r="F257" s="25"/>
      <c r="G257" s="94"/>
      <c r="H257" s="93"/>
      <c r="I257" s="93"/>
      <c r="J257" s="93"/>
      <c r="K257" s="93"/>
      <c r="L257" s="93"/>
      <c r="M257" s="93"/>
      <c r="N257" s="93"/>
      <c r="O257" s="93"/>
      <c r="P257" s="93"/>
      <c r="Q257" s="93"/>
      <c r="R257" s="54">
        <v>11</v>
      </c>
      <c r="S257" s="94">
        <f t="shared" si="3"/>
        <v>5.7894736842105263E-2</v>
      </c>
      <c r="T257" s="53">
        <v>1697</v>
      </c>
      <c r="U257" s="132">
        <f t="shared" si="4"/>
        <v>5.5781999868516202E-2</v>
      </c>
      <c r="V257" s="25"/>
      <c r="W257" s="25"/>
      <c r="X257" s="5"/>
    </row>
    <row r="258" spans="1:24" ht="15.6" x14ac:dyDescent="0.3">
      <c r="A258" s="24"/>
      <c r="B258" s="54" t="s">
        <v>156</v>
      </c>
      <c r="C258" s="93"/>
      <c r="D258" s="93"/>
      <c r="E258" s="93"/>
      <c r="F258" s="25"/>
      <c r="G258" s="94"/>
      <c r="H258" s="93"/>
      <c r="I258" s="93"/>
      <c r="J258" s="93"/>
      <c r="K258" s="93"/>
      <c r="L258" s="93"/>
      <c r="M258" s="93"/>
      <c r="N258" s="93"/>
      <c r="O258" s="93"/>
      <c r="P258" s="93"/>
      <c r="Q258" s="93"/>
      <c r="R258" s="54">
        <v>10</v>
      </c>
      <c r="S258" s="94">
        <f t="shared" si="3"/>
        <v>5.2631578947368418E-2</v>
      </c>
      <c r="T258" s="53">
        <v>1374</v>
      </c>
      <c r="U258" s="132">
        <f t="shared" si="4"/>
        <v>4.5164683452764448E-2</v>
      </c>
      <c r="V258" s="25"/>
      <c r="W258" s="25"/>
      <c r="X258" s="5"/>
    </row>
    <row r="259" spans="1:24" ht="15.6" x14ac:dyDescent="0.3">
      <c r="A259" s="24"/>
      <c r="B259" s="54" t="s">
        <v>157</v>
      </c>
      <c r="C259" s="93"/>
      <c r="D259" s="93"/>
      <c r="E259" s="93"/>
      <c r="F259" s="25"/>
      <c r="G259" s="94"/>
      <c r="H259" s="93"/>
      <c r="I259" s="93"/>
      <c r="J259" s="93"/>
      <c r="K259" s="93"/>
      <c r="L259" s="93"/>
      <c r="M259" s="93"/>
      <c r="N259" s="93"/>
      <c r="O259" s="93"/>
      <c r="P259" s="93"/>
      <c r="Q259" s="93"/>
      <c r="R259" s="54">
        <v>11</v>
      </c>
      <c r="S259" s="94">
        <f t="shared" si="3"/>
        <v>5.7894736842105263E-2</v>
      </c>
      <c r="T259" s="53">
        <v>1710</v>
      </c>
      <c r="U259" s="132">
        <f t="shared" si="4"/>
        <v>5.6209322201038719E-2</v>
      </c>
      <c r="V259" s="25"/>
      <c r="W259" s="25"/>
      <c r="X259" s="5"/>
    </row>
    <row r="260" spans="1:24" ht="15.6" x14ac:dyDescent="0.3">
      <c r="A260" s="24"/>
      <c r="B260" s="54" t="s">
        <v>158</v>
      </c>
      <c r="C260" s="93"/>
      <c r="D260" s="93"/>
      <c r="E260" s="93"/>
      <c r="F260" s="25"/>
      <c r="G260" s="94"/>
      <c r="H260" s="93"/>
      <c r="I260" s="93"/>
      <c r="J260" s="93"/>
      <c r="K260" s="93"/>
      <c r="L260" s="93"/>
      <c r="M260" s="93"/>
      <c r="N260" s="93"/>
      <c r="O260" s="93"/>
      <c r="P260" s="93"/>
      <c r="Q260" s="93"/>
      <c r="R260" s="54">
        <v>13</v>
      </c>
      <c r="S260" s="94">
        <f t="shared" si="3"/>
        <v>6.8421052631578952E-2</v>
      </c>
      <c r="T260" s="53">
        <v>2301</v>
      </c>
      <c r="U260" s="132">
        <f t="shared" si="4"/>
        <v>7.5636052856485433E-2</v>
      </c>
      <c r="V260" s="25"/>
      <c r="W260" s="25"/>
      <c r="X260" s="5"/>
    </row>
    <row r="261" spans="1:24" ht="15.6" x14ac:dyDescent="0.3">
      <c r="A261" s="24"/>
      <c r="B261" s="54" t="s">
        <v>159</v>
      </c>
      <c r="C261" s="93"/>
      <c r="D261" s="93"/>
      <c r="E261" s="93"/>
      <c r="F261" s="25"/>
      <c r="G261" s="94"/>
      <c r="H261" s="93"/>
      <c r="I261" s="93"/>
      <c r="J261" s="93"/>
      <c r="K261" s="93"/>
      <c r="L261" s="93"/>
      <c r="M261" s="93"/>
      <c r="N261" s="93"/>
      <c r="O261" s="93"/>
      <c r="P261" s="93"/>
      <c r="Q261" s="93"/>
      <c r="R261" s="54">
        <v>34</v>
      </c>
      <c r="S261" s="94">
        <f t="shared" si="3"/>
        <v>0.17894736842105263</v>
      </c>
      <c r="T261" s="53">
        <v>6778</v>
      </c>
      <c r="U261" s="132">
        <f t="shared" si="4"/>
        <v>0.22279928998750903</v>
      </c>
      <c r="V261" s="25"/>
      <c r="W261" s="25"/>
      <c r="X261" s="5"/>
    </row>
    <row r="262" spans="1:24" ht="15.6" x14ac:dyDescent="0.3">
      <c r="A262" s="24"/>
      <c r="B262" s="54" t="s">
        <v>160</v>
      </c>
      <c r="C262" s="93"/>
      <c r="D262" s="93"/>
      <c r="E262" s="93"/>
      <c r="F262" s="25"/>
      <c r="G262" s="94"/>
      <c r="H262" s="93"/>
      <c r="I262" s="93"/>
      <c r="J262" s="93"/>
      <c r="K262" s="93"/>
      <c r="L262" s="93"/>
      <c r="M262" s="93"/>
      <c r="N262" s="93"/>
      <c r="O262" s="93"/>
      <c r="P262" s="93"/>
      <c r="Q262" s="93"/>
      <c r="R262" s="54">
        <v>34</v>
      </c>
      <c r="S262" s="94">
        <f t="shared" si="3"/>
        <v>0.17894736842105263</v>
      </c>
      <c r="T262" s="53">
        <v>6168</v>
      </c>
      <c r="U262" s="132">
        <f t="shared" si="4"/>
        <v>0.20274801130760634</v>
      </c>
      <c r="V262" s="25"/>
      <c r="W262" s="25"/>
      <c r="X262" s="5"/>
    </row>
    <row r="263" spans="1:24" ht="15.6" x14ac:dyDescent="0.3">
      <c r="A263" s="24"/>
      <c r="B263" s="54"/>
      <c r="C263" s="93"/>
      <c r="D263" s="93"/>
      <c r="E263" s="93"/>
      <c r="F263" s="25"/>
      <c r="G263" s="94"/>
      <c r="H263" s="93"/>
      <c r="I263" s="93"/>
      <c r="J263" s="93"/>
      <c r="K263" s="93"/>
      <c r="L263" s="93"/>
      <c r="M263" s="93"/>
      <c r="N263" s="93"/>
      <c r="O263" s="93"/>
      <c r="P263" s="93"/>
      <c r="Q263" s="93"/>
      <c r="R263" s="54"/>
      <c r="S263" s="94"/>
      <c r="T263" s="53"/>
      <c r="U263" s="132"/>
      <c r="V263" s="25"/>
      <c r="W263" s="25"/>
      <c r="X263" s="5"/>
    </row>
    <row r="264" spans="1:24" ht="15.6" x14ac:dyDescent="0.3">
      <c r="A264" s="24"/>
      <c r="B264" s="25"/>
      <c r="C264" s="25"/>
      <c r="D264" s="25"/>
      <c r="E264" s="25"/>
      <c r="F264" s="25"/>
      <c r="G264" s="25"/>
      <c r="H264" s="95"/>
      <c r="I264" s="95"/>
      <c r="J264" s="95"/>
      <c r="K264" s="95"/>
      <c r="L264" s="95"/>
      <c r="M264" s="95"/>
      <c r="N264" s="95"/>
      <c r="O264" s="95"/>
      <c r="P264" s="95"/>
      <c r="Q264" s="95"/>
      <c r="R264" s="34">
        <f>SUM(R255:R263)</f>
        <v>190</v>
      </c>
      <c r="S264" s="132">
        <f>SUM(S255:S263)</f>
        <v>1</v>
      </c>
      <c r="T264" s="53">
        <f>SUM(T255:T263)</f>
        <v>30422</v>
      </c>
      <c r="U264" s="132">
        <f>SUM(U255:U263)</f>
        <v>1</v>
      </c>
      <c r="V264" s="25"/>
      <c r="W264" s="25"/>
      <c r="X264" s="5"/>
    </row>
    <row r="265" spans="1:24" ht="15.6" x14ac:dyDescent="0.3">
      <c r="A265" s="24"/>
      <c r="B265" s="25"/>
      <c r="C265" s="25"/>
      <c r="D265" s="25"/>
      <c r="E265" s="25"/>
      <c r="F265" s="25"/>
      <c r="G265" s="25"/>
      <c r="H265" s="95"/>
      <c r="I265" s="95"/>
      <c r="J265" s="95"/>
      <c r="K265" s="95"/>
      <c r="L265" s="95"/>
      <c r="M265" s="95"/>
      <c r="N265" s="95"/>
      <c r="O265" s="95"/>
      <c r="P265" s="95"/>
      <c r="Q265" s="95"/>
      <c r="R265" s="34"/>
      <c r="S265" s="132"/>
      <c r="T265" s="53"/>
      <c r="U265" s="132"/>
      <c r="V265" s="25"/>
      <c r="W265" s="25"/>
      <c r="X265" s="5"/>
    </row>
    <row r="266" spans="1:24" ht="15.6" x14ac:dyDescent="0.3">
      <c r="A266" s="139"/>
      <c r="B266" s="14" t="s">
        <v>163</v>
      </c>
      <c r="C266" s="137"/>
      <c r="D266" s="137"/>
      <c r="E266" s="137"/>
      <c r="F266" s="137"/>
      <c r="G266" s="137"/>
      <c r="H266" s="143"/>
      <c r="I266" s="143"/>
      <c r="J266" s="143"/>
      <c r="K266" s="143"/>
      <c r="L266" s="143"/>
      <c r="M266" s="143"/>
      <c r="N266" s="143"/>
      <c r="O266" s="143"/>
      <c r="P266" s="143"/>
      <c r="Q266" s="143"/>
      <c r="R266" s="83" t="s">
        <v>102</v>
      </c>
      <c r="S266" s="17" t="s">
        <v>103</v>
      </c>
      <c r="T266" s="83" t="s">
        <v>109</v>
      </c>
      <c r="U266" s="17" t="s">
        <v>103</v>
      </c>
      <c r="V266" s="137"/>
      <c r="W266" s="138"/>
      <c r="X266" s="5"/>
    </row>
    <row r="267" spans="1:24" ht="15.6" x14ac:dyDescent="0.3">
      <c r="A267" s="24"/>
      <c r="B267" s="54" t="s">
        <v>88</v>
      </c>
      <c r="C267" s="25"/>
      <c r="D267" s="25"/>
      <c r="E267" s="25"/>
      <c r="F267" s="25"/>
      <c r="G267" s="25"/>
      <c r="H267" s="95"/>
      <c r="I267" s="95"/>
      <c r="J267" s="95"/>
      <c r="K267" s="95"/>
      <c r="L267" s="95"/>
      <c r="M267" s="95"/>
      <c r="N267" s="95"/>
      <c r="O267" s="95"/>
      <c r="P267" s="95"/>
      <c r="Q267" s="95"/>
      <c r="R267" s="54">
        <v>0</v>
      </c>
      <c r="S267" s="94">
        <v>0</v>
      </c>
      <c r="T267" s="53">
        <v>0</v>
      </c>
      <c r="U267" s="94">
        <v>0</v>
      </c>
      <c r="V267" s="25"/>
      <c r="W267" s="25"/>
      <c r="X267" s="5"/>
    </row>
    <row r="268" spans="1:24" ht="15.6" x14ac:dyDescent="0.3">
      <c r="A268" s="24"/>
      <c r="B268" s="54" t="s">
        <v>89</v>
      </c>
      <c r="C268" s="25"/>
      <c r="D268" s="25"/>
      <c r="E268" s="25"/>
      <c r="F268" s="25"/>
      <c r="G268" s="25"/>
      <c r="H268" s="95"/>
      <c r="I268" s="95"/>
      <c r="J268" s="95"/>
      <c r="K268" s="95"/>
      <c r="L268" s="95"/>
      <c r="M268" s="95"/>
      <c r="N268" s="95"/>
      <c r="O268" s="95"/>
      <c r="P268" s="95"/>
      <c r="Q268" s="95"/>
      <c r="R268" s="54">
        <v>0</v>
      </c>
      <c r="S268" s="94">
        <v>0</v>
      </c>
      <c r="T268" s="53">
        <v>0</v>
      </c>
      <c r="U268" s="94">
        <v>0</v>
      </c>
      <c r="V268" s="25"/>
      <c r="W268" s="25"/>
      <c r="X268" s="5"/>
    </row>
    <row r="269" spans="1:24" ht="15.6" x14ac:dyDescent="0.3">
      <c r="A269" s="24"/>
      <c r="B269" s="54" t="s">
        <v>90</v>
      </c>
      <c r="C269" s="25"/>
      <c r="D269" s="25"/>
      <c r="E269" s="25"/>
      <c r="F269" s="25"/>
      <c r="G269" s="25"/>
      <c r="H269" s="95"/>
      <c r="I269" s="95"/>
      <c r="J269" s="95"/>
      <c r="K269" s="95"/>
      <c r="L269" s="95"/>
      <c r="M269" s="95"/>
      <c r="N269" s="95"/>
      <c r="O269" s="95"/>
      <c r="P269" s="95"/>
      <c r="Q269" s="95"/>
      <c r="R269" s="54">
        <v>0</v>
      </c>
      <c r="S269" s="94">
        <v>0</v>
      </c>
      <c r="T269" s="53">
        <v>0</v>
      </c>
      <c r="U269" s="94">
        <v>0</v>
      </c>
      <c r="V269" s="25"/>
      <c r="W269" s="25"/>
      <c r="X269" s="5"/>
    </row>
    <row r="270" spans="1:24" ht="15.6" x14ac:dyDescent="0.3">
      <c r="A270" s="24"/>
      <c r="B270" s="54" t="s">
        <v>156</v>
      </c>
      <c r="C270" s="25"/>
      <c r="D270" s="25"/>
      <c r="E270" s="25"/>
      <c r="F270" s="25"/>
      <c r="G270" s="25"/>
      <c r="H270" s="95"/>
      <c r="I270" s="95"/>
      <c r="J270" s="95"/>
      <c r="K270" s="95"/>
      <c r="L270" s="95"/>
      <c r="M270" s="95"/>
      <c r="N270" s="95"/>
      <c r="O270" s="95"/>
      <c r="P270" s="95"/>
      <c r="Q270" s="95"/>
      <c r="R270" s="54">
        <v>0</v>
      </c>
      <c r="S270" s="94">
        <v>0</v>
      </c>
      <c r="T270" s="53">
        <v>0</v>
      </c>
      <c r="U270" s="94">
        <v>0</v>
      </c>
      <c r="V270" s="25"/>
      <c r="W270" s="25"/>
      <c r="X270" s="5"/>
    </row>
    <row r="271" spans="1:24" ht="15.6" x14ac:dyDescent="0.3">
      <c r="A271" s="24"/>
      <c r="B271" s="54" t="s">
        <v>157</v>
      </c>
      <c r="C271" s="25"/>
      <c r="D271" s="25"/>
      <c r="E271" s="25"/>
      <c r="F271" s="25"/>
      <c r="G271" s="25"/>
      <c r="H271" s="95"/>
      <c r="I271" s="95"/>
      <c r="J271" s="95"/>
      <c r="K271" s="95"/>
      <c r="L271" s="95"/>
      <c r="M271" s="95"/>
      <c r="N271" s="95"/>
      <c r="O271" s="95"/>
      <c r="P271" s="95"/>
      <c r="Q271" s="95"/>
      <c r="R271" s="54">
        <v>0</v>
      </c>
      <c r="S271" s="94">
        <v>0</v>
      </c>
      <c r="T271" s="53">
        <v>0</v>
      </c>
      <c r="U271" s="94">
        <v>0</v>
      </c>
      <c r="V271" s="25"/>
      <c r="W271" s="25"/>
      <c r="X271" s="5"/>
    </row>
    <row r="272" spans="1:24" ht="15.6" x14ac:dyDescent="0.3">
      <c r="A272" s="24"/>
      <c r="B272" s="54" t="s">
        <v>158</v>
      </c>
      <c r="C272" s="25"/>
      <c r="D272" s="25"/>
      <c r="E272" s="25"/>
      <c r="F272" s="25"/>
      <c r="G272" s="25"/>
      <c r="H272" s="95"/>
      <c r="I272" s="95"/>
      <c r="J272" s="95"/>
      <c r="K272" s="95"/>
      <c r="L272" s="95"/>
      <c r="M272" s="95"/>
      <c r="N272" s="95"/>
      <c r="O272" s="95"/>
      <c r="P272" s="95"/>
      <c r="Q272" s="95"/>
      <c r="R272" s="54">
        <v>0</v>
      </c>
      <c r="S272" s="94">
        <v>0</v>
      </c>
      <c r="T272" s="53">
        <v>0</v>
      </c>
      <c r="U272" s="94">
        <v>0</v>
      </c>
      <c r="V272" s="25"/>
      <c r="W272" s="25"/>
      <c r="X272" s="5"/>
    </row>
    <row r="273" spans="1:24" ht="15.6" x14ac:dyDescent="0.3">
      <c r="A273" s="24"/>
      <c r="B273" s="54" t="s">
        <v>159</v>
      </c>
      <c r="C273" s="25"/>
      <c r="D273" s="25"/>
      <c r="E273" s="25"/>
      <c r="F273" s="25"/>
      <c r="G273" s="25"/>
      <c r="H273" s="95"/>
      <c r="I273" s="95"/>
      <c r="J273" s="95"/>
      <c r="K273" s="95"/>
      <c r="L273" s="95"/>
      <c r="M273" s="95"/>
      <c r="N273" s="95"/>
      <c r="O273" s="95"/>
      <c r="P273" s="95"/>
      <c r="Q273" s="95"/>
      <c r="R273" s="54">
        <v>0</v>
      </c>
      <c r="S273" s="94">
        <v>0</v>
      </c>
      <c r="T273" s="53">
        <v>0</v>
      </c>
      <c r="U273" s="94">
        <v>0</v>
      </c>
      <c r="V273" s="25"/>
      <c r="W273" s="25"/>
      <c r="X273" s="5"/>
    </row>
    <row r="274" spans="1:24" ht="15.6" x14ac:dyDescent="0.3">
      <c r="A274" s="24"/>
      <c r="B274" s="54" t="s">
        <v>160</v>
      </c>
      <c r="C274" s="25"/>
      <c r="D274" s="25"/>
      <c r="E274" s="25"/>
      <c r="F274" s="25"/>
      <c r="G274" s="25"/>
      <c r="H274" s="95"/>
      <c r="I274" s="95"/>
      <c r="J274" s="95"/>
      <c r="K274" s="95"/>
      <c r="L274" s="95"/>
      <c r="M274" s="95"/>
      <c r="N274" s="95"/>
      <c r="O274" s="95"/>
      <c r="P274" s="95"/>
      <c r="Q274" s="95"/>
      <c r="R274" s="54">
        <v>0</v>
      </c>
      <c r="S274" s="94">
        <v>0</v>
      </c>
      <c r="T274" s="53">
        <v>0</v>
      </c>
      <c r="U274" s="94">
        <v>0</v>
      </c>
      <c r="V274" s="25"/>
      <c r="W274" s="25"/>
      <c r="X274" s="5"/>
    </row>
    <row r="275" spans="1:24" ht="15.6" x14ac:dyDescent="0.3">
      <c r="A275" s="24"/>
      <c r="B275" s="54"/>
      <c r="C275" s="25"/>
      <c r="D275" s="25"/>
      <c r="E275" s="25"/>
      <c r="F275" s="25"/>
      <c r="G275" s="25"/>
      <c r="H275" s="95"/>
      <c r="I275" s="95"/>
      <c r="J275" s="95"/>
      <c r="K275" s="95"/>
      <c r="L275" s="95"/>
      <c r="M275" s="95"/>
      <c r="N275" s="95"/>
      <c r="O275" s="95"/>
      <c r="P275" s="95"/>
      <c r="Q275" s="95"/>
      <c r="R275" s="54"/>
      <c r="S275" s="94"/>
      <c r="T275" s="53"/>
      <c r="U275" s="132"/>
      <c r="V275" s="25"/>
      <c r="W275" s="25"/>
      <c r="X275" s="5"/>
    </row>
    <row r="276" spans="1:24" ht="15.6" x14ac:dyDescent="0.3">
      <c r="A276" s="24"/>
      <c r="B276" s="25" t="s">
        <v>114</v>
      </c>
      <c r="C276" s="25"/>
      <c r="D276" s="25"/>
      <c r="E276" s="25"/>
      <c r="F276" s="25"/>
      <c r="G276" s="25"/>
      <c r="H276" s="95"/>
      <c r="I276" s="95"/>
      <c r="J276" s="95"/>
      <c r="K276" s="95"/>
      <c r="L276" s="95"/>
      <c r="M276" s="95"/>
      <c r="N276" s="95"/>
      <c r="O276" s="95"/>
      <c r="P276" s="95"/>
      <c r="Q276" s="95"/>
      <c r="R276" s="34">
        <f>SUM(R267:R274)</f>
        <v>0</v>
      </c>
      <c r="S276" s="132">
        <f>SUM(S267:S275)</f>
        <v>0</v>
      </c>
      <c r="T276" s="53">
        <f>SUM(T267:T274)</f>
        <v>0</v>
      </c>
      <c r="U276" s="132">
        <f>SUM(U267:U275)</f>
        <v>0</v>
      </c>
      <c r="V276" s="25"/>
      <c r="W276" s="25"/>
      <c r="X276" s="5"/>
    </row>
    <row r="277" spans="1:24" ht="15.6" x14ac:dyDescent="0.3">
      <c r="A277" s="24"/>
      <c r="B277" s="25"/>
      <c r="C277" s="25"/>
      <c r="D277" s="25"/>
      <c r="E277" s="25"/>
      <c r="F277" s="25"/>
      <c r="G277" s="25"/>
      <c r="H277" s="95"/>
      <c r="I277" s="95"/>
      <c r="J277" s="95"/>
      <c r="K277" s="95"/>
      <c r="L277" s="95"/>
      <c r="M277" s="95"/>
      <c r="N277" s="95"/>
      <c r="O277" s="95"/>
      <c r="P277" s="95"/>
      <c r="Q277" s="95"/>
      <c r="R277" s="34"/>
      <c r="S277" s="132"/>
      <c r="T277" s="53"/>
      <c r="U277" s="132"/>
      <c r="V277" s="25"/>
      <c r="W277" s="25"/>
      <c r="X277" s="5"/>
    </row>
    <row r="278" spans="1:24" ht="15.6" x14ac:dyDescent="0.3">
      <c r="A278" s="24"/>
      <c r="B278" s="140" t="s">
        <v>164</v>
      </c>
      <c r="C278" s="25"/>
      <c r="D278" s="25"/>
      <c r="E278" s="25"/>
      <c r="F278" s="25"/>
      <c r="G278" s="25"/>
      <c r="H278" s="95"/>
      <c r="I278" s="95"/>
      <c r="J278" s="95"/>
      <c r="K278" s="95"/>
      <c r="L278" s="95"/>
      <c r="M278" s="95"/>
      <c r="N278" s="95"/>
      <c r="O278" s="95"/>
      <c r="P278" s="95"/>
      <c r="Q278" s="95"/>
      <c r="R278" s="159">
        <f>R276+R264+R252</f>
        <v>8394</v>
      </c>
      <c r="S278" s="141"/>
      <c r="T278" s="142">
        <f>+T276+T264+T252</f>
        <v>1201630</v>
      </c>
      <c r="U278" s="141"/>
      <c r="V278" s="25"/>
      <c r="W278" s="25"/>
      <c r="X278" s="5"/>
    </row>
    <row r="279" spans="1:24" ht="15.6" x14ac:dyDescent="0.3">
      <c r="A279" s="24"/>
      <c r="B279" s="25"/>
      <c r="C279" s="25"/>
      <c r="D279" s="25"/>
      <c r="E279" s="25"/>
      <c r="F279" s="25"/>
      <c r="G279" s="25"/>
      <c r="H279" s="95"/>
      <c r="I279" s="95"/>
      <c r="J279" s="95"/>
      <c r="K279" s="95"/>
      <c r="L279" s="95"/>
      <c r="M279" s="95"/>
      <c r="N279" s="95"/>
      <c r="O279" s="95"/>
      <c r="P279" s="95"/>
      <c r="Q279" s="95"/>
      <c r="R279" s="95"/>
      <c r="S279" s="95"/>
      <c r="T279" s="53"/>
      <c r="U279" s="95"/>
      <c r="V279" s="25"/>
      <c r="W279" s="25"/>
      <c r="X279" s="5"/>
    </row>
    <row r="280" spans="1:24" ht="15.6" x14ac:dyDescent="0.3">
      <c r="A280" s="6"/>
      <c r="B280" s="8"/>
      <c r="C280" s="8"/>
      <c r="D280" s="8"/>
      <c r="E280" s="8"/>
      <c r="F280" s="8"/>
      <c r="G280" s="8"/>
      <c r="H280" s="96"/>
      <c r="I280" s="96"/>
      <c r="J280" s="96"/>
      <c r="K280" s="96"/>
      <c r="L280" s="96"/>
      <c r="M280" s="96"/>
      <c r="N280" s="96"/>
      <c r="O280" s="96"/>
      <c r="P280" s="96"/>
      <c r="Q280" s="96"/>
      <c r="R280" s="96"/>
      <c r="S280" s="96"/>
      <c r="T280" s="97"/>
      <c r="U280" s="96"/>
      <c r="V280" s="8"/>
      <c r="W280" s="8"/>
      <c r="X280" s="5"/>
    </row>
    <row r="281" spans="1:24" ht="15.6" x14ac:dyDescent="0.3">
      <c r="A281" s="178"/>
      <c r="B281" s="14" t="s">
        <v>91</v>
      </c>
      <c r="C281" s="15"/>
      <c r="D281" s="15"/>
      <c r="E281" s="15"/>
      <c r="F281" s="17" t="s">
        <v>97</v>
      </c>
      <c r="G281" s="15"/>
      <c r="H281" s="14" t="s">
        <v>99</v>
      </c>
      <c r="I281" s="14"/>
      <c r="J281" s="14"/>
      <c r="K281" s="173"/>
      <c r="L281" s="173"/>
      <c r="M281" s="173"/>
      <c r="N281" s="173"/>
      <c r="O281" s="173"/>
      <c r="P281" s="173"/>
      <c r="Q281" s="173"/>
      <c r="R281" s="173"/>
      <c r="S281" s="173"/>
      <c r="T281" s="173"/>
      <c r="U281" s="173"/>
      <c r="V281" s="173"/>
      <c r="W281" s="173"/>
      <c r="X281" s="5"/>
    </row>
    <row r="282" spans="1:24" ht="15.6" x14ac:dyDescent="0.3">
      <c r="A282" s="178"/>
      <c r="B282" s="173"/>
      <c r="C282" s="8"/>
      <c r="D282" s="8"/>
      <c r="E282" s="8"/>
      <c r="F282" s="8"/>
      <c r="G282" s="8"/>
      <c r="H282" s="8"/>
      <c r="I282" s="8"/>
      <c r="J282" s="8"/>
      <c r="K282" s="173"/>
      <c r="L282" s="173"/>
      <c r="M282" s="173"/>
      <c r="N282" s="173"/>
      <c r="O282" s="173"/>
      <c r="P282" s="173"/>
      <c r="Q282" s="173"/>
      <c r="R282" s="173"/>
      <c r="S282" s="173"/>
      <c r="T282" s="173"/>
      <c r="U282" s="173"/>
      <c r="V282" s="173"/>
      <c r="W282" s="173"/>
      <c r="X282" s="5"/>
    </row>
    <row r="283" spans="1:24" ht="15.6" x14ac:dyDescent="0.3">
      <c r="A283" s="178"/>
      <c r="B283" s="13" t="s">
        <v>92</v>
      </c>
      <c r="C283" s="13"/>
      <c r="D283" s="13"/>
      <c r="E283" s="13"/>
      <c r="F283" s="130" t="s">
        <v>148</v>
      </c>
      <c r="G283" s="13"/>
      <c r="H283" s="13" t="s">
        <v>152</v>
      </c>
      <c r="I283" s="13"/>
      <c r="J283" s="13"/>
      <c r="K283" s="173"/>
      <c r="L283" s="173"/>
      <c r="M283" s="173"/>
      <c r="N283" s="173"/>
      <c r="O283" s="173"/>
      <c r="P283" s="173"/>
      <c r="Q283" s="173"/>
      <c r="R283" s="173"/>
      <c r="S283" s="173"/>
      <c r="T283" s="173"/>
      <c r="U283" s="173"/>
      <c r="V283" s="173"/>
      <c r="W283" s="173"/>
      <c r="X283" s="5"/>
    </row>
    <row r="284" spans="1:24" ht="15.6" x14ac:dyDescent="0.3">
      <c r="A284" s="178"/>
      <c r="B284" s="13" t="s">
        <v>277</v>
      </c>
      <c r="C284" s="13"/>
      <c r="D284" s="13"/>
      <c r="E284" s="13"/>
      <c r="F284" s="130" t="s">
        <v>278</v>
      </c>
      <c r="G284" s="13"/>
      <c r="H284" s="13" t="s">
        <v>279</v>
      </c>
      <c r="I284" s="173"/>
      <c r="J284" s="13"/>
      <c r="K284" s="173"/>
      <c r="L284" s="173"/>
      <c r="M284" s="173"/>
      <c r="N284" s="173"/>
      <c r="O284" s="173"/>
      <c r="P284" s="173"/>
      <c r="Q284" s="173"/>
      <c r="R284" s="173"/>
      <c r="S284" s="173"/>
      <c r="T284" s="173"/>
      <c r="U284" s="173"/>
      <c r="V284" s="173"/>
      <c r="W284" s="173"/>
      <c r="X284" s="5"/>
    </row>
    <row r="285" spans="1:24" ht="15.6" x14ac:dyDescent="0.3">
      <c r="A285" s="178"/>
      <c r="B285" s="13" t="s">
        <v>93</v>
      </c>
      <c r="C285" s="13"/>
      <c r="D285" s="13"/>
      <c r="E285" s="13"/>
      <c r="F285" s="130" t="s">
        <v>147</v>
      </c>
      <c r="G285" s="13"/>
      <c r="H285" s="13" t="s">
        <v>153</v>
      </c>
      <c r="I285" s="13"/>
      <c r="J285" s="13"/>
      <c r="K285" s="173"/>
      <c r="L285" s="173"/>
      <c r="M285" s="173"/>
      <c r="N285" s="173"/>
      <c r="O285" s="173"/>
      <c r="P285" s="173"/>
      <c r="Q285" s="173"/>
      <c r="R285" s="173"/>
      <c r="S285" s="173"/>
      <c r="T285" s="173"/>
      <c r="U285" s="173"/>
      <c r="V285" s="173"/>
      <c r="W285" s="173"/>
      <c r="X285" s="5"/>
    </row>
    <row r="286" spans="1:24" ht="15.6" x14ac:dyDescent="0.3">
      <c r="A286" s="178"/>
      <c r="B286" s="13"/>
      <c r="C286" s="13"/>
      <c r="D286" s="13"/>
      <c r="E286" s="13"/>
      <c r="F286" s="13"/>
      <c r="G286" s="99"/>
      <c r="H286" s="173"/>
      <c r="I286" s="173"/>
      <c r="J286" s="173"/>
      <c r="K286" s="173"/>
      <c r="L286" s="173"/>
      <c r="M286" s="173"/>
      <c r="N286" s="173"/>
      <c r="O286" s="173"/>
      <c r="P286" s="173"/>
      <c r="Q286" s="173"/>
      <c r="R286" s="173"/>
      <c r="S286" s="173"/>
      <c r="T286" s="173"/>
      <c r="U286" s="173"/>
      <c r="V286" s="173"/>
      <c r="W286" s="173"/>
      <c r="X286" s="5"/>
    </row>
    <row r="287" spans="1:24" ht="15.6" x14ac:dyDescent="0.3">
      <c r="A287" s="178"/>
      <c r="B287" s="13"/>
      <c r="C287" s="13"/>
      <c r="D287" s="13"/>
      <c r="E287" s="13"/>
      <c r="F287" s="13"/>
      <c r="G287" s="99"/>
      <c r="H287" s="173"/>
      <c r="I287" s="173"/>
      <c r="J287" s="173"/>
      <c r="K287" s="173"/>
      <c r="L287" s="173"/>
      <c r="M287" s="173"/>
      <c r="N287" s="173"/>
      <c r="O287" s="173"/>
      <c r="P287" s="173"/>
      <c r="Q287" s="173"/>
      <c r="R287" s="173"/>
      <c r="S287" s="173"/>
      <c r="T287" s="173"/>
      <c r="U287" s="173"/>
      <c r="V287" s="173"/>
      <c r="W287" s="173"/>
      <c r="X287" s="5"/>
    </row>
    <row r="288" spans="1:24" ht="18" thickBot="1" x14ac:dyDescent="0.35">
      <c r="A288" s="178"/>
      <c r="B288" s="49" t="str">
        <f>B204</f>
        <v>PM14 INVESTOR REPORT QUARTER ENDING AUGUST 2009</v>
      </c>
      <c r="C288" s="13"/>
      <c r="D288" s="13"/>
      <c r="E288" s="13"/>
      <c r="F288" s="13"/>
      <c r="G288" s="99"/>
      <c r="H288" s="173"/>
      <c r="I288" s="173"/>
      <c r="J288" s="173"/>
      <c r="K288" s="173"/>
      <c r="L288" s="173"/>
      <c r="M288" s="173"/>
      <c r="N288" s="173"/>
      <c r="O288" s="173"/>
      <c r="P288" s="173"/>
      <c r="Q288" s="173"/>
      <c r="R288" s="173"/>
      <c r="S288" s="173"/>
      <c r="T288" s="173"/>
      <c r="U288" s="173"/>
      <c r="V288" s="173"/>
      <c r="W288" s="173"/>
      <c r="X288" s="5"/>
    </row>
    <row r="289" spans="1:23" x14ac:dyDescent="0.25">
      <c r="A289" s="100"/>
      <c r="B289" s="100"/>
      <c r="C289" s="100"/>
      <c r="D289" s="100"/>
      <c r="E289" s="100"/>
      <c r="F289" s="100"/>
      <c r="G289" s="100"/>
      <c r="H289" s="100"/>
      <c r="I289" s="100"/>
      <c r="J289" s="100"/>
      <c r="K289" s="100"/>
      <c r="L289" s="100"/>
      <c r="M289" s="100"/>
      <c r="N289" s="100"/>
      <c r="O289" s="100"/>
      <c r="P289" s="100"/>
      <c r="Q289" s="100"/>
      <c r="R289" s="100"/>
      <c r="S289" s="100"/>
      <c r="T289" s="100"/>
      <c r="U289" s="100"/>
      <c r="V289" s="100"/>
      <c r="W289" s="100"/>
    </row>
  </sheetData>
  <phoneticPr fontId="0" type="noConversion"/>
  <hyperlinks>
    <hyperlink ref="P240" r:id="rId1" xr:uid="{00000000-0004-0000-0800-000000000000}"/>
    <hyperlink ref="I9" r:id="rId2" xr:uid="{00000000-0004-0000-0800-000001000000}"/>
  </hyperlinks>
  <printOptions horizontalCentered="1" verticalCentered="1"/>
  <pageMargins left="0.19685039370078741" right="0.19685039370078741" top="0.27559055118110237" bottom="0.27559055118110237" header="0" footer="0"/>
  <pageSetup scale="37" orientation="landscape" r:id="rId3"/>
  <headerFooter alignWithMargins="0"/>
  <rowBreaks count="3" manualBreakCount="3">
    <brk id="64" max="14" man="1"/>
    <brk id="139" max="14" man="1"/>
    <brk id="204" max="14"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281</vt:i4>
      </vt:variant>
    </vt:vector>
  </HeadingPairs>
  <TitlesOfParts>
    <vt:vector size="337" baseType="lpstr">
      <vt:lpstr>Aug 07</vt:lpstr>
      <vt:lpstr>Nov 07</vt:lpstr>
      <vt:lpstr>Feb 08</vt:lpstr>
      <vt:lpstr>May 08</vt:lpstr>
      <vt:lpstr>Aug 08</vt:lpstr>
      <vt:lpstr>Nov 08</vt:lpstr>
      <vt:lpstr>Feb 09</vt:lpstr>
      <vt:lpstr>May 09</vt:lpstr>
      <vt:lpstr>Aug 09</vt:lpstr>
      <vt:lpstr>Nov 09</vt:lpstr>
      <vt:lpstr>Feb 10</vt:lpstr>
      <vt:lpstr>May 10</vt:lpstr>
      <vt:lpstr>Aug 10</vt:lpstr>
      <vt:lpstr>Nov 10</vt:lpstr>
      <vt:lpstr>Feb 11</vt:lpstr>
      <vt:lpstr>May 11</vt:lpstr>
      <vt:lpstr>Aug 11</vt:lpstr>
      <vt:lpstr>Nov 11</vt:lpstr>
      <vt:lpstr>Feb 12</vt:lpstr>
      <vt:lpstr>May 12</vt:lpstr>
      <vt:lpstr>Aug 12</vt:lpstr>
      <vt:lpstr>Nov 12</vt:lpstr>
      <vt:lpstr>Feb 13</vt:lpstr>
      <vt:lpstr>May 13</vt:lpstr>
      <vt:lpstr>Aug 13</vt:lpstr>
      <vt:lpstr>Nov 13</vt:lpstr>
      <vt:lpstr>Feb 14</vt:lpstr>
      <vt:lpstr>May 14</vt:lpstr>
      <vt:lpstr>Aug 14</vt:lpstr>
      <vt:lpstr>Nov 14</vt:lpstr>
      <vt:lpstr>Feb 15</vt:lpstr>
      <vt:lpstr>May 15</vt:lpstr>
      <vt:lpstr>Aug 15</vt:lpstr>
      <vt:lpstr>Nov 15</vt:lpstr>
      <vt:lpstr>Feb 16</vt:lpstr>
      <vt:lpstr>May 16</vt:lpstr>
      <vt:lpstr>Aug 16</vt:lpstr>
      <vt:lpstr>Nov 16</vt:lpstr>
      <vt:lpstr>Feb 17</vt:lpstr>
      <vt:lpstr>May 17</vt:lpstr>
      <vt:lpstr>Aug 17</vt:lpstr>
      <vt:lpstr>Nov 17</vt:lpstr>
      <vt:lpstr>Feb 18</vt:lpstr>
      <vt:lpstr>May 18</vt:lpstr>
      <vt:lpstr>Aug 18</vt:lpstr>
      <vt:lpstr>Nov 18</vt:lpstr>
      <vt:lpstr>Feb 19</vt:lpstr>
      <vt:lpstr>May 19</vt:lpstr>
      <vt:lpstr>Aug 19</vt:lpstr>
      <vt:lpstr>Nov 19</vt:lpstr>
      <vt:lpstr>Feb 20</vt:lpstr>
      <vt:lpstr>May 20</vt:lpstr>
      <vt:lpstr>Aug 20</vt:lpstr>
      <vt:lpstr>Nov 20</vt:lpstr>
      <vt:lpstr>Feb 21</vt:lpstr>
      <vt:lpstr>May 21</vt:lpstr>
      <vt:lpstr>'Nov 10'!_100PAGE_4</vt:lpstr>
      <vt:lpstr>'Nov 11'!_101PAGE_4</vt:lpstr>
      <vt:lpstr>'Nov 12'!_102PAGE_4</vt:lpstr>
      <vt:lpstr>'Aug 14'!_103PAGE_4</vt:lpstr>
      <vt:lpstr>'Aug 15'!_103PAGE_4</vt:lpstr>
      <vt:lpstr>'Aug 16'!_103PAGE_4</vt:lpstr>
      <vt:lpstr>'Aug 17'!_103PAGE_4</vt:lpstr>
      <vt:lpstr>'Aug 18'!_103PAGE_4</vt:lpstr>
      <vt:lpstr>'Aug 19'!_103PAGE_4</vt:lpstr>
      <vt:lpstr>'Aug 20'!_103PAGE_4</vt:lpstr>
      <vt:lpstr>'Feb 14'!_103PAGE_4</vt:lpstr>
      <vt:lpstr>'Feb 15'!_103PAGE_4</vt:lpstr>
      <vt:lpstr>'Feb 16'!_103PAGE_4</vt:lpstr>
      <vt:lpstr>'Feb 17'!_103PAGE_4</vt:lpstr>
      <vt:lpstr>'Feb 18'!_103PAGE_4</vt:lpstr>
      <vt:lpstr>'Feb 19'!_103PAGE_4</vt:lpstr>
      <vt:lpstr>'Feb 20'!_103PAGE_4</vt:lpstr>
      <vt:lpstr>'Feb 21'!_103PAGE_4</vt:lpstr>
      <vt:lpstr>'May 14'!_103PAGE_4</vt:lpstr>
      <vt:lpstr>'May 15'!_103PAGE_4</vt:lpstr>
      <vt:lpstr>'May 16'!_103PAGE_4</vt:lpstr>
      <vt:lpstr>'May 17'!_103PAGE_4</vt:lpstr>
      <vt:lpstr>'May 18'!_103PAGE_4</vt:lpstr>
      <vt:lpstr>'May 19'!_103PAGE_4</vt:lpstr>
      <vt:lpstr>'May 20'!_103PAGE_4</vt:lpstr>
      <vt:lpstr>'May 21'!_103PAGE_4</vt:lpstr>
      <vt:lpstr>'Nov 13'!_103PAGE_4</vt:lpstr>
      <vt:lpstr>'Nov 14'!_103PAGE_4</vt:lpstr>
      <vt:lpstr>'Nov 15'!_103PAGE_4</vt:lpstr>
      <vt:lpstr>'Nov 16'!_103PAGE_4</vt:lpstr>
      <vt:lpstr>'Nov 17'!_103PAGE_4</vt:lpstr>
      <vt:lpstr>'Nov 18'!_103PAGE_4</vt:lpstr>
      <vt:lpstr>'Nov 19'!_103PAGE_4</vt:lpstr>
      <vt:lpstr>'Nov 20'!_103PAGE_4</vt:lpstr>
      <vt:lpstr>_104PAGE_4</vt:lpstr>
      <vt:lpstr>'Feb 11'!_10PAGE_1</vt:lpstr>
      <vt:lpstr>'Feb 12'!_11PAGE_1</vt:lpstr>
      <vt:lpstr>'Feb 13'!_12PAGE_1</vt:lpstr>
      <vt:lpstr>'May 08'!_13PAGE_1</vt:lpstr>
      <vt:lpstr>'May 09'!_14PAGE_1</vt:lpstr>
      <vt:lpstr>'May 10'!_15PAGE_1</vt:lpstr>
      <vt:lpstr>'May 11'!_16PAGE_1</vt:lpstr>
      <vt:lpstr>'May 12'!_17PAGE_1</vt:lpstr>
      <vt:lpstr>'May 13'!_18PAGE_1</vt:lpstr>
      <vt:lpstr>'Nov 07'!_19PAGE_1</vt:lpstr>
      <vt:lpstr>'Aug 08'!_1PAGE_1</vt:lpstr>
      <vt:lpstr>'Nov 08'!_20PAGE_1</vt:lpstr>
      <vt:lpstr>'Nov 09'!_21PAGE_1</vt:lpstr>
      <vt:lpstr>'Nov 10'!_22PAGE_1</vt:lpstr>
      <vt:lpstr>'Nov 11'!_23PAGE_1</vt:lpstr>
      <vt:lpstr>'Nov 12'!_24PAGE_1</vt:lpstr>
      <vt:lpstr>'Aug 14'!_25PAGE_1</vt:lpstr>
      <vt:lpstr>'Aug 15'!_25PAGE_1</vt:lpstr>
      <vt:lpstr>'Aug 16'!_25PAGE_1</vt:lpstr>
      <vt:lpstr>'Aug 17'!_25PAGE_1</vt:lpstr>
      <vt:lpstr>'Aug 18'!_25PAGE_1</vt:lpstr>
      <vt:lpstr>'Aug 19'!_25PAGE_1</vt:lpstr>
      <vt:lpstr>'Aug 20'!_25PAGE_1</vt:lpstr>
      <vt:lpstr>'Feb 14'!_25PAGE_1</vt:lpstr>
      <vt:lpstr>'Feb 15'!_25PAGE_1</vt:lpstr>
      <vt:lpstr>'Feb 16'!_25PAGE_1</vt:lpstr>
      <vt:lpstr>'Feb 17'!_25PAGE_1</vt:lpstr>
      <vt:lpstr>'Feb 18'!_25PAGE_1</vt:lpstr>
      <vt:lpstr>'Feb 19'!_25PAGE_1</vt:lpstr>
      <vt:lpstr>'Feb 20'!_25PAGE_1</vt:lpstr>
      <vt:lpstr>'Feb 21'!_25PAGE_1</vt:lpstr>
      <vt:lpstr>'May 14'!_25PAGE_1</vt:lpstr>
      <vt:lpstr>'May 15'!_25PAGE_1</vt:lpstr>
      <vt:lpstr>'May 16'!_25PAGE_1</vt:lpstr>
      <vt:lpstr>'May 17'!_25PAGE_1</vt:lpstr>
      <vt:lpstr>'May 18'!_25PAGE_1</vt:lpstr>
      <vt:lpstr>'May 19'!_25PAGE_1</vt:lpstr>
      <vt:lpstr>'May 20'!_25PAGE_1</vt:lpstr>
      <vt:lpstr>'May 21'!_25PAGE_1</vt:lpstr>
      <vt:lpstr>'Nov 13'!_25PAGE_1</vt:lpstr>
      <vt:lpstr>'Nov 14'!_25PAGE_1</vt:lpstr>
      <vt:lpstr>'Nov 15'!_25PAGE_1</vt:lpstr>
      <vt:lpstr>'Nov 16'!_25PAGE_1</vt:lpstr>
      <vt:lpstr>'Nov 17'!_25PAGE_1</vt:lpstr>
      <vt:lpstr>'Nov 18'!_25PAGE_1</vt:lpstr>
      <vt:lpstr>'Nov 19'!_25PAGE_1</vt:lpstr>
      <vt:lpstr>'Nov 20'!_25PAGE_1</vt:lpstr>
      <vt:lpstr>_26PAGE_1</vt:lpstr>
      <vt:lpstr>'Aug 08'!_27PAGE_2</vt:lpstr>
      <vt:lpstr>'Aug 09'!_28PAGE_2</vt:lpstr>
      <vt:lpstr>'Aug 10'!_29PAGE_2</vt:lpstr>
      <vt:lpstr>'Aug 09'!_2PAGE_1</vt:lpstr>
      <vt:lpstr>'Aug 11'!_30PAGE_2</vt:lpstr>
      <vt:lpstr>'Aug 12'!_31PAGE_2</vt:lpstr>
      <vt:lpstr>'Aug 13'!_32PAGE_2</vt:lpstr>
      <vt:lpstr>'Feb 08'!_33PAGE_2</vt:lpstr>
      <vt:lpstr>'Feb 09'!_34PAGE_2</vt:lpstr>
      <vt:lpstr>'Feb 10'!_35PAGE_2</vt:lpstr>
      <vt:lpstr>'Feb 11'!_36PAGE_2</vt:lpstr>
      <vt:lpstr>'Feb 12'!_37PAGE_2</vt:lpstr>
      <vt:lpstr>'Feb 13'!_38PAGE_2</vt:lpstr>
      <vt:lpstr>'May 08'!_39PAGE_2</vt:lpstr>
      <vt:lpstr>'Aug 10'!_3PAGE_1</vt:lpstr>
      <vt:lpstr>'May 09'!_40PAGE_2</vt:lpstr>
      <vt:lpstr>'May 10'!_41PAGE_2</vt:lpstr>
      <vt:lpstr>'May 11'!_42PAGE_2</vt:lpstr>
      <vt:lpstr>'May 12'!_43PAGE_2</vt:lpstr>
      <vt:lpstr>'May 13'!_44PAGE_2</vt:lpstr>
      <vt:lpstr>'Nov 07'!_45PAGE_2</vt:lpstr>
      <vt:lpstr>'Nov 08'!_46PAGE_2</vt:lpstr>
      <vt:lpstr>'Nov 09'!_47PAGE_2</vt:lpstr>
      <vt:lpstr>'Nov 10'!_48PAGE_2</vt:lpstr>
      <vt:lpstr>'Nov 11'!_49PAGE_2</vt:lpstr>
      <vt:lpstr>'Aug 11'!_4PAGE_1</vt:lpstr>
      <vt:lpstr>'Nov 12'!_50PAGE_2</vt:lpstr>
      <vt:lpstr>'Aug 14'!_51PAGE_2</vt:lpstr>
      <vt:lpstr>'Aug 15'!_51PAGE_2</vt:lpstr>
      <vt:lpstr>'Aug 16'!_51PAGE_2</vt:lpstr>
      <vt:lpstr>'Aug 17'!_51PAGE_2</vt:lpstr>
      <vt:lpstr>'Aug 18'!_51PAGE_2</vt:lpstr>
      <vt:lpstr>'Aug 19'!_51PAGE_2</vt:lpstr>
      <vt:lpstr>'Aug 20'!_51PAGE_2</vt:lpstr>
      <vt:lpstr>'Feb 14'!_51PAGE_2</vt:lpstr>
      <vt:lpstr>'Feb 15'!_51PAGE_2</vt:lpstr>
      <vt:lpstr>'Feb 16'!_51PAGE_2</vt:lpstr>
      <vt:lpstr>'Feb 17'!_51PAGE_2</vt:lpstr>
      <vt:lpstr>'Feb 18'!_51PAGE_2</vt:lpstr>
      <vt:lpstr>'Feb 19'!_51PAGE_2</vt:lpstr>
      <vt:lpstr>'Feb 20'!_51PAGE_2</vt:lpstr>
      <vt:lpstr>'Feb 21'!_51PAGE_2</vt:lpstr>
      <vt:lpstr>'May 14'!_51PAGE_2</vt:lpstr>
      <vt:lpstr>'May 15'!_51PAGE_2</vt:lpstr>
      <vt:lpstr>'May 16'!_51PAGE_2</vt:lpstr>
      <vt:lpstr>'May 17'!_51PAGE_2</vt:lpstr>
      <vt:lpstr>'May 18'!_51PAGE_2</vt:lpstr>
      <vt:lpstr>'May 19'!_51PAGE_2</vt:lpstr>
      <vt:lpstr>'May 20'!_51PAGE_2</vt:lpstr>
      <vt:lpstr>'May 21'!_51PAGE_2</vt:lpstr>
      <vt:lpstr>'Nov 13'!_51PAGE_2</vt:lpstr>
      <vt:lpstr>'Nov 14'!_51PAGE_2</vt:lpstr>
      <vt:lpstr>'Nov 15'!_51PAGE_2</vt:lpstr>
      <vt:lpstr>'Nov 16'!_51PAGE_2</vt:lpstr>
      <vt:lpstr>'Nov 17'!_51PAGE_2</vt:lpstr>
      <vt:lpstr>'Nov 18'!_51PAGE_2</vt:lpstr>
      <vt:lpstr>'Nov 19'!_51PAGE_2</vt:lpstr>
      <vt:lpstr>'Nov 20'!_51PAGE_2</vt:lpstr>
      <vt:lpstr>_52PAGE_2</vt:lpstr>
      <vt:lpstr>'Aug 08'!_53PAGE_3</vt:lpstr>
      <vt:lpstr>'Aug 09'!_54PAGE_3</vt:lpstr>
      <vt:lpstr>'Aug 10'!_55PAGE_3</vt:lpstr>
      <vt:lpstr>'Aug 11'!_56PAGE_3</vt:lpstr>
      <vt:lpstr>'Aug 12'!_57PAGE_3</vt:lpstr>
      <vt:lpstr>'Aug 13'!_58PAGE_3</vt:lpstr>
      <vt:lpstr>'Feb 08'!_59PAGE_3</vt:lpstr>
      <vt:lpstr>'Aug 12'!_5PAGE_1</vt:lpstr>
      <vt:lpstr>'Feb 09'!_60PAGE_3</vt:lpstr>
      <vt:lpstr>'Feb 10'!_61PAGE_3</vt:lpstr>
      <vt:lpstr>'Feb 11'!_62PAGE_3</vt:lpstr>
      <vt:lpstr>'Feb 12'!_63PAGE_3</vt:lpstr>
      <vt:lpstr>'Feb 13'!_64PAGE_3</vt:lpstr>
      <vt:lpstr>'May 08'!_65PAGE_3</vt:lpstr>
      <vt:lpstr>'May 09'!_66PAGE_3</vt:lpstr>
      <vt:lpstr>'May 10'!_67PAGE_3</vt:lpstr>
      <vt:lpstr>'May 11'!_68PAGE_3</vt:lpstr>
      <vt:lpstr>'May 12'!_69PAGE_3</vt:lpstr>
      <vt:lpstr>'Aug 13'!_6PAGE_1</vt:lpstr>
      <vt:lpstr>'May 13'!_70PAGE_3</vt:lpstr>
      <vt:lpstr>'Nov 07'!_71PAGE_3</vt:lpstr>
      <vt:lpstr>'Nov 08'!_72PAGE_3</vt:lpstr>
      <vt:lpstr>'Nov 09'!_73PAGE_3</vt:lpstr>
      <vt:lpstr>'Nov 10'!_74PAGE_3</vt:lpstr>
      <vt:lpstr>'Nov 11'!_75PAGE_3</vt:lpstr>
      <vt:lpstr>'Nov 12'!_76PAGE_3</vt:lpstr>
      <vt:lpstr>'Aug 14'!_77PAGE_3</vt:lpstr>
      <vt:lpstr>'Aug 15'!_77PAGE_3</vt:lpstr>
      <vt:lpstr>'Aug 16'!_77PAGE_3</vt:lpstr>
      <vt:lpstr>'Aug 17'!_77PAGE_3</vt:lpstr>
      <vt:lpstr>'Aug 18'!_77PAGE_3</vt:lpstr>
      <vt:lpstr>'Aug 19'!_77PAGE_3</vt:lpstr>
      <vt:lpstr>'Aug 20'!_77PAGE_3</vt:lpstr>
      <vt:lpstr>'Feb 14'!_77PAGE_3</vt:lpstr>
      <vt:lpstr>'Feb 15'!_77PAGE_3</vt:lpstr>
      <vt:lpstr>'Feb 16'!_77PAGE_3</vt:lpstr>
      <vt:lpstr>'Feb 17'!_77PAGE_3</vt:lpstr>
      <vt:lpstr>'Feb 18'!_77PAGE_3</vt:lpstr>
      <vt:lpstr>'Feb 19'!_77PAGE_3</vt:lpstr>
      <vt:lpstr>'Feb 20'!_77PAGE_3</vt:lpstr>
      <vt:lpstr>'Feb 21'!_77PAGE_3</vt:lpstr>
      <vt:lpstr>'May 14'!_77PAGE_3</vt:lpstr>
      <vt:lpstr>'May 15'!_77PAGE_3</vt:lpstr>
      <vt:lpstr>'May 16'!_77PAGE_3</vt:lpstr>
      <vt:lpstr>'May 17'!_77PAGE_3</vt:lpstr>
      <vt:lpstr>'May 18'!_77PAGE_3</vt:lpstr>
      <vt:lpstr>'May 19'!_77PAGE_3</vt:lpstr>
      <vt:lpstr>'May 20'!_77PAGE_3</vt:lpstr>
      <vt:lpstr>'May 21'!_77PAGE_3</vt:lpstr>
      <vt:lpstr>'Nov 13'!_77PAGE_3</vt:lpstr>
      <vt:lpstr>'Nov 14'!_77PAGE_3</vt:lpstr>
      <vt:lpstr>'Nov 15'!_77PAGE_3</vt:lpstr>
      <vt:lpstr>'Nov 16'!_77PAGE_3</vt:lpstr>
      <vt:lpstr>'Nov 17'!_77PAGE_3</vt:lpstr>
      <vt:lpstr>'Nov 18'!_77PAGE_3</vt:lpstr>
      <vt:lpstr>'Nov 19'!_77PAGE_3</vt:lpstr>
      <vt:lpstr>'Nov 20'!_77PAGE_3</vt:lpstr>
      <vt:lpstr>_78PAGE_3</vt:lpstr>
      <vt:lpstr>'Aug 08'!_79PAGE_4</vt:lpstr>
      <vt:lpstr>'Feb 08'!_7PAGE_1</vt:lpstr>
      <vt:lpstr>'Aug 09'!_80PAGE_4</vt:lpstr>
      <vt:lpstr>'Aug 10'!_81PAGE_4</vt:lpstr>
      <vt:lpstr>'Aug 11'!_82PAGE_4</vt:lpstr>
      <vt:lpstr>'Aug 12'!_83PAGE_4</vt:lpstr>
      <vt:lpstr>'Aug 13'!_84PAGE_4</vt:lpstr>
      <vt:lpstr>'Feb 08'!_85PAGE_4</vt:lpstr>
      <vt:lpstr>'Feb 09'!_86PAGE_4</vt:lpstr>
      <vt:lpstr>'Feb 10'!_87PAGE_4</vt:lpstr>
      <vt:lpstr>'Feb 11'!_88PAGE_4</vt:lpstr>
      <vt:lpstr>'Feb 12'!_89PAGE_4</vt:lpstr>
      <vt:lpstr>'Feb 09'!_8PAGE_1</vt:lpstr>
      <vt:lpstr>'Feb 13'!_90PAGE_4</vt:lpstr>
      <vt:lpstr>'May 08'!_91PAGE_4</vt:lpstr>
      <vt:lpstr>'May 09'!_92PAGE_4</vt:lpstr>
      <vt:lpstr>'May 10'!_93PAGE_4</vt:lpstr>
      <vt:lpstr>'May 11'!_94PAGE_4</vt:lpstr>
      <vt:lpstr>'May 12'!_95PAGE_4</vt:lpstr>
      <vt:lpstr>'May 13'!_96PAGE_4</vt:lpstr>
      <vt:lpstr>'Nov 07'!_97PAGE_4</vt:lpstr>
      <vt:lpstr>'Nov 08'!_98PAGE_4</vt:lpstr>
      <vt:lpstr>'Nov 09'!_99PAGE_4</vt:lpstr>
      <vt:lpstr>'Feb 10'!_9PAGE_1</vt:lpstr>
      <vt:lpstr>'Aug 07'!Print_Area</vt:lpstr>
      <vt:lpstr>'Aug 08'!Print_Area</vt:lpstr>
      <vt:lpstr>'Aug 09'!Print_Area</vt:lpstr>
      <vt:lpstr>'Aug 10'!Print_Area</vt:lpstr>
      <vt:lpstr>'Aug 11'!Print_Area</vt:lpstr>
      <vt:lpstr>'Aug 12'!Print_Area</vt:lpstr>
      <vt:lpstr>'Aug 13'!Print_Area</vt:lpstr>
      <vt:lpstr>'Aug 14'!Print_Area</vt:lpstr>
      <vt:lpstr>'Aug 15'!Print_Area</vt:lpstr>
      <vt:lpstr>'Aug 16'!Print_Area</vt:lpstr>
      <vt:lpstr>'Aug 17'!Print_Area</vt:lpstr>
      <vt:lpstr>'Aug 18'!Print_Area</vt:lpstr>
      <vt:lpstr>'Aug 19'!Print_Area</vt:lpstr>
      <vt:lpstr>'Aug 20'!Print_Area</vt:lpstr>
      <vt:lpstr>'Feb 08'!Print_Area</vt:lpstr>
      <vt:lpstr>'Feb 09'!Print_Area</vt:lpstr>
      <vt:lpstr>'Feb 10'!Print_Area</vt:lpstr>
      <vt:lpstr>'Feb 11'!Print_Area</vt:lpstr>
      <vt:lpstr>'Feb 12'!Print_Area</vt:lpstr>
      <vt:lpstr>'Feb 13'!Print_Area</vt:lpstr>
      <vt:lpstr>'Feb 14'!Print_Area</vt:lpstr>
      <vt:lpstr>'Feb 15'!Print_Area</vt:lpstr>
      <vt:lpstr>'Feb 16'!Print_Area</vt:lpstr>
      <vt:lpstr>'Feb 17'!Print_Area</vt:lpstr>
      <vt:lpstr>'Feb 18'!Print_Area</vt:lpstr>
      <vt:lpstr>'Feb 19'!Print_Area</vt:lpstr>
      <vt:lpstr>'Feb 20'!Print_Area</vt:lpstr>
      <vt:lpstr>'Feb 21'!Print_Area</vt:lpstr>
      <vt:lpstr>'May 08'!Print_Area</vt:lpstr>
      <vt:lpstr>'May 09'!Print_Area</vt:lpstr>
      <vt:lpstr>'May 10'!Print_Area</vt:lpstr>
      <vt:lpstr>'May 11'!Print_Area</vt:lpstr>
      <vt:lpstr>'May 12'!Print_Area</vt:lpstr>
      <vt:lpstr>'May 13'!Print_Area</vt:lpstr>
      <vt:lpstr>'May 14'!Print_Area</vt:lpstr>
      <vt:lpstr>'May 15'!Print_Area</vt:lpstr>
      <vt:lpstr>'May 16'!Print_Area</vt:lpstr>
      <vt:lpstr>'May 17'!Print_Area</vt:lpstr>
      <vt:lpstr>'May 18'!Print_Area</vt:lpstr>
      <vt:lpstr>'May 19'!Print_Area</vt:lpstr>
      <vt:lpstr>'May 20'!Print_Area</vt:lpstr>
      <vt:lpstr>'May 21'!Print_Area</vt:lpstr>
      <vt:lpstr>'Nov 07'!Print_Area</vt:lpstr>
      <vt:lpstr>'Nov 08'!Print_Area</vt:lpstr>
      <vt:lpstr>'Nov 09'!Print_Area</vt:lpstr>
      <vt:lpstr>'Nov 10'!Print_Area</vt:lpstr>
      <vt:lpstr>'Nov 11'!Print_Area</vt:lpstr>
      <vt:lpstr>'Nov 12'!Print_Area</vt:lpstr>
      <vt:lpstr>'Nov 13'!Print_Area</vt:lpstr>
      <vt:lpstr>'Nov 14'!Print_Area</vt:lpstr>
      <vt:lpstr>'Nov 15'!Print_Area</vt:lpstr>
      <vt:lpstr>'Nov 16'!Print_Area</vt:lpstr>
      <vt:lpstr>'Nov 17'!Print_Area</vt:lpstr>
      <vt:lpstr>'Nov 18'!Print_Area</vt:lpstr>
      <vt:lpstr>'Nov 19'!Print_Area</vt:lpstr>
      <vt:lpstr>'Nov 20'!Print_Area</vt:lpstr>
      <vt:lpst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 Dowler</dc:creator>
  <cp:lastModifiedBy>Andrew Kitching</cp:lastModifiedBy>
  <cp:lastPrinted>2019-12-16T09:01:36Z</cp:lastPrinted>
  <dcterms:created xsi:type="dcterms:W3CDTF">2003-11-18T07:58:35Z</dcterms:created>
  <dcterms:modified xsi:type="dcterms:W3CDTF">2021-06-11T14:55:12Z</dcterms:modified>
</cp:coreProperties>
</file>